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EstaPasta_de_trabalho" hidePivotFieldList="1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b29018b76b5a8b72/Documentos/"/>
    </mc:Choice>
  </mc:AlternateContent>
  <xr:revisionPtr revIDLastSave="31" documentId="11_C23183BC46401E8CF48DDE07A01335FC2357A74D" xr6:coauthVersionLast="34" xr6:coauthVersionMax="34" xr10:uidLastSave="{BF5509D2-A599-47C5-A5E5-769C2772EBC4}"/>
  <workbookProtection workbookAlgorithmName="SHA-512" workbookHashValue="+8RGTl0e+82TwZN+UZw68G3JYlNCMaWb+YzvbnU02/osOM5Mm600xwaFkQWeQjt9BlITTAQblWgqNgAt94cYQw==" workbookSaltValue="Rjg+xPGlUZw5cXhaVOn9Eg==" workbookSpinCount="100000" lockStructure="1"/>
  <bookViews>
    <workbookView xWindow="0" yWindow="465" windowWidth="15360" windowHeight="7365" xr2:uid="{00000000-000D-0000-FFFF-FFFF00000000}"/>
  </bookViews>
  <sheets>
    <sheet name="NF" sheetId="15" r:id="rId1"/>
    <sheet name="Mês atual" sheetId="1" r:id="rId2"/>
    <sheet name="CMV" sheetId="22" r:id="rId3"/>
    <sheet name="Análise Dinâmica (2)" sheetId="21" r:id="rId4"/>
  </sheets>
  <definedNames>
    <definedName name="_xlnm._FilterDatabase" localSheetId="1" hidden="1">'Mês atual'!$BR$5:$BS$71</definedName>
    <definedName name="_xlnm._FilterDatabase" localSheetId="0" hidden="1">NF!$B$1:$L$3137</definedName>
    <definedName name="Produtos">OFFSET(NF!$M$1,0,0,COUNTA(NF!$M:$M)-0,1)</definedName>
    <definedName name="SegmentaçãodeDados_GRUPO1">#N/A</definedName>
  </definedNames>
  <calcPr calcId="179017" concurrentCalc="0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512" i="15" l="1"/>
  <c r="J1430" i="15"/>
  <c r="M7" i="22"/>
  <c r="BE70" i="1"/>
  <c r="BE40" i="1"/>
  <c r="BE39" i="1"/>
  <c r="BE35" i="1"/>
  <c r="BE34" i="1"/>
  <c r="BE31" i="1"/>
  <c r="BE30" i="1"/>
  <c r="BE28" i="1"/>
  <c r="BC22" i="1"/>
  <c r="BE23" i="1"/>
  <c r="BE7" i="1"/>
  <c r="BE6" i="1"/>
  <c r="BE532" i="1"/>
  <c r="AF515" i="1"/>
  <c r="AE515" i="1"/>
  <c r="Y515" i="1"/>
  <c r="X515" i="1"/>
  <c r="W515" i="1"/>
  <c r="V515" i="1"/>
  <c r="U515" i="1"/>
  <c r="T515" i="1"/>
  <c r="S515" i="1"/>
  <c r="AT515" i="1"/>
  <c r="AR515" i="1"/>
  <c r="J515" i="1"/>
  <c r="I515" i="1"/>
  <c r="H515" i="1"/>
  <c r="G515" i="1"/>
  <c r="BC490" i="1"/>
  <c r="AK490" i="1"/>
  <c r="AJ490" i="1"/>
  <c r="AH490" i="1"/>
  <c r="Y490" i="1"/>
  <c r="T490" i="1"/>
  <c r="S490" i="1"/>
  <c r="BC456" i="1"/>
  <c r="BE452" i="1"/>
  <c r="AQ451" i="1"/>
  <c r="AK451" i="1"/>
  <c r="AH451" i="1"/>
  <c r="AG451" i="1"/>
  <c r="AF451" i="1"/>
  <c r="AE451" i="1"/>
  <c r="Y451" i="1"/>
  <c r="X451" i="1"/>
  <c r="W451" i="1"/>
  <c r="V451" i="1"/>
  <c r="U451" i="1"/>
  <c r="T451" i="1"/>
  <c r="S451" i="1"/>
  <c r="L451" i="1"/>
  <c r="K451" i="1"/>
  <c r="J451" i="1"/>
  <c r="I451" i="1"/>
  <c r="H451" i="1"/>
  <c r="G451" i="1"/>
  <c r="BC436" i="1"/>
  <c r="AW436" i="1"/>
  <c r="AW435" i="1"/>
  <c r="U432" i="1"/>
  <c r="AG432" i="1"/>
  <c r="AU432" i="1"/>
  <c r="BE432" i="1"/>
  <c r="BD432" i="1"/>
  <c r="BC432" i="1"/>
  <c r="AU429" i="1"/>
  <c r="AW429" i="1"/>
  <c r="BC429" i="1"/>
  <c r="BE428" i="1"/>
  <c r="J1633" i="15"/>
  <c r="M396" i="1"/>
  <c r="S396" i="1"/>
  <c r="T396" i="1"/>
  <c r="W396" i="1"/>
  <c r="AJ396" i="1"/>
  <c r="AF396" i="1"/>
  <c r="AE396" i="1"/>
  <c r="AU396" i="1"/>
  <c r="AT396" i="1"/>
  <c r="AR396" i="1"/>
  <c r="BE396" i="1"/>
  <c r="BD396" i="1"/>
  <c r="BC396" i="1"/>
  <c r="AW186" i="1"/>
  <c r="AV186" i="1"/>
  <c r="AK186" i="1"/>
  <c r="AJ186" i="1"/>
  <c r="Y186" i="1"/>
  <c r="X186" i="1"/>
  <c r="M186" i="1"/>
  <c r="L186" i="1"/>
  <c r="K186" i="1"/>
  <c r="J186" i="1"/>
  <c r="BE186" i="1"/>
  <c r="AW183" i="1"/>
  <c r="AW181" i="1"/>
  <c r="AW177" i="1"/>
  <c r="AV177" i="1"/>
  <c r="BE177" i="1"/>
  <c r="AW173" i="1"/>
  <c r="AV173" i="1"/>
  <c r="AH171" i="1"/>
  <c r="AT171" i="1"/>
  <c r="AW150" i="1"/>
  <c r="BD145" i="1"/>
  <c r="BC127" i="1"/>
  <c r="AU127" i="1"/>
  <c r="AQ127" i="1"/>
  <c r="AG113" i="1"/>
  <c r="AQ113" i="1"/>
  <c r="BE102" i="1"/>
  <c r="T94" i="1"/>
  <c r="AW98" i="1"/>
  <c r="BE96" i="1"/>
  <c r="BC80" i="1"/>
  <c r="AW80" i="1"/>
  <c r="AV77" i="1"/>
  <c r="BC818" i="1"/>
  <c r="AU814" i="1"/>
  <c r="AV811" i="1"/>
  <c r="Y810" i="1"/>
  <c r="AJ810" i="1"/>
  <c r="AV810" i="1"/>
  <c r="AG810" i="1"/>
  <c r="AI807" i="1"/>
  <c r="AT804" i="1"/>
  <c r="AW781" i="1"/>
  <c r="AU756" i="1"/>
  <c r="AQ756" i="1"/>
  <c r="AE756" i="1"/>
  <c r="H756" i="1"/>
  <c r="T756" i="1"/>
  <c r="AJ756" i="1"/>
  <c r="AT755" i="1"/>
  <c r="BE37" i="1"/>
  <c r="BE33" i="1"/>
  <c r="J1657" i="15"/>
  <c r="AW690" i="1"/>
  <c r="J1656" i="15"/>
  <c r="I939" i="15"/>
  <c r="I936" i="15"/>
  <c r="I318" i="15"/>
  <c r="M688" i="1"/>
  <c r="J755" i="1"/>
  <c r="I141" i="15"/>
  <c r="J1651" i="15"/>
  <c r="I106" i="15"/>
  <c r="I104" i="15"/>
  <c r="BD23" i="1"/>
  <c r="BD39" i="1"/>
  <c r="BD40" i="1"/>
  <c r="BD6" i="1"/>
  <c r="BD7" i="1"/>
  <c r="BD37" i="1"/>
  <c r="BD31" i="1"/>
  <c r="BD30" i="1"/>
  <c r="BD28" i="1"/>
  <c r="BD34" i="1"/>
  <c r="BD35" i="1"/>
  <c r="BD33" i="1"/>
  <c r="BC19" i="1"/>
  <c r="BC39" i="1"/>
  <c r="BC40" i="1"/>
  <c r="BC34" i="1"/>
  <c r="BC6" i="1"/>
  <c r="BC7" i="1"/>
  <c r="BC35" i="1"/>
  <c r="BC37" i="1"/>
  <c r="BC9" i="1"/>
  <c r="BC33" i="1"/>
  <c r="BC31" i="1"/>
  <c r="BC30" i="1"/>
  <c r="BC28" i="1"/>
  <c r="BC56" i="1"/>
  <c r="BC21" i="1"/>
  <c r="BC18" i="1"/>
  <c r="BC23" i="1"/>
  <c r="BC43" i="1"/>
  <c r="BC8" i="1"/>
  <c r="AW23" i="1"/>
  <c r="AW39" i="1"/>
  <c r="AW40" i="1"/>
  <c r="AW6" i="1"/>
  <c r="AW7" i="1"/>
  <c r="AW35" i="1"/>
  <c r="AW9" i="1"/>
  <c r="AW33" i="1"/>
  <c r="AW31" i="1"/>
  <c r="AW30" i="1"/>
  <c r="AW28" i="1"/>
  <c r="AW22" i="1"/>
  <c r="AW19" i="1"/>
  <c r="AW43" i="1"/>
  <c r="AW37" i="1"/>
  <c r="BE640" i="1"/>
  <c r="BE451" i="1"/>
  <c r="BE618" i="1"/>
  <c r="BE147" i="1"/>
  <c r="BE80" i="1"/>
  <c r="I1624" i="15"/>
  <c r="J1643" i="15"/>
  <c r="I1440" i="15"/>
  <c r="J1639" i="15"/>
  <c r="J1620" i="15"/>
  <c r="J1619" i="15"/>
  <c r="J1616" i="15"/>
  <c r="I1616" i="15"/>
  <c r="J1607" i="15"/>
  <c r="J1606" i="15"/>
  <c r="I1606" i="15"/>
  <c r="J1602" i="15"/>
  <c r="I1602" i="15"/>
  <c r="BD515" i="1"/>
  <c r="BD451" i="1"/>
  <c r="BD102" i="1"/>
  <c r="J1595" i="15"/>
  <c r="J1594" i="15"/>
  <c r="I1594" i="15"/>
  <c r="BD964" i="1"/>
  <c r="I1321" i="15"/>
  <c r="J1585" i="15"/>
  <c r="J1583" i="15"/>
  <c r="J1581" i="15"/>
  <c r="J1580" i="15"/>
  <c r="J1578" i="15"/>
  <c r="J1569" i="15"/>
  <c r="J1568" i="15"/>
  <c r="J1566" i="15"/>
  <c r="J1563" i="15"/>
  <c r="J1562" i="15"/>
  <c r="J1561" i="15"/>
  <c r="J1560" i="15"/>
  <c r="BC640" i="1"/>
  <c r="BC618" i="1"/>
  <c r="E777" i="15"/>
  <c r="J1549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548" i="15"/>
  <c r="E549" i="15"/>
  <c r="E550" i="15"/>
  <c r="E551" i="15"/>
  <c r="E552" i="15"/>
  <c r="E553" i="15"/>
  <c r="E554" i="15"/>
  <c r="E555" i="15"/>
  <c r="E556" i="15"/>
  <c r="E557" i="15"/>
  <c r="E558" i="15"/>
  <c r="E559" i="15"/>
  <c r="E560" i="15"/>
  <c r="E561" i="15"/>
  <c r="E562" i="15"/>
  <c r="E563" i="15"/>
  <c r="E564" i="15"/>
  <c r="E565" i="15"/>
  <c r="E566" i="15"/>
  <c r="E567" i="15"/>
  <c r="E568" i="15"/>
  <c r="E569" i="15"/>
  <c r="E570" i="15"/>
  <c r="E571" i="15"/>
  <c r="E572" i="15"/>
  <c r="E573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597" i="15"/>
  <c r="E598" i="15"/>
  <c r="E599" i="15"/>
  <c r="E600" i="15"/>
  <c r="E601" i="15"/>
  <c r="E602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705" i="15"/>
  <c r="E706" i="15"/>
  <c r="E707" i="15"/>
  <c r="E708" i="15"/>
  <c r="E709" i="15"/>
  <c r="E710" i="15"/>
  <c r="E711" i="15"/>
  <c r="E712" i="15"/>
  <c r="E713" i="15"/>
  <c r="E714" i="15"/>
  <c r="E716" i="15"/>
  <c r="E717" i="15"/>
  <c r="E718" i="15"/>
  <c r="E719" i="15"/>
  <c r="E720" i="15"/>
  <c r="E721" i="15"/>
  <c r="E722" i="15"/>
  <c r="E723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750" i="15"/>
  <c r="E751" i="15"/>
  <c r="E752" i="15"/>
  <c r="E753" i="15"/>
  <c r="E754" i="15"/>
  <c r="E755" i="15"/>
  <c r="E756" i="15"/>
  <c r="E757" i="15"/>
  <c r="E758" i="15"/>
  <c r="E759" i="15"/>
  <c r="E760" i="15"/>
  <c r="E761" i="15"/>
  <c r="E762" i="15"/>
  <c r="E763" i="15"/>
  <c r="E764" i="15"/>
  <c r="E765" i="15"/>
  <c r="E766" i="15"/>
  <c r="E767" i="15"/>
  <c r="E768" i="15"/>
  <c r="E769" i="15"/>
  <c r="E770" i="15"/>
  <c r="E771" i="15"/>
  <c r="E772" i="15"/>
  <c r="E773" i="15"/>
  <c r="E774" i="15"/>
  <c r="E775" i="15"/>
  <c r="E776" i="15"/>
  <c r="E778" i="15"/>
  <c r="E779" i="15"/>
  <c r="E780" i="15"/>
  <c r="E781" i="15"/>
  <c r="E782" i="15"/>
  <c r="E783" i="15"/>
  <c r="E784" i="15"/>
  <c r="E785" i="15"/>
  <c r="E786" i="15"/>
  <c r="E787" i="15"/>
  <c r="E788" i="15"/>
  <c r="E789" i="15"/>
  <c r="E790" i="15"/>
  <c r="E791" i="15"/>
  <c r="E792" i="15"/>
  <c r="E793" i="15"/>
  <c r="E794" i="15"/>
  <c r="E795" i="15"/>
  <c r="E796" i="15"/>
  <c r="E797" i="15"/>
  <c r="E798" i="15"/>
  <c r="E799" i="15"/>
  <c r="E800" i="15"/>
  <c r="E801" i="15"/>
  <c r="E802" i="15"/>
  <c r="E803" i="15"/>
  <c r="E804" i="15"/>
  <c r="E805" i="15"/>
  <c r="E806" i="15"/>
  <c r="E807" i="15"/>
  <c r="E808" i="15"/>
  <c r="E809" i="15"/>
  <c r="E810" i="15"/>
  <c r="E811" i="15"/>
  <c r="E812" i="15"/>
  <c r="E813" i="15"/>
  <c r="E814" i="15"/>
  <c r="E815" i="15"/>
  <c r="E816" i="15"/>
  <c r="E817" i="15"/>
  <c r="E818" i="15"/>
  <c r="E819" i="15"/>
  <c r="E820" i="15"/>
  <c r="E821" i="15"/>
  <c r="E822" i="15"/>
  <c r="E823" i="15"/>
  <c r="E824" i="15"/>
  <c r="E825" i="15"/>
  <c r="E826" i="15"/>
  <c r="E827" i="15"/>
  <c r="E828" i="15"/>
  <c r="E829" i="15"/>
  <c r="E830" i="15"/>
  <c r="E831" i="15"/>
  <c r="E832" i="15"/>
  <c r="E833" i="15"/>
  <c r="E834" i="15"/>
  <c r="E835" i="15"/>
  <c r="E836" i="15"/>
  <c r="E837" i="15"/>
  <c r="E838" i="15"/>
  <c r="E839" i="15"/>
  <c r="E840" i="15"/>
  <c r="E841" i="15"/>
  <c r="E842" i="15"/>
  <c r="E843" i="15"/>
  <c r="E844" i="15"/>
  <c r="E845" i="15"/>
  <c r="E846" i="15"/>
  <c r="E847" i="15"/>
  <c r="E848" i="15"/>
  <c r="E849" i="15"/>
  <c r="E850" i="15"/>
  <c r="E851" i="15"/>
  <c r="E852" i="15"/>
  <c r="E853" i="15"/>
  <c r="E854" i="15"/>
  <c r="E855" i="15"/>
  <c r="E856" i="15"/>
  <c r="E857" i="15"/>
  <c r="E858" i="15"/>
  <c r="E859" i="15"/>
  <c r="E860" i="15"/>
  <c r="E861" i="15"/>
  <c r="E862" i="15"/>
  <c r="E863" i="15"/>
  <c r="E864" i="15"/>
  <c r="E865" i="15"/>
  <c r="E866" i="15"/>
  <c r="E867" i="15"/>
  <c r="E868" i="15"/>
  <c r="E869" i="15"/>
  <c r="E870" i="15"/>
  <c r="E871" i="15"/>
  <c r="E872" i="15"/>
  <c r="E873" i="15"/>
  <c r="E874" i="15"/>
  <c r="E875" i="15"/>
  <c r="E876" i="15"/>
  <c r="E877" i="15"/>
  <c r="E878" i="15"/>
  <c r="E879" i="15"/>
  <c r="E880" i="15"/>
  <c r="E881" i="15"/>
  <c r="E882" i="15"/>
  <c r="E883" i="15"/>
  <c r="E884" i="15"/>
  <c r="E885" i="15"/>
  <c r="E886" i="15"/>
  <c r="E887" i="15"/>
  <c r="E888" i="15"/>
  <c r="E889" i="15"/>
  <c r="E890" i="15"/>
  <c r="E891" i="15"/>
  <c r="E892" i="15"/>
  <c r="E893" i="15"/>
  <c r="E894" i="15"/>
  <c r="E895" i="15"/>
  <c r="E896" i="15"/>
  <c r="E897" i="15"/>
  <c r="E898" i="15"/>
  <c r="E899" i="15"/>
  <c r="E900" i="15"/>
  <c r="E901" i="15"/>
  <c r="E902" i="15"/>
  <c r="E903" i="15"/>
  <c r="E904" i="15"/>
  <c r="E905" i="15"/>
  <c r="E906" i="15"/>
  <c r="E907" i="15"/>
  <c r="E908" i="15"/>
  <c r="E909" i="15"/>
  <c r="E910" i="15"/>
  <c r="E911" i="15"/>
  <c r="E912" i="15"/>
  <c r="E913" i="15"/>
  <c r="E914" i="15"/>
  <c r="E915" i="15"/>
  <c r="E916" i="15"/>
  <c r="E917" i="15"/>
  <c r="E918" i="15"/>
  <c r="E919" i="15"/>
  <c r="E920" i="15"/>
  <c r="E921" i="15"/>
  <c r="E922" i="15"/>
  <c r="E923" i="15"/>
  <c r="E924" i="15"/>
  <c r="E925" i="15"/>
  <c r="E926" i="15"/>
  <c r="E927" i="15"/>
  <c r="E928" i="15"/>
  <c r="E929" i="15"/>
  <c r="E930" i="15"/>
  <c r="E931" i="15"/>
  <c r="E932" i="15"/>
  <c r="E933" i="15"/>
  <c r="E934" i="15"/>
  <c r="E935" i="15"/>
  <c r="E936" i="15"/>
  <c r="E937" i="15"/>
  <c r="E938" i="15"/>
  <c r="E939" i="15"/>
  <c r="E940" i="15"/>
  <c r="E941" i="15"/>
  <c r="E942" i="15"/>
  <c r="E943" i="15"/>
  <c r="E944" i="15"/>
  <c r="E945" i="15"/>
  <c r="E946" i="15"/>
  <c r="E947" i="15"/>
  <c r="E948" i="15"/>
  <c r="E949" i="15"/>
  <c r="E950" i="15"/>
  <c r="E951" i="15"/>
  <c r="E952" i="15"/>
  <c r="E953" i="15"/>
  <c r="E954" i="15"/>
  <c r="E955" i="15"/>
  <c r="E956" i="15"/>
  <c r="E957" i="15"/>
  <c r="E958" i="15"/>
  <c r="E959" i="15"/>
  <c r="E960" i="15"/>
  <c r="E961" i="15"/>
  <c r="E962" i="15"/>
  <c r="E963" i="15"/>
  <c r="E964" i="15"/>
  <c r="E965" i="15"/>
  <c r="E966" i="15"/>
  <c r="E967" i="15"/>
  <c r="E968" i="15"/>
  <c r="E969" i="15"/>
  <c r="E970" i="15"/>
  <c r="E971" i="15"/>
  <c r="E972" i="15"/>
  <c r="E973" i="15"/>
  <c r="E974" i="15"/>
  <c r="E975" i="15"/>
  <c r="E976" i="15"/>
  <c r="E977" i="15"/>
  <c r="E978" i="15"/>
  <c r="E979" i="15"/>
  <c r="E980" i="15"/>
  <c r="E981" i="15"/>
  <c r="E982" i="15"/>
  <c r="E983" i="15"/>
  <c r="E984" i="15"/>
  <c r="E985" i="15"/>
  <c r="E986" i="15"/>
  <c r="E987" i="15"/>
  <c r="E988" i="15"/>
  <c r="E989" i="15"/>
  <c r="E990" i="15"/>
  <c r="E991" i="15"/>
  <c r="E992" i="15"/>
  <c r="E993" i="15"/>
  <c r="E994" i="15"/>
  <c r="E995" i="15"/>
  <c r="E996" i="15"/>
  <c r="E997" i="15"/>
  <c r="E998" i="15"/>
  <c r="E999" i="15"/>
  <c r="E1000" i="15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E1014" i="15"/>
  <c r="E1015" i="15"/>
  <c r="E1016" i="15"/>
  <c r="E1017" i="15"/>
  <c r="E1018" i="15"/>
  <c r="E1019" i="15"/>
  <c r="E1020" i="15"/>
  <c r="E1021" i="15"/>
  <c r="E1022" i="15"/>
  <c r="E1023" i="15"/>
  <c r="E1024" i="15"/>
  <c r="E1025" i="15"/>
  <c r="E1026" i="15"/>
  <c r="E1027" i="15"/>
  <c r="E1028" i="15"/>
  <c r="E1029" i="15"/>
  <c r="E1030" i="15"/>
  <c r="E1031" i="15"/>
  <c r="E1032" i="15"/>
  <c r="E1033" i="15"/>
  <c r="E1034" i="15"/>
  <c r="E1035" i="15"/>
  <c r="E1036" i="15"/>
  <c r="E1037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E1055" i="15"/>
  <c r="E1056" i="15"/>
  <c r="E1057" i="15"/>
  <c r="E1058" i="15"/>
  <c r="E1059" i="15"/>
  <c r="E1060" i="15"/>
  <c r="E1061" i="15"/>
  <c r="E1062" i="15"/>
  <c r="E1063" i="15"/>
  <c r="E1064" i="15"/>
  <c r="E1065" i="15"/>
  <c r="E1066" i="15"/>
  <c r="E1067" i="15"/>
  <c r="E1068" i="15"/>
  <c r="E1069" i="15"/>
  <c r="E1070" i="15"/>
  <c r="E1071" i="15"/>
  <c r="E1072" i="15"/>
  <c r="E1073" i="15"/>
  <c r="E1074" i="15"/>
  <c r="E1075" i="15"/>
  <c r="E1076" i="15"/>
  <c r="E1077" i="15"/>
  <c r="E1078" i="15"/>
  <c r="E1079" i="15"/>
  <c r="E1080" i="15"/>
  <c r="E1081" i="15"/>
  <c r="E1082" i="15"/>
  <c r="E1083" i="15"/>
  <c r="E1084" i="15"/>
  <c r="E1085" i="15"/>
  <c r="E1086" i="15"/>
  <c r="E1087" i="15"/>
  <c r="E1088" i="15"/>
  <c r="E1089" i="15"/>
  <c r="E1090" i="15"/>
  <c r="E1091" i="15"/>
  <c r="E1092" i="15"/>
  <c r="E1093" i="15"/>
  <c r="E1094" i="15"/>
  <c r="E1095" i="15"/>
  <c r="E1096" i="15"/>
  <c r="E1097" i="15"/>
  <c r="E1098" i="15"/>
  <c r="E1099" i="15"/>
  <c r="E1100" i="15"/>
  <c r="E1101" i="15"/>
  <c r="E1102" i="15"/>
  <c r="E1103" i="15"/>
  <c r="E1104" i="15"/>
  <c r="E1105" i="15"/>
  <c r="E1106" i="15"/>
  <c r="E1107" i="15"/>
  <c r="E1108" i="15"/>
  <c r="E1109" i="15"/>
  <c r="E1110" i="15"/>
  <c r="E1111" i="15"/>
  <c r="E1112" i="15"/>
  <c r="E1113" i="15"/>
  <c r="E1114" i="15"/>
  <c r="E1115" i="15"/>
  <c r="E1116" i="15"/>
  <c r="E1117" i="15"/>
  <c r="E1118" i="15"/>
  <c r="E1119" i="15"/>
  <c r="E1120" i="15"/>
  <c r="E1121" i="15"/>
  <c r="E1122" i="15"/>
  <c r="E1123" i="15"/>
  <c r="E1124" i="15"/>
  <c r="E1125" i="15"/>
  <c r="E1126" i="15"/>
  <c r="E1127" i="15"/>
  <c r="E1128" i="15"/>
  <c r="E1129" i="15"/>
  <c r="E1130" i="15"/>
  <c r="E1131" i="15"/>
  <c r="E1132" i="15"/>
  <c r="E1133" i="15"/>
  <c r="E1134" i="15"/>
  <c r="E1135" i="15"/>
  <c r="E1136" i="15"/>
  <c r="E1137" i="15"/>
  <c r="E1138" i="15"/>
  <c r="E1139" i="15"/>
  <c r="E1140" i="15"/>
  <c r="E1141" i="15"/>
  <c r="E1142" i="15"/>
  <c r="E1143" i="15"/>
  <c r="E1144" i="15"/>
  <c r="E1145" i="15"/>
  <c r="E1146" i="15"/>
  <c r="E1147" i="15"/>
  <c r="E1148" i="15"/>
  <c r="E1149" i="15"/>
  <c r="E1150" i="15"/>
  <c r="E1151" i="15"/>
  <c r="E1152" i="15"/>
  <c r="E1153" i="15"/>
  <c r="E1154" i="15"/>
  <c r="E1155" i="15"/>
  <c r="E1156" i="15"/>
  <c r="E1157" i="15"/>
  <c r="E1158" i="15"/>
  <c r="E1159" i="15"/>
  <c r="E1160" i="15"/>
  <c r="E1161" i="15"/>
  <c r="E1162" i="15"/>
  <c r="E1163" i="15"/>
  <c r="E1164" i="15"/>
  <c r="E1165" i="15"/>
  <c r="E1166" i="15"/>
  <c r="E1167" i="15"/>
  <c r="E1168" i="15"/>
  <c r="E1169" i="15"/>
  <c r="E1170" i="15"/>
  <c r="E1171" i="15"/>
  <c r="E1172" i="15"/>
  <c r="E1173" i="15"/>
  <c r="E1174" i="15"/>
  <c r="E1175" i="15"/>
  <c r="E1176" i="15"/>
  <c r="E1177" i="15"/>
  <c r="E1178" i="15"/>
  <c r="E1179" i="15"/>
  <c r="E1180" i="15"/>
  <c r="E1181" i="15"/>
  <c r="E1182" i="15"/>
  <c r="E1183" i="15"/>
  <c r="E1184" i="15"/>
  <c r="E1185" i="15"/>
  <c r="E1186" i="15"/>
  <c r="E1187" i="15"/>
  <c r="E1188" i="15"/>
  <c r="E1189" i="15"/>
  <c r="E1190" i="15"/>
  <c r="E1191" i="15"/>
  <c r="E1192" i="15"/>
  <c r="E1193" i="15"/>
  <c r="E1194" i="15"/>
  <c r="E1195" i="15"/>
  <c r="E1196" i="15"/>
  <c r="E1197" i="15"/>
  <c r="E1198" i="15"/>
  <c r="E1199" i="15"/>
  <c r="E1200" i="15"/>
  <c r="E1201" i="15"/>
  <c r="E1202" i="15"/>
  <c r="E1203" i="15"/>
  <c r="E1204" i="15"/>
  <c r="E1205" i="15"/>
  <c r="E1206" i="15"/>
  <c r="E1207" i="15"/>
  <c r="E1208" i="15"/>
  <c r="E1209" i="15"/>
  <c r="E1210" i="15"/>
  <c r="E1211" i="15"/>
  <c r="E1212" i="15"/>
  <c r="E1213" i="15"/>
  <c r="E1214" i="15"/>
  <c r="E1215" i="15"/>
  <c r="E1216" i="15"/>
  <c r="E1217" i="15"/>
  <c r="E1218" i="15"/>
  <c r="E1219" i="15"/>
  <c r="E1220" i="15"/>
  <c r="E1221" i="15"/>
  <c r="E1222" i="15"/>
  <c r="E1223" i="15"/>
  <c r="E1224" i="15"/>
  <c r="E1225" i="15"/>
  <c r="E1226" i="15"/>
  <c r="E1227" i="15"/>
  <c r="E1228" i="15"/>
  <c r="E1229" i="15"/>
  <c r="E1230" i="15"/>
  <c r="E1231" i="15"/>
  <c r="E1232" i="15"/>
  <c r="E1233" i="15"/>
  <c r="E1234" i="15"/>
  <c r="E1235" i="15"/>
  <c r="E1236" i="15"/>
  <c r="E1237" i="15"/>
  <c r="E1238" i="15"/>
  <c r="E1239" i="15"/>
  <c r="E1240" i="15"/>
  <c r="E1241" i="15"/>
  <c r="E1242" i="15"/>
  <c r="E1243" i="15"/>
  <c r="E1244" i="15"/>
  <c r="E1245" i="15"/>
  <c r="E1246" i="15"/>
  <c r="E1247" i="15"/>
  <c r="E1248" i="15"/>
  <c r="E1249" i="15"/>
  <c r="E1250" i="15"/>
  <c r="E1251" i="15"/>
  <c r="E1252" i="15"/>
  <c r="E1253" i="15"/>
  <c r="E1254" i="15"/>
  <c r="E1255" i="15"/>
  <c r="E1256" i="15"/>
  <c r="E1257" i="15"/>
  <c r="E1258" i="15"/>
  <c r="E1259" i="15"/>
  <c r="E1260" i="15"/>
  <c r="E1261" i="15"/>
  <c r="E1262" i="15"/>
  <c r="E1263" i="15"/>
  <c r="E1264" i="15"/>
  <c r="E1265" i="15"/>
  <c r="E1266" i="15"/>
  <c r="E1267" i="15"/>
  <c r="E1268" i="15"/>
  <c r="E1269" i="15"/>
  <c r="E1270" i="15"/>
  <c r="E1271" i="15"/>
  <c r="E1272" i="15"/>
  <c r="E1273" i="15"/>
  <c r="E1274" i="15"/>
  <c r="E1275" i="15"/>
  <c r="E1276" i="15"/>
  <c r="E1277" i="15"/>
  <c r="E1278" i="15"/>
  <c r="E1279" i="15"/>
  <c r="E1280" i="15"/>
  <c r="E1281" i="15"/>
  <c r="E1282" i="15"/>
  <c r="E1283" i="15"/>
  <c r="E1284" i="15"/>
  <c r="E1285" i="15"/>
  <c r="E1286" i="15"/>
  <c r="E1287" i="15"/>
  <c r="E1288" i="15"/>
  <c r="E1289" i="15"/>
  <c r="E1290" i="15"/>
  <c r="E1291" i="15"/>
  <c r="E1292" i="15"/>
  <c r="E1293" i="15"/>
  <c r="E1294" i="15"/>
  <c r="E1295" i="15"/>
  <c r="E1296" i="15"/>
  <c r="E1297" i="15"/>
  <c r="E1298" i="15"/>
  <c r="E1299" i="15"/>
  <c r="E1300" i="15"/>
  <c r="E1301" i="15"/>
  <c r="E1302" i="15"/>
  <c r="E1303" i="15"/>
  <c r="E1304" i="15"/>
  <c r="E1305" i="15"/>
  <c r="E1306" i="15"/>
  <c r="E1307" i="15"/>
  <c r="E1308" i="15"/>
  <c r="E1309" i="15"/>
  <c r="E1310" i="15"/>
  <c r="E1311" i="15"/>
  <c r="E1312" i="15"/>
  <c r="E1313" i="15"/>
  <c r="E1314" i="15"/>
  <c r="E1315" i="15"/>
  <c r="E1316" i="15"/>
  <c r="E1317" i="15"/>
  <c r="E1318" i="15"/>
  <c r="E1319" i="15"/>
  <c r="E1320" i="15"/>
  <c r="E1321" i="15"/>
  <c r="E1322" i="15"/>
  <c r="E1323" i="15"/>
  <c r="E1324" i="15"/>
  <c r="E1325" i="15"/>
  <c r="E1326" i="15"/>
  <c r="E1327" i="15"/>
  <c r="E1328" i="15"/>
  <c r="E1329" i="15"/>
  <c r="E1330" i="15"/>
  <c r="E1331" i="15"/>
  <c r="E1332" i="15"/>
  <c r="E1333" i="15"/>
  <c r="E1334" i="15"/>
  <c r="E1335" i="15"/>
  <c r="E1336" i="15"/>
  <c r="E1337" i="15"/>
  <c r="E1338" i="15"/>
  <c r="E1339" i="15"/>
  <c r="E1340" i="15"/>
  <c r="E1341" i="15"/>
  <c r="E1342" i="15"/>
  <c r="E1343" i="15"/>
  <c r="E1344" i="15"/>
  <c r="E1345" i="15"/>
  <c r="E1346" i="15"/>
  <c r="E1347" i="15"/>
  <c r="E1348" i="15"/>
  <c r="E1349" i="15"/>
  <c r="E1350" i="15"/>
  <c r="E1351" i="15"/>
  <c r="E1352" i="15"/>
  <c r="E1353" i="15"/>
  <c r="E1354" i="15"/>
  <c r="E1355" i="15"/>
  <c r="E1356" i="15"/>
  <c r="E1357" i="15"/>
  <c r="E1358" i="15"/>
  <c r="E1359" i="15"/>
  <c r="E1360" i="15"/>
  <c r="E1361" i="15"/>
  <c r="E1362" i="15"/>
  <c r="E1363" i="15"/>
  <c r="E1364" i="15"/>
  <c r="E1365" i="15"/>
  <c r="E1366" i="15"/>
  <c r="E1367" i="15"/>
  <c r="E1368" i="15"/>
  <c r="E1369" i="15"/>
  <c r="E1370" i="15"/>
  <c r="E1371" i="15"/>
  <c r="E1372" i="15"/>
  <c r="E1373" i="15"/>
  <c r="E1374" i="15"/>
  <c r="E1375" i="15"/>
  <c r="E1376" i="15"/>
  <c r="E1377" i="15"/>
  <c r="E1378" i="15"/>
  <c r="E1379" i="15"/>
  <c r="E1380" i="15"/>
  <c r="E1381" i="15"/>
  <c r="E1382" i="15"/>
  <c r="E1383" i="15"/>
  <c r="E1384" i="15"/>
  <c r="E1385" i="15"/>
  <c r="E1386" i="15"/>
  <c r="E1387" i="15"/>
  <c r="E1388" i="15"/>
  <c r="E1389" i="15"/>
  <c r="E1390" i="15"/>
  <c r="E1391" i="15"/>
  <c r="E1392" i="15"/>
  <c r="E1393" i="15"/>
  <c r="E1394" i="15"/>
  <c r="E1395" i="15"/>
  <c r="E1396" i="15"/>
  <c r="E1397" i="15"/>
  <c r="E1398" i="15"/>
  <c r="E1399" i="15"/>
  <c r="E1400" i="15"/>
  <c r="E1401" i="15"/>
  <c r="E1402" i="15"/>
  <c r="E1403" i="15"/>
  <c r="E1404" i="15"/>
  <c r="E1405" i="15"/>
  <c r="E1406" i="15"/>
  <c r="E1407" i="15"/>
  <c r="E1408" i="15"/>
  <c r="E1409" i="15"/>
  <c r="E1410" i="15"/>
  <c r="E1411" i="15"/>
  <c r="E1412" i="15"/>
  <c r="E1413" i="15"/>
  <c r="E1414" i="15"/>
  <c r="E1415" i="15"/>
  <c r="E1416" i="15"/>
  <c r="E1417" i="15"/>
  <c r="E1418" i="15"/>
  <c r="E1419" i="15"/>
  <c r="E1420" i="15"/>
  <c r="E1421" i="15"/>
  <c r="E1422" i="15"/>
  <c r="E1423" i="15"/>
  <c r="E1424" i="15"/>
  <c r="E1425" i="15"/>
  <c r="E1426" i="15"/>
  <c r="E1427" i="15"/>
  <c r="E1428" i="15"/>
  <c r="E1429" i="15"/>
  <c r="E1430" i="15"/>
  <c r="E1431" i="15"/>
  <c r="E1432" i="15"/>
  <c r="E1433" i="15"/>
  <c r="E1434" i="15"/>
  <c r="E1435" i="15"/>
  <c r="E1436" i="15"/>
  <c r="E1437" i="15"/>
  <c r="E1438" i="15"/>
  <c r="E1439" i="15"/>
  <c r="E1440" i="15"/>
  <c r="E1441" i="15"/>
  <c r="E1442" i="15"/>
  <c r="E1443" i="15"/>
  <c r="E1444" i="15"/>
  <c r="E1445" i="15"/>
  <c r="E1446" i="15"/>
  <c r="E1447" i="15"/>
  <c r="E1448" i="15"/>
  <c r="E1449" i="15"/>
  <c r="E1450" i="15"/>
  <c r="E1451" i="15"/>
  <c r="E1452" i="15"/>
  <c r="E1453" i="15"/>
  <c r="E1454" i="15"/>
  <c r="E1455" i="15"/>
  <c r="E1456" i="15"/>
  <c r="E1457" i="15"/>
  <c r="E1458" i="15"/>
  <c r="E1459" i="15"/>
  <c r="E1460" i="15"/>
  <c r="E1461" i="15"/>
  <c r="E1462" i="15"/>
  <c r="E1463" i="15"/>
  <c r="E1464" i="15"/>
  <c r="E1465" i="15"/>
  <c r="E1466" i="15"/>
  <c r="E1467" i="15"/>
  <c r="E1468" i="15"/>
  <c r="E1469" i="15"/>
  <c r="E1470" i="15"/>
  <c r="E1471" i="15"/>
  <c r="E1472" i="15"/>
  <c r="E1473" i="15"/>
  <c r="E1474" i="15"/>
  <c r="E1475" i="15"/>
  <c r="E1476" i="15"/>
  <c r="E1477" i="15"/>
  <c r="E1478" i="15"/>
  <c r="E1479" i="15"/>
  <c r="E1480" i="15"/>
  <c r="E1481" i="15"/>
  <c r="E1482" i="15"/>
  <c r="E1483" i="15"/>
  <c r="E1484" i="15"/>
  <c r="E1485" i="15"/>
  <c r="E1486" i="15"/>
  <c r="E1487" i="15"/>
  <c r="E1488" i="15"/>
  <c r="E1489" i="15"/>
  <c r="E1490" i="15"/>
  <c r="E1491" i="15"/>
  <c r="E1492" i="15"/>
  <c r="E1493" i="15"/>
  <c r="E1494" i="15"/>
  <c r="E1495" i="15"/>
  <c r="E1496" i="15"/>
  <c r="E1497" i="15"/>
  <c r="E1498" i="15"/>
  <c r="E1499" i="15"/>
  <c r="E1500" i="15"/>
  <c r="E1501" i="15"/>
  <c r="E1502" i="15"/>
  <c r="E1503" i="15"/>
  <c r="E1504" i="15"/>
  <c r="E1505" i="15"/>
  <c r="E1506" i="15"/>
  <c r="E1507" i="15"/>
  <c r="E1508" i="15"/>
  <c r="E1509" i="15"/>
  <c r="E1510" i="15"/>
  <c r="E1511" i="15"/>
  <c r="E1512" i="15"/>
  <c r="E1513" i="15"/>
  <c r="E1514" i="15"/>
  <c r="E1515" i="15"/>
  <c r="E1516" i="15"/>
  <c r="E1517" i="15"/>
  <c r="E1518" i="15"/>
  <c r="E1519" i="15"/>
  <c r="E1520" i="15"/>
  <c r="E1521" i="15"/>
  <c r="E1522" i="15"/>
  <c r="E1523" i="15"/>
  <c r="E1524" i="15"/>
  <c r="E1525" i="15"/>
  <c r="E1526" i="15"/>
  <c r="E1527" i="15"/>
  <c r="E1528" i="15"/>
  <c r="E1529" i="15"/>
  <c r="E1530" i="15"/>
  <c r="E1531" i="15"/>
  <c r="E1532" i="15"/>
  <c r="E1533" i="15"/>
  <c r="E1534" i="15"/>
  <c r="E1535" i="15"/>
  <c r="E1536" i="15"/>
  <c r="E1537" i="15"/>
  <c r="E1538" i="15"/>
  <c r="E1539" i="15"/>
  <c r="E1540" i="15"/>
  <c r="E1541" i="15"/>
  <c r="E1542" i="15"/>
  <c r="E1543" i="15"/>
  <c r="E1544" i="15"/>
  <c r="E1545" i="15"/>
  <c r="E1546" i="15"/>
  <c r="E1547" i="15"/>
  <c r="E1548" i="15"/>
  <c r="E1549" i="15"/>
  <c r="E1550" i="15"/>
  <c r="E1551" i="15"/>
  <c r="E1552" i="15"/>
  <c r="E1553" i="15"/>
  <c r="E1554" i="15"/>
  <c r="E1555" i="15"/>
  <c r="E1556" i="15"/>
  <c r="E1557" i="15"/>
  <c r="E1558" i="15"/>
  <c r="E1559" i="15"/>
  <c r="E1560" i="15"/>
  <c r="E1561" i="15"/>
  <c r="E1562" i="15"/>
  <c r="E1563" i="15"/>
  <c r="E1564" i="15"/>
  <c r="E1565" i="15"/>
  <c r="E1566" i="15"/>
  <c r="E1567" i="15"/>
  <c r="E1568" i="15"/>
  <c r="E1569" i="15"/>
  <c r="E1570" i="15"/>
  <c r="E1571" i="15"/>
  <c r="E1572" i="15"/>
  <c r="E1573" i="15"/>
  <c r="E1574" i="15"/>
  <c r="E1575" i="15"/>
  <c r="E1576" i="15"/>
  <c r="E1577" i="15"/>
  <c r="E1578" i="15"/>
  <c r="E1579" i="15"/>
  <c r="E1580" i="15"/>
  <c r="E1581" i="15"/>
  <c r="E1582" i="15"/>
  <c r="E1583" i="15"/>
  <c r="E1584" i="15"/>
  <c r="E1585" i="15"/>
  <c r="E1586" i="15"/>
  <c r="E1587" i="15"/>
  <c r="E1588" i="15"/>
  <c r="E1589" i="15"/>
  <c r="E1590" i="15"/>
  <c r="E1591" i="15"/>
  <c r="E1592" i="15"/>
  <c r="E1593" i="15"/>
  <c r="E1594" i="15"/>
  <c r="E1595" i="15"/>
  <c r="E1596" i="15"/>
  <c r="E1597" i="15"/>
  <c r="E1598" i="15"/>
  <c r="E1599" i="15"/>
  <c r="E1600" i="15"/>
  <c r="E1601" i="15"/>
  <c r="E1602" i="15"/>
  <c r="E1603" i="15"/>
  <c r="E1604" i="15"/>
  <c r="E1605" i="15"/>
  <c r="E1606" i="15"/>
  <c r="E1607" i="15"/>
  <c r="E1608" i="15"/>
  <c r="E1609" i="15"/>
  <c r="E1610" i="15"/>
  <c r="E1611" i="15"/>
  <c r="E1612" i="15"/>
  <c r="E1613" i="15"/>
  <c r="E1614" i="15"/>
  <c r="E1615" i="15"/>
  <c r="E1616" i="15"/>
  <c r="E1617" i="15"/>
  <c r="E1618" i="15"/>
  <c r="E1619" i="15"/>
  <c r="E1620" i="15"/>
  <c r="E1621" i="15"/>
  <c r="E1622" i="15"/>
  <c r="E1623" i="15"/>
  <c r="E1624" i="15"/>
  <c r="E1625" i="15"/>
  <c r="E1626" i="15"/>
  <c r="E1627" i="15"/>
  <c r="E1628" i="15"/>
  <c r="E1629" i="15"/>
  <c r="E1630" i="15"/>
  <c r="E1631" i="15"/>
  <c r="E1632" i="15"/>
  <c r="E1633" i="15"/>
  <c r="E1634" i="15"/>
  <c r="E1635" i="15"/>
  <c r="E1636" i="15"/>
  <c r="E1637" i="15"/>
  <c r="E1638" i="15"/>
  <c r="E1639" i="15"/>
  <c r="E1640" i="15"/>
  <c r="E1641" i="15"/>
  <c r="E1642" i="15"/>
  <c r="E1643" i="15"/>
  <c r="E1644" i="15"/>
  <c r="E1645" i="15"/>
  <c r="E1646" i="15"/>
  <c r="E1647" i="15"/>
  <c r="E1648" i="15"/>
  <c r="E1649" i="15"/>
  <c r="E1650" i="15"/>
  <c r="E1651" i="15"/>
  <c r="E1652" i="15"/>
  <c r="E1653" i="15"/>
  <c r="E1654" i="15"/>
  <c r="E1655" i="15"/>
  <c r="E1656" i="15"/>
  <c r="E1657" i="15"/>
  <c r="E1658" i="15"/>
  <c r="E1659" i="15"/>
  <c r="E1660" i="15"/>
  <c r="E1661" i="15"/>
  <c r="E1662" i="15"/>
  <c r="E1663" i="15"/>
  <c r="E1664" i="15"/>
  <c r="E1665" i="15"/>
  <c r="E1666" i="15"/>
  <c r="E1667" i="15"/>
  <c r="E1668" i="15"/>
  <c r="E1669" i="15"/>
  <c r="E1670" i="15"/>
  <c r="E1671" i="15"/>
  <c r="E1672" i="15"/>
  <c r="E1673" i="15"/>
  <c r="E1674" i="15"/>
  <c r="E1675" i="15"/>
  <c r="E1676" i="15"/>
  <c r="E1677" i="15"/>
  <c r="E1678" i="15"/>
  <c r="E1679" i="15"/>
  <c r="E1680" i="15"/>
  <c r="E1681" i="15"/>
  <c r="E1682" i="15"/>
  <c r="E1683" i="15"/>
  <c r="E1684" i="15"/>
  <c r="E1685" i="15"/>
  <c r="E1686" i="15"/>
  <c r="E1687" i="15"/>
  <c r="E1688" i="15"/>
  <c r="E1689" i="15"/>
  <c r="E1690" i="15"/>
  <c r="E1691" i="15"/>
  <c r="E1692" i="15"/>
  <c r="E1693" i="15"/>
  <c r="E1694" i="15"/>
  <c r="E1695" i="15"/>
  <c r="E1696" i="15"/>
  <c r="E1697" i="15"/>
  <c r="E1698" i="15"/>
  <c r="E1699" i="15"/>
  <c r="E1700" i="15"/>
  <c r="E1701" i="15"/>
  <c r="E1702" i="15"/>
  <c r="E1703" i="15"/>
  <c r="E1704" i="15"/>
  <c r="E1705" i="15"/>
  <c r="E1706" i="15"/>
  <c r="E1707" i="15"/>
  <c r="E1708" i="15"/>
  <c r="E1709" i="15"/>
  <c r="E1710" i="15"/>
  <c r="E1711" i="15"/>
  <c r="E1712" i="15"/>
  <c r="E1713" i="15"/>
  <c r="E1714" i="15"/>
  <c r="E1715" i="15"/>
  <c r="E1716" i="15"/>
  <c r="E1717" i="15"/>
  <c r="E1718" i="15"/>
  <c r="E1719" i="15"/>
  <c r="E1720" i="15"/>
  <c r="E1721" i="15"/>
  <c r="E1722" i="15"/>
  <c r="E1723" i="15"/>
  <c r="E1724" i="15"/>
  <c r="E1725" i="15"/>
  <c r="E1726" i="15"/>
  <c r="E1727" i="15"/>
  <c r="E1728" i="15"/>
  <c r="E1729" i="15"/>
  <c r="E1730" i="15"/>
  <c r="E1731" i="15"/>
  <c r="E1732" i="15"/>
  <c r="E1733" i="15"/>
  <c r="E1734" i="15"/>
  <c r="E1735" i="15"/>
  <c r="E1736" i="15"/>
  <c r="E1737" i="15"/>
  <c r="E1738" i="15"/>
  <c r="E1739" i="15"/>
  <c r="E1740" i="15"/>
  <c r="E1741" i="15"/>
  <c r="E1742" i="15"/>
  <c r="E1743" i="15"/>
  <c r="E1744" i="15"/>
  <c r="E1745" i="15"/>
  <c r="E1746" i="15"/>
  <c r="E1747" i="15"/>
  <c r="E1748" i="15"/>
  <c r="E1749" i="15"/>
  <c r="E1750" i="15"/>
  <c r="E1751" i="15"/>
  <c r="E1752" i="15"/>
  <c r="E1753" i="15"/>
  <c r="E1754" i="15"/>
  <c r="E1755" i="15"/>
  <c r="E1756" i="15"/>
  <c r="E1757" i="15"/>
  <c r="E1758" i="15"/>
  <c r="E1759" i="15"/>
  <c r="E1760" i="15"/>
  <c r="E1761" i="15"/>
  <c r="E1762" i="15"/>
  <c r="E1763" i="15"/>
  <c r="E1764" i="15"/>
  <c r="E1765" i="15"/>
  <c r="E1766" i="15"/>
  <c r="E1767" i="15"/>
  <c r="E1768" i="15"/>
  <c r="E1769" i="15"/>
  <c r="E1770" i="15"/>
  <c r="E1771" i="15"/>
  <c r="E1772" i="15"/>
  <c r="E1773" i="15"/>
  <c r="E1774" i="15"/>
  <c r="E1775" i="15"/>
  <c r="E1776" i="15"/>
  <c r="E1777" i="15"/>
  <c r="E1778" i="15"/>
  <c r="E1779" i="15"/>
  <c r="E1780" i="15"/>
  <c r="E1781" i="15"/>
  <c r="E1782" i="15"/>
  <c r="E1783" i="15"/>
  <c r="E1784" i="15"/>
  <c r="E1785" i="15"/>
  <c r="E1786" i="15"/>
  <c r="E1787" i="15"/>
  <c r="E1788" i="15"/>
  <c r="E1789" i="15"/>
  <c r="E1790" i="15"/>
  <c r="E1791" i="15"/>
  <c r="E1792" i="15"/>
  <c r="E1793" i="15"/>
  <c r="E1794" i="15"/>
  <c r="E1795" i="15"/>
  <c r="E1796" i="15"/>
  <c r="E1797" i="15"/>
  <c r="E1798" i="15"/>
  <c r="E1799" i="15"/>
  <c r="E1800" i="15"/>
  <c r="E1801" i="15"/>
  <c r="E1802" i="15"/>
  <c r="E1803" i="15"/>
  <c r="E1804" i="15"/>
  <c r="E1805" i="15"/>
  <c r="E1806" i="15"/>
  <c r="E1807" i="15"/>
  <c r="E1808" i="15"/>
  <c r="E1809" i="15"/>
  <c r="E1810" i="15"/>
  <c r="E1811" i="15"/>
  <c r="E1812" i="15"/>
  <c r="E1813" i="15"/>
  <c r="E1814" i="15"/>
  <c r="E1815" i="15"/>
  <c r="E1816" i="15"/>
  <c r="E1817" i="15"/>
  <c r="E1818" i="15"/>
  <c r="E1819" i="15"/>
  <c r="E1820" i="15"/>
  <c r="E1821" i="15"/>
  <c r="E1822" i="15"/>
  <c r="E1823" i="15"/>
  <c r="E1824" i="15"/>
  <c r="E1825" i="15"/>
  <c r="E1826" i="15"/>
  <c r="E1827" i="15"/>
  <c r="E1828" i="15"/>
  <c r="E1829" i="15"/>
  <c r="E1830" i="15"/>
  <c r="E1831" i="15"/>
  <c r="E1832" i="15"/>
  <c r="E1833" i="15"/>
  <c r="E1834" i="15"/>
  <c r="E1835" i="15"/>
  <c r="E1836" i="15"/>
  <c r="E1837" i="15"/>
  <c r="E1838" i="15"/>
  <c r="E1839" i="15"/>
  <c r="E1840" i="15"/>
  <c r="E1841" i="15"/>
  <c r="E1842" i="15"/>
  <c r="E1843" i="15"/>
  <c r="E1844" i="15"/>
  <c r="E1845" i="15"/>
  <c r="E1846" i="15"/>
  <c r="E1847" i="15"/>
  <c r="E1848" i="15"/>
  <c r="E1849" i="15"/>
  <c r="E1850" i="15"/>
  <c r="E1851" i="15"/>
  <c r="E1852" i="15"/>
  <c r="E1853" i="15"/>
  <c r="E1854" i="15"/>
  <c r="E1855" i="15"/>
  <c r="E1856" i="15"/>
  <c r="E1857" i="15"/>
  <c r="E1858" i="15"/>
  <c r="E1859" i="15"/>
  <c r="E1860" i="15"/>
  <c r="E1861" i="15"/>
  <c r="E1862" i="15"/>
  <c r="E1863" i="15"/>
  <c r="E1864" i="15"/>
  <c r="E1865" i="15"/>
  <c r="E1866" i="15"/>
  <c r="E1867" i="15"/>
  <c r="E1868" i="15"/>
  <c r="E1869" i="15"/>
  <c r="E1870" i="15"/>
  <c r="E1871" i="15"/>
  <c r="E1872" i="15"/>
  <c r="E1873" i="15"/>
  <c r="E1874" i="15"/>
  <c r="E1875" i="15"/>
  <c r="E1876" i="15"/>
  <c r="E1877" i="15"/>
  <c r="E1878" i="15"/>
  <c r="E1879" i="15"/>
  <c r="E1880" i="15"/>
  <c r="E1881" i="15"/>
  <c r="E1882" i="15"/>
  <c r="E1883" i="15"/>
  <c r="E1884" i="15"/>
  <c r="E1885" i="15"/>
  <c r="E1886" i="15"/>
  <c r="E1887" i="15"/>
  <c r="E1888" i="15"/>
  <c r="E1889" i="15"/>
  <c r="E1890" i="15"/>
  <c r="E1891" i="15"/>
  <c r="E1892" i="15"/>
  <c r="E1893" i="15"/>
  <c r="E1894" i="15"/>
  <c r="E1895" i="15"/>
  <c r="E1896" i="15"/>
  <c r="E1897" i="15"/>
  <c r="E1898" i="15"/>
  <c r="E1899" i="15"/>
  <c r="E1900" i="15"/>
  <c r="E1901" i="15"/>
  <c r="E1902" i="15"/>
  <c r="E1903" i="15"/>
  <c r="E1904" i="15"/>
  <c r="E1905" i="15"/>
  <c r="E1906" i="15"/>
  <c r="E1907" i="15"/>
  <c r="E1908" i="15"/>
  <c r="E1909" i="15"/>
  <c r="E1910" i="15"/>
  <c r="E1911" i="15"/>
  <c r="E1912" i="15"/>
  <c r="E1913" i="15"/>
  <c r="E1914" i="15"/>
  <c r="E1915" i="15"/>
  <c r="E1916" i="15"/>
  <c r="E1917" i="15"/>
  <c r="E1918" i="15"/>
  <c r="E1919" i="15"/>
  <c r="E1920" i="15"/>
  <c r="E1921" i="15"/>
  <c r="E1922" i="15"/>
  <c r="E1923" i="15"/>
  <c r="E1924" i="15"/>
  <c r="E1925" i="15"/>
  <c r="E1926" i="15"/>
  <c r="E1927" i="15"/>
  <c r="E1928" i="15"/>
  <c r="E1929" i="15"/>
  <c r="E1930" i="15"/>
  <c r="E1931" i="15"/>
  <c r="E1932" i="15"/>
  <c r="E1933" i="15"/>
  <c r="E1934" i="15"/>
  <c r="E1935" i="15"/>
  <c r="E1936" i="15"/>
  <c r="E1937" i="15"/>
  <c r="E1938" i="15"/>
  <c r="E1939" i="15"/>
  <c r="E1940" i="15"/>
  <c r="E1941" i="15"/>
  <c r="E1942" i="15"/>
  <c r="E1943" i="15"/>
  <c r="E1944" i="15"/>
  <c r="E1945" i="15"/>
  <c r="E1946" i="15"/>
  <c r="E1947" i="15"/>
  <c r="E1948" i="15"/>
  <c r="E1949" i="15"/>
  <c r="E1950" i="15"/>
  <c r="E1951" i="15"/>
  <c r="E1952" i="15"/>
  <c r="E1953" i="15"/>
  <c r="E1954" i="15"/>
  <c r="E1955" i="15"/>
  <c r="E1956" i="15"/>
  <c r="E1957" i="15"/>
  <c r="E1958" i="15"/>
  <c r="E1959" i="15"/>
  <c r="E1960" i="15"/>
  <c r="E1961" i="15"/>
  <c r="E1962" i="15"/>
  <c r="E1963" i="15"/>
  <c r="E1964" i="15"/>
  <c r="E1965" i="15"/>
  <c r="E1966" i="15"/>
  <c r="E1967" i="15"/>
  <c r="E1968" i="15"/>
  <c r="E1969" i="15"/>
  <c r="E1970" i="15"/>
  <c r="E1971" i="15"/>
  <c r="E1972" i="15"/>
  <c r="E1973" i="15"/>
  <c r="E1974" i="15"/>
  <c r="E1975" i="15"/>
  <c r="E1976" i="15"/>
  <c r="E1977" i="15"/>
  <c r="E1978" i="15"/>
  <c r="E1979" i="15"/>
  <c r="E1980" i="15"/>
  <c r="E1981" i="15"/>
  <c r="E1982" i="15"/>
  <c r="E1983" i="15"/>
  <c r="E1984" i="15"/>
  <c r="E1985" i="15"/>
  <c r="E1986" i="15"/>
  <c r="E1987" i="15"/>
  <c r="E1988" i="15"/>
  <c r="E1989" i="15"/>
  <c r="E1990" i="15"/>
  <c r="E1991" i="15"/>
  <c r="E1992" i="15"/>
  <c r="E1993" i="15"/>
  <c r="E1994" i="15"/>
  <c r="E1995" i="15"/>
  <c r="E1996" i="15"/>
  <c r="E1997" i="15"/>
  <c r="E1998" i="15"/>
  <c r="E1999" i="15"/>
  <c r="E2000" i="15"/>
  <c r="E2001" i="15"/>
  <c r="E2002" i="15"/>
  <c r="E2003" i="15"/>
  <c r="E2004" i="15"/>
  <c r="E2005" i="15"/>
  <c r="E2006" i="15"/>
  <c r="E2007" i="15"/>
  <c r="E2008" i="15"/>
  <c r="E2009" i="15"/>
  <c r="E2010" i="15"/>
  <c r="E2011" i="15"/>
  <c r="E2012" i="15"/>
  <c r="E2013" i="15"/>
  <c r="E2014" i="15"/>
  <c r="E2015" i="15"/>
  <c r="E2016" i="15"/>
  <c r="E2017" i="15"/>
  <c r="E2018" i="15"/>
  <c r="E2019" i="15"/>
  <c r="E2020" i="15"/>
  <c r="E2021" i="15"/>
  <c r="E2022" i="15"/>
  <c r="E2023" i="15"/>
  <c r="E2024" i="15"/>
  <c r="E2025" i="15"/>
  <c r="E2026" i="15"/>
  <c r="E2027" i="15"/>
  <c r="E2028" i="15"/>
  <c r="E2029" i="15"/>
  <c r="E2030" i="15"/>
  <c r="E2031" i="15"/>
  <c r="E2032" i="15"/>
  <c r="E2033" i="15"/>
  <c r="E2034" i="15"/>
  <c r="E2035" i="15"/>
  <c r="E2036" i="15"/>
  <c r="E2037" i="15"/>
  <c r="E2038" i="15"/>
  <c r="E2039" i="15"/>
  <c r="E2040" i="15"/>
  <c r="E2041" i="15"/>
  <c r="E2042" i="15"/>
  <c r="E2043" i="15"/>
  <c r="E2044" i="15"/>
  <c r="E2045" i="15"/>
  <c r="E2046" i="15"/>
  <c r="E2047" i="15"/>
  <c r="E2048" i="15"/>
  <c r="E2049" i="15"/>
  <c r="E2050" i="15"/>
  <c r="E2051" i="15"/>
  <c r="E2052" i="15"/>
  <c r="E2053" i="15"/>
  <c r="E2054" i="15"/>
  <c r="E2055" i="15"/>
  <c r="E2056" i="15"/>
  <c r="E2057" i="15"/>
  <c r="E2058" i="15"/>
  <c r="E2059" i="15"/>
  <c r="E2060" i="15"/>
  <c r="E2061" i="15"/>
  <c r="E2062" i="15"/>
  <c r="E2063" i="15"/>
  <c r="E2064" i="15"/>
  <c r="E2065" i="15"/>
  <c r="E2066" i="15"/>
  <c r="E2067" i="15"/>
  <c r="E2068" i="15"/>
  <c r="E2069" i="15"/>
  <c r="E2070" i="15"/>
  <c r="E2071" i="15"/>
  <c r="E2072" i="15"/>
  <c r="E2073" i="15"/>
  <c r="E2074" i="15"/>
  <c r="E2075" i="15"/>
  <c r="E2076" i="15"/>
  <c r="E2077" i="15"/>
  <c r="E2078" i="15"/>
  <c r="E2079" i="15"/>
  <c r="E2080" i="15"/>
  <c r="E2081" i="15"/>
  <c r="E2082" i="15"/>
  <c r="E2083" i="15"/>
  <c r="E2084" i="15"/>
  <c r="E2085" i="15"/>
  <c r="E2086" i="15"/>
  <c r="E2087" i="15"/>
  <c r="E2088" i="15"/>
  <c r="E2089" i="15"/>
  <c r="E2090" i="15"/>
  <c r="E2091" i="15"/>
  <c r="E2092" i="15"/>
  <c r="E2093" i="15"/>
  <c r="E2094" i="15"/>
  <c r="E2095" i="15"/>
  <c r="E2096" i="15"/>
  <c r="E2097" i="15"/>
  <c r="E2098" i="15"/>
  <c r="E2099" i="15"/>
  <c r="E2100" i="15"/>
  <c r="E2101" i="15"/>
  <c r="E2102" i="15"/>
  <c r="E2103" i="15"/>
  <c r="E2104" i="15"/>
  <c r="E2105" i="15"/>
  <c r="E2106" i="15"/>
  <c r="E2107" i="15"/>
  <c r="E2108" i="15"/>
  <c r="E2109" i="15"/>
  <c r="E2110" i="15"/>
  <c r="E2111" i="15"/>
  <c r="E2112" i="15"/>
  <c r="E2113" i="15"/>
  <c r="E2114" i="15"/>
  <c r="E2115" i="15"/>
  <c r="E2116" i="15"/>
  <c r="E2117" i="15"/>
  <c r="E2118" i="15"/>
  <c r="E2119" i="15"/>
  <c r="E2120" i="15"/>
  <c r="E2121" i="15"/>
  <c r="E2122" i="15"/>
  <c r="E2123" i="15"/>
  <c r="E2124" i="15"/>
  <c r="E2125" i="15"/>
  <c r="E2126" i="15"/>
  <c r="E2127" i="15"/>
  <c r="E2128" i="15"/>
  <c r="E2129" i="15"/>
  <c r="E2130" i="15"/>
  <c r="E2131" i="15"/>
  <c r="E2132" i="15"/>
  <c r="E2133" i="15"/>
  <c r="E2134" i="15"/>
  <c r="E2135" i="15"/>
  <c r="E2136" i="15"/>
  <c r="E2137" i="15"/>
  <c r="E2138" i="15"/>
  <c r="E2139" i="15"/>
  <c r="E2140" i="15"/>
  <c r="E2141" i="15"/>
  <c r="E2142" i="15"/>
  <c r="E2143" i="15"/>
  <c r="E2144" i="15"/>
  <c r="E2145" i="15"/>
  <c r="E2146" i="15"/>
  <c r="E2147" i="15"/>
  <c r="E2148" i="15"/>
  <c r="E2149" i="15"/>
  <c r="E2150" i="15"/>
  <c r="E2151" i="15"/>
  <c r="E2152" i="15"/>
  <c r="E2153" i="15"/>
  <c r="E2154" i="15"/>
  <c r="E2155" i="15"/>
  <c r="E2156" i="15"/>
  <c r="E2157" i="15"/>
  <c r="E2158" i="15"/>
  <c r="E2159" i="15"/>
  <c r="E2160" i="15"/>
  <c r="E2161" i="15"/>
  <c r="E2162" i="15"/>
  <c r="E2163" i="15"/>
  <c r="E2164" i="15"/>
  <c r="E2165" i="15"/>
  <c r="E2166" i="15"/>
  <c r="E2167" i="15"/>
  <c r="E2168" i="15"/>
  <c r="E2169" i="15"/>
  <c r="E2170" i="15"/>
  <c r="E2171" i="15"/>
  <c r="E2172" i="15"/>
  <c r="E2173" i="15"/>
  <c r="E2174" i="15"/>
  <c r="E2175" i="15"/>
  <c r="E2176" i="15"/>
  <c r="E2177" i="15"/>
  <c r="E2178" i="15"/>
  <c r="E2179" i="15"/>
  <c r="E2180" i="15"/>
  <c r="E2181" i="15"/>
  <c r="E2182" i="15"/>
  <c r="E2183" i="15"/>
  <c r="E2184" i="15"/>
  <c r="E2185" i="15"/>
  <c r="E2186" i="15"/>
  <c r="E2187" i="15"/>
  <c r="E2188" i="15"/>
  <c r="E2189" i="15"/>
  <c r="E2190" i="15"/>
  <c r="E2191" i="15"/>
  <c r="E2192" i="15"/>
  <c r="E2193" i="15"/>
  <c r="E2194" i="15"/>
  <c r="E2195" i="15"/>
  <c r="E2196" i="15"/>
  <c r="E2197" i="15"/>
  <c r="E2198" i="15"/>
  <c r="E2199" i="15"/>
  <c r="E2200" i="15"/>
  <c r="E2201" i="15"/>
  <c r="E2202" i="15"/>
  <c r="E2203" i="15"/>
  <c r="E2204" i="15"/>
  <c r="E2205" i="15"/>
  <c r="E2206" i="15"/>
  <c r="E2207" i="15"/>
  <c r="E2208" i="15"/>
  <c r="E2209" i="15"/>
  <c r="E2210" i="15"/>
  <c r="E2211" i="15"/>
  <c r="E2212" i="15"/>
  <c r="E2213" i="15"/>
  <c r="E2214" i="15"/>
  <c r="E2215" i="15"/>
  <c r="E2216" i="15"/>
  <c r="E2217" i="15"/>
  <c r="E2218" i="15"/>
  <c r="E2219" i="15"/>
  <c r="E2220" i="15"/>
  <c r="E2221" i="15"/>
  <c r="E2222" i="15"/>
  <c r="E2223" i="15"/>
  <c r="E2224" i="15"/>
  <c r="E2225" i="15"/>
  <c r="E2226" i="15"/>
  <c r="E2227" i="15"/>
  <c r="E2228" i="15"/>
  <c r="E2229" i="15"/>
  <c r="E2230" i="15"/>
  <c r="E2231" i="15"/>
  <c r="E2232" i="15"/>
  <c r="E2233" i="15"/>
  <c r="E2234" i="15"/>
  <c r="E2235" i="15"/>
  <c r="E2236" i="15"/>
  <c r="E2237" i="15"/>
  <c r="E2238" i="15"/>
  <c r="E2239" i="15"/>
  <c r="E2240" i="15"/>
  <c r="E2241" i="15"/>
  <c r="E2242" i="15"/>
  <c r="E2243" i="15"/>
  <c r="E2244" i="15"/>
  <c r="E2245" i="15"/>
  <c r="E2246" i="15"/>
  <c r="E2247" i="15"/>
  <c r="E2248" i="15"/>
  <c r="E2249" i="15"/>
  <c r="E2250" i="15"/>
  <c r="E2251" i="15"/>
  <c r="E2252" i="15"/>
  <c r="E2253" i="15"/>
  <c r="E2254" i="15"/>
  <c r="E2255" i="15"/>
  <c r="E2256" i="15"/>
  <c r="E2257" i="15"/>
  <c r="E2258" i="15"/>
  <c r="E2259" i="15"/>
  <c r="E2260" i="15"/>
  <c r="E2261" i="15"/>
  <c r="E2262" i="15"/>
  <c r="E2263" i="15"/>
  <c r="E2264" i="15"/>
  <c r="E2265" i="15"/>
  <c r="E2266" i="15"/>
  <c r="E2267" i="15"/>
  <c r="E2268" i="15"/>
  <c r="E2269" i="15"/>
  <c r="E2270" i="15"/>
  <c r="E2271" i="15"/>
  <c r="E2272" i="15"/>
  <c r="E2273" i="15"/>
  <c r="E2274" i="15"/>
  <c r="E2275" i="15"/>
  <c r="E2276" i="15"/>
  <c r="E2277" i="15"/>
  <c r="E2278" i="15"/>
  <c r="E2279" i="15"/>
  <c r="E2280" i="15"/>
  <c r="E2281" i="15"/>
  <c r="E2282" i="15"/>
  <c r="E2283" i="15"/>
  <c r="E2284" i="15"/>
  <c r="E2285" i="15"/>
  <c r="E2286" i="15"/>
  <c r="E2287" i="15"/>
  <c r="E2288" i="15"/>
  <c r="E2289" i="15"/>
  <c r="E2290" i="15"/>
  <c r="E2291" i="15"/>
  <c r="E2292" i="15"/>
  <c r="E2293" i="15"/>
  <c r="E2294" i="15"/>
  <c r="E2295" i="15"/>
  <c r="E2296" i="15"/>
  <c r="E2297" i="15"/>
  <c r="E2298" i="15"/>
  <c r="E2299" i="15"/>
  <c r="E2300" i="15"/>
  <c r="E2301" i="15"/>
  <c r="E2302" i="15"/>
  <c r="E2303" i="15"/>
  <c r="E2304" i="15"/>
  <c r="E2305" i="15"/>
  <c r="E2306" i="15"/>
  <c r="E2307" i="15"/>
  <c r="E2308" i="15"/>
  <c r="E2309" i="15"/>
  <c r="E2310" i="15"/>
  <c r="E2311" i="15"/>
  <c r="E2312" i="15"/>
  <c r="E2313" i="15"/>
  <c r="E2314" i="15"/>
  <c r="E2315" i="15"/>
  <c r="E2316" i="15"/>
  <c r="E2317" i="15"/>
  <c r="E2318" i="15"/>
  <c r="E2319" i="15"/>
  <c r="E2320" i="15"/>
  <c r="E2321" i="15"/>
  <c r="E2322" i="15"/>
  <c r="E2323" i="15"/>
  <c r="E2324" i="15"/>
  <c r="E2325" i="15"/>
  <c r="E2326" i="15"/>
  <c r="E2327" i="15"/>
  <c r="E2328" i="15"/>
  <c r="E2329" i="15"/>
  <c r="E2330" i="15"/>
  <c r="E2331" i="15"/>
  <c r="E2332" i="15"/>
  <c r="E2333" i="15"/>
  <c r="E2334" i="15"/>
  <c r="E2335" i="15"/>
  <c r="E2336" i="15"/>
  <c r="E2337" i="15"/>
  <c r="E2338" i="15"/>
  <c r="E2339" i="15"/>
  <c r="E2340" i="15"/>
  <c r="E2341" i="15"/>
  <c r="E2342" i="15"/>
  <c r="E2343" i="15"/>
  <c r="E2344" i="15"/>
  <c r="E2345" i="15"/>
  <c r="E2346" i="15"/>
  <c r="E2347" i="15"/>
  <c r="E2348" i="15"/>
  <c r="E2349" i="15"/>
  <c r="E2350" i="15"/>
  <c r="E2351" i="15"/>
  <c r="E2352" i="15"/>
  <c r="E2353" i="15"/>
  <c r="E2354" i="15"/>
  <c r="E2355" i="15"/>
  <c r="E2356" i="15"/>
  <c r="E2357" i="15"/>
  <c r="E2358" i="15"/>
  <c r="E2359" i="15"/>
  <c r="E2360" i="15"/>
  <c r="E2361" i="15"/>
  <c r="E2362" i="15"/>
  <c r="E2363" i="15"/>
  <c r="E2364" i="15"/>
  <c r="E2365" i="15"/>
  <c r="E2366" i="15"/>
  <c r="E2367" i="15"/>
  <c r="E2368" i="15"/>
  <c r="E2369" i="15"/>
  <c r="E2370" i="15"/>
  <c r="E2371" i="15"/>
  <c r="E2372" i="15"/>
  <c r="E2373" i="15"/>
  <c r="E2374" i="15"/>
  <c r="E2375" i="15"/>
  <c r="E2376" i="15"/>
  <c r="E2377" i="15"/>
  <c r="E2378" i="15"/>
  <c r="E2379" i="15"/>
  <c r="E2380" i="15"/>
  <c r="E2381" i="15"/>
  <c r="E2382" i="15"/>
  <c r="E2383" i="15"/>
  <c r="E2384" i="15"/>
  <c r="E2385" i="15"/>
  <c r="E2386" i="15"/>
  <c r="E2387" i="15"/>
  <c r="E2388" i="15"/>
  <c r="E2389" i="15"/>
  <c r="E2390" i="15"/>
  <c r="E2391" i="15"/>
  <c r="E2392" i="15"/>
  <c r="E2393" i="15"/>
  <c r="E2394" i="15"/>
  <c r="E2395" i="15"/>
  <c r="E2396" i="15"/>
  <c r="E2397" i="15"/>
  <c r="E2398" i="15"/>
  <c r="E2399" i="15"/>
  <c r="E2400" i="15"/>
  <c r="E2401" i="15"/>
  <c r="E2402" i="15"/>
  <c r="E2403" i="15"/>
  <c r="E2404" i="15"/>
  <c r="E2405" i="15"/>
  <c r="E2406" i="15"/>
  <c r="E2407" i="15"/>
  <c r="E2408" i="15"/>
  <c r="E2409" i="15"/>
  <c r="E2410" i="15"/>
  <c r="E2411" i="15"/>
  <c r="E2412" i="15"/>
  <c r="E2413" i="15"/>
  <c r="E2414" i="15"/>
  <c r="E2415" i="15"/>
  <c r="E2416" i="15"/>
  <c r="E2417" i="15"/>
  <c r="E2418" i="15"/>
  <c r="E2419" i="15"/>
  <c r="E2420" i="15"/>
  <c r="E2421" i="15"/>
  <c r="E2422" i="15"/>
  <c r="E2423" i="15"/>
  <c r="E2424" i="15"/>
  <c r="E2425" i="15"/>
  <c r="E2426" i="15"/>
  <c r="E2427" i="15"/>
  <c r="E2428" i="15"/>
  <c r="E2429" i="15"/>
  <c r="E2430" i="15"/>
  <c r="E2431" i="15"/>
  <c r="E2432" i="15"/>
  <c r="E2433" i="15"/>
  <c r="E2434" i="15"/>
  <c r="E2435" i="15"/>
  <c r="E2436" i="15"/>
  <c r="E2437" i="15"/>
  <c r="E2438" i="15"/>
  <c r="E2439" i="15"/>
  <c r="E2440" i="15"/>
  <c r="E2441" i="15"/>
  <c r="E2442" i="15"/>
  <c r="E2443" i="15"/>
  <c r="E2444" i="15"/>
  <c r="E2445" i="15"/>
  <c r="E2446" i="15"/>
  <c r="E2447" i="15"/>
  <c r="E2448" i="15"/>
  <c r="E2449" i="15"/>
  <c r="E2450" i="15"/>
  <c r="E2451" i="15"/>
  <c r="E2452" i="15"/>
  <c r="E2453" i="15"/>
  <c r="E2454" i="15"/>
  <c r="E2455" i="15"/>
  <c r="E2456" i="15"/>
  <c r="E2457" i="15"/>
  <c r="E2458" i="15"/>
  <c r="E2459" i="15"/>
  <c r="E2460" i="15"/>
  <c r="E2461" i="15"/>
  <c r="E2462" i="15"/>
  <c r="E2463" i="15"/>
  <c r="E2464" i="15"/>
  <c r="E2465" i="15"/>
  <c r="E2466" i="15"/>
  <c r="E2467" i="15"/>
  <c r="E2468" i="15"/>
  <c r="E2469" i="15"/>
  <c r="E2470" i="15"/>
  <c r="E2471" i="15"/>
  <c r="E2472" i="15"/>
  <c r="E2473" i="15"/>
  <c r="E2474" i="15"/>
  <c r="E2475" i="15"/>
  <c r="E2476" i="15"/>
  <c r="E2477" i="15"/>
  <c r="E2478" i="15"/>
  <c r="E2479" i="15"/>
  <c r="E2480" i="15"/>
  <c r="E2481" i="15"/>
  <c r="E2482" i="15"/>
  <c r="E2483" i="15"/>
  <c r="E2484" i="15"/>
  <c r="E2485" i="15"/>
  <c r="E2486" i="15"/>
  <c r="E2487" i="15"/>
  <c r="E2488" i="15"/>
  <c r="E2489" i="15"/>
  <c r="E2490" i="15"/>
  <c r="E2491" i="15"/>
  <c r="E2492" i="15"/>
  <c r="E2493" i="15"/>
  <c r="E2494" i="15"/>
  <c r="E2495" i="15"/>
  <c r="E2496" i="15"/>
  <c r="E2497" i="15"/>
  <c r="E2498" i="15"/>
  <c r="E2499" i="15"/>
  <c r="E2500" i="15"/>
  <c r="E2501" i="15"/>
  <c r="E2502" i="15"/>
  <c r="E2503" i="15"/>
  <c r="E2504" i="15"/>
  <c r="E2505" i="15"/>
  <c r="E2506" i="15"/>
  <c r="E2507" i="15"/>
  <c r="E2508" i="15"/>
  <c r="E2509" i="15"/>
  <c r="E2510" i="15"/>
  <c r="E2511" i="15"/>
  <c r="E2512" i="15"/>
  <c r="E2513" i="15"/>
  <c r="E2514" i="15"/>
  <c r="E2515" i="15"/>
  <c r="E2516" i="15"/>
  <c r="E2517" i="15"/>
  <c r="E2518" i="15"/>
  <c r="E2519" i="15"/>
  <c r="E2520" i="15"/>
  <c r="E2521" i="15"/>
  <c r="E2522" i="15"/>
  <c r="E2523" i="15"/>
  <c r="E2524" i="15"/>
  <c r="E2525" i="15"/>
  <c r="E2526" i="15"/>
  <c r="E2527" i="15"/>
  <c r="E2528" i="15"/>
  <c r="E2529" i="15"/>
  <c r="E2530" i="15"/>
  <c r="E2531" i="15"/>
  <c r="E2532" i="15"/>
  <c r="E2533" i="15"/>
  <c r="E2534" i="15"/>
  <c r="E2535" i="15"/>
  <c r="E2536" i="15"/>
  <c r="E2537" i="15"/>
  <c r="E2538" i="15"/>
  <c r="E2539" i="15"/>
  <c r="E2540" i="15"/>
  <c r="E2541" i="15"/>
  <c r="E2542" i="15"/>
  <c r="E2543" i="15"/>
  <c r="E2544" i="15"/>
  <c r="E2545" i="15"/>
  <c r="E2546" i="15"/>
  <c r="E2547" i="15"/>
  <c r="E2548" i="15"/>
  <c r="E2549" i="15"/>
  <c r="E2550" i="15"/>
  <c r="E2551" i="15"/>
  <c r="E2552" i="15"/>
  <c r="E2553" i="15"/>
  <c r="E2554" i="15"/>
  <c r="E2555" i="15"/>
  <c r="E2556" i="15"/>
  <c r="E2557" i="15"/>
  <c r="E2558" i="15"/>
  <c r="E2559" i="15"/>
  <c r="E2560" i="15"/>
  <c r="E2561" i="15"/>
  <c r="E2562" i="15"/>
  <c r="E2563" i="15"/>
  <c r="E2564" i="15"/>
  <c r="E2565" i="15"/>
  <c r="E2566" i="15"/>
  <c r="E2567" i="15"/>
  <c r="E2568" i="15"/>
  <c r="E2569" i="15"/>
  <c r="E2570" i="15"/>
  <c r="E2571" i="15"/>
  <c r="E2572" i="15"/>
  <c r="E2573" i="15"/>
  <c r="E2574" i="15"/>
  <c r="E2575" i="15"/>
  <c r="E2576" i="15"/>
  <c r="E2577" i="15"/>
  <c r="E2578" i="15"/>
  <c r="E2579" i="15"/>
  <c r="E2580" i="15"/>
  <c r="E2581" i="15"/>
  <c r="E2582" i="15"/>
  <c r="E2583" i="15"/>
  <c r="E2584" i="15"/>
  <c r="E2585" i="15"/>
  <c r="E2586" i="15"/>
  <c r="E2587" i="15"/>
  <c r="E2588" i="15"/>
  <c r="E2589" i="15"/>
  <c r="E2590" i="15"/>
  <c r="E2591" i="15"/>
  <c r="E2592" i="15"/>
  <c r="E2593" i="15"/>
  <c r="E2594" i="15"/>
  <c r="E2595" i="15"/>
  <c r="E2596" i="15"/>
  <c r="E2597" i="15"/>
  <c r="E2598" i="15"/>
  <c r="E2599" i="15"/>
  <c r="E2600" i="15"/>
  <c r="E2601" i="15"/>
  <c r="E2602" i="15"/>
  <c r="E2603" i="15"/>
  <c r="E2604" i="15"/>
  <c r="E2605" i="15"/>
  <c r="E2606" i="15"/>
  <c r="E2607" i="15"/>
  <c r="E2608" i="15"/>
  <c r="E2609" i="15"/>
  <c r="E2610" i="15"/>
  <c r="E2611" i="15"/>
  <c r="E2612" i="15"/>
  <c r="E2613" i="15"/>
  <c r="E2614" i="15"/>
  <c r="E2615" i="15"/>
  <c r="E2616" i="15"/>
  <c r="E2617" i="15"/>
  <c r="E2618" i="15"/>
  <c r="E2619" i="15"/>
  <c r="E2620" i="15"/>
  <c r="E2621" i="15"/>
  <c r="E2622" i="15"/>
  <c r="E2623" i="15"/>
  <c r="E2624" i="15"/>
  <c r="E2625" i="15"/>
  <c r="E2626" i="15"/>
  <c r="E2627" i="15"/>
  <c r="E2628" i="15"/>
  <c r="E2629" i="15"/>
  <c r="E2630" i="15"/>
  <c r="E2631" i="15"/>
  <c r="E2632" i="15"/>
  <c r="E2633" i="15"/>
  <c r="E2634" i="15"/>
  <c r="E2635" i="15"/>
  <c r="E2636" i="15"/>
  <c r="E2637" i="15"/>
  <c r="E2638" i="15"/>
  <c r="E2639" i="15"/>
  <c r="E2640" i="15"/>
  <c r="E2641" i="15"/>
  <c r="E2642" i="15"/>
  <c r="E2643" i="15"/>
  <c r="E2644" i="15"/>
  <c r="E2645" i="15"/>
  <c r="E2646" i="15"/>
  <c r="E2647" i="15"/>
  <c r="E2648" i="15"/>
  <c r="E2649" i="15"/>
  <c r="E2650" i="15"/>
  <c r="E2651" i="15"/>
  <c r="E2652" i="15"/>
  <c r="E2653" i="15"/>
  <c r="E2654" i="15"/>
  <c r="E2655" i="15"/>
  <c r="E2656" i="15"/>
  <c r="E2657" i="15"/>
  <c r="E2658" i="15"/>
  <c r="E2659" i="15"/>
  <c r="E2660" i="15"/>
  <c r="E2661" i="15"/>
  <c r="E2662" i="15"/>
  <c r="E2663" i="15"/>
  <c r="E2664" i="15"/>
  <c r="E2665" i="15"/>
  <c r="E2666" i="15"/>
  <c r="E2667" i="15"/>
  <c r="E2668" i="15"/>
  <c r="E2669" i="15"/>
  <c r="E2670" i="15"/>
  <c r="E2671" i="15"/>
  <c r="E2672" i="15"/>
  <c r="E2673" i="15"/>
  <c r="E2674" i="15"/>
  <c r="E2675" i="15"/>
  <c r="E2676" i="15"/>
  <c r="E2677" i="15"/>
  <c r="E2678" i="15"/>
  <c r="E2679" i="15"/>
  <c r="E2680" i="15"/>
  <c r="E2681" i="15"/>
  <c r="E2682" i="15"/>
  <c r="E2683" i="15"/>
  <c r="E2684" i="15"/>
  <c r="E2685" i="15"/>
  <c r="E2686" i="15"/>
  <c r="E2687" i="15"/>
  <c r="E2688" i="15"/>
  <c r="E2689" i="15"/>
  <c r="E2690" i="15"/>
  <c r="E2691" i="15"/>
  <c r="E2692" i="15"/>
  <c r="E2693" i="15"/>
  <c r="E2694" i="15"/>
  <c r="E2695" i="15"/>
  <c r="E2696" i="15"/>
  <c r="E2697" i="15"/>
  <c r="E2698" i="15"/>
  <c r="E2699" i="15"/>
  <c r="E2700" i="15"/>
  <c r="E2701" i="15"/>
  <c r="E2702" i="15"/>
  <c r="E2703" i="15"/>
  <c r="E2704" i="15"/>
  <c r="E2705" i="15"/>
  <c r="E2706" i="15"/>
  <c r="E2707" i="15"/>
  <c r="E2708" i="15"/>
  <c r="E2709" i="15"/>
  <c r="E2710" i="15"/>
  <c r="E2711" i="15"/>
  <c r="E2712" i="15"/>
  <c r="E2713" i="15"/>
  <c r="E2714" i="15"/>
  <c r="E2715" i="15"/>
  <c r="E2716" i="15"/>
  <c r="E2717" i="15"/>
  <c r="E2718" i="15"/>
  <c r="E2719" i="15"/>
  <c r="E2720" i="15"/>
  <c r="E2721" i="15"/>
  <c r="E2722" i="15"/>
  <c r="E2723" i="15"/>
  <c r="E2724" i="15"/>
  <c r="E2725" i="15"/>
  <c r="E2726" i="15"/>
  <c r="E2727" i="15"/>
  <c r="E2728" i="15"/>
  <c r="E2729" i="15"/>
  <c r="E2730" i="15"/>
  <c r="E2731" i="15"/>
  <c r="E2732" i="15"/>
  <c r="E2733" i="15"/>
  <c r="E2734" i="15"/>
  <c r="E2735" i="15"/>
  <c r="E2736" i="15"/>
  <c r="E2737" i="15"/>
  <c r="E2738" i="15"/>
  <c r="E2739" i="15"/>
  <c r="E2740" i="15"/>
  <c r="E2741" i="15"/>
  <c r="E2742" i="15"/>
  <c r="E2743" i="15"/>
  <c r="E2744" i="15"/>
  <c r="E2745" i="15"/>
  <c r="E2746" i="15"/>
  <c r="E2747" i="15"/>
  <c r="E2748" i="15"/>
  <c r="E2749" i="15"/>
  <c r="E2750" i="15"/>
  <c r="E2751" i="15"/>
  <c r="E2752" i="15"/>
  <c r="E2753" i="15"/>
  <c r="E2754" i="15"/>
  <c r="E2755" i="15"/>
  <c r="E2756" i="15"/>
  <c r="E2757" i="15"/>
  <c r="E2758" i="15"/>
  <c r="E2759" i="15"/>
  <c r="E2760" i="15"/>
  <c r="E2761" i="15"/>
  <c r="E2762" i="15"/>
  <c r="E2763" i="15"/>
  <c r="E2764" i="15"/>
  <c r="E2765" i="15"/>
  <c r="E2766" i="15"/>
  <c r="E2767" i="15"/>
  <c r="E2768" i="15"/>
  <c r="E2769" i="15"/>
  <c r="E2770" i="15"/>
  <c r="E2771" i="15"/>
  <c r="E2772" i="15"/>
  <c r="E2773" i="15"/>
  <c r="E2774" i="15"/>
  <c r="E2775" i="15"/>
  <c r="E2776" i="15"/>
  <c r="E2777" i="15"/>
  <c r="E2778" i="15"/>
  <c r="E2779" i="15"/>
  <c r="E2780" i="15"/>
  <c r="E2781" i="15"/>
  <c r="E2782" i="15"/>
  <c r="E2783" i="15"/>
  <c r="E2784" i="15"/>
  <c r="E2785" i="15"/>
  <c r="E2786" i="15"/>
  <c r="E2787" i="15"/>
  <c r="E2788" i="15"/>
  <c r="E2789" i="15"/>
  <c r="E2790" i="15"/>
  <c r="E2791" i="15"/>
  <c r="E2792" i="15"/>
  <c r="E2793" i="15"/>
  <c r="E2794" i="15"/>
  <c r="E2795" i="15"/>
  <c r="E2796" i="15"/>
  <c r="E2797" i="15"/>
  <c r="E2798" i="15"/>
  <c r="E2799" i="15"/>
  <c r="E2800" i="15"/>
  <c r="E2801" i="15"/>
  <c r="E2802" i="15"/>
  <c r="E2803" i="15"/>
  <c r="E2804" i="15"/>
  <c r="E2805" i="15"/>
  <c r="E2806" i="15"/>
  <c r="E2807" i="15"/>
  <c r="E2808" i="15"/>
  <c r="E2809" i="15"/>
  <c r="E2810" i="15"/>
  <c r="E2811" i="15"/>
  <c r="E2812" i="15"/>
  <c r="E2813" i="15"/>
  <c r="E2814" i="15"/>
  <c r="E2815" i="15"/>
  <c r="E2816" i="15"/>
  <c r="E2817" i="15"/>
  <c r="E2818" i="15"/>
  <c r="E2819" i="15"/>
  <c r="E2820" i="15"/>
  <c r="E2821" i="15"/>
  <c r="E2822" i="15"/>
  <c r="E2823" i="15"/>
  <c r="E2824" i="15"/>
  <c r="E2825" i="15"/>
  <c r="E2826" i="15"/>
  <c r="E2827" i="15"/>
  <c r="E2828" i="15"/>
  <c r="E2829" i="15"/>
  <c r="E2830" i="15"/>
  <c r="E2831" i="15"/>
  <c r="E2832" i="15"/>
  <c r="E2833" i="15"/>
  <c r="E2834" i="15"/>
  <c r="E2835" i="15"/>
  <c r="E2836" i="15"/>
  <c r="E2837" i="15"/>
  <c r="E2838" i="15"/>
  <c r="E2839" i="15"/>
  <c r="E2840" i="15"/>
  <c r="E2841" i="15"/>
  <c r="E2842" i="15"/>
  <c r="E2843" i="15"/>
  <c r="E2844" i="15"/>
  <c r="E2845" i="15"/>
  <c r="E2846" i="15"/>
  <c r="E2847" i="15"/>
  <c r="E2848" i="15"/>
  <c r="E2849" i="15"/>
  <c r="E2850" i="15"/>
  <c r="E2851" i="15"/>
  <c r="E2852" i="15"/>
  <c r="E2853" i="15"/>
  <c r="E2854" i="15"/>
  <c r="E2855" i="15"/>
  <c r="E2856" i="15"/>
  <c r="E2857" i="15"/>
  <c r="E2858" i="15"/>
  <c r="E2859" i="15"/>
  <c r="E2860" i="15"/>
  <c r="E2861" i="15"/>
  <c r="E2862" i="15"/>
  <c r="E2863" i="15"/>
  <c r="E2864" i="15"/>
  <c r="E2865" i="15"/>
  <c r="E2866" i="15"/>
  <c r="E2867" i="15"/>
  <c r="E2868" i="15"/>
  <c r="E2869" i="15"/>
  <c r="E2870" i="15"/>
  <c r="E2871" i="15"/>
  <c r="E2872" i="15"/>
  <c r="E2873" i="15"/>
  <c r="E2874" i="15"/>
  <c r="E2875" i="15"/>
  <c r="E2876" i="15"/>
  <c r="E2877" i="15"/>
  <c r="E2878" i="15"/>
  <c r="E2879" i="15"/>
  <c r="E2880" i="15"/>
  <c r="E2881" i="15"/>
  <c r="E2882" i="15"/>
  <c r="E2883" i="15"/>
  <c r="E2884" i="15"/>
  <c r="E2885" i="15"/>
  <c r="E2886" i="15"/>
  <c r="E2887" i="15"/>
  <c r="E2888" i="15"/>
  <c r="E2889" i="15"/>
  <c r="E2890" i="15"/>
  <c r="E2891" i="15"/>
  <c r="E2892" i="15"/>
  <c r="E2893" i="15"/>
  <c r="E2894" i="15"/>
  <c r="E2895" i="15"/>
  <c r="E2896" i="15"/>
  <c r="E2897" i="15"/>
  <c r="E2898" i="15"/>
  <c r="E2899" i="15"/>
  <c r="E2900" i="15"/>
  <c r="E2901" i="15"/>
  <c r="E2902" i="15"/>
  <c r="E2903" i="15"/>
  <c r="E2904" i="15"/>
  <c r="E2905" i="15"/>
  <c r="E2906" i="15"/>
  <c r="E2907" i="15"/>
  <c r="E2908" i="15"/>
  <c r="E2909" i="15"/>
  <c r="E2910" i="15"/>
  <c r="E2911" i="15"/>
  <c r="E2912" i="15"/>
  <c r="E2913" i="15"/>
  <c r="E2914" i="15"/>
  <c r="E2915" i="15"/>
  <c r="E2916" i="15"/>
  <c r="E2917" i="15"/>
  <c r="E2918" i="15"/>
  <c r="E2919" i="15"/>
  <c r="E2920" i="15"/>
  <c r="E2921" i="15"/>
  <c r="E2922" i="15"/>
  <c r="E2923" i="15"/>
  <c r="E2924" i="15"/>
  <c r="E2925" i="15"/>
  <c r="E2926" i="15"/>
  <c r="E2927" i="15"/>
  <c r="E2928" i="15"/>
  <c r="E2929" i="15"/>
  <c r="E2930" i="15"/>
  <c r="E2931" i="15"/>
  <c r="E2932" i="15"/>
  <c r="E2933" i="15"/>
  <c r="E2934" i="15"/>
  <c r="E2935" i="15"/>
  <c r="E2936" i="15"/>
  <c r="E2937" i="15"/>
  <c r="E2938" i="15"/>
  <c r="E2939" i="15"/>
  <c r="E2940" i="15"/>
  <c r="E2941" i="15"/>
  <c r="E2942" i="15"/>
  <c r="E2943" i="15"/>
  <c r="E2944" i="15"/>
  <c r="E2945" i="15"/>
  <c r="E2946" i="15"/>
  <c r="E2947" i="15"/>
  <c r="E2948" i="15"/>
  <c r="E2949" i="15"/>
  <c r="E2950" i="15"/>
  <c r="E2951" i="15"/>
  <c r="E2952" i="15"/>
  <c r="E2953" i="15"/>
  <c r="E2954" i="15"/>
  <c r="E2955" i="15"/>
  <c r="E2956" i="15"/>
  <c r="E2957" i="15"/>
  <c r="E2958" i="15"/>
  <c r="E2959" i="15"/>
  <c r="E2960" i="15"/>
  <c r="E2961" i="15"/>
  <c r="E2962" i="15"/>
  <c r="E2963" i="15"/>
  <c r="E2964" i="15"/>
  <c r="E2965" i="15"/>
  <c r="E2966" i="15"/>
  <c r="E2967" i="15"/>
  <c r="E2968" i="15"/>
  <c r="E2969" i="15"/>
  <c r="E2970" i="15"/>
  <c r="E2971" i="15"/>
  <c r="E2972" i="15"/>
  <c r="E2973" i="15"/>
  <c r="E2974" i="15"/>
  <c r="E2975" i="15"/>
  <c r="E2976" i="15"/>
  <c r="E2977" i="15"/>
  <c r="E2978" i="15"/>
  <c r="E2979" i="15"/>
  <c r="E2980" i="15"/>
  <c r="E2981" i="15"/>
  <c r="E2982" i="15"/>
  <c r="E2983" i="15"/>
  <c r="E2984" i="15"/>
  <c r="E2985" i="15"/>
  <c r="E2986" i="15"/>
  <c r="E2987" i="15"/>
  <c r="E2988" i="15"/>
  <c r="E2989" i="15"/>
  <c r="E2990" i="15"/>
  <c r="E2991" i="15"/>
  <c r="E2992" i="15"/>
  <c r="E2993" i="15"/>
  <c r="E2994" i="15"/>
  <c r="E2995" i="15"/>
  <c r="E2996" i="15"/>
  <c r="E2997" i="15"/>
  <c r="E2998" i="15"/>
  <c r="E2999" i="15"/>
  <c r="E3000" i="15"/>
  <c r="E3001" i="15"/>
  <c r="E3002" i="15"/>
  <c r="E3003" i="15"/>
  <c r="E3004" i="15"/>
  <c r="E3005" i="15"/>
  <c r="E3006" i="15"/>
  <c r="E3007" i="15"/>
  <c r="E3008" i="15"/>
  <c r="E3009" i="15"/>
  <c r="E3010" i="15"/>
  <c r="E3011" i="15"/>
  <c r="E3012" i="15"/>
  <c r="E3013" i="15"/>
  <c r="E3014" i="15"/>
  <c r="E3015" i="15"/>
  <c r="E3016" i="15"/>
  <c r="E3017" i="15"/>
  <c r="E3018" i="15"/>
  <c r="E3019" i="15"/>
  <c r="E3020" i="15"/>
  <c r="E3021" i="15"/>
  <c r="E3022" i="15"/>
  <c r="E3023" i="15"/>
  <c r="E3024" i="15"/>
  <c r="E3025" i="15"/>
  <c r="E3026" i="15"/>
  <c r="E3027" i="15"/>
  <c r="E3028" i="15"/>
  <c r="E3029" i="15"/>
  <c r="E3030" i="15"/>
  <c r="E3031" i="15"/>
  <c r="E3032" i="15"/>
  <c r="E3033" i="15"/>
  <c r="E3034" i="15"/>
  <c r="E3035" i="15"/>
  <c r="E3036" i="15"/>
  <c r="E3037" i="15"/>
  <c r="E3038" i="15"/>
  <c r="E3039" i="15"/>
  <c r="E3040" i="15"/>
  <c r="E3041" i="15"/>
  <c r="E3042" i="15"/>
  <c r="E3043" i="15"/>
  <c r="E3044" i="15"/>
  <c r="E3045" i="15"/>
  <c r="E3046" i="15"/>
  <c r="E3047" i="15"/>
  <c r="E3048" i="15"/>
  <c r="E3049" i="15"/>
  <c r="E3050" i="15"/>
  <c r="E3051" i="15"/>
  <c r="E3052" i="15"/>
  <c r="E3053" i="15"/>
  <c r="E3054" i="15"/>
  <c r="E3055" i="15"/>
  <c r="E3056" i="15"/>
  <c r="E3057" i="15"/>
  <c r="E3058" i="15"/>
  <c r="E3059" i="15"/>
  <c r="E3060" i="15"/>
  <c r="E3061" i="15"/>
  <c r="E3062" i="15"/>
  <c r="E3063" i="15"/>
  <c r="E3064" i="15"/>
  <c r="E3065" i="15"/>
  <c r="E3066" i="15"/>
  <c r="E3067" i="15"/>
  <c r="E3068" i="15"/>
  <c r="E3069" i="15"/>
  <c r="E3070" i="15"/>
  <c r="E3071" i="15"/>
  <c r="E3072" i="15"/>
  <c r="E3073" i="15"/>
  <c r="E3074" i="15"/>
  <c r="E3075" i="15"/>
  <c r="E3076" i="15"/>
  <c r="E3077" i="15"/>
  <c r="E3078" i="15"/>
  <c r="E3079" i="15"/>
  <c r="E3080" i="15"/>
  <c r="E3081" i="15"/>
  <c r="E3082" i="15"/>
  <c r="E3083" i="15"/>
  <c r="E3084" i="15"/>
  <c r="E3085" i="15"/>
  <c r="E3086" i="15"/>
  <c r="E3087" i="15"/>
  <c r="E3088" i="15"/>
  <c r="E3089" i="15"/>
  <c r="E3090" i="15"/>
  <c r="E3091" i="15"/>
  <c r="E3092" i="15"/>
  <c r="E3093" i="15"/>
  <c r="E3094" i="15"/>
  <c r="E3095" i="15"/>
  <c r="E3096" i="15"/>
  <c r="E3097" i="15"/>
  <c r="E3098" i="15"/>
  <c r="E3099" i="15"/>
  <c r="E3100" i="15"/>
  <c r="E3101" i="15"/>
  <c r="E3102" i="15"/>
  <c r="E3103" i="15"/>
  <c r="E3104" i="15"/>
  <c r="E3105" i="15"/>
  <c r="E3106" i="15"/>
  <c r="E3107" i="15"/>
  <c r="E3108" i="15"/>
  <c r="E3109" i="15"/>
  <c r="E3110" i="15"/>
  <c r="E3111" i="15"/>
  <c r="E3112" i="15"/>
  <c r="E3113" i="15"/>
  <c r="E3114" i="15"/>
  <c r="E3115" i="15"/>
  <c r="E3116" i="15"/>
  <c r="E3117" i="15"/>
  <c r="E3118" i="15"/>
  <c r="E3119" i="15"/>
  <c r="E3120" i="15"/>
  <c r="E3121" i="15"/>
  <c r="E3122" i="15"/>
  <c r="E3123" i="15"/>
  <c r="E3124" i="15"/>
  <c r="E3125" i="15"/>
  <c r="E3126" i="15"/>
  <c r="E3127" i="15"/>
  <c r="E3128" i="15"/>
  <c r="E3129" i="15"/>
  <c r="E3130" i="15"/>
  <c r="E3131" i="15"/>
  <c r="E3132" i="15"/>
  <c r="E3133" i="15"/>
  <c r="E3134" i="15"/>
  <c r="E3135" i="15"/>
  <c r="E3136" i="15"/>
  <c r="E3137" i="15"/>
  <c r="BS522" i="1"/>
  <c r="J5" i="15"/>
  <c r="J11" i="15"/>
  <c r="J12" i="15"/>
  <c r="J14" i="15"/>
  <c r="J15" i="15"/>
  <c r="J16" i="15"/>
  <c r="J17" i="15"/>
  <c r="J20" i="15"/>
  <c r="J26" i="15"/>
  <c r="J29" i="15"/>
  <c r="J33" i="15"/>
  <c r="J37" i="15"/>
  <c r="J38" i="15"/>
  <c r="J41" i="15"/>
  <c r="J44" i="15"/>
  <c r="J52" i="15"/>
  <c r="J59" i="15"/>
  <c r="J75" i="15"/>
  <c r="J85" i="15"/>
  <c r="J86" i="15"/>
  <c r="J90" i="15"/>
  <c r="J98" i="15"/>
  <c r="J100" i="15"/>
  <c r="J106" i="15"/>
  <c r="J117" i="15"/>
  <c r="J118" i="15"/>
  <c r="J119" i="15"/>
  <c r="J121" i="15"/>
  <c r="J123" i="15"/>
  <c r="J124" i="15"/>
  <c r="J125" i="15"/>
  <c r="J126" i="15"/>
  <c r="J127" i="15"/>
  <c r="J128" i="15"/>
  <c r="J130" i="15"/>
  <c r="J131" i="15"/>
  <c r="J139" i="15"/>
  <c r="J142" i="15"/>
  <c r="J143" i="15"/>
  <c r="J146" i="15"/>
  <c r="J151" i="15"/>
  <c r="J153" i="15"/>
  <c r="J155" i="15"/>
  <c r="J159" i="15"/>
  <c r="J161" i="15"/>
  <c r="J162" i="15"/>
  <c r="J178" i="15"/>
  <c r="J179" i="15"/>
  <c r="J184" i="15"/>
  <c r="J198" i="15"/>
  <c r="J223" i="15"/>
  <c r="J224" i="15"/>
  <c r="J227" i="15"/>
  <c r="J231" i="15"/>
  <c r="J238" i="15"/>
  <c r="J248" i="15"/>
  <c r="J249" i="15"/>
  <c r="J252" i="15"/>
  <c r="J253" i="15"/>
  <c r="J254" i="15"/>
  <c r="J255" i="15"/>
  <c r="J256" i="15"/>
  <c r="J257" i="15"/>
  <c r="J265" i="15"/>
  <c r="J267" i="15"/>
  <c r="J268" i="15"/>
  <c r="J270" i="15"/>
  <c r="J283" i="15"/>
  <c r="J289" i="15"/>
  <c r="J291" i="15"/>
  <c r="J307" i="15"/>
  <c r="J311" i="15"/>
  <c r="J314" i="15"/>
  <c r="J316" i="15"/>
  <c r="J319" i="15"/>
  <c r="J320" i="15"/>
  <c r="J321" i="15"/>
  <c r="J322" i="15"/>
  <c r="J323" i="15"/>
  <c r="J324" i="15"/>
  <c r="J325" i="15"/>
  <c r="J327" i="15"/>
  <c r="J328" i="15"/>
  <c r="J329" i="15"/>
  <c r="J330" i="15"/>
  <c r="J332" i="15"/>
  <c r="J333" i="15"/>
  <c r="J339" i="15"/>
  <c r="J347" i="15"/>
  <c r="J349" i="15"/>
  <c r="J350" i="15"/>
  <c r="J351" i="15"/>
  <c r="J358" i="15"/>
  <c r="J362" i="15"/>
  <c r="J365" i="15"/>
  <c r="J369" i="15"/>
  <c r="J380" i="15"/>
  <c r="J382" i="15"/>
  <c r="J383" i="15"/>
  <c r="J391" i="15"/>
  <c r="J392" i="15"/>
  <c r="J395" i="15"/>
  <c r="J396" i="15"/>
  <c r="J397" i="15"/>
  <c r="J398" i="15"/>
  <c r="J399" i="15"/>
  <c r="J411" i="15"/>
  <c r="J419" i="15"/>
  <c r="J421" i="15"/>
  <c r="J423" i="15"/>
  <c r="J424" i="15"/>
  <c r="J426" i="15"/>
  <c r="J430" i="15"/>
  <c r="J431" i="15"/>
  <c r="J432" i="15"/>
  <c r="J435" i="15"/>
  <c r="J443" i="15"/>
  <c r="J446" i="15"/>
  <c r="J463" i="15"/>
  <c r="J465" i="15"/>
  <c r="J470" i="15"/>
  <c r="J476" i="15"/>
  <c r="J480" i="15"/>
  <c r="J481" i="15"/>
  <c r="J482" i="15"/>
  <c r="J499" i="15"/>
  <c r="J500" i="15"/>
  <c r="J502" i="15"/>
  <c r="J508" i="15"/>
  <c r="J514" i="15"/>
  <c r="J523" i="15"/>
  <c r="J526" i="15"/>
  <c r="J531" i="15"/>
  <c r="J543" i="15"/>
  <c r="J544" i="15"/>
  <c r="J546" i="15"/>
  <c r="J547" i="15"/>
  <c r="J548" i="15"/>
  <c r="J553" i="15"/>
  <c r="J555" i="15"/>
  <c r="J564" i="15"/>
  <c r="J565" i="15"/>
  <c r="J572" i="15"/>
  <c r="J577" i="15"/>
  <c r="J582" i="15"/>
  <c r="J584" i="15"/>
  <c r="J586" i="15"/>
  <c r="J589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4" i="15"/>
  <c r="J614" i="15"/>
  <c r="J615" i="15"/>
  <c r="J617" i="15"/>
  <c r="J624" i="15"/>
  <c r="J625" i="15"/>
  <c r="J628" i="15"/>
  <c r="J637" i="15"/>
  <c r="J643" i="15"/>
  <c r="J644" i="15"/>
  <c r="J650" i="15"/>
  <c r="J651" i="15"/>
  <c r="J652" i="15"/>
  <c r="J653" i="15"/>
  <c r="J654" i="15"/>
  <c r="J666" i="15"/>
  <c r="J668" i="15"/>
  <c r="J669" i="15"/>
  <c r="J675" i="15"/>
  <c r="J681" i="15"/>
  <c r="J683" i="15"/>
  <c r="J684" i="15"/>
  <c r="J685" i="15"/>
  <c r="J688" i="15"/>
  <c r="J689" i="15"/>
  <c r="J690" i="15"/>
  <c r="J692" i="15"/>
  <c r="J693" i="15"/>
  <c r="J694" i="15"/>
  <c r="J695" i="15"/>
  <c r="J696" i="15"/>
  <c r="J697" i="15"/>
  <c r="J704" i="15"/>
  <c r="J706" i="15"/>
  <c r="J707" i="15"/>
  <c r="J709" i="15"/>
  <c r="J713" i="15"/>
  <c r="J717" i="15"/>
  <c r="J731" i="15"/>
  <c r="J742" i="15"/>
  <c r="J748" i="15"/>
  <c r="J752" i="15"/>
  <c r="J755" i="15"/>
  <c r="J761" i="15"/>
  <c r="J774" i="15"/>
  <c r="J778" i="15"/>
  <c r="J780" i="15"/>
  <c r="J784" i="15"/>
  <c r="J788" i="15"/>
  <c r="J789" i="15"/>
  <c r="J790" i="15"/>
  <c r="J792" i="15"/>
  <c r="J799" i="15"/>
  <c r="J803" i="15"/>
  <c r="J804" i="15"/>
  <c r="J806" i="15"/>
  <c r="J811" i="15"/>
  <c r="J812" i="15"/>
  <c r="J813" i="15"/>
  <c r="J814" i="15"/>
  <c r="J815" i="15"/>
  <c r="J818" i="15"/>
  <c r="J821" i="15"/>
  <c r="J846" i="15"/>
  <c r="J847" i="15"/>
  <c r="J857" i="15"/>
  <c r="J859" i="15"/>
  <c r="J860" i="15"/>
  <c r="J862" i="15"/>
  <c r="J865" i="15"/>
  <c r="J867" i="15"/>
  <c r="J874" i="15"/>
  <c r="J877" i="15"/>
  <c r="J878" i="15"/>
  <c r="J879" i="15"/>
  <c r="J885" i="15"/>
  <c r="J890" i="15"/>
  <c r="J893" i="15"/>
  <c r="J899" i="15"/>
  <c r="J901" i="15"/>
  <c r="J903" i="15"/>
  <c r="J904" i="15"/>
  <c r="J917" i="15"/>
  <c r="J922" i="15"/>
  <c r="J923" i="15"/>
  <c r="J926" i="15"/>
  <c r="J928" i="15"/>
  <c r="J930" i="15"/>
  <c r="J933" i="15"/>
  <c r="J939" i="15"/>
  <c r="J942" i="15"/>
  <c r="J957" i="15"/>
  <c r="J962" i="15"/>
  <c r="J963" i="15"/>
  <c r="J971" i="15"/>
  <c r="J972" i="15"/>
  <c r="J974" i="15"/>
  <c r="J975" i="15"/>
  <c r="J976" i="15"/>
  <c r="J977" i="15"/>
  <c r="J978" i="15"/>
  <c r="J979" i="15"/>
  <c r="J982" i="15"/>
  <c r="J983" i="15"/>
  <c r="J984" i="15"/>
  <c r="J985" i="15"/>
  <c r="J986" i="15"/>
  <c r="J989" i="15"/>
  <c r="J991" i="15"/>
  <c r="J997" i="15"/>
  <c r="J1003" i="15"/>
  <c r="J1007" i="15"/>
  <c r="J1008" i="15"/>
  <c r="J1013" i="15"/>
  <c r="J1015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8" i="15"/>
  <c r="J1039" i="15"/>
  <c r="J1040" i="15"/>
  <c r="J1041" i="15"/>
  <c r="J1042" i="15"/>
  <c r="J1043" i="15"/>
  <c r="J1044" i="15"/>
  <c r="J1050" i="15"/>
  <c r="J1053" i="15"/>
  <c r="J1059" i="15"/>
  <c r="J1066" i="15"/>
  <c r="J1067" i="15"/>
  <c r="J1073" i="15"/>
  <c r="J1089" i="15"/>
  <c r="J1090" i="15"/>
  <c r="J1091" i="15"/>
  <c r="J1092" i="15"/>
  <c r="J1093" i="15"/>
  <c r="J1094" i="15"/>
  <c r="J1101" i="15"/>
  <c r="J1102" i="15"/>
  <c r="J1107" i="15"/>
  <c r="J1110" i="15"/>
  <c r="J1120" i="15"/>
  <c r="J1128" i="15"/>
  <c r="J1129" i="15"/>
  <c r="J1134" i="15"/>
  <c r="J1144" i="15"/>
  <c r="J1147" i="15"/>
  <c r="J1148" i="15"/>
  <c r="J1150" i="15"/>
  <c r="J1157" i="15"/>
  <c r="J1158" i="15"/>
  <c r="J1160" i="15"/>
  <c r="J1173" i="15"/>
  <c r="J1175" i="15"/>
  <c r="J1181" i="15"/>
  <c r="J1182" i="15"/>
  <c r="J1183" i="15"/>
  <c r="J1186" i="15"/>
  <c r="J1205" i="15"/>
  <c r="J1209" i="15"/>
  <c r="J1216" i="15"/>
  <c r="J1225" i="15"/>
  <c r="J1230" i="15"/>
  <c r="J1231" i="15"/>
  <c r="J1232" i="15"/>
  <c r="J1236" i="15"/>
  <c r="J1237" i="15"/>
  <c r="J1238" i="15"/>
  <c r="J1239" i="15"/>
  <c r="J1241" i="15"/>
  <c r="J1242" i="15"/>
  <c r="J1244" i="15"/>
  <c r="J1249" i="15"/>
  <c r="J1257" i="15"/>
  <c r="J1258" i="15"/>
  <c r="J1259" i="15"/>
  <c r="J1260" i="15"/>
  <c r="J1261" i="15"/>
  <c r="J1262" i="15"/>
  <c r="J1263" i="15"/>
  <c r="J1264" i="15"/>
  <c r="J1275" i="15"/>
  <c r="J1279" i="15"/>
  <c r="J1282" i="15"/>
  <c r="J1283" i="15"/>
  <c r="J1286" i="15"/>
  <c r="J1292" i="15"/>
  <c r="J1294" i="15"/>
  <c r="J1295" i="15"/>
  <c r="J1300" i="15"/>
  <c r="J1301" i="15"/>
  <c r="J1303" i="15"/>
  <c r="J1304" i="15"/>
  <c r="J1306" i="15"/>
  <c r="J1307" i="15"/>
  <c r="J1311" i="15"/>
  <c r="J1313" i="15"/>
  <c r="J1314" i="15"/>
  <c r="J1316" i="15"/>
  <c r="J1317" i="15"/>
  <c r="J1318" i="15"/>
  <c r="J1322" i="15"/>
  <c r="J1323" i="15"/>
  <c r="J1328" i="15"/>
  <c r="J1329" i="15"/>
  <c r="J1330" i="15"/>
  <c r="J1331" i="15"/>
  <c r="J1332" i="15"/>
  <c r="J1333" i="15"/>
  <c r="J1334" i="15"/>
  <c r="J1335" i="15"/>
  <c r="J1338" i="15"/>
  <c r="J1339" i="15"/>
  <c r="J1345" i="15"/>
  <c r="J1351" i="15"/>
  <c r="J1359" i="15"/>
  <c r="J1361" i="15"/>
  <c r="J1368" i="15"/>
  <c r="J1373" i="15"/>
  <c r="J1374" i="15"/>
  <c r="J1381" i="15"/>
  <c r="J1382" i="15"/>
  <c r="J1383" i="15"/>
  <c r="J1385" i="15"/>
  <c r="J1391" i="15"/>
  <c r="J1392" i="15"/>
  <c r="J1398" i="15"/>
  <c r="J1400" i="15"/>
  <c r="J1436" i="15"/>
  <c r="J1438" i="15"/>
  <c r="J1440" i="15"/>
  <c r="J1441" i="15"/>
  <c r="J1446" i="15"/>
  <c r="J1448" i="15"/>
  <c r="J1457" i="15"/>
  <c r="J1459" i="15"/>
  <c r="J1460" i="15"/>
  <c r="J1461" i="15"/>
  <c r="J1467" i="15"/>
  <c r="J1468" i="15"/>
  <c r="J1469" i="15"/>
  <c r="J1470" i="15"/>
  <c r="J1471" i="15"/>
  <c r="J1484" i="15"/>
  <c r="J1485" i="15"/>
  <c r="J1486" i="15"/>
  <c r="J1487" i="15"/>
  <c r="J1488" i="15"/>
  <c r="J1489" i="15"/>
  <c r="J1490" i="15"/>
  <c r="J1491" i="15"/>
  <c r="J1492" i="15"/>
  <c r="J1495" i="15"/>
  <c r="J1498" i="15"/>
  <c r="J1511" i="15"/>
  <c r="J1516" i="15"/>
  <c r="J1517" i="15"/>
  <c r="J1519" i="15"/>
  <c r="J1523" i="15"/>
  <c r="J1525" i="15"/>
  <c r="J1535" i="15"/>
  <c r="J1542" i="15"/>
  <c r="BR522" i="1" a="1"/>
  <c r="BR522" i="1"/>
  <c r="N522" i="1"/>
  <c r="Z522" i="1"/>
  <c r="AL522" i="1"/>
  <c r="AX522" i="1"/>
  <c r="BK522" i="1"/>
  <c r="BN522" i="1"/>
  <c r="BO522" i="1" a="1"/>
  <c r="BO522" i="1"/>
  <c r="BM522" i="1"/>
  <c r="BA522" i="1"/>
  <c r="A2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2476" i="15"/>
  <c r="A2477" i="15"/>
  <c r="A2478" i="15"/>
  <c r="A2479" i="15"/>
  <c r="A2480" i="15"/>
  <c r="A2481" i="15"/>
  <c r="A2482" i="15"/>
  <c r="A2483" i="15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I62" i="15"/>
  <c r="I100" i="15"/>
  <c r="I119" i="15"/>
  <c r="I121" i="15"/>
  <c r="I123" i="15"/>
  <c r="I130" i="15"/>
  <c r="I131" i="15"/>
  <c r="I140" i="15"/>
  <c r="I143" i="15"/>
  <c r="I178" i="15"/>
  <c r="I179" i="15"/>
  <c r="I223" i="15"/>
  <c r="I224" i="15"/>
  <c r="I227" i="15"/>
  <c r="I234" i="15"/>
  <c r="I243" i="15"/>
  <c r="I249" i="15"/>
  <c r="I252" i="15"/>
  <c r="I254" i="15"/>
  <c r="I256" i="15"/>
  <c r="I267" i="15"/>
  <c r="I289" i="15"/>
  <c r="I311" i="15"/>
  <c r="I319" i="15"/>
  <c r="I321" i="15"/>
  <c r="I323" i="15"/>
  <c r="I325" i="15"/>
  <c r="I327" i="15"/>
  <c r="I330" i="15"/>
  <c r="I332" i="15"/>
  <c r="I339" i="15"/>
  <c r="I349" i="15"/>
  <c r="I350" i="15"/>
  <c r="I388" i="15"/>
  <c r="I443" i="15"/>
  <c r="I508" i="15"/>
  <c r="I517" i="15"/>
  <c r="I523" i="15"/>
  <c r="I525" i="15"/>
  <c r="I526" i="15"/>
  <c r="I547" i="15"/>
  <c r="I548" i="15"/>
  <c r="I549" i="15"/>
  <c r="I589" i="15"/>
  <c r="I591" i="15"/>
  <c r="I594" i="15"/>
  <c r="I595" i="15"/>
  <c r="I596" i="15"/>
  <c r="I598" i="15"/>
  <c r="I601" i="15"/>
  <c r="I624" i="15"/>
  <c r="I625" i="15"/>
  <c r="I643" i="15"/>
  <c r="I644" i="15"/>
  <c r="I652" i="15"/>
  <c r="I683" i="15"/>
  <c r="I684" i="15"/>
  <c r="I688" i="15"/>
  <c r="I689" i="15"/>
  <c r="I690" i="15"/>
  <c r="I692" i="15"/>
  <c r="I694" i="15"/>
  <c r="I696" i="15"/>
  <c r="I706" i="15"/>
  <c r="I736" i="15"/>
  <c r="I752" i="15"/>
  <c r="I772" i="15"/>
  <c r="I784" i="15"/>
  <c r="I785" i="15"/>
  <c r="I811" i="15"/>
  <c r="I821" i="15"/>
  <c r="I835" i="15"/>
  <c r="I857" i="15"/>
  <c r="I860" i="15"/>
  <c r="I865" i="15"/>
  <c r="I867" i="15"/>
  <c r="I874" i="15"/>
  <c r="I880" i="15"/>
  <c r="I928" i="15"/>
  <c r="I945" i="15"/>
  <c r="I957" i="15"/>
  <c r="I960" i="15"/>
  <c r="I962" i="15"/>
  <c r="I963" i="15"/>
  <c r="I971" i="15"/>
  <c r="I972" i="15"/>
  <c r="I974" i="15"/>
  <c r="I975" i="15"/>
  <c r="I976" i="15"/>
  <c r="I977" i="15"/>
  <c r="I978" i="15"/>
  <c r="I983" i="15"/>
  <c r="I986" i="15"/>
  <c r="I991" i="15"/>
  <c r="I997" i="15"/>
  <c r="I1000" i="15"/>
  <c r="I1015" i="15"/>
  <c r="I1021" i="15"/>
  <c r="I1023" i="15"/>
  <c r="I1034" i="15"/>
  <c r="I1035" i="15"/>
  <c r="I1039" i="15"/>
  <c r="I1040" i="15"/>
  <c r="I1041" i="15"/>
  <c r="I1043" i="15"/>
  <c r="I1044" i="15"/>
  <c r="I1045" i="15"/>
  <c r="I1048" i="15"/>
  <c r="I1089" i="15"/>
  <c r="I1091" i="15"/>
  <c r="I1093" i="15"/>
  <c r="I1101" i="15"/>
  <c r="I1129" i="15"/>
  <c r="I1163" i="15"/>
  <c r="I1173" i="15"/>
  <c r="I1175" i="15"/>
  <c r="I1205" i="15"/>
  <c r="I1237" i="15"/>
  <c r="I1249" i="15"/>
  <c r="I1258" i="15"/>
  <c r="I1264" i="15"/>
  <c r="I1292" i="15"/>
  <c r="I1294" i="15"/>
  <c r="I1297" i="15"/>
  <c r="I1307" i="15"/>
  <c r="I1311" i="15"/>
  <c r="I1317" i="15"/>
  <c r="I1318" i="15"/>
  <c r="I1325" i="15"/>
  <c r="I1328" i="15"/>
  <c r="I1329" i="15"/>
  <c r="I1332" i="15"/>
  <c r="I1333" i="15"/>
  <c r="I1334" i="15"/>
  <c r="I1335" i="15"/>
  <c r="I1338" i="15"/>
  <c r="I1339" i="15"/>
  <c r="I1345" i="15"/>
  <c r="I1351" i="15"/>
  <c r="I1354" i="15"/>
  <c r="I1361" i="15"/>
  <c r="I1391" i="15"/>
  <c r="I1459" i="15"/>
  <c r="I1468" i="15"/>
  <c r="I1494" i="15"/>
  <c r="I1498" i="15"/>
  <c r="I1502" i="15"/>
  <c r="AO522" i="1"/>
  <c r="AC522" i="1"/>
  <c r="Q522" i="1"/>
  <c r="E522" i="1"/>
  <c r="BS520" i="1"/>
  <c r="BR520" i="1" a="1"/>
  <c r="BR520" i="1"/>
  <c r="N520" i="1"/>
  <c r="Z520" i="1"/>
  <c r="AL520" i="1"/>
  <c r="AX520" i="1"/>
  <c r="BK520" i="1"/>
  <c r="BN520" i="1"/>
  <c r="BO520" i="1" a="1"/>
  <c r="BO520" i="1"/>
  <c r="BM520" i="1"/>
  <c r="BA520" i="1"/>
  <c r="AO520" i="1"/>
  <c r="AC520" i="1"/>
  <c r="Q520" i="1"/>
  <c r="E520" i="1"/>
  <c r="BS519" i="1"/>
  <c r="BR519" i="1" a="1"/>
  <c r="BR519" i="1"/>
  <c r="N519" i="1"/>
  <c r="Z519" i="1"/>
  <c r="AL519" i="1"/>
  <c r="AX519" i="1"/>
  <c r="BK519" i="1"/>
  <c r="BN519" i="1"/>
  <c r="BO519" i="1" a="1"/>
  <c r="BO519" i="1"/>
  <c r="BM519" i="1"/>
  <c r="BA519" i="1"/>
  <c r="AO519" i="1"/>
  <c r="AC519" i="1"/>
  <c r="Q519" i="1"/>
  <c r="E519" i="1"/>
  <c r="BS475" i="1"/>
  <c r="BR475" i="1" a="1"/>
  <c r="BR475" i="1"/>
  <c r="N475" i="1"/>
  <c r="Z475" i="1"/>
  <c r="AL475" i="1"/>
  <c r="AX475" i="1"/>
  <c r="BK475" i="1"/>
  <c r="BN475" i="1"/>
  <c r="BO475" i="1" a="1"/>
  <c r="BO475" i="1"/>
  <c r="BM475" i="1"/>
  <c r="BA475" i="1"/>
  <c r="AO475" i="1"/>
  <c r="AC475" i="1"/>
  <c r="Q475" i="1"/>
  <c r="E475" i="1"/>
  <c r="BS928" i="1"/>
  <c r="BR928" i="1" a="1"/>
  <c r="BR928" i="1"/>
  <c r="N928" i="1"/>
  <c r="Z928" i="1"/>
  <c r="AL928" i="1"/>
  <c r="AX928" i="1"/>
  <c r="BK928" i="1"/>
  <c r="BN928" i="1"/>
  <c r="BO928" i="1" a="1"/>
  <c r="BO928" i="1"/>
  <c r="BM928" i="1"/>
  <c r="BA928" i="1"/>
  <c r="AO928" i="1"/>
  <c r="AC928" i="1"/>
  <c r="Q928" i="1"/>
  <c r="E928" i="1"/>
  <c r="BS926" i="1"/>
  <c r="BR926" i="1" a="1"/>
  <c r="BR926" i="1"/>
  <c r="N926" i="1"/>
  <c r="Z926" i="1"/>
  <c r="AL926" i="1"/>
  <c r="AX926" i="1"/>
  <c r="BK926" i="1"/>
  <c r="BN926" i="1"/>
  <c r="BO926" i="1" a="1"/>
  <c r="BO926" i="1"/>
  <c r="BM926" i="1"/>
  <c r="BA926" i="1"/>
  <c r="AO926" i="1"/>
  <c r="AC926" i="1"/>
  <c r="Q926" i="1"/>
  <c r="E926" i="1"/>
  <c r="BS903" i="1"/>
  <c r="BR903" i="1" a="1"/>
  <c r="BR903" i="1"/>
  <c r="N903" i="1"/>
  <c r="Z903" i="1"/>
  <c r="AL903" i="1"/>
  <c r="AX903" i="1"/>
  <c r="BK903" i="1"/>
  <c r="BN903" i="1"/>
  <c r="BO903" i="1" a="1"/>
  <c r="BO903" i="1"/>
  <c r="BM903" i="1"/>
  <c r="BA903" i="1"/>
  <c r="AO903" i="1"/>
  <c r="AC903" i="1"/>
  <c r="Q903" i="1"/>
  <c r="E903" i="1"/>
  <c r="BS910" i="1"/>
  <c r="BR910" i="1" a="1"/>
  <c r="BR910" i="1"/>
  <c r="N910" i="1"/>
  <c r="Z910" i="1"/>
  <c r="AL910" i="1"/>
  <c r="AX910" i="1"/>
  <c r="BK910" i="1"/>
  <c r="BN910" i="1"/>
  <c r="BO910" i="1" a="1"/>
  <c r="BO910" i="1"/>
  <c r="BM910" i="1"/>
  <c r="BA910" i="1"/>
  <c r="AO910" i="1"/>
  <c r="AC910" i="1"/>
  <c r="Q910" i="1"/>
  <c r="E910" i="1"/>
  <c r="BS911" i="1"/>
  <c r="BR911" i="1" a="1"/>
  <c r="BR911" i="1"/>
  <c r="N911" i="1"/>
  <c r="Z911" i="1"/>
  <c r="AL911" i="1"/>
  <c r="AX911" i="1"/>
  <c r="BK911" i="1"/>
  <c r="BN911" i="1"/>
  <c r="BO911" i="1" a="1"/>
  <c r="BO911" i="1"/>
  <c r="BM911" i="1"/>
  <c r="BA911" i="1"/>
  <c r="AO911" i="1"/>
  <c r="AC911" i="1"/>
  <c r="Q911" i="1"/>
  <c r="E911" i="1"/>
  <c r="BS704" i="1"/>
  <c r="BR704" i="1" a="1"/>
  <c r="BR704" i="1"/>
  <c r="N704" i="1"/>
  <c r="Z704" i="1"/>
  <c r="AL704" i="1"/>
  <c r="AX704" i="1"/>
  <c r="BK704" i="1"/>
  <c r="BN704" i="1"/>
  <c r="BO704" i="1" a="1"/>
  <c r="BO704" i="1"/>
  <c r="BM704" i="1"/>
  <c r="BA704" i="1"/>
  <c r="AO704" i="1"/>
  <c r="AC704" i="1"/>
  <c r="Q704" i="1"/>
  <c r="E704" i="1"/>
  <c r="BS633" i="1"/>
  <c r="BR633" i="1" a="1"/>
  <c r="BR633" i="1"/>
  <c r="N633" i="1"/>
  <c r="Z633" i="1"/>
  <c r="AL633" i="1"/>
  <c r="AX633" i="1"/>
  <c r="BK633" i="1"/>
  <c r="BN633" i="1"/>
  <c r="BO633" i="1" a="1"/>
  <c r="BO633" i="1"/>
  <c r="BM633" i="1"/>
  <c r="BA633" i="1"/>
  <c r="AO633" i="1"/>
  <c r="AC633" i="1"/>
  <c r="Q633" i="1"/>
  <c r="E633" i="1"/>
  <c r="BS288" i="1"/>
  <c r="BR288" i="1" a="1"/>
  <c r="BR288" i="1"/>
  <c r="N288" i="1"/>
  <c r="Z288" i="1"/>
  <c r="AL288" i="1"/>
  <c r="AX288" i="1"/>
  <c r="BK288" i="1"/>
  <c r="BN288" i="1"/>
  <c r="BO288" i="1" a="1"/>
  <c r="BO288" i="1"/>
  <c r="BM288" i="1"/>
  <c r="BA288" i="1"/>
  <c r="AO288" i="1"/>
  <c r="AC288" i="1"/>
  <c r="Q288" i="1"/>
  <c r="E288" i="1"/>
  <c r="BS283" i="1"/>
  <c r="BR283" i="1" a="1"/>
  <c r="BR283" i="1"/>
  <c r="N283" i="1"/>
  <c r="Z283" i="1"/>
  <c r="AL283" i="1"/>
  <c r="AX283" i="1"/>
  <c r="BK283" i="1"/>
  <c r="BN283" i="1"/>
  <c r="BO283" i="1" a="1"/>
  <c r="BO283" i="1"/>
  <c r="BM283" i="1"/>
  <c r="BA283" i="1"/>
  <c r="AO283" i="1"/>
  <c r="AC283" i="1"/>
  <c r="Q283" i="1"/>
  <c r="E283" i="1"/>
  <c r="AW172" i="1"/>
  <c r="AW490" i="1"/>
  <c r="AW432" i="1"/>
  <c r="AF392" i="1"/>
  <c r="AH392" i="1"/>
  <c r="AR392" i="1"/>
  <c r="AS856" i="1"/>
  <c r="AW727" i="1"/>
  <c r="AV604" i="1"/>
  <c r="AW640" i="1"/>
  <c r="AW859" i="1"/>
  <c r="AW618" i="1"/>
  <c r="AW604" i="1"/>
  <c r="AV39" i="1"/>
  <c r="AV37" i="1"/>
  <c r="AV35" i="1"/>
  <c r="AV33" i="1"/>
  <c r="AV31" i="1"/>
  <c r="AV30" i="1"/>
  <c r="AV28" i="1"/>
  <c r="AV23" i="1"/>
  <c r="AQ18" i="1"/>
  <c r="AV7" i="1"/>
  <c r="AV6" i="1"/>
  <c r="AU39" i="1"/>
  <c r="AU34" i="1"/>
  <c r="AU6" i="1"/>
  <c r="AU7" i="1"/>
  <c r="AU35" i="1"/>
  <c r="AU37" i="1"/>
  <c r="AU33" i="1"/>
  <c r="AU31" i="1"/>
  <c r="AU30" i="1"/>
  <c r="AU28" i="1"/>
  <c r="AU69" i="1"/>
  <c r="AU23" i="1"/>
  <c r="AU40" i="1"/>
  <c r="AU9" i="1"/>
  <c r="AV490" i="1"/>
  <c r="AV515" i="1"/>
  <c r="AV451" i="1"/>
  <c r="AV392" i="1"/>
  <c r="AV618" i="1"/>
  <c r="AH80" i="1"/>
  <c r="AK429" i="1"/>
  <c r="X429" i="1"/>
  <c r="V429" i="1"/>
  <c r="M429" i="1"/>
  <c r="AU451" i="1"/>
  <c r="AU618" i="1"/>
  <c r="AR109" i="1"/>
  <c r="AJ120" i="1"/>
  <c r="AT39" i="1"/>
  <c r="AT40" i="1"/>
  <c r="AT34" i="1"/>
  <c r="AT6" i="1"/>
  <c r="AT7" i="1"/>
  <c r="AT33" i="1"/>
  <c r="AT30" i="1"/>
  <c r="AT28" i="1"/>
  <c r="AT23" i="1"/>
  <c r="AT19" i="1"/>
  <c r="AT35" i="1"/>
  <c r="AT37" i="1"/>
  <c r="AT70" i="1"/>
  <c r="AT43" i="1"/>
  <c r="AT31" i="1"/>
  <c r="AS23" i="1"/>
  <c r="AS39" i="1"/>
  <c r="AS40" i="1"/>
  <c r="AS34" i="1"/>
  <c r="AS6" i="1"/>
  <c r="AS7" i="1"/>
  <c r="AS33" i="1"/>
  <c r="AS30" i="1"/>
  <c r="AS28" i="1"/>
  <c r="AS43" i="1"/>
  <c r="AS35" i="1"/>
  <c r="AS37" i="1"/>
  <c r="AS9" i="1"/>
  <c r="AS147" i="1"/>
  <c r="AT618" i="1"/>
  <c r="AT451" i="1"/>
  <c r="AT450" i="1"/>
  <c r="AT107" i="1"/>
  <c r="AS230" i="1"/>
  <c r="H1307" i="15"/>
  <c r="AS618" i="1"/>
  <c r="AS451" i="1"/>
  <c r="AQ28" i="1"/>
  <c r="AR40" i="1"/>
  <c r="AR6" i="1"/>
  <c r="AR7" i="1"/>
  <c r="AR37" i="1"/>
  <c r="AR30" i="1"/>
  <c r="AR28" i="1"/>
  <c r="AR39" i="1"/>
  <c r="AR35" i="1"/>
  <c r="AR9" i="1"/>
  <c r="AR8" i="1"/>
  <c r="AR31" i="1"/>
  <c r="AQ23" i="1"/>
  <c r="AQ19" i="1"/>
  <c r="AQ39" i="1"/>
  <c r="AQ40" i="1"/>
  <c r="AQ34" i="1"/>
  <c r="AQ6" i="1"/>
  <c r="AQ7" i="1"/>
  <c r="AQ37" i="1"/>
  <c r="AQ33" i="1"/>
  <c r="AQ31" i="1"/>
  <c r="AQ30" i="1"/>
  <c r="AQ43" i="1"/>
  <c r="AQ35" i="1"/>
  <c r="AQ8" i="1"/>
  <c r="AK23" i="1"/>
  <c r="AK19" i="1"/>
  <c r="AK39" i="1"/>
  <c r="AK40" i="1"/>
  <c r="AK34" i="1"/>
  <c r="AK6" i="1"/>
  <c r="AK7" i="1"/>
  <c r="AK35" i="1"/>
  <c r="AK37" i="1"/>
  <c r="AK33" i="1"/>
  <c r="AK31" i="1"/>
  <c r="AK30" i="1"/>
  <c r="AK70" i="1"/>
  <c r="AK18" i="1"/>
  <c r="AK9" i="1"/>
  <c r="AK8" i="1"/>
  <c r="AK28" i="1"/>
  <c r="AR490" i="1"/>
  <c r="AR456" i="1"/>
  <c r="AQ490" i="1"/>
  <c r="AQ432" i="1"/>
  <c r="AQ392" i="1"/>
  <c r="AQ618" i="1"/>
  <c r="AK147" i="1"/>
  <c r="AK102" i="1"/>
  <c r="AK812" i="1"/>
  <c r="AG604" i="1"/>
  <c r="AF604" i="1"/>
  <c r="AK618" i="1"/>
  <c r="AJ40" i="1"/>
  <c r="AJ35" i="1"/>
  <c r="AJ33" i="1"/>
  <c r="AJ31" i="1"/>
  <c r="AJ30" i="1"/>
  <c r="AJ28" i="1"/>
  <c r="AJ23" i="1"/>
  <c r="AJ19" i="1"/>
  <c r="AJ7" i="1"/>
  <c r="AJ6" i="1"/>
  <c r="X23" i="1"/>
  <c r="AJ39" i="1"/>
  <c r="AJ18" i="1"/>
  <c r="AJ37" i="1"/>
  <c r="AJ856" i="1"/>
  <c r="AJ513" i="1"/>
  <c r="AJ451" i="1"/>
  <c r="AJ450" i="1"/>
  <c r="AJ429" i="1"/>
  <c r="AJ618" i="1"/>
  <c r="AJ98" i="1"/>
  <c r="AJ964" i="1"/>
  <c r="AI39" i="1"/>
  <c r="AI40" i="1"/>
  <c r="AI6" i="1"/>
  <c r="AI7" i="1"/>
  <c r="AI37" i="1"/>
  <c r="AI9" i="1"/>
  <c r="AI33" i="1"/>
  <c r="AI30" i="1"/>
  <c r="AI28" i="1"/>
  <c r="AI34" i="1"/>
  <c r="AI35" i="1"/>
  <c r="AI8" i="1"/>
  <c r="AI31" i="1"/>
  <c r="AI429" i="1"/>
  <c r="AI145" i="1"/>
  <c r="AI94" i="1"/>
  <c r="AI80" i="1"/>
  <c r="AI246" i="1"/>
  <c r="AI618" i="1"/>
  <c r="AH23" i="1"/>
  <c r="AH19" i="1"/>
  <c r="AH39" i="1"/>
  <c r="AH43" i="1"/>
  <c r="AH34" i="1"/>
  <c r="AH6" i="1"/>
  <c r="AH7" i="1"/>
  <c r="AH35" i="1"/>
  <c r="AH37" i="1"/>
  <c r="AH33" i="1"/>
  <c r="AH30" i="1"/>
  <c r="AH28" i="1"/>
  <c r="AH40" i="1"/>
  <c r="AG19" i="1"/>
  <c r="AG40" i="1"/>
  <c r="AG6" i="1"/>
  <c r="AG7" i="1"/>
  <c r="AG33" i="1"/>
  <c r="AG30" i="1"/>
  <c r="AG28" i="1"/>
  <c r="AG23" i="1"/>
  <c r="AG39" i="1"/>
  <c r="AG34" i="1"/>
  <c r="AG35" i="1"/>
  <c r="AG37" i="1"/>
  <c r="AG31" i="1"/>
  <c r="AH527" i="1"/>
  <c r="AH429" i="1"/>
  <c r="AH110" i="1"/>
  <c r="AH618" i="1"/>
  <c r="AG150" i="1"/>
  <c r="AG515" i="1"/>
  <c r="AG456" i="1"/>
  <c r="AG450" i="1"/>
  <c r="AG513" i="1"/>
  <c r="AF40" i="1"/>
  <c r="AF34" i="1"/>
  <c r="AF6" i="1"/>
  <c r="AF7" i="1"/>
  <c r="AF33" i="1"/>
  <c r="AF30" i="1"/>
  <c r="AF28" i="1"/>
  <c r="AF39" i="1"/>
  <c r="AF37" i="1"/>
  <c r="AF9" i="1"/>
  <c r="AF8" i="1"/>
  <c r="S527" i="1"/>
  <c r="I527" i="1"/>
  <c r="AE70" i="1"/>
  <c r="AE69" i="1"/>
  <c r="AE22" i="1"/>
  <c r="AE18" i="1"/>
  <c r="AE23" i="1"/>
  <c r="AE39" i="1"/>
  <c r="AE40" i="1"/>
  <c r="AE43" i="1"/>
  <c r="AE34" i="1"/>
  <c r="AE6" i="1"/>
  <c r="AE7" i="1"/>
  <c r="AE35" i="1"/>
  <c r="AE37" i="1"/>
  <c r="AE8" i="1"/>
  <c r="AE33" i="1"/>
  <c r="AE31" i="1"/>
  <c r="AE30" i="1"/>
  <c r="AE28" i="1"/>
  <c r="AE19" i="1"/>
  <c r="AE9" i="1"/>
  <c r="Y856" i="1"/>
  <c r="U856" i="1"/>
  <c r="Y22" i="1"/>
  <c r="Y23" i="1"/>
  <c r="Y19" i="1"/>
  <c r="Y39" i="1"/>
  <c r="Y40" i="1"/>
  <c r="Y43" i="1"/>
  <c r="Y6" i="1"/>
  <c r="Y7" i="1"/>
  <c r="Y35" i="1"/>
  <c r="Y33" i="1"/>
  <c r="Y30" i="1"/>
  <c r="Y28" i="1"/>
  <c r="Y18" i="1"/>
  <c r="Y34" i="1"/>
  <c r="Y37" i="1"/>
  <c r="Y8" i="1"/>
  <c r="X43" i="1"/>
  <c r="X39" i="1"/>
  <c r="X33" i="1"/>
  <c r="X31" i="1"/>
  <c r="X30" i="1"/>
  <c r="X28" i="1"/>
  <c r="X7" i="1"/>
  <c r="X6" i="1"/>
  <c r="AE429" i="1"/>
  <c r="C859" i="1"/>
  <c r="C964" i="1"/>
  <c r="X40" i="1"/>
  <c r="X37" i="1"/>
  <c r="X8" i="1"/>
  <c r="X22" i="1"/>
  <c r="Y964" i="1"/>
  <c r="Y464" i="1"/>
  <c r="Y429" i="1"/>
  <c r="Y113" i="1"/>
  <c r="T618" i="1"/>
  <c r="W618" i="1"/>
  <c r="X432" i="1"/>
  <c r="X396" i="1"/>
  <c r="W69" i="1"/>
  <c r="W23" i="1"/>
  <c r="W19" i="1"/>
  <c r="W39" i="1"/>
  <c r="W40" i="1"/>
  <c r="W34" i="1"/>
  <c r="W6" i="1"/>
  <c r="W7" i="1"/>
  <c r="W35" i="1"/>
  <c r="W37" i="1"/>
  <c r="W9" i="1"/>
  <c r="W33" i="1"/>
  <c r="W31" i="1"/>
  <c r="W30" i="1"/>
  <c r="W28" i="1"/>
  <c r="W22" i="1"/>
  <c r="W18" i="1"/>
  <c r="W8" i="1"/>
  <c r="V40" i="1"/>
  <c r="V43" i="1"/>
  <c r="V6" i="1"/>
  <c r="V7" i="1"/>
  <c r="V35" i="1"/>
  <c r="V37" i="1"/>
  <c r="V9" i="1"/>
  <c r="V33" i="1"/>
  <c r="V30" i="1"/>
  <c r="V28" i="1"/>
  <c r="V19" i="1"/>
  <c r="V39" i="1"/>
  <c r="V8" i="1"/>
  <c r="V34" i="1"/>
  <c r="W429" i="1"/>
  <c r="W812" i="1"/>
  <c r="V396" i="1"/>
  <c r="C969" i="1"/>
  <c r="C640" i="1"/>
  <c r="V618" i="1"/>
  <c r="V755" i="1"/>
  <c r="V804" i="1"/>
  <c r="V812" i="1"/>
  <c r="V145" i="1"/>
  <c r="V113" i="1"/>
  <c r="W970" i="1"/>
  <c r="U39" i="1"/>
  <c r="U34" i="1"/>
  <c r="U6" i="1"/>
  <c r="U7" i="1"/>
  <c r="U37" i="1"/>
  <c r="U33" i="1"/>
  <c r="U30" i="1"/>
  <c r="U28" i="1"/>
  <c r="U23" i="1"/>
  <c r="U40" i="1"/>
  <c r="U9" i="1"/>
  <c r="U31" i="1"/>
  <c r="U35" i="1"/>
  <c r="T256" i="1"/>
  <c r="U396" i="1"/>
  <c r="U729" i="1"/>
  <c r="U618" i="1"/>
  <c r="U139" i="1"/>
  <c r="U94" i="1"/>
  <c r="T39" i="1"/>
  <c r="T40" i="1"/>
  <c r="T34" i="1"/>
  <c r="T6" i="1"/>
  <c r="T7" i="1"/>
  <c r="T37" i="1"/>
  <c r="T33" i="1"/>
  <c r="T31" i="1"/>
  <c r="T30" i="1"/>
  <c r="T28" i="1"/>
  <c r="T22" i="1"/>
  <c r="T8" i="1"/>
  <c r="T23" i="1"/>
  <c r="T19" i="1"/>
  <c r="S18" i="1"/>
  <c r="S23" i="1"/>
  <c r="S19" i="1"/>
  <c r="S39" i="1"/>
  <c r="S40" i="1"/>
  <c r="S43" i="1"/>
  <c r="S34" i="1"/>
  <c r="S6" i="1"/>
  <c r="S7" i="1"/>
  <c r="S35" i="1"/>
  <c r="S37" i="1"/>
  <c r="S8" i="1"/>
  <c r="S33" i="1"/>
  <c r="S31" i="1"/>
  <c r="S30" i="1"/>
  <c r="S28" i="1"/>
  <c r="S48" i="1"/>
  <c r="S22" i="1"/>
  <c r="S9" i="1"/>
  <c r="M23" i="1"/>
  <c r="M39" i="1"/>
  <c r="M40" i="1"/>
  <c r="M43" i="1"/>
  <c r="M6" i="1"/>
  <c r="M7" i="1"/>
  <c r="M35" i="1"/>
  <c r="M37" i="1"/>
  <c r="M8" i="1"/>
  <c r="M33" i="1"/>
  <c r="M31" i="1"/>
  <c r="M30" i="1"/>
  <c r="M28" i="1"/>
  <c r="M69" i="1"/>
  <c r="M22" i="1"/>
  <c r="M19" i="1"/>
  <c r="M9" i="1"/>
  <c r="T432" i="1"/>
  <c r="T429" i="1"/>
  <c r="T178" i="1"/>
  <c r="T80" i="1"/>
  <c r="S97" i="1"/>
  <c r="L113" i="1"/>
  <c r="S429" i="1"/>
  <c r="M549" i="1"/>
  <c r="M515" i="1"/>
  <c r="M392" i="1"/>
  <c r="M145" i="1"/>
  <c r="M773" i="1"/>
  <c r="L773" i="1"/>
  <c r="H644" i="1"/>
  <c r="M859" i="1"/>
  <c r="M618" i="1"/>
  <c r="L40" i="1"/>
  <c r="L39" i="1"/>
  <c r="L37" i="1"/>
  <c r="L31" i="1"/>
  <c r="L30" i="1"/>
  <c r="L28" i="1"/>
  <c r="L23" i="1"/>
  <c r="L7" i="1"/>
  <c r="L6" i="1"/>
  <c r="C65" i="1"/>
  <c r="C21" i="1"/>
  <c r="L18" i="1"/>
  <c r="L19" i="1"/>
  <c r="L779" i="1"/>
  <c r="L515" i="1"/>
  <c r="L429" i="1"/>
  <c r="L618" i="1"/>
  <c r="K40" i="1"/>
  <c r="K43" i="1"/>
  <c r="K6" i="1"/>
  <c r="K7" i="1"/>
  <c r="K35" i="1"/>
  <c r="K37" i="1"/>
  <c r="K33" i="1"/>
  <c r="K31" i="1"/>
  <c r="K30" i="1"/>
  <c r="K28" i="1"/>
  <c r="K23" i="1"/>
  <c r="K39" i="1"/>
  <c r="K432" i="1"/>
  <c r="K429" i="1"/>
  <c r="K428" i="1"/>
  <c r="K729" i="1"/>
  <c r="K686" i="1"/>
  <c r="K618" i="1"/>
  <c r="K604" i="1"/>
  <c r="K111" i="1"/>
  <c r="K216" i="15"/>
  <c r="J39" i="1"/>
  <c r="J40" i="1"/>
  <c r="J6" i="1"/>
  <c r="J7" i="1"/>
  <c r="J33" i="1"/>
  <c r="J30" i="1"/>
  <c r="J28" i="1"/>
  <c r="J22" i="1"/>
  <c r="J23" i="1"/>
  <c r="J34" i="1"/>
  <c r="J37" i="1"/>
  <c r="J618" i="1"/>
  <c r="J490" i="1"/>
  <c r="J429" i="1"/>
  <c r="J145" i="1"/>
  <c r="J113" i="1"/>
  <c r="C513" i="1"/>
  <c r="H77" i="1"/>
  <c r="I39" i="1"/>
  <c r="I6" i="1"/>
  <c r="I7" i="1"/>
  <c r="I33" i="1"/>
  <c r="I31" i="1"/>
  <c r="I30" i="1"/>
  <c r="I28" i="1"/>
  <c r="I18" i="1"/>
  <c r="I43" i="1"/>
  <c r="I37" i="1"/>
  <c r="I8" i="1"/>
  <c r="H19" i="1"/>
  <c r="H39" i="1"/>
  <c r="H40" i="1"/>
  <c r="H6" i="1"/>
  <c r="H7" i="1"/>
  <c r="H35" i="1"/>
  <c r="H37" i="1"/>
  <c r="H33" i="1"/>
  <c r="H31" i="1"/>
  <c r="H30" i="1"/>
  <c r="H28" i="1"/>
  <c r="H34" i="1"/>
  <c r="H23" i="1"/>
  <c r="G18" i="1"/>
  <c r="G23" i="1"/>
  <c r="G19" i="1"/>
  <c r="G39" i="1"/>
  <c r="G40" i="1"/>
  <c r="G34" i="1"/>
  <c r="G6" i="1"/>
  <c r="G7" i="1"/>
  <c r="G35" i="1"/>
  <c r="G37" i="1"/>
  <c r="G33" i="1"/>
  <c r="G31" i="1"/>
  <c r="G30" i="1"/>
  <c r="G28" i="1"/>
  <c r="G9" i="1"/>
  <c r="I429" i="1"/>
  <c r="C70" i="1"/>
  <c r="C69" i="1"/>
  <c r="C60" i="1"/>
  <c r="C53" i="1"/>
  <c r="C50" i="1"/>
  <c r="C47" i="1"/>
  <c r="C43" i="1"/>
  <c r="C40" i="1"/>
  <c r="C39" i="1"/>
  <c r="C37" i="1"/>
  <c r="C35" i="1"/>
  <c r="C34" i="1"/>
  <c r="C33" i="1"/>
  <c r="C31" i="1"/>
  <c r="C30" i="1"/>
  <c r="C28" i="1"/>
  <c r="C27" i="1"/>
  <c r="C26" i="1"/>
  <c r="C24" i="1"/>
  <c r="C20" i="1"/>
  <c r="C23" i="1"/>
  <c r="C22" i="1"/>
  <c r="C19" i="1"/>
  <c r="C18" i="1"/>
  <c r="C17" i="1"/>
  <c r="C14" i="1"/>
  <c r="C13" i="1"/>
  <c r="C9" i="1"/>
  <c r="C8" i="1"/>
  <c r="C7" i="1"/>
  <c r="C6" i="1"/>
  <c r="H429" i="1"/>
  <c r="H490" i="1"/>
  <c r="H818" i="1"/>
  <c r="H964" i="1"/>
  <c r="H729" i="1"/>
  <c r="G429" i="1"/>
  <c r="G812" i="1"/>
  <c r="C604" i="1"/>
  <c r="BS458" i="1"/>
  <c r="BR458" i="1" a="1"/>
  <c r="BR458" i="1"/>
  <c r="BM458" i="1"/>
  <c r="BK458" i="1"/>
  <c r="BA458" i="1"/>
  <c r="AX458" i="1"/>
  <c r="AO458" i="1"/>
  <c r="AL458" i="1"/>
  <c r="AC458" i="1"/>
  <c r="Z458" i="1"/>
  <c r="Q458" i="1"/>
  <c r="N458" i="1"/>
  <c r="E458" i="1"/>
  <c r="BS707" i="1"/>
  <c r="BR707" i="1" a="1"/>
  <c r="BR707" i="1"/>
  <c r="BM707" i="1"/>
  <c r="BK707" i="1"/>
  <c r="BA707" i="1"/>
  <c r="AX707" i="1"/>
  <c r="AO707" i="1"/>
  <c r="AL707" i="1"/>
  <c r="AC707" i="1"/>
  <c r="Z707" i="1"/>
  <c r="Q707" i="1"/>
  <c r="N707" i="1"/>
  <c r="E707" i="1"/>
  <c r="BS799" i="1"/>
  <c r="BR799" i="1" a="1"/>
  <c r="BR799" i="1"/>
  <c r="BM799" i="1"/>
  <c r="BK799" i="1"/>
  <c r="BA799" i="1"/>
  <c r="AX799" i="1"/>
  <c r="AO799" i="1"/>
  <c r="AL799" i="1"/>
  <c r="AC799" i="1"/>
  <c r="Z799" i="1"/>
  <c r="Q799" i="1"/>
  <c r="N799" i="1"/>
  <c r="E799" i="1"/>
  <c r="BS858" i="1"/>
  <c r="BR858" i="1" a="1"/>
  <c r="BR858" i="1"/>
  <c r="BM858" i="1"/>
  <c r="BK858" i="1"/>
  <c r="BA858" i="1"/>
  <c r="AX858" i="1"/>
  <c r="AO858" i="1"/>
  <c r="AL858" i="1"/>
  <c r="AC858" i="1"/>
  <c r="Z858" i="1"/>
  <c r="Q858" i="1"/>
  <c r="N858" i="1"/>
  <c r="E858" i="1"/>
  <c r="BS718" i="1"/>
  <c r="BR718" i="1" a="1"/>
  <c r="BR718" i="1"/>
  <c r="BM718" i="1"/>
  <c r="BK718" i="1"/>
  <c r="BA718" i="1"/>
  <c r="AX718" i="1"/>
  <c r="AO718" i="1"/>
  <c r="AL718" i="1"/>
  <c r="AC718" i="1"/>
  <c r="Z718" i="1"/>
  <c r="Q718" i="1"/>
  <c r="N718" i="1"/>
  <c r="E718" i="1"/>
  <c r="BS654" i="1"/>
  <c r="BR654" i="1" a="1"/>
  <c r="BR654" i="1"/>
  <c r="BM654" i="1"/>
  <c r="BK654" i="1"/>
  <c r="BA654" i="1"/>
  <c r="AX654" i="1"/>
  <c r="AO654" i="1"/>
  <c r="AL654" i="1"/>
  <c r="AC654" i="1"/>
  <c r="Z654" i="1"/>
  <c r="Q654" i="1"/>
  <c r="N654" i="1"/>
  <c r="E654" i="1"/>
  <c r="BS846" i="1"/>
  <c r="BR846" i="1" a="1"/>
  <c r="BR846" i="1"/>
  <c r="BM846" i="1"/>
  <c r="BK846" i="1"/>
  <c r="BA846" i="1"/>
  <c r="AX846" i="1"/>
  <c r="AO846" i="1"/>
  <c r="AL846" i="1"/>
  <c r="AC846" i="1"/>
  <c r="Z846" i="1"/>
  <c r="Q846" i="1"/>
  <c r="N846" i="1"/>
  <c r="E846" i="1"/>
  <c r="BS605" i="1"/>
  <c r="BR605" i="1" a="1"/>
  <c r="BR605" i="1"/>
  <c r="BM605" i="1"/>
  <c r="BK605" i="1"/>
  <c r="BA605" i="1"/>
  <c r="AX605" i="1"/>
  <c r="AO605" i="1"/>
  <c r="AL605" i="1"/>
  <c r="AC605" i="1"/>
  <c r="Z605" i="1"/>
  <c r="Q605" i="1"/>
  <c r="N605" i="1"/>
  <c r="E605" i="1"/>
  <c r="BS541" i="1"/>
  <c r="BR541" i="1" a="1"/>
  <c r="BR541" i="1"/>
  <c r="BM541" i="1"/>
  <c r="BK541" i="1"/>
  <c r="BA541" i="1"/>
  <c r="AX541" i="1"/>
  <c r="AO541" i="1"/>
  <c r="AL541" i="1"/>
  <c r="AC541" i="1"/>
  <c r="Z541" i="1"/>
  <c r="Q541" i="1"/>
  <c r="N541" i="1"/>
  <c r="E541" i="1"/>
  <c r="BS510" i="1"/>
  <c r="BR510" i="1" a="1"/>
  <c r="BR510" i="1"/>
  <c r="BM510" i="1"/>
  <c r="BK510" i="1"/>
  <c r="BA510" i="1"/>
  <c r="AX510" i="1"/>
  <c r="AO510" i="1"/>
  <c r="AL510" i="1"/>
  <c r="AC510" i="1"/>
  <c r="Z510" i="1"/>
  <c r="Q510" i="1"/>
  <c r="N510" i="1"/>
  <c r="E510" i="1"/>
  <c r="BS327" i="1"/>
  <c r="BR327" i="1" a="1"/>
  <c r="BR327" i="1"/>
  <c r="BM327" i="1"/>
  <c r="BK327" i="1"/>
  <c r="BA327" i="1"/>
  <c r="AX327" i="1"/>
  <c r="AO327" i="1"/>
  <c r="AL327" i="1"/>
  <c r="AC327" i="1"/>
  <c r="Z327" i="1"/>
  <c r="Q327" i="1"/>
  <c r="N327" i="1"/>
  <c r="E327" i="1"/>
  <c r="BS366" i="1"/>
  <c r="BR366" i="1" a="1"/>
  <c r="BR366" i="1"/>
  <c r="BM366" i="1"/>
  <c r="BK366" i="1"/>
  <c r="BA366" i="1"/>
  <c r="AX366" i="1"/>
  <c r="AO366" i="1"/>
  <c r="AL366" i="1"/>
  <c r="AC366" i="1"/>
  <c r="Z366" i="1"/>
  <c r="Q366" i="1"/>
  <c r="N366" i="1"/>
  <c r="E366" i="1"/>
  <c r="BS363" i="1"/>
  <c r="BR363" i="1" a="1"/>
  <c r="BR363" i="1"/>
  <c r="BM363" i="1"/>
  <c r="BK363" i="1"/>
  <c r="BA363" i="1"/>
  <c r="AX363" i="1"/>
  <c r="AO363" i="1"/>
  <c r="AL363" i="1"/>
  <c r="AC363" i="1"/>
  <c r="Z363" i="1"/>
  <c r="Q363" i="1"/>
  <c r="N363" i="1"/>
  <c r="E363" i="1"/>
  <c r="BS341" i="1"/>
  <c r="BR341" i="1" a="1"/>
  <c r="BR341" i="1"/>
  <c r="BM341" i="1"/>
  <c r="BK341" i="1"/>
  <c r="BA341" i="1"/>
  <c r="AX341" i="1"/>
  <c r="AO341" i="1"/>
  <c r="AL341" i="1"/>
  <c r="AC341" i="1"/>
  <c r="Z341" i="1"/>
  <c r="Q341" i="1"/>
  <c r="N341" i="1"/>
  <c r="E341" i="1"/>
  <c r="BS381" i="1"/>
  <c r="BR381" i="1" a="1"/>
  <c r="BR381" i="1"/>
  <c r="BM381" i="1"/>
  <c r="BK381" i="1"/>
  <c r="BA381" i="1"/>
  <c r="AX381" i="1"/>
  <c r="AO381" i="1"/>
  <c r="AL381" i="1"/>
  <c r="AC381" i="1"/>
  <c r="Z381" i="1"/>
  <c r="Q381" i="1"/>
  <c r="N381" i="1"/>
  <c r="E381" i="1"/>
  <c r="BS380" i="1"/>
  <c r="BR380" i="1" a="1"/>
  <c r="BR380" i="1"/>
  <c r="BM380" i="1"/>
  <c r="BK380" i="1"/>
  <c r="BA380" i="1"/>
  <c r="AX380" i="1"/>
  <c r="AO380" i="1"/>
  <c r="AL380" i="1"/>
  <c r="AC380" i="1"/>
  <c r="Z380" i="1"/>
  <c r="Q380" i="1"/>
  <c r="N380" i="1"/>
  <c r="E380" i="1"/>
  <c r="BS368" i="1"/>
  <c r="BR368" i="1" a="1"/>
  <c r="BR368" i="1"/>
  <c r="BM368" i="1"/>
  <c r="BK368" i="1"/>
  <c r="BA368" i="1"/>
  <c r="AX368" i="1"/>
  <c r="AO368" i="1"/>
  <c r="AL368" i="1"/>
  <c r="AC368" i="1"/>
  <c r="Z368" i="1"/>
  <c r="Q368" i="1"/>
  <c r="N368" i="1"/>
  <c r="E368" i="1"/>
  <c r="BS367" i="1"/>
  <c r="BR367" i="1" a="1"/>
  <c r="BR367" i="1"/>
  <c r="BM367" i="1"/>
  <c r="BK367" i="1"/>
  <c r="BA367" i="1"/>
  <c r="AX367" i="1"/>
  <c r="AO367" i="1"/>
  <c r="AL367" i="1"/>
  <c r="AC367" i="1"/>
  <c r="Z367" i="1"/>
  <c r="Q367" i="1"/>
  <c r="N367" i="1"/>
  <c r="E367" i="1"/>
  <c r="BS314" i="1"/>
  <c r="BR314" i="1" a="1"/>
  <c r="BR314" i="1"/>
  <c r="BM314" i="1"/>
  <c r="BK314" i="1"/>
  <c r="BA314" i="1"/>
  <c r="AX314" i="1"/>
  <c r="AO314" i="1"/>
  <c r="AL314" i="1"/>
  <c r="AC314" i="1"/>
  <c r="Z314" i="1"/>
  <c r="Q314" i="1"/>
  <c r="N314" i="1"/>
  <c r="E314" i="1"/>
  <c r="BS310" i="1"/>
  <c r="BR310" i="1" a="1"/>
  <c r="BR310" i="1"/>
  <c r="BM310" i="1"/>
  <c r="BK310" i="1"/>
  <c r="BA310" i="1"/>
  <c r="AX310" i="1"/>
  <c r="AO310" i="1"/>
  <c r="AL310" i="1"/>
  <c r="AC310" i="1"/>
  <c r="Z310" i="1"/>
  <c r="Q310" i="1"/>
  <c r="N310" i="1"/>
  <c r="E310" i="1"/>
  <c r="BS300" i="1"/>
  <c r="BR300" i="1" a="1"/>
  <c r="BR300" i="1"/>
  <c r="BM300" i="1"/>
  <c r="BK300" i="1"/>
  <c r="BA300" i="1"/>
  <c r="AX300" i="1"/>
  <c r="AO300" i="1"/>
  <c r="AL300" i="1"/>
  <c r="AC300" i="1"/>
  <c r="Z300" i="1"/>
  <c r="Q300" i="1"/>
  <c r="N300" i="1"/>
  <c r="E300" i="1"/>
  <c r="BS295" i="1"/>
  <c r="BR295" i="1" a="1"/>
  <c r="BR295" i="1"/>
  <c r="BM295" i="1"/>
  <c r="BK295" i="1"/>
  <c r="BA295" i="1"/>
  <c r="AX295" i="1"/>
  <c r="AO295" i="1"/>
  <c r="AL295" i="1"/>
  <c r="AC295" i="1"/>
  <c r="Z295" i="1"/>
  <c r="Q295" i="1"/>
  <c r="N295" i="1"/>
  <c r="E295" i="1"/>
  <c r="BS373" i="1"/>
  <c r="BR373" i="1" a="1"/>
  <c r="BR373" i="1"/>
  <c r="BM373" i="1"/>
  <c r="BK373" i="1"/>
  <c r="BA373" i="1"/>
  <c r="AX373" i="1"/>
  <c r="AO373" i="1"/>
  <c r="AL373" i="1"/>
  <c r="AC373" i="1"/>
  <c r="Z373" i="1"/>
  <c r="Q373" i="1"/>
  <c r="N373" i="1"/>
  <c r="E373" i="1"/>
  <c r="BS238" i="1"/>
  <c r="BR238" i="1" a="1"/>
  <c r="BR238" i="1"/>
  <c r="BM238" i="1"/>
  <c r="BK238" i="1"/>
  <c r="BA238" i="1"/>
  <c r="AX238" i="1"/>
  <c r="AO238" i="1"/>
  <c r="AL238" i="1"/>
  <c r="AC238" i="1"/>
  <c r="Z238" i="1"/>
  <c r="Q238" i="1"/>
  <c r="N238" i="1"/>
  <c r="E238" i="1"/>
  <c r="BS203" i="1"/>
  <c r="BR203" i="1" a="1"/>
  <c r="BR203" i="1"/>
  <c r="BM203" i="1"/>
  <c r="BK203" i="1"/>
  <c r="BA203" i="1"/>
  <c r="AX203" i="1"/>
  <c r="AO203" i="1"/>
  <c r="AL203" i="1"/>
  <c r="AC203" i="1"/>
  <c r="Z203" i="1"/>
  <c r="Q203" i="1"/>
  <c r="N203" i="1"/>
  <c r="E203" i="1"/>
  <c r="BS69" i="1"/>
  <c r="BR69" i="1" a="1"/>
  <c r="BR69" i="1"/>
  <c r="BM69" i="1"/>
  <c r="BK69" i="1"/>
  <c r="BA69" i="1"/>
  <c r="AX69" i="1"/>
  <c r="AO69" i="1"/>
  <c r="AL69" i="1"/>
  <c r="AC69" i="1"/>
  <c r="Z69" i="1"/>
  <c r="Q69" i="1"/>
  <c r="N69" i="1"/>
  <c r="E69" i="1"/>
  <c r="BN373" i="1"/>
  <c r="BO373" i="1" a="1"/>
  <c r="BO373" i="1"/>
  <c r="BN314" i="1"/>
  <c r="BO314" i="1" a="1"/>
  <c r="BO314" i="1"/>
  <c r="BN327" i="1"/>
  <c r="BO327" i="1" a="1"/>
  <c r="BO327" i="1"/>
  <c r="BN69" i="1"/>
  <c r="BO69" i="1" a="1"/>
  <c r="BO69" i="1"/>
  <c r="BN295" i="1"/>
  <c r="BO295" i="1" a="1"/>
  <c r="BO295" i="1"/>
  <c r="BN654" i="1"/>
  <c r="BO654" i="1" a="1"/>
  <c r="BO654" i="1"/>
  <c r="BN707" i="1"/>
  <c r="BO707" i="1" a="1"/>
  <c r="BO707" i="1"/>
  <c r="BN458" i="1"/>
  <c r="BO458" i="1" a="1"/>
  <c r="BO458" i="1"/>
  <c r="BN310" i="1"/>
  <c r="BO310" i="1" a="1"/>
  <c r="BO310" i="1"/>
  <c r="BN510" i="1"/>
  <c r="BO510" i="1" a="1"/>
  <c r="BO510" i="1"/>
  <c r="BN541" i="1"/>
  <c r="BO541" i="1" a="1"/>
  <c r="BO541" i="1"/>
  <c r="BN718" i="1"/>
  <c r="BO718" i="1" a="1"/>
  <c r="BO718" i="1"/>
  <c r="BN203" i="1"/>
  <c r="BO203" i="1" a="1"/>
  <c r="BO203" i="1"/>
  <c r="BN341" i="1"/>
  <c r="BO341" i="1" a="1"/>
  <c r="BO341" i="1"/>
  <c r="BN605" i="1"/>
  <c r="BO605" i="1" a="1"/>
  <c r="BO605" i="1"/>
  <c r="BN238" i="1"/>
  <c r="BO238" i="1" a="1"/>
  <c r="BO238" i="1"/>
  <c r="BN300" i="1"/>
  <c r="BO300" i="1" a="1"/>
  <c r="BO300" i="1"/>
  <c r="BN363" i="1"/>
  <c r="BO363" i="1" a="1"/>
  <c r="BO363" i="1"/>
  <c r="BN846" i="1"/>
  <c r="BO846" i="1" a="1"/>
  <c r="BO846" i="1"/>
  <c r="BN799" i="1"/>
  <c r="BO799" i="1" a="1"/>
  <c r="BO799" i="1"/>
  <c r="BN858" i="1"/>
  <c r="BO858" i="1" a="1"/>
  <c r="BO858" i="1"/>
  <c r="BN380" i="1"/>
  <c r="BO380" i="1" a="1"/>
  <c r="BO380" i="1"/>
  <c r="BN366" i="1"/>
  <c r="BO366" i="1" a="1"/>
  <c r="BO366" i="1"/>
  <c r="BN381" i="1"/>
  <c r="BO381" i="1" a="1"/>
  <c r="BO381" i="1"/>
  <c r="BN367" i="1"/>
  <c r="BO367" i="1" a="1"/>
  <c r="BO367" i="1"/>
  <c r="BN368" i="1"/>
  <c r="BO368" i="1" a="1"/>
  <c r="BO368" i="1"/>
  <c r="K1315" i="15"/>
  <c r="K822" i="15"/>
  <c r="K780" i="15"/>
  <c r="K771" i="15"/>
  <c r="K713" i="15"/>
  <c r="K3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K628" i="15"/>
  <c r="K629" i="15"/>
  <c r="K630" i="15"/>
  <c r="K631" i="15"/>
  <c r="K632" i="15"/>
  <c r="K633" i="15"/>
  <c r="K634" i="15"/>
  <c r="K635" i="15"/>
  <c r="K636" i="15"/>
  <c r="K637" i="15"/>
  <c r="K638" i="15"/>
  <c r="K639" i="15"/>
  <c r="K640" i="15"/>
  <c r="K641" i="15"/>
  <c r="K642" i="15"/>
  <c r="K643" i="15"/>
  <c r="K644" i="15"/>
  <c r="K645" i="15"/>
  <c r="K646" i="15"/>
  <c r="K647" i="15"/>
  <c r="K648" i="15"/>
  <c r="K649" i="15"/>
  <c r="K650" i="15"/>
  <c r="K651" i="15"/>
  <c r="K652" i="15"/>
  <c r="K653" i="15"/>
  <c r="K654" i="15"/>
  <c r="K655" i="15"/>
  <c r="K656" i="15"/>
  <c r="K657" i="15"/>
  <c r="K658" i="15"/>
  <c r="K659" i="15"/>
  <c r="K660" i="15"/>
  <c r="K661" i="15"/>
  <c r="K662" i="15"/>
  <c r="K663" i="15"/>
  <c r="K664" i="15"/>
  <c r="K665" i="15"/>
  <c r="K666" i="15"/>
  <c r="K667" i="15"/>
  <c r="K668" i="15"/>
  <c r="K669" i="15"/>
  <c r="K670" i="15"/>
  <c r="K671" i="15"/>
  <c r="K672" i="15"/>
  <c r="K673" i="15"/>
  <c r="K674" i="15"/>
  <c r="K675" i="15"/>
  <c r="K676" i="15"/>
  <c r="K677" i="15"/>
  <c r="K678" i="15"/>
  <c r="K679" i="15"/>
  <c r="K680" i="15"/>
  <c r="K681" i="15"/>
  <c r="K682" i="15"/>
  <c r="K683" i="15"/>
  <c r="K684" i="15"/>
  <c r="K685" i="15"/>
  <c r="K686" i="15"/>
  <c r="K687" i="15"/>
  <c r="K688" i="15"/>
  <c r="K689" i="15"/>
  <c r="K690" i="15"/>
  <c r="K691" i="15"/>
  <c r="K692" i="15"/>
  <c r="K693" i="15"/>
  <c r="K694" i="15"/>
  <c r="K695" i="15"/>
  <c r="K696" i="15"/>
  <c r="K697" i="15"/>
  <c r="K698" i="15"/>
  <c r="K699" i="15"/>
  <c r="K700" i="15"/>
  <c r="K701" i="15"/>
  <c r="K702" i="15"/>
  <c r="K703" i="15"/>
  <c r="K704" i="15"/>
  <c r="K705" i="15"/>
  <c r="K706" i="15"/>
  <c r="K707" i="15"/>
  <c r="K708" i="15"/>
  <c r="K709" i="15"/>
  <c r="K710" i="15"/>
  <c r="K711" i="15"/>
  <c r="K712" i="15"/>
  <c r="K714" i="15"/>
  <c r="K715" i="15"/>
  <c r="K716" i="15"/>
  <c r="K717" i="15"/>
  <c r="K718" i="15"/>
  <c r="K719" i="15"/>
  <c r="K720" i="15"/>
  <c r="K721" i="15"/>
  <c r="K722" i="15"/>
  <c r="K723" i="15"/>
  <c r="K724" i="15"/>
  <c r="K725" i="15"/>
  <c r="K726" i="15"/>
  <c r="K727" i="15"/>
  <c r="K728" i="15"/>
  <c r="K729" i="15"/>
  <c r="K730" i="15"/>
  <c r="K731" i="15"/>
  <c r="K732" i="15"/>
  <c r="K733" i="15"/>
  <c r="K734" i="15"/>
  <c r="K735" i="15"/>
  <c r="K736" i="15"/>
  <c r="K737" i="15"/>
  <c r="K738" i="15"/>
  <c r="K739" i="15"/>
  <c r="K740" i="15"/>
  <c r="K741" i="15"/>
  <c r="K742" i="15"/>
  <c r="K743" i="15"/>
  <c r="K744" i="15"/>
  <c r="K745" i="15"/>
  <c r="K746" i="15"/>
  <c r="K747" i="15"/>
  <c r="K748" i="15"/>
  <c r="K749" i="15"/>
  <c r="K750" i="15"/>
  <c r="K751" i="15"/>
  <c r="K752" i="15"/>
  <c r="K753" i="15"/>
  <c r="K754" i="15"/>
  <c r="K755" i="15"/>
  <c r="K756" i="15"/>
  <c r="K757" i="15"/>
  <c r="K758" i="15"/>
  <c r="K759" i="15"/>
  <c r="K760" i="15"/>
  <c r="K761" i="15"/>
  <c r="K762" i="15"/>
  <c r="K763" i="15"/>
  <c r="K764" i="15"/>
  <c r="K765" i="15"/>
  <c r="K766" i="15"/>
  <c r="K767" i="15"/>
  <c r="K768" i="15"/>
  <c r="K769" i="15"/>
  <c r="K770" i="15"/>
  <c r="K772" i="15"/>
  <c r="K773" i="15"/>
  <c r="K774" i="15"/>
  <c r="K775" i="15"/>
  <c r="K776" i="15"/>
  <c r="K777" i="15"/>
  <c r="K778" i="15"/>
  <c r="K779" i="15"/>
  <c r="K781" i="15"/>
  <c r="K782" i="15"/>
  <c r="K783" i="15"/>
  <c r="K784" i="15"/>
  <c r="K785" i="15"/>
  <c r="K786" i="15"/>
  <c r="K787" i="15"/>
  <c r="K788" i="15"/>
  <c r="K789" i="15"/>
  <c r="K790" i="15"/>
  <c r="K791" i="15"/>
  <c r="K792" i="15"/>
  <c r="K793" i="15"/>
  <c r="K794" i="15"/>
  <c r="K795" i="15"/>
  <c r="K796" i="15"/>
  <c r="K797" i="15"/>
  <c r="K798" i="15"/>
  <c r="K799" i="15"/>
  <c r="K800" i="15"/>
  <c r="K801" i="15"/>
  <c r="K802" i="15"/>
  <c r="K803" i="15"/>
  <c r="K804" i="15"/>
  <c r="K805" i="15"/>
  <c r="K806" i="15"/>
  <c r="K807" i="15"/>
  <c r="K808" i="15"/>
  <c r="K809" i="15"/>
  <c r="K810" i="15"/>
  <c r="K811" i="15"/>
  <c r="K812" i="15"/>
  <c r="K813" i="15"/>
  <c r="K814" i="15"/>
  <c r="K815" i="15"/>
  <c r="K816" i="15"/>
  <c r="K817" i="15"/>
  <c r="K818" i="15"/>
  <c r="K819" i="15"/>
  <c r="K820" i="15"/>
  <c r="K821" i="15"/>
  <c r="K823" i="15"/>
  <c r="K824" i="15"/>
  <c r="K825" i="15"/>
  <c r="K826" i="15"/>
  <c r="K827" i="15"/>
  <c r="K828" i="15"/>
  <c r="K829" i="15"/>
  <c r="K830" i="15"/>
  <c r="K831" i="15"/>
  <c r="K832" i="15"/>
  <c r="K833" i="15"/>
  <c r="K834" i="15"/>
  <c r="K835" i="15"/>
  <c r="K836" i="15"/>
  <c r="K837" i="15"/>
  <c r="K838" i="15"/>
  <c r="K839" i="15"/>
  <c r="K840" i="15"/>
  <c r="K841" i="15"/>
  <c r="K842" i="15"/>
  <c r="K843" i="15"/>
  <c r="K844" i="15"/>
  <c r="K845" i="15"/>
  <c r="K846" i="15"/>
  <c r="K847" i="15"/>
  <c r="K848" i="15"/>
  <c r="K849" i="15"/>
  <c r="K850" i="15"/>
  <c r="K851" i="15"/>
  <c r="K852" i="15"/>
  <c r="K853" i="15"/>
  <c r="K854" i="15"/>
  <c r="K855" i="15"/>
  <c r="K856" i="15"/>
  <c r="K857" i="15"/>
  <c r="K858" i="15"/>
  <c r="K859" i="15"/>
  <c r="K860" i="15"/>
  <c r="K861" i="15"/>
  <c r="K862" i="15"/>
  <c r="K863" i="15"/>
  <c r="K864" i="15"/>
  <c r="K865" i="15"/>
  <c r="K866" i="15"/>
  <c r="K867" i="15"/>
  <c r="K868" i="15"/>
  <c r="K869" i="15"/>
  <c r="K870" i="15"/>
  <c r="K871" i="15"/>
  <c r="K872" i="15"/>
  <c r="K873" i="15"/>
  <c r="K874" i="15"/>
  <c r="K875" i="15"/>
  <c r="K876" i="15"/>
  <c r="K877" i="15"/>
  <c r="K878" i="15"/>
  <c r="K879" i="15"/>
  <c r="K880" i="15"/>
  <c r="K881" i="15"/>
  <c r="K882" i="15"/>
  <c r="K883" i="15"/>
  <c r="K884" i="15"/>
  <c r="K885" i="15"/>
  <c r="K886" i="15"/>
  <c r="K887" i="15"/>
  <c r="K888" i="15"/>
  <c r="K889" i="15"/>
  <c r="K890" i="15"/>
  <c r="K891" i="15"/>
  <c r="K892" i="15"/>
  <c r="K893" i="15"/>
  <c r="K894" i="15"/>
  <c r="K895" i="15"/>
  <c r="K896" i="15"/>
  <c r="K897" i="15"/>
  <c r="K898" i="15"/>
  <c r="K899" i="15"/>
  <c r="K900" i="15"/>
  <c r="K901" i="15"/>
  <c r="K902" i="15"/>
  <c r="K903" i="15"/>
  <c r="K904" i="15"/>
  <c r="K905" i="15"/>
  <c r="K906" i="15"/>
  <c r="K907" i="15"/>
  <c r="K908" i="15"/>
  <c r="K909" i="15"/>
  <c r="K910" i="15"/>
  <c r="K911" i="15"/>
  <c r="K912" i="15"/>
  <c r="K913" i="15"/>
  <c r="K914" i="15"/>
  <c r="K915" i="15"/>
  <c r="K916" i="15"/>
  <c r="K917" i="15"/>
  <c r="K918" i="15"/>
  <c r="K919" i="15"/>
  <c r="K920" i="15"/>
  <c r="K921" i="15"/>
  <c r="K922" i="15"/>
  <c r="K923" i="15"/>
  <c r="K924" i="15"/>
  <c r="K925" i="15"/>
  <c r="K926" i="15"/>
  <c r="K927" i="15"/>
  <c r="K928" i="15"/>
  <c r="K929" i="15"/>
  <c r="K930" i="15"/>
  <c r="K931" i="15"/>
  <c r="K932" i="15"/>
  <c r="K933" i="15"/>
  <c r="K934" i="15"/>
  <c r="K935" i="15"/>
  <c r="K936" i="15"/>
  <c r="K937" i="15"/>
  <c r="K938" i="15"/>
  <c r="K939" i="15"/>
  <c r="K940" i="15"/>
  <c r="K941" i="15"/>
  <c r="K942" i="15"/>
  <c r="K943" i="15"/>
  <c r="K944" i="15"/>
  <c r="K945" i="15"/>
  <c r="K946" i="15"/>
  <c r="K947" i="15"/>
  <c r="K948" i="15"/>
  <c r="K949" i="15"/>
  <c r="K950" i="15"/>
  <c r="K951" i="15"/>
  <c r="K952" i="15"/>
  <c r="K953" i="15"/>
  <c r="K954" i="15"/>
  <c r="K955" i="15"/>
  <c r="K956" i="15"/>
  <c r="K957" i="15"/>
  <c r="K958" i="15"/>
  <c r="K959" i="15"/>
  <c r="K960" i="15"/>
  <c r="K961" i="15"/>
  <c r="K962" i="15"/>
  <c r="K963" i="15"/>
  <c r="K964" i="15"/>
  <c r="K965" i="15"/>
  <c r="K966" i="15"/>
  <c r="K967" i="15"/>
  <c r="K968" i="15"/>
  <c r="K969" i="15"/>
  <c r="K970" i="15"/>
  <c r="K971" i="15"/>
  <c r="K972" i="15"/>
  <c r="K973" i="15"/>
  <c r="K974" i="15"/>
  <c r="K975" i="15"/>
  <c r="K976" i="15"/>
  <c r="K977" i="15"/>
  <c r="K978" i="15"/>
  <c r="K979" i="15"/>
  <c r="K980" i="15"/>
  <c r="K981" i="15"/>
  <c r="K982" i="15"/>
  <c r="K983" i="15"/>
  <c r="K984" i="15"/>
  <c r="K985" i="15"/>
  <c r="K986" i="15"/>
  <c r="K987" i="15"/>
  <c r="K988" i="15"/>
  <c r="K989" i="15"/>
  <c r="K990" i="15"/>
  <c r="K991" i="15"/>
  <c r="K992" i="15"/>
  <c r="K993" i="15"/>
  <c r="K994" i="15"/>
  <c r="K995" i="15"/>
  <c r="K996" i="15"/>
  <c r="K997" i="15"/>
  <c r="K998" i="15"/>
  <c r="K999" i="15"/>
  <c r="K1000" i="15"/>
  <c r="K1001" i="15"/>
  <c r="K1002" i="15"/>
  <c r="K1003" i="15"/>
  <c r="K1004" i="15"/>
  <c r="K1005" i="15"/>
  <c r="K1006" i="15"/>
  <c r="K1007" i="15"/>
  <c r="K1008" i="15"/>
  <c r="K1009" i="15"/>
  <c r="K1010" i="15"/>
  <c r="K1011" i="15"/>
  <c r="K1012" i="15"/>
  <c r="K1013" i="15"/>
  <c r="K1014" i="15"/>
  <c r="K1015" i="15"/>
  <c r="K1016" i="15"/>
  <c r="K1017" i="15"/>
  <c r="K1018" i="15"/>
  <c r="K1019" i="15"/>
  <c r="K1020" i="15"/>
  <c r="K1021" i="15"/>
  <c r="K1022" i="15"/>
  <c r="K1023" i="15"/>
  <c r="K1024" i="15"/>
  <c r="K1025" i="15"/>
  <c r="K1026" i="15"/>
  <c r="K1027" i="15"/>
  <c r="K1028" i="15"/>
  <c r="K1029" i="15"/>
  <c r="K1030" i="15"/>
  <c r="K1031" i="15"/>
  <c r="K1032" i="15"/>
  <c r="K1033" i="15"/>
  <c r="K1034" i="15"/>
  <c r="K1035" i="15"/>
  <c r="K1036" i="15"/>
  <c r="K1037" i="15"/>
  <c r="K1038" i="15"/>
  <c r="K1039" i="15"/>
  <c r="K1040" i="15"/>
  <c r="K1041" i="15"/>
  <c r="K1042" i="15"/>
  <c r="K1043" i="15"/>
  <c r="K1044" i="15"/>
  <c r="K1045" i="15"/>
  <c r="K1046" i="15"/>
  <c r="K1047" i="15"/>
  <c r="K1048" i="15"/>
  <c r="K1049" i="15"/>
  <c r="K1050" i="15"/>
  <c r="K1051" i="15"/>
  <c r="K1052" i="15"/>
  <c r="K1053" i="15"/>
  <c r="K1054" i="15"/>
  <c r="K1055" i="15"/>
  <c r="K1056" i="15"/>
  <c r="K1057" i="15"/>
  <c r="K1058" i="15"/>
  <c r="K1059" i="15"/>
  <c r="K1060" i="15"/>
  <c r="K1061" i="15"/>
  <c r="K1062" i="15"/>
  <c r="K1063" i="15"/>
  <c r="K1064" i="15"/>
  <c r="K1065" i="15"/>
  <c r="K1066" i="15"/>
  <c r="K1067" i="15"/>
  <c r="K1068" i="15"/>
  <c r="K1069" i="15"/>
  <c r="K1070" i="15"/>
  <c r="K1071" i="15"/>
  <c r="K1072" i="15"/>
  <c r="K1073" i="15"/>
  <c r="K1074" i="15"/>
  <c r="K1075" i="15"/>
  <c r="K1076" i="15"/>
  <c r="K1077" i="15"/>
  <c r="K1078" i="15"/>
  <c r="K1079" i="15"/>
  <c r="K1080" i="15"/>
  <c r="K1081" i="15"/>
  <c r="K1082" i="15"/>
  <c r="K1083" i="15"/>
  <c r="K1084" i="15"/>
  <c r="K1085" i="15"/>
  <c r="K1086" i="15"/>
  <c r="K1087" i="15"/>
  <c r="K1088" i="15"/>
  <c r="K1089" i="15"/>
  <c r="K1090" i="15"/>
  <c r="K1091" i="15"/>
  <c r="K1092" i="15"/>
  <c r="K1093" i="15"/>
  <c r="K1094" i="15"/>
  <c r="K1095" i="15"/>
  <c r="K1096" i="15"/>
  <c r="K1097" i="15"/>
  <c r="K1098" i="15"/>
  <c r="K1099" i="15"/>
  <c r="K1100" i="15"/>
  <c r="K1101" i="15"/>
  <c r="K1102" i="15"/>
  <c r="K1103" i="15"/>
  <c r="K1104" i="15"/>
  <c r="K1105" i="15"/>
  <c r="K1106" i="15"/>
  <c r="K1107" i="15"/>
  <c r="K1108" i="15"/>
  <c r="K1109" i="15"/>
  <c r="K1110" i="15"/>
  <c r="K1111" i="15"/>
  <c r="K1112" i="15"/>
  <c r="K1113" i="15"/>
  <c r="K1114" i="15"/>
  <c r="K1115" i="15"/>
  <c r="K1116" i="15"/>
  <c r="K1117" i="15"/>
  <c r="K1118" i="15"/>
  <c r="K1119" i="15"/>
  <c r="K1120" i="15"/>
  <c r="K1121" i="15"/>
  <c r="K1122" i="15"/>
  <c r="K1123" i="15"/>
  <c r="K1124" i="15"/>
  <c r="K1125" i="15"/>
  <c r="K1126" i="15"/>
  <c r="K1127" i="15"/>
  <c r="K1128" i="15"/>
  <c r="K1129" i="15"/>
  <c r="K1130" i="15"/>
  <c r="K1131" i="15"/>
  <c r="K1132" i="15"/>
  <c r="K1133" i="15"/>
  <c r="K1134" i="15"/>
  <c r="K1135" i="15"/>
  <c r="K1136" i="15"/>
  <c r="K1137" i="15"/>
  <c r="K1138" i="15"/>
  <c r="K1139" i="15"/>
  <c r="K1140" i="15"/>
  <c r="K1141" i="15"/>
  <c r="K1142" i="15"/>
  <c r="K1143" i="15"/>
  <c r="K1144" i="15"/>
  <c r="K1145" i="15"/>
  <c r="K1146" i="15"/>
  <c r="K1147" i="15"/>
  <c r="K1148" i="15"/>
  <c r="K1149" i="15"/>
  <c r="K1150" i="15"/>
  <c r="K1151" i="15"/>
  <c r="K1152" i="15"/>
  <c r="K1153" i="15"/>
  <c r="K1154" i="15"/>
  <c r="K1155" i="15"/>
  <c r="K1156" i="15"/>
  <c r="K1157" i="15"/>
  <c r="K1158" i="15"/>
  <c r="K1159" i="15"/>
  <c r="K1160" i="15"/>
  <c r="K1161" i="15"/>
  <c r="K1162" i="15"/>
  <c r="K1163" i="15"/>
  <c r="K1164" i="15"/>
  <c r="K1165" i="15"/>
  <c r="K1166" i="15"/>
  <c r="K1167" i="15"/>
  <c r="K1168" i="15"/>
  <c r="K1169" i="15"/>
  <c r="K1170" i="15"/>
  <c r="K1171" i="15"/>
  <c r="K1172" i="15"/>
  <c r="K1173" i="15"/>
  <c r="K1174" i="15"/>
  <c r="K1175" i="15"/>
  <c r="K1176" i="15"/>
  <c r="K1177" i="15"/>
  <c r="K1178" i="15"/>
  <c r="K1179" i="15"/>
  <c r="K1180" i="15"/>
  <c r="K1181" i="15"/>
  <c r="K1182" i="15"/>
  <c r="K1183" i="15"/>
  <c r="K1184" i="15"/>
  <c r="K1185" i="15"/>
  <c r="K1186" i="15"/>
  <c r="K1187" i="15"/>
  <c r="K1188" i="15"/>
  <c r="K1189" i="15"/>
  <c r="K1190" i="15"/>
  <c r="K1191" i="15"/>
  <c r="K1192" i="15"/>
  <c r="K1193" i="15"/>
  <c r="K1194" i="15"/>
  <c r="K1195" i="15"/>
  <c r="K1196" i="15"/>
  <c r="K1197" i="15"/>
  <c r="K1198" i="15"/>
  <c r="K1199" i="15"/>
  <c r="K1200" i="15"/>
  <c r="K1201" i="15"/>
  <c r="K1202" i="15"/>
  <c r="K1203" i="15"/>
  <c r="K1204" i="15"/>
  <c r="K1205" i="15"/>
  <c r="K1206" i="15"/>
  <c r="K1207" i="15"/>
  <c r="K1208" i="15"/>
  <c r="K1209" i="15"/>
  <c r="K1210" i="15"/>
  <c r="K1211" i="15"/>
  <c r="K1212" i="15"/>
  <c r="K1213" i="15"/>
  <c r="K1214" i="15"/>
  <c r="K1215" i="15"/>
  <c r="K1216" i="15"/>
  <c r="K1217" i="15"/>
  <c r="K1218" i="15"/>
  <c r="K1219" i="15"/>
  <c r="K1220" i="15"/>
  <c r="K1221" i="15"/>
  <c r="K1222" i="15"/>
  <c r="K1223" i="15"/>
  <c r="K1224" i="15"/>
  <c r="K1225" i="15"/>
  <c r="K1226" i="15"/>
  <c r="K1227" i="15"/>
  <c r="K1228" i="15"/>
  <c r="K1229" i="15"/>
  <c r="K1230" i="15"/>
  <c r="K1231" i="15"/>
  <c r="K1232" i="15"/>
  <c r="K1233" i="15"/>
  <c r="K1234" i="15"/>
  <c r="K1235" i="15"/>
  <c r="K1236" i="15"/>
  <c r="K1237" i="15"/>
  <c r="K1238" i="15"/>
  <c r="K1239" i="15"/>
  <c r="K1240" i="15"/>
  <c r="K1241" i="15"/>
  <c r="K1242" i="15"/>
  <c r="K1243" i="15"/>
  <c r="K1244" i="15"/>
  <c r="K1245" i="15"/>
  <c r="K1246" i="15"/>
  <c r="K1247" i="15"/>
  <c r="K1248" i="15"/>
  <c r="K1249" i="15"/>
  <c r="K1250" i="15"/>
  <c r="K1251" i="15"/>
  <c r="K1252" i="15"/>
  <c r="K1253" i="15"/>
  <c r="K1254" i="15"/>
  <c r="K1255" i="15"/>
  <c r="K1256" i="15"/>
  <c r="K1257" i="15"/>
  <c r="K1258" i="15"/>
  <c r="K1259" i="15"/>
  <c r="K1260" i="15"/>
  <c r="K1261" i="15"/>
  <c r="K1262" i="15"/>
  <c r="K1263" i="15"/>
  <c r="K1264" i="15"/>
  <c r="K1265" i="15"/>
  <c r="K1266" i="15"/>
  <c r="K1267" i="15"/>
  <c r="K1268" i="15"/>
  <c r="K1269" i="15"/>
  <c r="K1270" i="15"/>
  <c r="K1271" i="15"/>
  <c r="K1272" i="15"/>
  <c r="K1273" i="15"/>
  <c r="K1274" i="15"/>
  <c r="K1275" i="15"/>
  <c r="K1276" i="15"/>
  <c r="K1277" i="15"/>
  <c r="K1278" i="15"/>
  <c r="K1279" i="15"/>
  <c r="K1280" i="15"/>
  <c r="K1281" i="15"/>
  <c r="K1282" i="15"/>
  <c r="K1283" i="15"/>
  <c r="K1284" i="15"/>
  <c r="K1285" i="15"/>
  <c r="K1286" i="15"/>
  <c r="K1287" i="15"/>
  <c r="K1288" i="15"/>
  <c r="K1289" i="15"/>
  <c r="K1290" i="15"/>
  <c r="K1291" i="15"/>
  <c r="K1292" i="15"/>
  <c r="K1293" i="15"/>
  <c r="K1294" i="15"/>
  <c r="K1295" i="15"/>
  <c r="K1296" i="15"/>
  <c r="K1297" i="15"/>
  <c r="K1298" i="15"/>
  <c r="K1299" i="15"/>
  <c r="K1300" i="15"/>
  <c r="K1301" i="15"/>
  <c r="K1302" i="15"/>
  <c r="K1303" i="15"/>
  <c r="K1304" i="15"/>
  <c r="K1305" i="15"/>
  <c r="K1306" i="15"/>
  <c r="K1307" i="15"/>
  <c r="K1308" i="15"/>
  <c r="K1309" i="15"/>
  <c r="K1310" i="15"/>
  <c r="K1311" i="15"/>
  <c r="K1312" i="15"/>
  <c r="K1313" i="15"/>
  <c r="K1314" i="15"/>
  <c r="K1316" i="15"/>
  <c r="K1317" i="15"/>
  <c r="K1318" i="15"/>
  <c r="K1319" i="15"/>
  <c r="K1320" i="15"/>
  <c r="K1321" i="15"/>
  <c r="K1322" i="15"/>
  <c r="K1323" i="15"/>
  <c r="K1324" i="15"/>
  <c r="K1325" i="15"/>
  <c r="K1326" i="15"/>
  <c r="K1327" i="15"/>
  <c r="K1328" i="15"/>
  <c r="K1329" i="15"/>
  <c r="K1330" i="15"/>
  <c r="K1331" i="15"/>
  <c r="K1332" i="15"/>
  <c r="K1333" i="15"/>
  <c r="K1334" i="15"/>
  <c r="K1335" i="15"/>
  <c r="K1336" i="15"/>
  <c r="K1337" i="15"/>
  <c r="K1338" i="15"/>
  <c r="K1339" i="15"/>
  <c r="K1340" i="15"/>
  <c r="K1341" i="15"/>
  <c r="K1342" i="15"/>
  <c r="K1343" i="15"/>
  <c r="K1344" i="15"/>
  <c r="K1345" i="15"/>
  <c r="K1346" i="15"/>
  <c r="K1347" i="15"/>
  <c r="K1348" i="15"/>
  <c r="K1349" i="15"/>
  <c r="K1350" i="15"/>
  <c r="K1351" i="15"/>
  <c r="K1352" i="15"/>
  <c r="K1353" i="15"/>
  <c r="K1354" i="15"/>
  <c r="K1355" i="15"/>
  <c r="K1356" i="15"/>
  <c r="K1357" i="15"/>
  <c r="K1358" i="15"/>
  <c r="K1359" i="15"/>
  <c r="K1360" i="15"/>
  <c r="K1361" i="15"/>
  <c r="K1362" i="15"/>
  <c r="K1363" i="15"/>
  <c r="K1364" i="15"/>
  <c r="K1365" i="15"/>
  <c r="K1366" i="15"/>
  <c r="K1367" i="15"/>
  <c r="K1368" i="15"/>
  <c r="K1369" i="15"/>
  <c r="K1370" i="15"/>
  <c r="K1371" i="15"/>
  <c r="K1372" i="15"/>
  <c r="K1373" i="15"/>
  <c r="K1374" i="15"/>
  <c r="K1375" i="15"/>
  <c r="K1376" i="15"/>
  <c r="K1377" i="15"/>
  <c r="K1378" i="15"/>
  <c r="K1379" i="15"/>
  <c r="K1380" i="15"/>
  <c r="K1381" i="15"/>
  <c r="K1382" i="15"/>
  <c r="K1383" i="15"/>
  <c r="K1384" i="15"/>
  <c r="K1385" i="15"/>
  <c r="K1386" i="15"/>
  <c r="K1387" i="15"/>
  <c r="K1388" i="15"/>
  <c r="K1389" i="15"/>
  <c r="K1390" i="15"/>
  <c r="K1391" i="15"/>
  <c r="K1392" i="15"/>
  <c r="K1393" i="15"/>
  <c r="K1394" i="15"/>
  <c r="K1395" i="15"/>
  <c r="K1396" i="15"/>
  <c r="K1397" i="15"/>
  <c r="K1398" i="15"/>
  <c r="K1399" i="15"/>
  <c r="K1400" i="15"/>
  <c r="K1401" i="15"/>
  <c r="K1402" i="15"/>
  <c r="K1403" i="15"/>
  <c r="K1404" i="15"/>
  <c r="K1405" i="15"/>
  <c r="K1406" i="15"/>
  <c r="K1407" i="15"/>
  <c r="K1408" i="15"/>
  <c r="K1409" i="15"/>
  <c r="K1410" i="15"/>
  <c r="K1411" i="15"/>
  <c r="K1412" i="15"/>
  <c r="K1413" i="15"/>
  <c r="K1414" i="15"/>
  <c r="K1415" i="15"/>
  <c r="K1416" i="15"/>
  <c r="K1417" i="15"/>
  <c r="K1418" i="15"/>
  <c r="K1419" i="15"/>
  <c r="K1420" i="15"/>
  <c r="K1421" i="15"/>
  <c r="K1422" i="15"/>
  <c r="K1423" i="15"/>
  <c r="K1424" i="15"/>
  <c r="K1425" i="15"/>
  <c r="K1426" i="15"/>
  <c r="K1427" i="15"/>
  <c r="K1428" i="15"/>
  <c r="K1429" i="15"/>
  <c r="K1430" i="15"/>
  <c r="K1431" i="15"/>
  <c r="K1432" i="15"/>
  <c r="K1433" i="15"/>
  <c r="K1434" i="15"/>
  <c r="K1435" i="15"/>
  <c r="K1436" i="15"/>
  <c r="K1437" i="15"/>
  <c r="K1438" i="15"/>
  <c r="K1439" i="15"/>
  <c r="K1440" i="15"/>
  <c r="K1441" i="15"/>
  <c r="K1442" i="15"/>
  <c r="K1443" i="15"/>
  <c r="K1444" i="15"/>
  <c r="K1445" i="15"/>
  <c r="K1446" i="15"/>
  <c r="K1447" i="15"/>
  <c r="K1448" i="15"/>
  <c r="K1449" i="15"/>
  <c r="K1450" i="15"/>
  <c r="K1451" i="15"/>
  <c r="K1452" i="15"/>
  <c r="K1453" i="15"/>
  <c r="K1454" i="15"/>
  <c r="K1455" i="15"/>
  <c r="K1456" i="15"/>
  <c r="K1457" i="15"/>
  <c r="K1458" i="15"/>
  <c r="K1459" i="15"/>
  <c r="K1460" i="15"/>
  <c r="K1461" i="15"/>
  <c r="K1462" i="15"/>
  <c r="K1463" i="15"/>
  <c r="K1464" i="15"/>
  <c r="K1465" i="15"/>
  <c r="K1466" i="15"/>
  <c r="K1467" i="15"/>
  <c r="K1468" i="15"/>
  <c r="K1469" i="15"/>
  <c r="K1470" i="15"/>
  <c r="K1471" i="15"/>
  <c r="K1472" i="15"/>
  <c r="K1473" i="15"/>
  <c r="K1474" i="15"/>
  <c r="K1475" i="15"/>
  <c r="K1476" i="15"/>
  <c r="K1477" i="15"/>
  <c r="K1478" i="15"/>
  <c r="K1479" i="15"/>
  <c r="K1480" i="15"/>
  <c r="K1481" i="15"/>
  <c r="K1482" i="15"/>
  <c r="K1483" i="15"/>
  <c r="K1484" i="15"/>
  <c r="K1485" i="15"/>
  <c r="K1486" i="15"/>
  <c r="K1487" i="15"/>
  <c r="K1488" i="15"/>
  <c r="K1489" i="15"/>
  <c r="K1490" i="15"/>
  <c r="K1491" i="15"/>
  <c r="K1492" i="15"/>
  <c r="K1493" i="15"/>
  <c r="K1494" i="15"/>
  <c r="K1495" i="15"/>
  <c r="K1496" i="15"/>
  <c r="K1497" i="15"/>
  <c r="K1498" i="15"/>
  <c r="K1499" i="15"/>
  <c r="K1500" i="15"/>
  <c r="K1501" i="15"/>
  <c r="K1502" i="15"/>
  <c r="K1503" i="15"/>
  <c r="K1504" i="15"/>
  <c r="K1505" i="15"/>
  <c r="K1506" i="15"/>
  <c r="K1507" i="15"/>
  <c r="K1508" i="15"/>
  <c r="K1509" i="15"/>
  <c r="K1510" i="15"/>
  <c r="K1511" i="15"/>
  <c r="K1512" i="15"/>
  <c r="K1513" i="15"/>
  <c r="K1514" i="15"/>
  <c r="K1515" i="15"/>
  <c r="K1516" i="15"/>
  <c r="K1517" i="15"/>
  <c r="K1518" i="15"/>
  <c r="K1519" i="15"/>
  <c r="K1520" i="15"/>
  <c r="K1521" i="15"/>
  <c r="K1522" i="15"/>
  <c r="K1523" i="15"/>
  <c r="K1524" i="15"/>
  <c r="K1525" i="15"/>
  <c r="K1526" i="15"/>
  <c r="K1527" i="15"/>
  <c r="K1528" i="15"/>
  <c r="K1529" i="15"/>
  <c r="K1530" i="15"/>
  <c r="K1531" i="15"/>
  <c r="K1532" i="15"/>
  <c r="K1533" i="15"/>
  <c r="K1534" i="15"/>
  <c r="K1535" i="15"/>
  <c r="K1536" i="15"/>
  <c r="K1537" i="15"/>
  <c r="K1538" i="15"/>
  <c r="K1539" i="15"/>
  <c r="K1540" i="15"/>
  <c r="K1541" i="15"/>
  <c r="K1542" i="15"/>
  <c r="K1543" i="15"/>
  <c r="K1544" i="15"/>
  <c r="K1545" i="15"/>
  <c r="K1546" i="15"/>
  <c r="K1547" i="15"/>
  <c r="K1548" i="15"/>
  <c r="K1549" i="15"/>
  <c r="K1550" i="15"/>
  <c r="K1551" i="15"/>
  <c r="K1552" i="15"/>
  <c r="K1553" i="15"/>
  <c r="K1554" i="15"/>
  <c r="K1555" i="15"/>
  <c r="K1556" i="15"/>
  <c r="K1557" i="15"/>
  <c r="K1558" i="15"/>
  <c r="K1559" i="15"/>
  <c r="K1560" i="15"/>
  <c r="K1561" i="15"/>
  <c r="K1562" i="15"/>
  <c r="K1563" i="15"/>
  <c r="K1564" i="15"/>
  <c r="K1565" i="15"/>
  <c r="K1566" i="15"/>
  <c r="K1567" i="15"/>
  <c r="K1568" i="15"/>
  <c r="K1569" i="15"/>
  <c r="K1570" i="15"/>
  <c r="K1571" i="15"/>
  <c r="K1572" i="15"/>
  <c r="K1573" i="15"/>
  <c r="K1574" i="15"/>
  <c r="K1575" i="15"/>
  <c r="K1576" i="15"/>
  <c r="K1577" i="15"/>
  <c r="K1578" i="15"/>
  <c r="K1579" i="15"/>
  <c r="K1580" i="15"/>
  <c r="K1581" i="15"/>
  <c r="K1582" i="15"/>
  <c r="K1583" i="15"/>
  <c r="K1584" i="15"/>
  <c r="K1585" i="15"/>
  <c r="K1586" i="15"/>
  <c r="K1587" i="15"/>
  <c r="K1588" i="15"/>
  <c r="K1589" i="15"/>
  <c r="K1590" i="15"/>
  <c r="K1591" i="15"/>
  <c r="K1592" i="15"/>
  <c r="K1593" i="15"/>
  <c r="K1594" i="15"/>
  <c r="K1595" i="15"/>
  <c r="K1596" i="15"/>
  <c r="K1597" i="15"/>
  <c r="K1598" i="15"/>
  <c r="K1599" i="15"/>
  <c r="K1600" i="15"/>
  <c r="K1601" i="15"/>
  <c r="K1602" i="15"/>
  <c r="K1603" i="15"/>
  <c r="K1604" i="15"/>
  <c r="K1605" i="15"/>
  <c r="K1606" i="15"/>
  <c r="K1607" i="15"/>
  <c r="K1608" i="15"/>
  <c r="K1609" i="15"/>
  <c r="K1610" i="15"/>
  <c r="K1611" i="15"/>
  <c r="K1612" i="15"/>
  <c r="K1613" i="15"/>
  <c r="K1614" i="15"/>
  <c r="K1615" i="15"/>
  <c r="K1616" i="15"/>
  <c r="K1617" i="15"/>
  <c r="K1618" i="15"/>
  <c r="K1619" i="15"/>
  <c r="K1620" i="15"/>
  <c r="K1621" i="15"/>
  <c r="K1622" i="15"/>
  <c r="K1623" i="15"/>
  <c r="K1624" i="15"/>
  <c r="K1625" i="15"/>
  <c r="K1626" i="15"/>
  <c r="K1627" i="15"/>
  <c r="K1628" i="15"/>
  <c r="K1629" i="15"/>
  <c r="K1630" i="15"/>
  <c r="K1631" i="15"/>
  <c r="K1632" i="15"/>
  <c r="K1633" i="15"/>
  <c r="K1634" i="15"/>
  <c r="K1635" i="15"/>
  <c r="K1636" i="15"/>
  <c r="K1637" i="15"/>
  <c r="K1638" i="15"/>
  <c r="K1639" i="15"/>
  <c r="K1640" i="15"/>
  <c r="K1641" i="15"/>
  <c r="K1642" i="15"/>
  <c r="K1643" i="15"/>
  <c r="K1644" i="15"/>
  <c r="K1645" i="15"/>
  <c r="K1646" i="15"/>
  <c r="K1647" i="15"/>
  <c r="K1648" i="15"/>
  <c r="K1649" i="15"/>
  <c r="K1650" i="15"/>
  <c r="K1651" i="15"/>
  <c r="K1652" i="15"/>
  <c r="K1653" i="15"/>
  <c r="K1654" i="15"/>
  <c r="K1655" i="15"/>
  <c r="K1656" i="15"/>
  <c r="K1657" i="15"/>
  <c r="K1658" i="15"/>
  <c r="K1659" i="15"/>
  <c r="K1660" i="15"/>
  <c r="K1661" i="15"/>
  <c r="K1662" i="15"/>
  <c r="K1663" i="15"/>
  <c r="K1664" i="15"/>
  <c r="K1665" i="15"/>
  <c r="K1666" i="15"/>
  <c r="K1667" i="15"/>
  <c r="K1668" i="15"/>
  <c r="K1669" i="15"/>
  <c r="K1670" i="15"/>
  <c r="K1671" i="15"/>
  <c r="K1672" i="15"/>
  <c r="K1673" i="15"/>
  <c r="K1674" i="15"/>
  <c r="K1675" i="15"/>
  <c r="K1676" i="15"/>
  <c r="K1677" i="15"/>
  <c r="K1678" i="15"/>
  <c r="K1679" i="15"/>
  <c r="K1680" i="15"/>
  <c r="K1681" i="15"/>
  <c r="K1682" i="15"/>
  <c r="K1683" i="15"/>
  <c r="K1684" i="15"/>
  <c r="K1685" i="15"/>
  <c r="K1686" i="15"/>
  <c r="K1687" i="15"/>
  <c r="K1688" i="15"/>
  <c r="K1689" i="15"/>
  <c r="K1690" i="15"/>
  <c r="K1691" i="15"/>
  <c r="K1692" i="15"/>
  <c r="K1693" i="15"/>
  <c r="K1694" i="15"/>
  <c r="K1695" i="15"/>
  <c r="K1696" i="15"/>
  <c r="K1697" i="15"/>
  <c r="K1698" i="15"/>
  <c r="K1699" i="15"/>
  <c r="K1700" i="15"/>
  <c r="K1701" i="15"/>
  <c r="K1702" i="15"/>
  <c r="K1703" i="15"/>
  <c r="K1704" i="15"/>
  <c r="K1705" i="15"/>
  <c r="K1706" i="15"/>
  <c r="K1707" i="15"/>
  <c r="K1708" i="15"/>
  <c r="K1709" i="15"/>
  <c r="K1710" i="15"/>
  <c r="K1711" i="15"/>
  <c r="K1712" i="15"/>
  <c r="K1713" i="15"/>
  <c r="K1714" i="15"/>
  <c r="K1715" i="15"/>
  <c r="K1716" i="15"/>
  <c r="K1717" i="15"/>
  <c r="K1718" i="15"/>
  <c r="K1719" i="15"/>
  <c r="K1720" i="15"/>
  <c r="K1721" i="15"/>
  <c r="K1722" i="15"/>
  <c r="K1723" i="15"/>
  <c r="K1724" i="15"/>
  <c r="K1725" i="15"/>
  <c r="K1726" i="15"/>
  <c r="K1727" i="15"/>
  <c r="K1728" i="15"/>
  <c r="K1729" i="15"/>
  <c r="K1730" i="15"/>
  <c r="K1731" i="15"/>
  <c r="K1732" i="15"/>
  <c r="K1733" i="15"/>
  <c r="K1734" i="15"/>
  <c r="K1735" i="15"/>
  <c r="K1736" i="15"/>
  <c r="K1737" i="15"/>
  <c r="K1738" i="15"/>
  <c r="K1739" i="15"/>
  <c r="K1740" i="15"/>
  <c r="K1741" i="15"/>
  <c r="K1742" i="15"/>
  <c r="K1743" i="15"/>
  <c r="K1744" i="15"/>
  <c r="K1745" i="15"/>
  <c r="K1746" i="15"/>
  <c r="K1747" i="15"/>
  <c r="K1748" i="15"/>
  <c r="K1749" i="15"/>
  <c r="K1750" i="15"/>
  <c r="K1751" i="15"/>
  <c r="K1752" i="15"/>
  <c r="K1753" i="15"/>
  <c r="K1754" i="15"/>
  <c r="K1755" i="15"/>
  <c r="K1756" i="15"/>
  <c r="K1757" i="15"/>
  <c r="K1758" i="15"/>
  <c r="K1759" i="15"/>
  <c r="K1760" i="15"/>
  <c r="K1761" i="15"/>
  <c r="K1762" i="15"/>
  <c r="K1763" i="15"/>
  <c r="K1764" i="15"/>
  <c r="K1765" i="15"/>
  <c r="K1766" i="15"/>
  <c r="K1767" i="15"/>
  <c r="K1768" i="15"/>
  <c r="K1769" i="15"/>
  <c r="K1770" i="15"/>
  <c r="K1771" i="15"/>
  <c r="K1772" i="15"/>
  <c r="K1773" i="15"/>
  <c r="K1774" i="15"/>
  <c r="K1775" i="15"/>
  <c r="K1776" i="15"/>
  <c r="K1777" i="15"/>
  <c r="K1778" i="15"/>
  <c r="K1779" i="15"/>
  <c r="K1780" i="15"/>
  <c r="K1781" i="15"/>
  <c r="K1782" i="15"/>
  <c r="K1783" i="15"/>
  <c r="K1784" i="15"/>
  <c r="K1785" i="15"/>
  <c r="K1786" i="15"/>
  <c r="K1787" i="15"/>
  <c r="K1788" i="15"/>
  <c r="K1789" i="15"/>
  <c r="K1790" i="15"/>
  <c r="K1791" i="15"/>
  <c r="K1792" i="15"/>
  <c r="K1793" i="15"/>
  <c r="K1794" i="15"/>
  <c r="K1795" i="15"/>
  <c r="K1796" i="15"/>
  <c r="K1797" i="15"/>
  <c r="K1798" i="15"/>
  <c r="K1799" i="15"/>
  <c r="K1800" i="15"/>
  <c r="K1801" i="15"/>
  <c r="K1802" i="15"/>
  <c r="K1803" i="15"/>
  <c r="K1804" i="15"/>
  <c r="K1805" i="15"/>
  <c r="K1806" i="15"/>
  <c r="K1807" i="15"/>
  <c r="K1808" i="15"/>
  <c r="K1809" i="15"/>
  <c r="K1810" i="15"/>
  <c r="K1811" i="15"/>
  <c r="K1812" i="15"/>
  <c r="K1813" i="15"/>
  <c r="K1814" i="15"/>
  <c r="K1815" i="15"/>
  <c r="K1816" i="15"/>
  <c r="K1817" i="15"/>
  <c r="K1818" i="15"/>
  <c r="K1819" i="15"/>
  <c r="K1820" i="15"/>
  <c r="K1821" i="15"/>
  <c r="K1822" i="15"/>
  <c r="K1823" i="15"/>
  <c r="K1824" i="15"/>
  <c r="K1825" i="15"/>
  <c r="K1826" i="15"/>
  <c r="K1827" i="15"/>
  <c r="K1828" i="15"/>
  <c r="K1829" i="15"/>
  <c r="K1830" i="15"/>
  <c r="K1831" i="15"/>
  <c r="K1832" i="15"/>
  <c r="K1833" i="15"/>
  <c r="K1834" i="15"/>
  <c r="K1835" i="15"/>
  <c r="K1836" i="15"/>
  <c r="K1837" i="15"/>
  <c r="K1838" i="15"/>
  <c r="K1839" i="15"/>
  <c r="K1840" i="15"/>
  <c r="K1841" i="15"/>
  <c r="K1842" i="15"/>
  <c r="K1843" i="15"/>
  <c r="K1844" i="15"/>
  <c r="K1845" i="15"/>
  <c r="K1846" i="15"/>
  <c r="K1847" i="15"/>
  <c r="K1848" i="15"/>
  <c r="K1849" i="15"/>
  <c r="K1850" i="15"/>
  <c r="K1851" i="15"/>
  <c r="K1852" i="15"/>
  <c r="K1853" i="15"/>
  <c r="K1854" i="15"/>
  <c r="K1855" i="15"/>
  <c r="K1856" i="15"/>
  <c r="K1857" i="15"/>
  <c r="K1858" i="15"/>
  <c r="K1859" i="15"/>
  <c r="K1860" i="15"/>
  <c r="K1861" i="15"/>
  <c r="K1862" i="15"/>
  <c r="K1863" i="15"/>
  <c r="K1864" i="15"/>
  <c r="K1865" i="15"/>
  <c r="K1866" i="15"/>
  <c r="K1867" i="15"/>
  <c r="K1868" i="15"/>
  <c r="K1869" i="15"/>
  <c r="K1870" i="15"/>
  <c r="K1871" i="15"/>
  <c r="K1872" i="15"/>
  <c r="K1873" i="15"/>
  <c r="K1874" i="15"/>
  <c r="K1875" i="15"/>
  <c r="K1876" i="15"/>
  <c r="K1877" i="15"/>
  <c r="K1878" i="15"/>
  <c r="K1879" i="15"/>
  <c r="K1880" i="15"/>
  <c r="K1881" i="15"/>
  <c r="K1882" i="15"/>
  <c r="K1883" i="15"/>
  <c r="K1884" i="15"/>
  <c r="K1885" i="15"/>
  <c r="K1886" i="15"/>
  <c r="K1887" i="15"/>
  <c r="K1888" i="15"/>
  <c r="K1889" i="15"/>
  <c r="K1890" i="15"/>
  <c r="K1891" i="15"/>
  <c r="K1892" i="15"/>
  <c r="K1893" i="15"/>
  <c r="K1894" i="15"/>
  <c r="K1895" i="15"/>
  <c r="K1896" i="15"/>
  <c r="K1897" i="15"/>
  <c r="K1898" i="15"/>
  <c r="K1899" i="15"/>
  <c r="K1900" i="15"/>
  <c r="K1901" i="15"/>
  <c r="K1902" i="15"/>
  <c r="K1903" i="15"/>
  <c r="K1904" i="15"/>
  <c r="K1905" i="15"/>
  <c r="K1906" i="15"/>
  <c r="K1907" i="15"/>
  <c r="K1908" i="15"/>
  <c r="K1909" i="15"/>
  <c r="K1910" i="15"/>
  <c r="K1911" i="15"/>
  <c r="K1912" i="15"/>
  <c r="K1913" i="15"/>
  <c r="K1914" i="15"/>
  <c r="K1915" i="15"/>
  <c r="K1916" i="15"/>
  <c r="K1917" i="15"/>
  <c r="K1918" i="15"/>
  <c r="K1919" i="15"/>
  <c r="K1920" i="15"/>
  <c r="K1921" i="15"/>
  <c r="K1922" i="15"/>
  <c r="K1923" i="15"/>
  <c r="K1924" i="15"/>
  <c r="K1925" i="15"/>
  <c r="K1926" i="15"/>
  <c r="K1927" i="15"/>
  <c r="K1928" i="15"/>
  <c r="K1929" i="15"/>
  <c r="K1930" i="15"/>
  <c r="K1931" i="15"/>
  <c r="K1932" i="15"/>
  <c r="K1933" i="15"/>
  <c r="K1934" i="15"/>
  <c r="K1935" i="15"/>
  <c r="K1936" i="15"/>
  <c r="K1937" i="15"/>
  <c r="K1938" i="15"/>
  <c r="K1939" i="15"/>
  <c r="K1940" i="15"/>
  <c r="K1941" i="15"/>
  <c r="K1942" i="15"/>
  <c r="K1943" i="15"/>
  <c r="K1944" i="15"/>
  <c r="K1945" i="15"/>
  <c r="K1946" i="15"/>
  <c r="K1947" i="15"/>
  <c r="K1948" i="15"/>
  <c r="K1949" i="15"/>
  <c r="K1950" i="15"/>
  <c r="K1951" i="15"/>
  <c r="K1952" i="15"/>
  <c r="K1953" i="15"/>
  <c r="K1954" i="15"/>
  <c r="K1955" i="15"/>
  <c r="K1956" i="15"/>
  <c r="K1957" i="15"/>
  <c r="K1958" i="15"/>
  <c r="K1959" i="15"/>
  <c r="K1960" i="15"/>
  <c r="K1961" i="15"/>
  <c r="K1962" i="15"/>
  <c r="K1963" i="15"/>
  <c r="K1964" i="15"/>
  <c r="K1965" i="15"/>
  <c r="K1966" i="15"/>
  <c r="K1967" i="15"/>
  <c r="K1968" i="15"/>
  <c r="K1969" i="15"/>
  <c r="K1970" i="15"/>
  <c r="K1971" i="15"/>
  <c r="K1972" i="15"/>
  <c r="K1973" i="15"/>
  <c r="K1974" i="15"/>
  <c r="K1975" i="15"/>
  <c r="K1976" i="15"/>
  <c r="K1977" i="15"/>
  <c r="K1978" i="15"/>
  <c r="K1979" i="15"/>
  <c r="K1980" i="15"/>
  <c r="K1981" i="15"/>
  <c r="K1982" i="15"/>
  <c r="K1983" i="15"/>
  <c r="K1984" i="15"/>
  <c r="K1985" i="15"/>
  <c r="K1986" i="15"/>
  <c r="K1987" i="15"/>
  <c r="K1988" i="15"/>
  <c r="K1989" i="15"/>
  <c r="K1990" i="15"/>
  <c r="K1991" i="15"/>
  <c r="K1992" i="15"/>
  <c r="K1993" i="15"/>
  <c r="K1994" i="15"/>
  <c r="K1995" i="15"/>
  <c r="K1996" i="15"/>
  <c r="K1997" i="15"/>
  <c r="K1998" i="15"/>
  <c r="K1999" i="15"/>
  <c r="K2000" i="15"/>
  <c r="K2001" i="15"/>
  <c r="K2002" i="15"/>
  <c r="K2003" i="15"/>
  <c r="K2004" i="15"/>
  <c r="K2005" i="15"/>
  <c r="K2006" i="15"/>
  <c r="K2007" i="15"/>
  <c r="K2008" i="15"/>
  <c r="K2009" i="15"/>
  <c r="K2010" i="15"/>
  <c r="K2011" i="15"/>
  <c r="K2012" i="15"/>
  <c r="K2013" i="15"/>
  <c r="K2014" i="15"/>
  <c r="K2015" i="15"/>
  <c r="K2016" i="15"/>
  <c r="K2017" i="15"/>
  <c r="K2018" i="15"/>
  <c r="K2019" i="15"/>
  <c r="K2020" i="15"/>
  <c r="K2021" i="15"/>
  <c r="K2022" i="15"/>
  <c r="K2023" i="15"/>
  <c r="K2024" i="15"/>
  <c r="K2025" i="15"/>
  <c r="K2026" i="15"/>
  <c r="K2027" i="15"/>
  <c r="K2028" i="15"/>
  <c r="K2029" i="15"/>
  <c r="K2030" i="15"/>
  <c r="K2031" i="15"/>
  <c r="K2032" i="15"/>
  <c r="K2033" i="15"/>
  <c r="K2034" i="15"/>
  <c r="K2035" i="15"/>
  <c r="K2036" i="15"/>
  <c r="K2037" i="15"/>
  <c r="K2038" i="15"/>
  <c r="K2039" i="15"/>
  <c r="K2040" i="15"/>
  <c r="K2041" i="15"/>
  <c r="K2042" i="15"/>
  <c r="K2043" i="15"/>
  <c r="K2044" i="15"/>
  <c r="K2045" i="15"/>
  <c r="K2046" i="15"/>
  <c r="K2047" i="15"/>
  <c r="K2048" i="15"/>
  <c r="K2049" i="15"/>
  <c r="K2050" i="15"/>
  <c r="K2051" i="15"/>
  <c r="K2052" i="15"/>
  <c r="K2053" i="15"/>
  <c r="K2054" i="15"/>
  <c r="K2055" i="15"/>
  <c r="K2056" i="15"/>
  <c r="K2057" i="15"/>
  <c r="K2058" i="15"/>
  <c r="K2059" i="15"/>
  <c r="K2060" i="15"/>
  <c r="K2061" i="15"/>
  <c r="K2062" i="15"/>
  <c r="K2063" i="15"/>
  <c r="K2064" i="15"/>
  <c r="K2065" i="15"/>
  <c r="K2066" i="15"/>
  <c r="K2067" i="15"/>
  <c r="K2068" i="15"/>
  <c r="K2069" i="15"/>
  <c r="K2070" i="15"/>
  <c r="K2071" i="15"/>
  <c r="K2072" i="15"/>
  <c r="K2073" i="15"/>
  <c r="K2074" i="15"/>
  <c r="K2075" i="15"/>
  <c r="K2076" i="15"/>
  <c r="K2077" i="15"/>
  <c r="K2078" i="15"/>
  <c r="K2079" i="15"/>
  <c r="K2080" i="15"/>
  <c r="K2081" i="15"/>
  <c r="K2082" i="15"/>
  <c r="K2083" i="15"/>
  <c r="K2084" i="15"/>
  <c r="K2085" i="15"/>
  <c r="K2086" i="15"/>
  <c r="K2087" i="15"/>
  <c r="K2088" i="15"/>
  <c r="K2089" i="15"/>
  <c r="K2090" i="15"/>
  <c r="K2091" i="15"/>
  <c r="K2092" i="15"/>
  <c r="K2093" i="15"/>
  <c r="K2094" i="15"/>
  <c r="K2095" i="15"/>
  <c r="K2096" i="15"/>
  <c r="K2097" i="15"/>
  <c r="K2098" i="15"/>
  <c r="K2099" i="15"/>
  <c r="K2100" i="15"/>
  <c r="K2101" i="15"/>
  <c r="K2102" i="15"/>
  <c r="K2103" i="15"/>
  <c r="K2104" i="15"/>
  <c r="K2105" i="15"/>
  <c r="K2106" i="15"/>
  <c r="K2107" i="15"/>
  <c r="K2108" i="15"/>
  <c r="K2109" i="15"/>
  <c r="K2110" i="15"/>
  <c r="K2111" i="15"/>
  <c r="K2112" i="15"/>
  <c r="K2113" i="15"/>
  <c r="K2114" i="15"/>
  <c r="K2115" i="15"/>
  <c r="K2116" i="15"/>
  <c r="K2117" i="15"/>
  <c r="K2118" i="15"/>
  <c r="K2119" i="15"/>
  <c r="K2120" i="15"/>
  <c r="K2121" i="15"/>
  <c r="K2122" i="15"/>
  <c r="K2123" i="15"/>
  <c r="K2124" i="15"/>
  <c r="K2125" i="15"/>
  <c r="K2126" i="15"/>
  <c r="K2127" i="15"/>
  <c r="K2128" i="15"/>
  <c r="K2129" i="15"/>
  <c r="K2130" i="15"/>
  <c r="K2131" i="15"/>
  <c r="K2132" i="15"/>
  <c r="K2133" i="15"/>
  <c r="K2134" i="15"/>
  <c r="K2135" i="15"/>
  <c r="K2136" i="15"/>
  <c r="K2137" i="15"/>
  <c r="K2138" i="15"/>
  <c r="K2139" i="15"/>
  <c r="K2140" i="15"/>
  <c r="K2141" i="15"/>
  <c r="K2142" i="15"/>
  <c r="K2143" i="15"/>
  <c r="K2144" i="15"/>
  <c r="K2145" i="15"/>
  <c r="K2146" i="15"/>
  <c r="K2147" i="15"/>
  <c r="K2148" i="15"/>
  <c r="K2149" i="15"/>
  <c r="K2150" i="15"/>
  <c r="K2151" i="15"/>
  <c r="K2152" i="15"/>
  <c r="K2153" i="15"/>
  <c r="K2154" i="15"/>
  <c r="K2155" i="15"/>
  <c r="K2156" i="15"/>
  <c r="K2157" i="15"/>
  <c r="K2158" i="15"/>
  <c r="K2159" i="15"/>
  <c r="K2160" i="15"/>
  <c r="K2161" i="15"/>
  <c r="K2162" i="15"/>
  <c r="K2163" i="15"/>
  <c r="K2164" i="15"/>
  <c r="K2165" i="15"/>
  <c r="K2166" i="15"/>
  <c r="K2167" i="15"/>
  <c r="K2168" i="15"/>
  <c r="K2169" i="15"/>
  <c r="K2170" i="15"/>
  <c r="K2171" i="15"/>
  <c r="K2172" i="15"/>
  <c r="K2173" i="15"/>
  <c r="K2174" i="15"/>
  <c r="K2175" i="15"/>
  <c r="K2176" i="15"/>
  <c r="K2177" i="15"/>
  <c r="K2178" i="15"/>
  <c r="K2179" i="15"/>
  <c r="K2180" i="15"/>
  <c r="K2181" i="15"/>
  <c r="K2182" i="15"/>
  <c r="K2183" i="15"/>
  <c r="K2184" i="15"/>
  <c r="K2185" i="15"/>
  <c r="K2186" i="15"/>
  <c r="K2187" i="15"/>
  <c r="K2188" i="15"/>
  <c r="K2189" i="15"/>
  <c r="K2190" i="15"/>
  <c r="K2191" i="15"/>
  <c r="K2192" i="15"/>
  <c r="K2193" i="15"/>
  <c r="K2194" i="15"/>
  <c r="K2195" i="15"/>
  <c r="K2196" i="15"/>
  <c r="K2197" i="15"/>
  <c r="K2198" i="15"/>
  <c r="K2199" i="15"/>
  <c r="K2200" i="15"/>
  <c r="K2201" i="15"/>
  <c r="K2202" i="15"/>
  <c r="K2203" i="15"/>
  <c r="K2204" i="15"/>
  <c r="K2205" i="15"/>
  <c r="K2206" i="15"/>
  <c r="K2207" i="15"/>
  <c r="K2208" i="15"/>
  <c r="K2209" i="15"/>
  <c r="K2210" i="15"/>
  <c r="K2211" i="15"/>
  <c r="K2212" i="15"/>
  <c r="K2213" i="15"/>
  <c r="K2214" i="15"/>
  <c r="K2215" i="15"/>
  <c r="K2216" i="15"/>
  <c r="K2217" i="15"/>
  <c r="K2218" i="15"/>
  <c r="K2219" i="15"/>
  <c r="K2220" i="15"/>
  <c r="K2221" i="15"/>
  <c r="K2222" i="15"/>
  <c r="K2223" i="15"/>
  <c r="K2224" i="15"/>
  <c r="K2225" i="15"/>
  <c r="K2226" i="15"/>
  <c r="K2227" i="15"/>
  <c r="K2228" i="15"/>
  <c r="K2229" i="15"/>
  <c r="K2230" i="15"/>
  <c r="K2231" i="15"/>
  <c r="K2232" i="15"/>
  <c r="K2233" i="15"/>
  <c r="K2234" i="15"/>
  <c r="K2235" i="15"/>
  <c r="K2236" i="15"/>
  <c r="K2237" i="15"/>
  <c r="K2238" i="15"/>
  <c r="K2239" i="15"/>
  <c r="K2240" i="15"/>
  <c r="K2241" i="15"/>
  <c r="K2242" i="15"/>
  <c r="K2243" i="15"/>
  <c r="K2244" i="15"/>
  <c r="K2245" i="15"/>
  <c r="K2246" i="15"/>
  <c r="K2247" i="15"/>
  <c r="K2248" i="15"/>
  <c r="K2249" i="15"/>
  <c r="K2250" i="15"/>
  <c r="K2251" i="15"/>
  <c r="K2252" i="15"/>
  <c r="K2253" i="15"/>
  <c r="K2254" i="15"/>
  <c r="K2255" i="15"/>
  <c r="K2256" i="15"/>
  <c r="K2257" i="15"/>
  <c r="K2258" i="15"/>
  <c r="K2259" i="15"/>
  <c r="K2260" i="15"/>
  <c r="K2261" i="15"/>
  <c r="K2262" i="15"/>
  <c r="K2263" i="15"/>
  <c r="K2264" i="15"/>
  <c r="K2265" i="15"/>
  <c r="K2266" i="15"/>
  <c r="K2267" i="15"/>
  <c r="K2268" i="15"/>
  <c r="K2269" i="15"/>
  <c r="K2270" i="15"/>
  <c r="K2271" i="15"/>
  <c r="K2272" i="15"/>
  <c r="K2273" i="15"/>
  <c r="K2274" i="15"/>
  <c r="K2275" i="15"/>
  <c r="K2276" i="15"/>
  <c r="K2277" i="15"/>
  <c r="K2278" i="15"/>
  <c r="K2279" i="15"/>
  <c r="K2280" i="15"/>
  <c r="K2281" i="15"/>
  <c r="K2282" i="15"/>
  <c r="K2283" i="15"/>
  <c r="K2284" i="15"/>
  <c r="K2285" i="15"/>
  <c r="K2286" i="15"/>
  <c r="K2287" i="15"/>
  <c r="K2288" i="15"/>
  <c r="K2289" i="15"/>
  <c r="K2290" i="15"/>
  <c r="K2291" i="15"/>
  <c r="K2292" i="15"/>
  <c r="K2293" i="15"/>
  <c r="K2294" i="15"/>
  <c r="K2295" i="15"/>
  <c r="K2296" i="15"/>
  <c r="K2297" i="15"/>
  <c r="K2298" i="15"/>
  <c r="K2299" i="15"/>
  <c r="K2300" i="15"/>
  <c r="K2301" i="15"/>
  <c r="K2302" i="15"/>
  <c r="K2303" i="15"/>
  <c r="K2304" i="15"/>
  <c r="K2305" i="15"/>
  <c r="K2306" i="15"/>
  <c r="K2307" i="15"/>
  <c r="K2308" i="15"/>
  <c r="K2309" i="15"/>
  <c r="K2310" i="15"/>
  <c r="K2311" i="15"/>
  <c r="K2312" i="15"/>
  <c r="K2313" i="15"/>
  <c r="K2314" i="15"/>
  <c r="K2315" i="15"/>
  <c r="K2316" i="15"/>
  <c r="K2317" i="15"/>
  <c r="K2318" i="15"/>
  <c r="K2319" i="15"/>
  <c r="K2320" i="15"/>
  <c r="K2321" i="15"/>
  <c r="K2322" i="15"/>
  <c r="K2323" i="15"/>
  <c r="K2324" i="15"/>
  <c r="K2325" i="15"/>
  <c r="K2326" i="15"/>
  <c r="K2327" i="15"/>
  <c r="K2328" i="15"/>
  <c r="K2329" i="15"/>
  <c r="K2330" i="15"/>
  <c r="K2331" i="15"/>
  <c r="K2332" i="15"/>
  <c r="K2333" i="15"/>
  <c r="K2334" i="15"/>
  <c r="K2335" i="15"/>
  <c r="K2336" i="15"/>
  <c r="K2337" i="15"/>
  <c r="K2338" i="15"/>
  <c r="K2339" i="15"/>
  <c r="K2340" i="15"/>
  <c r="K2341" i="15"/>
  <c r="K2342" i="15"/>
  <c r="K2343" i="15"/>
  <c r="K2344" i="15"/>
  <c r="K2345" i="15"/>
  <c r="K2346" i="15"/>
  <c r="K2347" i="15"/>
  <c r="K2348" i="15"/>
  <c r="K2349" i="15"/>
  <c r="K2350" i="15"/>
  <c r="K2351" i="15"/>
  <c r="K2352" i="15"/>
  <c r="K2353" i="15"/>
  <c r="K2354" i="15"/>
  <c r="K2355" i="15"/>
  <c r="K2356" i="15"/>
  <c r="K2357" i="15"/>
  <c r="K2358" i="15"/>
  <c r="K2359" i="15"/>
  <c r="K2360" i="15"/>
  <c r="K2361" i="15"/>
  <c r="K2362" i="15"/>
  <c r="K2363" i="15"/>
  <c r="K2364" i="15"/>
  <c r="K2365" i="15"/>
  <c r="K2366" i="15"/>
  <c r="K2367" i="15"/>
  <c r="K2368" i="15"/>
  <c r="K2369" i="15"/>
  <c r="K2370" i="15"/>
  <c r="K2371" i="15"/>
  <c r="K2372" i="15"/>
  <c r="K2373" i="15"/>
  <c r="K2374" i="15"/>
  <c r="K2375" i="15"/>
  <c r="K2376" i="15"/>
  <c r="K2377" i="15"/>
  <c r="K2378" i="15"/>
  <c r="K2379" i="15"/>
  <c r="K2380" i="15"/>
  <c r="K2381" i="15"/>
  <c r="K2382" i="15"/>
  <c r="K2383" i="15"/>
  <c r="K2384" i="15"/>
  <c r="K2385" i="15"/>
  <c r="K2386" i="15"/>
  <c r="K2387" i="15"/>
  <c r="K2388" i="15"/>
  <c r="K2389" i="15"/>
  <c r="K2390" i="15"/>
  <c r="K2391" i="15"/>
  <c r="K2392" i="15"/>
  <c r="K2393" i="15"/>
  <c r="K2394" i="15"/>
  <c r="K2395" i="15"/>
  <c r="K2396" i="15"/>
  <c r="K2397" i="15"/>
  <c r="K2398" i="15"/>
  <c r="K2399" i="15"/>
  <c r="K2400" i="15"/>
  <c r="K2401" i="15"/>
  <c r="K2402" i="15"/>
  <c r="K2403" i="15"/>
  <c r="K2404" i="15"/>
  <c r="K2405" i="15"/>
  <c r="K2406" i="15"/>
  <c r="K2407" i="15"/>
  <c r="K2408" i="15"/>
  <c r="K2409" i="15"/>
  <c r="K2410" i="15"/>
  <c r="K2411" i="15"/>
  <c r="K2412" i="15"/>
  <c r="K2413" i="15"/>
  <c r="K2414" i="15"/>
  <c r="K2415" i="15"/>
  <c r="K2416" i="15"/>
  <c r="K2417" i="15"/>
  <c r="K2418" i="15"/>
  <c r="K2419" i="15"/>
  <c r="K2420" i="15"/>
  <c r="K2421" i="15"/>
  <c r="K2422" i="15"/>
  <c r="K2423" i="15"/>
  <c r="K2424" i="15"/>
  <c r="K2425" i="15"/>
  <c r="K2426" i="15"/>
  <c r="K2427" i="15"/>
  <c r="K2428" i="15"/>
  <c r="K2429" i="15"/>
  <c r="K2430" i="15"/>
  <c r="K2431" i="15"/>
  <c r="K2432" i="15"/>
  <c r="K2433" i="15"/>
  <c r="K2434" i="15"/>
  <c r="K2435" i="15"/>
  <c r="K2436" i="15"/>
  <c r="K2437" i="15"/>
  <c r="K2438" i="15"/>
  <c r="K2439" i="15"/>
  <c r="K2440" i="15"/>
  <c r="K2441" i="15"/>
  <c r="K2442" i="15"/>
  <c r="K2443" i="15"/>
  <c r="K2444" i="15"/>
  <c r="K2445" i="15"/>
  <c r="K2446" i="15"/>
  <c r="K2447" i="15"/>
  <c r="K2448" i="15"/>
  <c r="K2449" i="15"/>
  <c r="K2450" i="15"/>
  <c r="K2451" i="15"/>
  <c r="K2452" i="15"/>
  <c r="K2453" i="15"/>
  <c r="K2454" i="15"/>
  <c r="K2455" i="15"/>
  <c r="K2456" i="15"/>
  <c r="K2457" i="15"/>
  <c r="K2458" i="15"/>
  <c r="K2459" i="15"/>
  <c r="K2460" i="15"/>
  <c r="K2461" i="15"/>
  <c r="K2462" i="15"/>
  <c r="K2463" i="15"/>
  <c r="K2464" i="15"/>
  <c r="K2465" i="15"/>
  <c r="K2466" i="15"/>
  <c r="K2467" i="15"/>
  <c r="K2468" i="15"/>
  <c r="K2469" i="15"/>
  <c r="K2470" i="15"/>
  <c r="K2471" i="15"/>
  <c r="K2472" i="15"/>
  <c r="K2473" i="15"/>
  <c r="K2474" i="15"/>
  <c r="K2475" i="15"/>
  <c r="K2476" i="15"/>
  <c r="K2477" i="15"/>
  <c r="K2478" i="15"/>
  <c r="K2479" i="15"/>
  <c r="K2480" i="15"/>
  <c r="K2481" i="15"/>
  <c r="K2482" i="15"/>
  <c r="K2483" i="15"/>
  <c r="K2484" i="15"/>
  <c r="K2485" i="15"/>
  <c r="K2486" i="15"/>
  <c r="K2487" i="15"/>
  <c r="K2488" i="15"/>
  <c r="K2489" i="15"/>
  <c r="K2490" i="15"/>
  <c r="K2491" i="15"/>
  <c r="K2492" i="15"/>
  <c r="K2493" i="15"/>
  <c r="K2494" i="15"/>
  <c r="K2495" i="15"/>
  <c r="K2496" i="15"/>
  <c r="K2497" i="15"/>
  <c r="K2498" i="15"/>
  <c r="K2499" i="15"/>
  <c r="K2500" i="15"/>
  <c r="K2501" i="15"/>
  <c r="K2502" i="15"/>
  <c r="K2503" i="15"/>
  <c r="K2504" i="15"/>
  <c r="K2505" i="15"/>
  <c r="K2506" i="15"/>
  <c r="K2507" i="15"/>
  <c r="K2508" i="15"/>
  <c r="K2509" i="15"/>
  <c r="K2510" i="15"/>
  <c r="K2511" i="15"/>
  <c r="K2512" i="15"/>
  <c r="K2513" i="15"/>
  <c r="K2514" i="15"/>
  <c r="K2515" i="15"/>
  <c r="K2516" i="15"/>
  <c r="K2517" i="15"/>
  <c r="K2518" i="15"/>
  <c r="K2519" i="15"/>
  <c r="K2520" i="15"/>
  <c r="K2521" i="15"/>
  <c r="K2522" i="15"/>
  <c r="K2523" i="15"/>
  <c r="K2524" i="15"/>
  <c r="K2525" i="15"/>
  <c r="K2526" i="15"/>
  <c r="K2527" i="15"/>
  <c r="K2528" i="15"/>
  <c r="K2529" i="15"/>
  <c r="K2530" i="15"/>
  <c r="K2531" i="15"/>
  <c r="K2532" i="15"/>
  <c r="K2533" i="15"/>
  <c r="K2534" i="15"/>
  <c r="K2535" i="15"/>
  <c r="K2536" i="15"/>
  <c r="K2537" i="15"/>
  <c r="K2538" i="15"/>
  <c r="K2539" i="15"/>
  <c r="K2540" i="15"/>
  <c r="K2541" i="15"/>
  <c r="K2542" i="15"/>
  <c r="K2543" i="15"/>
  <c r="K2544" i="15"/>
  <c r="K2545" i="15"/>
  <c r="K2546" i="15"/>
  <c r="K2547" i="15"/>
  <c r="K2548" i="15"/>
  <c r="K2549" i="15"/>
  <c r="K2550" i="15"/>
  <c r="K2551" i="15"/>
  <c r="K2552" i="15"/>
  <c r="K2553" i="15"/>
  <c r="K2554" i="15"/>
  <c r="K2555" i="15"/>
  <c r="K2556" i="15"/>
  <c r="K2557" i="15"/>
  <c r="K2558" i="15"/>
  <c r="K2559" i="15"/>
  <c r="K2560" i="15"/>
  <c r="K2561" i="15"/>
  <c r="K2562" i="15"/>
  <c r="K2563" i="15"/>
  <c r="K2564" i="15"/>
  <c r="K2565" i="15"/>
  <c r="K2566" i="15"/>
  <c r="K2567" i="15"/>
  <c r="K2568" i="15"/>
  <c r="K2569" i="15"/>
  <c r="K2570" i="15"/>
  <c r="K2571" i="15"/>
  <c r="K2572" i="15"/>
  <c r="K2573" i="15"/>
  <c r="K2574" i="15"/>
  <c r="K2575" i="15"/>
  <c r="K2576" i="15"/>
  <c r="K2577" i="15"/>
  <c r="K2578" i="15"/>
  <c r="K2579" i="15"/>
  <c r="K2580" i="15"/>
  <c r="K2581" i="15"/>
  <c r="K2582" i="15"/>
  <c r="K2583" i="15"/>
  <c r="K2584" i="15"/>
  <c r="K2585" i="15"/>
  <c r="K2586" i="15"/>
  <c r="K2587" i="15"/>
  <c r="K2588" i="15"/>
  <c r="K2589" i="15"/>
  <c r="K2590" i="15"/>
  <c r="K2591" i="15"/>
  <c r="K2592" i="15"/>
  <c r="K2593" i="15"/>
  <c r="K2594" i="15"/>
  <c r="K2595" i="15"/>
  <c r="K2596" i="15"/>
  <c r="K2597" i="15"/>
  <c r="K2598" i="15"/>
  <c r="K2599" i="15"/>
  <c r="K2600" i="15"/>
  <c r="K2601" i="15"/>
  <c r="K2602" i="15"/>
  <c r="K2603" i="15"/>
  <c r="K2604" i="15"/>
  <c r="K2605" i="15"/>
  <c r="K2606" i="15"/>
  <c r="K2607" i="15"/>
  <c r="K2608" i="15"/>
  <c r="K2609" i="15"/>
  <c r="K2610" i="15"/>
  <c r="K2611" i="15"/>
  <c r="K2612" i="15"/>
  <c r="K2613" i="15"/>
  <c r="K2614" i="15"/>
  <c r="K2615" i="15"/>
  <c r="K2616" i="15"/>
  <c r="K2617" i="15"/>
  <c r="K2618" i="15"/>
  <c r="K2619" i="15"/>
  <c r="K2620" i="15"/>
  <c r="K2621" i="15"/>
  <c r="K2622" i="15"/>
  <c r="K2623" i="15"/>
  <c r="K2624" i="15"/>
  <c r="K2625" i="15"/>
  <c r="K2626" i="15"/>
  <c r="K2627" i="15"/>
  <c r="K2628" i="15"/>
  <c r="K2629" i="15"/>
  <c r="K2630" i="15"/>
  <c r="K2631" i="15"/>
  <c r="K2632" i="15"/>
  <c r="K2633" i="15"/>
  <c r="K2634" i="15"/>
  <c r="K2635" i="15"/>
  <c r="K2636" i="15"/>
  <c r="K2637" i="15"/>
  <c r="K2638" i="15"/>
  <c r="K2639" i="15"/>
  <c r="K2640" i="15"/>
  <c r="K2641" i="15"/>
  <c r="K2642" i="15"/>
  <c r="K2643" i="15"/>
  <c r="K2644" i="15"/>
  <c r="K2645" i="15"/>
  <c r="K2646" i="15"/>
  <c r="K2647" i="15"/>
  <c r="K2648" i="15"/>
  <c r="K2649" i="15"/>
  <c r="K2650" i="15"/>
  <c r="K2651" i="15"/>
  <c r="K2652" i="15"/>
  <c r="K2653" i="15"/>
  <c r="K2654" i="15"/>
  <c r="K2655" i="15"/>
  <c r="K2656" i="15"/>
  <c r="K2657" i="15"/>
  <c r="K2658" i="15"/>
  <c r="K2659" i="15"/>
  <c r="K2660" i="15"/>
  <c r="K2661" i="15"/>
  <c r="K2662" i="15"/>
  <c r="K2663" i="15"/>
  <c r="K2664" i="15"/>
  <c r="K2665" i="15"/>
  <c r="K2666" i="15"/>
  <c r="K2667" i="15"/>
  <c r="K2668" i="15"/>
  <c r="K2669" i="15"/>
  <c r="K2670" i="15"/>
  <c r="K2671" i="15"/>
  <c r="K2672" i="15"/>
  <c r="K2673" i="15"/>
  <c r="K2674" i="15"/>
  <c r="K2675" i="15"/>
  <c r="K2676" i="15"/>
  <c r="K2677" i="15"/>
  <c r="K2678" i="15"/>
  <c r="K2679" i="15"/>
  <c r="K2680" i="15"/>
  <c r="K2681" i="15"/>
  <c r="K2682" i="15"/>
  <c r="K2683" i="15"/>
  <c r="K2684" i="15"/>
  <c r="K2685" i="15"/>
  <c r="K2686" i="15"/>
  <c r="K2687" i="15"/>
  <c r="K2688" i="15"/>
  <c r="K2689" i="15"/>
  <c r="K2690" i="15"/>
  <c r="K2691" i="15"/>
  <c r="K2692" i="15"/>
  <c r="K2693" i="15"/>
  <c r="K2694" i="15"/>
  <c r="K2695" i="15"/>
  <c r="K2696" i="15"/>
  <c r="K2697" i="15"/>
  <c r="K2698" i="15"/>
  <c r="K2699" i="15"/>
  <c r="K2700" i="15"/>
  <c r="K2701" i="15"/>
  <c r="K2702" i="15"/>
  <c r="K2703" i="15"/>
  <c r="K2704" i="15"/>
  <c r="K2705" i="15"/>
  <c r="K2706" i="15"/>
  <c r="K2707" i="15"/>
  <c r="K2708" i="15"/>
  <c r="K2709" i="15"/>
  <c r="K2710" i="15"/>
  <c r="K2711" i="15"/>
  <c r="K2712" i="15"/>
  <c r="K2713" i="15"/>
  <c r="K2714" i="15"/>
  <c r="K2715" i="15"/>
  <c r="K2716" i="15"/>
  <c r="K2717" i="15"/>
  <c r="K2718" i="15"/>
  <c r="K2719" i="15"/>
  <c r="K2720" i="15"/>
  <c r="K2721" i="15"/>
  <c r="K2722" i="15"/>
  <c r="K2723" i="15"/>
  <c r="K2724" i="15"/>
  <c r="K2725" i="15"/>
  <c r="K2726" i="15"/>
  <c r="K2727" i="15"/>
  <c r="K2728" i="15"/>
  <c r="K2729" i="15"/>
  <c r="K2730" i="15"/>
  <c r="K2731" i="15"/>
  <c r="K2732" i="15"/>
  <c r="K2733" i="15"/>
  <c r="K2734" i="15"/>
  <c r="K2735" i="15"/>
  <c r="K2736" i="15"/>
  <c r="K2737" i="15"/>
  <c r="K2738" i="15"/>
  <c r="K2739" i="15"/>
  <c r="K2740" i="15"/>
  <c r="K2741" i="15"/>
  <c r="K2742" i="15"/>
  <c r="K2743" i="15"/>
  <c r="K2744" i="15"/>
  <c r="K2745" i="15"/>
  <c r="K2746" i="15"/>
  <c r="K2747" i="15"/>
  <c r="K2748" i="15"/>
  <c r="K2749" i="15"/>
  <c r="K2750" i="15"/>
  <c r="K2751" i="15"/>
  <c r="K2752" i="15"/>
  <c r="K2753" i="15"/>
  <c r="K2754" i="15"/>
  <c r="K2755" i="15"/>
  <c r="K2756" i="15"/>
  <c r="K2757" i="15"/>
  <c r="K2758" i="15"/>
  <c r="K2759" i="15"/>
  <c r="K2760" i="15"/>
  <c r="K2761" i="15"/>
  <c r="K2762" i="15"/>
  <c r="K2763" i="15"/>
  <c r="K2764" i="15"/>
  <c r="K2765" i="15"/>
  <c r="K2766" i="15"/>
  <c r="K2767" i="15"/>
  <c r="K2768" i="15"/>
  <c r="K2769" i="15"/>
  <c r="K2770" i="15"/>
  <c r="K2771" i="15"/>
  <c r="K2772" i="15"/>
  <c r="K2773" i="15"/>
  <c r="K2774" i="15"/>
  <c r="K2775" i="15"/>
  <c r="K2776" i="15"/>
  <c r="K2777" i="15"/>
  <c r="K2778" i="15"/>
  <c r="K2779" i="15"/>
  <c r="K2780" i="15"/>
  <c r="K2781" i="15"/>
  <c r="K2782" i="15"/>
  <c r="K2783" i="15"/>
  <c r="K2784" i="15"/>
  <c r="K2785" i="15"/>
  <c r="K2786" i="15"/>
  <c r="K2787" i="15"/>
  <c r="K2788" i="15"/>
  <c r="K2789" i="15"/>
  <c r="K2790" i="15"/>
  <c r="K2791" i="15"/>
  <c r="K2792" i="15"/>
  <c r="K2793" i="15"/>
  <c r="K2794" i="15"/>
  <c r="K2795" i="15"/>
  <c r="K2796" i="15"/>
  <c r="K2797" i="15"/>
  <c r="K2798" i="15"/>
  <c r="K2799" i="15"/>
  <c r="K2800" i="15"/>
  <c r="K2801" i="15"/>
  <c r="K2802" i="15"/>
  <c r="K2803" i="15"/>
  <c r="K2804" i="15"/>
  <c r="K2805" i="15"/>
  <c r="K2806" i="15"/>
  <c r="K2807" i="15"/>
  <c r="K2808" i="15"/>
  <c r="K2809" i="15"/>
  <c r="K2810" i="15"/>
  <c r="K2811" i="15"/>
  <c r="K2812" i="15"/>
  <c r="K2813" i="15"/>
  <c r="K2814" i="15"/>
  <c r="K2815" i="15"/>
  <c r="K2816" i="15"/>
  <c r="K2817" i="15"/>
  <c r="K2818" i="15"/>
  <c r="K2819" i="15"/>
  <c r="K2820" i="15"/>
  <c r="K2821" i="15"/>
  <c r="K2822" i="15"/>
  <c r="K2823" i="15"/>
  <c r="K2824" i="15"/>
  <c r="K2825" i="15"/>
  <c r="K2826" i="15"/>
  <c r="K2827" i="15"/>
  <c r="K2828" i="15"/>
  <c r="K2829" i="15"/>
  <c r="K2830" i="15"/>
  <c r="K2831" i="15"/>
  <c r="K2832" i="15"/>
  <c r="K2833" i="15"/>
  <c r="K2834" i="15"/>
  <c r="K2835" i="15"/>
  <c r="K2836" i="15"/>
  <c r="K2837" i="15"/>
  <c r="K2838" i="15"/>
  <c r="K2839" i="15"/>
  <c r="K2840" i="15"/>
  <c r="K2841" i="15"/>
  <c r="K2842" i="15"/>
  <c r="K2843" i="15"/>
  <c r="K2844" i="15"/>
  <c r="K2845" i="15"/>
  <c r="K2846" i="15"/>
  <c r="K2847" i="15"/>
  <c r="K2848" i="15"/>
  <c r="K2849" i="15"/>
  <c r="K2850" i="15"/>
  <c r="K2851" i="15"/>
  <c r="K2852" i="15"/>
  <c r="K2853" i="15"/>
  <c r="K2854" i="15"/>
  <c r="K2855" i="15"/>
  <c r="K2856" i="15"/>
  <c r="K2857" i="15"/>
  <c r="K2858" i="15"/>
  <c r="K2859" i="15"/>
  <c r="K2860" i="15"/>
  <c r="K2861" i="15"/>
  <c r="K2862" i="15"/>
  <c r="K2863" i="15"/>
  <c r="K2864" i="15"/>
  <c r="K2865" i="15"/>
  <c r="K2866" i="15"/>
  <c r="K2867" i="15"/>
  <c r="K2868" i="15"/>
  <c r="K2869" i="15"/>
  <c r="K2870" i="15"/>
  <c r="K2871" i="15"/>
  <c r="K2872" i="15"/>
  <c r="K2873" i="15"/>
  <c r="K2874" i="15"/>
  <c r="K2875" i="15"/>
  <c r="K2876" i="15"/>
  <c r="K2877" i="15"/>
  <c r="K2878" i="15"/>
  <c r="K2879" i="15"/>
  <c r="K2880" i="15"/>
  <c r="K2881" i="15"/>
  <c r="K2882" i="15"/>
  <c r="K2883" i="15"/>
  <c r="K2884" i="15"/>
  <c r="K2885" i="15"/>
  <c r="K2886" i="15"/>
  <c r="K2887" i="15"/>
  <c r="K2888" i="15"/>
  <c r="K2889" i="15"/>
  <c r="K2890" i="15"/>
  <c r="K2891" i="15"/>
  <c r="K2892" i="15"/>
  <c r="K2893" i="15"/>
  <c r="K2894" i="15"/>
  <c r="K2895" i="15"/>
  <c r="K2896" i="15"/>
  <c r="K2897" i="15"/>
  <c r="K2898" i="15"/>
  <c r="K2899" i="15"/>
  <c r="K2900" i="15"/>
  <c r="K2901" i="15"/>
  <c r="K2902" i="15"/>
  <c r="K2903" i="15"/>
  <c r="K2904" i="15"/>
  <c r="K2905" i="15"/>
  <c r="K2906" i="15"/>
  <c r="K2907" i="15"/>
  <c r="K2908" i="15"/>
  <c r="K2909" i="15"/>
  <c r="K2910" i="15"/>
  <c r="K2911" i="15"/>
  <c r="K2912" i="15"/>
  <c r="K2913" i="15"/>
  <c r="K2914" i="15"/>
  <c r="K2915" i="15"/>
  <c r="K2916" i="15"/>
  <c r="K2917" i="15"/>
  <c r="K2918" i="15"/>
  <c r="K2919" i="15"/>
  <c r="K2920" i="15"/>
  <c r="K2921" i="15"/>
  <c r="K2922" i="15"/>
  <c r="K2923" i="15"/>
  <c r="K2924" i="15"/>
  <c r="K2925" i="15"/>
  <c r="K2926" i="15"/>
  <c r="K2927" i="15"/>
  <c r="K2928" i="15"/>
  <c r="K2929" i="15"/>
  <c r="K2930" i="15"/>
  <c r="K2931" i="15"/>
  <c r="K2932" i="15"/>
  <c r="K2933" i="15"/>
  <c r="K2934" i="15"/>
  <c r="K2935" i="15"/>
  <c r="K2936" i="15"/>
  <c r="K2937" i="15"/>
  <c r="K2938" i="15"/>
  <c r="K2939" i="15"/>
  <c r="K2940" i="15"/>
  <c r="K2941" i="15"/>
  <c r="K2942" i="15"/>
  <c r="K2943" i="15"/>
  <c r="K2944" i="15"/>
  <c r="K2945" i="15"/>
  <c r="K2946" i="15"/>
  <c r="K2947" i="15"/>
  <c r="K2948" i="15"/>
  <c r="K2949" i="15"/>
  <c r="K2950" i="15"/>
  <c r="K2951" i="15"/>
  <c r="K2952" i="15"/>
  <c r="K2953" i="15"/>
  <c r="K2954" i="15"/>
  <c r="K2955" i="15"/>
  <c r="K2956" i="15"/>
  <c r="K2957" i="15"/>
  <c r="K2958" i="15"/>
  <c r="K2959" i="15"/>
  <c r="K2960" i="15"/>
  <c r="K2961" i="15"/>
  <c r="K2962" i="15"/>
  <c r="K2963" i="15"/>
  <c r="K2964" i="15"/>
  <c r="K2965" i="15"/>
  <c r="K2966" i="15"/>
  <c r="K2967" i="15"/>
  <c r="K2968" i="15"/>
  <c r="K2969" i="15"/>
  <c r="K2970" i="15"/>
  <c r="K2971" i="15"/>
  <c r="K2972" i="15"/>
  <c r="K2973" i="15"/>
  <c r="K2974" i="15"/>
  <c r="K2975" i="15"/>
  <c r="K2976" i="15"/>
  <c r="K2977" i="15"/>
  <c r="K2978" i="15"/>
  <c r="K2979" i="15"/>
  <c r="K2980" i="15"/>
  <c r="K2981" i="15"/>
  <c r="K2982" i="15"/>
  <c r="K2983" i="15"/>
  <c r="K2984" i="15"/>
  <c r="K2985" i="15"/>
  <c r="K2986" i="15"/>
  <c r="K2987" i="15"/>
  <c r="K2988" i="15"/>
  <c r="K2989" i="15"/>
  <c r="K2990" i="15"/>
  <c r="K2991" i="15"/>
  <c r="K2992" i="15"/>
  <c r="K2993" i="15"/>
  <c r="K2994" i="15"/>
  <c r="K2995" i="15"/>
  <c r="K2996" i="15"/>
  <c r="K2997" i="15"/>
  <c r="K2998" i="15"/>
  <c r="K2999" i="15"/>
  <c r="K3000" i="15"/>
  <c r="K3001" i="15"/>
  <c r="K3002" i="15"/>
  <c r="K3003" i="15"/>
  <c r="K3004" i="15"/>
  <c r="K3005" i="15"/>
  <c r="K3006" i="15"/>
  <c r="K3007" i="15"/>
  <c r="K3008" i="15"/>
  <c r="K3009" i="15"/>
  <c r="K3010" i="15"/>
  <c r="K3011" i="15"/>
  <c r="K3012" i="15"/>
  <c r="K3013" i="15"/>
  <c r="K3014" i="15"/>
  <c r="K3015" i="15"/>
  <c r="K3016" i="15"/>
  <c r="K3017" i="15"/>
  <c r="K3018" i="15"/>
  <c r="K3019" i="15"/>
  <c r="K3020" i="15"/>
  <c r="K3021" i="15"/>
  <c r="K3022" i="15"/>
  <c r="K3023" i="15"/>
  <c r="K3024" i="15"/>
  <c r="K3025" i="15"/>
  <c r="K3026" i="15"/>
  <c r="K3027" i="15"/>
  <c r="K3028" i="15"/>
  <c r="K3029" i="15"/>
  <c r="K3030" i="15"/>
  <c r="K3031" i="15"/>
  <c r="K3032" i="15"/>
  <c r="K3033" i="15"/>
  <c r="K3034" i="15"/>
  <c r="K3035" i="15"/>
  <c r="K3036" i="15"/>
  <c r="K3037" i="15"/>
  <c r="K3038" i="15"/>
  <c r="K3039" i="15"/>
  <c r="K3040" i="15"/>
  <c r="K3041" i="15"/>
  <c r="K3042" i="15"/>
  <c r="K3043" i="15"/>
  <c r="K3044" i="15"/>
  <c r="K3045" i="15"/>
  <c r="K3046" i="15"/>
  <c r="K3047" i="15"/>
  <c r="K3048" i="15"/>
  <c r="K3049" i="15"/>
  <c r="K3050" i="15"/>
  <c r="K3051" i="15"/>
  <c r="K3052" i="15"/>
  <c r="K3053" i="15"/>
  <c r="K3054" i="15"/>
  <c r="K3055" i="15"/>
  <c r="K3056" i="15"/>
  <c r="K3057" i="15"/>
  <c r="K3058" i="15"/>
  <c r="K3059" i="15"/>
  <c r="K3060" i="15"/>
  <c r="K3061" i="15"/>
  <c r="K3062" i="15"/>
  <c r="K3063" i="15"/>
  <c r="K3064" i="15"/>
  <c r="K3065" i="15"/>
  <c r="K3066" i="15"/>
  <c r="K3067" i="15"/>
  <c r="K3068" i="15"/>
  <c r="K3069" i="15"/>
  <c r="K3070" i="15"/>
  <c r="K3071" i="15"/>
  <c r="K3072" i="15"/>
  <c r="K3073" i="15"/>
  <c r="K3074" i="15"/>
  <c r="K3075" i="15"/>
  <c r="K3076" i="15"/>
  <c r="K3077" i="15"/>
  <c r="K3078" i="15"/>
  <c r="K3079" i="15"/>
  <c r="K3080" i="15"/>
  <c r="K3081" i="15"/>
  <c r="K3082" i="15"/>
  <c r="K3083" i="15"/>
  <c r="K3084" i="15"/>
  <c r="K3085" i="15"/>
  <c r="K3086" i="15"/>
  <c r="K3087" i="15"/>
  <c r="K3088" i="15"/>
  <c r="K3089" i="15"/>
  <c r="K3090" i="15"/>
  <c r="K3091" i="15"/>
  <c r="K3092" i="15"/>
  <c r="K3093" i="15"/>
  <c r="K3094" i="15"/>
  <c r="K3095" i="15"/>
  <c r="K3096" i="15"/>
  <c r="K3097" i="15"/>
  <c r="K3098" i="15"/>
  <c r="K3099" i="15"/>
  <c r="K3100" i="15"/>
  <c r="K3101" i="15"/>
  <c r="K3102" i="15"/>
  <c r="K3103" i="15"/>
  <c r="K3104" i="15"/>
  <c r="K3105" i="15"/>
  <c r="K3106" i="15"/>
  <c r="K3107" i="15"/>
  <c r="K3108" i="15"/>
  <c r="K3109" i="15"/>
  <c r="K3110" i="15"/>
  <c r="K3111" i="15"/>
  <c r="K3112" i="15"/>
  <c r="K3113" i="15"/>
  <c r="K3114" i="15"/>
  <c r="K3115" i="15"/>
  <c r="K3116" i="15"/>
  <c r="K3117" i="15"/>
  <c r="K3118" i="15"/>
  <c r="K3119" i="15"/>
  <c r="K3120" i="15"/>
  <c r="K3121" i="15"/>
  <c r="K3122" i="15"/>
  <c r="K3123" i="15"/>
  <c r="K3124" i="15"/>
  <c r="K3125" i="15"/>
  <c r="K3126" i="15"/>
  <c r="K3127" i="15"/>
  <c r="K3128" i="15"/>
  <c r="K3129" i="15"/>
  <c r="K3130" i="15"/>
  <c r="K3131" i="15"/>
  <c r="K3132" i="15"/>
  <c r="K3133" i="15"/>
  <c r="K3134" i="15"/>
  <c r="K3135" i="15"/>
  <c r="K3136" i="15"/>
  <c r="K3137" i="15"/>
  <c r="BS968" i="1"/>
  <c r="BS969" i="1"/>
  <c r="BS970" i="1"/>
  <c r="BS971" i="1"/>
  <c r="BS972" i="1"/>
  <c r="BS973" i="1"/>
  <c r="BS974" i="1"/>
  <c r="BS975" i="1"/>
  <c r="BS976" i="1"/>
  <c r="BS977" i="1"/>
  <c r="BS978" i="1"/>
  <c r="BS979" i="1"/>
  <c r="BS980" i="1"/>
  <c r="BS893" i="1"/>
  <c r="BS894" i="1"/>
  <c r="BS895" i="1"/>
  <c r="BS896" i="1"/>
  <c r="BS897" i="1"/>
  <c r="BS898" i="1"/>
  <c r="BS899" i="1"/>
  <c r="BS900" i="1"/>
  <c r="BS901" i="1"/>
  <c r="BS902" i="1"/>
  <c r="BS904" i="1"/>
  <c r="BS905" i="1"/>
  <c r="BS906" i="1"/>
  <c r="BS907" i="1"/>
  <c r="BS908" i="1"/>
  <c r="BS909" i="1"/>
  <c r="BS912" i="1"/>
  <c r="BS913" i="1"/>
  <c r="BS914" i="1"/>
  <c r="BS915" i="1"/>
  <c r="BS916" i="1"/>
  <c r="BS917" i="1"/>
  <c r="BS918" i="1"/>
  <c r="BS919" i="1"/>
  <c r="BS920" i="1"/>
  <c r="BS921" i="1"/>
  <c r="BS922" i="1"/>
  <c r="BS923" i="1"/>
  <c r="BS924" i="1"/>
  <c r="BS925" i="1"/>
  <c r="BS927" i="1"/>
  <c r="BS929" i="1"/>
  <c r="BS930" i="1"/>
  <c r="BS931" i="1"/>
  <c r="BS932" i="1"/>
  <c r="BS933" i="1"/>
  <c r="BS934" i="1"/>
  <c r="BS935" i="1"/>
  <c r="BS936" i="1"/>
  <c r="BS937" i="1"/>
  <c r="BS938" i="1"/>
  <c r="BS939" i="1"/>
  <c r="BS940" i="1"/>
  <c r="BS941" i="1"/>
  <c r="BS942" i="1"/>
  <c r="BS943" i="1"/>
  <c r="BS944" i="1"/>
  <c r="BS945" i="1"/>
  <c r="BS946" i="1"/>
  <c r="BS947" i="1"/>
  <c r="BS948" i="1"/>
  <c r="BS949" i="1"/>
  <c r="BS950" i="1"/>
  <c r="BS951" i="1"/>
  <c r="BS952" i="1"/>
  <c r="BS953" i="1"/>
  <c r="BS954" i="1"/>
  <c r="BS955" i="1"/>
  <c r="BS956" i="1"/>
  <c r="BS957" i="1"/>
  <c r="BS958" i="1"/>
  <c r="BS959" i="1"/>
  <c r="BS960" i="1"/>
  <c r="BS961" i="1"/>
  <c r="BS962" i="1"/>
  <c r="BS963" i="1"/>
  <c r="BS964" i="1"/>
  <c r="BS965" i="1"/>
  <c r="BS869" i="1"/>
  <c r="BS870" i="1"/>
  <c r="BS871" i="1"/>
  <c r="BS872" i="1"/>
  <c r="BS873" i="1"/>
  <c r="BS874" i="1"/>
  <c r="BS875" i="1"/>
  <c r="BS876" i="1"/>
  <c r="BS877" i="1"/>
  <c r="BS878" i="1"/>
  <c r="BS879" i="1"/>
  <c r="BS880" i="1"/>
  <c r="BS881" i="1"/>
  <c r="BS882" i="1"/>
  <c r="BS883" i="1"/>
  <c r="BS884" i="1"/>
  <c r="BS885" i="1"/>
  <c r="BS886" i="1"/>
  <c r="BS887" i="1"/>
  <c r="BS888" i="1"/>
  <c r="BS889" i="1"/>
  <c r="BS890" i="1"/>
  <c r="BS600" i="1"/>
  <c r="BS601" i="1"/>
  <c r="BS602" i="1"/>
  <c r="BS603" i="1"/>
  <c r="BS604" i="1"/>
  <c r="BS606" i="1"/>
  <c r="BS607" i="1"/>
  <c r="BS608" i="1"/>
  <c r="BS609" i="1"/>
  <c r="BS610" i="1"/>
  <c r="BS611" i="1"/>
  <c r="BS612" i="1"/>
  <c r="BS613" i="1"/>
  <c r="BS614" i="1"/>
  <c r="BS615" i="1"/>
  <c r="BS616" i="1"/>
  <c r="BS617" i="1"/>
  <c r="BS618" i="1"/>
  <c r="BS619" i="1"/>
  <c r="BS620" i="1"/>
  <c r="BS621" i="1"/>
  <c r="BS622" i="1"/>
  <c r="BS623" i="1"/>
  <c r="BS624" i="1"/>
  <c r="BS625" i="1"/>
  <c r="BS626" i="1"/>
  <c r="BS627" i="1"/>
  <c r="BS628" i="1"/>
  <c r="BS629" i="1"/>
  <c r="BS630" i="1"/>
  <c r="BS631" i="1"/>
  <c r="BS632" i="1"/>
  <c r="BS634" i="1"/>
  <c r="BS635" i="1"/>
  <c r="BS636" i="1"/>
  <c r="BS637" i="1"/>
  <c r="BS638" i="1"/>
  <c r="BS639" i="1"/>
  <c r="BS640" i="1"/>
  <c r="BS641" i="1"/>
  <c r="BS642" i="1"/>
  <c r="BS643" i="1"/>
  <c r="BS644" i="1"/>
  <c r="BS645" i="1"/>
  <c r="BS646" i="1"/>
  <c r="BS647" i="1"/>
  <c r="BS648" i="1"/>
  <c r="BS649" i="1"/>
  <c r="BS650" i="1"/>
  <c r="BS651" i="1"/>
  <c r="BS652" i="1"/>
  <c r="BS653" i="1"/>
  <c r="BS655" i="1"/>
  <c r="BS656" i="1"/>
  <c r="BS657" i="1"/>
  <c r="BS658" i="1"/>
  <c r="BS659" i="1"/>
  <c r="BS660" i="1"/>
  <c r="BS661" i="1"/>
  <c r="BS662" i="1"/>
  <c r="BS663" i="1"/>
  <c r="BS664" i="1"/>
  <c r="BS665" i="1"/>
  <c r="BS666" i="1"/>
  <c r="BS667" i="1"/>
  <c r="BS668" i="1"/>
  <c r="BS669" i="1"/>
  <c r="BS670" i="1"/>
  <c r="BS671" i="1"/>
  <c r="BS672" i="1"/>
  <c r="BS673" i="1"/>
  <c r="BS674" i="1"/>
  <c r="BS675" i="1"/>
  <c r="BS676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694" i="1"/>
  <c r="BS695" i="1"/>
  <c r="BS696" i="1"/>
  <c r="BS697" i="1"/>
  <c r="BS698" i="1"/>
  <c r="BS699" i="1"/>
  <c r="BS700" i="1"/>
  <c r="BS701" i="1"/>
  <c r="BS702" i="1"/>
  <c r="BS703" i="1"/>
  <c r="BS705" i="1"/>
  <c r="BS706" i="1"/>
  <c r="BS708" i="1"/>
  <c r="BS709" i="1"/>
  <c r="BS710" i="1"/>
  <c r="BS711" i="1"/>
  <c r="BS712" i="1"/>
  <c r="BS713" i="1"/>
  <c r="BS714" i="1"/>
  <c r="BS715" i="1"/>
  <c r="BS716" i="1"/>
  <c r="BS717" i="1"/>
  <c r="BS719" i="1"/>
  <c r="BS720" i="1"/>
  <c r="BS721" i="1"/>
  <c r="BS722" i="1"/>
  <c r="BS723" i="1"/>
  <c r="BS724" i="1"/>
  <c r="BS725" i="1"/>
  <c r="BS726" i="1"/>
  <c r="BS727" i="1"/>
  <c r="BS728" i="1"/>
  <c r="BS729" i="1"/>
  <c r="BS730" i="1"/>
  <c r="BS731" i="1"/>
  <c r="BS732" i="1"/>
  <c r="BS733" i="1"/>
  <c r="BS734" i="1"/>
  <c r="BS735" i="1"/>
  <c r="BS736" i="1"/>
  <c r="BS737" i="1"/>
  <c r="BS738" i="1"/>
  <c r="BS739" i="1"/>
  <c r="BS740" i="1"/>
  <c r="BS741" i="1"/>
  <c r="BS742" i="1"/>
  <c r="BS743" i="1"/>
  <c r="BS744" i="1"/>
  <c r="BS745" i="1"/>
  <c r="BS746" i="1"/>
  <c r="BS747" i="1"/>
  <c r="BS748" i="1"/>
  <c r="BS749" i="1"/>
  <c r="BS750" i="1"/>
  <c r="BS751" i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BS764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1" i="1"/>
  <c r="BS782" i="1"/>
  <c r="BS783" i="1"/>
  <c r="BS784" i="1"/>
  <c r="BS785" i="1"/>
  <c r="BS786" i="1"/>
  <c r="BS787" i="1"/>
  <c r="BS788" i="1"/>
  <c r="BS789" i="1"/>
  <c r="BS790" i="1"/>
  <c r="BS791" i="1"/>
  <c r="BS792" i="1"/>
  <c r="BS793" i="1"/>
  <c r="BS794" i="1"/>
  <c r="BS795" i="1"/>
  <c r="BS796" i="1"/>
  <c r="BS797" i="1"/>
  <c r="BS798" i="1"/>
  <c r="BS800" i="1"/>
  <c r="BS801" i="1"/>
  <c r="BS802" i="1"/>
  <c r="BS803" i="1"/>
  <c r="BS804" i="1"/>
  <c r="BS805" i="1"/>
  <c r="BS806" i="1"/>
  <c r="BS807" i="1"/>
  <c r="BS808" i="1"/>
  <c r="BS809" i="1"/>
  <c r="BS810" i="1"/>
  <c r="BS811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834" i="1"/>
  <c r="BS835" i="1"/>
  <c r="BS836" i="1"/>
  <c r="BS837" i="1"/>
  <c r="BS838" i="1"/>
  <c r="BS839" i="1"/>
  <c r="BS840" i="1"/>
  <c r="BS841" i="1"/>
  <c r="BS842" i="1"/>
  <c r="BS843" i="1"/>
  <c r="BS844" i="1"/>
  <c r="BS845" i="1"/>
  <c r="BS847" i="1"/>
  <c r="BS848" i="1"/>
  <c r="BS849" i="1"/>
  <c r="BS850" i="1"/>
  <c r="BS851" i="1"/>
  <c r="BS852" i="1"/>
  <c r="BS853" i="1"/>
  <c r="BS854" i="1"/>
  <c r="BS855" i="1"/>
  <c r="BS856" i="1"/>
  <c r="BS857" i="1"/>
  <c r="BS859" i="1"/>
  <c r="BS860" i="1"/>
  <c r="BS861" i="1"/>
  <c r="BS862" i="1"/>
  <c r="BS863" i="1"/>
  <c r="BS864" i="1"/>
  <c r="BS865" i="1"/>
  <c r="BS866" i="1"/>
  <c r="BS560" i="1"/>
  <c r="BS561" i="1"/>
  <c r="BS562" i="1"/>
  <c r="BS563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BS581" i="1"/>
  <c r="BS582" i="1"/>
  <c r="BS583" i="1"/>
  <c r="BS584" i="1"/>
  <c r="BS585" i="1"/>
  <c r="BS586" i="1"/>
  <c r="BS587" i="1"/>
  <c r="BS588" i="1"/>
  <c r="BS589" i="1"/>
  <c r="BS590" i="1"/>
  <c r="BS591" i="1"/>
  <c r="BS592" i="1"/>
  <c r="BS593" i="1"/>
  <c r="BS594" i="1"/>
  <c r="BS595" i="1"/>
  <c r="BS596" i="1"/>
  <c r="BS597" i="1"/>
  <c r="BS390" i="1"/>
  <c r="BS391" i="1"/>
  <c r="BS392" i="1"/>
  <c r="BS393" i="1"/>
  <c r="BS394" i="1"/>
  <c r="BS395" i="1"/>
  <c r="BS396" i="1"/>
  <c r="BS397" i="1"/>
  <c r="BS398" i="1"/>
  <c r="BS399" i="1"/>
  <c r="BS400" i="1"/>
  <c r="BS401" i="1"/>
  <c r="BS402" i="1"/>
  <c r="BS403" i="1"/>
  <c r="BS404" i="1"/>
  <c r="BS405" i="1"/>
  <c r="BS406" i="1"/>
  <c r="BS407" i="1"/>
  <c r="BS408" i="1"/>
  <c r="BS409" i="1"/>
  <c r="BS410" i="1"/>
  <c r="BS411" i="1"/>
  <c r="BS412" i="1"/>
  <c r="BS413" i="1"/>
  <c r="BS414" i="1"/>
  <c r="BS415" i="1"/>
  <c r="BS416" i="1"/>
  <c r="BS417" i="1"/>
  <c r="BS418" i="1"/>
  <c r="BS419" i="1"/>
  <c r="BS420" i="1"/>
  <c r="BS421" i="1"/>
  <c r="BS422" i="1"/>
  <c r="BS423" i="1"/>
  <c r="BS424" i="1"/>
  <c r="BS425" i="1"/>
  <c r="BS426" i="1"/>
  <c r="BS427" i="1"/>
  <c r="BS428" i="1"/>
  <c r="BS429" i="1"/>
  <c r="BS430" i="1"/>
  <c r="BS431" i="1"/>
  <c r="BS432" i="1"/>
  <c r="BS433" i="1"/>
  <c r="BS434" i="1"/>
  <c r="BS435" i="1"/>
  <c r="BS436" i="1"/>
  <c r="BS437" i="1"/>
  <c r="BS438" i="1"/>
  <c r="BS439" i="1"/>
  <c r="BS440" i="1"/>
  <c r="BS441" i="1"/>
  <c r="BS442" i="1"/>
  <c r="BS443" i="1"/>
  <c r="BS444" i="1"/>
  <c r="BS445" i="1"/>
  <c r="BS446" i="1"/>
  <c r="BS447" i="1"/>
  <c r="BS448" i="1"/>
  <c r="BS449" i="1"/>
  <c r="BS450" i="1"/>
  <c r="BS451" i="1"/>
  <c r="BS452" i="1"/>
  <c r="BS453" i="1"/>
  <c r="BS454" i="1"/>
  <c r="BS455" i="1"/>
  <c r="BS456" i="1"/>
  <c r="BS457" i="1"/>
  <c r="BS459" i="1"/>
  <c r="BS460" i="1"/>
  <c r="BS461" i="1"/>
  <c r="BS462" i="1"/>
  <c r="BS463" i="1"/>
  <c r="BS464" i="1"/>
  <c r="BS465" i="1"/>
  <c r="BS466" i="1"/>
  <c r="BS467" i="1"/>
  <c r="BS468" i="1"/>
  <c r="BS469" i="1"/>
  <c r="BS470" i="1"/>
  <c r="BS471" i="1"/>
  <c r="BS472" i="1"/>
  <c r="BS473" i="1"/>
  <c r="BS474" i="1"/>
  <c r="BS476" i="1"/>
  <c r="BS477" i="1"/>
  <c r="BS478" i="1"/>
  <c r="BS479" i="1"/>
  <c r="BS480" i="1"/>
  <c r="BS481" i="1"/>
  <c r="BS482" i="1"/>
  <c r="BS483" i="1"/>
  <c r="BS484" i="1"/>
  <c r="BS485" i="1"/>
  <c r="BS486" i="1"/>
  <c r="BS487" i="1"/>
  <c r="BS488" i="1"/>
  <c r="BS489" i="1"/>
  <c r="BS490" i="1"/>
  <c r="BS491" i="1"/>
  <c r="BS492" i="1"/>
  <c r="BS493" i="1"/>
  <c r="BS494" i="1"/>
  <c r="BS495" i="1"/>
  <c r="BS496" i="1"/>
  <c r="BS497" i="1"/>
  <c r="BS498" i="1"/>
  <c r="BS499" i="1"/>
  <c r="BS500" i="1"/>
  <c r="BS501" i="1"/>
  <c r="BS502" i="1"/>
  <c r="BS503" i="1"/>
  <c r="BS504" i="1"/>
  <c r="BS505" i="1"/>
  <c r="BS506" i="1"/>
  <c r="BS507" i="1"/>
  <c r="BS508" i="1"/>
  <c r="BS509" i="1"/>
  <c r="BS511" i="1"/>
  <c r="BS512" i="1"/>
  <c r="BS513" i="1"/>
  <c r="BS514" i="1"/>
  <c r="BS515" i="1"/>
  <c r="BS516" i="1"/>
  <c r="BS517" i="1"/>
  <c r="BS518" i="1"/>
  <c r="BS521" i="1"/>
  <c r="BS523" i="1"/>
  <c r="BS524" i="1"/>
  <c r="BS525" i="1"/>
  <c r="BS526" i="1"/>
  <c r="BS527" i="1"/>
  <c r="BS528" i="1"/>
  <c r="BS529" i="1"/>
  <c r="BS530" i="1"/>
  <c r="BS531" i="1"/>
  <c r="BS532" i="1"/>
  <c r="BS533" i="1"/>
  <c r="BS534" i="1"/>
  <c r="BS535" i="1"/>
  <c r="BS536" i="1"/>
  <c r="BS537" i="1"/>
  <c r="BS538" i="1"/>
  <c r="BS539" i="1"/>
  <c r="BS540" i="1"/>
  <c r="BS542" i="1"/>
  <c r="BS543" i="1"/>
  <c r="BS544" i="1"/>
  <c r="BS545" i="1"/>
  <c r="BS546" i="1"/>
  <c r="BS547" i="1"/>
  <c r="BS548" i="1"/>
  <c r="BS549" i="1"/>
  <c r="BS550" i="1"/>
  <c r="BS551" i="1"/>
  <c r="BS552" i="1"/>
  <c r="BS553" i="1"/>
  <c r="BS554" i="1"/>
  <c r="BS555" i="1"/>
  <c r="BS556" i="1"/>
  <c r="BS557" i="1"/>
  <c r="BS297" i="1"/>
  <c r="BS298" i="1"/>
  <c r="BS299" i="1"/>
  <c r="BS301" i="1"/>
  <c r="BS302" i="1"/>
  <c r="BS303" i="1"/>
  <c r="BS304" i="1"/>
  <c r="BS305" i="1"/>
  <c r="BS306" i="1"/>
  <c r="BS307" i="1"/>
  <c r="BS308" i="1"/>
  <c r="BS309" i="1"/>
  <c r="BS311" i="1"/>
  <c r="BS312" i="1"/>
  <c r="BS313" i="1"/>
  <c r="BS315" i="1"/>
  <c r="BS316" i="1"/>
  <c r="BS317" i="1"/>
  <c r="BS318" i="1"/>
  <c r="BS319" i="1"/>
  <c r="BS320" i="1"/>
  <c r="BS321" i="1"/>
  <c r="BS322" i="1"/>
  <c r="BS323" i="1"/>
  <c r="BS324" i="1"/>
  <c r="BS325" i="1"/>
  <c r="BS326" i="1"/>
  <c r="BS328" i="1"/>
  <c r="BS329" i="1"/>
  <c r="BS330" i="1"/>
  <c r="BS331" i="1"/>
  <c r="BS332" i="1"/>
  <c r="BS333" i="1"/>
  <c r="BS334" i="1"/>
  <c r="BS335" i="1"/>
  <c r="BS336" i="1"/>
  <c r="BS337" i="1"/>
  <c r="BS338" i="1"/>
  <c r="BS339" i="1"/>
  <c r="BS340" i="1"/>
  <c r="BS342" i="1"/>
  <c r="BS343" i="1"/>
  <c r="BS344" i="1"/>
  <c r="BS345" i="1"/>
  <c r="BS346" i="1"/>
  <c r="BS347" i="1"/>
  <c r="BS348" i="1"/>
  <c r="BS349" i="1"/>
  <c r="BS350" i="1"/>
  <c r="BS351" i="1"/>
  <c r="BS352" i="1"/>
  <c r="BS353" i="1"/>
  <c r="BS354" i="1"/>
  <c r="BS355" i="1"/>
  <c r="BS356" i="1"/>
  <c r="BS357" i="1"/>
  <c r="BS358" i="1"/>
  <c r="BS359" i="1"/>
  <c r="BS360" i="1"/>
  <c r="BS361" i="1"/>
  <c r="BS362" i="1"/>
  <c r="BS364" i="1"/>
  <c r="BS365" i="1"/>
  <c r="BS369" i="1"/>
  <c r="BS370" i="1"/>
  <c r="BS371" i="1"/>
  <c r="BS372" i="1"/>
  <c r="BS374" i="1"/>
  <c r="BS375" i="1"/>
  <c r="BS376" i="1"/>
  <c r="BS377" i="1"/>
  <c r="BS378" i="1"/>
  <c r="BS379" i="1"/>
  <c r="BS382" i="1"/>
  <c r="BS383" i="1"/>
  <c r="BS384" i="1"/>
  <c r="BS385" i="1"/>
  <c r="BS386" i="1"/>
  <c r="BS387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75" i="1"/>
  <c r="BS276" i="1"/>
  <c r="BS277" i="1"/>
  <c r="BS278" i="1"/>
  <c r="BS279" i="1"/>
  <c r="BS280" i="1"/>
  <c r="BS281" i="1"/>
  <c r="BS282" i="1"/>
  <c r="BS284" i="1"/>
  <c r="BS285" i="1"/>
  <c r="BS286" i="1"/>
  <c r="BS287" i="1"/>
  <c r="BS289" i="1"/>
  <c r="BS290" i="1"/>
  <c r="BS291" i="1"/>
  <c r="BS292" i="1"/>
  <c r="BS293" i="1"/>
  <c r="BS197" i="1"/>
  <c r="BS198" i="1"/>
  <c r="BS199" i="1"/>
  <c r="BS200" i="1"/>
  <c r="BS201" i="1"/>
  <c r="BS202" i="1"/>
  <c r="BS204" i="1"/>
  <c r="BS205" i="1"/>
  <c r="BS206" i="1"/>
  <c r="BS207" i="1"/>
  <c r="BS208" i="1"/>
  <c r="BS209" i="1"/>
  <c r="BS210" i="1"/>
  <c r="BS211" i="1"/>
  <c r="BS212" i="1"/>
  <c r="BS213" i="1"/>
  <c r="BS214" i="1"/>
  <c r="BS215" i="1"/>
  <c r="BS216" i="1"/>
  <c r="BS217" i="1"/>
  <c r="BS218" i="1"/>
  <c r="BS219" i="1"/>
  <c r="BS220" i="1"/>
  <c r="BS221" i="1"/>
  <c r="BS222" i="1"/>
  <c r="BS223" i="1"/>
  <c r="BS224" i="1"/>
  <c r="BS225" i="1"/>
  <c r="BS226" i="1"/>
  <c r="BS227" i="1"/>
  <c r="BS228" i="1"/>
  <c r="BS229" i="1"/>
  <c r="BS230" i="1"/>
  <c r="BS231" i="1"/>
  <c r="BS232" i="1"/>
  <c r="BS233" i="1"/>
  <c r="BS234" i="1"/>
  <c r="BS235" i="1"/>
  <c r="BS236" i="1"/>
  <c r="BS237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7" i="1"/>
  <c r="BS88" i="1"/>
  <c r="BS89" i="1"/>
  <c r="BS90" i="1"/>
  <c r="BS91" i="1"/>
  <c r="BS92" i="1"/>
  <c r="BS93" i="1"/>
  <c r="BS94" i="1"/>
  <c r="BS95" i="1"/>
  <c r="BS96" i="1"/>
  <c r="BS97" i="1"/>
  <c r="BS98" i="1"/>
  <c r="BS99" i="1"/>
  <c r="BS100" i="1"/>
  <c r="BS101" i="1"/>
  <c r="BS102" i="1"/>
  <c r="BS103" i="1"/>
  <c r="BS104" i="1"/>
  <c r="BS105" i="1"/>
  <c r="BS106" i="1"/>
  <c r="BS107" i="1"/>
  <c r="BS108" i="1"/>
  <c r="BS109" i="1"/>
  <c r="BS110" i="1"/>
  <c r="BS111" i="1"/>
  <c r="BS112" i="1"/>
  <c r="BS113" i="1"/>
  <c r="BS114" i="1"/>
  <c r="BS115" i="1"/>
  <c r="BS116" i="1"/>
  <c r="BS117" i="1"/>
  <c r="BS118" i="1"/>
  <c r="BS119" i="1"/>
  <c r="BS120" i="1"/>
  <c r="BS121" i="1"/>
  <c r="BS122" i="1"/>
  <c r="BS123" i="1"/>
  <c r="BS124" i="1"/>
  <c r="BS125" i="1"/>
  <c r="BS126" i="1"/>
  <c r="BS127" i="1"/>
  <c r="BS128" i="1"/>
  <c r="BS129" i="1"/>
  <c r="BS130" i="1"/>
  <c r="BS131" i="1"/>
  <c r="BS132" i="1"/>
  <c r="BS133" i="1"/>
  <c r="BS134" i="1"/>
  <c r="BS135" i="1"/>
  <c r="BS136" i="1"/>
  <c r="BS137" i="1"/>
  <c r="BS138" i="1"/>
  <c r="BS139" i="1"/>
  <c r="BS140" i="1"/>
  <c r="BS141" i="1"/>
  <c r="BS142" i="1"/>
  <c r="BS143" i="1"/>
  <c r="BS144" i="1"/>
  <c r="BS145" i="1"/>
  <c r="BS146" i="1"/>
  <c r="BS147" i="1"/>
  <c r="BS148" i="1"/>
  <c r="BS149" i="1"/>
  <c r="BS150" i="1"/>
  <c r="BS151" i="1"/>
  <c r="BS152" i="1"/>
  <c r="BS153" i="1"/>
  <c r="BS154" i="1"/>
  <c r="BS155" i="1"/>
  <c r="BS156" i="1"/>
  <c r="BS157" i="1"/>
  <c r="BS158" i="1"/>
  <c r="BS159" i="1"/>
  <c r="BS160" i="1"/>
  <c r="BS161" i="1"/>
  <c r="BS162" i="1"/>
  <c r="BS163" i="1"/>
  <c r="BS164" i="1"/>
  <c r="BS165" i="1"/>
  <c r="BS166" i="1"/>
  <c r="BS167" i="1"/>
  <c r="BS168" i="1"/>
  <c r="BS169" i="1"/>
  <c r="BS170" i="1"/>
  <c r="BS171" i="1"/>
  <c r="BS172" i="1"/>
  <c r="BS173" i="1"/>
  <c r="BS174" i="1"/>
  <c r="BS175" i="1"/>
  <c r="BS176" i="1"/>
  <c r="BS177" i="1"/>
  <c r="BS178" i="1"/>
  <c r="BS179" i="1"/>
  <c r="BS180" i="1"/>
  <c r="BS181" i="1"/>
  <c r="BS182" i="1"/>
  <c r="BS183" i="1"/>
  <c r="BS184" i="1"/>
  <c r="BS185" i="1"/>
  <c r="BS186" i="1"/>
  <c r="BS187" i="1"/>
  <c r="BS188" i="1"/>
  <c r="BS189" i="1"/>
  <c r="BS190" i="1"/>
  <c r="BS191" i="1"/>
  <c r="BS192" i="1"/>
  <c r="BS193" i="1"/>
  <c r="BS194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70" i="1"/>
  <c r="BS71" i="1"/>
  <c r="BR869" i="1" a="1"/>
  <c r="BR869" i="1"/>
  <c r="BM869" i="1"/>
  <c r="BK869" i="1"/>
  <c r="BA869" i="1"/>
  <c r="AX869" i="1"/>
  <c r="AO869" i="1"/>
  <c r="AL869" i="1"/>
  <c r="AC869" i="1"/>
  <c r="Z869" i="1"/>
  <c r="Q869" i="1"/>
  <c r="N869" i="1"/>
  <c r="E869" i="1"/>
  <c r="BR906" i="1" a="1"/>
  <c r="BR906" i="1"/>
  <c r="BM906" i="1"/>
  <c r="BK906" i="1"/>
  <c r="BA906" i="1"/>
  <c r="AX906" i="1"/>
  <c r="AO906" i="1"/>
  <c r="AL906" i="1"/>
  <c r="AC906" i="1"/>
  <c r="Z906" i="1"/>
  <c r="Q906" i="1"/>
  <c r="N906" i="1"/>
  <c r="E906" i="1"/>
  <c r="BR893" i="1" a="1"/>
  <c r="BR893" i="1"/>
  <c r="BM893" i="1"/>
  <c r="BK893" i="1"/>
  <c r="BA893" i="1"/>
  <c r="AX893" i="1"/>
  <c r="AO893" i="1"/>
  <c r="AL893" i="1"/>
  <c r="AC893" i="1"/>
  <c r="Z893" i="1"/>
  <c r="Q893" i="1"/>
  <c r="N893" i="1"/>
  <c r="E893" i="1"/>
  <c r="BR882" i="1" a="1"/>
  <c r="BR882" i="1"/>
  <c r="BM882" i="1"/>
  <c r="BK882" i="1"/>
  <c r="BA882" i="1"/>
  <c r="AX882" i="1"/>
  <c r="AO882" i="1"/>
  <c r="AL882" i="1"/>
  <c r="AC882" i="1"/>
  <c r="Z882" i="1"/>
  <c r="Q882" i="1"/>
  <c r="N882" i="1"/>
  <c r="E882" i="1"/>
  <c r="BR797" i="1" a="1"/>
  <c r="BR797" i="1"/>
  <c r="BM797" i="1"/>
  <c r="BK797" i="1"/>
  <c r="BA797" i="1"/>
  <c r="AX797" i="1"/>
  <c r="AO797" i="1"/>
  <c r="AL797" i="1"/>
  <c r="AC797" i="1"/>
  <c r="Z797" i="1"/>
  <c r="Q797" i="1"/>
  <c r="N797" i="1"/>
  <c r="E797" i="1"/>
  <c r="BR719" i="1" a="1"/>
  <c r="BR719" i="1"/>
  <c r="BM719" i="1"/>
  <c r="BK719" i="1"/>
  <c r="BA719" i="1"/>
  <c r="AX719" i="1"/>
  <c r="AO719" i="1"/>
  <c r="AL719" i="1"/>
  <c r="AC719" i="1"/>
  <c r="Z719" i="1"/>
  <c r="Q719" i="1"/>
  <c r="N719" i="1"/>
  <c r="E719" i="1"/>
  <c r="BR562" i="1" a="1"/>
  <c r="BR562" i="1"/>
  <c r="BM562" i="1"/>
  <c r="BK562" i="1"/>
  <c r="BA562" i="1"/>
  <c r="AX562" i="1"/>
  <c r="AO562" i="1"/>
  <c r="AL562" i="1"/>
  <c r="AC562" i="1"/>
  <c r="Z562" i="1"/>
  <c r="Q562" i="1"/>
  <c r="N562" i="1"/>
  <c r="E562" i="1"/>
  <c r="BR375" i="1" a="1"/>
  <c r="BR375" i="1"/>
  <c r="BM375" i="1"/>
  <c r="BK375" i="1"/>
  <c r="BA375" i="1"/>
  <c r="AX375" i="1"/>
  <c r="AO375" i="1"/>
  <c r="AL375" i="1"/>
  <c r="AC375" i="1"/>
  <c r="Z375" i="1"/>
  <c r="Q375" i="1"/>
  <c r="N375" i="1"/>
  <c r="E375" i="1"/>
  <c r="BR374" i="1" a="1"/>
  <c r="BR374" i="1"/>
  <c r="BM374" i="1"/>
  <c r="BK374" i="1"/>
  <c r="BA374" i="1"/>
  <c r="AX374" i="1"/>
  <c r="AO374" i="1"/>
  <c r="AL374" i="1"/>
  <c r="AC374" i="1"/>
  <c r="Z374" i="1"/>
  <c r="Q374" i="1"/>
  <c r="N374" i="1"/>
  <c r="E374" i="1"/>
  <c r="BR312" i="1" a="1"/>
  <c r="BR312" i="1"/>
  <c r="BM312" i="1"/>
  <c r="BK312" i="1"/>
  <c r="BA312" i="1"/>
  <c r="AX312" i="1"/>
  <c r="AO312" i="1"/>
  <c r="AL312" i="1"/>
  <c r="AC312" i="1"/>
  <c r="Z312" i="1"/>
  <c r="Q312" i="1"/>
  <c r="N312" i="1"/>
  <c r="E312" i="1"/>
  <c r="BR305" i="1" a="1"/>
  <c r="BR305" i="1"/>
  <c r="BM305" i="1"/>
  <c r="BK305" i="1"/>
  <c r="BA305" i="1"/>
  <c r="AX305" i="1"/>
  <c r="AO305" i="1"/>
  <c r="AL305" i="1"/>
  <c r="AC305" i="1"/>
  <c r="Z305" i="1"/>
  <c r="Q305" i="1"/>
  <c r="N305" i="1"/>
  <c r="E305" i="1"/>
  <c r="BR284" i="1" a="1"/>
  <c r="BR284" i="1"/>
  <c r="BM284" i="1"/>
  <c r="BK284" i="1"/>
  <c r="BA284" i="1"/>
  <c r="AX284" i="1"/>
  <c r="AO284" i="1"/>
  <c r="AL284" i="1"/>
  <c r="AC284" i="1"/>
  <c r="Z284" i="1"/>
  <c r="Q284" i="1"/>
  <c r="N284" i="1"/>
  <c r="E284" i="1"/>
  <c r="BR275" i="1" a="1"/>
  <c r="BR275" i="1"/>
  <c r="BM275" i="1"/>
  <c r="BK275" i="1"/>
  <c r="BA275" i="1"/>
  <c r="AX275" i="1"/>
  <c r="AO275" i="1"/>
  <c r="AL275" i="1"/>
  <c r="AC275" i="1"/>
  <c r="Z275" i="1"/>
  <c r="Q275" i="1"/>
  <c r="N275" i="1"/>
  <c r="E275" i="1"/>
  <c r="BR175" i="1" a="1"/>
  <c r="BR175" i="1"/>
  <c r="BM175" i="1"/>
  <c r="BK175" i="1"/>
  <c r="BA175" i="1"/>
  <c r="AX175" i="1"/>
  <c r="AO175" i="1"/>
  <c r="AL175" i="1"/>
  <c r="AC175" i="1"/>
  <c r="Z175" i="1"/>
  <c r="Q175" i="1"/>
  <c r="N175" i="1"/>
  <c r="E175" i="1"/>
  <c r="BN312" i="1"/>
  <c r="BO312" i="1" a="1"/>
  <c r="BO312" i="1"/>
  <c r="BN284" i="1"/>
  <c r="BO284" i="1" a="1"/>
  <c r="BO284" i="1"/>
  <c r="BN275" i="1"/>
  <c r="BO275" i="1" a="1"/>
  <c r="BO275" i="1"/>
  <c r="BN906" i="1"/>
  <c r="BO906" i="1" a="1"/>
  <c r="BO906" i="1"/>
  <c r="BN305" i="1"/>
  <c r="BO305" i="1" a="1"/>
  <c r="BO305" i="1"/>
  <c r="BN175" i="1"/>
  <c r="BO175" i="1" a="1"/>
  <c r="BO175" i="1"/>
  <c r="BN562" i="1"/>
  <c r="BO562" i="1" a="1"/>
  <c r="BO562" i="1"/>
  <c r="BN893" i="1"/>
  <c r="BO893" i="1" a="1"/>
  <c r="BO893" i="1"/>
  <c r="BN719" i="1"/>
  <c r="BO719" i="1" a="1"/>
  <c r="BO719" i="1"/>
  <c r="BN869" i="1"/>
  <c r="BO869" i="1" a="1"/>
  <c r="BO869" i="1"/>
  <c r="BN797" i="1"/>
  <c r="BO797" i="1" a="1"/>
  <c r="BO797" i="1"/>
  <c r="BN882" i="1"/>
  <c r="BO882" i="1" a="1"/>
  <c r="BO882" i="1"/>
  <c r="BN375" i="1"/>
  <c r="BO375" i="1" a="1"/>
  <c r="BO375" i="1"/>
  <c r="BN374" i="1"/>
  <c r="BO374" i="1" a="1"/>
  <c r="BO374" i="1"/>
  <c r="AL755" i="1"/>
  <c r="AL490" i="1"/>
  <c r="AL813" i="1"/>
  <c r="AL515" i="1"/>
  <c r="AL729" i="1"/>
  <c r="Z729" i="1"/>
  <c r="Z746" i="1"/>
  <c r="Z964" i="1"/>
  <c r="Z429" i="1"/>
  <c r="Z818" i="1"/>
  <c r="Z515" i="1"/>
  <c r="N723" i="1"/>
  <c r="N729" i="1"/>
  <c r="N428" i="1"/>
  <c r="N450" i="1"/>
  <c r="N451" i="1"/>
  <c r="N396" i="1"/>
  <c r="N429" i="1"/>
  <c r="N755" i="1"/>
  <c r="N980" i="1"/>
  <c r="Z980" i="1"/>
  <c r="AL980" i="1"/>
  <c r="AX980" i="1"/>
  <c r="BK980" i="1"/>
  <c r="BM980" i="1"/>
  <c r="N979" i="1"/>
  <c r="Z979" i="1"/>
  <c r="AL979" i="1"/>
  <c r="AX979" i="1"/>
  <c r="BK979" i="1"/>
  <c r="BM979" i="1"/>
  <c r="N978" i="1"/>
  <c r="Z978" i="1"/>
  <c r="AL978" i="1"/>
  <c r="AX978" i="1"/>
  <c r="BK978" i="1"/>
  <c r="BM978" i="1"/>
  <c r="N977" i="1"/>
  <c r="Z977" i="1"/>
  <c r="AL977" i="1"/>
  <c r="AX977" i="1"/>
  <c r="BK977" i="1"/>
  <c r="BM977" i="1"/>
  <c r="N976" i="1"/>
  <c r="Z976" i="1"/>
  <c r="AL976" i="1"/>
  <c r="AX976" i="1"/>
  <c r="BK976" i="1"/>
  <c r="BM976" i="1"/>
  <c r="N975" i="1"/>
  <c r="Z975" i="1"/>
  <c r="AL975" i="1"/>
  <c r="AX975" i="1"/>
  <c r="BK975" i="1"/>
  <c r="BM975" i="1"/>
  <c r="N974" i="1"/>
  <c r="Z974" i="1"/>
  <c r="AL974" i="1"/>
  <c r="AX974" i="1"/>
  <c r="BK974" i="1"/>
  <c r="BM974" i="1"/>
  <c r="N973" i="1"/>
  <c r="Z973" i="1"/>
  <c r="AL973" i="1"/>
  <c r="AX973" i="1"/>
  <c r="BK973" i="1"/>
  <c r="BM973" i="1"/>
  <c r="N972" i="1"/>
  <c r="Z972" i="1"/>
  <c r="AL972" i="1"/>
  <c r="AX972" i="1"/>
  <c r="BK972" i="1"/>
  <c r="BM972" i="1"/>
  <c r="N971" i="1"/>
  <c r="Z971" i="1"/>
  <c r="AL971" i="1"/>
  <c r="AX971" i="1"/>
  <c r="BK971" i="1"/>
  <c r="BM971" i="1"/>
  <c r="N970" i="1"/>
  <c r="Z970" i="1"/>
  <c r="AL970" i="1"/>
  <c r="AX970" i="1"/>
  <c r="BK970" i="1"/>
  <c r="BM970" i="1"/>
  <c r="N969" i="1"/>
  <c r="Z969" i="1"/>
  <c r="AL969" i="1"/>
  <c r="AX969" i="1"/>
  <c r="BK969" i="1"/>
  <c r="BM969" i="1"/>
  <c r="N968" i="1"/>
  <c r="Z968" i="1"/>
  <c r="AL968" i="1"/>
  <c r="AX968" i="1"/>
  <c r="BK968" i="1"/>
  <c r="BM968" i="1"/>
  <c r="BS967" i="1"/>
  <c r="N967" i="1"/>
  <c r="Z967" i="1"/>
  <c r="AL967" i="1"/>
  <c r="AX967" i="1"/>
  <c r="BK967" i="1"/>
  <c r="BM967" i="1"/>
  <c r="N965" i="1"/>
  <c r="Z965" i="1"/>
  <c r="AL965" i="1"/>
  <c r="AX965" i="1"/>
  <c r="BK965" i="1"/>
  <c r="BM965" i="1"/>
  <c r="N964" i="1"/>
  <c r="AL964" i="1"/>
  <c r="AX964" i="1"/>
  <c r="BK964" i="1"/>
  <c r="BM964" i="1"/>
  <c r="N963" i="1"/>
  <c r="Z963" i="1"/>
  <c r="AL963" i="1"/>
  <c r="AX963" i="1"/>
  <c r="BK963" i="1"/>
  <c r="BM963" i="1"/>
  <c r="N962" i="1"/>
  <c r="Z962" i="1"/>
  <c r="AL962" i="1"/>
  <c r="AX962" i="1"/>
  <c r="BK962" i="1"/>
  <c r="BM962" i="1"/>
  <c r="N961" i="1"/>
  <c r="Z961" i="1"/>
  <c r="AL961" i="1"/>
  <c r="AX961" i="1"/>
  <c r="BK961" i="1"/>
  <c r="BM961" i="1"/>
  <c r="N960" i="1"/>
  <c r="Z960" i="1"/>
  <c r="AL960" i="1"/>
  <c r="AX960" i="1"/>
  <c r="BK960" i="1"/>
  <c r="BM960" i="1"/>
  <c r="N959" i="1"/>
  <c r="Z959" i="1"/>
  <c r="AL959" i="1"/>
  <c r="AX959" i="1"/>
  <c r="BK959" i="1"/>
  <c r="BM959" i="1"/>
  <c r="N958" i="1"/>
  <c r="Z958" i="1"/>
  <c r="AL958" i="1"/>
  <c r="AX958" i="1"/>
  <c r="BK958" i="1"/>
  <c r="BM958" i="1"/>
  <c r="N957" i="1"/>
  <c r="Z957" i="1"/>
  <c r="AL957" i="1"/>
  <c r="AX957" i="1"/>
  <c r="BK957" i="1"/>
  <c r="BM957" i="1"/>
  <c r="N956" i="1"/>
  <c r="Z956" i="1"/>
  <c r="AL956" i="1"/>
  <c r="AX956" i="1"/>
  <c r="BK956" i="1"/>
  <c r="BM956" i="1"/>
  <c r="N955" i="1"/>
  <c r="Z955" i="1"/>
  <c r="AL955" i="1"/>
  <c r="AX955" i="1"/>
  <c r="BK955" i="1"/>
  <c r="BM955" i="1"/>
  <c r="N954" i="1"/>
  <c r="Z954" i="1"/>
  <c r="AL954" i="1"/>
  <c r="AX954" i="1"/>
  <c r="BK954" i="1"/>
  <c r="BM954" i="1"/>
  <c r="N953" i="1"/>
  <c r="Z953" i="1"/>
  <c r="AL953" i="1"/>
  <c r="AX953" i="1"/>
  <c r="BK953" i="1"/>
  <c r="BM953" i="1"/>
  <c r="N952" i="1"/>
  <c r="Z952" i="1"/>
  <c r="AL952" i="1"/>
  <c r="AX952" i="1"/>
  <c r="BK952" i="1"/>
  <c r="BM952" i="1"/>
  <c r="N951" i="1"/>
  <c r="Z951" i="1"/>
  <c r="AL951" i="1"/>
  <c r="AX951" i="1"/>
  <c r="BK951" i="1"/>
  <c r="BM951" i="1"/>
  <c r="N950" i="1"/>
  <c r="Z950" i="1"/>
  <c r="AL950" i="1"/>
  <c r="AX950" i="1"/>
  <c r="BK950" i="1"/>
  <c r="BM950" i="1"/>
  <c r="N949" i="1"/>
  <c r="Z949" i="1"/>
  <c r="AL949" i="1"/>
  <c r="AX949" i="1"/>
  <c r="BK949" i="1"/>
  <c r="BM949" i="1"/>
  <c r="N948" i="1"/>
  <c r="Z948" i="1"/>
  <c r="AL948" i="1"/>
  <c r="AX948" i="1"/>
  <c r="BK948" i="1"/>
  <c r="BM948" i="1"/>
  <c r="N947" i="1"/>
  <c r="Z947" i="1"/>
  <c r="AL947" i="1"/>
  <c r="AX947" i="1"/>
  <c r="BK947" i="1"/>
  <c r="BM947" i="1"/>
  <c r="N946" i="1"/>
  <c r="Z946" i="1"/>
  <c r="AL946" i="1"/>
  <c r="AX946" i="1"/>
  <c r="BK946" i="1"/>
  <c r="BM946" i="1"/>
  <c r="N945" i="1"/>
  <c r="Z945" i="1"/>
  <c r="AL945" i="1"/>
  <c r="AX945" i="1"/>
  <c r="BK945" i="1"/>
  <c r="BM945" i="1"/>
  <c r="N944" i="1"/>
  <c r="Z944" i="1"/>
  <c r="AL944" i="1"/>
  <c r="AX944" i="1"/>
  <c r="BK944" i="1"/>
  <c r="BM944" i="1"/>
  <c r="N943" i="1"/>
  <c r="Z943" i="1"/>
  <c r="AL943" i="1"/>
  <c r="AX943" i="1"/>
  <c r="BK943" i="1"/>
  <c r="BM943" i="1"/>
  <c r="N942" i="1"/>
  <c r="Z942" i="1"/>
  <c r="AL942" i="1"/>
  <c r="AX942" i="1"/>
  <c r="BK942" i="1"/>
  <c r="BM942" i="1"/>
  <c r="N941" i="1"/>
  <c r="Z941" i="1"/>
  <c r="AL941" i="1"/>
  <c r="AX941" i="1"/>
  <c r="BK941" i="1"/>
  <c r="BM941" i="1"/>
  <c r="N940" i="1"/>
  <c r="Z940" i="1"/>
  <c r="AL940" i="1"/>
  <c r="AX940" i="1"/>
  <c r="BK940" i="1"/>
  <c r="BM940" i="1"/>
  <c r="N939" i="1"/>
  <c r="Z939" i="1"/>
  <c r="AL939" i="1"/>
  <c r="AX939" i="1"/>
  <c r="BK939" i="1"/>
  <c r="BM939" i="1"/>
  <c r="N938" i="1"/>
  <c r="Z938" i="1"/>
  <c r="AL938" i="1"/>
  <c r="AX938" i="1"/>
  <c r="BK938" i="1"/>
  <c r="BM938" i="1"/>
  <c r="N937" i="1"/>
  <c r="Z937" i="1"/>
  <c r="AL937" i="1"/>
  <c r="AX937" i="1"/>
  <c r="BK937" i="1"/>
  <c r="BM937" i="1"/>
  <c r="N936" i="1"/>
  <c r="Z936" i="1"/>
  <c r="AL936" i="1"/>
  <c r="AX936" i="1"/>
  <c r="BK936" i="1"/>
  <c r="BM936" i="1"/>
  <c r="N935" i="1"/>
  <c r="Z935" i="1"/>
  <c r="AL935" i="1"/>
  <c r="AX935" i="1"/>
  <c r="BK935" i="1"/>
  <c r="BM935" i="1"/>
  <c r="N934" i="1"/>
  <c r="Z934" i="1"/>
  <c r="AL934" i="1"/>
  <c r="AX934" i="1"/>
  <c r="BK934" i="1"/>
  <c r="BM934" i="1"/>
  <c r="N933" i="1"/>
  <c r="Z933" i="1"/>
  <c r="AL933" i="1"/>
  <c r="AX933" i="1"/>
  <c r="BK933" i="1"/>
  <c r="BM933" i="1"/>
  <c r="N932" i="1"/>
  <c r="Z932" i="1"/>
  <c r="AL932" i="1"/>
  <c r="AX932" i="1"/>
  <c r="BK932" i="1"/>
  <c r="BM932" i="1"/>
  <c r="N931" i="1"/>
  <c r="Z931" i="1"/>
  <c r="AL931" i="1"/>
  <c r="AX931" i="1"/>
  <c r="BK931" i="1"/>
  <c r="BM931" i="1"/>
  <c r="N930" i="1"/>
  <c r="Z930" i="1"/>
  <c r="AL930" i="1"/>
  <c r="AX930" i="1"/>
  <c r="BK930" i="1"/>
  <c r="BM930" i="1"/>
  <c r="N929" i="1"/>
  <c r="Z929" i="1"/>
  <c r="AL929" i="1"/>
  <c r="AX929" i="1"/>
  <c r="BK929" i="1"/>
  <c r="BM929" i="1"/>
  <c r="N927" i="1"/>
  <c r="Z927" i="1"/>
  <c r="AL927" i="1"/>
  <c r="AX927" i="1"/>
  <c r="BK927" i="1"/>
  <c r="BM927" i="1"/>
  <c r="N925" i="1"/>
  <c r="Z925" i="1"/>
  <c r="AL925" i="1"/>
  <c r="AX925" i="1"/>
  <c r="BK925" i="1"/>
  <c r="BM925" i="1"/>
  <c r="N924" i="1"/>
  <c r="Z924" i="1"/>
  <c r="AL924" i="1"/>
  <c r="AX924" i="1"/>
  <c r="BK924" i="1"/>
  <c r="BM924" i="1"/>
  <c r="N923" i="1"/>
  <c r="Z923" i="1"/>
  <c r="AL923" i="1"/>
  <c r="AX923" i="1"/>
  <c r="BK923" i="1"/>
  <c r="BM923" i="1"/>
  <c r="N922" i="1"/>
  <c r="Z922" i="1"/>
  <c r="AL922" i="1"/>
  <c r="AX922" i="1"/>
  <c r="BK922" i="1"/>
  <c r="BM922" i="1"/>
  <c r="Z921" i="1"/>
  <c r="N921" i="1"/>
  <c r="AL921" i="1"/>
  <c r="AX921" i="1"/>
  <c r="BK921" i="1"/>
  <c r="BM921" i="1"/>
  <c r="N920" i="1"/>
  <c r="Z920" i="1"/>
  <c r="AL920" i="1"/>
  <c r="AX920" i="1"/>
  <c r="BK920" i="1"/>
  <c r="BM920" i="1"/>
  <c r="N919" i="1"/>
  <c r="Z919" i="1"/>
  <c r="AL919" i="1"/>
  <c r="AX919" i="1"/>
  <c r="BK919" i="1"/>
  <c r="BM919" i="1"/>
  <c r="N918" i="1"/>
  <c r="Z918" i="1"/>
  <c r="AL918" i="1"/>
  <c r="AX918" i="1"/>
  <c r="BK918" i="1"/>
  <c r="BM918" i="1"/>
  <c r="N917" i="1"/>
  <c r="Z917" i="1"/>
  <c r="AL917" i="1"/>
  <c r="AX917" i="1"/>
  <c r="BK917" i="1"/>
  <c r="BM917" i="1"/>
  <c r="N916" i="1"/>
  <c r="Z916" i="1"/>
  <c r="AL916" i="1"/>
  <c r="AX916" i="1"/>
  <c r="BK916" i="1"/>
  <c r="BM916" i="1"/>
  <c r="N915" i="1"/>
  <c r="Z915" i="1"/>
  <c r="AL915" i="1"/>
  <c r="AX915" i="1"/>
  <c r="BK915" i="1"/>
  <c r="BM915" i="1"/>
  <c r="N914" i="1"/>
  <c r="Z914" i="1"/>
  <c r="AL914" i="1"/>
  <c r="AX914" i="1"/>
  <c r="BK914" i="1"/>
  <c r="BM914" i="1"/>
  <c r="N913" i="1"/>
  <c r="Z913" i="1"/>
  <c r="AL913" i="1"/>
  <c r="AX913" i="1"/>
  <c r="BK913" i="1"/>
  <c r="BM913" i="1"/>
  <c r="Z912" i="1"/>
  <c r="N912" i="1"/>
  <c r="AL912" i="1"/>
  <c r="AX912" i="1"/>
  <c r="BK912" i="1"/>
  <c r="BM912" i="1"/>
  <c r="N909" i="1"/>
  <c r="Z909" i="1"/>
  <c r="AL909" i="1"/>
  <c r="AX909" i="1"/>
  <c r="BK909" i="1"/>
  <c r="BM909" i="1"/>
  <c r="N908" i="1"/>
  <c r="Z908" i="1"/>
  <c r="AL908" i="1"/>
  <c r="AX908" i="1"/>
  <c r="BK908" i="1"/>
  <c r="BM908" i="1"/>
  <c r="N907" i="1"/>
  <c r="Z907" i="1"/>
  <c r="AL907" i="1"/>
  <c r="AX907" i="1"/>
  <c r="BK907" i="1"/>
  <c r="BM907" i="1"/>
  <c r="N905" i="1"/>
  <c r="Z905" i="1"/>
  <c r="AL905" i="1"/>
  <c r="AX905" i="1"/>
  <c r="BK905" i="1"/>
  <c r="BM905" i="1"/>
  <c r="N904" i="1"/>
  <c r="Z904" i="1"/>
  <c r="AL904" i="1"/>
  <c r="AX904" i="1"/>
  <c r="BK904" i="1"/>
  <c r="BM904" i="1"/>
  <c r="N902" i="1"/>
  <c r="Z902" i="1"/>
  <c r="AL902" i="1"/>
  <c r="AX902" i="1"/>
  <c r="BK902" i="1"/>
  <c r="BM902" i="1"/>
  <c r="N901" i="1"/>
  <c r="Z901" i="1"/>
  <c r="AL901" i="1"/>
  <c r="AX901" i="1"/>
  <c r="BK901" i="1"/>
  <c r="BM901" i="1"/>
  <c r="N900" i="1"/>
  <c r="Z900" i="1"/>
  <c r="AL900" i="1"/>
  <c r="AX900" i="1"/>
  <c r="BK900" i="1"/>
  <c r="BM900" i="1"/>
  <c r="N899" i="1"/>
  <c r="Z899" i="1"/>
  <c r="AL899" i="1"/>
  <c r="AX899" i="1"/>
  <c r="BK899" i="1"/>
  <c r="BM899" i="1"/>
  <c r="N898" i="1"/>
  <c r="Z898" i="1"/>
  <c r="AL898" i="1"/>
  <c r="AX898" i="1"/>
  <c r="BK898" i="1"/>
  <c r="BM898" i="1"/>
  <c r="N897" i="1"/>
  <c r="Z897" i="1"/>
  <c r="AL897" i="1"/>
  <c r="AX897" i="1"/>
  <c r="BK897" i="1"/>
  <c r="BM897" i="1"/>
  <c r="Z896" i="1"/>
  <c r="N896" i="1"/>
  <c r="AL896" i="1"/>
  <c r="AX896" i="1"/>
  <c r="BK896" i="1"/>
  <c r="BM896" i="1"/>
  <c r="N895" i="1"/>
  <c r="Z895" i="1"/>
  <c r="AL895" i="1"/>
  <c r="AX895" i="1"/>
  <c r="BK895" i="1"/>
  <c r="BM895" i="1"/>
  <c r="N894" i="1"/>
  <c r="Z894" i="1"/>
  <c r="AL894" i="1"/>
  <c r="AX894" i="1"/>
  <c r="BK894" i="1"/>
  <c r="BM894" i="1"/>
  <c r="BS892" i="1"/>
  <c r="N892" i="1"/>
  <c r="Z892" i="1"/>
  <c r="AL892" i="1"/>
  <c r="AX892" i="1"/>
  <c r="BK892" i="1"/>
  <c r="BM892" i="1"/>
  <c r="N890" i="1"/>
  <c r="Z890" i="1"/>
  <c r="AL890" i="1"/>
  <c r="AX890" i="1"/>
  <c r="BK890" i="1"/>
  <c r="BM890" i="1"/>
  <c r="N889" i="1"/>
  <c r="Z889" i="1"/>
  <c r="AL889" i="1"/>
  <c r="AX889" i="1"/>
  <c r="BK889" i="1"/>
  <c r="BM889" i="1"/>
  <c r="N888" i="1"/>
  <c r="Z888" i="1"/>
  <c r="AL888" i="1"/>
  <c r="AX888" i="1"/>
  <c r="BK888" i="1"/>
  <c r="BM888" i="1"/>
  <c r="N887" i="1"/>
  <c r="Z887" i="1"/>
  <c r="AL887" i="1"/>
  <c r="AX887" i="1"/>
  <c r="BK887" i="1"/>
  <c r="BM887" i="1"/>
  <c r="N886" i="1"/>
  <c r="Z886" i="1"/>
  <c r="AL886" i="1"/>
  <c r="AX886" i="1"/>
  <c r="BK886" i="1"/>
  <c r="BM886" i="1"/>
  <c r="N885" i="1"/>
  <c r="Z885" i="1"/>
  <c r="AL885" i="1"/>
  <c r="AX885" i="1"/>
  <c r="BK885" i="1"/>
  <c r="BM885" i="1"/>
  <c r="N884" i="1"/>
  <c r="Z884" i="1"/>
  <c r="AL884" i="1"/>
  <c r="AX884" i="1"/>
  <c r="BK884" i="1"/>
  <c r="BM884" i="1"/>
  <c r="N883" i="1"/>
  <c r="Z883" i="1"/>
  <c r="AL883" i="1"/>
  <c r="AX883" i="1"/>
  <c r="BK883" i="1"/>
  <c r="BM883" i="1"/>
  <c r="N881" i="1"/>
  <c r="Z881" i="1"/>
  <c r="AL881" i="1"/>
  <c r="AX881" i="1"/>
  <c r="BK881" i="1"/>
  <c r="BM881" i="1"/>
  <c r="N880" i="1"/>
  <c r="Z880" i="1"/>
  <c r="AL880" i="1"/>
  <c r="AX880" i="1"/>
  <c r="BK880" i="1"/>
  <c r="BM880" i="1"/>
  <c r="N879" i="1"/>
  <c r="Z879" i="1"/>
  <c r="AL879" i="1"/>
  <c r="AX879" i="1"/>
  <c r="BK879" i="1"/>
  <c r="BM879" i="1"/>
  <c r="N878" i="1"/>
  <c r="Z878" i="1"/>
  <c r="AL878" i="1"/>
  <c r="AX878" i="1"/>
  <c r="BK878" i="1"/>
  <c r="BM878" i="1"/>
  <c r="N877" i="1"/>
  <c r="Z877" i="1"/>
  <c r="AL877" i="1"/>
  <c r="AX877" i="1"/>
  <c r="BK877" i="1"/>
  <c r="BM877" i="1"/>
  <c r="N876" i="1"/>
  <c r="Z876" i="1"/>
  <c r="AL876" i="1"/>
  <c r="AX876" i="1"/>
  <c r="BK876" i="1"/>
  <c r="BM876" i="1"/>
  <c r="N875" i="1"/>
  <c r="Z875" i="1"/>
  <c r="AL875" i="1"/>
  <c r="AX875" i="1"/>
  <c r="BK875" i="1"/>
  <c r="BM875" i="1"/>
  <c r="N874" i="1"/>
  <c r="Z874" i="1"/>
  <c r="AL874" i="1"/>
  <c r="AX874" i="1"/>
  <c r="BK874" i="1"/>
  <c r="BM874" i="1"/>
  <c r="N873" i="1"/>
  <c r="Z873" i="1"/>
  <c r="AL873" i="1"/>
  <c r="AX873" i="1"/>
  <c r="BK873" i="1"/>
  <c r="BM873" i="1"/>
  <c r="N872" i="1"/>
  <c r="Z872" i="1"/>
  <c r="AL872" i="1"/>
  <c r="AX872" i="1"/>
  <c r="BK872" i="1"/>
  <c r="BM872" i="1"/>
  <c r="N871" i="1"/>
  <c r="Z871" i="1"/>
  <c r="AL871" i="1"/>
  <c r="AX871" i="1"/>
  <c r="BK871" i="1"/>
  <c r="BM871" i="1"/>
  <c r="N870" i="1"/>
  <c r="Z870" i="1"/>
  <c r="AL870" i="1"/>
  <c r="AX870" i="1"/>
  <c r="BK870" i="1"/>
  <c r="BM870" i="1"/>
  <c r="BS868" i="1"/>
  <c r="N868" i="1"/>
  <c r="Z868" i="1"/>
  <c r="AL868" i="1"/>
  <c r="AX868" i="1"/>
  <c r="BK868" i="1"/>
  <c r="BM868" i="1"/>
  <c r="N866" i="1"/>
  <c r="Z866" i="1"/>
  <c r="AL866" i="1"/>
  <c r="AX866" i="1"/>
  <c r="BK866" i="1"/>
  <c r="BM866" i="1"/>
  <c r="N865" i="1"/>
  <c r="Z865" i="1"/>
  <c r="AL865" i="1"/>
  <c r="AX865" i="1"/>
  <c r="BK865" i="1"/>
  <c r="BM865" i="1"/>
  <c r="Z864" i="1"/>
  <c r="N864" i="1"/>
  <c r="AL864" i="1"/>
  <c r="AX864" i="1"/>
  <c r="BK864" i="1"/>
  <c r="BM864" i="1"/>
  <c r="N863" i="1"/>
  <c r="Z863" i="1"/>
  <c r="AL863" i="1"/>
  <c r="AX863" i="1"/>
  <c r="BK863" i="1"/>
  <c r="BM863" i="1"/>
  <c r="N862" i="1"/>
  <c r="Z862" i="1"/>
  <c r="AL862" i="1"/>
  <c r="AX862" i="1"/>
  <c r="BK862" i="1"/>
  <c r="BM862" i="1"/>
  <c r="N861" i="1"/>
  <c r="Z861" i="1"/>
  <c r="AL861" i="1"/>
  <c r="AX861" i="1"/>
  <c r="BK861" i="1"/>
  <c r="BM861" i="1"/>
  <c r="N860" i="1"/>
  <c r="Z860" i="1"/>
  <c r="AL860" i="1"/>
  <c r="AX860" i="1"/>
  <c r="BK860" i="1"/>
  <c r="BM860" i="1"/>
  <c r="Z859" i="1"/>
  <c r="N859" i="1"/>
  <c r="AL859" i="1"/>
  <c r="AX859" i="1"/>
  <c r="BK859" i="1"/>
  <c r="BM859" i="1"/>
  <c r="Z857" i="1"/>
  <c r="N857" i="1"/>
  <c r="AL857" i="1"/>
  <c r="AX857" i="1"/>
  <c r="BK857" i="1"/>
  <c r="BM857" i="1"/>
  <c r="BR856" i="1" a="1"/>
  <c r="BR856" i="1"/>
  <c r="N856" i="1"/>
  <c r="Z856" i="1"/>
  <c r="AL856" i="1"/>
  <c r="AX856" i="1"/>
  <c r="BK856" i="1"/>
  <c r="BM856" i="1"/>
  <c r="BR855" i="1" a="1"/>
  <c r="BR855" i="1"/>
  <c r="N855" i="1"/>
  <c r="Z855" i="1"/>
  <c r="AL855" i="1"/>
  <c r="AX855" i="1"/>
  <c r="BK855" i="1"/>
  <c r="BM855" i="1"/>
  <c r="N854" i="1"/>
  <c r="Z854" i="1"/>
  <c r="AL854" i="1"/>
  <c r="AX854" i="1"/>
  <c r="BK854" i="1"/>
  <c r="BM854" i="1"/>
  <c r="N853" i="1"/>
  <c r="Z853" i="1"/>
  <c r="AL853" i="1"/>
  <c r="AX853" i="1"/>
  <c r="BK853" i="1"/>
  <c r="BM853" i="1"/>
  <c r="N852" i="1"/>
  <c r="Z852" i="1"/>
  <c r="AL852" i="1"/>
  <c r="AX852" i="1"/>
  <c r="BK852" i="1"/>
  <c r="BM852" i="1"/>
  <c r="N851" i="1"/>
  <c r="Z851" i="1"/>
  <c r="AL851" i="1"/>
  <c r="AX851" i="1"/>
  <c r="BK851" i="1"/>
  <c r="BM851" i="1"/>
  <c r="N850" i="1"/>
  <c r="Z850" i="1"/>
  <c r="AL850" i="1"/>
  <c r="AX850" i="1"/>
  <c r="BK850" i="1"/>
  <c r="BM850" i="1"/>
  <c r="N849" i="1"/>
  <c r="Z849" i="1"/>
  <c r="AL849" i="1"/>
  <c r="AX849" i="1"/>
  <c r="BK849" i="1"/>
  <c r="BM849" i="1"/>
  <c r="N848" i="1"/>
  <c r="Z848" i="1"/>
  <c r="AL848" i="1"/>
  <c r="AX848" i="1"/>
  <c r="BK848" i="1"/>
  <c r="BM848" i="1"/>
  <c r="N847" i="1"/>
  <c r="Z847" i="1"/>
  <c r="AL847" i="1"/>
  <c r="AX847" i="1"/>
  <c r="BK847" i="1"/>
  <c r="BM847" i="1"/>
  <c r="N845" i="1"/>
  <c r="Z845" i="1"/>
  <c r="AL845" i="1"/>
  <c r="AX845" i="1"/>
  <c r="BK845" i="1"/>
  <c r="BM845" i="1"/>
  <c r="N844" i="1"/>
  <c r="Z844" i="1"/>
  <c r="AL844" i="1"/>
  <c r="AX844" i="1"/>
  <c r="BK844" i="1"/>
  <c r="BM844" i="1"/>
  <c r="N843" i="1"/>
  <c r="Z843" i="1"/>
  <c r="AL843" i="1"/>
  <c r="AX843" i="1"/>
  <c r="BK843" i="1"/>
  <c r="BM843" i="1"/>
  <c r="N842" i="1"/>
  <c r="Z842" i="1"/>
  <c r="AL842" i="1"/>
  <c r="AX842" i="1"/>
  <c r="BK842" i="1"/>
  <c r="BM842" i="1"/>
  <c r="N841" i="1"/>
  <c r="Z841" i="1"/>
  <c r="AL841" i="1"/>
  <c r="AX841" i="1"/>
  <c r="BK841" i="1"/>
  <c r="BM841" i="1"/>
  <c r="N840" i="1"/>
  <c r="Z840" i="1"/>
  <c r="AL840" i="1"/>
  <c r="AX840" i="1"/>
  <c r="BK840" i="1"/>
  <c r="BM840" i="1"/>
  <c r="N839" i="1"/>
  <c r="Z839" i="1"/>
  <c r="AL839" i="1"/>
  <c r="AX839" i="1"/>
  <c r="BK839" i="1"/>
  <c r="BM839" i="1"/>
  <c r="N838" i="1"/>
  <c r="Z838" i="1"/>
  <c r="AL838" i="1"/>
  <c r="AX838" i="1"/>
  <c r="BK838" i="1"/>
  <c r="BM838" i="1"/>
  <c r="Z837" i="1"/>
  <c r="N837" i="1"/>
  <c r="AL837" i="1"/>
  <c r="AX837" i="1"/>
  <c r="BK837" i="1"/>
  <c r="BM837" i="1"/>
  <c r="N836" i="1"/>
  <c r="Z836" i="1"/>
  <c r="AL836" i="1"/>
  <c r="AX836" i="1"/>
  <c r="BK836" i="1"/>
  <c r="BM836" i="1"/>
  <c r="N835" i="1"/>
  <c r="Z835" i="1"/>
  <c r="AL835" i="1"/>
  <c r="AX835" i="1"/>
  <c r="BK835" i="1"/>
  <c r="BM835" i="1"/>
  <c r="N834" i="1"/>
  <c r="Z834" i="1"/>
  <c r="AL834" i="1"/>
  <c r="AX834" i="1"/>
  <c r="BK834" i="1"/>
  <c r="BM834" i="1"/>
  <c r="N833" i="1"/>
  <c r="Z833" i="1"/>
  <c r="AL833" i="1"/>
  <c r="AX833" i="1"/>
  <c r="BK833" i="1"/>
  <c r="BM833" i="1"/>
  <c r="Z832" i="1"/>
  <c r="N832" i="1"/>
  <c r="AL832" i="1"/>
  <c r="AX832" i="1"/>
  <c r="BK832" i="1"/>
  <c r="BM832" i="1"/>
  <c r="N831" i="1"/>
  <c r="Z831" i="1"/>
  <c r="AL831" i="1"/>
  <c r="AX831" i="1"/>
  <c r="BK831" i="1"/>
  <c r="BM831" i="1"/>
  <c r="N830" i="1"/>
  <c r="Z830" i="1"/>
  <c r="AL830" i="1"/>
  <c r="AX830" i="1"/>
  <c r="BK830" i="1"/>
  <c r="BM830" i="1"/>
  <c r="N829" i="1"/>
  <c r="Z829" i="1"/>
  <c r="AL829" i="1"/>
  <c r="AX829" i="1"/>
  <c r="BK829" i="1"/>
  <c r="BM829" i="1"/>
  <c r="N828" i="1"/>
  <c r="Z828" i="1"/>
  <c r="AL828" i="1"/>
  <c r="AX828" i="1"/>
  <c r="BK828" i="1"/>
  <c r="BM828" i="1"/>
  <c r="N827" i="1"/>
  <c r="Z827" i="1"/>
  <c r="AL827" i="1"/>
  <c r="AX827" i="1"/>
  <c r="BK827" i="1"/>
  <c r="BM827" i="1"/>
  <c r="N826" i="1"/>
  <c r="Z826" i="1"/>
  <c r="AL826" i="1"/>
  <c r="AX826" i="1"/>
  <c r="BK826" i="1"/>
  <c r="BM826" i="1"/>
  <c r="N825" i="1"/>
  <c r="Z825" i="1"/>
  <c r="AL825" i="1"/>
  <c r="AX825" i="1"/>
  <c r="BK825" i="1"/>
  <c r="BM825" i="1"/>
  <c r="N824" i="1"/>
  <c r="Z824" i="1"/>
  <c r="AL824" i="1"/>
  <c r="AX824" i="1"/>
  <c r="BK824" i="1"/>
  <c r="BM824" i="1"/>
  <c r="N823" i="1"/>
  <c r="Z823" i="1"/>
  <c r="AL823" i="1"/>
  <c r="AX823" i="1"/>
  <c r="BK823" i="1"/>
  <c r="BM823" i="1"/>
  <c r="N822" i="1"/>
  <c r="Z822" i="1"/>
  <c r="AL822" i="1"/>
  <c r="AX822" i="1"/>
  <c r="BK822" i="1"/>
  <c r="BM822" i="1"/>
  <c r="N821" i="1"/>
  <c r="Z821" i="1"/>
  <c r="AL821" i="1"/>
  <c r="AX821" i="1"/>
  <c r="BK821" i="1"/>
  <c r="BM821" i="1"/>
  <c r="N820" i="1"/>
  <c r="Z820" i="1"/>
  <c r="AL820" i="1"/>
  <c r="AX820" i="1"/>
  <c r="BK820" i="1"/>
  <c r="BM820" i="1"/>
  <c r="N819" i="1"/>
  <c r="Z819" i="1"/>
  <c r="AL819" i="1"/>
  <c r="AX819" i="1"/>
  <c r="BK819" i="1"/>
  <c r="BM819" i="1"/>
  <c r="N818" i="1"/>
  <c r="AL818" i="1"/>
  <c r="AX818" i="1"/>
  <c r="BK818" i="1"/>
  <c r="BM818" i="1"/>
  <c r="N817" i="1"/>
  <c r="Z817" i="1"/>
  <c r="AL817" i="1"/>
  <c r="AX817" i="1"/>
  <c r="BK817" i="1"/>
  <c r="BM817" i="1"/>
  <c r="N816" i="1"/>
  <c r="Z816" i="1"/>
  <c r="AL816" i="1"/>
  <c r="AX816" i="1"/>
  <c r="BK816" i="1"/>
  <c r="BM816" i="1"/>
  <c r="N815" i="1"/>
  <c r="Z815" i="1"/>
  <c r="AL815" i="1"/>
  <c r="AX815" i="1"/>
  <c r="BK815" i="1"/>
  <c r="BM815" i="1"/>
  <c r="N814" i="1"/>
  <c r="Z814" i="1"/>
  <c r="AL814" i="1"/>
  <c r="AX814" i="1"/>
  <c r="BK814" i="1"/>
  <c r="BM814" i="1"/>
  <c r="Z813" i="1"/>
  <c r="N813" i="1"/>
  <c r="AX813" i="1"/>
  <c r="BK813" i="1"/>
  <c r="BM813" i="1"/>
  <c r="N812" i="1"/>
  <c r="Z812" i="1"/>
  <c r="AL812" i="1"/>
  <c r="AX812" i="1"/>
  <c r="BK812" i="1"/>
  <c r="BM812" i="1"/>
  <c r="N811" i="1"/>
  <c r="Z811" i="1"/>
  <c r="AL811" i="1"/>
  <c r="AX811" i="1"/>
  <c r="BK811" i="1"/>
  <c r="BM811" i="1"/>
  <c r="N810" i="1"/>
  <c r="Z810" i="1"/>
  <c r="AL810" i="1"/>
  <c r="AX810" i="1"/>
  <c r="BK810" i="1"/>
  <c r="BM810" i="1"/>
  <c r="N809" i="1"/>
  <c r="Z809" i="1"/>
  <c r="AL809" i="1"/>
  <c r="AX809" i="1"/>
  <c r="BK809" i="1"/>
  <c r="BM809" i="1"/>
  <c r="N808" i="1"/>
  <c r="Z808" i="1"/>
  <c r="AL808" i="1"/>
  <c r="AX808" i="1"/>
  <c r="BK808" i="1"/>
  <c r="BM808" i="1"/>
  <c r="N807" i="1"/>
  <c r="Z807" i="1"/>
  <c r="AL807" i="1"/>
  <c r="AX807" i="1"/>
  <c r="BK807" i="1"/>
  <c r="BM807" i="1"/>
  <c r="N806" i="1"/>
  <c r="Z806" i="1"/>
  <c r="AL806" i="1"/>
  <c r="AX806" i="1"/>
  <c r="BK806" i="1"/>
  <c r="BM806" i="1"/>
  <c r="N805" i="1"/>
  <c r="Z805" i="1"/>
  <c r="AL805" i="1"/>
  <c r="AX805" i="1"/>
  <c r="BK805" i="1"/>
  <c r="BM805" i="1"/>
  <c r="N804" i="1"/>
  <c r="Z804" i="1"/>
  <c r="AL804" i="1"/>
  <c r="AX804" i="1"/>
  <c r="BK804" i="1"/>
  <c r="BM804" i="1"/>
  <c r="N803" i="1"/>
  <c r="Z803" i="1"/>
  <c r="AL803" i="1"/>
  <c r="AX803" i="1"/>
  <c r="BK803" i="1"/>
  <c r="BM803" i="1"/>
  <c r="N802" i="1"/>
  <c r="Z802" i="1"/>
  <c r="AL802" i="1"/>
  <c r="AX802" i="1"/>
  <c r="BK802" i="1"/>
  <c r="BM802" i="1"/>
  <c r="N801" i="1"/>
  <c r="Z801" i="1"/>
  <c r="AL801" i="1"/>
  <c r="AX801" i="1"/>
  <c r="BK801" i="1"/>
  <c r="BM801" i="1"/>
  <c r="N800" i="1"/>
  <c r="Z800" i="1"/>
  <c r="AL800" i="1"/>
  <c r="AX800" i="1"/>
  <c r="BK800" i="1"/>
  <c r="BM800" i="1"/>
  <c r="N798" i="1"/>
  <c r="Z798" i="1"/>
  <c r="AL798" i="1"/>
  <c r="AX798" i="1"/>
  <c r="BK798" i="1"/>
  <c r="BM798" i="1"/>
  <c r="N796" i="1"/>
  <c r="Z796" i="1"/>
  <c r="AL796" i="1"/>
  <c r="AX796" i="1"/>
  <c r="BK796" i="1"/>
  <c r="BM796" i="1"/>
  <c r="N795" i="1"/>
  <c r="Z795" i="1"/>
  <c r="AL795" i="1"/>
  <c r="AX795" i="1"/>
  <c r="BK795" i="1"/>
  <c r="BM795" i="1"/>
  <c r="N794" i="1"/>
  <c r="Z794" i="1"/>
  <c r="AL794" i="1"/>
  <c r="AX794" i="1"/>
  <c r="BK794" i="1"/>
  <c r="BM794" i="1"/>
  <c r="N793" i="1"/>
  <c r="Z793" i="1"/>
  <c r="AL793" i="1"/>
  <c r="AX793" i="1"/>
  <c r="BK793" i="1"/>
  <c r="BM793" i="1"/>
  <c r="N792" i="1"/>
  <c r="Z792" i="1"/>
  <c r="AL792" i="1"/>
  <c r="AX792" i="1"/>
  <c r="BK792" i="1"/>
  <c r="BM792" i="1"/>
  <c r="N791" i="1"/>
  <c r="Z791" i="1"/>
  <c r="AL791" i="1"/>
  <c r="AX791" i="1"/>
  <c r="BK791" i="1"/>
  <c r="BM791" i="1"/>
  <c r="N790" i="1"/>
  <c r="Z790" i="1"/>
  <c r="AL790" i="1"/>
  <c r="AX790" i="1"/>
  <c r="BK790" i="1"/>
  <c r="BM790" i="1"/>
  <c r="N789" i="1"/>
  <c r="Z789" i="1"/>
  <c r="AL789" i="1"/>
  <c r="AX789" i="1"/>
  <c r="BK789" i="1"/>
  <c r="BM789" i="1"/>
  <c r="N788" i="1"/>
  <c r="Z788" i="1"/>
  <c r="AL788" i="1"/>
  <c r="AX788" i="1"/>
  <c r="BK788" i="1"/>
  <c r="BM788" i="1"/>
  <c r="N787" i="1"/>
  <c r="Z787" i="1"/>
  <c r="AL787" i="1"/>
  <c r="AX787" i="1"/>
  <c r="BK787" i="1"/>
  <c r="BM787" i="1"/>
  <c r="N786" i="1"/>
  <c r="Z786" i="1"/>
  <c r="AL786" i="1"/>
  <c r="AX786" i="1"/>
  <c r="BK786" i="1"/>
  <c r="BM786" i="1"/>
  <c r="N785" i="1"/>
  <c r="Z785" i="1"/>
  <c r="AL785" i="1"/>
  <c r="AX785" i="1"/>
  <c r="BK785" i="1"/>
  <c r="BM785" i="1"/>
  <c r="N784" i="1"/>
  <c r="Z784" i="1"/>
  <c r="AL784" i="1"/>
  <c r="AX784" i="1"/>
  <c r="BK784" i="1"/>
  <c r="BM784" i="1"/>
  <c r="N783" i="1"/>
  <c r="Z783" i="1"/>
  <c r="AL783" i="1"/>
  <c r="AX783" i="1"/>
  <c r="BK783" i="1"/>
  <c r="BM783" i="1"/>
  <c r="N782" i="1"/>
  <c r="Z782" i="1"/>
  <c r="AL782" i="1"/>
  <c r="AX782" i="1"/>
  <c r="BK782" i="1"/>
  <c r="BM782" i="1"/>
  <c r="N781" i="1"/>
  <c r="Z781" i="1"/>
  <c r="AL781" i="1"/>
  <c r="AX781" i="1"/>
  <c r="BK781" i="1"/>
  <c r="BM781" i="1"/>
  <c r="N780" i="1"/>
  <c r="Z780" i="1"/>
  <c r="AL780" i="1"/>
  <c r="AX780" i="1"/>
  <c r="BK780" i="1"/>
  <c r="BM780" i="1"/>
  <c r="N779" i="1"/>
  <c r="Z779" i="1"/>
  <c r="AL779" i="1"/>
  <c r="AX779" i="1"/>
  <c r="BK779" i="1"/>
  <c r="BM779" i="1"/>
  <c r="Z778" i="1"/>
  <c r="N778" i="1"/>
  <c r="AL778" i="1"/>
  <c r="AX778" i="1"/>
  <c r="BK778" i="1"/>
  <c r="BM778" i="1"/>
  <c r="N777" i="1"/>
  <c r="Z777" i="1"/>
  <c r="AL777" i="1"/>
  <c r="AX777" i="1"/>
  <c r="BK777" i="1"/>
  <c r="BM777" i="1"/>
  <c r="N776" i="1"/>
  <c r="Z776" i="1"/>
  <c r="AL776" i="1"/>
  <c r="AX776" i="1"/>
  <c r="BK776" i="1"/>
  <c r="BM776" i="1"/>
  <c r="N775" i="1"/>
  <c r="Z775" i="1"/>
  <c r="AL775" i="1"/>
  <c r="AX775" i="1"/>
  <c r="BK775" i="1"/>
  <c r="BM775" i="1"/>
  <c r="BR774" i="1" a="1"/>
  <c r="BR774" i="1"/>
  <c r="N774" i="1"/>
  <c r="Z774" i="1"/>
  <c r="AL774" i="1"/>
  <c r="AX774" i="1"/>
  <c r="BK774" i="1"/>
  <c r="BM774" i="1"/>
  <c r="N773" i="1"/>
  <c r="Z773" i="1"/>
  <c r="AL773" i="1"/>
  <c r="AX773" i="1"/>
  <c r="BK773" i="1"/>
  <c r="BM773" i="1"/>
  <c r="N772" i="1"/>
  <c r="Z772" i="1"/>
  <c r="AL772" i="1"/>
  <c r="AX772" i="1"/>
  <c r="BK772" i="1"/>
  <c r="BM772" i="1"/>
  <c r="N771" i="1"/>
  <c r="Z771" i="1"/>
  <c r="AL771" i="1"/>
  <c r="AX771" i="1"/>
  <c r="BK771" i="1"/>
  <c r="BM771" i="1"/>
  <c r="N770" i="1"/>
  <c r="Z770" i="1"/>
  <c r="AL770" i="1"/>
  <c r="AX770" i="1"/>
  <c r="BK770" i="1"/>
  <c r="BM770" i="1"/>
  <c r="Z769" i="1"/>
  <c r="N769" i="1"/>
  <c r="AL769" i="1"/>
  <c r="AX769" i="1"/>
  <c r="BK769" i="1"/>
  <c r="BM769" i="1"/>
  <c r="BR768" i="1" a="1"/>
  <c r="BR768" i="1"/>
  <c r="N768" i="1"/>
  <c r="Z768" i="1"/>
  <c r="AL768" i="1"/>
  <c r="AX768" i="1"/>
  <c r="BK768" i="1"/>
  <c r="BM768" i="1"/>
  <c r="Z767" i="1"/>
  <c r="N767" i="1"/>
  <c r="AL767" i="1"/>
  <c r="AX767" i="1"/>
  <c r="BK767" i="1"/>
  <c r="BM767" i="1"/>
  <c r="N766" i="1"/>
  <c r="Z766" i="1"/>
  <c r="AL766" i="1"/>
  <c r="AX766" i="1"/>
  <c r="BK766" i="1"/>
  <c r="BM766" i="1"/>
  <c r="N765" i="1"/>
  <c r="Z765" i="1"/>
  <c r="AL765" i="1"/>
  <c r="AX765" i="1"/>
  <c r="BK765" i="1"/>
  <c r="BM765" i="1"/>
  <c r="N764" i="1"/>
  <c r="Z764" i="1"/>
  <c r="AL764" i="1"/>
  <c r="AX764" i="1"/>
  <c r="BK764" i="1"/>
  <c r="BM764" i="1"/>
  <c r="N763" i="1"/>
  <c r="Z763" i="1"/>
  <c r="AL763" i="1"/>
  <c r="AX763" i="1"/>
  <c r="BK763" i="1"/>
  <c r="BM763" i="1"/>
  <c r="BR762" i="1" a="1"/>
  <c r="BR762" i="1"/>
  <c r="N762" i="1"/>
  <c r="Z762" i="1"/>
  <c r="AL762" i="1"/>
  <c r="AX762" i="1"/>
  <c r="BK762" i="1"/>
  <c r="BM762" i="1"/>
  <c r="BR761" i="1" a="1"/>
  <c r="BR761" i="1"/>
  <c r="N761" i="1"/>
  <c r="Z761" i="1"/>
  <c r="AL761" i="1"/>
  <c r="AX761" i="1"/>
  <c r="BK761" i="1"/>
  <c r="BM761" i="1"/>
  <c r="BR760" i="1" a="1"/>
  <c r="BR760" i="1"/>
  <c r="N760" i="1"/>
  <c r="Z760" i="1"/>
  <c r="AL760" i="1"/>
  <c r="AX760" i="1"/>
  <c r="BK760" i="1"/>
  <c r="BM760" i="1"/>
  <c r="N759" i="1"/>
  <c r="Z759" i="1"/>
  <c r="AL759" i="1"/>
  <c r="AX759" i="1"/>
  <c r="BK759" i="1"/>
  <c r="BM759" i="1"/>
  <c r="N758" i="1"/>
  <c r="Z758" i="1"/>
  <c r="AL758" i="1"/>
  <c r="AX758" i="1"/>
  <c r="BK758" i="1"/>
  <c r="BM758" i="1"/>
  <c r="N757" i="1"/>
  <c r="Z757" i="1"/>
  <c r="AL757" i="1"/>
  <c r="AX757" i="1"/>
  <c r="BK757" i="1"/>
  <c r="BM757" i="1"/>
  <c r="N756" i="1"/>
  <c r="Z756" i="1"/>
  <c r="AL756" i="1"/>
  <c r="AX756" i="1"/>
  <c r="BK756" i="1"/>
  <c r="BM756" i="1"/>
  <c r="Z755" i="1"/>
  <c r="AX755" i="1"/>
  <c r="BK755" i="1"/>
  <c r="BM755" i="1"/>
  <c r="N754" i="1"/>
  <c r="Z754" i="1"/>
  <c r="AL754" i="1"/>
  <c r="AX754" i="1"/>
  <c r="BK754" i="1"/>
  <c r="BM754" i="1"/>
  <c r="N753" i="1"/>
  <c r="Z753" i="1"/>
  <c r="AL753" i="1"/>
  <c r="AX753" i="1"/>
  <c r="BK753" i="1"/>
  <c r="BM753" i="1"/>
  <c r="N752" i="1"/>
  <c r="Z752" i="1"/>
  <c r="AL752" i="1"/>
  <c r="AX752" i="1"/>
  <c r="BK752" i="1"/>
  <c r="BM752" i="1"/>
  <c r="BR751" i="1" a="1"/>
  <c r="BR751" i="1"/>
  <c r="N751" i="1"/>
  <c r="Z751" i="1"/>
  <c r="AL751" i="1"/>
  <c r="AX751" i="1"/>
  <c r="BK751" i="1"/>
  <c r="BM751" i="1"/>
  <c r="BR750" i="1" a="1"/>
  <c r="BR750" i="1"/>
  <c r="N750" i="1"/>
  <c r="Z750" i="1"/>
  <c r="AL750" i="1"/>
  <c r="AX750" i="1"/>
  <c r="BK750" i="1"/>
  <c r="BM750" i="1"/>
  <c r="BR749" i="1" a="1"/>
  <c r="BR749" i="1"/>
  <c r="N749" i="1"/>
  <c r="Z749" i="1"/>
  <c r="AL749" i="1"/>
  <c r="AX749" i="1"/>
  <c r="BK749" i="1"/>
  <c r="BM749" i="1"/>
  <c r="N748" i="1"/>
  <c r="Z748" i="1"/>
  <c r="AL748" i="1"/>
  <c r="AX748" i="1"/>
  <c r="BK748" i="1"/>
  <c r="BM748" i="1"/>
  <c r="N747" i="1"/>
  <c r="Z747" i="1"/>
  <c r="AL747" i="1"/>
  <c r="AX747" i="1"/>
  <c r="BK747" i="1"/>
  <c r="BM747" i="1"/>
  <c r="N746" i="1"/>
  <c r="AL746" i="1"/>
  <c r="AX746" i="1"/>
  <c r="BK746" i="1"/>
  <c r="BM746" i="1"/>
  <c r="N745" i="1"/>
  <c r="Z745" i="1"/>
  <c r="AL745" i="1"/>
  <c r="AX745" i="1"/>
  <c r="BK745" i="1"/>
  <c r="BM745" i="1"/>
  <c r="N744" i="1"/>
  <c r="Z744" i="1"/>
  <c r="AL744" i="1"/>
  <c r="AX744" i="1"/>
  <c r="BK744" i="1"/>
  <c r="BM744" i="1"/>
  <c r="Z743" i="1"/>
  <c r="N743" i="1"/>
  <c r="AL743" i="1"/>
  <c r="AX743" i="1"/>
  <c r="BK743" i="1"/>
  <c r="BM743" i="1"/>
  <c r="Z742" i="1"/>
  <c r="N742" i="1"/>
  <c r="AL742" i="1"/>
  <c r="AX742" i="1"/>
  <c r="BK742" i="1"/>
  <c r="BM742" i="1"/>
  <c r="N741" i="1"/>
  <c r="Z741" i="1"/>
  <c r="AL741" i="1"/>
  <c r="AX741" i="1"/>
  <c r="BK741" i="1"/>
  <c r="BM741" i="1"/>
  <c r="N740" i="1"/>
  <c r="Z740" i="1"/>
  <c r="AL740" i="1"/>
  <c r="AX740" i="1"/>
  <c r="BK740" i="1"/>
  <c r="BM740" i="1"/>
  <c r="N739" i="1"/>
  <c r="Z739" i="1"/>
  <c r="AL739" i="1"/>
  <c r="AX739" i="1"/>
  <c r="BK739" i="1"/>
  <c r="BM739" i="1"/>
  <c r="BR738" i="1" a="1"/>
  <c r="BR738" i="1"/>
  <c r="Z738" i="1"/>
  <c r="N738" i="1"/>
  <c r="AL738" i="1"/>
  <c r="AX738" i="1"/>
  <c r="BK738" i="1"/>
  <c r="BM738" i="1"/>
  <c r="N737" i="1"/>
  <c r="Z737" i="1"/>
  <c r="AL737" i="1"/>
  <c r="AX737" i="1"/>
  <c r="BK737" i="1"/>
  <c r="BM737" i="1"/>
  <c r="N736" i="1"/>
  <c r="Z736" i="1"/>
  <c r="AL736" i="1"/>
  <c r="AX736" i="1"/>
  <c r="BK736" i="1"/>
  <c r="BM736" i="1"/>
  <c r="N735" i="1"/>
  <c r="Z735" i="1"/>
  <c r="AL735" i="1"/>
  <c r="AX735" i="1"/>
  <c r="BK735" i="1"/>
  <c r="BM735" i="1"/>
  <c r="N734" i="1"/>
  <c r="Z734" i="1"/>
  <c r="AL734" i="1"/>
  <c r="AX734" i="1"/>
  <c r="BK734" i="1"/>
  <c r="BM734" i="1"/>
  <c r="N733" i="1"/>
  <c r="Z733" i="1"/>
  <c r="AL733" i="1"/>
  <c r="AX733" i="1"/>
  <c r="BK733" i="1"/>
  <c r="BM733" i="1"/>
  <c r="N732" i="1"/>
  <c r="Z732" i="1"/>
  <c r="AL732" i="1"/>
  <c r="AX732" i="1"/>
  <c r="BK732" i="1"/>
  <c r="BM732" i="1"/>
  <c r="N731" i="1"/>
  <c r="Z731" i="1"/>
  <c r="AL731" i="1"/>
  <c r="AX731" i="1"/>
  <c r="BK731" i="1"/>
  <c r="BM731" i="1"/>
  <c r="N730" i="1"/>
  <c r="Z730" i="1"/>
  <c r="AL730" i="1"/>
  <c r="AX730" i="1"/>
  <c r="BK730" i="1"/>
  <c r="BM730" i="1"/>
  <c r="AX729" i="1"/>
  <c r="BK729" i="1"/>
  <c r="BM729" i="1"/>
  <c r="N728" i="1"/>
  <c r="Z728" i="1"/>
  <c r="AL728" i="1"/>
  <c r="AX728" i="1"/>
  <c r="BK728" i="1"/>
  <c r="BM728" i="1"/>
  <c r="N727" i="1"/>
  <c r="Z727" i="1"/>
  <c r="AL727" i="1"/>
  <c r="AX727" i="1"/>
  <c r="BK727" i="1"/>
  <c r="BM727" i="1"/>
  <c r="N726" i="1"/>
  <c r="Z726" i="1"/>
  <c r="AL726" i="1"/>
  <c r="AX726" i="1"/>
  <c r="BK726" i="1"/>
  <c r="BM726" i="1"/>
  <c r="BR725" i="1" a="1"/>
  <c r="BR725" i="1"/>
  <c r="N725" i="1"/>
  <c r="Z725" i="1"/>
  <c r="AL725" i="1"/>
  <c r="AX725" i="1"/>
  <c r="BK725" i="1"/>
  <c r="BM725" i="1"/>
  <c r="BR724" i="1" a="1"/>
  <c r="BR724" i="1"/>
  <c r="N724" i="1"/>
  <c r="Z724" i="1"/>
  <c r="AL724" i="1"/>
  <c r="AX724" i="1"/>
  <c r="BK724" i="1"/>
  <c r="BM724" i="1"/>
  <c r="Z723" i="1"/>
  <c r="AL723" i="1"/>
  <c r="AX723" i="1"/>
  <c r="BK723" i="1"/>
  <c r="BM723" i="1"/>
  <c r="N722" i="1"/>
  <c r="Z722" i="1"/>
  <c r="AL722" i="1"/>
  <c r="AX722" i="1"/>
  <c r="BK722" i="1"/>
  <c r="BM722" i="1"/>
  <c r="BR721" i="1" a="1"/>
  <c r="BR721" i="1"/>
  <c r="Z721" i="1"/>
  <c r="N721" i="1"/>
  <c r="AL721" i="1"/>
  <c r="AX721" i="1"/>
  <c r="BK721" i="1"/>
  <c r="BM721" i="1"/>
  <c r="N720" i="1"/>
  <c r="Z720" i="1"/>
  <c r="AL720" i="1"/>
  <c r="AX720" i="1"/>
  <c r="BK720" i="1"/>
  <c r="BM720" i="1"/>
  <c r="N717" i="1"/>
  <c r="Z717" i="1"/>
  <c r="AL717" i="1"/>
  <c r="AX717" i="1"/>
  <c r="BK717" i="1"/>
  <c r="BM717" i="1"/>
  <c r="N716" i="1"/>
  <c r="Z716" i="1"/>
  <c r="AL716" i="1"/>
  <c r="AX716" i="1"/>
  <c r="BK716" i="1"/>
  <c r="BM716" i="1"/>
  <c r="N715" i="1"/>
  <c r="Z715" i="1"/>
  <c r="AL715" i="1"/>
  <c r="AX715" i="1"/>
  <c r="BK715" i="1"/>
  <c r="BM715" i="1"/>
  <c r="N714" i="1"/>
  <c r="Z714" i="1"/>
  <c r="AL714" i="1"/>
  <c r="AX714" i="1"/>
  <c r="BK714" i="1"/>
  <c r="BM714" i="1"/>
  <c r="N713" i="1"/>
  <c r="Z713" i="1"/>
  <c r="AL713" i="1"/>
  <c r="AX713" i="1"/>
  <c r="BK713" i="1"/>
  <c r="BM713" i="1"/>
  <c r="N712" i="1"/>
  <c r="Z712" i="1"/>
  <c r="AL712" i="1"/>
  <c r="AX712" i="1"/>
  <c r="BK712" i="1"/>
  <c r="BM712" i="1"/>
  <c r="N711" i="1"/>
  <c r="Z711" i="1"/>
  <c r="AL711" i="1"/>
  <c r="AX711" i="1"/>
  <c r="BK711" i="1"/>
  <c r="BM711" i="1"/>
  <c r="Z710" i="1"/>
  <c r="N710" i="1"/>
  <c r="AL710" i="1"/>
  <c r="AX710" i="1"/>
  <c r="BK710" i="1"/>
  <c r="BM710" i="1"/>
  <c r="N709" i="1"/>
  <c r="Z709" i="1"/>
  <c r="AL709" i="1"/>
  <c r="AX709" i="1"/>
  <c r="BK709" i="1"/>
  <c r="BM709" i="1"/>
  <c r="BR708" i="1" a="1"/>
  <c r="BR708" i="1"/>
  <c r="N708" i="1"/>
  <c r="Z708" i="1"/>
  <c r="AL708" i="1"/>
  <c r="AX708" i="1"/>
  <c r="BK708" i="1"/>
  <c r="BM708" i="1"/>
  <c r="N706" i="1"/>
  <c r="Z706" i="1"/>
  <c r="AL706" i="1"/>
  <c r="AX706" i="1"/>
  <c r="BK706" i="1"/>
  <c r="BM706" i="1"/>
  <c r="N705" i="1"/>
  <c r="Z705" i="1"/>
  <c r="AL705" i="1"/>
  <c r="AX705" i="1"/>
  <c r="BK705" i="1"/>
  <c r="BM705" i="1"/>
  <c r="N703" i="1"/>
  <c r="Z703" i="1"/>
  <c r="AL703" i="1"/>
  <c r="AX703" i="1"/>
  <c r="BK703" i="1"/>
  <c r="BM703" i="1"/>
  <c r="BR702" i="1" a="1"/>
  <c r="BR702" i="1"/>
  <c r="N702" i="1"/>
  <c r="Z702" i="1"/>
  <c r="AL702" i="1"/>
  <c r="AX702" i="1"/>
  <c r="BK702" i="1"/>
  <c r="BM702" i="1"/>
  <c r="N701" i="1"/>
  <c r="Z701" i="1"/>
  <c r="AL701" i="1"/>
  <c r="AX701" i="1"/>
  <c r="BK701" i="1"/>
  <c r="BM701" i="1"/>
  <c r="N700" i="1"/>
  <c r="Z700" i="1"/>
  <c r="AL700" i="1"/>
  <c r="AX700" i="1"/>
  <c r="BK700" i="1"/>
  <c r="BM700" i="1"/>
  <c r="N699" i="1"/>
  <c r="Z699" i="1"/>
  <c r="AL699" i="1"/>
  <c r="AX699" i="1"/>
  <c r="BK699" i="1"/>
  <c r="BM699" i="1"/>
  <c r="N698" i="1"/>
  <c r="Z698" i="1"/>
  <c r="AL698" i="1"/>
  <c r="AX698" i="1"/>
  <c r="BK698" i="1"/>
  <c r="BM698" i="1"/>
  <c r="BR697" i="1" a="1"/>
  <c r="BR697" i="1"/>
  <c r="N697" i="1"/>
  <c r="Z697" i="1"/>
  <c r="AL697" i="1"/>
  <c r="AX697" i="1"/>
  <c r="BK697" i="1"/>
  <c r="BM697" i="1"/>
  <c r="BR696" i="1" a="1"/>
  <c r="BR696" i="1"/>
  <c r="N696" i="1"/>
  <c r="Z696" i="1"/>
  <c r="AL696" i="1"/>
  <c r="AX696" i="1"/>
  <c r="BK696" i="1"/>
  <c r="BM696" i="1"/>
  <c r="BR695" i="1" a="1"/>
  <c r="BR695" i="1"/>
  <c r="N695" i="1"/>
  <c r="Z695" i="1"/>
  <c r="AL695" i="1"/>
  <c r="AX695" i="1"/>
  <c r="BK695" i="1"/>
  <c r="BM695" i="1"/>
  <c r="N694" i="1"/>
  <c r="Z694" i="1"/>
  <c r="AL694" i="1"/>
  <c r="AX694" i="1"/>
  <c r="BK694" i="1"/>
  <c r="BM694" i="1"/>
  <c r="N693" i="1"/>
  <c r="Z693" i="1"/>
  <c r="AL693" i="1"/>
  <c r="AX693" i="1"/>
  <c r="BK693" i="1"/>
  <c r="BM693" i="1"/>
  <c r="BR692" i="1" a="1"/>
  <c r="BR692" i="1"/>
  <c r="N692" i="1"/>
  <c r="Z692" i="1"/>
  <c r="AL692" i="1"/>
  <c r="AX692" i="1"/>
  <c r="BK692" i="1"/>
  <c r="BM692" i="1"/>
  <c r="BR691" i="1" a="1"/>
  <c r="BR691" i="1"/>
  <c r="Z691" i="1"/>
  <c r="N691" i="1"/>
  <c r="AL691" i="1"/>
  <c r="AX691" i="1"/>
  <c r="BK691" i="1"/>
  <c r="BM691" i="1"/>
  <c r="N690" i="1"/>
  <c r="Z690" i="1"/>
  <c r="AL690" i="1"/>
  <c r="AX690" i="1"/>
  <c r="BK690" i="1"/>
  <c r="BM690" i="1"/>
  <c r="BR689" i="1" a="1"/>
  <c r="BR689" i="1"/>
  <c r="N689" i="1"/>
  <c r="Z689" i="1"/>
  <c r="AL689" i="1"/>
  <c r="AX689" i="1"/>
  <c r="BK689" i="1"/>
  <c r="BM689" i="1"/>
  <c r="N688" i="1"/>
  <c r="Z688" i="1"/>
  <c r="AL688" i="1"/>
  <c r="AX688" i="1"/>
  <c r="BK688" i="1"/>
  <c r="BM688" i="1"/>
  <c r="N687" i="1"/>
  <c r="Z687" i="1"/>
  <c r="AL687" i="1"/>
  <c r="AX687" i="1"/>
  <c r="BK687" i="1"/>
  <c r="BM687" i="1"/>
  <c r="BR686" i="1" a="1"/>
  <c r="BR686" i="1"/>
  <c r="N686" i="1"/>
  <c r="Z686" i="1"/>
  <c r="AL686" i="1"/>
  <c r="AX686" i="1"/>
  <c r="BK686" i="1"/>
  <c r="BM686" i="1"/>
  <c r="N685" i="1"/>
  <c r="Z685" i="1"/>
  <c r="AL685" i="1"/>
  <c r="AX685" i="1"/>
  <c r="BK685" i="1"/>
  <c r="BM685" i="1"/>
  <c r="N684" i="1"/>
  <c r="Z684" i="1"/>
  <c r="AL684" i="1"/>
  <c r="AX684" i="1"/>
  <c r="BK684" i="1"/>
  <c r="BM684" i="1"/>
  <c r="Z683" i="1"/>
  <c r="N683" i="1"/>
  <c r="AL683" i="1"/>
  <c r="AX683" i="1"/>
  <c r="BK683" i="1"/>
  <c r="BM683" i="1"/>
  <c r="N682" i="1"/>
  <c r="Z682" i="1"/>
  <c r="AL682" i="1"/>
  <c r="AX682" i="1"/>
  <c r="BK682" i="1"/>
  <c r="BM682" i="1"/>
  <c r="N681" i="1"/>
  <c r="Z681" i="1"/>
  <c r="AL681" i="1"/>
  <c r="AX681" i="1"/>
  <c r="BK681" i="1"/>
  <c r="BM681" i="1"/>
  <c r="N680" i="1"/>
  <c r="Z680" i="1"/>
  <c r="AL680" i="1"/>
  <c r="AX680" i="1"/>
  <c r="BK680" i="1"/>
  <c r="BM680" i="1"/>
  <c r="N679" i="1"/>
  <c r="Z679" i="1"/>
  <c r="AL679" i="1"/>
  <c r="AX679" i="1"/>
  <c r="BK679" i="1"/>
  <c r="BM679" i="1"/>
  <c r="N678" i="1"/>
  <c r="Z678" i="1"/>
  <c r="AL678" i="1"/>
  <c r="AX678" i="1"/>
  <c r="BK678" i="1"/>
  <c r="BM678" i="1"/>
  <c r="N677" i="1"/>
  <c r="Z677" i="1"/>
  <c r="AL677" i="1"/>
  <c r="AX677" i="1"/>
  <c r="BK677" i="1"/>
  <c r="BM677" i="1"/>
  <c r="BR676" i="1" a="1"/>
  <c r="BR676" i="1"/>
  <c r="N676" i="1"/>
  <c r="Z676" i="1"/>
  <c r="AL676" i="1"/>
  <c r="AX676" i="1"/>
  <c r="BK676" i="1"/>
  <c r="BM676" i="1"/>
  <c r="N675" i="1"/>
  <c r="Z675" i="1"/>
  <c r="AL675" i="1"/>
  <c r="AX675" i="1"/>
  <c r="BK675" i="1"/>
  <c r="BM675" i="1"/>
  <c r="BR674" i="1" a="1"/>
  <c r="BR674" i="1"/>
  <c r="N674" i="1"/>
  <c r="Z674" i="1"/>
  <c r="AL674" i="1"/>
  <c r="AX674" i="1"/>
  <c r="BK674" i="1"/>
  <c r="BM674" i="1"/>
  <c r="N673" i="1"/>
  <c r="Z673" i="1"/>
  <c r="AL673" i="1"/>
  <c r="AX673" i="1"/>
  <c r="BK673" i="1"/>
  <c r="BM673" i="1"/>
  <c r="BR672" i="1" a="1"/>
  <c r="BR672" i="1"/>
  <c r="N672" i="1"/>
  <c r="Z672" i="1"/>
  <c r="AL672" i="1"/>
  <c r="AX672" i="1"/>
  <c r="BK672" i="1"/>
  <c r="BM672" i="1"/>
  <c r="N671" i="1"/>
  <c r="Z671" i="1"/>
  <c r="AL671" i="1"/>
  <c r="AX671" i="1"/>
  <c r="BK671" i="1"/>
  <c r="BM671" i="1"/>
  <c r="BR670" i="1" a="1"/>
  <c r="BR670" i="1"/>
  <c r="N670" i="1"/>
  <c r="Z670" i="1"/>
  <c r="AL670" i="1"/>
  <c r="AX670" i="1"/>
  <c r="BK670" i="1"/>
  <c r="BM670" i="1"/>
  <c r="N669" i="1"/>
  <c r="Z669" i="1"/>
  <c r="AL669" i="1"/>
  <c r="AX669" i="1"/>
  <c r="BK669" i="1"/>
  <c r="BM669" i="1"/>
  <c r="BR668" i="1" a="1"/>
  <c r="BR668" i="1"/>
  <c r="Z668" i="1"/>
  <c r="N668" i="1"/>
  <c r="AL668" i="1"/>
  <c r="AX668" i="1"/>
  <c r="BK668" i="1"/>
  <c r="BM668" i="1"/>
  <c r="BR667" i="1" a="1"/>
  <c r="BR667" i="1"/>
  <c r="N667" i="1"/>
  <c r="Z667" i="1"/>
  <c r="AL667" i="1"/>
  <c r="AX667" i="1"/>
  <c r="BK667" i="1"/>
  <c r="BM667" i="1"/>
  <c r="N666" i="1"/>
  <c r="Z666" i="1"/>
  <c r="AL666" i="1"/>
  <c r="AX666" i="1"/>
  <c r="BK666" i="1"/>
  <c r="BM666" i="1"/>
  <c r="N665" i="1"/>
  <c r="Z665" i="1"/>
  <c r="AL665" i="1"/>
  <c r="AX665" i="1"/>
  <c r="BK665" i="1"/>
  <c r="BM665" i="1"/>
  <c r="N664" i="1"/>
  <c r="Z664" i="1"/>
  <c r="AL664" i="1"/>
  <c r="AX664" i="1"/>
  <c r="BK664" i="1"/>
  <c r="BM664" i="1"/>
  <c r="BR663" i="1" a="1"/>
  <c r="BR663" i="1"/>
  <c r="Z663" i="1"/>
  <c r="N663" i="1"/>
  <c r="AL663" i="1"/>
  <c r="AX663" i="1"/>
  <c r="BK663" i="1"/>
  <c r="BM663" i="1"/>
  <c r="N662" i="1"/>
  <c r="Z662" i="1"/>
  <c r="AL662" i="1"/>
  <c r="AX662" i="1"/>
  <c r="BK662" i="1"/>
  <c r="BM662" i="1"/>
  <c r="Z661" i="1"/>
  <c r="N661" i="1"/>
  <c r="AL661" i="1"/>
  <c r="AX661" i="1"/>
  <c r="BK661" i="1"/>
  <c r="BM661" i="1"/>
  <c r="N660" i="1"/>
  <c r="Z660" i="1"/>
  <c r="AL660" i="1"/>
  <c r="AX660" i="1"/>
  <c r="BK660" i="1"/>
  <c r="BM660" i="1"/>
  <c r="BR659" i="1" a="1"/>
  <c r="BR659" i="1"/>
  <c r="N659" i="1"/>
  <c r="Z659" i="1"/>
  <c r="AL659" i="1"/>
  <c r="AX659" i="1"/>
  <c r="BK659" i="1"/>
  <c r="BM659" i="1"/>
  <c r="N658" i="1"/>
  <c r="Z658" i="1"/>
  <c r="AL658" i="1"/>
  <c r="AX658" i="1"/>
  <c r="BK658" i="1"/>
  <c r="BM658" i="1"/>
  <c r="Z657" i="1"/>
  <c r="N657" i="1"/>
  <c r="AL657" i="1"/>
  <c r="AX657" i="1"/>
  <c r="BK657" i="1"/>
  <c r="BM657" i="1"/>
  <c r="BR656" i="1" a="1"/>
  <c r="BR656" i="1"/>
  <c r="N656" i="1"/>
  <c r="Z656" i="1"/>
  <c r="AL656" i="1"/>
  <c r="AX656" i="1"/>
  <c r="BK656" i="1"/>
  <c r="BM656" i="1"/>
  <c r="N655" i="1"/>
  <c r="Z655" i="1"/>
  <c r="AL655" i="1"/>
  <c r="AX655" i="1"/>
  <c r="BK655" i="1"/>
  <c r="BM655" i="1"/>
  <c r="BR653" i="1" a="1"/>
  <c r="BR653" i="1"/>
  <c r="N653" i="1"/>
  <c r="Z653" i="1"/>
  <c r="AL653" i="1"/>
  <c r="AX653" i="1"/>
  <c r="BK653" i="1"/>
  <c r="BM653" i="1"/>
  <c r="N652" i="1"/>
  <c r="Z652" i="1"/>
  <c r="AL652" i="1"/>
  <c r="AX652" i="1"/>
  <c r="BK652" i="1"/>
  <c r="BM652" i="1"/>
  <c r="BR651" i="1" a="1"/>
  <c r="BR651" i="1"/>
  <c r="Z651" i="1"/>
  <c r="N651" i="1"/>
  <c r="AL651" i="1"/>
  <c r="AX651" i="1"/>
  <c r="BK651" i="1"/>
  <c r="BM651" i="1"/>
  <c r="N650" i="1"/>
  <c r="Z650" i="1"/>
  <c r="AL650" i="1"/>
  <c r="AX650" i="1"/>
  <c r="BK650" i="1"/>
  <c r="BM650" i="1"/>
  <c r="N649" i="1"/>
  <c r="Z649" i="1"/>
  <c r="AL649" i="1"/>
  <c r="AX649" i="1"/>
  <c r="BK649" i="1"/>
  <c r="BM649" i="1"/>
  <c r="BR648" i="1" a="1"/>
  <c r="BR648" i="1"/>
  <c r="N648" i="1"/>
  <c r="Z648" i="1"/>
  <c r="AL648" i="1"/>
  <c r="AX648" i="1"/>
  <c r="BK648" i="1"/>
  <c r="BM648" i="1"/>
  <c r="N647" i="1"/>
  <c r="Z647" i="1"/>
  <c r="AL647" i="1"/>
  <c r="AX647" i="1"/>
  <c r="BK647" i="1"/>
  <c r="BM647" i="1"/>
  <c r="N646" i="1"/>
  <c r="Z646" i="1"/>
  <c r="AL646" i="1"/>
  <c r="AX646" i="1"/>
  <c r="BK646" i="1"/>
  <c r="BM646" i="1"/>
  <c r="N645" i="1"/>
  <c r="Z645" i="1"/>
  <c r="AL645" i="1"/>
  <c r="AX645" i="1"/>
  <c r="BK645" i="1"/>
  <c r="BM645" i="1"/>
  <c r="BR644" i="1" a="1"/>
  <c r="BR644" i="1"/>
  <c r="N644" i="1"/>
  <c r="Z644" i="1"/>
  <c r="AL644" i="1"/>
  <c r="AX644" i="1"/>
  <c r="BK644" i="1"/>
  <c r="BM644" i="1"/>
  <c r="N643" i="1"/>
  <c r="Z643" i="1"/>
  <c r="AL643" i="1"/>
  <c r="AX643" i="1"/>
  <c r="BK643" i="1"/>
  <c r="BM643" i="1"/>
  <c r="N642" i="1"/>
  <c r="Z642" i="1"/>
  <c r="AL642" i="1"/>
  <c r="AX642" i="1"/>
  <c r="BK642" i="1"/>
  <c r="BM642" i="1"/>
  <c r="N641" i="1"/>
  <c r="Z641" i="1"/>
  <c r="AL641" i="1"/>
  <c r="AX641" i="1"/>
  <c r="BK641" i="1"/>
  <c r="BM641" i="1"/>
  <c r="BR640" i="1" a="1"/>
  <c r="BR640" i="1"/>
  <c r="N640" i="1"/>
  <c r="Z640" i="1"/>
  <c r="AL640" i="1"/>
  <c r="AX640" i="1"/>
  <c r="BK640" i="1"/>
  <c r="BM640" i="1"/>
  <c r="BR639" i="1" a="1"/>
  <c r="BR639" i="1"/>
  <c r="N639" i="1"/>
  <c r="Z639" i="1"/>
  <c r="AL639" i="1"/>
  <c r="AX639" i="1"/>
  <c r="BK639" i="1"/>
  <c r="BM639" i="1"/>
  <c r="BR638" i="1" a="1"/>
  <c r="BR638" i="1"/>
  <c r="N638" i="1"/>
  <c r="Z638" i="1"/>
  <c r="AL638" i="1"/>
  <c r="AX638" i="1"/>
  <c r="BK638" i="1"/>
  <c r="BM638" i="1"/>
  <c r="Z637" i="1"/>
  <c r="N637" i="1"/>
  <c r="AL637" i="1"/>
  <c r="AX637" i="1"/>
  <c r="BK637" i="1"/>
  <c r="BM637" i="1"/>
  <c r="N636" i="1"/>
  <c r="Z636" i="1"/>
  <c r="AL636" i="1"/>
  <c r="AX636" i="1"/>
  <c r="BK636" i="1"/>
  <c r="BM636" i="1"/>
  <c r="BR635" i="1" a="1"/>
  <c r="BR635" i="1"/>
  <c r="N635" i="1"/>
  <c r="Z635" i="1"/>
  <c r="AL635" i="1"/>
  <c r="AX635" i="1"/>
  <c r="BK635" i="1"/>
  <c r="BM635" i="1"/>
  <c r="BR634" i="1" a="1"/>
  <c r="BR634" i="1"/>
  <c r="N634" i="1"/>
  <c r="Z634" i="1"/>
  <c r="AL634" i="1"/>
  <c r="AX634" i="1"/>
  <c r="BK634" i="1"/>
  <c r="BM634" i="1"/>
  <c r="BR632" i="1" a="1"/>
  <c r="BR632" i="1"/>
  <c r="N632" i="1"/>
  <c r="Z632" i="1"/>
  <c r="AL632" i="1"/>
  <c r="AX632" i="1"/>
  <c r="BK632" i="1"/>
  <c r="BM632" i="1"/>
  <c r="BR631" i="1" a="1"/>
  <c r="BR631" i="1"/>
  <c r="N631" i="1"/>
  <c r="Z631" i="1"/>
  <c r="AL631" i="1"/>
  <c r="AX631" i="1"/>
  <c r="BK631" i="1"/>
  <c r="BM631" i="1"/>
  <c r="BR630" i="1" a="1"/>
  <c r="BR630" i="1"/>
  <c r="N630" i="1"/>
  <c r="Z630" i="1"/>
  <c r="AL630" i="1"/>
  <c r="AX630" i="1"/>
  <c r="BK630" i="1"/>
  <c r="BM630" i="1"/>
  <c r="BR629" i="1" a="1"/>
  <c r="BR629" i="1"/>
  <c r="N629" i="1"/>
  <c r="Z629" i="1"/>
  <c r="AL629" i="1"/>
  <c r="AX629" i="1"/>
  <c r="BK629" i="1"/>
  <c r="BM629" i="1"/>
  <c r="BR628" i="1" a="1"/>
  <c r="BR628" i="1"/>
  <c r="N628" i="1"/>
  <c r="Z628" i="1"/>
  <c r="AL628" i="1"/>
  <c r="AX628" i="1"/>
  <c r="BK628" i="1"/>
  <c r="BM628" i="1"/>
  <c r="BR627" i="1" a="1"/>
  <c r="BR627" i="1"/>
  <c r="N627" i="1"/>
  <c r="Z627" i="1"/>
  <c r="AL627" i="1"/>
  <c r="AX627" i="1"/>
  <c r="BK627" i="1"/>
  <c r="BM627" i="1"/>
  <c r="BR626" i="1" a="1"/>
  <c r="BR626" i="1"/>
  <c r="N626" i="1"/>
  <c r="Z626" i="1"/>
  <c r="AL626" i="1"/>
  <c r="AX626" i="1"/>
  <c r="BK626" i="1"/>
  <c r="BM626" i="1"/>
  <c r="BR625" i="1" a="1"/>
  <c r="BR625" i="1"/>
  <c r="N625" i="1"/>
  <c r="Z625" i="1"/>
  <c r="AL625" i="1"/>
  <c r="AX625" i="1"/>
  <c r="BK625" i="1"/>
  <c r="BM625" i="1"/>
  <c r="BR624" i="1" a="1"/>
  <c r="BR624" i="1"/>
  <c r="N624" i="1"/>
  <c r="Z624" i="1"/>
  <c r="AL624" i="1"/>
  <c r="AX624" i="1"/>
  <c r="BK624" i="1"/>
  <c r="BM624" i="1"/>
  <c r="BR623" i="1" a="1"/>
  <c r="BR623" i="1"/>
  <c r="N623" i="1"/>
  <c r="Z623" i="1"/>
  <c r="AL623" i="1"/>
  <c r="AX623" i="1"/>
  <c r="BK623" i="1"/>
  <c r="BM623" i="1"/>
  <c r="BR622" i="1" a="1"/>
  <c r="BR622" i="1"/>
  <c r="N622" i="1"/>
  <c r="Z622" i="1"/>
  <c r="AL622" i="1"/>
  <c r="AX622" i="1"/>
  <c r="BK622" i="1"/>
  <c r="BM622" i="1"/>
  <c r="BR621" i="1" a="1"/>
  <c r="BR621" i="1"/>
  <c r="N621" i="1"/>
  <c r="Z621" i="1"/>
  <c r="AL621" i="1"/>
  <c r="AX621" i="1"/>
  <c r="BK621" i="1"/>
  <c r="BM621" i="1"/>
  <c r="BR620" i="1" a="1"/>
  <c r="BR620" i="1"/>
  <c r="N620" i="1"/>
  <c r="Z620" i="1"/>
  <c r="AL620" i="1"/>
  <c r="AX620" i="1"/>
  <c r="BK620" i="1"/>
  <c r="BM620" i="1"/>
  <c r="BR619" i="1" a="1"/>
  <c r="BR619" i="1"/>
  <c r="N619" i="1"/>
  <c r="Z619" i="1"/>
  <c r="AL619" i="1"/>
  <c r="AX619" i="1"/>
  <c r="BK619" i="1"/>
  <c r="BM619" i="1"/>
  <c r="BR618" i="1" a="1"/>
  <c r="BR618" i="1"/>
  <c r="N618" i="1"/>
  <c r="Z618" i="1"/>
  <c r="AL618" i="1"/>
  <c r="AX618" i="1"/>
  <c r="BK618" i="1"/>
  <c r="BM618" i="1"/>
  <c r="BR617" i="1" a="1"/>
  <c r="BR617" i="1"/>
  <c r="N617" i="1"/>
  <c r="Z617" i="1"/>
  <c r="AL617" i="1"/>
  <c r="AX617" i="1"/>
  <c r="BK617" i="1"/>
  <c r="BM617" i="1"/>
  <c r="BR616" i="1" a="1"/>
  <c r="BR616" i="1"/>
  <c r="N616" i="1"/>
  <c r="Z616" i="1"/>
  <c r="AL616" i="1"/>
  <c r="AX616" i="1"/>
  <c r="BK616" i="1"/>
  <c r="BM616" i="1"/>
  <c r="BR615" i="1" a="1"/>
  <c r="BR615" i="1"/>
  <c r="N615" i="1"/>
  <c r="Z615" i="1"/>
  <c r="AL615" i="1"/>
  <c r="AX615" i="1"/>
  <c r="BK615" i="1"/>
  <c r="BM615" i="1"/>
  <c r="BR614" i="1" a="1"/>
  <c r="BR614" i="1"/>
  <c r="N614" i="1"/>
  <c r="Z614" i="1"/>
  <c r="AL614" i="1"/>
  <c r="AX614" i="1"/>
  <c r="BK614" i="1"/>
  <c r="BM614" i="1"/>
  <c r="BR613" i="1" a="1"/>
  <c r="BR613" i="1"/>
  <c r="N613" i="1"/>
  <c r="Z613" i="1"/>
  <c r="AL613" i="1"/>
  <c r="AX613" i="1"/>
  <c r="BK613" i="1"/>
  <c r="BM613" i="1"/>
  <c r="BR612" i="1" a="1"/>
  <c r="BR612" i="1"/>
  <c r="N612" i="1"/>
  <c r="Z612" i="1"/>
  <c r="AL612" i="1"/>
  <c r="AX612" i="1"/>
  <c r="BK612" i="1"/>
  <c r="BM612" i="1"/>
  <c r="BR611" i="1" a="1"/>
  <c r="BR611" i="1"/>
  <c r="N611" i="1"/>
  <c r="Z611" i="1"/>
  <c r="AL611" i="1"/>
  <c r="AX611" i="1"/>
  <c r="BK611" i="1"/>
  <c r="BM611" i="1"/>
  <c r="BR610" i="1" a="1"/>
  <c r="BR610" i="1"/>
  <c r="N610" i="1"/>
  <c r="Z610" i="1"/>
  <c r="AL610" i="1"/>
  <c r="AX610" i="1"/>
  <c r="BK610" i="1"/>
  <c r="BM610" i="1"/>
  <c r="BR609" i="1" a="1"/>
  <c r="BR609" i="1"/>
  <c r="N609" i="1"/>
  <c r="Z609" i="1"/>
  <c r="AL609" i="1"/>
  <c r="AX609" i="1"/>
  <c r="BK609" i="1"/>
  <c r="BM609" i="1"/>
  <c r="BR608" i="1" a="1"/>
  <c r="BR608" i="1"/>
  <c r="N608" i="1"/>
  <c r="Z608" i="1"/>
  <c r="AL608" i="1"/>
  <c r="AX608" i="1"/>
  <c r="BK608" i="1"/>
  <c r="BM608" i="1"/>
  <c r="BR607" i="1" a="1"/>
  <c r="BR607" i="1"/>
  <c r="N607" i="1"/>
  <c r="Z607" i="1"/>
  <c r="AL607" i="1"/>
  <c r="AX607" i="1"/>
  <c r="BK607" i="1"/>
  <c r="BM607" i="1"/>
  <c r="BR606" i="1" a="1"/>
  <c r="BR606" i="1"/>
  <c r="N606" i="1"/>
  <c r="Z606" i="1"/>
  <c r="AL606" i="1"/>
  <c r="AX606" i="1"/>
  <c r="BK606" i="1"/>
  <c r="BM606" i="1"/>
  <c r="BR604" i="1" a="1"/>
  <c r="BR604" i="1"/>
  <c r="N604" i="1"/>
  <c r="Z604" i="1"/>
  <c r="AL604" i="1"/>
  <c r="AX604" i="1"/>
  <c r="BK604" i="1"/>
  <c r="BM604" i="1"/>
  <c r="BR603" i="1" a="1"/>
  <c r="BR603" i="1"/>
  <c r="Z603" i="1"/>
  <c r="N603" i="1"/>
  <c r="AL603" i="1"/>
  <c r="AX603" i="1"/>
  <c r="BK603" i="1"/>
  <c r="BM603" i="1"/>
  <c r="BR602" i="1" a="1"/>
  <c r="BR602" i="1"/>
  <c r="Z602" i="1"/>
  <c r="N602" i="1"/>
  <c r="AL602" i="1"/>
  <c r="AX602" i="1"/>
  <c r="BK602" i="1"/>
  <c r="BM602" i="1"/>
  <c r="BR601" i="1" a="1"/>
  <c r="BR601" i="1"/>
  <c r="N601" i="1"/>
  <c r="Z601" i="1"/>
  <c r="AL601" i="1"/>
  <c r="AX601" i="1"/>
  <c r="BK601" i="1"/>
  <c r="BM601" i="1"/>
  <c r="BR600" i="1" a="1"/>
  <c r="BR600" i="1"/>
  <c r="N600" i="1"/>
  <c r="Z600" i="1"/>
  <c r="AL600" i="1"/>
  <c r="AX600" i="1"/>
  <c r="BK600" i="1"/>
  <c r="BM600" i="1"/>
  <c r="BS599" i="1"/>
  <c r="BR599" i="1" a="1"/>
  <c r="BR599" i="1"/>
  <c r="N599" i="1"/>
  <c r="Z599" i="1"/>
  <c r="AL599" i="1"/>
  <c r="AX599" i="1"/>
  <c r="BK599" i="1"/>
  <c r="BM599" i="1"/>
  <c r="BR597" i="1" a="1"/>
  <c r="BR597" i="1"/>
  <c r="N597" i="1"/>
  <c r="Z597" i="1"/>
  <c r="AL597" i="1"/>
  <c r="AX597" i="1"/>
  <c r="BK597" i="1"/>
  <c r="BM597" i="1"/>
  <c r="BR596" i="1" a="1"/>
  <c r="BR596" i="1"/>
  <c r="N596" i="1"/>
  <c r="Z596" i="1"/>
  <c r="AL596" i="1"/>
  <c r="AX596" i="1"/>
  <c r="BK596" i="1"/>
  <c r="BM596" i="1"/>
  <c r="BR595" i="1" a="1"/>
  <c r="BR595" i="1"/>
  <c r="N595" i="1"/>
  <c r="Z595" i="1"/>
  <c r="AL595" i="1"/>
  <c r="AX595" i="1"/>
  <c r="BK595" i="1"/>
  <c r="BM595" i="1"/>
  <c r="BR594" i="1" a="1"/>
  <c r="BR594" i="1"/>
  <c r="Z594" i="1"/>
  <c r="N594" i="1"/>
  <c r="AL594" i="1"/>
  <c r="AX594" i="1"/>
  <c r="BK594" i="1"/>
  <c r="BM594" i="1"/>
  <c r="BR593" i="1" a="1"/>
  <c r="BR593" i="1"/>
  <c r="N593" i="1"/>
  <c r="Z593" i="1"/>
  <c r="AL593" i="1"/>
  <c r="AX593" i="1"/>
  <c r="BK593" i="1"/>
  <c r="BM593" i="1"/>
  <c r="BR592" i="1" a="1"/>
  <c r="BR592" i="1"/>
  <c r="N592" i="1"/>
  <c r="Z592" i="1"/>
  <c r="AL592" i="1"/>
  <c r="AX592" i="1"/>
  <c r="BK592" i="1"/>
  <c r="BM592" i="1"/>
  <c r="BR591" i="1" a="1"/>
  <c r="BR591" i="1"/>
  <c r="N591" i="1"/>
  <c r="Z591" i="1"/>
  <c r="AL591" i="1"/>
  <c r="AX591" i="1"/>
  <c r="BK591" i="1"/>
  <c r="BM591" i="1"/>
  <c r="BR590" i="1" a="1"/>
  <c r="BR590" i="1"/>
  <c r="N590" i="1"/>
  <c r="Z590" i="1"/>
  <c r="AL590" i="1"/>
  <c r="AX590" i="1"/>
  <c r="BK590" i="1"/>
  <c r="BM590" i="1"/>
  <c r="BR589" i="1" a="1"/>
  <c r="BR589" i="1"/>
  <c r="N589" i="1"/>
  <c r="Z589" i="1"/>
  <c r="AL589" i="1"/>
  <c r="AX589" i="1"/>
  <c r="BK589" i="1"/>
  <c r="BM589" i="1"/>
  <c r="BR588" i="1" a="1"/>
  <c r="BR588" i="1"/>
  <c r="N588" i="1"/>
  <c r="Z588" i="1"/>
  <c r="AL588" i="1"/>
  <c r="AX588" i="1"/>
  <c r="BK588" i="1"/>
  <c r="BM588" i="1"/>
  <c r="BR587" i="1" a="1"/>
  <c r="BR587" i="1"/>
  <c r="N587" i="1"/>
  <c r="Z587" i="1"/>
  <c r="AL587" i="1"/>
  <c r="AX587" i="1"/>
  <c r="BK587" i="1"/>
  <c r="BM587" i="1"/>
  <c r="BR586" i="1" a="1"/>
  <c r="BR586" i="1"/>
  <c r="N586" i="1"/>
  <c r="Z586" i="1"/>
  <c r="AL586" i="1"/>
  <c r="AX586" i="1"/>
  <c r="BK586" i="1"/>
  <c r="BM586" i="1"/>
  <c r="BR585" i="1" a="1"/>
  <c r="BR585" i="1"/>
  <c r="N585" i="1"/>
  <c r="Z585" i="1"/>
  <c r="AL585" i="1"/>
  <c r="AX585" i="1"/>
  <c r="BK585" i="1"/>
  <c r="BM585" i="1"/>
  <c r="BR584" i="1" a="1"/>
  <c r="BR584" i="1"/>
  <c r="Z584" i="1"/>
  <c r="N584" i="1"/>
  <c r="AL584" i="1"/>
  <c r="AX584" i="1"/>
  <c r="BK584" i="1"/>
  <c r="BM584" i="1"/>
  <c r="BR583" i="1" a="1"/>
  <c r="BR583" i="1"/>
  <c r="N583" i="1"/>
  <c r="Z583" i="1"/>
  <c r="AL583" i="1"/>
  <c r="AX583" i="1"/>
  <c r="BK583" i="1"/>
  <c r="BM583" i="1"/>
  <c r="BR582" i="1" a="1"/>
  <c r="BR582" i="1"/>
  <c r="N582" i="1"/>
  <c r="Z582" i="1"/>
  <c r="AL582" i="1"/>
  <c r="AX582" i="1"/>
  <c r="BK582" i="1"/>
  <c r="BM582" i="1"/>
  <c r="BR581" i="1" a="1"/>
  <c r="BR581" i="1"/>
  <c r="N581" i="1"/>
  <c r="Z581" i="1"/>
  <c r="AL581" i="1"/>
  <c r="AX581" i="1"/>
  <c r="BK581" i="1"/>
  <c r="BM581" i="1"/>
  <c r="BR580" i="1" a="1"/>
  <c r="BR580" i="1"/>
  <c r="N580" i="1"/>
  <c r="Z580" i="1"/>
  <c r="AL580" i="1"/>
  <c r="AX580" i="1"/>
  <c r="BK580" i="1"/>
  <c r="BM580" i="1"/>
  <c r="BR579" i="1" a="1"/>
  <c r="BR579" i="1"/>
  <c r="N579" i="1"/>
  <c r="Z579" i="1"/>
  <c r="AL579" i="1"/>
  <c r="AX579" i="1"/>
  <c r="BK579" i="1"/>
  <c r="BM579" i="1"/>
  <c r="BR578" i="1" a="1"/>
  <c r="BR578" i="1"/>
  <c r="N578" i="1"/>
  <c r="Z578" i="1"/>
  <c r="AL578" i="1"/>
  <c r="AX578" i="1"/>
  <c r="BK578" i="1"/>
  <c r="BM578" i="1"/>
  <c r="BR577" i="1" a="1"/>
  <c r="BR577" i="1"/>
  <c r="N577" i="1"/>
  <c r="Z577" i="1"/>
  <c r="AL577" i="1"/>
  <c r="AX577" i="1"/>
  <c r="BK577" i="1"/>
  <c r="BM577" i="1"/>
  <c r="BR576" i="1" a="1"/>
  <c r="BR576" i="1"/>
  <c r="N576" i="1"/>
  <c r="Z576" i="1"/>
  <c r="AL576" i="1"/>
  <c r="AX576" i="1"/>
  <c r="BK576" i="1"/>
  <c r="BM576" i="1"/>
  <c r="BR575" i="1" a="1"/>
  <c r="BR575" i="1"/>
  <c r="N575" i="1"/>
  <c r="Z575" i="1"/>
  <c r="AL575" i="1"/>
  <c r="AX575" i="1"/>
  <c r="BK575" i="1"/>
  <c r="BM575" i="1"/>
  <c r="BR574" i="1" a="1"/>
  <c r="BR574" i="1"/>
  <c r="N574" i="1"/>
  <c r="Z574" i="1"/>
  <c r="AL574" i="1"/>
  <c r="AX574" i="1"/>
  <c r="BK574" i="1"/>
  <c r="BM574" i="1"/>
  <c r="BR573" i="1" a="1"/>
  <c r="BR573" i="1"/>
  <c r="N573" i="1"/>
  <c r="Z573" i="1"/>
  <c r="AL573" i="1"/>
  <c r="AX573" i="1"/>
  <c r="BK573" i="1"/>
  <c r="BM573" i="1"/>
  <c r="BR572" i="1" a="1"/>
  <c r="BR572" i="1"/>
  <c r="N572" i="1"/>
  <c r="Z572" i="1"/>
  <c r="AL572" i="1"/>
  <c r="AX572" i="1"/>
  <c r="BK572" i="1"/>
  <c r="BM572" i="1"/>
  <c r="BR571" i="1" a="1"/>
  <c r="BR571" i="1"/>
  <c r="N571" i="1"/>
  <c r="Z571" i="1"/>
  <c r="AL571" i="1"/>
  <c r="AX571" i="1"/>
  <c r="BK571" i="1"/>
  <c r="BM571" i="1"/>
  <c r="BR570" i="1" a="1"/>
  <c r="BR570" i="1"/>
  <c r="Z570" i="1"/>
  <c r="N570" i="1"/>
  <c r="AL570" i="1"/>
  <c r="AX570" i="1"/>
  <c r="BK570" i="1"/>
  <c r="BM570" i="1"/>
  <c r="BR569" i="1" a="1"/>
  <c r="BR569" i="1"/>
  <c r="N569" i="1"/>
  <c r="Z569" i="1"/>
  <c r="AL569" i="1"/>
  <c r="AX569" i="1"/>
  <c r="BK569" i="1"/>
  <c r="BM569" i="1"/>
  <c r="BR568" i="1" a="1"/>
  <c r="BR568" i="1"/>
  <c r="N568" i="1"/>
  <c r="Z568" i="1"/>
  <c r="AL568" i="1"/>
  <c r="AX568" i="1"/>
  <c r="BK568" i="1"/>
  <c r="BM568" i="1"/>
  <c r="BR567" i="1" a="1"/>
  <c r="BR567" i="1"/>
  <c r="N567" i="1"/>
  <c r="Z567" i="1"/>
  <c r="AL567" i="1"/>
  <c r="AX567" i="1"/>
  <c r="BK567" i="1"/>
  <c r="BM567" i="1"/>
  <c r="BR566" i="1" a="1"/>
  <c r="BR566" i="1"/>
  <c r="N566" i="1"/>
  <c r="Z566" i="1"/>
  <c r="AL566" i="1"/>
  <c r="AX566" i="1"/>
  <c r="BK566" i="1"/>
  <c r="BM566" i="1"/>
  <c r="BR565" i="1" a="1"/>
  <c r="BR565" i="1"/>
  <c r="N565" i="1"/>
  <c r="Z565" i="1"/>
  <c r="AL565" i="1"/>
  <c r="AX565" i="1"/>
  <c r="BK565" i="1"/>
  <c r="BM565" i="1"/>
  <c r="BR564" i="1" a="1"/>
  <c r="BR564" i="1"/>
  <c r="N564" i="1"/>
  <c r="Z564" i="1"/>
  <c r="AL564" i="1"/>
  <c r="AX564" i="1"/>
  <c r="BK564" i="1"/>
  <c r="BM564" i="1"/>
  <c r="BR563" i="1" a="1"/>
  <c r="BR563" i="1"/>
  <c r="Z563" i="1"/>
  <c r="N563" i="1"/>
  <c r="AL563" i="1"/>
  <c r="AX563" i="1"/>
  <c r="BK563" i="1"/>
  <c r="BM563" i="1"/>
  <c r="BR561" i="1" a="1"/>
  <c r="BR561" i="1"/>
  <c r="N561" i="1"/>
  <c r="Z561" i="1"/>
  <c r="AL561" i="1"/>
  <c r="AX561" i="1"/>
  <c r="BK561" i="1"/>
  <c r="BM561" i="1"/>
  <c r="BR560" i="1" a="1"/>
  <c r="BR560" i="1"/>
  <c r="N560" i="1"/>
  <c r="Z560" i="1"/>
  <c r="AL560" i="1"/>
  <c r="AX560" i="1"/>
  <c r="BK560" i="1"/>
  <c r="BM560" i="1"/>
  <c r="BS559" i="1"/>
  <c r="BR559" i="1" a="1"/>
  <c r="BR559" i="1"/>
  <c r="Z559" i="1"/>
  <c r="N559" i="1"/>
  <c r="AL559" i="1"/>
  <c r="AX559" i="1"/>
  <c r="BK559" i="1"/>
  <c r="BM559" i="1"/>
  <c r="BR557" i="1" a="1"/>
  <c r="BR557" i="1"/>
  <c r="N557" i="1"/>
  <c r="Z557" i="1"/>
  <c r="AL557" i="1"/>
  <c r="AX557" i="1"/>
  <c r="BK557" i="1"/>
  <c r="BM557" i="1"/>
  <c r="BR556" i="1" a="1"/>
  <c r="BR556" i="1"/>
  <c r="N556" i="1"/>
  <c r="Z556" i="1"/>
  <c r="AL556" i="1"/>
  <c r="AX556" i="1"/>
  <c r="BK556" i="1"/>
  <c r="BM556" i="1"/>
  <c r="BR555" i="1" a="1"/>
  <c r="BR555" i="1"/>
  <c r="N555" i="1"/>
  <c r="Z555" i="1"/>
  <c r="AL555" i="1"/>
  <c r="AX555" i="1"/>
  <c r="BK555" i="1"/>
  <c r="BM555" i="1"/>
  <c r="BR554" i="1" a="1"/>
  <c r="BR554" i="1"/>
  <c r="N554" i="1"/>
  <c r="Z554" i="1"/>
  <c r="AL554" i="1"/>
  <c r="AX554" i="1"/>
  <c r="BK554" i="1"/>
  <c r="BM554" i="1"/>
  <c r="BR553" i="1" a="1"/>
  <c r="BR553" i="1"/>
  <c r="Z553" i="1"/>
  <c r="N553" i="1"/>
  <c r="AL553" i="1"/>
  <c r="AX553" i="1"/>
  <c r="BK553" i="1"/>
  <c r="BM553" i="1"/>
  <c r="BR552" i="1" a="1"/>
  <c r="BR552" i="1"/>
  <c r="N552" i="1"/>
  <c r="Z552" i="1"/>
  <c r="AL552" i="1"/>
  <c r="AX552" i="1"/>
  <c r="BK552" i="1"/>
  <c r="BM552" i="1"/>
  <c r="BR551" i="1" a="1"/>
  <c r="BR551" i="1"/>
  <c r="N551" i="1"/>
  <c r="Z551" i="1"/>
  <c r="AL551" i="1"/>
  <c r="AX551" i="1"/>
  <c r="BK551" i="1"/>
  <c r="BM551" i="1"/>
  <c r="BR550" i="1" a="1"/>
  <c r="BR550" i="1"/>
  <c r="N550" i="1"/>
  <c r="Z550" i="1"/>
  <c r="AL550" i="1"/>
  <c r="AX550" i="1"/>
  <c r="BK550" i="1"/>
  <c r="BM550" i="1"/>
  <c r="BR549" i="1" a="1"/>
  <c r="BR549" i="1"/>
  <c r="N549" i="1"/>
  <c r="Z549" i="1"/>
  <c r="AL549" i="1"/>
  <c r="AX549" i="1"/>
  <c r="BK549" i="1"/>
  <c r="BM549" i="1"/>
  <c r="BR548" i="1" a="1"/>
  <c r="BR548" i="1"/>
  <c r="N548" i="1"/>
  <c r="Z548" i="1"/>
  <c r="AL548" i="1"/>
  <c r="AX548" i="1"/>
  <c r="BK548" i="1"/>
  <c r="BM548" i="1"/>
  <c r="BR547" i="1" a="1"/>
  <c r="BR547" i="1"/>
  <c r="Z547" i="1"/>
  <c r="N547" i="1"/>
  <c r="AL547" i="1"/>
  <c r="AX547" i="1"/>
  <c r="BK547" i="1"/>
  <c r="BM547" i="1"/>
  <c r="BR546" i="1" a="1"/>
  <c r="BR546" i="1"/>
  <c r="N546" i="1"/>
  <c r="Z546" i="1"/>
  <c r="AL546" i="1"/>
  <c r="AX546" i="1"/>
  <c r="BK546" i="1"/>
  <c r="BM546" i="1"/>
  <c r="BR545" i="1" a="1"/>
  <c r="BR545" i="1"/>
  <c r="N545" i="1"/>
  <c r="Z545" i="1"/>
  <c r="AL545" i="1"/>
  <c r="AX545" i="1"/>
  <c r="BK545" i="1"/>
  <c r="BM545" i="1"/>
  <c r="BR544" i="1" a="1"/>
  <c r="BR544" i="1"/>
  <c r="N544" i="1"/>
  <c r="Z544" i="1"/>
  <c r="AL544" i="1"/>
  <c r="AX544" i="1"/>
  <c r="BK544" i="1"/>
  <c r="BM544" i="1"/>
  <c r="BR543" i="1" a="1"/>
  <c r="BR543" i="1"/>
  <c r="N543" i="1"/>
  <c r="Z543" i="1"/>
  <c r="AL543" i="1"/>
  <c r="AX543" i="1"/>
  <c r="BK543" i="1"/>
  <c r="BM543" i="1"/>
  <c r="BR542" i="1" a="1"/>
  <c r="BR542" i="1"/>
  <c r="N542" i="1"/>
  <c r="Z542" i="1"/>
  <c r="AL542" i="1"/>
  <c r="AX542" i="1"/>
  <c r="BK542" i="1"/>
  <c r="BM542" i="1"/>
  <c r="BR540" i="1" a="1"/>
  <c r="BR540" i="1"/>
  <c r="N540" i="1"/>
  <c r="Z540" i="1"/>
  <c r="AL540" i="1"/>
  <c r="AX540" i="1"/>
  <c r="BK540" i="1"/>
  <c r="BM540" i="1"/>
  <c r="BR539" i="1" a="1"/>
  <c r="BR539" i="1"/>
  <c r="N539" i="1"/>
  <c r="Z539" i="1"/>
  <c r="AL539" i="1"/>
  <c r="AX539" i="1"/>
  <c r="BK539" i="1"/>
  <c r="BM539" i="1"/>
  <c r="BR538" i="1" a="1"/>
  <c r="BR538" i="1"/>
  <c r="N538" i="1"/>
  <c r="Z538" i="1"/>
  <c r="AL538" i="1"/>
  <c r="AX538" i="1"/>
  <c r="BK538" i="1"/>
  <c r="BM538" i="1"/>
  <c r="BR537" i="1" a="1"/>
  <c r="BR537" i="1"/>
  <c r="N537" i="1"/>
  <c r="Z537" i="1"/>
  <c r="AL537" i="1"/>
  <c r="AX537" i="1"/>
  <c r="BK537" i="1"/>
  <c r="BM537" i="1"/>
  <c r="BR536" i="1" a="1"/>
  <c r="BR536" i="1"/>
  <c r="N536" i="1"/>
  <c r="Z536" i="1"/>
  <c r="AL536" i="1"/>
  <c r="AX536" i="1"/>
  <c r="BK536" i="1"/>
  <c r="BM536" i="1"/>
  <c r="BR535" i="1" a="1"/>
  <c r="BR535" i="1"/>
  <c r="N535" i="1"/>
  <c r="Z535" i="1"/>
  <c r="AL535" i="1"/>
  <c r="AX535" i="1"/>
  <c r="BK535" i="1"/>
  <c r="BM535" i="1"/>
  <c r="BR534" i="1" a="1"/>
  <c r="BR534" i="1"/>
  <c r="N534" i="1"/>
  <c r="Z534" i="1"/>
  <c r="AL534" i="1"/>
  <c r="AX534" i="1"/>
  <c r="BK534" i="1"/>
  <c r="BM534" i="1"/>
  <c r="BR533" i="1" a="1"/>
  <c r="BR533" i="1"/>
  <c r="N533" i="1"/>
  <c r="Z533" i="1"/>
  <c r="AL533" i="1"/>
  <c r="AX533" i="1"/>
  <c r="BK533" i="1"/>
  <c r="BM533" i="1"/>
  <c r="BR532" i="1" a="1"/>
  <c r="BR532" i="1"/>
  <c r="N532" i="1"/>
  <c r="Z532" i="1"/>
  <c r="AL532" i="1"/>
  <c r="AX532" i="1"/>
  <c r="BK532" i="1"/>
  <c r="BM532" i="1"/>
  <c r="BR531" i="1" a="1"/>
  <c r="BR531" i="1"/>
  <c r="N531" i="1"/>
  <c r="Z531" i="1"/>
  <c r="AL531" i="1"/>
  <c r="AX531" i="1"/>
  <c r="BK531" i="1"/>
  <c r="BM531" i="1"/>
  <c r="BR530" i="1" a="1"/>
  <c r="BR530" i="1"/>
  <c r="N530" i="1"/>
  <c r="Z530" i="1"/>
  <c r="AL530" i="1"/>
  <c r="AX530" i="1"/>
  <c r="BK530" i="1"/>
  <c r="BM530" i="1"/>
  <c r="BR529" i="1" a="1"/>
  <c r="BR529" i="1"/>
  <c r="N529" i="1"/>
  <c r="Z529" i="1"/>
  <c r="AL529" i="1"/>
  <c r="AX529" i="1"/>
  <c r="BK529" i="1"/>
  <c r="BM529" i="1"/>
  <c r="BR528" i="1" a="1"/>
  <c r="BR528" i="1"/>
  <c r="N528" i="1"/>
  <c r="Z528" i="1"/>
  <c r="AL528" i="1"/>
  <c r="AX528" i="1"/>
  <c r="BK528" i="1"/>
  <c r="BM528" i="1"/>
  <c r="BR527" i="1" a="1"/>
  <c r="BR527" i="1"/>
  <c r="N527" i="1"/>
  <c r="Z527" i="1"/>
  <c r="AL527" i="1"/>
  <c r="AX527" i="1"/>
  <c r="BK527" i="1"/>
  <c r="BM527" i="1"/>
  <c r="BR526" i="1" a="1"/>
  <c r="BR526" i="1"/>
  <c r="N526" i="1"/>
  <c r="Z526" i="1"/>
  <c r="AL526" i="1"/>
  <c r="AX526" i="1"/>
  <c r="BK526" i="1"/>
  <c r="BM526" i="1"/>
  <c r="BR525" i="1" a="1"/>
  <c r="BR525" i="1"/>
  <c r="N525" i="1"/>
  <c r="Z525" i="1"/>
  <c r="AL525" i="1"/>
  <c r="AX525" i="1"/>
  <c r="BK525" i="1"/>
  <c r="BM525" i="1"/>
  <c r="BR524" i="1" a="1"/>
  <c r="BR524" i="1"/>
  <c r="N524" i="1"/>
  <c r="Z524" i="1"/>
  <c r="AL524" i="1"/>
  <c r="AX524" i="1"/>
  <c r="BK524" i="1"/>
  <c r="BM524" i="1"/>
  <c r="BR523" i="1" a="1"/>
  <c r="BR523" i="1"/>
  <c r="N523" i="1"/>
  <c r="Z523" i="1"/>
  <c r="AL523" i="1"/>
  <c r="AX523" i="1"/>
  <c r="BK523" i="1"/>
  <c r="BM523" i="1"/>
  <c r="BR521" i="1" a="1"/>
  <c r="BR521" i="1"/>
  <c r="Z521" i="1"/>
  <c r="N521" i="1"/>
  <c r="AL521" i="1"/>
  <c r="AX521" i="1"/>
  <c r="BK521" i="1"/>
  <c r="BM521" i="1"/>
  <c r="BR518" i="1" a="1"/>
  <c r="BR518" i="1"/>
  <c r="N518" i="1"/>
  <c r="Z518" i="1"/>
  <c r="AL518" i="1"/>
  <c r="AX518" i="1"/>
  <c r="BK518" i="1"/>
  <c r="BM518" i="1"/>
  <c r="BR517" i="1" a="1"/>
  <c r="BR517" i="1"/>
  <c r="N517" i="1"/>
  <c r="Z517" i="1"/>
  <c r="AL517" i="1"/>
  <c r="AX517" i="1"/>
  <c r="BK517" i="1"/>
  <c r="BM517" i="1"/>
  <c r="BR516" i="1" a="1"/>
  <c r="BR516" i="1"/>
  <c r="N516" i="1"/>
  <c r="Z516" i="1"/>
  <c r="AL516" i="1"/>
  <c r="AX516" i="1"/>
  <c r="BK516" i="1"/>
  <c r="BM516" i="1"/>
  <c r="BR515" i="1" a="1"/>
  <c r="BR515" i="1"/>
  <c r="N515" i="1"/>
  <c r="AX515" i="1"/>
  <c r="BK515" i="1"/>
  <c r="BM515" i="1"/>
  <c r="BR514" i="1" a="1"/>
  <c r="BR514" i="1"/>
  <c r="N514" i="1"/>
  <c r="Z514" i="1"/>
  <c r="AL514" i="1"/>
  <c r="AX514" i="1"/>
  <c r="BK514" i="1"/>
  <c r="BM514" i="1"/>
  <c r="BR513" i="1" a="1"/>
  <c r="BR513" i="1"/>
  <c r="N513" i="1"/>
  <c r="Z513" i="1"/>
  <c r="AL513" i="1"/>
  <c r="AX513" i="1"/>
  <c r="BK513" i="1"/>
  <c r="BM513" i="1"/>
  <c r="BR512" i="1" a="1"/>
  <c r="BR512" i="1"/>
  <c r="N512" i="1"/>
  <c r="Z512" i="1"/>
  <c r="AL512" i="1"/>
  <c r="AX512" i="1"/>
  <c r="BK512" i="1"/>
  <c r="BM512" i="1"/>
  <c r="BR511" i="1" a="1"/>
  <c r="BR511" i="1"/>
  <c r="N511" i="1"/>
  <c r="Z511" i="1"/>
  <c r="AL511" i="1"/>
  <c r="AX511" i="1"/>
  <c r="BK511" i="1"/>
  <c r="BM511" i="1"/>
  <c r="BR509" i="1" a="1"/>
  <c r="BR509" i="1"/>
  <c r="N509" i="1"/>
  <c r="Z509" i="1"/>
  <c r="AL509" i="1"/>
  <c r="AX509" i="1"/>
  <c r="BK509" i="1"/>
  <c r="BM509" i="1"/>
  <c r="BR508" i="1" a="1"/>
  <c r="BR508" i="1"/>
  <c r="Z508" i="1"/>
  <c r="N508" i="1"/>
  <c r="AL508" i="1"/>
  <c r="AX508" i="1"/>
  <c r="BK508" i="1"/>
  <c r="BM508" i="1"/>
  <c r="BR507" i="1" a="1"/>
  <c r="BR507" i="1"/>
  <c r="N507" i="1"/>
  <c r="Z507" i="1"/>
  <c r="AL507" i="1"/>
  <c r="AX507" i="1"/>
  <c r="BK507" i="1"/>
  <c r="BM507" i="1"/>
  <c r="BR506" i="1" a="1"/>
  <c r="BR506" i="1"/>
  <c r="N506" i="1"/>
  <c r="Z506" i="1"/>
  <c r="AL506" i="1"/>
  <c r="AX506" i="1"/>
  <c r="BK506" i="1"/>
  <c r="BM506" i="1"/>
  <c r="BR505" i="1" a="1"/>
  <c r="BR505" i="1"/>
  <c r="N505" i="1"/>
  <c r="Z505" i="1"/>
  <c r="AL505" i="1"/>
  <c r="AX505" i="1"/>
  <c r="BK505" i="1"/>
  <c r="BM505" i="1"/>
  <c r="BR504" i="1" a="1"/>
  <c r="BR504" i="1"/>
  <c r="N504" i="1"/>
  <c r="Z504" i="1"/>
  <c r="AL504" i="1"/>
  <c r="AX504" i="1"/>
  <c r="BK504" i="1"/>
  <c r="BM504" i="1"/>
  <c r="BR503" i="1" a="1"/>
  <c r="BR503" i="1"/>
  <c r="N503" i="1"/>
  <c r="Z503" i="1"/>
  <c r="AL503" i="1"/>
  <c r="AX503" i="1"/>
  <c r="BK503" i="1"/>
  <c r="BM503" i="1"/>
  <c r="BR502" i="1" a="1"/>
  <c r="BR502" i="1"/>
  <c r="N502" i="1"/>
  <c r="Z502" i="1"/>
  <c r="AL502" i="1"/>
  <c r="AX502" i="1"/>
  <c r="BK502" i="1"/>
  <c r="BM502" i="1"/>
  <c r="BR501" i="1" a="1"/>
  <c r="BR501" i="1"/>
  <c r="N501" i="1"/>
  <c r="Z501" i="1"/>
  <c r="AL501" i="1"/>
  <c r="AX501" i="1"/>
  <c r="BK501" i="1"/>
  <c r="BM501" i="1"/>
  <c r="BR500" i="1" a="1"/>
  <c r="BR500" i="1"/>
  <c r="N500" i="1"/>
  <c r="Z500" i="1"/>
  <c r="AL500" i="1"/>
  <c r="AX500" i="1"/>
  <c r="BK500" i="1"/>
  <c r="BM500" i="1"/>
  <c r="BR499" i="1" a="1"/>
  <c r="BR499" i="1"/>
  <c r="N499" i="1"/>
  <c r="Z499" i="1"/>
  <c r="AL499" i="1"/>
  <c r="AX499" i="1"/>
  <c r="BK499" i="1"/>
  <c r="BM499" i="1"/>
  <c r="BR498" i="1" a="1"/>
  <c r="BR498" i="1"/>
  <c r="N498" i="1"/>
  <c r="Z498" i="1"/>
  <c r="AL498" i="1"/>
  <c r="AX498" i="1"/>
  <c r="BK498" i="1"/>
  <c r="BM498" i="1"/>
  <c r="BR497" i="1" a="1"/>
  <c r="BR497" i="1"/>
  <c r="N497" i="1"/>
  <c r="Z497" i="1"/>
  <c r="AL497" i="1"/>
  <c r="AX497" i="1"/>
  <c r="BK497" i="1"/>
  <c r="BM497" i="1"/>
  <c r="BR496" i="1" a="1"/>
  <c r="BR496" i="1"/>
  <c r="N496" i="1"/>
  <c r="Z496" i="1"/>
  <c r="AL496" i="1"/>
  <c r="AX496" i="1"/>
  <c r="BK496" i="1"/>
  <c r="BM496" i="1"/>
  <c r="BR495" i="1" a="1"/>
  <c r="BR495" i="1"/>
  <c r="N495" i="1"/>
  <c r="Z495" i="1"/>
  <c r="AL495" i="1"/>
  <c r="AX495" i="1"/>
  <c r="BK495" i="1"/>
  <c r="BM495" i="1"/>
  <c r="BR494" i="1" a="1"/>
  <c r="BR494" i="1"/>
  <c r="N494" i="1"/>
  <c r="Z494" i="1"/>
  <c r="AL494" i="1"/>
  <c r="AX494" i="1"/>
  <c r="BK494" i="1"/>
  <c r="BM494" i="1"/>
  <c r="BR493" i="1" a="1"/>
  <c r="BR493" i="1"/>
  <c r="N493" i="1"/>
  <c r="Z493" i="1"/>
  <c r="AL493" i="1"/>
  <c r="AX493" i="1"/>
  <c r="BK493" i="1"/>
  <c r="BM493" i="1"/>
  <c r="BR492" i="1" a="1"/>
  <c r="BR492" i="1"/>
  <c r="N492" i="1"/>
  <c r="Z492" i="1"/>
  <c r="AL492" i="1"/>
  <c r="AX492" i="1"/>
  <c r="BK492" i="1"/>
  <c r="BM492" i="1"/>
  <c r="BR491" i="1" a="1"/>
  <c r="BR491" i="1"/>
  <c r="N491" i="1"/>
  <c r="Z491" i="1"/>
  <c r="AL491" i="1"/>
  <c r="AX491" i="1"/>
  <c r="BK491" i="1"/>
  <c r="BM491" i="1"/>
  <c r="BR490" i="1" a="1"/>
  <c r="BR490" i="1"/>
  <c r="N490" i="1"/>
  <c r="Z490" i="1"/>
  <c r="AX490" i="1"/>
  <c r="BK490" i="1"/>
  <c r="BM490" i="1"/>
  <c r="BR489" i="1" a="1"/>
  <c r="BR489" i="1"/>
  <c r="Z489" i="1"/>
  <c r="N489" i="1"/>
  <c r="AL489" i="1"/>
  <c r="AX489" i="1"/>
  <c r="BK489" i="1"/>
  <c r="BM489" i="1"/>
  <c r="BR488" i="1" a="1"/>
  <c r="BR488" i="1"/>
  <c r="Z488" i="1"/>
  <c r="N488" i="1"/>
  <c r="AL488" i="1"/>
  <c r="AX488" i="1"/>
  <c r="BK488" i="1"/>
  <c r="BM488" i="1"/>
  <c r="BR487" i="1" a="1"/>
  <c r="BR487" i="1"/>
  <c r="N487" i="1"/>
  <c r="Z487" i="1"/>
  <c r="AL487" i="1"/>
  <c r="AX487" i="1"/>
  <c r="BK487" i="1"/>
  <c r="BM487" i="1"/>
  <c r="BR486" i="1" a="1"/>
  <c r="BR486" i="1"/>
  <c r="N486" i="1"/>
  <c r="Z486" i="1"/>
  <c r="AL486" i="1"/>
  <c r="AX486" i="1"/>
  <c r="BK486" i="1"/>
  <c r="BM486" i="1"/>
  <c r="BR485" i="1" a="1"/>
  <c r="BR485" i="1"/>
  <c r="N485" i="1"/>
  <c r="Z485" i="1"/>
  <c r="AL485" i="1"/>
  <c r="AX485" i="1"/>
  <c r="BK485" i="1"/>
  <c r="BM485" i="1"/>
  <c r="BR484" i="1" a="1"/>
  <c r="BR484" i="1"/>
  <c r="N484" i="1"/>
  <c r="Z484" i="1"/>
  <c r="AL484" i="1"/>
  <c r="AX484" i="1"/>
  <c r="BK484" i="1"/>
  <c r="BM484" i="1"/>
  <c r="BR483" i="1" a="1"/>
  <c r="BR483" i="1"/>
  <c r="N483" i="1"/>
  <c r="Z483" i="1"/>
  <c r="AL483" i="1"/>
  <c r="AX483" i="1"/>
  <c r="BK483" i="1"/>
  <c r="BM483" i="1"/>
  <c r="BR482" i="1" a="1"/>
  <c r="BR482" i="1"/>
  <c r="N482" i="1"/>
  <c r="Z482" i="1"/>
  <c r="AL482" i="1"/>
  <c r="AX482" i="1"/>
  <c r="BK482" i="1"/>
  <c r="BM482" i="1"/>
  <c r="BR481" i="1" a="1"/>
  <c r="BR481" i="1"/>
  <c r="N481" i="1"/>
  <c r="Z481" i="1"/>
  <c r="AL481" i="1"/>
  <c r="AX481" i="1"/>
  <c r="BK481" i="1"/>
  <c r="BM481" i="1"/>
  <c r="BR480" i="1" a="1"/>
  <c r="BR480" i="1"/>
  <c r="N480" i="1"/>
  <c r="Z480" i="1"/>
  <c r="AL480" i="1"/>
  <c r="AX480" i="1"/>
  <c r="BK480" i="1"/>
  <c r="BM480" i="1"/>
  <c r="BR479" i="1" a="1"/>
  <c r="BR479" i="1"/>
  <c r="N479" i="1"/>
  <c r="Z479" i="1"/>
  <c r="AL479" i="1"/>
  <c r="AX479" i="1"/>
  <c r="BK479" i="1"/>
  <c r="BM479" i="1"/>
  <c r="BR478" i="1" a="1"/>
  <c r="BR478" i="1"/>
  <c r="N478" i="1"/>
  <c r="Z478" i="1"/>
  <c r="AL478" i="1"/>
  <c r="AX478" i="1"/>
  <c r="BK478" i="1"/>
  <c r="BM478" i="1"/>
  <c r="BR477" i="1" a="1"/>
  <c r="BR477" i="1"/>
  <c r="Z477" i="1"/>
  <c r="N477" i="1"/>
  <c r="AL477" i="1"/>
  <c r="AX477" i="1"/>
  <c r="BK477" i="1"/>
  <c r="BM477" i="1"/>
  <c r="BR476" i="1" a="1"/>
  <c r="BR476" i="1"/>
  <c r="N476" i="1"/>
  <c r="Z476" i="1"/>
  <c r="AL476" i="1"/>
  <c r="AX476" i="1"/>
  <c r="BK476" i="1"/>
  <c r="BM476" i="1"/>
  <c r="BR474" i="1" a="1"/>
  <c r="BR474" i="1"/>
  <c r="N474" i="1"/>
  <c r="Z474" i="1"/>
  <c r="AL474" i="1"/>
  <c r="AX474" i="1"/>
  <c r="BK474" i="1"/>
  <c r="BM474" i="1"/>
  <c r="BR473" i="1" a="1"/>
  <c r="BR473" i="1"/>
  <c r="N473" i="1"/>
  <c r="Z473" i="1"/>
  <c r="AL473" i="1"/>
  <c r="AX473" i="1"/>
  <c r="BK473" i="1"/>
  <c r="BM473" i="1"/>
  <c r="BR472" i="1" a="1"/>
  <c r="BR472" i="1"/>
  <c r="N472" i="1"/>
  <c r="Z472" i="1"/>
  <c r="AL472" i="1"/>
  <c r="AX472" i="1"/>
  <c r="BK472" i="1"/>
  <c r="BM472" i="1"/>
  <c r="BR471" i="1" a="1"/>
  <c r="BR471" i="1"/>
  <c r="N471" i="1"/>
  <c r="Z471" i="1"/>
  <c r="AL471" i="1"/>
  <c r="AX471" i="1"/>
  <c r="BK471" i="1"/>
  <c r="BM471" i="1"/>
  <c r="BR470" i="1" a="1"/>
  <c r="BR470" i="1"/>
  <c r="N470" i="1"/>
  <c r="Z470" i="1"/>
  <c r="AL470" i="1"/>
  <c r="AX470" i="1"/>
  <c r="BK470" i="1"/>
  <c r="BM470" i="1"/>
  <c r="BR469" i="1" a="1"/>
  <c r="BR469" i="1"/>
  <c r="N469" i="1"/>
  <c r="Z469" i="1"/>
  <c r="AL469" i="1"/>
  <c r="AX469" i="1"/>
  <c r="BK469" i="1"/>
  <c r="BM469" i="1"/>
  <c r="BR468" i="1" a="1"/>
  <c r="BR468" i="1"/>
  <c r="N468" i="1"/>
  <c r="Z468" i="1"/>
  <c r="AL468" i="1"/>
  <c r="AX468" i="1"/>
  <c r="BK468" i="1"/>
  <c r="BM468" i="1"/>
  <c r="BR467" i="1" a="1"/>
  <c r="BR467" i="1"/>
  <c r="N467" i="1"/>
  <c r="Z467" i="1"/>
  <c r="AL467" i="1"/>
  <c r="AX467" i="1"/>
  <c r="BK467" i="1"/>
  <c r="BM467" i="1"/>
  <c r="BR466" i="1" a="1"/>
  <c r="BR466" i="1"/>
  <c r="N466" i="1"/>
  <c r="Z466" i="1"/>
  <c r="AL466" i="1"/>
  <c r="AX466" i="1"/>
  <c r="BK466" i="1"/>
  <c r="BM466" i="1"/>
  <c r="BR465" i="1" a="1"/>
  <c r="BR465" i="1"/>
  <c r="N465" i="1"/>
  <c r="Z465" i="1"/>
  <c r="AL465" i="1"/>
  <c r="AX465" i="1"/>
  <c r="BK465" i="1"/>
  <c r="BM465" i="1"/>
  <c r="BR464" i="1" a="1"/>
  <c r="BR464" i="1"/>
  <c r="N464" i="1"/>
  <c r="Z464" i="1"/>
  <c r="AL464" i="1"/>
  <c r="AX464" i="1"/>
  <c r="BK464" i="1"/>
  <c r="BM464" i="1"/>
  <c r="BR463" i="1" a="1"/>
  <c r="BR463" i="1"/>
  <c r="N463" i="1"/>
  <c r="Z463" i="1"/>
  <c r="AL463" i="1"/>
  <c r="AX463" i="1"/>
  <c r="BK463" i="1"/>
  <c r="BM463" i="1"/>
  <c r="BR462" i="1" a="1"/>
  <c r="BR462" i="1"/>
  <c r="N462" i="1"/>
  <c r="Z462" i="1"/>
  <c r="AL462" i="1"/>
  <c r="AX462" i="1"/>
  <c r="BK462" i="1"/>
  <c r="BM462" i="1"/>
  <c r="BR461" i="1" a="1"/>
  <c r="BR461" i="1"/>
  <c r="N461" i="1"/>
  <c r="Z461" i="1"/>
  <c r="AL461" i="1"/>
  <c r="AX461" i="1"/>
  <c r="BK461" i="1"/>
  <c r="BM461" i="1"/>
  <c r="BR460" i="1" a="1"/>
  <c r="BR460" i="1"/>
  <c r="N460" i="1"/>
  <c r="Z460" i="1"/>
  <c r="AL460" i="1"/>
  <c r="AX460" i="1"/>
  <c r="BK460" i="1"/>
  <c r="BM460" i="1"/>
  <c r="BR459" i="1" a="1"/>
  <c r="BR459" i="1"/>
  <c r="N459" i="1"/>
  <c r="Z459" i="1"/>
  <c r="AL459" i="1"/>
  <c r="AX459" i="1"/>
  <c r="BK459" i="1"/>
  <c r="BM459" i="1"/>
  <c r="BR457" i="1" a="1"/>
  <c r="BR457" i="1"/>
  <c r="N457" i="1"/>
  <c r="Z457" i="1"/>
  <c r="AL457" i="1"/>
  <c r="AX457" i="1"/>
  <c r="BK457" i="1"/>
  <c r="BM457" i="1"/>
  <c r="BR456" i="1" a="1"/>
  <c r="BR456" i="1"/>
  <c r="N456" i="1"/>
  <c r="Z456" i="1"/>
  <c r="AL456" i="1"/>
  <c r="AX456" i="1"/>
  <c r="BK456" i="1"/>
  <c r="BM456" i="1"/>
  <c r="BR455" i="1" a="1"/>
  <c r="BR455" i="1"/>
  <c r="N455" i="1"/>
  <c r="Z455" i="1"/>
  <c r="AL455" i="1"/>
  <c r="AX455" i="1"/>
  <c r="BK455" i="1"/>
  <c r="BM455" i="1"/>
  <c r="BR454" i="1" a="1"/>
  <c r="BR454" i="1"/>
  <c r="N454" i="1"/>
  <c r="Z454" i="1"/>
  <c r="AL454" i="1"/>
  <c r="AX454" i="1"/>
  <c r="BK454" i="1"/>
  <c r="BM454" i="1"/>
  <c r="BR453" i="1" a="1"/>
  <c r="BR453" i="1"/>
  <c r="N453" i="1"/>
  <c r="Z453" i="1"/>
  <c r="AL453" i="1"/>
  <c r="AX453" i="1"/>
  <c r="BK453" i="1"/>
  <c r="BM453" i="1"/>
  <c r="BR452" i="1" a="1"/>
  <c r="BR452" i="1"/>
  <c r="N452" i="1"/>
  <c r="Z452" i="1"/>
  <c r="AL452" i="1"/>
  <c r="AX452" i="1"/>
  <c r="BK452" i="1"/>
  <c r="BM452" i="1"/>
  <c r="BR451" i="1" a="1"/>
  <c r="BR451" i="1"/>
  <c r="AL451" i="1"/>
  <c r="AX451" i="1"/>
  <c r="BK451" i="1"/>
  <c r="BM451" i="1"/>
  <c r="BR450" i="1" a="1"/>
  <c r="BR450" i="1"/>
  <c r="Z450" i="1"/>
  <c r="AL450" i="1"/>
  <c r="AX450" i="1"/>
  <c r="BK450" i="1"/>
  <c r="BM450" i="1"/>
  <c r="BR449" i="1" a="1"/>
  <c r="BR449" i="1"/>
  <c r="N449" i="1"/>
  <c r="Z449" i="1"/>
  <c r="AL449" i="1"/>
  <c r="AX449" i="1"/>
  <c r="BK449" i="1"/>
  <c r="BM449" i="1"/>
  <c r="BR448" i="1" a="1"/>
  <c r="BR448" i="1"/>
  <c r="N448" i="1"/>
  <c r="Z448" i="1"/>
  <c r="AL448" i="1"/>
  <c r="AX448" i="1"/>
  <c r="BK448" i="1"/>
  <c r="BM448" i="1"/>
  <c r="BR447" i="1" a="1"/>
  <c r="BR447" i="1"/>
  <c r="N447" i="1"/>
  <c r="Z447" i="1"/>
  <c r="AL447" i="1"/>
  <c r="AX447" i="1"/>
  <c r="BK447" i="1"/>
  <c r="BM447" i="1"/>
  <c r="BR446" i="1" a="1"/>
  <c r="BR446" i="1"/>
  <c r="N446" i="1"/>
  <c r="Z446" i="1"/>
  <c r="AL446" i="1"/>
  <c r="AX446" i="1"/>
  <c r="BK446" i="1"/>
  <c r="BM446" i="1"/>
  <c r="BR445" i="1" a="1"/>
  <c r="BR445" i="1"/>
  <c r="N445" i="1"/>
  <c r="Z445" i="1"/>
  <c r="AL445" i="1"/>
  <c r="AX445" i="1"/>
  <c r="BK445" i="1"/>
  <c r="BM445" i="1"/>
  <c r="BR444" i="1" a="1"/>
  <c r="BR444" i="1"/>
  <c r="N444" i="1"/>
  <c r="Z444" i="1"/>
  <c r="AL444" i="1"/>
  <c r="AX444" i="1"/>
  <c r="BK444" i="1"/>
  <c r="BM444" i="1"/>
  <c r="BR443" i="1" a="1"/>
  <c r="BR443" i="1"/>
  <c r="N443" i="1"/>
  <c r="Z443" i="1"/>
  <c r="AL443" i="1"/>
  <c r="AX443" i="1"/>
  <c r="BK443" i="1"/>
  <c r="BM443" i="1"/>
  <c r="BR442" i="1" a="1"/>
  <c r="BR442" i="1"/>
  <c r="N442" i="1"/>
  <c r="Z442" i="1"/>
  <c r="AL442" i="1"/>
  <c r="AX442" i="1"/>
  <c r="BK442" i="1"/>
  <c r="BM442" i="1"/>
  <c r="BR441" i="1" a="1"/>
  <c r="BR441" i="1"/>
  <c r="N441" i="1"/>
  <c r="Z441" i="1"/>
  <c r="AL441" i="1"/>
  <c r="AX441" i="1"/>
  <c r="BK441" i="1"/>
  <c r="BM441" i="1"/>
  <c r="BR440" i="1" a="1"/>
  <c r="BR440" i="1"/>
  <c r="N440" i="1"/>
  <c r="Z440" i="1"/>
  <c r="AL440" i="1"/>
  <c r="AX440" i="1"/>
  <c r="BK440" i="1"/>
  <c r="BM440" i="1"/>
  <c r="BR439" i="1" a="1"/>
  <c r="BR439" i="1"/>
  <c r="N439" i="1"/>
  <c r="Z439" i="1"/>
  <c r="AL439" i="1"/>
  <c r="AX439" i="1"/>
  <c r="BK439" i="1"/>
  <c r="BM439" i="1"/>
  <c r="BR438" i="1" a="1"/>
  <c r="BR438" i="1"/>
  <c r="N438" i="1"/>
  <c r="Z438" i="1"/>
  <c r="AL438" i="1"/>
  <c r="AX438" i="1"/>
  <c r="BK438" i="1"/>
  <c r="BM438" i="1"/>
  <c r="BR437" i="1" a="1"/>
  <c r="BR437" i="1"/>
  <c r="N437" i="1"/>
  <c r="Z437" i="1"/>
  <c r="AL437" i="1"/>
  <c r="AX437" i="1"/>
  <c r="BK437" i="1"/>
  <c r="BM437" i="1"/>
  <c r="BR436" i="1" a="1"/>
  <c r="BR436" i="1"/>
  <c r="N436" i="1"/>
  <c r="Z436" i="1"/>
  <c r="AL436" i="1"/>
  <c r="AX436" i="1"/>
  <c r="BK436" i="1"/>
  <c r="BM436" i="1"/>
  <c r="BR435" i="1" a="1"/>
  <c r="BR435" i="1"/>
  <c r="N435" i="1"/>
  <c r="Z435" i="1"/>
  <c r="AL435" i="1"/>
  <c r="AX435" i="1"/>
  <c r="BK435" i="1"/>
  <c r="BM435" i="1"/>
  <c r="BR434" i="1" a="1"/>
  <c r="BR434" i="1"/>
  <c r="N434" i="1"/>
  <c r="Z434" i="1"/>
  <c r="AL434" i="1"/>
  <c r="AX434" i="1"/>
  <c r="BK434" i="1"/>
  <c r="BM434" i="1"/>
  <c r="BR433" i="1" a="1"/>
  <c r="BR433" i="1"/>
  <c r="N433" i="1"/>
  <c r="Z433" i="1"/>
  <c r="AL433" i="1"/>
  <c r="AX433" i="1"/>
  <c r="BK433" i="1"/>
  <c r="BM433" i="1"/>
  <c r="BR432" i="1" a="1"/>
  <c r="BR432" i="1"/>
  <c r="N432" i="1"/>
  <c r="AL432" i="1"/>
  <c r="AX432" i="1"/>
  <c r="BK432" i="1"/>
  <c r="BM432" i="1"/>
  <c r="BR431" i="1" a="1"/>
  <c r="BR431" i="1"/>
  <c r="N431" i="1"/>
  <c r="Z431" i="1"/>
  <c r="AL431" i="1"/>
  <c r="AX431" i="1"/>
  <c r="BK431" i="1"/>
  <c r="BM431" i="1"/>
  <c r="BR430" i="1" a="1"/>
  <c r="BR430" i="1"/>
  <c r="Z430" i="1"/>
  <c r="N430" i="1"/>
  <c r="AL430" i="1"/>
  <c r="AX430" i="1"/>
  <c r="BK430" i="1"/>
  <c r="BM430" i="1"/>
  <c r="BR429" i="1" a="1"/>
  <c r="BR429" i="1"/>
  <c r="AL429" i="1"/>
  <c r="AX429" i="1"/>
  <c r="BK429" i="1"/>
  <c r="BM429" i="1"/>
  <c r="BR428" i="1" a="1"/>
  <c r="BR428" i="1"/>
  <c r="Z428" i="1"/>
  <c r="AL428" i="1"/>
  <c r="AX428" i="1"/>
  <c r="BK428" i="1"/>
  <c r="BM428" i="1"/>
  <c r="BR427" i="1" a="1"/>
  <c r="BR427" i="1"/>
  <c r="Z427" i="1"/>
  <c r="N427" i="1"/>
  <c r="AL427" i="1"/>
  <c r="AX427" i="1"/>
  <c r="BK427" i="1"/>
  <c r="BM427" i="1"/>
  <c r="BR426" i="1" a="1"/>
  <c r="BR426" i="1"/>
  <c r="N426" i="1"/>
  <c r="Z426" i="1"/>
  <c r="AL426" i="1"/>
  <c r="AX426" i="1"/>
  <c r="BK426" i="1"/>
  <c r="BM426" i="1"/>
  <c r="BR425" i="1" a="1"/>
  <c r="BR425" i="1"/>
  <c r="N425" i="1"/>
  <c r="Z425" i="1"/>
  <c r="AL425" i="1"/>
  <c r="AX425" i="1"/>
  <c r="BK425" i="1"/>
  <c r="BM425" i="1"/>
  <c r="BR424" i="1" a="1"/>
  <c r="BR424" i="1"/>
  <c r="N424" i="1"/>
  <c r="Z424" i="1"/>
  <c r="AL424" i="1"/>
  <c r="AX424" i="1"/>
  <c r="BK424" i="1"/>
  <c r="BM424" i="1"/>
  <c r="BR423" i="1" a="1"/>
  <c r="BR423" i="1"/>
  <c r="N423" i="1"/>
  <c r="Z423" i="1"/>
  <c r="AL423" i="1"/>
  <c r="AX423" i="1"/>
  <c r="BK423" i="1"/>
  <c r="BM423" i="1"/>
  <c r="BR422" i="1" a="1"/>
  <c r="BR422" i="1"/>
  <c r="Z422" i="1"/>
  <c r="N422" i="1"/>
  <c r="AL422" i="1"/>
  <c r="AX422" i="1"/>
  <c r="BK422" i="1"/>
  <c r="BM422" i="1"/>
  <c r="BR421" i="1" a="1"/>
  <c r="BR421" i="1"/>
  <c r="Z421" i="1"/>
  <c r="N421" i="1"/>
  <c r="AL421" i="1"/>
  <c r="AX421" i="1"/>
  <c r="BK421" i="1"/>
  <c r="BM421" i="1"/>
  <c r="BR420" i="1" a="1"/>
  <c r="BR420" i="1"/>
  <c r="Z420" i="1"/>
  <c r="N420" i="1"/>
  <c r="AL420" i="1"/>
  <c r="AX420" i="1"/>
  <c r="BK420" i="1"/>
  <c r="BM420" i="1"/>
  <c r="BR419" i="1" a="1"/>
  <c r="BR419" i="1"/>
  <c r="N419" i="1"/>
  <c r="Z419" i="1"/>
  <c r="AL419" i="1"/>
  <c r="AX419" i="1"/>
  <c r="BK419" i="1"/>
  <c r="BM419" i="1"/>
  <c r="BR418" i="1" a="1"/>
  <c r="BR418" i="1"/>
  <c r="N418" i="1"/>
  <c r="Z418" i="1"/>
  <c r="AL418" i="1"/>
  <c r="AX418" i="1"/>
  <c r="BK418" i="1"/>
  <c r="BM418" i="1"/>
  <c r="BR417" i="1" a="1"/>
  <c r="BR417" i="1"/>
  <c r="N417" i="1"/>
  <c r="Z417" i="1"/>
  <c r="AL417" i="1"/>
  <c r="AX417" i="1"/>
  <c r="BK417" i="1"/>
  <c r="BM417" i="1"/>
  <c r="BR416" i="1" a="1"/>
  <c r="BR416" i="1"/>
  <c r="Z416" i="1"/>
  <c r="N416" i="1"/>
  <c r="AL416" i="1"/>
  <c r="AX416" i="1"/>
  <c r="BK416" i="1"/>
  <c r="BM416" i="1"/>
  <c r="BR415" i="1" a="1"/>
  <c r="BR415" i="1"/>
  <c r="N415" i="1"/>
  <c r="Z415" i="1"/>
  <c r="AL415" i="1"/>
  <c r="AX415" i="1"/>
  <c r="BK415" i="1"/>
  <c r="BM415" i="1"/>
  <c r="BR414" i="1" a="1"/>
  <c r="BR414" i="1"/>
  <c r="N414" i="1"/>
  <c r="Z414" i="1"/>
  <c r="AL414" i="1"/>
  <c r="AX414" i="1"/>
  <c r="BK414" i="1"/>
  <c r="BM414" i="1"/>
  <c r="BR413" i="1" a="1"/>
  <c r="BR413" i="1"/>
  <c r="N413" i="1"/>
  <c r="Z413" i="1"/>
  <c r="AL413" i="1"/>
  <c r="AX413" i="1"/>
  <c r="BK413" i="1"/>
  <c r="BM413" i="1"/>
  <c r="BR412" i="1" a="1"/>
  <c r="BR412" i="1"/>
  <c r="N412" i="1"/>
  <c r="Z412" i="1"/>
  <c r="AL412" i="1"/>
  <c r="AX412" i="1"/>
  <c r="BK412" i="1"/>
  <c r="BM412" i="1"/>
  <c r="BR411" i="1" a="1"/>
  <c r="BR411" i="1"/>
  <c r="N411" i="1"/>
  <c r="Z411" i="1"/>
  <c r="AL411" i="1"/>
  <c r="AX411" i="1"/>
  <c r="BK411" i="1"/>
  <c r="BM411" i="1"/>
  <c r="BR410" i="1" a="1"/>
  <c r="BR410" i="1"/>
  <c r="N410" i="1"/>
  <c r="Z410" i="1"/>
  <c r="AL410" i="1"/>
  <c r="AX410" i="1"/>
  <c r="BK410" i="1"/>
  <c r="BM410" i="1"/>
  <c r="BR409" i="1" a="1"/>
  <c r="BR409" i="1"/>
  <c r="N409" i="1"/>
  <c r="Z409" i="1"/>
  <c r="AL409" i="1"/>
  <c r="AX409" i="1"/>
  <c r="BK409" i="1"/>
  <c r="BM409" i="1"/>
  <c r="BR408" i="1" a="1"/>
  <c r="BR408" i="1"/>
  <c r="Z408" i="1"/>
  <c r="N408" i="1"/>
  <c r="AL408" i="1"/>
  <c r="AX408" i="1"/>
  <c r="BK408" i="1"/>
  <c r="BM408" i="1"/>
  <c r="BR407" i="1" a="1"/>
  <c r="BR407" i="1"/>
  <c r="N407" i="1"/>
  <c r="Z407" i="1"/>
  <c r="AL407" i="1"/>
  <c r="AX407" i="1"/>
  <c r="BK407" i="1"/>
  <c r="BM407" i="1"/>
  <c r="BR406" i="1" a="1"/>
  <c r="BR406" i="1"/>
  <c r="Z406" i="1"/>
  <c r="N406" i="1"/>
  <c r="AL406" i="1"/>
  <c r="AX406" i="1"/>
  <c r="BK406" i="1"/>
  <c r="BM406" i="1"/>
  <c r="BR405" i="1" a="1"/>
  <c r="BR405" i="1"/>
  <c r="N405" i="1"/>
  <c r="Z405" i="1"/>
  <c r="AL405" i="1"/>
  <c r="AX405" i="1"/>
  <c r="BK405" i="1"/>
  <c r="BM405" i="1"/>
  <c r="BR404" i="1" a="1"/>
  <c r="BR404" i="1"/>
  <c r="N404" i="1"/>
  <c r="Z404" i="1"/>
  <c r="AL404" i="1"/>
  <c r="AX404" i="1"/>
  <c r="BK404" i="1"/>
  <c r="BM404" i="1"/>
  <c r="BR403" i="1" a="1"/>
  <c r="BR403" i="1"/>
  <c r="N403" i="1"/>
  <c r="Z403" i="1"/>
  <c r="AL403" i="1"/>
  <c r="AX403" i="1"/>
  <c r="BK403" i="1"/>
  <c r="BM403" i="1"/>
  <c r="BR402" i="1" a="1"/>
  <c r="BR402" i="1"/>
  <c r="N402" i="1"/>
  <c r="Z402" i="1"/>
  <c r="AL402" i="1"/>
  <c r="AX402" i="1"/>
  <c r="BK402" i="1"/>
  <c r="BM402" i="1"/>
  <c r="BR401" i="1" a="1"/>
  <c r="BR401" i="1"/>
  <c r="N401" i="1"/>
  <c r="Z401" i="1"/>
  <c r="AL401" i="1"/>
  <c r="AX401" i="1"/>
  <c r="BK401" i="1"/>
  <c r="BM401" i="1"/>
  <c r="BR400" i="1" a="1"/>
  <c r="BR400" i="1"/>
  <c r="N400" i="1"/>
  <c r="Z400" i="1"/>
  <c r="AL400" i="1"/>
  <c r="AX400" i="1"/>
  <c r="BK400" i="1"/>
  <c r="BM400" i="1"/>
  <c r="BR399" i="1" a="1"/>
  <c r="BR399" i="1"/>
  <c r="Z399" i="1"/>
  <c r="N399" i="1"/>
  <c r="AL399" i="1"/>
  <c r="AX399" i="1"/>
  <c r="BK399" i="1"/>
  <c r="BM399" i="1"/>
  <c r="BR398" i="1" a="1"/>
  <c r="BR398" i="1"/>
  <c r="N398" i="1"/>
  <c r="Z398" i="1"/>
  <c r="AL398" i="1"/>
  <c r="AX398" i="1"/>
  <c r="BK398" i="1"/>
  <c r="BM398" i="1"/>
  <c r="BR397" i="1" a="1"/>
  <c r="BR397" i="1"/>
  <c r="N397" i="1"/>
  <c r="Z397" i="1"/>
  <c r="AL397" i="1"/>
  <c r="AX397" i="1"/>
  <c r="BK397" i="1"/>
  <c r="BM397" i="1"/>
  <c r="BR396" i="1" a="1"/>
  <c r="BR396" i="1"/>
  <c r="Z396" i="1"/>
  <c r="AL396" i="1"/>
  <c r="AX396" i="1"/>
  <c r="BK396" i="1"/>
  <c r="BM396" i="1"/>
  <c r="BR395" i="1" a="1"/>
  <c r="BR395" i="1"/>
  <c r="N395" i="1"/>
  <c r="Z395" i="1"/>
  <c r="AL395" i="1"/>
  <c r="AX395" i="1"/>
  <c r="BK395" i="1"/>
  <c r="BM395" i="1"/>
  <c r="BR394" i="1" a="1"/>
  <c r="BR394" i="1"/>
  <c r="N394" i="1"/>
  <c r="Z394" i="1"/>
  <c r="AL394" i="1"/>
  <c r="AX394" i="1"/>
  <c r="BK394" i="1"/>
  <c r="BM394" i="1"/>
  <c r="BR393" i="1" a="1"/>
  <c r="BR393" i="1"/>
  <c r="N393" i="1"/>
  <c r="Z393" i="1"/>
  <c r="AL393" i="1"/>
  <c r="AX393" i="1"/>
  <c r="BK393" i="1"/>
  <c r="BM393" i="1"/>
  <c r="BR392" i="1" a="1"/>
  <c r="BR392" i="1"/>
  <c r="N392" i="1"/>
  <c r="Z392" i="1"/>
  <c r="AL392" i="1"/>
  <c r="AX392" i="1"/>
  <c r="BK392" i="1"/>
  <c r="BM392" i="1"/>
  <c r="BR391" i="1" a="1"/>
  <c r="BR391" i="1"/>
  <c r="N391" i="1"/>
  <c r="Z391" i="1"/>
  <c r="AL391" i="1"/>
  <c r="AX391" i="1"/>
  <c r="BK391" i="1"/>
  <c r="BM391" i="1"/>
  <c r="BR390" i="1" a="1"/>
  <c r="BR390" i="1"/>
  <c r="N390" i="1"/>
  <c r="Z390" i="1"/>
  <c r="AL390" i="1"/>
  <c r="AX390" i="1"/>
  <c r="BK390" i="1"/>
  <c r="BM390" i="1"/>
  <c r="BS389" i="1"/>
  <c r="BR389" i="1" a="1"/>
  <c r="BR389" i="1"/>
  <c r="N389" i="1"/>
  <c r="Z389" i="1"/>
  <c r="AL389" i="1"/>
  <c r="AX389" i="1"/>
  <c r="BK389" i="1"/>
  <c r="BM389" i="1"/>
  <c r="BR387" i="1" a="1"/>
  <c r="BR387" i="1"/>
  <c r="N387" i="1"/>
  <c r="Z387" i="1"/>
  <c r="AL387" i="1"/>
  <c r="AX387" i="1"/>
  <c r="BK387" i="1"/>
  <c r="BM387" i="1"/>
  <c r="BR386" i="1" a="1"/>
  <c r="BR386" i="1"/>
  <c r="N386" i="1"/>
  <c r="Z386" i="1"/>
  <c r="AL386" i="1"/>
  <c r="AX386" i="1"/>
  <c r="BK386" i="1"/>
  <c r="BM386" i="1"/>
  <c r="BR385" i="1" a="1"/>
  <c r="BR385" i="1"/>
  <c r="N385" i="1"/>
  <c r="Z385" i="1"/>
  <c r="AL385" i="1"/>
  <c r="AX385" i="1"/>
  <c r="BK385" i="1"/>
  <c r="BM385" i="1"/>
  <c r="BR384" i="1" a="1"/>
  <c r="BR384" i="1"/>
  <c r="N384" i="1"/>
  <c r="Z384" i="1"/>
  <c r="AL384" i="1"/>
  <c r="AX384" i="1"/>
  <c r="BK384" i="1"/>
  <c r="BM384" i="1"/>
  <c r="BR383" i="1" a="1"/>
  <c r="BR383" i="1"/>
  <c r="N383" i="1"/>
  <c r="Z383" i="1"/>
  <c r="AL383" i="1"/>
  <c r="AX383" i="1"/>
  <c r="BK383" i="1"/>
  <c r="BM383" i="1"/>
  <c r="BR382" i="1" a="1"/>
  <c r="BR382" i="1"/>
  <c r="N382" i="1"/>
  <c r="Z382" i="1"/>
  <c r="AL382" i="1"/>
  <c r="AX382" i="1"/>
  <c r="BK382" i="1"/>
  <c r="BM382" i="1"/>
  <c r="BR379" i="1" a="1"/>
  <c r="BR379" i="1"/>
  <c r="N379" i="1"/>
  <c r="Z379" i="1"/>
  <c r="AL379" i="1"/>
  <c r="AX379" i="1"/>
  <c r="BK379" i="1"/>
  <c r="BM379" i="1"/>
  <c r="BR378" i="1" a="1"/>
  <c r="BR378" i="1"/>
  <c r="N378" i="1"/>
  <c r="Z378" i="1"/>
  <c r="AL378" i="1"/>
  <c r="AX378" i="1"/>
  <c r="BK378" i="1"/>
  <c r="BM378" i="1"/>
  <c r="BR377" i="1" a="1"/>
  <c r="BR377" i="1"/>
  <c r="N377" i="1"/>
  <c r="Z377" i="1"/>
  <c r="AL377" i="1"/>
  <c r="AX377" i="1"/>
  <c r="BK377" i="1"/>
  <c r="BM377" i="1"/>
  <c r="BR376" i="1" a="1"/>
  <c r="BR376" i="1"/>
  <c r="N376" i="1"/>
  <c r="Z376" i="1"/>
  <c r="AL376" i="1"/>
  <c r="AX376" i="1"/>
  <c r="BK376" i="1"/>
  <c r="BM376" i="1"/>
  <c r="BR372" i="1" a="1"/>
  <c r="BR372" i="1"/>
  <c r="N372" i="1"/>
  <c r="Z372" i="1"/>
  <c r="AL372" i="1"/>
  <c r="AX372" i="1"/>
  <c r="BK372" i="1"/>
  <c r="BM372" i="1"/>
  <c r="BR371" i="1" a="1"/>
  <c r="BR371" i="1"/>
  <c r="N371" i="1"/>
  <c r="Z371" i="1"/>
  <c r="AL371" i="1"/>
  <c r="AX371" i="1"/>
  <c r="BK371" i="1"/>
  <c r="BM371" i="1"/>
  <c r="BR370" i="1" a="1"/>
  <c r="BR370" i="1"/>
  <c r="N370" i="1"/>
  <c r="Z370" i="1"/>
  <c r="AL370" i="1"/>
  <c r="AX370" i="1"/>
  <c r="BK370" i="1"/>
  <c r="BM370" i="1"/>
  <c r="BR369" i="1" a="1"/>
  <c r="BR369" i="1"/>
  <c r="N369" i="1"/>
  <c r="Z369" i="1"/>
  <c r="AL369" i="1"/>
  <c r="AX369" i="1"/>
  <c r="BK369" i="1"/>
  <c r="BM369" i="1"/>
  <c r="BR365" i="1" a="1"/>
  <c r="BR365" i="1"/>
  <c r="N365" i="1"/>
  <c r="Z365" i="1"/>
  <c r="AL365" i="1"/>
  <c r="AX365" i="1"/>
  <c r="BK365" i="1"/>
  <c r="BM365" i="1"/>
  <c r="BR364" i="1" a="1"/>
  <c r="BR364" i="1"/>
  <c r="N364" i="1"/>
  <c r="Z364" i="1"/>
  <c r="AL364" i="1"/>
  <c r="AX364" i="1"/>
  <c r="BK364" i="1"/>
  <c r="BM364" i="1"/>
  <c r="BR362" i="1" a="1"/>
  <c r="BR362" i="1"/>
  <c r="N362" i="1"/>
  <c r="Z362" i="1"/>
  <c r="AL362" i="1"/>
  <c r="AX362" i="1"/>
  <c r="BK362" i="1"/>
  <c r="BM362" i="1"/>
  <c r="BR361" i="1" a="1"/>
  <c r="BR361" i="1"/>
  <c r="N361" i="1"/>
  <c r="Z361" i="1"/>
  <c r="AL361" i="1"/>
  <c r="AX361" i="1"/>
  <c r="BK361" i="1"/>
  <c r="BM361" i="1"/>
  <c r="BR360" i="1" a="1"/>
  <c r="BR360" i="1"/>
  <c r="N360" i="1"/>
  <c r="Z360" i="1"/>
  <c r="AL360" i="1"/>
  <c r="AX360" i="1"/>
  <c r="BK360" i="1"/>
  <c r="BM360" i="1"/>
  <c r="BR359" i="1" a="1"/>
  <c r="BR359" i="1"/>
  <c r="N359" i="1"/>
  <c r="Z359" i="1"/>
  <c r="AL359" i="1"/>
  <c r="AX359" i="1"/>
  <c r="BK359" i="1"/>
  <c r="BM359" i="1"/>
  <c r="BR358" i="1" a="1"/>
  <c r="BR358" i="1"/>
  <c r="N358" i="1"/>
  <c r="Z358" i="1"/>
  <c r="AL358" i="1"/>
  <c r="AX358" i="1"/>
  <c r="BK358" i="1"/>
  <c r="BM358" i="1"/>
  <c r="BR357" i="1" a="1"/>
  <c r="BR357" i="1"/>
  <c r="N357" i="1"/>
  <c r="Z357" i="1"/>
  <c r="AL357" i="1"/>
  <c r="AX357" i="1"/>
  <c r="BK357" i="1"/>
  <c r="BM357" i="1"/>
  <c r="BR356" i="1" a="1"/>
  <c r="BR356" i="1"/>
  <c r="N356" i="1"/>
  <c r="Z356" i="1"/>
  <c r="AL356" i="1"/>
  <c r="AX356" i="1"/>
  <c r="BK356" i="1"/>
  <c r="BM356" i="1"/>
  <c r="BR355" i="1" a="1"/>
  <c r="BR355" i="1"/>
  <c r="N355" i="1"/>
  <c r="Z355" i="1"/>
  <c r="AL355" i="1"/>
  <c r="AX355" i="1"/>
  <c r="BK355" i="1"/>
  <c r="BM355" i="1"/>
  <c r="BR354" i="1" a="1"/>
  <c r="BR354" i="1"/>
  <c r="N354" i="1"/>
  <c r="Z354" i="1"/>
  <c r="AL354" i="1"/>
  <c r="AX354" i="1"/>
  <c r="BK354" i="1"/>
  <c r="BM354" i="1"/>
  <c r="BR353" i="1" a="1"/>
  <c r="BR353" i="1"/>
  <c r="N353" i="1"/>
  <c r="Z353" i="1"/>
  <c r="AL353" i="1"/>
  <c r="AX353" i="1"/>
  <c r="BK353" i="1"/>
  <c r="BM353" i="1"/>
  <c r="BR352" i="1" a="1"/>
  <c r="BR352" i="1"/>
  <c r="N352" i="1"/>
  <c r="Z352" i="1"/>
  <c r="AL352" i="1"/>
  <c r="AX352" i="1"/>
  <c r="BK352" i="1"/>
  <c r="BM352" i="1"/>
  <c r="BR351" i="1" a="1"/>
  <c r="BR351" i="1"/>
  <c r="N351" i="1"/>
  <c r="Z351" i="1"/>
  <c r="AL351" i="1"/>
  <c r="AX351" i="1"/>
  <c r="BK351" i="1"/>
  <c r="BM351" i="1"/>
  <c r="BR350" i="1" a="1"/>
  <c r="BR350" i="1"/>
  <c r="N350" i="1"/>
  <c r="Z350" i="1"/>
  <c r="AL350" i="1"/>
  <c r="AX350" i="1"/>
  <c r="BK350" i="1"/>
  <c r="BM350" i="1"/>
  <c r="BR349" i="1" a="1"/>
  <c r="BR349" i="1"/>
  <c r="N349" i="1"/>
  <c r="Z349" i="1"/>
  <c r="AL349" i="1"/>
  <c r="AX349" i="1"/>
  <c r="BK349" i="1"/>
  <c r="BM349" i="1"/>
  <c r="BR348" i="1" a="1"/>
  <c r="BR348" i="1"/>
  <c r="N348" i="1"/>
  <c r="Z348" i="1"/>
  <c r="AL348" i="1"/>
  <c r="AX348" i="1"/>
  <c r="BK348" i="1"/>
  <c r="BM348" i="1"/>
  <c r="BR347" i="1" a="1"/>
  <c r="BR347" i="1"/>
  <c r="N347" i="1"/>
  <c r="Z347" i="1"/>
  <c r="AL347" i="1"/>
  <c r="AX347" i="1"/>
  <c r="BK347" i="1"/>
  <c r="BM347" i="1"/>
  <c r="BR346" i="1" a="1"/>
  <c r="BR346" i="1"/>
  <c r="N346" i="1"/>
  <c r="Z346" i="1"/>
  <c r="AL346" i="1"/>
  <c r="AX346" i="1"/>
  <c r="BK346" i="1"/>
  <c r="BM346" i="1"/>
  <c r="BR345" i="1" a="1"/>
  <c r="BR345" i="1"/>
  <c r="N345" i="1"/>
  <c r="Z345" i="1"/>
  <c r="AL345" i="1"/>
  <c r="AX345" i="1"/>
  <c r="BK345" i="1"/>
  <c r="BM345" i="1"/>
  <c r="BR344" i="1" a="1"/>
  <c r="BR344" i="1"/>
  <c r="N344" i="1"/>
  <c r="Z344" i="1"/>
  <c r="AL344" i="1"/>
  <c r="AX344" i="1"/>
  <c r="BK344" i="1"/>
  <c r="BM344" i="1"/>
  <c r="BR343" i="1" a="1"/>
  <c r="BR343" i="1"/>
  <c r="N343" i="1"/>
  <c r="Z343" i="1"/>
  <c r="AL343" i="1"/>
  <c r="AX343" i="1"/>
  <c r="BK343" i="1"/>
  <c r="BM343" i="1"/>
  <c r="BR342" i="1" a="1"/>
  <c r="BR342" i="1"/>
  <c r="N342" i="1"/>
  <c r="Z342" i="1"/>
  <c r="AL342" i="1"/>
  <c r="AX342" i="1"/>
  <c r="BK342" i="1"/>
  <c r="BM342" i="1"/>
  <c r="BR340" i="1" a="1"/>
  <c r="BR340" i="1"/>
  <c r="Z340" i="1"/>
  <c r="N340" i="1"/>
  <c r="AL340" i="1"/>
  <c r="AX340" i="1"/>
  <c r="BK340" i="1"/>
  <c r="BM340" i="1"/>
  <c r="BR339" i="1" a="1"/>
  <c r="BR339" i="1"/>
  <c r="N339" i="1"/>
  <c r="Z339" i="1"/>
  <c r="AL339" i="1"/>
  <c r="AX339" i="1"/>
  <c r="BK339" i="1"/>
  <c r="BM339" i="1"/>
  <c r="BR338" i="1" a="1"/>
  <c r="BR338" i="1"/>
  <c r="Z338" i="1"/>
  <c r="N338" i="1"/>
  <c r="AL338" i="1"/>
  <c r="AX338" i="1"/>
  <c r="BK338" i="1"/>
  <c r="BM338" i="1"/>
  <c r="BR337" i="1" a="1"/>
  <c r="BR337" i="1"/>
  <c r="N337" i="1"/>
  <c r="Z337" i="1"/>
  <c r="AL337" i="1"/>
  <c r="AX337" i="1"/>
  <c r="BK337" i="1"/>
  <c r="BM337" i="1"/>
  <c r="BR336" i="1" a="1"/>
  <c r="BR336" i="1"/>
  <c r="N336" i="1"/>
  <c r="Z336" i="1"/>
  <c r="AL336" i="1"/>
  <c r="AX336" i="1"/>
  <c r="BK336" i="1"/>
  <c r="BM336" i="1"/>
  <c r="BR335" i="1" a="1"/>
  <c r="BR335" i="1"/>
  <c r="N335" i="1"/>
  <c r="Z335" i="1"/>
  <c r="AL335" i="1"/>
  <c r="AX335" i="1"/>
  <c r="BK335" i="1"/>
  <c r="BM335" i="1"/>
  <c r="BR334" i="1" a="1"/>
  <c r="BR334" i="1"/>
  <c r="N334" i="1"/>
  <c r="Z334" i="1"/>
  <c r="AL334" i="1"/>
  <c r="AX334" i="1"/>
  <c r="BK334" i="1"/>
  <c r="BM334" i="1"/>
  <c r="BR333" i="1" a="1"/>
  <c r="BR333" i="1"/>
  <c r="N333" i="1"/>
  <c r="Z333" i="1"/>
  <c r="AL333" i="1"/>
  <c r="AX333" i="1"/>
  <c r="BK333" i="1"/>
  <c r="BM333" i="1"/>
  <c r="BR332" i="1" a="1"/>
  <c r="BR332" i="1"/>
  <c r="N332" i="1"/>
  <c r="Z332" i="1"/>
  <c r="AL332" i="1"/>
  <c r="AX332" i="1"/>
  <c r="BK332" i="1"/>
  <c r="BM332" i="1"/>
  <c r="BR331" i="1" a="1"/>
  <c r="BR331" i="1"/>
  <c r="N331" i="1"/>
  <c r="Z331" i="1"/>
  <c r="AL331" i="1"/>
  <c r="AX331" i="1"/>
  <c r="BK331" i="1"/>
  <c r="BM331" i="1"/>
  <c r="BR330" i="1" a="1"/>
  <c r="BR330" i="1"/>
  <c r="N330" i="1"/>
  <c r="Z330" i="1"/>
  <c r="AL330" i="1"/>
  <c r="AX330" i="1"/>
  <c r="BK330" i="1"/>
  <c r="BM330" i="1"/>
  <c r="BR329" i="1" a="1"/>
  <c r="BR329" i="1"/>
  <c r="N329" i="1"/>
  <c r="Z329" i="1"/>
  <c r="AL329" i="1"/>
  <c r="AX329" i="1"/>
  <c r="BK329" i="1"/>
  <c r="BM329" i="1"/>
  <c r="BR328" i="1" a="1"/>
  <c r="BR328" i="1"/>
  <c r="N328" i="1"/>
  <c r="Z328" i="1"/>
  <c r="AL328" i="1"/>
  <c r="AX328" i="1"/>
  <c r="BK328" i="1"/>
  <c r="BM328" i="1"/>
  <c r="BR326" i="1" a="1"/>
  <c r="BR326" i="1"/>
  <c r="N326" i="1"/>
  <c r="Z326" i="1"/>
  <c r="AL326" i="1"/>
  <c r="AX326" i="1"/>
  <c r="BK326" i="1"/>
  <c r="BM326" i="1"/>
  <c r="BR325" i="1" a="1"/>
  <c r="BR325" i="1"/>
  <c r="N325" i="1"/>
  <c r="Z325" i="1"/>
  <c r="AL325" i="1"/>
  <c r="AX325" i="1"/>
  <c r="BK325" i="1"/>
  <c r="BM325" i="1"/>
  <c r="BR324" i="1" a="1"/>
  <c r="BR324" i="1"/>
  <c r="N324" i="1"/>
  <c r="Z324" i="1"/>
  <c r="AL324" i="1"/>
  <c r="AX324" i="1"/>
  <c r="BK324" i="1"/>
  <c r="BM324" i="1"/>
  <c r="BR323" i="1" a="1"/>
  <c r="BR323" i="1"/>
  <c r="N323" i="1"/>
  <c r="Z323" i="1"/>
  <c r="AL323" i="1"/>
  <c r="AX323" i="1"/>
  <c r="BK323" i="1"/>
  <c r="BM323" i="1"/>
  <c r="BR322" i="1" a="1"/>
  <c r="BR322" i="1"/>
  <c r="N322" i="1"/>
  <c r="Z322" i="1"/>
  <c r="AL322" i="1"/>
  <c r="AX322" i="1"/>
  <c r="BK322" i="1"/>
  <c r="BM322" i="1"/>
  <c r="BR321" i="1" a="1"/>
  <c r="BR321" i="1"/>
  <c r="N321" i="1"/>
  <c r="Z321" i="1"/>
  <c r="AL321" i="1"/>
  <c r="AX321" i="1"/>
  <c r="BK321" i="1"/>
  <c r="BM321" i="1"/>
  <c r="BR320" i="1" a="1"/>
  <c r="BR320" i="1"/>
  <c r="N320" i="1"/>
  <c r="Z320" i="1"/>
  <c r="AL320" i="1"/>
  <c r="AX320" i="1"/>
  <c r="BK320" i="1"/>
  <c r="BM320" i="1"/>
  <c r="BR319" i="1" a="1"/>
  <c r="BR319" i="1"/>
  <c r="N319" i="1"/>
  <c r="Z319" i="1"/>
  <c r="AL319" i="1"/>
  <c r="AX319" i="1"/>
  <c r="BK319" i="1"/>
  <c r="BM319" i="1"/>
  <c r="BR318" i="1" a="1"/>
  <c r="BR318" i="1"/>
  <c r="N318" i="1"/>
  <c r="Z318" i="1"/>
  <c r="AL318" i="1"/>
  <c r="AX318" i="1"/>
  <c r="BK318" i="1"/>
  <c r="BM318" i="1"/>
  <c r="BR317" i="1" a="1"/>
  <c r="BR317" i="1"/>
  <c r="N317" i="1"/>
  <c r="Z317" i="1"/>
  <c r="AL317" i="1"/>
  <c r="AX317" i="1"/>
  <c r="BK317" i="1"/>
  <c r="BM317" i="1"/>
  <c r="BR316" i="1" a="1"/>
  <c r="BR316" i="1"/>
  <c r="N316" i="1"/>
  <c r="Z316" i="1"/>
  <c r="AL316" i="1"/>
  <c r="AX316" i="1"/>
  <c r="BK316" i="1"/>
  <c r="BM316" i="1"/>
  <c r="BR315" i="1" a="1"/>
  <c r="BR315" i="1"/>
  <c r="Z315" i="1"/>
  <c r="N315" i="1"/>
  <c r="AL315" i="1"/>
  <c r="AX315" i="1"/>
  <c r="BK315" i="1"/>
  <c r="BM315" i="1"/>
  <c r="BR313" i="1" a="1"/>
  <c r="BR313" i="1"/>
  <c r="N313" i="1"/>
  <c r="Z313" i="1"/>
  <c r="AL313" i="1"/>
  <c r="AX313" i="1"/>
  <c r="BK313" i="1"/>
  <c r="BM313" i="1"/>
  <c r="BR311" i="1" a="1"/>
  <c r="BR311" i="1"/>
  <c r="N311" i="1"/>
  <c r="Z311" i="1"/>
  <c r="AL311" i="1"/>
  <c r="AX311" i="1"/>
  <c r="BK311" i="1"/>
  <c r="BM311" i="1"/>
  <c r="BR309" i="1" a="1"/>
  <c r="BR309" i="1"/>
  <c r="N309" i="1"/>
  <c r="Z309" i="1"/>
  <c r="AL309" i="1"/>
  <c r="AX309" i="1"/>
  <c r="BK309" i="1"/>
  <c r="BM309" i="1"/>
  <c r="BR308" i="1" a="1"/>
  <c r="BR308" i="1"/>
  <c r="N308" i="1"/>
  <c r="Z308" i="1"/>
  <c r="AL308" i="1"/>
  <c r="AX308" i="1"/>
  <c r="BK308" i="1"/>
  <c r="BM308" i="1"/>
  <c r="BR307" i="1" a="1"/>
  <c r="BR307" i="1"/>
  <c r="N307" i="1"/>
  <c r="Z307" i="1"/>
  <c r="AL307" i="1"/>
  <c r="AX307" i="1"/>
  <c r="BK307" i="1"/>
  <c r="BM307" i="1"/>
  <c r="BR306" i="1" a="1"/>
  <c r="BR306" i="1"/>
  <c r="N306" i="1"/>
  <c r="Z306" i="1"/>
  <c r="AL306" i="1"/>
  <c r="AX306" i="1"/>
  <c r="BK306" i="1"/>
  <c r="BM306" i="1"/>
  <c r="BR304" i="1" a="1"/>
  <c r="BR304" i="1"/>
  <c r="N304" i="1"/>
  <c r="Z304" i="1"/>
  <c r="AL304" i="1"/>
  <c r="AX304" i="1"/>
  <c r="BK304" i="1"/>
  <c r="BM304" i="1"/>
  <c r="BR303" i="1" a="1"/>
  <c r="BR303" i="1"/>
  <c r="N303" i="1"/>
  <c r="Z303" i="1"/>
  <c r="AL303" i="1"/>
  <c r="AX303" i="1"/>
  <c r="BK303" i="1"/>
  <c r="BM303" i="1"/>
  <c r="BR302" i="1" a="1"/>
  <c r="BR302" i="1"/>
  <c r="N302" i="1"/>
  <c r="Z302" i="1"/>
  <c r="AL302" i="1"/>
  <c r="AX302" i="1"/>
  <c r="BK302" i="1"/>
  <c r="BM302" i="1"/>
  <c r="BR301" i="1" a="1"/>
  <c r="BR301" i="1"/>
  <c r="N301" i="1"/>
  <c r="Z301" i="1"/>
  <c r="AL301" i="1"/>
  <c r="AX301" i="1"/>
  <c r="BK301" i="1"/>
  <c r="BM301" i="1"/>
  <c r="BR299" i="1" a="1"/>
  <c r="BR299" i="1"/>
  <c r="N299" i="1"/>
  <c r="Z299" i="1"/>
  <c r="AL299" i="1"/>
  <c r="AX299" i="1"/>
  <c r="BK299" i="1"/>
  <c r="BM299" i="1"/>
  <c r="BR298" i="1" a="1"/>
  <c r="BR298" i="1"/>
  <c r="Z298" i="1"/>
  <c r="N298" i="1"/>
  <c r="AL298" i="1"/>
  <c r="AX298" i="1"/>
  <c r="BK298" i="1"/>
  <c r="BM298" i="1"/>
  <c r="BR297" i="1" a="1"/>
  <c r="BR297" i="1"/>
  <c r="N297" i="1"/>
  <c r="Z297" i="1"/>
  <c r="AL297" i="1"/>
  <c r="AX297" i="1"/>
  <c r="BK297" i="1"/>
  <c r="BM297" i="1"/>
  <c r="BS296" i="1"/>
  <c r="BR296" i="1" a="1"/>
  <c r="BR296" i="1"/>
  <c r="N296" i="1"/>
  <c r="Z296" i="1"/>
  <c r="AL296" i="1"/>
  <c r="AX296" i="1"/>
  <c r="BK296" i="1"/>
  <c r="BM296" i="1"/>
  <c r="BR293" i="1" a="1"/>
  <c r="BR293" i="1"/>
  <c r="N293" i="1"/>
  <c r="Z293" i="1"/>
  <c r="AL293" i="1"/>
  <c r="AX293" i="1"/>
  <c r="BK293" i="1"/>
  <c r="BM293" i="1"/>
  <c r="BR292" i="1" a="1"/>
  <c r="BR292" i="1"/>
  <c r="N292" i="1"/>
  <c r="Z292" i="1"/>
  <c r="AL292" i="1"/>
  <c r="AX292" i="1"/>
  <c r="BK292" i="1"/>
  <c r="BM292" i="1"/>
  <c r="BR291" i="1" a="1"/>
  <c r="BR291" i="1"/>
  <c r="N291" i="1"/>
  <c r="Z291" i="1"/>
  <c r="AL291" i="1"/>
  <c r="AX291" i="1"/>
  <c r="BK291" i="1"/>
  <c r="BM291" i="1"/>
  <c r="BR290" i="1" a="1"/>
  <c r="BR290" i="1"/>
  <c r="N290" i="1"/>
  <c r="Z290" i="1"/>
  <c r="AL290" i="1"/>
  <c r="AX290" i="1"/>
  <c r="BK290" i="1"/>
  <c r="BM290" i="1"/>
  <c r="BR289" i="1" a="1"/>
  <c r="BR289" i="1"/>
  <c r="N289" i="1"/>
  <c r="Z289" i="1"/>
  <c r="AL289" i="1"/>
  <c r="AX289" i="1"/>
  <c r="BK289" i="1"/>
  <c r="BM289" i="1"/>
  <c r="BR287" i="1" a="1"/>
  <c r="BR287" i="1"/>
  <c r="N287" i="1"/>
  <c r="Z287" i="1"/>
  <c r="AL287" i="1"/>
  <c r="AX287" i="1"/>
  <c r="BK287" i="1"/>
  <c r="BM287" i="1"/>
  <c r="BR286" i="1" a="1"/>
  <c r="BR286" i="1"/>
  <c r="N286" i="1"/>
  <c r="Z286" i="1"/>
  <c r="AL286" i="1"/>
  <c r="AX286" i="1"/>
  <c r="BK286" i="1"/>
  <c r="BM286" i="1"/>
  <c r="BR285" i="1" a="1"/>
  <c r="BR285" i="1"/>
  <c r="N285" i="1"/>
  <c r="Z285" i="1"/>
  <c r="AL285" i="1"/>
  <c r="AX285" i="1"/>
  <c r="BK285" i="1"/>
  <c r="BM285" i="1"/>
  <c r="BR282" i="1" a="1"/>
  <c r="BR282" i="1"/>
  <c r="N282" i="1"/>
  <c r="Z282" i="1"/>
  <c r="AL282" i="1"/>
  <c r="AX282" i="1"/>
  <c r="BK282" i="1"/>
  <c r="BM282" i="1"/>
  <c r="BR281" i="1" a="1"/>
  <c r="BR281" i="1"/>
  <c r="N281" i="1"/>
  <c r="Z281" i="1"/>
  <c r="AL281" i="1"/>
  <c r="AX281" i="1"/>
  <c r="BK281" i="1"/>
  <c r="BM281" i="1"/>
  <c r="BR280" i="1" a="1"/>
  <c r="BR280" i="1"/>
  <c r="N280" i="1"/>
  <c r="Z280" i="1"/>
  <c r="AL280" i="1"/>
  <c r="AX280" i="1"/>
  <c r="BK280" i="1"/>
  <c r="BM280" i="1"/>
  <c r="BR279" i="1" a="1"/>
  <c r="BR279" i="1"/>
  <c r="N279" i="1"/>
  <c r="Z279" i="1"/>
  <c r="AL279" i="1"/>
  <c r="AX279" i="1"/>
  <c r="BK279" i="1"/>
  <c r="BM279" i="1"/>
  <c r="BR278" i="1" a="1"/>
  <c r="BR278" i="1"/>
  <c r="N278" i="1"/>
  <c r="Z278" i="1"/>
  <c r="AL278" i="1"/>
  <c r="AX278" i="1"/>
  <c r="BK278" i="1"/>
  <c r="BM278" i="1"/>
  <c r="BR277" i="1" a="1"/>
  <c r="BR277" i="1"/>
  <c r="N277" i="1"/>
  <c r="Z277" i="1"/>
  <c r="AL277" i="1"/>
  <c r="AX277" i="1"/>
  <c r="BK277" i="1"/>
  <c r="BM277" i="1"/>
  <c r="BR276" i="1" a="1"/>
  <c r="BR276" i="1"/>
  <c r="N276" i="1"/>
  <c r="Z276" i="1"/>
  <c r="AL276" i="1"/>
  <c r="AX276" i="1"/>
  <c r="BK276" i="1"/>
  <c r="BM276" i="1"/>
  <c r="BR274" i="1" a="1"/>
  <c r="BR274" i="1"/>
  <c r="N274" i="1"/>
  <c r="Z274" i="1"/>
  <c r="AL274" i="1"/>
  <c r="AX274" i="1"/>
  <c r="BK274" i="1"/>
  <c r="BM274" i="1"/>
  <c r="BR273" i="1" a="1"/>
  <c r="BR273" i="1"/>
  <c r="N273" i="1"/>
  <c r="Z273" i="1"/>
  <c r="AL273" i="1"/>
  <c r="AX273" i="1"/>
  <c r="BK273" i="1"/>
  <c r="BM273" i="1"/>
  <c r="BR272" i="1" a="1"/>
  <c r="BR272" i="1"/>
  <c r="N272" i="1"/>
  <c r="Z272" i="1"/>
  <c r="AL272" i="1"/>
  <c r="AX272" i="1"/>
  <c r="BK272" i="1"/>
  <c r="BM272" i="1"/>
  <c r="BR271" i="1" a="1"/>
  <c r="BR271" i="1"/>
  <c r="N271" i="1"/>
  <c r="Z271" i="1"/>
  <c r="AL271" i="1"/>
  <c r="AX271" i="1"/>
  <c r="BK271" i="1"/>
  <c r="BM271" i="1"/>
  <c r="BR270" i="1" a="1"/>
  <c r="BR270" i="1"/>
  <c r="N270" i="1"/>
  <c r="Z270" i="1"/>
  <c r="AL270" i="1"/>
  <c r="AX270" i="1"/>
  <c r="BK270" i="1"/>
  <c r="BM270" i="1"/>
  <c r="BR269" i="1" a="1"/>
  <c r="BR269" i="1"/>
  <c r="N269" i="1"/>
  <c r="Z269" i="1"/>
  <c r="AL269" i="1"/>
  <c r="AX269" i="1"/>
  <c r="BK269" i="1"/>
  <c r="BM269" i="1"/>
  <c r="BR268" i="1" a="1"/>
  <c r="BR268" i="1"/>
  <c r="N268" i="1"/>
  <c r="Z268" i="1"/>
  <c r="AL268" i="1"/>
  <c r="AX268" i="1"/>
  <c r="BK268" i="1"/>
  <c r="BM268" i="1"/>
  <c r="BR267" i="1" a="1"/>
  <c r="BR267" i="1"/>
  <c r="N267" i="1"/>
  <c r="Z267" i="1"/>
  <c r="AL267" i="1"/>
  <c r="AX267" i="1"/>
  <c r="BK267" i="1"/>
  <c r="BM267" i="1"/>
  <c r="BR266" i="1" a="1"/>
  <c r="BR266" i="1"/>
  <c r="N266" i="1"/>
  <c r="Z266" i="1"/>
  <c r="AL266" i="1"/>
  <c r="AX266" i="1"/>
  <c r="BK266" i="1"/>
  <c r="BM266" i="1"/>
  <c r="BR265" i="1" a="1"/>
  <c r="BR265" i="1"/>
  <c r="N265" i="1"/>
  <c r="Z265" i="1"/>
  <c r="AL265" i="1"/>
  <c r="AX265" i="1"/>
  <c r="BK265" i="1"/>
  <c r="BM265" i="1"/>
  <c r="BR264" i="1" a="1"/>
  <c r="BR264" i="1"/>
  <c r="N264" i="1"/>
  <c r="Z264" i="1"/>
  <c r="AL264" i="1"/>
  <c r="AX264" i="1"/>
  <c r="BK264" i="1"/>
  <c r="BM264" i="1"/>
  <c r="BR263" i="1" a="1"/>
  <c r="BR263" i="1"/>
  <c r="N263" i="1"/>
  <c r="Z263" i="1"/>
  <c r="AL263" i="1"/>
  <c r="AX263" i="1"/>
  <c r="BK263" i="1"/>
  <c r="BM263" i="1"/>
  <c r="BR262" i="1" a="1"/>
  <c r="BR262" i="1"/>
  <c r="N262" i="1"/>
  <c r="Z262" i="1"/>
  <c r="AL262" i="1"/>
  <c r="AX262" i="1"/>
  <c r="BK262" i="1"/>
  <c r="BM262" i="1"/>
  <c r="BR261" i="1" a="1"/>
  <c r="BR261" i="1"/>
  <c r="N261" i="1"/>
  <c r="Z261" i="1"/>
  <c r="AL261" i="1"/>
  <c r="AX261" i="1"/>
  <c r="BK261" i="1"/>
  <c r="BM261" i="1"/>
  <c r="BR260" i="1" a="1"/>
  <c r="BR260" i="1"/>
  <c r="N260" i="1"/>
  <c r="Z260" i="1"/>
  <c r="AL260" i="1"/>
  <c r="AX260" i="1"/>
  <c r="BK260" i="1"/>
  <c r="BM260" i="1"/>
  <c r="BS259" i="1"/>
  <c r="BR259" i="1" a="1"/>
  <c r="BR259" i="1"/>
  <c r="N259" i="1"/>
  <c r="Z259" i="1"/>
  <c r="AL259" i="1"/>
  <c r="AX259" i="1"/>
  <c r="BK259" i="1"/>
  <c r="BM259" i="1"/>
  <c r="BR257" i="1" a="1"/>
  <c r="BR257" i="1"/>
  <c r="N257" i="1"/>
  <c r="Z257" i="1"/>
  <c r="AL257" i="1"/>
  <c r="AX257" i="1"/>
  <c r="BK257" i="1"/>
  <c r="BM257" i="1"/>
  <c r="BR256" i="1" a="1"/>
  <c r="BR256" i="1"/>
  <c r="N256" i="1"/>
  <c r="Z256" i="1"/>
  <c r="AL256" i="1"/>
  <c r="AX256" i="1"/>
  <c r="BK256" i="1"/>
  <c r="BM256" i="1"/>
  <c r="BR255" i="1" a="1"/>
  <c r="BR255" i="1"/>
  <c r="N255" i="1"/>
  <c r="Z255" i="1"/>
  <c r="AL255" i="1"/>
  <c r="AX255" i="1"/>
  <c r="BK255" i="1"/>
  <c r="BM255" i="1"/>
  <c r="BR254" i="1" a="1"/>
  <c r="BR254" i="1"/>
  <c r="N254" i="1"/>
  <c r="Z254" i="1"/>
  <c r="AL254" i="1"/>
  <c r="AX254" i="1"/>
  <c r="BK254" i="1"/>
  <c r="BM254" i="1"/>
  <c r="BR253" i="1" a="1"/>
  <c r="BR253" i="1"/>
  <c r="N253" i="1"/>
  <c r="Z253" i="1"/>
  <c r="AL253" i="1"/>
  <c r="AX253" i="1"/>
  <c r="BK253" i="1"/>
  <c r="BM253" i="1"/>
  <c r="BR252" i="1" a="1"/>
  <c r="BR252" i="1"/>
  <c r="N252" i="1"/>
  <c r="Z252" i="1"/>
  <c r="AL252" i="1"/>
  <c r="AX252" i="1"/>
  <c r="BK252" i="1"/>
  <c r="BM252" i="1"/>
  <c r="BR251" i="1" a="1"/>
  <c r="BR251" i="1"/>
  <c r="N251" i="1"/>
  <c r="Z251" i="1"/>
  <c r="AL251" i="1"/>
  <c r="AX251" i="1"/>
  <c r="BK251" i="1"/>
  <c r="BM251" i="1"/>
  <c r="BR250" i="1" a="1"/>
  <c r="BR250" i="1"/>
  <c r="N250" i="1"/>
  <c r="Z250" i="1"/>
  <c r="AL250" i="1"/>
  <c r="AX250" i="1"/>
  <c r="BK250" i="1"/>
  <c r="BM250" i="1"/>
  <c r="BR249" i="1" a="1"/>
  <c r="BR249" i="1"/>
  <c r="Z249" i="1"/>
  <c r="N249" i="1"/>
  <c r="AL249" i="1"/>
  <c r="AX249" i="1"/>
  <c r="BK249" i="1"/>
  <c r="BM249" i="1"/>
  <c r="BR248" i="1" a="1"/>
  <c r="BR248" i="1"/>
  <c r="N248" i="1"/>
  <c r="Z248" i="1"/>
  <c r="AL248" i="1"/>
  <c r="AX248" i="1"/>
  <c r="BK248" i="1"/>
  <c r="BM248" i="1"/>
  <c r="BR247" i="1" a="1"/>
  <c r="BR247" i="1"/>
  <c r="N247" i="1"/>
  <c r="Z247" i="1"/>
  <c r="AL247" i="1"/>
  <c r="AX247" i="1"/>
  <c r="BK247" i="1"/>
  <c r="BM247" i="1"/>
  <c r="BR246" i="1" a="1"/>
  <c r="BR246" i="1"/>
  <c r="N246" i="1"/>
  <c r="Z246" i="1"/>
  <c r="AL246" i="1"/>
  <c r="AX246" i="1"/>
  <c r="BK246" i="1"/>
  <c r="BM246" i="1"/>
  <c r="BR245" i="1" a="1"/>
  <c r="BR245" i="1"/>
  <c r="N245" i="1"/>
  <c r="Z245" i="1"/>
  <c r="AL245" i="1"/>
  <c r="AX245" i="1"/>
  <c r="BK245" i="1"/>
  <c r="BM245" i="1"/>
  <c r="BR244" i="1" a="1"/>
  <c r="BR244" i="1"/>
  <c r="N244" i="1"/>
  <c r="Z244" i="1"/>
  <c r="AL244" i="1"/>
  <c r="AX244" i="1"/>
  <c r="BK244" i="1"/>
  <c r="BM244" i="1"/>
  <c r="BR243" i="1" a="1"/>
  <c r="BR243" i="1"/>
  <c r="N243" i="1"/>
  <c r="Z243" i="1"/>
  <c r="AL243" i="1"/>
  <c r="AX243" i="1"/>
  <c r="BK243" i="1"/>
  <c r="BM243" i="1"/>
  <c r="BR242" i="1" a="1"/>
  <c r="BR242" i="1"/>
  <c r="N242" i="1"/>
  <c r="Z242" i="1"/>
  <c r="AL242" i="1"/>
  <c r="AX242" i="1"/>
  <c r="BK242" i="1"/>
  <c r="BM242" i="1"/>
  <c r="BR241" i="1" a="1"/>
  <c r="BR241" i="1"/>
  <c r="N241" i="1"/>
  <c r="Z241" i="1"/>
  <c r="AL241" i="1"/>
  <c r="AX241" i="1"/>
  <c r="BK241" i="1"/>
  <c r="BM241" i="1"/>
  <c r="BR240" i="1" a="1"/>
  <c r="BR240" i="1"/>
  <c r="N240" i="1"/>
  <c r="Z240" i="1"/>
  <c r="AL240" i="1"/>
  <c r="AX240" i="1"/>
  <c r="BK240" i="1"/>
  <c r="BM240" i="1"/>
  <c r="BR239" i="1" a="1"/>
  <c r="BR239" i="1"/>
  <c r="N239" i="1"/>
  <c r="Z239" i="1"/>
  <c r="AL239" i="1"/>
  <c r="AX239" i="1"/>
  <c r="BK239" i="1"/>
  <c r="BM239" i="1"/>
  <c r="BR237" i="1" a="1"/>
  <c r="BR237" i="1"/>
  <c r="Z237" i="1"/>
  <c r="N237" i="1"/>
  <c r="AL237" i="1"/>
  <c r="AX237" i="1"/>
  <c r="BK237" i="1"/>
  <c r="BM237" i="1"/>
  <c r="BR236" i="1" a="1"/>
  <c r="BR236" i="1"/>
  <c r="N236" i="1"/>
  <c r="Z236" i="1"/>
  <c r="AL236" i="1"/>
  <c r="AX236" i="1"/>
  <c r="BK236" i="1"/>
  <c r="BM236" i="1"/>
  <c r="BR235" i="1" a="1"/>
  <c r="BR235" i="1"/>
  <c r="N235" i="1"/>
  <c r="Z235" i="1"/>
  <c r="AL235" i="1"/>
  <c r="AX235" i="1"/>
  <c r="BK235" i="1"/>
  <c r="BM235" i="1"/>
  <c r="BR234" i="1" a="1"/>
  <c r="BR234" i="1"/>
  <c r="Z234" i="1"/>
  <c r="N234" i="1"/>
  <c r="AL234" i="1"/>
  <c r="AX234" i="1"/>
  <c r="BK234" i="1"/>
  <c r="BM234" i="1"/>
  <c r="BR233" i="1" a="1"/>
  <c r="BR233" i="1"/>
  <c r="N233" i="1"/>
  <c r="Z233" i="1"/>
  <c r="AL233" i="1"/>
  <c r="AX233" i="1"/>
  <c r="BK233" i="1"/>
  <c r="BM233" i="1"/>
  <c r="BR232" i="1" a="1"/>
  <c r="BR232" i="1"/>
  <c r="N232" i="1"/>
  <c r="Z232" i="1"/>
  <c r="AL232" i="1"/>
  <c r="AX232" i="1"/>
  <c r="BK232" i="1"/>
  <c r="BM232" i="1"/>
  <c r="BR231" i="1" a="1"/>
  <c r="BR231" i="1"/>
  <c r="N231" i="1"/>
  <c r="Z231" i="1"/>
  <c r="AL231" i="1"/>
  <c r="AX231" i="1"/>
  <c r="BK231" i="1"/>
  <c r="BM231" i="1"/>
  <c r="BR230" i="1" a="1"/>
  <c r="BR230" i="1"/>
  <c r="N230" i="1"/>
  <c r="Z230" i="1"/>
  <c r="AL230" i="1"/>
  <c r="AX230" i="1"/>
  <c r="BK230" i="1"/>
  <c r="BM230" i="1"/>
  <c r="BR229" i="1" a="1"/>
  <c r="BR229" i="1"/>
  <c r="N229" i="1"/>
  <c r="Z229" i="1"/>
  <c r="AL229" i="1"/>
  <c r="AX229" i="1"/>
  <c r="BK229" i="1"/>
  <c r="BM229" i="1"/>
  <c r="BR228" i="1" a="1"/>
  <c r="BR228" i="1"/>
  <c r="Z228" i="1"/>
  <c r="N228" i="1"/>
  <c r="AL228" i="1"/>
  <c r="AX228" i="1"/>
  <c r="BK228" i="1"/>
  <c r="BM228" i="1"/>
  <c r="BR227" i="1" a="1"/>
  <c r="BR227" i="1"/>
  <c r="N227" i="1"/>
  <c r="Z227" i="1"/>
  <c r="AL227" i="1"/>
  <c r="AX227" i="1"/>
  <c r="BK227" i="1"/>
  <c r="BM227" i="1"/>
  <c r="BR226" i="1" a="1"/>
  <c r="BR226" i="1"/>
  <c r="N226" i="1"/>
  <c r="Z226" i="1"/>
  <c r="AL226" i="1"/>
  <c r="AX226" i="1"/>
  <c r="BK226" i="1"/>
  <c r="BM226" i="1"/>
  <c r="BR225" i="1" a="1"/>
  <c r="BR225" i="1"/>
  <c r="N225" i="1"/>
  <c r="Z225" i="1"/>
  <c r="AL225" i="1"/>
  <c r="AX225" i="1"/>
  <c r="BK225" i="1"/>
  <c r="BM225" i="1"/>
  <c r="BR224" i="1" a="1"/>
  <c r="BR224" i="1"/>
  <c r="N224" i="1"/>
  <c r="Z224" i="1"/>
  <c r="AL224" i="1"/>
  <c r="AX224" i="1"/>
  <c r="BK224" i="1"/>
  <c r="BM224" i="1"/>
  <c r="BR223" i="1" a="1"/>
  <c r="BR223" i="1"/>
  <c r="N223" i="1"/>
  <c r="Z223" i="1"/>
  <c r="AL223" i="1"/>
  <c r="AX223" i="1"/>
  <c r="BK223" i="1"/>
  <c r="BM223" i="1"/>
  <c r="BR222" i="1" a="1"/>
  <c r="BR222" i="1"/>
  <c r="N222" i="1"/>
  <c r="Z222" i="1"/>
  <c r="AL222" i="1"/>
  <c r="AX222" i="1"/>
  <c r="BK222" i="1"/>
  <c r="BM222" i="1"/>
  <c r="BR221" i="1" a="1"/>
  <c r="BR221" i="1"/>
  <c r="N221" i="1"/>
  <c r="Z221" i="1"/>
  <c r="AL221" i="1"/>
  <c r="AX221" i="1"/>
  <c r="BK221" i="1"/>
  <c r="BM221" i="1"/>
  <c r="BR220" i="1" a="1"/>
  <c r="BR220" i="1"/>
  <c r="Z220" i="1"/>
  <c r="N220" i="1"/>
  <c r="AL220" i="1"/>
  <c r="AX220" i="1"/>
  <c r="BK220" i="1"/>
  <c r="BM220" i="1"/>
  <c r="BR219" i="1" a="1"/>
  <c r="BR219" i="1"/>
  <c r="N219" i="1"/>
  <c r="Z219" i="1"/>
  <c r="AL219" i="1"/>
  <c r="AX219" i="1"/>
  <c r="BK219" i="1"/>
  <c r="BM219" i="1"/>
  <c r="BR218" i="1" a="1"/>
  <c r="BR218" i="1"/>
  <c r="N218" i="1"/>
  <c r="Z218" i="1"/>
  <c r="AL218" i="1"/>
  <c r="AX218" i="1"/>
  <c r="BK218" i="1"/>
  <c r="BM218" i="1"/>
  <c r="BR217" i="1" a="1"/>
  <c r="BR217" i="1"/>
  <c r="Z217" i="1"/>
  <c r="N217" i="1"/>
  <c r="AL217" i="1"/>
  <c r="AX217" i="1"/>
  <c r="BK217" i="1"/>
  <c r="BM217" i="1"/>
  <c r="BR216" i="1" a="1"/>
  <c r="BR216" i="1"/>
  <c r="N216" i="1"/>
  <c r="Z216" i="1"/>
  <c r="AL216" i="1"/>
  <c r="AX216" i="1"/>
  <c r="BK216" i="1"/>
  <c r="BM216" i="1"/>
  <c r="BR215" i="1" a="1"/>
  <c r="BR215" i="1"/>
  <c r="N215" i="1"/>
  <c r="Z215" i="1"/>
  <c r="AL215" i="1"/>
  <c r="AX215" i="1"/>
  <c r="BK215" i="1"/>
  <c r="BM215" i="1"/>
  <c r="BR214" i="1" a="1"/>
  <c r="BR214" i="1"/>
  <c r="N214" i="1"/>
  <c r="Z214" i="1"/>
  <c r="AL214" i="1"/>
  <c r="AX214" i="1"/>
  <c r="BK214" i="1"/>
  <c r="BM214" i="1"/>
  <c r="BR213" i="1" a="1"/>
  <c r="BR213" i="1"/>
  <c r="N213" i="1"/>
  <c r="Z213" i="1"/>
  <c r="AL213" i="1"/>
  <c r="AX213" i="1"/>
  <c r="BK213" i="1"/>
  <c r="BM213" i="1"/>
  <c r="BR212" i="1" a="1"/>
  <c r="BR212" i="1"/>
  <c r="N212" i="1"/>
  <c r="Z212" i="1"/>
  <c r="AL212" i="1"/>
  <c r="AX212" i="1"/>
  <c r="BK212" i="1"/>
  <c r="BM212" i="1"/>
  <c r="BR211" i="1" a="1"/>
  <c r="BR211" i="1"/>
  <c r="N211" i="1"/>
  <c r="Z211" i="1"/>
  <c r="AL211" i="1"/>
  <c r="AX211" i="1"/>
  <c r="BK211" i="1"/>
  <c r="BM211" i="1"/>
  <c r="BR210" i="1" a="1"/>
  <c r="BR210" i="1"/>
  <c r="N210" i="1"/>
  <c r="Z210" i="1"/>
  <c r="AL210" i="1"/>
  <c r="AX210" i="1"/>
  <c r="BK210" i="1"/>
  <c r="BM210" i="1"/>
  <c r="BR209" i="1" a="1"/>
  <c r="BR209" i="1"/>
  <c r="N209" i="1"/>
  <c r="Z209" i="1"/>
  <c r="AL209" i="1"/>
  <c r="AX209" i="1"/>
  <c r="BK209" i="1"/>
  <c r="BM209" i="1"/>
  <c r="BR208" i="1" a="1"/>
  <c r="BR208" i="1"/>
  <c r="N208" i="1"/>
  <c r="Z208" i="1"/>
  <c r="AL208" i="1"/>
  <c r="AX208" i="1"/>
  <c r="BK208" i="1"/>
  <c r="BM208" i="1"/>
  <c r="BR207" i="1" a="1"/>
  <c r="BR207" i="1"/>
  <c r="N207" i="1"/>
  <c r="Z207" i="1"/>
  <c r="AL207" i="1"/>
  <c r="AX207" i="1"/>
  <c r="BK207" i="1"/>
  <c r="BM207" i="1"/>
  <c r="BR206" i="1" a="1"/>
  <c r="BR206" i="1"/>
  <c r="N206" i="1"/>
  <c r="Z206" i="1"/>
  <c r="AL206" i="1"/>
  <c r="AX206" i="1"/>
  <c r="BK206" i="1"/>
  <c r="BM206" i="1"/>
  <c r="BR205" i="1" a="1"/>
  <c r="BR205" i="1"/>
  <c r="N205" i="1"/>
  <c r="Z205" i="1"/>
  <c r="AL205" i="1"/>
  <c r="AX205" i="1"/>
  <c r="BK205" i="1"/>
  <c r="BM205" i="1"/>
  <c r="BR204" i="1" a="1"/>
  <c r="BR204" i="1"/>
  <c r="Z204" i="1"/>
  <c r="N204" i="1"/>
  <c r="AL204" i="1"/>
  <c r="AX204" i="1"/>
  <c r="BK204" i="1"/>
  <c r="BM204" i="1"/>
  <c r="BR202" i="1" a="1"/>
  <c r="BR202" i="1"/>
  <c r="N202" i="1"/>
  <c r="Z202" i="1"/>
  <c r="AL202" i="1"/>
  <c r="AX202" i="1"/>
  <c r="BK202" i="1"/>
  <c r="BM202" i="1"/>
  <c r="BR201" i="1" a="1"/>
  <c r="BR201" i="1"/>
  <c r="N201" i="1"/>
  <c r="Z201" i="1"/>
  <c r="AL201" i="1"/>
  <c r="AX201" i="1"/>
  <c r="BK201" i="1"/>
  <c r="BM201" i="1"/>
  <c r="BR200" i="1" a="1"/>
  <c r="BR200" i="1"/>
  <c r="N200" i="1"/>
  <c r="Z200" i="1"/>
  <c r="AL200" i="1"/>
  <c r="AX200" i="1"/>
  <c r="BK200" i="1"/>
  <c r="BM200" i="1"/>
  <c r="BR199" i="1" a="1"/>
  <c r="BR199" i="1"/>
  <c r="N199" i="1"/>
  <c r="Z199" i="1"/>
  <c r="AL199" i="1"/>
  <c r="AX199" i="1"/>
  <c r="BK199" i="1"/>
  <c r="BM199" i="1"/>
  <c r="BR198" i="1" a="1"/>
  <c r="BR198" i="1"/>
  <c r="N198" i="1"/>
  <c r="Z198" i="1"/>
  <c r="AL198" i="1"/>
  <c r="AX198" i="1"/>
  <c r="BK198" i="1"/>
  <c r="BM198" i="1"/>
  <c r="BR197" i="1" a="1"/>
  <c r="BR197" i="1"/>
  <c r="N197" i="1"/>
  <c r="Z197" i="1"/>
  <c r="AL197" i="1"/>
  <c r="AX197" i="1"/>
  <c r="BK197" i="1"/>
  <c r="BM197" i="1"/>
  <c r="BS196" i="1"/>
  <c r="BR196" i="1" a="1"/>
  <c r="BR196" i="1"/>
  <c r="N196" i="1"/>
  <c r="Z196" i="1"/>
  <c r="AL196" i="1"/>
  <c r="AX196" i="1"/>
  <c r="BK196" i="1"/>
  <c r="BM196" i="1"/>
  <c r="BR194" i="1" a="1"/>
  <c r="BR194" i="1"/>
  <c r="N194" i="1"/>
  <c r="Z194" i="1"/>
  <c r="AL194" i="1"/>
  <c r="AX194" i="1"/>
  <c r="BK194" i="1"/>
  <c r="BM194" i="1"/>
  <c r="BR193" i="1" a="1"/>
  <c r="BR193" i="1"/>
  <c r="N193" i="1"/>
  <c r="Z193" i="1"/>
  <c r="AL193" i="1"/>
  <c r="AX193" i="1"/>
  <c r="BK193" i="1"/>
  <c r="BM193" i="1"/>
  <c r="BR192" i="1" a="1"/>
  <c r="BR192" i="1"/>
  <c r="N192" i="1"/>
  <c r="Z192" i="1"/>
  <c r="AL192" i="1"/>
  <c r="AX192" i="1"/>
  <c r="BK192" i="1"/>
  <c r="BM192" i="1"/>
  <c r="BR191" i="1" a="1"/>
  <c r="BR191" i="1"/>
  <c r="N191" i="1"/>
  <c r="Z191" i="1"/>
  <c r="AL191" i="1"/>
  <c r="AX191" i="1"/>
  <c r="BK191" i="1"/>
  <c r="BM191" i="1"/>
  <c r="BR190" i="1" a="1"/>
  <c r="BR190" i="1"/>
  <c r="N190" i="1"/>
  <c r="Z190" i="1"/>
  <c r="AL190" i="1"/>
  <c r="AX190" i="1"/>
  <c r="BK190" i="1"/>
  <c r="BM190" i="1"/>
  <c r="BR189" i="1" a="1"/>
  <c r="BR189" i="1"/>
  <c r="N189" i="1"/>
  <c r="Z189" i="1"/>
  <c r="AL189" i="1"/>
  <c r="AX189" i="1"/>
  <c r="BK189" i="1"/>
  <c r="BM189" i="1"/>
  <c r="BR188" i="1" a="1"/>
  <c r="BR188" i="1"/>
  <c r="N188" i="1"/>
  <c r="Z188" i="1"/>
  <c r="AL188" i="1"/>
  <c r="AX188" i="1"/>
  <c r="BK188" i="1"/>
  <c r="BM188" i="1"/>
  <c r="BR187" i="1" a="1"/>
  <c r="BR187" i="1"/>
  <c r="N187" i="1"/>
  <c r="Z187" i="1"/>
  <c r="AL187" i="1"/>
  <c r="AX187" i="1"/>
  <c r="BK187" i="1"/>
  <c r="BM187" i="1"/>
  <c r="BR186" i="1" a="1"/>
  <c r="BR186" i="1"/>
  <c r="N186" i="1"/>
  <c r="Z186" i="1"/>
  <c r="AL186" i="1"/>
  <c r="AX186" i="1"/>
  <c r="BK186" i="1"/>
  <c r="BM186" i="1"/>
  <c r="BR185" i="1" a="1"/>
  <c r="BR185" i="1"/>
  <c r="N185" i="1"/>
  <c r="Z185" i="1"/>
  <c r="AL185" i="1"/>
  <c r="AX185" i="1"/>
  <c r="BK185" i="1"/>
  <c r="BM185" i="1"/>
  <c r="BR184" i="1" a="1"/>
  <c r="BR184" i="1"/>
  <c r="N184" i="1"/>
  <c r="Z184" i="1"/>
  <c r="AL184" i="1"/>
  <c r="AX184" i="1"/>
  <c r="BK184" i="1"/>
  <c r="BM184" i="1"/>
  <c r="BR183" i="1" a="1"/>
  <c r="BR183" i="1"/>
  <c r="N183" i="1"/>
  <c r="Z183" i="1"/>
  <c r="AL183" i="1"/>
  <c r="AX183" i="1"/>
  <c r="BK183" i="1"/>
  <c r="BM183" i="1"/>
  <c r="BR182" i="1" a="1"/>
  <c r="BR182" i="1"/>
  <c r="N182" i="1"/>
  <c r="Z182" i="1"/>
  <c r="AL182" i="1"/>
  <c r="AX182" i="1"/>
  <c r="BK182" i="1"/>
  <c r="BM182" i="1"/>
  <c r="BR181" i="1" a="1"/>
  <c r="BR181" i="1"/>
  <c r="N181" i="1"/>
  <c r="Z181" i="1"/>
  <c r="AL181" i="1"/>
  <c r="AX181" i="1"/>
  <c r="BK181" i="1"/>
  <c r="BM181" i="1"/>
  <c r="BR180" i="1" a="1"/>
  <c r="BR180" i="1"/>
  <c r="N180" i="1"/>
  <c r="Z180" i="1"/>
  <c r="AL180" i="1"/>
  <c r="AX180" i="1"/>
  <c r="BK180" i="1"/>
  <c r="BM180" i="1"/>
  <c r="BR179" i="1" a="1"/>
  <c r="BR179" i="1"/>
  <c r="Z179" i="1"/>
  <c r="N179" i="1"/>
  <c r="AL179" i="1"/>
  <c r="AX179" i="1"/>
  <c r="BK179" i="1"/>
  <c r="BM179" i="1"/>
  <c r="BR178" i="1" a="1"/>
  <c r="BR178" i="1"/>
  <c r="N178" i="1"/>
  <c r="Z178" i="1"/>
  <c r="AL178" i="1"/>
  <c r="AX178" i="1"/>
  <c r="BK178" i="1"/>
  <c r="BM178" i="1"/>
  <c r="BR177" i="1" a="1"/>
  <c r="BR177" i="1"/>
  <c r="N177" i="1"/>
  <c r="Z177" i="1"/>
  <c r="AL177" i="1"/>
  <c r="AX177" i="1"/>
  <c r="BK177" i="1"/>
  <c r="BM177" i="1"/>
  <c r="BR176" i="1" a="1"/>
  <c r="BR176" i="1"/>
  <c r="Z176" i="1"/>
  <c r="N176" i="1"/>
  <c r="AL176" i="1"/>
  <c r="AX176" i="1"/>
  <c r="BK176" i="1"/>
  <c r="BM176" i="1"/>
  <c r="BR174" i="1" a="1"/>
  <c r="BR174" i="1"/>
  <c r="N174" i="1"/>
  <c r="Z174" i="1"/>
  <c r="AL174" i="1"/>
  <c r="AX174" i="1"/>
  <c r="BK174" i="1"/>
  <c r="BM174" i="1"/>
  <c r="BR173" i="1" a="1"/>
  <c r="BR173" i="1"/>
  <c r="N173" i="1"/>
  <c r="Z173" i="1"/>
  <c r="AL173" i="1"/>
  <c r="AX173" i="1"/>
  <c r="BK173" i="1"/>
  <c r="BM173" i="1"/>
  <c r="BR172" i="1" a="1"/>
  <c r="BR172" i="1"/>
  <c r="N172" i="1"/>
  <c r="Z172" i="1"/>
  <c r="AL172" i="1"/>
  <c r="AX172" i="1"/>
  <c r="BK172" i="1"/>
  <c r="BM172" i="1"/>
  <c r="BR171" i="1" a="1"/>
  <c r="BR171" i="1"/>
  <c r="Z171" i="1"/>
  <c r="N171" i="1"/>
  <c r="AL171" i="1"/>
  <c r="AX171" i="1"/>
  <c r="BK171" i="1"/>
  <c r="BM171" i="1"/>
  <c r="BR170" i="1" a="1"/>
  <c r="BR170" i="1"/>
  <c r="N170" i="1"/>
  <c r="Z170" i="1"/>
  <c r="AL170" i="1"/>
  <c r="AX170" i="1"/>
  <c r="BK170" i="1"/>
  <c r="BM170" i="1"/>
  <c r="BR169" i="1" a="1"/>
  <c r="BR169" i="1"/>
  <c r="N169" i="1"/>
  <c r="Z169" i="1"/>
  <c r="AL169" i="1"/>
  <c r="AX169" i="1"/>
  <c r="BK169" i="1"/>
  <c r="BM169" i="1"/>
  <c r="BR168" i="1" a="1"/>
  <c r="BR168" i="1"/>
  <c r="N168" i="1"/>
  <c r="Z168" i="1"/>
  <c r="AL168" i="1"/>
  <c r="AX168" i="1"/>
  <c r="BK168" i="1"/>
  <c r="BM168" i="1"/>
  <c r="BR167" i="1" a="1"/>
  <c r="BR167" i="1"/>
  <c r="N167" i="1"/>
  <c r="Z167" i="1"/>
  <c r="AL167" i="1"/>
  <c r="AX167" i="1"/>
  <c r="BK167" i="1"/>
  <c r="BM167" i="1"/>
  <c r="BR166" i="1" a="1"/>
  <c r="BR166" i="1"/>
  <c r="N166" i="1"/>
  <c r="Z166" i="1"/>
  <c r="AL166" i="1"/>
  <c r="AX166" i="1"/>
  <c r="BK166" i="1"/>
  <c r="BM166" i="1"/>
  <c r="BR165" i="1" a="1"/>
  <c r="BR165" i="1"/>
  <c r="N165" i="1"/>
  <c r="Z165" i="1"/>
  <c r="AL165" i="1"/>
  <c r="AX165" i="1"/>
  <c r="BK165" i="1"/>
  <c r="BM165" i="1"/>
  <c r="BR164" i="1" a="1"/>
  <c r="BR164" i="1"/>
  <c r="N164" i="1"/>
  <c r="Z164" i="1"/>
  <c r="AL164" i="1"/>
  <c r="AX164" i="1"/>
  <c r="BK164" i="1"/>
  <c r="BM164" i="1"/>
  <c r="BR163" i="1" a="1"/>
  <c r="BR163" i="1"/>
  <c r="N163" i="1"/>
  <c r="Z163" i="1"/>
  <c r="AL163" i="1"/>
  <c r="AX163" i="1"/>
  <c r="BK163" i="1"/>
  <c r="BM163" i="1"/>
  <c r="BR162" i="1" a="1"/>
  <c r="BR162" i="1"/>
  <c r="N162" i="1"/>
  <c r="Z162" i="1"/>
  <c r="AL162" i="1"/>
  <c r="AX162" i="1"/>
  <c r="BK162" i="1"/>
  <c r="BM162" i="1"/>
  <c r="BR161" i="1" a="1"/>
  <c r="BR161" i="1"/>
  <c r="N161" i="1"/>
  <c r="Z161" i="1"/>
  <c r="AL161" i="1"/>
  <c r="AX161" i="1"/>
  <c r="BK161" i="1"/>
  <c r="BM161" i="1"/>
  <c r="BR160" i="1" a="1"/>
  <c r="BR160" i="1"/>
  <c r="N160" i="1"/>
  <c r="Z160" i="1"/>
  <c r="AL160" i="1"/>
  <c r="AX160" i="1"/>
  <c r="BK160" i="1"/>
  <c r="BM160" i="1"/>
  <c r="BR159" i="1" a="1"/>
  <c r="BR159" i="1"/>
  <c r="N159" i="1"/>
  <c r="Z159" i="1"/>
  <c r="AL159" i="1"/>
  <c r="AX159" i="1"/>
  <c r="BK159" i="1"/>
  <c r="BM159" i="1"/>
  <c r="BR158" i="1" a="1"/>
  <c r="BR158" i="1"/>
  <c r="N158" i="1"/>
  <c r="Z158" i="1"/>
  <c r="AL158" i="1"/>
  <c r="AX158" i="1"/>
  <c r="BK158" i="1"/>
  <c r="BM158" i="1"/>
  <c r="BR157" i="1" a="1"/>
  <c r="BR157" i="1"/>
  <c r="N157" i="1"/>
  <c r="Z157" i="1"/>
  <c r="AL157" i="1"/>
  <c r="AX157" i="1"/>
  <c r="BK157" i="1"/>
  <c r="BM157" i="1"/>
  <c r="BR156" i="1" a="1"/>
  <c r="BR156" i="1"/>
  <c r="N156" i="1"/>
  <c r="Z156" i="1"/>
  <c r="AL156" i="1"/>
  <c r="AX156" i="1"/>
  <c r="BK156" i="1"/>
  <c r="BM156" i="1"/>
  <c r="BR155" i="1" a="1"/>
  <c r="BR155" i="1"/>
  <c r="N155" i="1"/>
  <c r="Z155" i="1"/>
  <c r="AL155" i="1"/>
  <c r="AX155" i="1"/>
  <c r="BK155" i="1"/>
  <c r="BM155" i="1"/>
  <c r="BR154" i="1" a="1"/>
  <c r="BR154" i="1"/>
  <c r="N154" i="1"/>
  <c r="Z154" i="1"/>
  <c r="AL154" i="1"/>
  <c r="AX154" i="1"/>
  <c r="BK154" i="1"/>
  <c r="BM154" i="1"/>
  <c r="BR153" i="1" a="1"/>
  <c r="BR153" i="1"/>
  <c r="N153" i="1"/>
  <c r="Z153" i="1"/>
  <c r="AL153" i="1"/>
  <c r="AX153" i="1"/>
  <c r="BK153" i="1"/>
  <c r="BM153" i="1"/>
  <c r="BR152" i="1" a="1"/>
  <c r="BR152" i="1"/>
  <c r="N152" i="1"/>
  <c r="Z152" i="1"/>
  <c r="AL152" i="1"/>
  <c r="AX152" i="1"/>
  <c r="BK152" i="1"/>
  <c r="BM152" i="1"/>
  <c r="BR151" i="1" a="1"/>
  <c r="BR151" i="1"/>
  <c r="N151" i="1"/>
  <c r="Z151" i="1"/>
  <c r="AL151" i="1"/>
  <c r="AX151" i="1"/>
  <c r="BK151" i="1"/>
  <c r="BM151" i="1"/>
  <c r="BR150" i="1" a="1"/>
  <c r="BR150" i="1"/>
  <c r="N150" i="1"/>
  <c r="Z150" i="1"/>
  <c r="AL150" i="1"/>
  <c r="AX150" i="1"/>
  <c r="BK150" i="1"/>
  <c r="BM150" i="1"/>
  <c r="BR149" i="1" a="1"/>
  <c r="BR149" i="1"/>
  <c r="N149" i="1"/>
  <c r="Z149" i="1"/>
  <c r="AL149" i="1"/>
  <c r="AX149" i="1"/>
  <c r="BK149" i="1"/>
  <c r="BM149" i="1"/>
  <c r="BR148" i="1" a="1"/>
  <c r="BR148" i="1"/>
  <c r="N148" i="1"/>
  <c r="Z148" i="1"/>
  <c r="AL148" i="1"/>
  <c r="AX148" i="1"/>
  <c r="BK148" i="1"/>
  <c r="BM148" i="1"/>
  <c r="BR147" i="1" a="1"/>
  <c r="BR147" i="1"/>
  <c r="N147" i="1"/>
  <c r="Z147" i="1"/>
  <c r="AL147" i="1"/>
  <c r="AX147" i="1"/>
  <c r="BK147" i="1"/>
  <c r="BM147" i="1"/>
  <c r="BR146" i="1" a="1"/>
  <c r="BR146" i="1"/>
  <c r="N146" i="1"/>
  <c r="Z146" i="1"/>
  <c r="AL146" i="1"/>
  <c r="AX146" i="1"/>
  <c r="BK146" i="1"/>
  <c r="BM146" i="1"/>
  <c r="BR145" i="1" a="1"/>
  <c r="BR145" i="1"/>
  <c r="N145" i="1"/>
  <c r="Z145" i="1"/>
  <c r="AL145" i="1"/>
  <c r="AX145" i="1"/>
  <c r="BK145" i="1"/>
  <c r="BM145" i="1"/>
  <c r="BR144" i="1" a="1"/>
  <c r="BR144" i="1"/>
  <c r="N144" i="1"/>
  <c r="Z144" i="1"/>
  <c r="AL144" i="1"/>
  <c r="AX144" i="1"/>
  <c r="BK144" i="1"/>
  <c r="BM144" i="1"/>
  <c r="BR143" i="1" a="1"/>
  <c r="BR143" i="1"/>
  <c r="N143" i="1"/>
  <c r="Z143" i="1"/>
  <c r="AL143" i="1"/>
  <c r="AX143" i="1"/>
  <c r="BK143" i="1"/>
  <c r="BM143" i="1"/>
  <c r="BR142" i="1" a="1"/>
  <c r="BR142" i="1"/>
  <c r="N142" i="1"/>
  <c r="Z142" i="1"/>
  <c r="AL142" i="1"/>
  <c r="AX142" i="1"/>
  <c r="BK142" i="1"/>
  <c r="BM142" i="1"/>
  <c r="BR141" i="1" a="1"/>
  <c r="BR141" i="1"/>
  <c r="N141" i="1"/>
  <c r="Z141" i="1"/>
  <c r="AL141" i="1"/>
  <c r="AX141" i="1"/>
  <c r="BK141" i="1"/>
  <c r="BM141" i="1"/>
  <c r="BR140" i="1" a="1"/>
  <c r="BR140" i="1"/>
  <c r="Z140" i="1"/>
  <c r="N140" i="1"/>
  <c r="AL140" i="1"/>
  <c r="AX140" i="1"/>
  <c r="BK140" i="1"/>
  <c r="BM140" i="1"/>
  <c r="BR139" i="1" a="1"/>
  <c r="BR139" i="1"/>
  <c r="N139" i="1"/>
  <c r="Z139" i="1"/>
  <c r="AL139" i="1"/>
  <c r="AX139" i="1"/>
  <c r="BK139" i="1"/>
  <c r="BM139" i="1"/>
  <c r="BR138" i="1" a="1"/>
  <c r="BR138" i="1"/>
  <c r="N138" i="1"/>
  <c r="Z138" i="1"/>
  <c r="AL138" i="1"/>
  <c r="AX138" i="1"/>
  <c r="BK138" i="1"/>
  <c r="BM138" i="1"/>
  <c r="BR137" i="1" a="1"/>
  <c r="BR137" i="1"/>
  <c r="N137" i="1"/>
  <c r="Z137" i="1"/>
  <c r="AL137" i="1"/>
  <c r="AX137" i="1"/>
  <c r="BK137" i="1"/>
  <c r="BM137" i="1"/>
  <c r="BR136" i="1" a="1"/>
  <c r="BR136" i="1"/>
  <c r="N136" i="1"/>
  <c r="Z136" i="1"/>
  <c r="AL136" i="1"/>
  <c r="AX136" i="1"/>
  <c r="BK136" i="1"/>
  <c r="BM136" i="1"/>
  <c r="BR135" i="1" a="1"/>
  <c r="BR135" i="1"/>
  <c r="N135" i="1"/>
  <c r="Z135" i="1"/>
  <c r="AL135" i="1"/>
  <c r="AX135" i="1"/>
  <c r="BK135" i="1"/>
  <c r="BM135" i="1"/>
  <c r="BR134" i="1" a="1"/>
  <c r="BR134" i="1"/>
  <c r="N134" i="1"/>
  <c r="Z134" i="1"/>
  <c r="AL134" i="1"/>
  <c r="AX134" i="1"/>
  <c r="BK134" i="1"/>
  <c r="BM134" i="1"/>
  <c r="BR133" i="1" a="1"/>
  <c r="BR133" i="1"/>
  <c r="N133" i="1"/>
  <c r="Z133" i="1"/>
  <c r="AL133" i="1"/>
  <c r="AX133" i="1"/>
  <c r="BK133" i="1"/>
  <c r="BM133" i="1"/>
  <c r="BR132" i="1" a="1"/>
  <c r="BR132" i="1"/>
  <c r="N132" i="1"/>
  <c r="Z132" i="1"/>
  <c r="AL132" i="1"/>
  <c r="AX132" i="1"/>
  <c r="BK132" i="1"/>
  <c r="BM132" i="1"/>
  <c r="BR131" i="1" a="1"/>
  <c r="BR131" i="1"/>
  <c r="N131" i="1"/>
  <c r="Z131" i="1"/>
  <c r="AL131" i="1"/>
  <c r="AX131" i="1"/>
  <c r="BK131" i="1"/>
  <c r="BM131" i="1"/>
  <c r="BR130" i="1" a="1"/>
  <c r="BR130" i="1"/>
  <c r="N130" i="1"/>
  <c r="Z130" i="1"/>
  <c r="AL130" i="1"/>
  <c r="AX130" i="1"/>
  <c r="BK130" i="1"/>
  <c r="BM130" i="1"/>
  <c r="BR129" i="1" a="1"/>
  <c r="BR129" i="1"/>
  <c r="N129" i="1"/>
  <c r="Z129" i="1"/>
  <c r="AL129" i="1"/>
  <c r="AX129" i="1"/>
  <c r="BK129" i="1"/>
  <c r="BM129" i="1"/>
  <c r="BR128" i="1" a="1"/>
  <c r="BR128" i="1"/>
  <c r="N128" i="1"/>
  <c r="Z128" i="1"/>
  <c r="AL128" i="1"/>
  <c r="AX128" i="1"/>
  <c r="BK128" i="1"/>
  <c r="BM128" i="1"/>
  <c r="BR127" i="1" a="1"/>
  <c r="BR127" i="1"/>
  <c r="N127" i="1"/>
  <c r="Z127" i="1"/>
  <c r="AL127" i="1"/>
  <c r="AX127" i="1"/>
  <c r="BK127" i="1"/>
  <c r="BM127" i="1"/>
  <c r="BR126" i="1" a="1"/>
  <c r="BR126" i="1"/>
  <c r="N126" i="1"/>
  <c r="Z126" i="1"/>
  <c r="AL126" i="1"/>
  <c r="AX126" i="1"/>
  <c r="BK126" i="1"/>
  <c r="BM126" i="1"/>
  <c r="BR125" i="1" a="1"/>
  <c r="BR125" i="1"/>
  <c r="N125" i="1"/>
  <c r="Z125" i="1"/>
  <c r="AL125" i="1"/>
  <c r="AX125" i="1"/>
  <c r="BK125" i="1"/>
  <c r="BM125" i="1"/>
  <c r="BR124" i="1" a="1"/>
  <c r="BR124" i="1"/>
  <c r="N124" i="1"/>
  <c r="Z124" i="1"/>
  <c r="AL124" i="1"/>
  <c r="AX124" i="1"/>
  <c r="BK124" i="1"/>
  <c r="BM124" i="1"/>
  <c r="BR123" i="1" a="1"/>
  <c r="BR123" i="1"/>
  <c r="N123" i="1"/>
  <c r="Z123" i="1"/>
  <c r="AL123" i="1"/>
  <c r="AX123" i="1"/>
  <c r="BK123" i="1"/>
  <c r="BM123" i="1"/>
  <c r="BR122" i="1" a="1"/>
  <c r="BR122" i="1"/>
  <c r="N122" i="1"/>
  <c r="Z122" i="1"/>
  <c r="AL122" i="1"/>
  <c r="AX122" i="1"/>
  <c r="BK122" i="1"/>
  <c r="BM122" i="1"/>
  <c r="BR121" i="1" a="1"/>
  <c r="BR121" i="1"/>
  <c r="N121" i="1"/>
  <c r="Z121" i="1"/>
  <c r="AL121" i="1"/>
  <c r="AX121" i="1"/>
  <c r="BK121" i="1"/>
  <c r="BM121" i="1"/>
  <c r="BR120" i="1" a="1"/>
  <c r="BR120" i="1"/>
  <c r="N120" i="1"/>
  <c r="Z120" i="1"/>
  <c r="AL120" i="1"/>
  <c r="AX120" i="1"/>
  <c r="BK120" i="1"/>
  <c r="BM120" i="1"/>
  <c r="BR119" i="1" a="1"/>
  <c r="BR119" i="1"/>
  <c r="N119" i="1"/>
  <c r="Z119" i="1"/>
  <c r="AL119" i="1"/>
  <c r="AX119" i="1"/>
  <c r="BK119" i="1"/>
  <c r="BM119" i="1"/>
  <c r="BR118" i="1" a="1"/>
  <c r="BR118" i="1"/>
  <c r="N118" i="1"/>
  <c r="Z118" i="1"/>
  <c r="AL118" i="1"/>
  <c r="AX118" i="1"/>
  <c r="BK118" i="1"/>
  <c r="BM118" i="1"/>
  <c r="BR117" i="1" a="1"/>
  <c r="BR117" i="1"/>
  <c r="N117" i="1"/>
  <c r="Z117" i="1"/>
  <c r="AL117" i="1"/>
  <c r="AX117" i="1"/>
  <c r="BK117" i="1"/>
  <c r="BM117" i="1"/>
  <c r="BR116" i="1" a="1"/>
  <c r="BR116" i="1"/>
  <c r="N116" i="1"/>
  <c r="Z116" i="1"/>
  <c r="AL116" i="1"/>
  <c r="AX116" i="1"/>
  <c r="BK116" i="1"/>
  <c r="BM116" i="1"/>
  <c r="BR115" i="1" a="1"/>
  <c r="BR115" i="1"/>
  <c r="N115" i="1"/>
  <c r="Z115" i="1"/>
  <c r="AL115" i="1"/>
  <c r="AX115" i="1"/>
  <c r="BK115" i="1"/>
  <c r="BM115" i="1"/>
  <c r="BR114" i="1" a="1"/>
  <c r="BR114" i="1"/>
  <c r="N114" i="1"/>
  <c r="Z114" i="1"/>
  <c r="AL114" i="1"/>
  <c r="AX114" i="1"/>
  <c r="BK114" i="1"/>
  <c r="BM114" i="1"/>
  <c r="BR113" i="1" a="1"/>
  <c r="BR113" i="1"/>
  <c r="N113" i="1"/>
  <c r="Z113" i="1"/>
  <c r="AL113" i="1"/>
  <c r="AX113" i="1"/>
  <c r="BK113" i="1"/>
  <c r="BM113" i="1"/>
  <c r="BR112" i="1" a="1"/>
  <c r="BR112" i="1"/>
  <c r="N112" i="1"/>
  <c r="Z112" i="1"/>
  <c r="AL112" i="1"/>
  <c r="AX112" i="1"/>
  <c r="BK112" i="1"/>
  <c r="BM112" i="1"/>
  <c r="BR111" i="1" a="1"/>
  <c r="BR111" i="1"/>
  <c r="N111" i="1"/>
  <c r="Z111" i="1"/>
  <c r="AL111" i="1"/>
  <c r="AX111" i="1"/>
  <c r="BK111" i="1"/>
  <c r="BM111" i="1"/>
  <c r="BR110" i="1" a="1"/>
  <c r="BR110" i="1"/>
  <c r="Z110" i="1"/>
  <c r="N110" i="1"/>
  <c r="AL110" i="1"/>
  <c r="AX110" i="1"/>
  <c r="BK110" i="1"/>
  <c r="BM110" i="1"/>
  <c r="BR109" i="1" a="1"/>
  <c r="BR109" i="1"/>
  <c r="N109" i="1"/>
  <c r="Z109" i="1"/>
  <c r="AL109" i="1"/>
  <c r="AX109" i="1"/>
  <c r="BK109" i="1"/>
  <c r="BM109" i="1"/>
  <c r="BR108" i="1" a="1"/>
  <c r="BR108" i="1"/>
  <c r="N108" i="1"/>
  <c r="Z108" i="1"/>
  <c r="AL108" i="1"/>
  <c r="AX108" i="1"/>
  <c r="BK108" i="1"/>
  <c r="BM108" i="1"/>
  <c r="BR107" i="1" a="1"/>
  <c r="BR107" i="1"/>
  <c r="N107" i="1"/>
  <c r="Z107" i="1"/>
  <c r="AL107" i="1"/>
  <c r="AX107" i="1"/>
  <c r="BK107" i="1"/>
  <c r="BM107" i="1"/>
  <c r="BR106" i="1" a="1"/>
  <c r="BR106" i="1"/>
  <c r="N106" i="1"/>
  <c r="Z106" i="1"/>
  <c r="AL106" i="1"/>
  <c r="AX106" i="1"/>
  <c r="BK106" i="1"/>
  <c r="BM106" i="1"/>
  <c r="BR105" i="1" a="1"/>
  <c r="BR105" i="1"/>
  <c r="Z105" i="1"/>
  <c r="N105" i="1"/>
  <c r="AL105" i="1"/>
  <c r="AX105" i="1"/>
  <c r="BK105" i="1"/>
  <c r="BM105" i="1"/>
  <c r="BR104" i="1" a="1"/>
  <c r="BR104" i="1"/>
  <c r="N104" i="1"/>
  <c r="Z104" i="1"/>
  <c r="AL104" i="1"/>
  <c r="AX104" i="1"/>
  <c r="BK104" i="1"/>
  <c r="BM104" i="1"/>
  <c r="BR103" i="1" a="1"/>
  <c r="BR103" i="1"/>
  <c r="N103" i="1"/>
  <c r="Z103" i="1"/>
  <c r="AL103" i="1"/>
  <c r="AX103" i="1"/>
  <c r="BK103" i="1"/>
  <c r="BM103" i="1"/>
  <c r="BR102" i="1" a="1"/>
  <c r="BR102" i="1"/>
  <c r="N102" i="1"/>
  <c r="Z102" i="1"/>
  <c r="AL102" i="1"/>
  <c r="AX102" i="1"/>
  <c r="BK102" i="1"/>
  <c r="BM102" i="1"/>
  <c r="BR101" i="1" a="1"/>
  <c r="BR101" i="1"/>
  <c r="N101" i="1"/>
  <c r="Z101" i="1"/>
  <c r="AL101" i="1"/>
  <c r="AX101" i="1"/>
  <c r="BK101" i="1"/>
  <c r="BM101" i="1"/>
  <c r="BR100" i="1" a="1"/>
  <c r="BR100" i="1"/>
  <c r="N100" i="1"/>
  <c r="Z100" i="1"/>
  <c r="AL100" i="1"/>
  <c r="AX100" i="1"/>
  <c r="BK100" i="1"/>
  <c r="BM100" i="1"/>
  <c r="BR99" i="1" a="1"/>
  <c r="BR99" i="1"/>
  <c r="N99" i="1"/>
  <c r="Z99" i="1"/>
  <c r="AL99" i="1"/>
  <c r="AX99" i="1"/>
  <c r="BK99" i="1"/>
  <c r="BM99" i="1"/>
  <c r="BR98" i="1" a="1"/>
  <c r="BR98" i="1"/>
  <c r="N98" i="1"/>
  <c r="Z98" i="1"/>
  <c r="AL98" i="1"/>
  <c r="AX98" i="1"/>
  <c r="BK98" i="1"/>
  <c r="BM98" i="1"/>
  <c r="BR97" i="1" a="1"/>
  <c r="BR97" i="1"/>
  <c r="N97" i="1"/>
  <c r="Z97" i="1"/>
  <c r="AL97" i="1"/>
  <c r="AX97" i="1"/>
  <c r="BK97" i="1"/>
  <c r="BM97" i="1"/>
  <c r="BR96" i="1" a="1"/>
  <c r="BR96" i="1"/>
  <c r="N96" i="1"/>
  <c r="Z96" i="1"/>
  <c r="AL96" i="1"/>
  <c r="AX96" i="1"/>
  <c r="BK96" i="1"/>
  <c r="BM96" i="1"/>
  <c r="BR95" i="1" a="1"/>
  <c r="BR95" i="1"/>
  <c r="Z95" i="1"/>
  <c r="N95" i="1"/>
  <c r="AL95" i="1"/>
  <c r="AX95" i="1"/>
  <c r="BK95" i="1"/>
  <c r="BM95" i="1"/>
  <c r="BR94" i="1" a="1"/>
  <c r="BR94" i="1"/>
  <c r="N94" i="1"/>
  <c r="Z94" i="1"/>
  <c r="AL94" i="1"/>
  <c r="AX94" i="1"/>
  <c r="BK94" i="1"/>
  <c r="BM94" i="1"/>
  <c r="BR93" i="1" a="1"/>
  <c r="BR93" i="1"/>
  <c r="N93" i="1"/>
  <c r="Z93" i="1"/>
  <c r="AL93" i="1"/>
  <c r="AX93" i="1"/>
  <c r="BK93" i="1"/>
  <c r="BM93" i="1"/>
  <c r="BR92" i="1" a="1"/>
  <c r="BR92" i="1"/>
  <c r="N92" i="1"/>
  <c r="Z92" i="1"/>
  <c r="AL92" i="1"/>
  <c r="AX92" i="1"/>
  <c r="BK92" i="1"/>
  <c r="BM92" i="1"/>
  <c r="BR91" i="1" a="1"/>
  <c r="BR91" i="1"/>
  <c r="N91" i="1"/>
  <c r="Z91" i="1"/>
  <c r="AL91" i="1"/>
  <c r="AX91" i="1"/>
  <c r="BK91" i="1"/>
  <c r="BM91" i="1"/>
  <c r="BR90" i="1" a="1"/>
  <c r="BR90" i="1"/>
  <c r="N90" i="1"/>
  <c r="Z90" i="1"/>
  <c r="AL90" i="1"/>
  <c r="AX90" i="1"/>
  <c r="BK90" i="1"/>
  <c r="BM90" i="1"/>
  <c r="BR89" i="1" a="1"/>
  <c r="BR89" i="1"/>
  <c r="N89" i="1"/>
  <c r="Z89" i="1"/>
  <c r="AL89" i="1"/>
  <c r="AX89" i="1"/>
  <c r="BK89" i="1"/>
  <c r="BM89" i="1"/>
  <c r="BR88" i="1" a="1"/>
  <c r="BR88" i="1"/>
  <c r="N88" i="1"/>
  <c r="Z88" i="1"/>
  <c r="AL88" i="1"/>
  <c r="AX88" i="1"/>
  <c r="BK88" i="1"/>
  <c r="BM88" i="1"/>
  <c r="BR87" i="1" a="1"/>
  <c r="BR87" i="1"/>
  <c r="N87" i="1"/>
  <c r="Z87" i="1"/>
  <c r="AL87" i="1"/>
  <c r="AX87" i="1"/>
  <c r="BK87" i="1"/>
  <c r="BM87" i="1"/>
  <c r="BR86" i="1" a="1"/>
  <c r="BR86" i="1"/>
  <c r="N86" i="1"/>
  <c r="Z86" i="1"/>
  <c r="AL86" i="1"/>
  <c r="AX86" i="1"/>
  <c r="BK86" i="1"/>
  <c r="BM86" i="1"/>
  <c r="BR85" i="1" a="1"/>
  <c r="BR85" i="1"/>
  <c r="N85" i="1"/>
  <c r="Z85" i="1"/>
  <c r="AL85" i="1"/>
  <c r="AX85" i="1"/>
  <c r="BK85" i="1"/>
  <c r="BM85" i="1"/>
  <c r="BR84" i="1" a="1"/>
  <c r="BR84" i="1"/>
  <c r="N84" i="1"/>
  <c r="Z84" i="1"/>
  <c r="AL84" i="1"/>
  <c r="AX84" i="1"/>
  <c r="BK84" i="1"/>
  <c r="BM84" i="1"/>
  <c r="BR83" i="1" a="1"/>
  <c r="BR83" i="1"/>
  <c r="N83" i="1"/>
  <c r="Z83" i="1"/>
  <c r="AL83" i="1"/>
  <c r="AX83" i="1"/>
  <c r="BK83" i="1"/>
  <c r="BM83" i="1"/>
  <c r="BR82" i="1" a="1"/>
  <c r="BR82" i="1"/>
  <c r="N82" i="1"/>
  <c r="Z82" i="1"/>
  <c r="AL82" i="1"/>
  <c r="AX82" i="1"/>
  <c r="BK82" i="1"/>
  <c r="BM82" i="1"/>
  <c r="BR81" i="1" a="1"/>
  <c r="BR81" i="1"/>
  <c r="N81" i="1"/>
  <c r="Z81" i="1"/>
  <c r="AL81" i="1"/>
  <c r="AX81" i="1"/>
  <c r="BK81" i="1"/>
  <c r="BM81" i="1"/>
  <c r="BR80" i="1" a="1"/>
  <c r="BR80" i="1"/>
  <c r="N80" i="1"/>
  <c r="Z80" i="1"/>
  <c r="AL80" i="1"/>
  <c r="AX80" i="1"/>
  <c r="BK80" i="1"/>
  <c r="BM80" i="1"/>
  <c r="BR79" i="1" a="1"/>
  <c r="BR79" i="1"/>
  <c r="N79" i="1"/>
  <c r="Z79" i="1"/>
  <c r="AL79" i="1"/>
  <c r="AX79" i="1"/>
  <c r="BK79" i="1"/>
  <c r="BM79" i="1"/>
  <c r="BR78" i="1" a="1"/>
  <c r="BR78" i="1"/>
  <c r="N78" i="1"/>
  <c r="Z78" i="1"/>
  <c r="AL78" i="1"/>
  <c r="AX78" i="1"/>
  <c r="BK78" i="1"/>
  <c r="BM78" i="1"/>
  <c r="BR77" i="1" a="1"/>
  <c r="BR77" i="1"/>
  <c r="N77" i="1"/>
  <c r="Z77" i="1"/>
  <c r="AL77" i="1"/>
  <c r="AX77" i="1"/>
  <c r="BK77" i="1"/>
  <c r="BM77" i="1"/>
  <c r="BR76" i="1" a="1"/>
  <c r="BR76" i="1"/>
  <c r="N76" i="1"/>
  <c r="Z76" i="1"/>
  <c r="AL76" i="1"/>
  <c r="AX76" i="1"/>
  <c r="BK76" i="1"/>
  <c r="BM76" i="1"/>
  <c r="BR75" i="1" a="1"/>
  <c r="BR75" i="1"/>
  <c r="N75" i="1"/>
  <c r="Z75" i="1"/>
  <c r="AL75" i="1"/>
  <c r="AX75" i="1"/>
  <c r="BK75" i="1"/>
  <c r="BM75" i="1"/>
  <c r="BR74" i="1" a="1"/>
  <c r="BR74" i="1"/>
  <c r="N74" i="1"/>
  <c r="Z74" i="1"/>
  <c r="AL74" i="1"/>
  <c r="AX74" i="1"/>
  <c r="BK74" i="1"/>
  <c r="BM74" i="1"/>
  <c r="BS73" i="1"/>
  <c r="BR73" i="1" a="1"/>
  <c r="BR73" i="1"/>
  <c r="N73" i="1"/>
  <c r="Z73" i="1"/>
  <c r="AL73" i="1"/>
  <c r="AX73" i="1"/>
  <c r="BK73" i="1"/>
  <c r="BM73" i="1"/>
  <c r="BR71" i="1" a="1"/>
  <c r="BR71" i="1"/>
  <c r="N71" i="1"/>
  <c r="Z71" i="1"/>
  <c r="AL71" i="1"/>
  <c r="AX71" i="1"/>
  <c r="BK71" i="1"/>
  <c r="BM71" i="1"/>
  <c r="BR70" i="1" a="1"/>
  <c r="BR70" i="1"/>
  <c r="N70" i="1"/>
  <c r="Z70" i="1"/>
  <c r="AL70" i="1"/>
  <c r="AX70" i="1"/>
  <c r="BK70" i="1"/>
  <c r="BM70" i="1"/>
  <c r="BR68" i="1" a="1"/>
  <c r="BR68" i="1"/>
  <c r="N68" i="1"/>
  <c r="Z68" i="1"/>
  <c r="AL68" i="1"/>
  <c r="AX68" i="1"/>
  <c r="BK68" i="1"/>
  <c r="BM68" i="1"/>
  <c r="BR67" i="1" a="1"/>
  <c r="BR67" i="1"/>
  <c r="N67" i="1"/>
  <c r="Z67" i="1"/>
  <c r="AL67" i="1"/>
  <c r="AX67" i="1"/>
  <c r="BK67" i="1"/>
  <c r="BM67" i="1"/>
  <c r="BR66" i="1" a="1"/>
  <c r="BR66" i="1"/>
  <c r="N66" i="1"/>
  <c r="Z66" i="1"/>
  <c r="AL66" i="1"/>
  <c r="AX66" i="1"/>
  <c r="BK66" i="1"/>
  <c r="BM66" i="1"/>
  <c r="BR65" i="1" a="1"/>
  <c r="BR65" i="1"/>
  <c r="N65" i="1"/>
  <c r="Z65" i="1"/>
  <c r="AL65" i="1"/>
  <c r="AX65" i="1"/>
  <c r="BK65" i="1"/>
  <c r="BM65" i="1"/>
  <c r="BR64" i="1" a="1"/>
  <c r="BR64" i="1"/>
  <c r="N64" i="1"/>
  <c r="Z64" i="1"/>
  <c r="AL64" i="1"/>
  <c r="AX64" i="1"/>
  <c r="BK64" i="1"/>
  <c r="BM64" i="1"/>
  <c r="BR63" i="1" a="1"/>
  <c r="BR63" i="1"/>
  <c r="N63" i="1"/>
  <c r="Z63" i="1"/>
  <c r="AL63" i="1"/>
  <c r="AX63" i="1"/>
  <c r="BK63" i="1"/>
  <c r="BM63" i="1"/>
  <c r="BR62" i="1" a="1"/>
  <c r="BR62" i="1"/>
  <c r="N62" i="1"/>
  <c r="Z62" i="1"/>
  <c r="AL62" i="1"/>
  <c r="AX62" i="1"/>
  <c r="BK62" i="1"/>
  <c r="BM62" i="1"/>
  <c r="BR61" i="1" a="1"/>
  <c r="BR61" i="1"/>
  <c r="N61" i="1"/>
  <c r="Z61" i="1"/>
  <c r="AL61" i="1"/>
  <c r="AX61" i="1"/>
  <c r="BK61" i="1"/>
  <c r="BM61" i="1"/>
  <c r="BR60" i="1" a="1"/>
  <c r="BR60" i="1"/>
  <c r="N60" i="1"/>
  <c r="Z60" i="1"/>
  <c r="AL60" i="1"/>
  <c r="AX60" i="1"/>
  <c r="BK60" i="1"/>
  <c r="BM60" i="1"/>
  <c r="BR59" i="1" a="1"/>
  <c r="BR59" i="1"/>
  <c r="N59" i="1"/>
  <c r="Z59" i="1"/>
  <c r="AL59" i="1"/>
  <c r="AX59" i="1"/>
  <c r="BK59" i="1"/>
  <c r="BM59" i="1"/>
  <c r="BR58" i="1" a="1"/>
  <c r="BR58" i="1"/>
  <c r="N58" i="1"/>
  <c r="Z58" i="1"/>
  <c r="AL58" i="1"/>
  <c r="AX58" i="1"/>
  <c r="BK58" i="1"/>
  <c r="BM58" i="1"/>
  <c r="BR57" i="1" a="1"/>
  <c r="BR57" i="1"/>
  <c r="N57" i="1"/>
  <c r="Z57" i="1"/>
  <c r="AL57" i="1"/>
  <c r="AX57" i="1"/>
  <c r="BK57" i="1"/>
  <c r="BM57" i="1"/>
  <c r="BR56" i="1" a="1"/>
  <c r="BR56" i="1"/>
  <c r="N56" i="1"/>
  <c r="Z56" i="1"/>
  <c r="AL56" i="1"/>
  <c r="AX56" i="1"/>
  <c r="BK56" i="1"/>
  <c r="BM56" i="1"/>
  <c r="BR55" i="1" a="1"/>
  <c r="BR55" i="1"/>
  <c r="N55" i="1"/>
  <c r="Z55" i="1"/>
  <c r="AL55" i="1"/>
  <c r="AX55" i="1"/>
  <c r="BK55" i="1"/>
  <c r="BM55" i="1"/>
  <c r="BR54" i="1" a="1"/>
  <c r="BR54" i="1"/>
  <c r="N54" i="1"/>
  <c r="Z54" i="1"/>
  <c r="AL54" i="1"/>
  <c r="AX54" i="1"/>
  <c r="BK54" i="1"/>
  <c r="BM54" i="1"/>
  <c r="BR53" i="1" a="1"/>
  <c r="BR53" i="1"/>
  <c r="N53" i="1"/>
  <c r="Z53" i="1"/>
  <c r="AL53" i="1"/>
  <c r="AX53" i="1"/>
  <c r="BK53" i="1"/>
  <c r="BM53" i="1"/>
  <c r="BR52" i="1" a="1"/>
  <c r="BR52" i="1"/>
  <c r="N52" i="1"/>
  <c r="Z52" i="1"/>
  <c r="AL52" i="1"/>
  <c r="AX52" i="1"/>
  <c r="BK52" i="1"/>
  <c r="BM52" i="1"/>
  <c r="BR51" i="1" a="1"/>
  <c r="BR51" i="1"/>
  <c r="N51" i="1"/>
  <c r="Z51" i="1"/>
  <c r="AL51" i="1"/>
  <c r="AX51" i="1"/>
  <c r="BK51" i="1"/>
  <c r="BM51" i="1"/>
  <c r="BR50" i="1" a="1"/>
  <c r="BR50" i="1"/>
  <c r="N50" i="1"/>
  <c r="Z50" i="1"/>
  <c r="AL50" i="1"/>
  <c r="AX50" i="1"/>
  <c r="BK50" i="1"/>
  <c r="BM50" i="1"/>
  <c r="BR49" i="1" a="1"/>
  <c r="BR49" i="1"/>
  <c r="N49" i="1"/>
  <c r="Z49" i="1"/>
  <c r="AL49" i="1"/>
  <c r="AX49" i="1"/>
  <c r="BK49" i="1"/>
  <c r="BM49" i="1"/>
  <c r="BR48" i="1" a="1"/>
  <c r="BR48" i="1"/>
  <c r="N48" i="1"/>
  <c r="Z48" i="1"/>
  <c r="AL48" i="1"/>
  <c r="AX48" i="1"/>
  <c r="BK48" i="1"/>
  <c r="BM48" i="1"/>
  <c r="BR47" i="1" a="1"/>
  <c r="BR47" i="1"/>
  <c r="N47" i="1"/>
  <c r="Z47" i="1"/>
  <c r="AL47" i="1"/>
  <c r="AX47" i="1"/>
  <c r="BK47" i="1"/>
  <c r="BM47" i="1"/>
  <c r="BR46" i="1" a="1"/>
  <c r="BR46" i="1"/>
  <c r="N46" i="1"/>
  <c r="Z46" i="1"/>
  <c r="AL46" i="1"/>
  <c r="AX46" i="1"/>
  <c r="BK46" i="1"/>
  <c r="BM46" i="1"/>
  <c r="BR45" i="1" a="1"/>
  <c r="BR45" i="1"/>
  <c r="N45" i="1"/>
  <c r="Z45" i="1"/>
  <c r="AL45" i="1"/>
  <c r="AX45" i="1"/>
  <c r="BK45" i="1"/>
  <c r="BM45" i="1"/>
  <c r="BR44" i="1" a="1"/>
  <c r="BR44" i="1"/>
  <c r="N44" i="1"/>
  <c r="Z44" i="1"/>
  <c r="AL44" i="1"/>
  <c r="AX44" i="1"/>
  <c r="BK44" i="1"/>
  <c r="BM44" i="1"/>
  <c r="BR43" i="1" a="1"/>
  <c r="BR43" i="1"/>
  <c r="N43" i="1"/>
  <c r="Z43" i="1"/>
  <c r="AL43" i="1"/>
  <c r="AX43" i="1"/>
  <c r="BK43" i="1"/>
  <c r="BM43" i="1"/>
  <c r="BR42" i="1" a="1"/>
  <c r="BR42" i="1"/>
  <c r="N42" i="1"/>
  <c r="Z42" i="1"/>
  <c r="AL42" i="1"/>
  <c r="AX42" i="1"/>
  <c r="BK42" i="1"/>
  <c r="BM42" i="1"/>
  <c r="BR41" i="1" a="1"/>
  <c r="BR41" i="1"/>
  <c r="N41" i="1"/>
  <c r="Z41" i="1"/>
  <c r="AL41" i="1"/>
  <c r="AX41" i="1"/>
  <c r="BK41" i="1"/>
  <c r="BM41" i="1"/>
  <c r="BR40" i="1" a="1"/>
  <c r="BR40" i="1"/>
  <c r="N40" i="1"/>
  <c r="Z40" i="1"/>
  <c r="AL40" i="1"/>
  <c r="AX40" i="1"/>
  <c r="BK40" i="1"/>
  <c r="BM40" i="1"/>
  <c r="BR39" i="1" a="1"/>
  <c r="BR39" i="1"/>
  <c r="N39" i="1"/>
  <c r="Z39" i="1"/>
  <c r="AL39" i="1"/>
  <c r="AX39" i="1"/>
  <c r="BK39" i="1"/>
  <c r="BM39" i="1"/>
  <c r="BR38" i="1" a="1"/>
  <c r="BR38" i="1"/>
  <c r="N38" i="1"/>
  <c r="Z38" i="1"/>
  <c r="AL38" i="1"/>
  <c r="AX38" i="1"/>
  <c r="BK38" i="1"/>
  <c r="BM38" i="1"/>
  <c r="BR37" i="1" a="1"/>
  <c r="BR37" i="1"/>
  <c r="N37" i="1"/>
  <c r="Z37" i="1"/>
  <c r="AL37" i="1"/>
  <c r="AX37" i="1"/>
  <c r="BK37" i="1"/>
  <c r="BM37" i="1"/>
  <c r="BR36" i="1" a="1"/>
  <c r="BR36" i="1"/>
  <c r="N36" i="1"/>
  <c r="Z36" i="1"/>
  <c r="AL36" i="1"/>
  <c r="AX36" i="1"/>
  <c r="BK36" i="1"/>
  <c r="BM36" i="1"/>
  <c r="BR35" i="1" a="1"/>
  <c r="BR35" i="1"/>
  <c r="N35" i="1"/>
  <c r="Z35" i="1"/>
  <c r="AL35" i="1"/>
  <c r="AX35" i="1"/>
  <c r="BK35" i="1"/>
  <c r="BM35" i="1"/>
  <c r="BR34" i="1" a="1"/>
  <c r="BR34" i="1"/>
  <c r="N34" i="1"/>
  <c r="Z34" i="1"/>
  <c r="AL34" i="1"/>
  <c r="AX34" i="1"/>
  <c r="BK34" i="1"/>
  <c r="BM34" i="1"/>
  <c r="BR33" i="1" a="1"/>
  <c r="BR33" i="1"/>
  <c r="N33" i="1"/>
  <c r="Z33" i="1"/>
  <c r="AL33" i="1"/>
  <c r="AX33" i="1"/>
  <c r="BK33" i="1"/>
  <c r="BM33" i="1"/>
  <c r="BR32" i="1" a="1"/>
  <c r="BR32" i="1"/>
  <c r="N32" i="1"/>
  <c r="Z32" i="1"/>
  <c r="AL32" i="1"/>
  <c r="AX32" i="1"/>
  <c r="BK32" i="1"/>
  <c r="BM32" i="1"/>
  <c r="BR31" i="1" a="1"/>
  <c r="BR31" i="1"/>
  <c r="N31" i="1"/>
  <c r="Z31" i="1"/>
  <c r="AL31" i="1"/>
  <c r="AX31" i="1"/>
  <c r="BK31" i="1"/>
  <c r="BM31" i="1"/>
  <c r="BR30" i="1" a="1"/>
  <c r="BR30" i="1"/>
  <c r="N30" i="1"/>
  <c r="Z30" i="1"/>
  <c r="AL30" i="1"/>
  <c r="AX30" i="1"/>
  <c r="BK30" i="1"/>
  <c r="BM30" i="1"/>
  <c r="BR29" i="1" a="1"/>
  <c r="BR29" i="1"/>
  <c r="N29" i="1"/>
  <c r="Z29" i="1"/>
  <c r="AL29" i="1"/>
  <c r="AX29" i="1"/>
  <c r="BK29" i="1"/>
  <c r="BM29" i="1"/>
  <c r="BR28" i="1" a="1"/>
  <c r="BR28" i="1"/>
  <c r="N28" i="1"/>
  <c r="Z28" i="1"/>
  <c r="AL28" i="1"/>
  <c r="AX28" i="1"/>
  <c r="BK28" i="1"/>
  <c r="BM28" i="1"/>
  <c r="BR27" i="1" a="1"/>
  <c r="BR27" i="1"/>
  <c r="N27" i="1"/>
  <c r="Z27" i="1"/>
  <c r="AL27" i="1"/>
  <c r="AX27" i="1"/>
  <c r="BK27" i="1"/>
  <c r="BM27" i="1"/>
  <c r="BR26" i="1" a="1"/>
  <c r="BR26" i="1"/>
  <c r="Z26" i="1"/>
  <c r="N26" i="1"/>
  <c r="AL26" i="1"/>
  <c r="AX26" i="1"/>
  <c r="BK26" i="1"/>
  <c r="BM26" i="1"/>
  <c r="BR25" i="1" a="1"/>
  <c r="BR25" i="1"/>
  <c r="Z25" i="1"/>
  <c r="N25" i="1"/>
  <c r="AL25" i="1"/>
  <c r="AX25" i="1"/>
  <c r="BK25" i="1"/>
  <c r="BM25" i="1"/>
  <c r="BR24" i="1" a="1"/>
  <c r="BR24" i="1"/>
  <c r="Z24" i="1"/>
  <c r="N24" i="1"/>
  <c r="AL24" i="1"/>
  <c r="AX24" i="1"/>
  <c r="BK24" i="1"/>
  <c r="BM24" i="1"/>
  <c r="BR23" i="1" a="1"/>
  <c r="BR23" i="1"/>
  <c r="N23" i="1"/>
  <c r="Z23" i="1"/>
  <c r="AL23" i="1"/>
  <c r="AX23" i="1"/>
  <c r="BK23" i="1"/>
  <c r="BM23" i="1"/>
  <c r="BR22" i="1" a="1"/>
  <c r="BR22" i="1"/>
  <c r="N22" i="1"/>
  <c r="Z22" i="1"/>
  <c r="AL22" i="1"/>
  <c r="AX22" i="1"/>
  <c r="BK22" i="1"/>
  <c r="BM22" i="1"/>
  <c r="BR21" i="1" a="1"/>
  <c r="BR21" i="1"/>
  <c r="Z21" i="1"/>
  <c r="N21" i="1"/>
  <c r="AL21" i="1"/>
  <c r="AX21" i="1"/>
  <c r="BK21" i="1"/>
  <c r="BM21" i="1"/>
  <c r="BR20" i="1" a="1"/>
  <c r="BR20" i="1"/>
  <c r="N20" i="1"/>
  <c r="Z20" i="1"/>
  <c r="AL20" i="1"/>
  <c r="AX20" i="1"/>
  <c r="BK20" i="1"/>
  <c r="BM20" i="1"/>
  <c r="BR19" i="1" a="1"/>
  <c r="BR19" i="1"/>
  <c r="N19" i="1"/>
  <c r="Z19" i="1"/>
  <c r="AL19" i="1"/>
  <c r="AX19" i="1"/>
  <c r="BK19" i="1"/>
  <c r="BM19" i="1"/>
  <c r="BR18" i="1" a="1"/>
  <c r="BR18" i="1"/>
  <c r="N18" i="1"/>
  <c r="Z18" i="1"/>
  <c r="AL18" i="1"/>
  <c r="AX18" i="1"/>
  <c r="BK18" i="1"/>
  <c r="BM18" i="1"/>
  <c r="BR17" i="1" a="1"/>
  <c r="BR17" i="1"/>
  <c r="N17" i="1"/>
  <c r="Z17" i="1"/>
  <c r="AL17" i="1"/>
  <c r="AX17" i="1"/>
  <c r="BK17" i="1"/>
  <c r="BM17" i="1"/>
  <c r="BR16" i="1" a="1"/>
  <c r="BR16" i="1"/>
  <c r="N16" i="1"/>
  <c r="Z16" i="1"/>
  <c r="AL16" i="1"/>
  <c r="AX16" i="1"/>
  <c r="BK16" i="1"/>
  <c r="BM16" i="1"/>
  <c r="BR15" i="1" a="1"/>
  <c r="BR15" i="1"/>
  <c r="N15" i="1"/>
  <c r="Z15" i="1"/>
  <c r="AL15" i="1"/>
  <c r="AX15" i="1"/>
  <c r="BK15" i="1"/>
  <c r="BM15" i="1"/>
  <c r="BR14" i="1" a="1"/>
  <c r="BR14" i="1"/>
  <c r="N14" i="1"/>
  <c r="Z14" i="1"/>
  <c r="AL14" i="1"/>
  <c r="AX14" i="1"/>
  <c r="BK14" i="1"/>
  <c r="BM14" i="1"/>
  <c r="BR13" i="1" a="1"/>
  <c r="BR13" i="1"/>
  <c r="N13" i="1"/>
  <c r="Z13" i="1"/>
  <c r="AL13" i="1"/>
  <c r="AX13" i="1"/>
  <c r="BK13" i="1"/>
  <c r="BM13" i="1"/>
  <c r="BR12" i="1" a="1"/>
  <c r="BR12" i="1"/>
  <c r="N12" i="1"/>
  <c r="Z12" i="1"/>
  <c r="AL12" i="1"/>
  <c r="AX12" i="1"/>
  <c r="BK12" i="1"/>
  <c r="BM12" i="1"/>
  <c r="BR11" i="1" a="1"/>
  <c r="BR11" i="1"/>
  <c r="N11" i="1"/>
  <c r="Z11" i="1"/>
  <c r="AL11" i="1"/>
  <c r="AX11" i="1"/>
  <c r="BK11" i="1"/>
  <c r="BM11" i="1"/>
  <c r="BR10" i="1" a="1"/>
  <c r="BR10" i="1"/>
  <c r="N10" i="1"/>
  <c r="Z10" i="1"/>
  <c r="AL10" i="1"/>
  <c r="AX10" i="1"/>
  <c r="BK10" i="1"/>
  <c r="BM10" i="1"/>
  <c r="BR9" i="1" a="1"/>
  <c r="BR9" i="1"/>
  <c r="N9" i="1"/>
  <c r="Z9" i="1"/>
  <c r="AL9" i="1"/>
  <c r="AX9" i="1"/>
  <c r="BK9" i="1"/>
  <c r="BM9" i="1"/>
  <c r="BR8" i="1" a="1"/>
  <c r="BR8" i="1"/>
  <c r="Z8" i="1"/>
  <c r="AL8" i="1"/>
  <c r="N8" i="1"/>
  <c r="AX8" i="1"/>
  <c r="BK8" i="1"/>
  <c r="BM8" i="1"/>
  <c r="BR7" i="1" a="1"/>
  <c r="BR7" i="1"/>
  <c r="N7" i="1"/>
  <c r="Z7" i="1"/>
  <c r="AL7" i="1"/>
  <c r="AX7" i="1"/>
  <c r="BK7" i="1"/>
  <c r="BM7" i="1"/>
  <c r="BR6" i="1" a="1"/>
  <c r="BR6" i="1"/>
  <c r="N6" i="1"/>
  <c r="Z6" i="1"/>
  <c r="AL6" i="1"/>
  <c r="AX6" i="1"/>
  <c r="BK6" i="1"/>
  <c r="BM6" i="1"/>
  <c r="BS5" i="1"/>
  <c r="BR5" i="1" a="1"/>
  <c r="BR5" i="1"/>
  <c r="N5" i="1"/>
  <c r="Z5" i="1"/>
  <c r="AL5" i="1"/>
  <c r="AX5" i="1"/>
  <c r="BK5" i="1"/>
  <c r="BM5" i="1"/>
  <c r="BA980" i="1"/>
  <c r="AO980" i="1"/>
  <c r="AC980" i="1"/>
  <c r="Q980" i="1"/>
  <c r="E980" i="1"/>
  <c r="BA979" i="1"/>
  <c r="AO979" i="1"/>
  <c r="AC979" i="1"/>
  <c r="Q979" i="1"/>
  <c r="E979" i="1"/>
  <c r="BA978" i="1"/>
  <c r="AO978" i="1"/>
  <c r="AC978" i="1"/>
  <c r="Q978" i="1"/>
  <c r="E978" i="1"/>
  <c r="BA977" i="1"/>
  <c r="AO977" i="1"/>
  <c r="AC977" i="1"/>
  <c r="Q977" i="1"/>
  <c r="E977" i="1"/>
  <c r="BA976" i="1"/>
  <c r="AO976" i="1"/>
  <c r="AC976" i="1"/>
  <c r="Q976" i="1"/>
  <c r="E976" i="1"/>
  <c r="BA975" i="1"/>
  <c r="AO975" i="1"/>
  <c r="AC975" i="1"/>
  <c r="Q975" i="1"/>
  <c r="E975" i="1"/>
  <c r="BA974" i="1"/>
  <c r="AO974" i="1"/>
  <c r="AC974" i="1"/>
  <c r="Q974" i="1"/>
  <c r="E974" i="1"/>
  <c r="BA973" i="1"/>
  <c r="AO973" i="1"/>
  <c r="AC973" i="1"/>
  <c r="Q973" i="1"/>
  <c r="E973" i="1"/>
  <c r="BA972" i="1"/>
  <c r="AO972" i="1"/>
  <c r="AC972" i="1"/>
  <c r="Q972" i="1"/>
  <c r="E972" i="1"/>
  <c r="BA971" i="1"/>
  <c r="AO971" i="1"/>
  <c r="AC971" i="1"/>
  <c r="Q971" i="1"/>
  <c r="E971" i="1"/>
  <c r="BA970" i="1"/>
  <c r="AO970" i="1"/>
  <c r="AC970" i="1"/>
  <c r="Q970" i="1"/>
  <c r="E970" i="1"/>
  <c r="BA969" i="1"/>
  <c r="AO969" i="1"/>
  <c r="AC969" i="1"/>
  <c r="Q969" i="1"/>
  <c r="E969" i="1"/>
  <c r="BA968" i="1"/>
  <c r="AO968" i="1"/>
  <c r="AC968" i="1"/>
  <c r="Q968" i="1"/>
  <c r="E968" i="1"/>
  <c r="BA967" i="1"/>
  <c r="AO967" i="1"/>
  <c r="AC967" i="1"/>
  <c r="Q967" i="1"/>
  <c r="E967" i="1"/>
  <c r="BA965" i="1"/>
  <c r="AO965" i="1"/>
  <c r="AC965" i="1"/>
  <c r="Q965" i="1"/>
  <c r="E965" i="1"/>
  <c r="BA964" i="1"/>
  <c r="AO964" i="1"/>
  <c r="AC964" i="1"/>
  <c r="Q964" i="1"/>
  <c r="E964" i="1"/>
  <c r="BA963" i="1"/>
  <c r="AO963" i="1"/>
  <c r="AC963" i="1"/>
  <c r="Q963" i="1"/>
  <c r="E963" i="1"/>
  <c r="BA962" i="1"/>
  <c r="AO962" i="1"/>
  <c r="AC962" i="1"/>
  <c r="Q962" i="1"/>
  <c r="E962" i="1"/>
  <c r="BA961" i="1"/>
  <c r="AO961" i="1"/>
  <c r="AC961" i="1"/>
  <c r="Q961" i="1"/>
  <c r="E961" i="1"/>
  <c r="BA960" i="1"/>
  <c r="AO960" i="1"/>
  <c r="AC960" i="1"/>
  <c r="Q960" i="1"/>
  <c r="E960" i="1"/>
  <c r="BA959" i="1"/>
  <c r="AO959" i="1"/>
  <c r="AC959" i="1"/>
  <c r="Q959" i="1"/>
  <c r="E959" i="1"/>
  <c r="BA958" i="1"/>
  <c r="AO958" i="1"/>
  <c r="AC958" i="1"/>
  <c r="Q958" i="1"/>
  <c r="E958" i="1"/>
  <c r="BA957" i="1"/>
  <c r="AO957" i="1"/>
  <c r="AC957" i="1"/>
  <c r="Q957" i="1"/>
  <c r="E957" i="1"/>
  <c r="BA956" i="1"/>
  <c r="AO956" i="1"/>
  <c r="AC956" i="1"/>
  <c r="Q956" i="1"/>
  <c r="E956" i="1"/>
  <c r="BA955" i="1"/>
  <c r="AO955" i="1"/>
  <c r="AC955" i="1"/>
  <c r="Q955" i="1"/>
  <c r="E955" i="1"/>
  <c r="BA954" i="1"/>
  <c r="AO954" i="1"/>
  <c r="AC954" i="1"/>
  <c r="Q954" i="1"/>
  <c r="E954" i="1"/>
  <c r="BA953" i="1"/>
  <c r="AO953" i="1"/>
  <c r="AC953" i="1"/>
  <c r="Q953" i="1"/>
  <c r="E953" i="1"/>
  <c r="BA952" i="1"/>
  <c r="AO952" i="1"/>
  <c r="AC952" i="1"/>
  <c r="Q952" i="1"/>
  <c r="E952" i="1"/>
  <c r="BA951" i="1"/>
  <c r="AO951" i="1"/>
  <c r="AC951" i="1"/>
  <c r="Q951" i="1"/>
  <c r="E951" i="1"/>
  <c r="BA950" i="1"/>
  <c r="AO950" i="1"/>
  <c r="AC950" i="1"/>
  <c r="Q950" i="1"/>
  <c r="E950" i="1"/>
  <c r="BA949" i="1"/>
  <c r="AO949" i="1"/>
  <c r="AC949" i="1"/>
  <c r="Q949" i="1"/>
  <c r="E949" i="1"/>
  <c r="BA948" i="1"/>
  <c r="AO948" i="1"/>
  <c r="AC948" i="1"/>
  <c r="Q948" i="1"/>
  <c r="E948" i="1"/>
  <c r="BA947" i="1"/>
  <c r="AO947" i="1"/>
  <c r="AC947" i="1"/>
  <c r="Q947" i="1"/>
  <c r="E947" i="1"/>
  <c r="BA946" i="1"/>
  <c r="AO946" i="1"/>
  <c r="AC946" i="1"/>
  <c r="Q946" i="1"/>
  <c r="E946" i="1"/>
  <c r="BA945" i="1"/>
  <c r="AO945" i="1"/>
  <c r="AC945" i="1"/>
  <c r="Q945" i="1"/>
  <c r="E945" i="1"/>
  <c r="BA944" i="1"/>
  <c r="AO944" i="1"/>
  <c r="AC944" i="1"/>
  <c r="Q944" i="1"/>
  <c r="E944" i="1"/>
  <c r="BA943" i="1"/>
  <c r="AO943" i="1"/>
  <c r="AC943" i="1"/>
  <c r="Q943" i="1"/>
  <c r="E943" i="1"/>
  <c r="BA942" i="1"/>
  <c r="AO942" i="1"/>
  <c r="AC942" i="1"/>
  <c r="Q942" i="1"/>
  <c r="E942" i="1"/>
  <c r="BA941" i="1"/>
  <c r="AO941" i="1"/>
  <c r="AC941" i="1"/>
  <c r="Q941" i="1"/>
  <c r="E941" i="1"/>
  <c r="BA940" i="1"/>
  <c r="AO940" i="1"/>
  <c r="AC940" i="1"/>
  <c r="Q940" i="1"/>
  <c r="E940" i="1"/>
  <c r="BA939" i="1"/>
  <c r="AO939" i="1"/>
  <c r="AC939" i="1"/>
  <c r="Q939" i="1"/>
  <c r="E939" i="1"/>
  <c r="BA938" i="1"/>
  <c r="AO938" i="1"/>
  <c r="AC938" i="1"/>
  <c r="Q938" i="1"/>
  <c r="E938" i="1"/>
  <c r="BA937" i="1"/>
  <c r="AO937" i="1"/>
  <c r="AC937" i="1"/>
  <c r="Q937" i="1"/>
  <c r="E937" i="1"/>
  <c r="BA936" i="1"/>
  <c r="AO936" i="1"/>
  <c r="AC936" i="1"/>
  <c r="Q936" i="1"/>
  <c r="E936" i="1"/>
  <c r="BA935" i="1"/>
  <c r="AO935" i="1"/>
  <c r="AC935" i="1"/>
  <c r="Q935" i="1"/>
  <c r="E935" i="1"/>
  <c r="BA934" i="1"/>
  <c r="AO934" i="1"/>
  <c r="AC934" i="1"/>
  <c r="Q934" i="1"/>
  <c r="E934" i="1"/>
  <c r="BA933" i="1"/>
  <c r="AO933" i="1"/>
  <c r="AC933" i="1"/>
  <c r="Q933" i="1"/>
  <c r="E933" i="1"/>
  <c r="BA932" i="1"/>
  <c r="AO932" i="1"/>
  <c r="AC932" i="1"/>
  <c r="Q932" i="1"/>
  <c r="E932" i="1"/>
  <c r="BA931" i="1"/>
  <c r="AO931" i="1"/>
  <c r="AC931" i="1"/>
  <c r="Q931" i="1"/>
  <c r="E931" i="1"/>
  <c r="BA930" i="1"/>
  <c r="AO930" i="1"/>
  <c r="AC930" i="1"/>
  <c r="Q930" i="1"/>
  <c r="E930" i="1"/>
  <c r="BA929" i="1"/>
  <c r="AO929" i="1"/>
  <c r="AC929" i="1"/>
  <c r="Q929" i="1"/>
  <c r="E929" i="1"/>
  <c r="BA927" i="1"/>
  <c r="AO927" i="1"/>
  <c r="AC927" i="1"/>
  <c r="Q927" i="1"/>
  <c r="E927" i="1"/>
  <c r="BA925" i="1"/>
  <c r="AO925" i="1"/>
  <c r="AC925" i="1"/>
  <c r="Q925" i="1"/>
  <c r="E925" i="1"/>
  <c r="BA924" i="1"/>
  <c r="AO924" i="1"/>
  <c r="AC924" i="1"/>
  <c r="Q924" i="1"/>
  <c r="E924" i="1"/>
  <c r="BA923" i="1"/>
  <c r="AO923" i="1"/>
  <c r="AC923" i="1"/>
  <c r="Q923" i="1"/>
  <c r="E923" i="1"/>
  <c r="BA922" i="1"/>
  <c r="AO922" i="1"/>
  <c r="AC922" i="1"/>
  <c r="Q922" i="1"/>
  <c r="E922" i="1"/>
  <c r="BA921" i="1"/>
  <c r="AO921" i="1"/>
  <c r="AC921" i="1"/>
  <c r="Q921" i="1"/>
  <c r="E921" i="1"/>
  <c r="BA920" i="1"/>
  <c r="AO920" i="1"/>
  <c r="AC920" i="1"/>
  <c r="Q920" i="1"/>
  <c r="E920" i="1"/>
  <c r="BA919" i="1"/>
  <c r="AO919" i="1"/>
  <c r="AC919" i="1"/>
  <c r="Q919" i="1"/>
  <c r="E919" i="1"/>
  <c r="BA918" i="1"/>
  <c r="AO918" i="1"/>
  <c r="AC918" i="1"/>
  <c r="Q918" i="1"/>
  <c r="E918" i="1"/>
  <c r="BA917" i="1"/>
  <c r="AO917" i="1"/>
  <c r="AC917" i="1"/>
  <c r="Q917" i="1"/>
  <c r="E917" i="1"/>
  <c r="BA916" i="1"/>
  <c r="AO916" i="1"/>
  <c r="AC916" i="1"/>
  <c r="Q916" i="1"/>
  <c r="E916" i="1"/>
  <c r="BA915" i="1"/>
  <c r="AO915" i="1"/>
  <c r="AC915" i="1"/>
  <c r="Q915" i="1"/>
  <c r="E915" i="1"/>
  <c r="BA914" i="1"/>
  <c r="AO914" i="1"/>
  <c r="AC914" i="1"/>
  <c r="Q914" i="1"/>
  <c r="E914" i="1"/>
  <c r="BA913" i="1"/>
  <c r="AO913" i="1"/>
  <c r="AC913" i="1"/>
  <c r="Q913" i="1"/>
  <c r="E913" i="1"/>
  <c r="BA912" i="1"/>
  <c r="AO912" i="1"/>
  <c r="AC912" i="1"/>
  <c r="Q912" i="1"/>
  <c r="E912" i="1"/>
  <c r="BA909" i="1"/>
  <c r="AO909" i="1"/>
  <c r="AC909" i="1"/>
  <c r="Q909" i="1"/>
  <c r="E909" i="1"/>
  <c r="BA908" i="1"/>
  <c r="AO908" i="1"/>
  <c r="AC908" i="1"/>
  <c r="Q908" i="1"/>
  <c r="E908" i="1"/>
  <c r="BA907" i="1"/>
  <c r="AO907" i="1"/>
  <c r="AC907" i="1"/>
  <c r="Q907" i="1"/>
  <c r="E907" i="1"/>
  <c r="BA905" i="1"/>
  <c r="AO905" i="1"/>
  <c r="AC905" i="1"/>
  <c r="Q905" i="1"/>
  <c r="E905" i="1"/>
  <c r="BA904" i="1"/>
  <c r="AO904" i="1"/>
  <c r="AC904" i="1"/>
  <c r="Q904" i="1"/>
  <c r="E904" i="1"/>
  <c r="BA902" i="1"/>
  <c r="AO902" i="1"/>
  <c r="AC902" i="1"/>
  <c r="Q902" i="1"/>
  <c r="E902" i="1"/>
  <c r="BA901" i="1"/>
  <c r="AO901" i="1"/>
  <c r="AC901" i="1"/>
  <c r="Q901" i="1"/>
  <c r="E901" i="1"/>
  <c r="BA900" i="1"/>
  <c r="AO900" i="1"/>
  <c r="AC900" i="1"/>
  <c r="Q900" i="1"/>
  <c r="E900" i="1"/>
  <c r="BA899" i="1"/>
  <c r="AO899" i="1"/>
  <c r="AC899" i="1"/>
  <c r="Q899" i="1"/>
  <c r="E899" i="1"/>
  <c r="BA898" i="1"/>
  <c r="AO898" i="1"/>
  <c r="AC898" i="1"/>
  <c r="Q898" i="1"/>
  <c r="E898" i="1"/>
  <c r="BA897" i="1"/>
  <c r="AO897" i="1"/>
  <c r="AC897" i="1"/>
  <c r="Q897" i="1"/>
  <c r="E897" i="1"/>
  <c r="BA896" i="1"/>
  <c r="AO896" i="1"/>
  <c r="AC896" i="1"/>
  <c r="Q896" i="1"/>
  <c r="E896" i="1"/>
  <c r="BA895" i="1"/>
  <c r="AO895" i="1"/>
  <c r="AC895" i="1"/>
  <c r="Q895" i="1"/>
  <c r="E895" i="1"/>
  <c r="BA894" i="1"/>
  <c r="AO894" i="1"/>
  <c r="AC894" i="1"/>
  <c r="Q894" i="1"/>
  <c r="E894" i="1"/>
  <c r="BA892" i="1"/>
  <c r="AO892" i="1"/>
  <c r="AC892" i="1"/>
  <c r="Q892" i="1"/>
  <c r="E892" i="1"/>
  <c r="BA890" i="1"/>
  <c r="AO890" i="1"/>
  <c r="AC890" i="1"/>
  <c r="Q890" i="1"/>
  <c r="E890" i="1"/>
  <c r="BA889" i="1"/>
  <c r="AO889" i="1"/>
  <c r="AC889" i="1"/>
  <c r="Q889" i="1"/>
  <c r="E889" i="1"/>
  <c r="BA888" i="1"/>
  <c r="AO888" i="1"/>
  <c r="AC888" i="1"/>
  <c r="Q888" i="1"/>
  <c r="E888" i="1"/>
  <c r="BA887" i="1"/>
  <c r="AO887" i="1"/>
  <c r="AC887" i="1"/>
  <c r="Q887" i="1"/>
  <c r="E887" i="1"/>
  <c r="BA886" i="1"/>
  <c r="AO886" i="1"/>
  <c r="AC886" i="1"/>
  <c r="Q886" i="1"/>
  <c r="E886" i="1"/>
  <c r="BA885" i="1"/>
  <c r="AO885" i="1"/>
  <c r="AC885" i="1"/>
  <c r="Q885" i="1"/>
  <c r="E885" i="1"/>
  <c r="BA884" i="1"/>
  <c r="AO884" i="1"/>
  <c r="AC884" i="1"/>
  <c r="Q884" i="1"/>
  <c r="E884" i="1"/>
  <c r="BA883" i="1"/>
  <c r="AO883" i="1"/>
  <c r="AC883" i="1"/>
  <c r="Q883" i="1"/>
  <c r="E883" i="1"/>
  <c r="BA881" i="1"/>
  <c r="AO881" i="1"/>
  <c r="AC881" i="1"/>
  <c r="Q881" i="1"/>
  <c r="E881" i="1"/>
  <c r="BA880" i="1"/>
  <c r="AO880" i="1"/>
  <c r="AC880" i="1"/>
  <c r="Q880" i="1"/>
  <c r="E880" i="1"/>
  <c r="BA879" i="1"/>
  <c r="AO879" i="1"/>
  <c r="AC879" i="1"/>
  <c r="Q879" i="1"/>
  <c r="E879" i="1"/>
  <c r="BA878" i="1"/>
  <c r="AO878" i="1"/>
  <c r="AC878" i="1"/>
  <c r="Q878" i="1"/>
  <c r="E878" i="1"/>
  <c r="BA877" i="1"/>
  <c r="AO877" i="1"/>
  <c r="AC877" i="1"/>
  <c r="Q877" i="1"/>
  <c r="E877" i="1"/>
  <c r="BA876" i="1"/>
  <c r="AO876" i="1"/>
  <c r="AC876" i="1"/>
  <c r="Q876" i="1"/>
  <c r="E876" i="1"/>
  <c r="BA875" i="1"/>
  <c r="AO875" i="1"/>
  <c r="AC875" i="1"/>
  <c r="Q875" i="1"/>
  <c r="E875" i="1"/>
  <c r="BA874" i="1"/>
  <c r="AO874" i="1"/>
  <c r="AC874" i="1"/>
  <c r="Q874" i="1"/>
  <c r="E874" i="1"/>
  <c r="BA873" i="1"/>
  <c r="AO873" i="1"/>
  <c r="AC873" i="1"/>
  <c r="Q873" i="1"/>
  <c r="E873" i="1"/>
  <c r="BA872" i="1"/>
  <c r="AO872" i="1"/>
  <c r="AC872" i="1"/>
  <c r="Q872" i="1"/>
  <c r="E872" i="1"/>
  <c r="BA871" i="1"/>
  <c r="AO871" i="1"/>
  <c r="AC871" i="1"/>
  <c r="Q871" i="1"/>
  <c r="E871" i="1"/>
  <c r="BA870" i="1"/>
  <c r="AO870" i="1"/>
  <c r="AC870" i="1"/>
  <c r="Q870" i="1"/>
  <c r="E870" i="1"/>
  <c r="BA868" i="1"/>
  <c r="AO868" i="1"/>
  <c r="AC868" i="1"/>
  <c r="Q868" i="1"/>
  <c r="E868" i="1"/>
  <c r="BA866" i="1"/>
  <c r="AO866" i="1"/>
  <c r="AC866" i="1"/>
  <c r="Q866" i="1"/>
  <c r="E866" i="1"/>
  <c r="BA865" i="1"/>
  <c r="AO865" i="1"/>
  <c r="AC865" i="1"/>
  <c r="Q865" i="1"/>
  <c r="E865" i="1"/>
  <c r="BA864" i="1"/>
  <c r="AO864" i="1"/>
  <c r="AC864" i="1"/>
  <c r="Q864" i="1"/>
  <c r="E864" i="1"/>
  <c r="BA863" i="1"/>
  <c r="AO863" i="1"/>
  <c r="AC863" i="1"/>
  <c r="Q863" i="1"/>
  <c r="E863" i="1"/>
  <c r="BA862" i="1"/>
  <c r="AO862" i="1"/>
  <c r="AC862" i="1"/>
  <c r="Q862" i="1"/>
  <c r="E862" i="1"/>
  <c r="BA861" i="1"/>
  <c r="AO861" i="1"/>
  <c r="AC861" i="1"/>
  <c r="Q861" i="1"/>
  <c r="E861" i="1"/>
  <c r="BA860" i="1"/>
  <c r="AO860" i="1"/>
  <c r="AC860" i="1"/>
  <c r="Q860" i="1"/>
  <c r="E860" i="1"/>
  <c r="BA859" i="1"/>
  <c r="AO859" i="1"/>
  <c r="AC859" i="1"/>
  <c r="Q859" i="1"/>
  <c r="E859" i="1"/>
  <c r="BA857" i="1"/>
  <c r="AO857" i="1"/>
  <c r="AC857" i="1"/>
  <c r="Q857" i="1"/>
  <c r="E857" i="1"/>
  <c r="BA856" i="1"/>
  <c r="AO856" i="1"/>
  <c r="AC856" i="1"/>
  <c r="Q856" i="1"/>
  <c r="E856" i="1"/>
  <c r="BA855" i="1"/>
  <c r="AO855" i="1"/>
  <c r="AC855" i="1"/>
  <c r="Q855" i="1"/>
  <c r="E855" i="1"/>
  <c r="BA854" i="1"/>
  <c r="AO854" i="1"/>
  <c r="AC854" i="1"/>
  <c r="Q854" i="1"/>
  <c r="E854" i="1"/>
  <c r="BA853" i="1"/>
  <c r="AO853" i="1"/>
  <c r="AC853" i="1"/>
  <c r="Q853" i="1"/>
  <c r="E853" i="1"/>
  <c r="BA852" i="1"/>
  <c r="AO852" i="1"/>
  <c r="AC852" i="1"/>
  <c r="Q852" i="1"/>
  <c r="E852" i="1"/>
  <c r="BA851" i="1"/>
  <c r="AO851" i="1"/>
  <c r="AC851" i="1"/>
  <c r="Q851" i="1"/>
  <c r="E851" i="1"/>
  <c r="BA850" i="1"/>
  <c r="AO850" i="1"/>
  <c r="AC850" i="1"/>
  <c r="Q850" i="1"/>
  <c r="E850" i="1"/>
  <c r="BA849" i="1"/>
  <c r="AO849" i="1"/>
  <c r="AC849" i="1"/>
  <c r="Q849" i="1"/>
  <c r="E849" i="1"/>
  <c r="BA848" i="1"/>
  <c r="AO848" i="1"/>
  <c r="AC848" i="1"/>
  <c r="Q848" i="1"/>
  <c r="E848" i="1"/>
  <c r="BA847" i="1"/>
  <c r="AO847" i="1"/>
  <c r="AC847" i="1"/>
  <c r="Q847" i="1"/>
  <c r="E847" i="1"/>
  <c r="BA845" i="1"/>
  <c r="AO845" i="1"/>
  <c r="AC845" i="1"/>
  <c r="Q845" i="1"/>
  <c r="E845" i="1"/>
  <c r="BA844" i="1"/>
  <c r="AO844" i="1"/>
  <c r="AC844" i="1"/>
  <c r="Q844" i="1"/>
  <c r="E844" i="1"/>
  <c r="BA843" i="1"/>
  <c r="AO843" i="1"/>
  <c r="AC843" i="1"/>
  <c r="Q843" i="1"/>
  <c r="E843" i="1"/>
  <c r="BA842" i="1"/>
  <c r="AO842" i="1"/>
  <c r="AC842" i="1"/>
  <c r="Q842" i="1"/>
  <c r="E842" i="1"/>
  <c r="BA841" i="1"/>
  <c r="AO841" i="1"/>
  <c r="AC841" i="1"/>
  <c r="Q841" i="1"/>
  <c r="E841" i="1"/>
  <c r="BA840" i="1"/>
  <c r="AO840" i="1"/>
  <c r="AC840" i="1"/>
  <c r="Q840" i="1"/>
  <c r="E840" i="1"/>
  <c r="BA839" i="1"/>
  <c r="AO839" i="1"/>
  <c r="AC839" i="1"/>
  <c r="Q839" i="1"/>
  <c r="E839" i="1"/>
  <c r="BA838" i="1"/>
  <c r="AO838" i="1"/>
  <c r="AC838" i="1"/>
  <c r="Q838" i="1"/>
  <c r="E838" i="1"/>
  <c r="BA837" i="1"/>
  <c r="AO837" i="1"/>
  <c r="AC837" i="1"/>
  <c r="Q837" i="1"/>
  <c r="E837" i="1"/>
  <c r="BA836" i="1"/>
  <c r="AO836" i="1"/>
  <c r="AC836" i="1"/>
  <c r="Q836" i="1"/>
  <c r="E836" i="1"/>
  <c r="BA835" i="1"/>
  <c r="AO835" i="1"/>
  <c r="AC835" i="1"/>
  <c r="Q835" i="1"/>
  <c r="E835" i="1"/>
  <c r="BA834" i="1"/>
  <c r="AO834" i="1"/>
  <c r="AC834" i="1"/>
  <c r="Q834" i="1"/>
  <c r="E834" i="1"/>
  <c r="BA833" i="1"/>
  <c r="AO833" i="1"/>
  <c r="AC833" i="1"/>
  <c r="Q833" i="1"/>
  <c r="E833" i="1"/>
  <c r="BA832" i="1"/>
  <c r="AO832" i="1"/>
  <c r="AC832" i="1"/>
  <c r="Q832" i="1"/>
  <c r="E832" i="1"/>
  <c r="BA831" i="1"/>
  <c r="AO831" i="1"/>
  <c r="AC831" i="1"/>
  <c r="Q831" i="1"/>
  <c r="E831" i="1"/>
  <c r="BA830" i="1"/>
  <c r="AO830" i="1"/>
  <c r="AC830" i="1"/>
  <c r="Q830" i="1"/>
  <c r="E830" i="1"/>
  <c r="BA829" i="1"/>
  <c r="AO829" i="1"/>
  <c r="AC829" i="1"/>
  <c r="Q829" i="1"/>
  <c r="E829" i="1"/>
  <c r="BA828" i="1"/>
  <c r="AO828" i="1"/>
  <c r="AC828" i="1"/>
  <c r="Q828" i="1"/>
  <c r="E828" i="1"/>
  <c r="BA827" i="1"/>
  <c r="AO827" i="1"/>
  <c r="AC827" i="1"/>
  <c r="Q827" i="1"/>
  <c r="E827" i="1"/>
  <c r="BA826" i="1"/>
  <c r="AO826" i="1"/>
  <c r="AC826" i="1"/>
  <c r="Q826" i="1"/>
  <c r="E826" i="1"/>
  <c r="BA825" i="1"/>
  <c r="AO825" i="1"/>
  <c r="AC825" i="1"/>
  <c r="Q825" i="1"/>
  <c r="E825" i="1"/>
  <c r="BA824" i="1"/>
  <c r="AO824" i="1"/>
  <c r="AC824" i="1"/>
  <c r="Q824" i="1"/>
  <c r="E824" i="1"/>
  <c r="BA823" i="1"/>
  <c r="AO823" i="1"/>
  <c r="AC823" i="1"/>
  <c r="Q823" i="1"/>
  <c r="E823" i="1"/>
  <c r="BA822" i="1"/>
  <c r="AO822" i="1"/>
  <c r="AC822" i="1"/>
  <c r="Q822" i="1"/>
  <c r="E822" i="1"/>
  <c r="BA821" i="1"/>
  <c r="AO821" i="1"/>
  <c r="AC821" i="1"/>
  <c r="Q821" i="1"/>
  <c r="E821" i="1"/>
  <c r="BA820" i="1"/>
  <c r="AO820" i="1"/>
  <c r="AC820" i="1"/>
  <c r="Q820" i="1"/>
  <c r="E820" i="1"/>
  <c r="BA819" i="1"/>
  <c r="AO819" i="1"/>
  <c r="AC819" i="1"/>
  <c r="Q819" i="1"/>
  <c r="E819" i="1"/>
  <c r="BA818" i="1"/>
  <c r="AO818" i="1"/>
  <c r="AC818" i="1"/>
  <c r="Q818" i="1"/>
  <c r="E818" i="1"/>
  <c r="BA817" i="1"/>
  <c r="AO817" i="1"/>
  <c r="AC817" i="1"/>
  <c r="Q817" i="1"/>
  <c r="E817" i="1"/>
  <c r="BA816" i="1"/>
  <c r="AO816" i="1"/>
  <c r="AC816" i="1"/>
  <c r="Q816" i="1"/>
  <c r="E816" i="1"/>
  <c r="BA815" i="1"/>
  <c r="AO815" i="1"/>
  <c r="AC815" i="1"/>
  <c r="Q815" i="1"/>
  <c r="E815" i="1"/>
  <c r="BA814" i="1"/>
  <c r="AO814" i="1"/>
  <c r="AC814" i="1"/>
  <c r="Q814" i="1"/>
  <c r="E814" i="1"/>
  <c r="BA813" i="1"/>
  <c r="AO813" i="1"/>
  <c r="AC813" i="1"/>
  <c r="Q813" i="1"/>
  <c r="E813" i="1"/>
  <c r="BA812" i="1"/>
  <c r="AO812" i="1"/>
  <c r="AC812" i="1"/>
  <c r="Q812" i="1"/>
  <c r="E812" i="1"/>
  <c r="BA811" i="1"/>
  <c r="AO811" i="1"/>
  <c r="AC811" i="1"/>
  <c r="Q811" i="1"/>
  <c r="E811" i="1"/>
  <c r="BA810" i="1"/>
  <c r="AO810" i="1"/>
  <c r="AC810" i="1"/>
  <c r="Q810" i="1"/>
  <c r="E810" i="1"/>
  <c r="BA809" i="1"/>
  <c r="AO809" i="1"/>
  <c r="AC809" i="1"/>
  <c r="Q809" i="1"/>
  <c r="E809" i="1"/>
  <c r="BA808" i="1"/>
  <c r="AO808" i="1"/>
  <c r="AC808" i="1"/>
  <c r="Q808" i="1"/>
  <c r="E808" i="1"/>
  <c r="BA807" i="1"/>
  <c r="AO807" i="1"/>
  <c r="AC807" i="1"/>
  <c r="Q807" i="1"/>
  <c r="E807" i="1"/>
  <c r="BA806" i="1"/>
  <c r="AO806" i="1"/>
  <c r="AC806" i="1"/>
  <c r="Q806" i="1"/>
  <c r="E806" i="1"/>
  <c r="BA805" i="1"/>
  <c r="AO805" i="1"/>
  <c r="AC805" i="1"/>
  <c r="Q805" i="1"/>
  <c r="E805" i="1"/>
  <c r="BA804" i="1"/>
  <c r="AO804" i="1"/>
  <c r="AC804" i="1"/>
  <c r="Q804" i="1"/>
  <c r="E804" i="1"/>
  <c r="BA803" i="1"/>
  <c r="AO803" i="1"/>
  <c r="AC803" i="1"/>
  <c r="Q803" i="1"/>
  <c r="E803" i="1"/>
  <c r="BA802" i="1"/>
  <c r="AO802" i="1"/>
  <c r="AC802" i="1"/>
  <c r="Q802" i="1"/>
  <c r="E802" i="1"/>
  <c r="BA801" i="1"/>
  <c r="AO801" i="1"/>
  <c r="AC801" i="1"/>
  <c r="Q801" i="1"/>
  <c r="E801" i="1"/>
  <c r="BA800" i="1"/>
  <c r="AO800" i="1"/>
  <c r="AC800" i="1"/>
  <c r="Q800" i="1"/>
  <c r="E800" i="1"/>
  <c r="BA798" i="1"/>
  <c r="AO798" i="1"/>
  <c r="AC798" i="1"/>
  <c r="Q798" i="1"/>
  <c r="E798" i="1"/>
  <c r="BA796" i="1"/>
  <c r="AO796" i="1"/>
  <c r="AC796" i="1"/>
  <c r="Q796" i="1"/>
  <c r="E796" i="1"/>
  <c r="BA795" i="1"/>
  <c r="AO795" i="1"/>
  <c r="AC795" i="1"/>
  <c r="Q795" i="1"/>
  <c r="E795" i="1"/>
  <c r="BA794" i="1"/>
  <c r="AO794" i="1"/>
  <c r="AC794" i="1"/>
  <c r="Q794" i="1"/>
  <c r="E794" i="1"/>
  <c r="BA793" i="1"/>
  <c r="AO793" i="1"/>
  <c r="AC793" i="1"/>
  <c r="Q793" i="1"/>
  <c r="E793" i="1"/>
  <c r="BA792" i="1"/>
  <c r="AO792" i="1"/>
  <c r="AC792" i="1"/>
  <c r="Q792" i="1"/>
  <c r="E792" i="1"/>
  <c r="BA791" i="1"/>
  <c r="AO791" i="1"/>
  <c r="AC791" i="1"/>
  <c r="Q791" i="1"/>
  <c r="E791" i="1"/>
  <c r="BA790" i="1"/>
  <c r="AO790" i="1"/>
  <c r="AC790" i="1"/>
  <c r="Q790" i="1"/>
  <c r="E790" i="1"/>
  <c r="BA789" i="1"/>
  <c r="AO789" i="1"/>
  <c r="AC789" i="1"/>
  <c r="Q789" i="1"/>
  <c r="E789" i="1"/>
  <c r="BA788" i="1"/>
  <c r="AO788" i="1"/>
  <c r="AC788" i="1"/>
  <c r="Q788" i="1"/>
  <c r="E788" i="1"/>
  <c r="BA787" i="1"/>
  <c r="AO787" i="1"/>
  <c r="AC787" i="1"/>
  <c r="Q787" i="1"/>
  <c r="E787" i="1"/>
  <c r="BA786" i="1"/>
  <c r="AO786" i="1"/>
  <c r="AC786" i="1"/>
  <c r="Q786" i="1"/>
  <c r="E786" i="1"/>
  <c r="BA785" i="1"/>
  <c r="AO785" i="1"/>
  <c r="AC785" i="1"/>
  <c r="Q785" i="1"/>
  <c r="E785" i="1"/>
  <c r="BA784" i="1"/>
  <c r="AO784" i="1"/>
  <c r="AC784" i="1"/>
  <c r="Q784" i="1"/>
  <c r="E784" i="1"/>
  <c r="BA783" i="1"/>
  <c r="AO783" i="1"/>
  <c r="AC783" i="1"/>
  <c r="Q783" i="1"/>
  <c r="E783" i="1"/>
  <c r="BA782" i="1"/>
  <c r="AO782" i="1"/>
  <c r="AC782" i="1"/>
  <c r="Q782" i="1"/>
  <c r="E782" i="1"/>
  <c r="BA781" i="1"/>
  <c r="AO781" i="1"/>
  <c r="AC781" i="1"/>
  <c r="Q781" i="1"/>
  <c r="E781" i="1"/>
  <c r="BA780" i="1"/>
  <c r="AO780" i="1"/>
  <c r="AC780" i="1"/>
  <c r="Q780" i="1"/>
  <c r="E780" i="1"/>
  <c r="BA779" i="1"/>
  <c r="AO779" i="1"/>
  <c r="AC779" i="1"/>
  <c r="Q779" i="1"/>
  <c r="E779" i="1"/>
  <c r="BA778" i="1"/>
  <c r="AO778" i="1"/>
  <c r="AC778" i="1"/>
  <c r="Q778" i="1"/>
  <c r="E778" i="1"/>
  <c r="BA777" i="1"/>
  <c r="AO777" i="1"/>
  <c r="AC777" i="1"/>
  <c r="Q777" i="1"/>
  <c r="E777" i="1"/>
  <c r="BA776" i="1"/>
  <c r="AO776" i="1"/>
  <c r="AC776" i="1"/>
  <c r="Q776" i="1"/>
  <c r="E776" i="1"/>
  <c r="BA775" i="1"/>
  <c r="AO775" i="1"/>
  <c r="AC775" i="1"/>
  <c r="Q775" i="1"/>
  <c r="E775" i="1"/>
  <c r="BA774" i="1"/>
  <c r="AO774" i="1"/>
  <c r="AC774" i="1"/>
  <c r="Q774" i="1"/>
  <c r="E774" i="1"/>
  <c r="BA773" i="1"/>
  <c r="AO773" i="1"/>
  <c r="AC773" i="1"/>
  <c r="Q773" i="1"/>
  <c r="E773" i="1"/>
  <c r="BA772" i="1"/>
  <c r="AO772" i="1"/>
  <c r="AC772" i="1"/>
  <c r="Q772" i="1"/>
  <c r="E772" i="1"/>
  <c r="BA771" i="1"/>
  <c r="AO771" i="1"/>
  <c r="AC771" i="1"/>
  <c r="Q771" i="1"/>
  <c r="E771" i="1"/>
  <c r="BA770" i="1"/>
  <c r="AO770" i="1"/>
  <c r="AC770" i="1"/>
  <c r="Q770" i="1"/>
  <c r="E770" i="1"/>
  <c r="BA769" i="1"/>
  <c r="AO769" i="1"/>
  <c r="AC769" i="1"/>
  <c r="Q769" i="1"/>
  <c r="E769" i="1"/>
  <c r="BA768" i="1"/>
  <c r="AO768" i="1"/>
  <c r="AC768" i="1"/>
  <c r="Q768" i="1"/>
  <c r="E768" i="1"/>
  <c r="BA767" i="1"/>
  <c r="AO767" i="1"/>
  <c r="AC767" i="1"/>
  <c r="Q767" i="1"/>
  <c r="E767" i="1"/>
  <c r="BA766" i="1"/>
  <c r="AO766" i="1"/>
  <c r="AC766" i="1"/>
  <c r="Q766" i="1"/>
  <c r="E766" i="1"/>
  <c r="BA765" i="1"/>
  <c r="AO765" i="1"/>
  <c r="AC765" i="1"/>
  <c r="Q765" i="1"/>
  <c r="E765" i="1"/>
  <c r="BA764" i="1"/>
  <c r="AO764" i="1"/>
  <c r="AC764" i="1"/>
  <c r="Q764" i="1"/>
  <c r="E764" i="1"/>
  <c r="BA763" i="1"/>
  <c r="AO763" i="1"/>
  <c r="AC763" i="1"/>
  <c r="Q763" i="1"/>
  <c r="E763" i="1"/>
  <c r="BA762" i="1"/>
  <c r="AO762" i="1"/>
  <c r="AC762" i="1"/>
  <c r="Q762" i="1"/>
  <c r="E762" i="1"/>
  <c r="BA761" i="1"/>
  <c r="AO761" i="1"/>
  <c r="AC761" i="1"/>
  <c r="Q761" i="1"/>
  <c r="E761" i="1"/>
  <c r="BA760" i="1"/>
  <c r="AO760" i="1"/>
  <c r="AC760" i="1"/>
  <c r="Q760" i="1"/>
  <c r="E760" i="1"/>
  <c r="BA759" i="1"/>
  <c r="AO759" i="1"/>
  <c r="AC759" i="1"/>
  <c r="Q759" i="1"/>
  <c r="E759" i="1"/>
  <c r="BA758" i="1"/>
  <c r="AO758" i="1"/>
  <c r="AC758" i="1"/>
  <c r="Q758" i="1"/>
  <c r="E758" i="1"/>
  <c r="BA757" i="1"/>
  <c r="AO757" i="1"/>
  <c r="AC757" i="1"/>
  <c r="Q757" i="1"/>
  <c r="E757" i="1"/>
  <c r="BA756" i="1"/>
  <c r="AO756" i="1"/>
  <c r="AC756" i="1"/>
  <c r="Q756" i="1"/>
  <c r="E756" i="1"/>
  <c r="BA755" i="1"/>
  <c r="AO755" i="1"/>
  <c r="AC755" i="1"/>
  <c r="Q755" i="1"/>
  <c r="E755" i="1"/>
  <c r="BA754" i="1"/>
  <c r="AO754" i="1"/>
  <c r="AC754" i="1"/>
  <c r="Q754" i="1"/>
  <c r="E754" i="1"/>
  <c r="BA753" i="1"/>
  <c r="AO753" i="1"/>
  <c r="AC753" i="1"/>
  <c r="Q753" i="1"/>
  <c r="E753" i="1"/>
  <c r="BA752" i="1"/>
  <c r="AO752" i="1"/>
  <c r="AC752" i="1"/>
  <c r="Q752" i="1"/>
  <c r="E752" i="1"/>
  <c r="BA751" i="1"/>
  <c r="AO751" i="1"/>
  <c r="AC751" i="1"/>
  <c r="Q751" i="1"/>
  <c r="E751" i="1"/>
  <c r="BA750" i="1"/>
  <c r="AO750" i="1"/>
  <c r="AC750" i="1"/>
  <c r="Q750" i="1"/>
  <c r="E750" i="1"/>
  <c r="BA749" i="1"/>
  <c r="AO749" i="1"/>
  <c r="AC749" i="1"/>
  <c r="Q749" i="1"/>
  <c r="E749" i="1"/>
  <c r="BA748" i="1"/>
  <c r="AO748" i="1"/>
  <c r="AC748" i="1"/>
  <c r="Q748" i="1"/>
  <c r="E748" i="1"/>
  <c r="BA747" i="1"/>
  <c r="AO747" i="1"/>
  <c r="AC747" i="1"/>
  <c r="Q747" i="1"/>
  <c r="E747" i="1"/>
  <c r="BA746" i="1"/>
  <c r="AO746" i="1"/>
  <c r="AC746" i="1"/>
  <c r="Q746" i="1"/>
  <c r="E746" i="1"/>
  <c r="BA745" i="1"/>
  <c r="AO745" i="1"/>
  <c r="AC745" i="1"/>
  <c r="Q745" i="1"/>
  <c r="E745" i="1"/>
  <c r="BA744" i="1"/>
  <c r="AO744" i="1"/>
  <c r="AC744" i="1"/>
  <c r="Q744" i="1"/>
  <c r="E744" i="1"/>
  <c r="BA743" i="1"/>
  <c r="AO743" i="1"/>
  <c r="AC743" i="1"/>
  <c r="Q743" i="1"/>
  <c r="E743" i="1"/>
  <c r="BA742" i="1"/>
  <c r="AO742" i="1"/>
  <c r="AC742" i="1"/>
  <c r="Q742" i="1"/>
  <c r="E742" i="1"/>
  <c r="BA741" i="1"/>
  <c r="AO741" i="1"/>
  <c r="AC741" i="1"/>
  <c r="Q741" i="1"/>
  <c r="E741" i="1"/>
  <c r="BA740" i="1"/>
  <c r="AO740" i="1"/>
  <c r="AC740" i="1"/>
  <c r="Q740" i="1"/>
  <c r="E740" i="1"/>
  <c r="BA739" i="1"/>
  <c r="AO739" i="1"/>
  <c r="AC739" i="1"/>
  <c r="Q739" i="1"/>
  <c r="E739" i="1"/>
  <c r="BA738" i="1"/>
  <c r="AO738" i="1"/>
  <c r="AC738" i="1"/>
  <c r="Q738" i="1"/>
  <c r="E738" i="1"/>
  <c r="BA737" i="1"/>
  <c r="AO737" i="1"/>
  <c r="AC737" i="1"/>
  <c r="Q737" i="1"/>
  <c r="E737" i="1"/>
  <c r="BA736" i="1"/>
  <c r="AO736" i="1"/>
  <c r="AC736" i="1"/>
  <c r="Q736" i="1"/>
  <c r="E736" i="1"/>
  <c r="BA735" i="1"/>
  <c r="AO735" i="1"/>
  <c r="AC735" i="1"/>
  <c r="Q735" i="1"/>
  <c r="E735" i="1"/>
  <c r="BA734" i="1"/>
  <c r="AO734" i="1"/>
  <c r="AC734" i="1"/>
  <c r="Q734" i="1"/>
  <c r="E734" i="1"/>
  <c r="BA733" i="1"/>
  <c r="AO733" i="1"/>
  <c r="AC733" i="1"/>
  <c r="Q733" i="1"/>
  <c r="E733" i="1"/>
  <c r="BA732" i="1"/>
  <c r="AO732" i="1"/>
  <c r="AC732" i="1"/>
  <c r="Q732" i="1"/>
  <c r="E732" i="1"/>
  <c r="BA731" i="1"/>
  <c r="AO731" i="1"/>
  <c r="AC731" i="1"/>
  <c r="Q731" i="1"/>
  <c r="E731" i="1"/>
  <c r="BA730" i="1"/>
  <c r="AO730" i="1"/>
  <c r="AC730" i="1"/>
  <c r="Q730" i="1"/>
  <c r="E730" i="1"/>
  <c r="BA729" i="1"/>
  <c r="AO729" i="1"/>
  <c r="AC729" i="1"/>
  <c r="Q729" i="1"/>
  <c r="E729" i="1"/>
  <c r="BA728" i="1"/>
  <c r="AO728" i="1"/>
  <c r="AC728" i="1"/>
  <c r="Q728" i="1"/>
  <c r="E728" i="1"/>
  <c r="BA727" i="1"/>
  <c r="AO727" i="1"/>
  <c r="AC727" i="1"/>
  <c r="Q727" i="1"/>
  <c r="E727" i="1"/>
  <c r="BA726" i="1"/>
  <c r="AO726" i="1"/>
  <c r="AC726" i="1"/>
  <c r="Q726" i="1"/>
  <c r="E726" i="1"/>
  <c r="BA725" i="1"/>
  <c r="AO725" i="1"/>
  <c r="AC725" i="1"/>
  <c r="Q725" i="1"/>
  <c r="E725" i="1"/>
  <c r="BA724" i="1"/>
  <c r="AO724" i="1"/>
  <c r="AC724" i="1"/>
  <c r="Q724" i="1"/>
  <c r="E724" i="1"/>
  <c r="BA723" i="1"/>
  <c r="AO723" i="1"/>
  <c r="AC723" i="1"/>
  <c r="Q723" i="1"/>
  <c r="E723" i="1"/>
  <c r="BA722" i="1"/>
  <c r="AO722" i="1"/>
  <c r="AC722" i="1"/>
  <c r="Q722" i="1"/>
  <c r="E722" i="1"/>
  <c r="BA721" i="1"/>
  <c r="AO721" i="1"/>
  <c r="AC721" i="1"/>
  <c r="Q721" i="1"/>
  <c r="E721" i="1"/>
  <c r="BA720" i="1"/>
  <c r="AO720" i="1"/>
  <c r="AC720" i="1"/>
  <c r="Q720" i="1"/>
  <c r="E720" i="1"/>
  <c r="BA717" i="1"/>
  <c r="AO717" i="1"/>
  <c r="AC717" i="1"/>
  <c r="Q717" i="1"/>
  <c r="E717" i="1"/>
  <c r="BA716" i="1"/>
  <c r="AO716" i="1"/>
  <c r="AC716" i="1"/>
  <c r="Q716" i="1"/>
  <c r="E716" i="1"/>
  <c r="BA715" i="1"/>
  <c r="AO715" i="1"/>
  <c r="AC715" i="1"/>
  <c r="Q715" i="1"/>
  <c r="E715" i="1"/>
  <c r="BA714" i="1"/>
  <c r="AO714" i="1"/>
  <c r="AC714" i="1"/>
  <c r="Q714" i="1"/>
  <c r="E714" i="1"/>
  <c r="BA713" i="1"/>
  <c r="AO713" i="1"/>
  <c r="AC713" i="1"/>
  <c r="Q713" i="1"/>
  <c r="E713" i="1"/>
  <c r="BA712" i="1"/>
  <c r="AO712" i="1"/>
  <c r="AC712" i="1"/>
  <c r="Q712" i="1"/>
  <c r="E712" i="1"/>
  <c r="BA711" i="1"/>
  <c r="AO711" i="1"/>
  <c r="AC711" i="1"/>
  <c r="Q711" i="1"/>
  <c r="E711" i="1"/>
  <c r="BA710" i="1"/>
  <c r="AO710" i="1"/>
  <c r="AC710" i="1"/>
  <c r="Q710" i="1"/>
  <c r="E710" i="1"/>
  <c r="BA709" i="1"/>
  <c r="AO709" i="1"/>
  <c r="AC709" i="1"/>
  <c r="Q709" i="1"/>
  <c r="E709" i="1"/>
  <c r="BA708" i="1"/>
  <c r="AO708" i="1"/>
  <c r="AC708" i="1"/>
  <c r="Q708" i="1"/>
  <c r="E708" i="1"/>
  <c r="BA706" i="1"/>
  <c r="AO706" i="1"/>
  <c r="AC706" i="1"/>
  <c r="Q706" i="1"/>
  <c r="E706" i="1"/>
  <c r="BA705" i="1"/>
  <c r="AO705" i="1"/>
  <c r="AC705" i="1"/>
  <c r="Q705" i="1"/>
  <c r="E705" i="1"/>
  <c r="BA703" i="1"/>
  <c r="AO703" i="1"/>
  <c r="AC703" i="1"/>
  <c r="Q703" i="1"/>
  <c r="E703" i="1"/>
  <c r="BA702" i="1"/>
  <c r="AO702" i="1"/>
  <c r="AC702" i="1"/>
  <c r="Q702" i="1"/>
  <c r="E702" i="1"/>
  <c r="BA701" i="1"/>
  <c r="AO701" i="1"/>
  <c r="AC701" i="1"/>
  <c r="Q701" i="1"/>
  <c r="E701" i="1"/>
  <c r="BA700" i="1"/>
  <c r="AO700" i="1"/>
  <c r="AC700" i="1"/>
  <c r="Q700" i="1"/>
  <c r="E700" i="1"/>
  <c r="BA699" i="1"/>
  <c r="AO699" i="1"/>
  <c r="AC699" i="1"/>
  <c r="Q699" i="1"/>
  <c r="E699" i="1"/>
  <c r="BA698" i="1"/>
  <c r="AO698" i="1"/>
  <c r="AC698" i="1"/>
  <c r="Q698" i="1"/>
  <c r="E698" i="1"/>
  <c r="BA697" i="1"/>
  <c r="AO697" i="1"/>
  <c r="AC697" i="1"/>
  <c r="Q697" i="1"/>
  <c r="E697" i="1"/>
  <c r="BA696" i="1"/>
  <c r="AO696" i="1"/>
  <c r="AC696" i="1"/>
  <c r="Q696" i="1"/>
  <c r="E696" i="1"/>
  <c r="BA695" i="1"/>
  <c r="AO695" i="1"/>
  <c r="AC695" i="1"/>
  <c r="Q695" i="1"/>
  <c r="E695" i="1"/>
  <c r="BA694" i="1"/>
  <c r="AO694" i="1"/>
  <c r="AC694" i="1"/>
  <c r="Q694" i="1"/>
  <c r="E694" i="1"/>
  <c r="BA693" i="1"/>
  <c r="AO693" i="1"/>
  <c r="AC693" i="1"/>
  <c r="Q693" i="1"/>
  <c r="E693" i="1"/>
  <c r="BA692" i="1"/>
  <c r="AO692" i="1"/>
  <c r="AC692" i="1"/>
  <c r="Q692" i="1"/>
  <c r="E692" i="1"/>
  <c r="BA691" i="1"/>
  <c r="AO691" i="1"/>
  <c r="AC691" i="1"/>
  <c r="Q691" i="1"/>
  <c r="E691" i="1"/>
  <c r="BA690" i="1"/>
  <c r="AO690" i="1"/>
  <c r="AC690" i="1"/>
  <c r="Q690" i="1"/>
  <c r="E690" i="1"/>
  <c r="BA689" i="1"/>
  <c r="AO689" i="1"/>
  <c r="AC689" i="1"/>
  <c r="Q689" i="1"/>
  <c r="E689" i="1"/>
  <c r="BA688" i="1"/>
  <c r="AO688" i="1"/>
  <c r="AC688" i="1"/>
  <c r="Q688" i="1"/>
  <c r="E688" i="1"/>
  <c r="BA687" i="1"/>
  <c r="AO687" i="1"/>
  <c r="AC687" i="1"/>
  <c r="Q687" i="1"/>
  <c r="E687" i="1"/>
  <c r="BA686" i="1"/>
  <c r="AO686" i="1"/>
  <c r="AC686" i="1"/>
  <c r="Q686" i="1"/>
  <c r="E686" i="1"/>
  <c r="BA685" i="1"/>
  <c r="AO685" i="1"/>
  <c r="AC685" i="1"/>
  <c r="Q685" i="1"/>
  <c r="E685" i="1"/>
  <c r="BA684" i="1"/>
  <c r="AO684" i="1"/>
  <c r="AC684" i="1"/>
  <c r="Q684" i="1"/>
  <c r="E684" i="1"/>
  <c r="BA683" i="1"/>
  <c r="AO683" i="1"/>
  <c r="AC683" i="1"/>
  <c r="Q683" i="1"/>
  <c r="E683" i="1"/>
  <c r="BA682" i="1"/>
  <c r="AO682" i="1"/>
  <c r="AC682" i="1"/>
  <c r="Q682" i="1"/>
  <c r="E682" i="1"/>
  <c r="BA681" i="1"/>
  <c r="AO681" i="1"/>
  <c r="AC681" i="1"/>
  <c r="Q681" i="1"/>
  <c r="E681" i="1"/>
  <c r="BA680" i="1"/>
  <c r="AO680" i="1"/>
  <c r="AC680" i="1"/>
  <c r="Q680" i="1"/>
  <c r="E680" i="1"/>
  <c r="BA679" i="1"/>
  <c r="AO679" i="1"/>
  <c r="AC679" i="1"/>
  <c r="Q679" i="1"/>
  <c r="E679" i="1"/>
  <c r="BA678" i="1"/>
  <c r="AO678" i="1"/>
  <c r="AC678" i="1"/>
  <c r="Q678" i="1"/>
  <c r="E678" i="1"/>
  <c r="BA677" i="1"/>
  <c r="AO677" i="1"/>
  <c r="AC677" i="1"/>
  <c r="Q677" i="1"/>
  <c r="E677" i="1"/>
  <c r="BA676" i="1"/>
  <c r="AO676" i="1"/>
  <c r="AC676" i="1"/>
  <c r="Q676" i="1"/>
  <c r="E676" i="1"/>
  <c r="BA675" i="1"/>
  <c r="AO675" i="1"/>
  <c r="AC675" i="1"/>
  <c r="Q675" i="1"/>
  <c r="E675" i="1"/>
  <c r="BA674" i="1"/>
  <c r="AO674" i="1"/>
  <c r="AC674" i="1"/>
  <c r="Q674" i="1"/>
  <c r="E674" i="1"/>
  <c r="BA673" i="1"/>
  <c r="AO673" i="1"/>
  <c r="AC673" i="1"/>
  <c r="Q673" i="1"/>
  <c r="E673" i="1"/>
  <c r="BA672" i="1"/>
  <c r="AO672" i="1"/>
  <c r="AC672" i="1"/>
  <c r="Q672" i="1"/>
  <c r="E672" i="1"/>
  <c r="BA671" i="1"/>
  <c r="AO671" i="1"/>
  <c r="AC671" i="1"/>
  <c r="Q671" i="1"/>
  <c r="E671" i="1"/>
  <c r="BA670" i="1"/>
  <c r="AO670" i="1"/>
  <c r="AC670" i="1"/>
  <c r="Q670" i="1"/>
  <c r="E670" i="1"/>
  <c r="BA669" i="1"/>
  <c r="AO669" i="1"/>
  <c r="AC669" i="1"/>
  <c r="Q669" i="1"/>
  <c r="E669" i="1"/>
  <c r="BA668" i="1"/>
  <c r="AO668" i="1"/>
  <c r="AC668" i="1"/>
  <c r="Q668" i="1"/>
  <c r="E668" i="1"/>
  <c r="BA667" i="1"/>
  <c r="AO667" i="1"/>
  <c r="AC667" i="1"/>
  <c r="Q667" i="1"/>
  <c r="E667" i="1"/>
  <c r="BA666" i="1"/>
  <c r="AO666" i="1"/>
  <c r="AC666" i="1"/>
  <c r="Q666" i="1"/>
  <c r="E666" i="1"/>
  <c r="BA665" i="1"/>
  <c r="AO665" i="1"/>
  <c r="AC665" i="1"/>
  <c r="Q665" i="1"/>
  <c r="E665" i="1"/>
  <c r="BA664" i="1"/>
  <c r="AO664" i="1"/>
  <c r="AC664" i="1"/>
  <c r="Q664" i="1"/>
  <c r="E664" i="1"/>
  <c r="BA663" i="1"/>
  <c r="AO663" i="1"/>
  <c r="AC663" i="1"/>
  <c r="Q663" i="1"/>
  <c r="E663" i="1"/>
  <c r="BA662" i="1"/>
  <c r="AO662" i="1"/>
  <c r="AC662" i="1"/>
  <c r="Q662" i="1"/>
  <c r="E662" i="1"/>
  <c r="BA661" i="1"/>
  <c r="AO661" i="1"/>
  <c r="AC661" i="1"/>
  <c r="Q661" i="1"/>
  <c r="E661" i="1"/>
  <c r="BA660" i="1"/>
  <c r="AO660" i="1"/>
  <c r="AC660" i="1"/>
  <c r="Q660" i="1"/>
  <c r="E660" i="1"/>
  <c r="BA659" i="1"/>
  <c r="AO659" i="1"/>
  <c r="AC659" i="1"/>
  <c r="Q659" i="1"/>
  <c r="E659" i="1"/>
  <c r="BA658" i="1"/>
  <c r="AO658" i="1"/>
  <c r="AC658" i="1"/>
  <c r="Q658" i="1"/>
  <c r="E658" i="1"/>
  <c r="BA657" i="1"/>
  <c r="AO657" i="1"/>
  <c r="AC657" i="1"/>
  <c r="Q657" i="1"/>
  <c r="E657" i="1"/>
  <c r="BA656" i="1"/>
  <c r="AO656" i="1"/>
  <c r="AC656" i="1"/>
  <c r="Q656" i="1"/>
  <c r="E656" i="1"/>
  <c r="BA655" i="1"/>
  <c r="AO655" i="1"/>
  <c r="AC655" i="1"/>
  <c r="Q655" i="1"/>
  <c r="E655" i="1"/>
  <c r="BA653" i="1"/>
  <c r="AO653" i="1"/>
  <c r="AC653" i="1"/>
  <c r="Q653" i="1"/>
  <c r="E653" i="1"/>
  <c r="BA652" i="1"/>
  <c r="AO652" i="1"/>
  <c r="AC652" i="1"/>
  <c r="Q652" i="1"/>
  <c r="E652" i="1"/>
  <c r="BA651" i="1"/>
  <c r="AO651" i="1"/>
  <c r="AC651" i="1"/>
  <c r="Q651" i="1"/>
  <c r="E651" i="1"/>
  <c r="BA650" i="1"/>
  <c r="AO650" i="1"/>
  <c r="AC650" i="1"/>
  <c r="Q650" i="1"/>
  <c r="E650" i="1"/>
  <c r="BA649" i="1"/>
  <c r="AO649" i="1"/>
  <c r="AC649" i="1"/>
  <c r="Q649" i="1"/>
  <c r="E649" i="1"/>
  <c r="BA648" i="1"/>
  <c r="AO648" i="1"/>
  <c r="AC648" i="1"/>
  <c r="Q648" i="1"/>
  <c r="E648" i="1"/>
  <c r="BA647" i="1"/>
  <c r="AO647" i="1"/>
  <c r="AC647" i="1"/>
  <c r="Q647" i="1"/>
  <c r="E647" i="1"/>
  <c r="BA646" i="1"/>
  <c r="AO646" i="1"/>
  <c r="AC646" i="1"/>
  <c r="Q646" i="1"/>
  <c r="E646" i="1"/>
  <c r="BA645" i="1"/>
  <c r="AO645" i="1"/>
  <c r="AC645" i="1"/>
  <c r="Q645" i="1"/>
  <c r="E645" i="1"/>
  <c r="BA644" i="1"/>
  <c r="AO644" i="1"/>
  <c r="AC644" i="1"/>
  <c r="Q644" i="1"/>
  <c r="E644" i="1"/>
  <c r="BA643" i="1"/>
  <c r="AO643" i="1"/>
  <c r="AC643" i="1"/>
  <c r="Q643" i="1"/>
  <c r="E643" i="1"/>
  <c r="BA642" i="1"/>
  <c r="AO642" i="1"/>
  <c r="AC642" i="1"/>
  <c r="Q642" i="1"/>
  <c r="E642" i="1"/>
  <c r="BA641" i="1"/>
  <c r="AO641" i="1"/>
  <c r="AC641" i="1"/>
  <c r="Q641" i="1"/>
  <c r="E641" i="1"/>
  <c r="BA640" i="1"/>
  <c r="AO640" i="1"/>
  <c r="AC640" i="1"/>
  <c r="Q640" i="1"/>
  <c r="E640" i="1"/>
  <c r="BA639" i="1"/>
  <c r="AO639" i="1"/>
  <c r="AC639" i="1"/>
  <c r="Q639" i="1"/>
  <c r="E639" i="1"/>
  <c r="BA638" i="1"/>
  <c r="AO638" i="1"/>
  <c r="AC638" i="1"/>
  <c r="Q638" i="1"/>
  <c r="E638" i="1"/>
  <c r="BA637" i="1"/>
  <c r="AO637" i="1"/>
  <c r="AC637" i="1"/>
  <c r="Q637" i="1"/>
  <c r="E637" i="1"/>
  <c r="BA636" i="1"/>
  <c r="AO636" i="1"/>
  <c r="AC636" i="1"/>
  <c r="Q636" i="1"/>
  <c r="E636" i="1"/>
  <c r="BA635" i="1"/>
  <c r="AO635" i="1"/>
  <c r="AC635" i="1"/>
  <c r="Q635" i="1"/>
  <c r="E635" i="1"/>
  <c r="BA634" i="1"/>
  <c r="AO634" i="1"/>
  <c r="AC634" i="1"/>
  <c r="Q634" i="1"/>
  <c r="E634" i="1"/>
  <c r="BA632" i="1"/>
  <c r="AO632" i="1"/>
  <c r="AC632" i="1"/>
  <c r="Q632" i="1"/>
  <c r="E632" i="1"/>
  <c r="BA631" i="1"/>
  <c r="AO631" i="1"/>
  <c r="AC631" i="1"/>
  <c r="Q631" i="1"/>
  <c r="E631" i="1"/>
  <c r="BA630" i="1"/>
  <c r="AO630" i="1"/>
  <c r="AC630" i="1"/>
  <c r="Q630" i="1"/>
  <c r="E630" i="1"/>
  <c r="BA629" i="1"/>
  <c r="AO629" i="1"/>
  <c r="AC629" i="1"/>
  <c r="Q629" i="1"/>
  <c r="E629" i="1"/>
  <c r="BA628" i="1"/>
  <c r="AO628" i="1"/>
  <c r="AC628" i="1"/>
  <c r="Q628" i="1"/>
  <c r="E628" i="1"/>
  <c r="BA627" i="1"/>
  <c r="AO627" i="1"/>
  <c r="AC627" i="1"/>
  <c r="Q627" i="1"/>
  <c r="E627" i="1"/>
  <c r="BA626" i="1"/>
  <c r="AO626" i="1"/>
  <c r="AC626" i="1"/>
  <c r="Q626" i="1"/>
  <c r="E626" i="1"/>
  <c r="BA625" i="1"/>
  <c r="AO625" i="1"/>
  <c r="AC625" i="1"/>
  <c r="Q625" i="1"/>
  <c r="E625" i="1"/>
  <c r="BA624" i="1"/>
  <c r="AO624" i="1"/>
  <c r="AC624" i="1"/>
  <c r="Q624" i="1"/>
  <c r="E624" i="1"/>
  <c r="BA623" i="1"/>
  <c r="AO623" i="1"/>
  <c r="AC623" i="1"/>
  <c r="Q623" i="1"/>
  <c r="E623" i="1"/>
  <c r="BA622" i="1"/>
  <c r="AO622" i="1"/>
  <c r="AC622" i="1"/>
  <c r="Q622" i="1"/>
  <c r="E622" i="1"/>
  <c r="BA621" i="1"/>
  <c r="AO621" i="1"/>
  <c r="AC621" i="1"/>
  <c r="Q621" i="1"/>
  <c r="E621" i="1"/>
  <c r="BA620" i="1"/>
  <c r="AO620" i="1"/>
  <c r="AC620" i="1"/>
  <c r="Q620" i="1"/>
  <c r="E620" i="1"/>
  <c r="BA619" i="1"/>
  <c r="AO619" i="1"/>
  <c r="AC619" i="1"/>
  <c r="Q619" i="1"/>
  <c r="E619" i="1"/>
  <c r="BA618" i="1"/>
  <c r="AO618" i="1"/>
  <c r="AC618" i="1"/>
  <c r="Q618" i="1"/>
  <c r="E618" i="1"/>
  <c r="BA617" i="1"/>
  <c r="AO617" i="1"/>
  <c r="AC617" i="1"/>
  <c r="Q617" i="1"/>
  <c r="E617" i="1"/>
  <c r="BA616" i="1"/>
  <c r="AO616" i="1"/>
  <c r="AC616" i="1"/>
  <c r="Q616" i="1"/>
  <c r="E616" i="1"/>
  <c r="BA615" i="1"/>
  <c r="AO615" i="1"/>
  <c r="AC615" i="1"/>
  <c r="Q615" i="1"/>
  <c r="E615" i="1"/>
  <c r="BA614" i="1"/>
  <c r="AO614" i="1"/>
  <c r="AC614" i="1"/>
  <c r="Q614" i="1"/>
  <c r="E614" i="1"/>
  <c r="BA613" i="1"/>
  <c r="AO613" i="1"/>
  <c r="AC613" i="1"/>
  <c r="Q613" i="1"/>
  <c r="E613" i="1"/>
  <c r="BA612" i="1"/>
  <c r="AO612" i="1"/>
  <c r="AC612" i="1"/>
  <c r="Q612" i="1"/>
  <c r="E612" i="1"/>
  <c r="BA611" i="1"/>
  <c r="AO611" i="1"/>
  <c r="AC611" i="1"/>
  <c r="Q611" i="1"/>
  <c r="E611" i="1"/>
  <c r="BA610" i="1"/>
  <c r="AO610" i="1"/>
  <c r="AC610" i="1"/>
  <c r="Q610" i="1"/>
  <c r="E610" i="1"/>
  <c r="BA609" i="1"/>
  <c r="AO609" i="1"/>
  <c r="AC609" i="1"/>
  <c r="Q609" i="1"/>
  <c r="E609" i="1"/>
  <c r="BA608" i="1"/>
  <c r="AO608" i="1"/>
  <c r="AC608" i="1"/>
  <c r="Q608" i="1"/>
  <c r="E608" i="1"/>
  <c r="BA607" i="1"/>
  <c r="AO607" i="1"/>
  <c r="AC607" i="1"/>
  <c r="Q607" i="1"/>
  <c r="E607" i="1"/>
  <c r="BA606" i="1"/>
  <c r="AO606" i="1"/>
  <c r="AC606" i="1"/>
  <c r="Q606" i="1"/>
  <c r="E606" i="1"/>
  <c r="BA604" i="1"/>
  <c r="AO604" i="1"/>
  <c r="AC604" i="1"/>
  <c r="Q604" i="1"/>
  <c r="E604" i="1"/>
  <c r="BA603" i="1"/>
  <c r="AO603" i="1"/>
  <c r="AC603" i="1"/>
  <c r="Q603" i="1"/>
  <c r="E603" i="1"/>
  <c r="BA602" i="1"/>
  <c r="AO602" i="1"/>
  <c r="AC602" i="1"/>
  <c r="Q602" i="1"/>
  <c r="E602" i="1"/>
  <c r="BA601" i="1"/>
  <c r="AO601" i="1"/>
  <c r="AC601" i="1"/>
  <c r="Q601" i="1"/>
  <c r="E601" i="1"/>
  <c r="BA600" i="1"/>
  <c r="AO600" i="1"/>
  <c r="AC600" i="1"/>
  <c r="Q600" i="1"/>
  <c r="E600" i="1"/>
  <c r="BA599" i="1"/>
  <c r="AO599" i="1"/>
  <c r="AC599" i="1"/>
  <c r="Q599" i="1"/>
  <c r="E599" i="1"/>
  <c r="BA597" i="1"/>
  <c r="AO597" i="1"/>
  <c r="AC597" i="1"/>
  <c r="Q597" i="1"/>
  <c r="E597" i="1"/>
  <c r="BA596" i="1"/>
  <c r="AO596" i="1"/>
  <c r="AC596" i="1"/>
  <c r="Q596" i="1"/>
  <c r="E596" i="1"/>
  <c r="BA595" i="1"/>
  <c r="AO595" i="1"/>
  <c r="AC595" i="1"/>
  <c r="Q595" i="1"/>
  <c r="E595" i="1"/>
  <c r="BA594" i="1"/>
  <c r="AO594" i="1"/>
  <c r="AC594" i="1"/>
  <c r="Q594" i="1"/>
  <c r="E594" i="1"/>
  <c r="BA593" i="1"/>
  <c r="AO593" i="1"/>
  <c r="AC593" i="1"/>
  <c r="Q593" i="1"/>
  <c r="E593" i="1"/>
  <c r="BA592" i="1"/>
  <c r="AO592" i="1"/>
  <c r="AC592" i="1"/>
  <c r="Q592" i="1"/>
  <c r="E592" i="1"/>
  <c r="BA591" i="1"/>
  <c r="AO591" i="1"/>
  <c r="AC591" i="1"/>
  <c r="Q591" i="1"/>
  <c r="E591" i="1"/>
  <c r="BA590" i="1"/>
  <c r="AO590" i="1"/>
  <c r="AC590" i="1"/>
  <c r="Q590" i="1"/>
  <c r="E590" i="1"/>
  <c r="BA589" i="1"/>
  <c r="AO589" i="1"/>
  <c r="AC589" i="1"/>
  <c r="Q589" i="1"/>
  <c r="E589" i="1"/>
  <c r="BA588" i="1"/>
  <c r="AO588" i="1"/>
  <c r="AC588" i="1"/>
  <c r="Q588" i="1"/>
  <c r="E588" i="1"/>
  <c r="BA587" i="1"/>
  <c r="AO587" i="1"/>
  <c r="AC587" i="1"/>
  <c r="Q587" i="1"/>
  <c r="E587" i="1"/>
  <c r="BA586" i="1"/>
  <c r="AO586" i="1"/>
  <c r="AC586" i="1"/>
  <c r="Q586" i="1"/>
  <c r="E586" i="1"/>
  <c r="BA585" i="1"/>
  <c r="AO585" i="1"/>
  <c r="AC585" i="1"/>
  <c r="Q585" i="1"/>
  <c r="E585" i="1"/>
  <c r="BA584" i="1"/>
  <c r="AO584" i="1"/>
  <c r="AC584" i="1"/>
  <c r="Q584" i="1"/>
  <c r="E584" i="1"/>
  <c r="BA583" i="1"/>
  <c r="AO583" i="1"/>
  <c r="AC583" i="1"/>
  <c r="Q583" i="1"/>
  <c r="E583" i="1"/>
  <c r="BA582" i="1"/>
  <c r="AO582" i="1"/>
  <c r="AC582" i="1"/>
  <c r="Q582" i="1"/>
  <c r="E582" i="1"/>
  <c r="BA581" i="1"/>
  <c r="AO581" i="1"/>
  <c r="AC581" i="1"/>
  <c r="Q581" i="1"/>
  <c r="E581" i="1"/>
  <c r="BA580" i="1"/>
  <c r="AO580" i="1"/>
  <c r="AC580" i="1"/>
  <c r="Q580" i="1"/>
  <c r="E580" i="1"/>
  <c r="BA579" i="1"/>
  <c r="AO579" i="1"/>
  <c r="AC579" i="1"/>
  <c r="Q579" i="1"/>
  <c r="E579" i="1"/>
  <c r="BA578" i="1"/>
  <c r="AO578" i="1"/>
  <c r="AC578" i="1"/>
  <c r="Q578" i="1"/>
  <c r="E578" i="1"/>
  <c r="BA577" i="1"/>
  <c r="AO577" i="1"/>
  <c r="AC577" i="1"/>
  <c r="Q577" i="1"/>
  <c r="E577" i="1"/>
  <c r="BA576" i="1"/>
  <c r="AO576" i="1"/>
  <c r="AC576" i="1"/>
  <c r="Q576" i="1"/>
  <c r="E576" i="1"/>
  <c r="BA575" i="1"/>
  <c r="AO575" i="1"/>
  <c r="AC575" i="1"/>
  <c r="Q575" i="1"/>
  <c r="E575" i="1"/>
  <c r="BA574" i="1"/>
  <c r="AO574" i="1"/>
  <c r="AC574" i="1"/>
  <c r="Q574" i="1"/>
  <c r="E574" i="1"/>
  <c r="BA573" i="1"/>
  <c r="AO573" i="1"/>
  <c r="AC573" i="1"/>
  <c r="Q573" i="1"/>
  <c r="E573" i="1"/>
  <c r="BA572" i="1"/>
  <c r="AO572" i="1"/>
  <c r="AC572" i="1"/>
  <c r="Q572" i="1"/>
  <c r="E572" i="1"/>
  <c r="BA571" i="1"/>
  <c r="AO571" i="1"/>
  <c r="AC571" i="1"/>
  <c r="Q571" i="1"/>
  <c r="E571" i="1"/>
  <c r="BA570" i="1"/>
  <c r="AO570" i="1"/>
  <c r="AC570" i="1"/>
  <c r="Q570" i="1"/>
  <c r="E570" i="1"/>
  <c r="BA569" i="1"/>
  <c r="AO569" i="1"/>
  <c r="AC569" i="1"/>
  <c r="Q569" i="1"/>
  <c r="E569" i="1"/>
  <c r="BA568" i="1"/>
  <c r="AO568" i="1"/>
  <c r="AC568" i="1"/>
  <c r="Q568" i="1"/>
  <c r="E568" i="1"/>
  <c r="BA567" i="1"/>
  <c r="AO567" i="1"/>
  <c r="AC567" i="1"/>
  <c r="Q567" i="1"/>
  <c r="E567" i="1"/>
  <c r="BA566" i="1"/>
  <c r="AO566" i="1"/>
  <c r="AC566" i="1"/>
  <c r="Q566" i="1"/>
  <c r="E566" i="1"/>
  <c r="BA565" i="1"/>
  <c r="AO565" i="1"/>
  <c r="AC565" i="1"/>
  <c r="Q565" i="1"/>
  <c r="E565" i="1"/>
  <c r="BA564" i="1"/>
  <c r="AO564" i="1"/>
  <c r="AC564" i="1"/>
  <c r="Q564" i="1"/>
  <c r="E564" i="1"/>
  <c r="BA563" i="1"/>
  <c r="AO563" i="1"/>
  <c r="AC563" i="1"/>
  <c r="Q563" i="1"/>
  <c r="E563" i="1"/>
  <c r="BA561" i="1"/>
  <c r="AO561" i="1"/>
  <c r="AC561" i="1"/>
  <c r="Q561" i="1"/>
  <c r="E561" i="1"/>
  <c r="BA560" i="1"/>
  <c r="AO560" i="1"/>
  <c r="AC560" i="1"/>
  <c r="Q560" i="1"/>
  <c r="E560" i="1"/>
  <c r="BA559" i="1"/>
  <c r="AO559" i="1"/>
  <c r="AC559" i="1"/>
  <c r="Q559" i="1"/>
  <c r="E559" i="1"/>
  <c r="BA557" i="1"/>
  <c r="AO557" i="1"/>
  <c r="AC557" i="1"/>
  <c r="Q557" i="1"/>
  <c r="E557" i="1"/>
  <c r="BA556" i="1"/>
  <c r="AO556" i="1"/>
  <c r="AC556" i="1"/>
  <c r="Q556" i="1"/>
  <c r="E556" i="1"/>
  <c r="BA555" i="1"/>
  <c r="AO555" i="1"/>
  <c r="AC555" i="1"/>
  <c r="Q555" i="1"/>
  <c r="E555" i="1"/>
  <c r="BA554" i="1"/>
  <c r="AO554" i="1"/>
  <c r="AC554" i="1"/>
  <c r="Q554" i="1"/>
  <c r="E554" i="1"/>
  <c r="BA553" i="1"/>
  <c r="AO553" i="1"/>
  <c r="AC553" i="1"/>
  <c r="Q553" i="1"/>
  <c r="E553" i="1"/>
  <c r="BA552" i="1"/>
  <c r="AO552" i="1"/>
  <c r="AC552" i="1"/>
  <c r="Q552" i="1"/>
  <c r="E552" i="1"/>
  <c r="BA551" i="1"/>
  <c r="AO551" i="1"/>
  <c r="AC551" i="1"/>
  <c r="Q551" i="1"/>
  <c r="E551" i="1"/>
  <c r="BA550" i="1"/>
  <c r="AO550" i="1"/>
  <c r="AC550" i="1"/>
  <c r="Q550" i="1"/>
  <c r="E550" i="1"/>
  <c r="BA549" i="1"/>
  <c r="AO549" i="1"/>
  <c r="AC549" i="1"/>
  <c r="Q549" i="1"/>
  <c r="E549" i="1"/>
  <c r="BA548" i="1"/>
  <c r="AO548" i="1"/>
  <c r="AC548" i="1"/>
  <c r="Q548" i="1"/>
  <c r="E548" i="1"/>
  <c r="BA547" i="1"/>
  <c r="AO547" i="1"/>
  <c r="AC547" i="1"/>
  <c r="Q547" i="1"/>
  <c r="E547" i="1"/>
  <c r="BA546" i="1"/>
  <c r="AO546" i="1"/>
  <c r="AC546" i="1"/>
  <c r="Q546" i="1"/>
  <c r="E546" i="1"/>
  <c r="BA545" i="1"/>
  <c r="AO545" i="1"/>
  <c r="AC545" i="1"/>
  <c r="Q545" i="1"/>
  <c r="E545" i="1"/>
  <c r="BA544" i="1"/>
  <c r="AO544" i="1"/>
  <c r="AC544" i="1"/>
  <c r="Q544" i="1"/>
  <c r="E544" i="1"/>
  <c r="BA543" i="1"/>
  <c r="AO543" i="1"/>
  <c r="AC543" i="1"/>
  <c r="Q543" i="1"/>
  <c r="E543" i="1"/>
  <c r="BA542" i="1"/>
  <c r="AO542" i="1"/>
  <c r="AC542" i="1"/>
  <c r="Q542" i="1"/>
  <c r="E542" i="1"/>
  <c r="BA540" i="1"/>
  <c r="AO540" i="1"/>
  <c r="AC540" i="1"/>
  <c r="Q540" i="1"/>
  <c r="E540" i="1"/>
  <c r="BA539" i="1"/>
  <c r="AO539" i="1"/>
  <c r="AC539" i="1"/>
  <c r="Q539" i="1"/>
  <c r="E539" i="1"/>
  <c r="BA538" i="1"/>
  <c r="AO538" i="1"/>
  <c r="AC538" i="1"/>
  <c r="Q538" i="1"/>
  <c r="E538" i="1"/>
  <c r="BA537" i="1"/>
  <c r="AO537" i="1"/>
  <c r="AC537" i="1"/>
  <c r="Q537" i="1"/>
  <c r="E537" i="1"/>
  <c r="BA536" i="1"/>
  <c r="AO536" i="1"/>
  <c r="AC536" i="1"/>
  <c r="Q536" i="1"/>
  <c r="E536" i="1"/>
  <c r="BA535" i="1"/>
  <c r="AO535" i="1"/>
  <c r="AC535" i="1"/>
  <c r="Q535" i="1"/>
  <c r="E535" i="1"/>
  <c r="BA534" i="1"/>
  <c r="AO534" i="1"/>
  <c r="AC534" i="1"/>
  <c r="Q534" i="1"/>
  <c r="E534" i="1"/>
  <c r="BA533" i="1"/>
  <c r="AO533" i="1"/>
  <c r="AC533" i="1"/>
  <c r="Q533" i="1"/>
  <c r="E533" i="1"/>
  <c r="BA532" i="1"/>
  <c r="AO532" i="1"/>
  <c r="AC532" i="1"/>
  <c r="Q532" i="1"/>
  <c r="E532" i="1"/>
  <c r="BA531" i="1"/>
  <c r="AO531" i="1"/>
  <c r="AC531" i="1"/>
  <c r="Q531" i="1"/>
  <c r="E531" i="1"/>
  <c r="BA530" i="1"/>
  <c r="AO530" i="1"/>
  <c r="AC530" i="1"/>
  <c r="Q530" i="1"/>
  <c r="E530" i="1"/>
  <c r="BA529" i="1"/>
  <c r="AO529" i="1"/>
  <c r="AC529" i="1"/>
  <c r="Q529" i="1"/>
  <c r="E529" i="1"/>
  <c r="BA528" i="1"/>
  <c r="AO528" i="1"/>
  <c r="AC528" i="1"/>
  <c r="Q528" i="1"/>
  <c r="E528" i="1"/>
  <c r="BA527" i="1"/>
  <c r="AO527" i="1"/>
  <c r="AC527" i="1"/>
  <c r="Q527" i="1"/>
  <c r="E527" i="1"/>
  <c r="BA526" i="1"/>
  <c r="AO526" i="1"/>
  <c r="AC526" i="1"/>
  <c r="Q526" i="1"/>
  <c r="E526" i="1"/>
  <c r="BA525" i="1"/>
  <c r="AO525" i="1"/>
  <c r="AC525" i="1"/>
  <c r="Q525" i="1"/>
  <c r="E525" i="1"/>
  <c r="BA524" i="1"/>
  <c r="AO524" i="1"/>
  <c r="AC524" i="1"/>
  <c r="Q524" i="1"/>
  <c r="E524" i="1"/>
  <c r="BA523" i="1"/>
  <c r="AO523" i="1"/>
  <c r="AC523" i="1"/>
  <c r="Q523" i="1"/>
  <c r="E523" i="1"/>
  <c r="BA521" i="1"/>
  <c r="AO521" i="1"/>
  <c r="AC521" i="1"/>
  <c r="Q521" i="1"/>
  <c r="E521" i="1"/>
  <c r="BA518" i="1"/>
  <c r="AO518" i="1"/>
  <c r="AC518" i="1"/>
  <c r="Q518" i="1"/>
  <c r="E518" i="1"/>
  <c r="BA517" i="1"/>
  <c r="AO517" i="1"/>
  <c r="AC517" i="1"/>
  <c r="Q517" i="1"/>
  <c r="E517" i="1"/>
  <c r="BA516" i="1"/>
  <c r="AO516" i="1"/>
  <c r="AC516" i="1"/>
  <c r="Q516" i="1"/>
  <c r="E516" i="1"/>
  <c r="BA515" i="1"/>
  <c r="AO515" i="1"/>
  <c r="AC515" i="1"/>
  <c r="Q515" i="1"/>
  <c r="E515" i="1"/>
  <c r="BA514" i="1"/>
  <c r="AO514" i="1"/>
  <c r="AC514" i="1"/>
  <c r="Q514" i="1"/>
  <c r="E514" i="1"/>
  <c r="BA513" i="1"/>
  <c r="AO513" i="1"/>
  <c r="AC513" i="1"/>
  <c r="Q513" i="1"/>
  <c r="E513" i="1"/>
  <c r="BA512" i="1"/>
  <c r="AO512" i="1"/>
  <c r="AC512" i="1"/>
  <c r="Q512" i="1"/>
  <c r="E512" i="1"/>
  <c r="BA511" i="1"/>
  <c r="AO511" i="1"/>
  <c r="AC511" i="1"/>
  <c r="Q511" i="1"/>
  <c r="E511" i="1"/>
  <c r="BA509" i="1"/>
  <c r="AO509" i="1"/>
  <c r="AC509" i="1"/>
  <c r="Q509" i="1"/>
  <c r="E509" i="1"/>
  <c r="BA508" i="1"/>
  <c r="AO508" i="1"/>
  <c r="AC508" i="1"/>
  <c r="Q508" i="1"/>
  <c r="E508" i="1"/>
  <c r="BA507" i="1"/>
  <c r="AO507" i="1"/>
  <c r="AC507" i="1"/>
  <c r="Q507" i="1"/>
  <c r="E507" i="1"/>
  <c r="BA506" i="1"/>
  <c r="AO506" i="1"/>
  <c r="AC506" i="1"/>
  <c r="Q506" i="1"/>
  <c r="E506" i="1"/>
  <c r="BA505" i="1"/>
  <c r="AO505" i="1"/>
  <c r="AC505" i="1"/>
  <c r="Q505" i="1"/>
  <c r="E505" i="1"/>
  <c r="BA504" i="1"/>
  <c r="AO504" i="1"/>
  <c r="AC504" i="1"/>
  <c r="Q504" i="1"/>
  <c r="E504" i="1"/>
  <c r="BA503" i="1"/>
  <c r="AO503" i="1"/>
  <c r="AC503" i="1"/>
  <c r="Q503" i="1"/>
  <c r="E503" i="1"/>
  <c r="BA502" i="1"/>
  <c r="AO502" i="1"/>
  <c r="AC502" i="1"/>
  <c r="Q502" i="1"/>
  <c r="E502" i="1"/>
  <c r="BA501" i="1"/>
  <c r="AO501" i="1"/>
  <c r="AC501" i="1"/>
  <c r="Q501" i="1"/>
  <c r="E501" i="1"/>
  <c r="BA500" i="1"/>
  <c r="AO500" i="1"/>
  <c r="AC500" i="1"/>
  <c r="Q500" i="1"/>
  <c r="E500" i="1"/>
  <c r="BA499" i="1"/>
  <c r="AO499" i="1"/>
  <c r="AC499" i="1"/>
  <c r="Q499" i="1"/>
  <c r="E499" i="1"/>
  <c r="BA498" i="1"/>
  <c r="AO498" i="1"/>
  <c r="AC498" i="1"/>
  <c r="Q498" i="1"/>
  <c r="E498" i="1"/>
  <c r="BA497" i="1"/>
  <c r="AO497" i="1"/>
  <c r="AC497" i="1"/>
  <c r="Q497" i="1"/>
  <c r="E497" i="1"/>
  <c r="BA496" i="1"/>
  <c r="AO496" i="1"/>
  <c r="AC496" i="1"/>
  <c r="Q496" i="1"/>
  <c r="E496" i="1"/>
  <c r="BA495" i="1"/>
  <c r="AO495" i="1"/>
  <c r="AC495" i="1"/>
  <c r="Q495" i="1"/>
  <c r="E495" i="1"/>
  <c r="BA494" i="1"/>
  <c r="AO494" i="1"/>
  <c r="AC494" i="1"/>
  <c r="Q494" i="1"/>
  <c r="E494" i="1"/>
  <c r="BA493" i="1"/>
  <c r="AO493" i="1"/>
  <c r="AC493" i="1"/>
  <c r="Q493" i="1"/>
  <c r="E493" i="1"/>
  <c r="BA492" i="1"/>
  <c r="AO492" i="1"/>
  <c r="AC492" i="1"/>
  <c r="Q492" i="1"/>
  <c r="E492" i="1"/>
  <c r="BA491" i="1"/>
  <c r="AO491" i="1"/>
  <c r="AC491" i="1"/>
  <c r="Q491" i="1"/>
  <c r="E491" i="1"/>
  <c r="BA490" i="1"/>
  <c r="AO490" i="1"/>
  <c r="AC490" i="1"/>
  <c r="Q490" i="1"/>
  <c r="E490" i="1"/>
  <c r="BA489" i="1"/>
  <c r="AO489" i="1"/>
  <c r="AC489" i="1"/>
  <c r="Q489" i="1"/>
  <c r="E489" i="1"/>
  <c r="BA488" i="1"/>
  <c r="AO488" i="1"/>
  <c r="AC488" i="1"/>
  <c r="Q488" i="1"/>
  <c r="E488" i="1"/>
  <c r="BA487" i="1"/>
  <c r="AO487" i="1"/>
  <c r="AC487" i="1"/>
  <c r="Q487" i="1"/>
  <c r="E487" i="1"/>
  <c r="BA486" i="1"/>
  <c r="AO486" i="1"/>
  <c r="AC486" i="1"/>
  <c r="Q486" i="1"/>
  <c r="E486" i="1"/>
  <c r="BA485" i="1"/>
  <c r="AO485" i="1"/>
  <c r="AC485" i="1"/>
  <c r="Q485" i="1"/>
  <c r="E485" i="1"/>
  <c r="BA484" i="1"/>
  <c r="AO484" i="1"/>
  <c r="AC484" i="1"/>
  <c r="Q484" i="1"/>
  <c r="E484" i="1"/>
  <c r="BA483" i="1"/>
  <c r="AO483" i="1"/>
  <c r="AC483" i="1"/>
  <c r="Q483" i="1"/>
  <c r="E483" i="1"/>
  <c r="BA482" i="1"/>
  <c r="AO482" i="1"/>
  <c r="AC482" i="1"/>
  <c r="Q482" i="1"/>
  <c r="E482" i="1"/>
  <c r="BA481" i="1"/>
  <c r="AO481" i="1"/>
  <c r="AC481" i="1"/>
  <c r="Q481" i="1"/>
  <c r="E481" i="1"/>
  <c r="BA480" i="1"/>
  <c r="AO480" i="1"/>
  <c r="AC480" i="1"/>
  <c r="Q480" i="1"/>
  <c r="E480" i="1"/>
  <c r="BA479" i="1"/>
  <c r="AO479" i="1"/>
  <c r="AC479" i="1"/>
  <c r="Q479" i="1"/>
  <c r="E479" i="1"/>
  <c r="BA478" i="1"/>
  <c r="AO478" i="1"/>
  <c r="AC478" i="1"/>
  <c r="Q478" i="1"/>
  <c r="E478" i="1"/>
  <c r="BA477" i="1"/>
  <c r="AO477" i="1"/>
  <c r="AC477" i="1"/>
  <c r="Q477" i="1"/>
  <c r="E477" i="1"/>
  <c r="BA476" i="1"/>
  <c r="AO476" i="1"/>
  <c r="AC476" i="1"/>
  <c r="Q476" i="1"/>
  <c r="E476" i="1"/>
  <c r="BA474" i="1"/>
  <c r="AO474" i="1"/>
  <c r="AC474" i="1"/>
  <c r="Q474" i="1"/>
  <c r="E474" i="1"/>
  <c r="BA473" i="1"/>
  <c r="AO473" i="1"/>
  <c r="AC473" i="1"/>
  <c r="Q473" i="1"/>
  <c r="E473" i="1"/>
  <c r="BA472" i="1"/>
  <c r="AO472" i="1"/>
  <c r="AC472" i="1"/>
  <c r="Q472" i="1"/>
  <c r="E472" i="1"/>
  <c r="BA471" i="1"/>
  <c r="AO471" i="1"/>
  <c r="AC471" i="1"/>
  <c r="Q471" i="1"/>
  <c r="E471" i="1"/>
  <c r="BA470" i="1"/>
  <c r="AO470" i="1"/>
  <c r="AC470" i="1"/>
  <c r="Q470" i="1"/>
  <c r="E470" i="1"/>
  <c r="BA469" i="1"/>
  <c r="AO469" i="1"/>
  <c r="AC469" i="1"/>
  <c r="Q469" i="1"/>
  <c r="E469" i="1"/>
  <c r="BA468" i="1"/>
  <c r="AO468" i="1"/>
  <c r="AC468" i="1"/>
  <c r="Q468" i="1"/>
  <c r="E468" i="1"/>
  <c r="BA467" i="1"/>
  <c r="AO467" i="1"/>
  <c r="AC467" i="1"/>
  <c r="Q467" i="1"/>
  <c r="E467" i="1"/>
  <c r="BA466" i="1"/>
  <c r="AO466" i="1"/>
  <c r="AC466" i="1"/>
  <c r="Q466" i="1"/>
  <c r="E466" i="1"/>
  <c r="BA465" i="1"/>
  <c r="AO465" i="1"/>
  <c r="AC465" i="1"/>
  <c r="Q465" i="1"/>
  <c r="E465" i="1"/>
  <c r="BA464" i="1"/>
  <c r="AO464" i="1"/>
  <c r="AC464" i="1"/>
  <c r="Q464" i="1"/>
  <c r="E464" i="1"/>
  <c r="BA463" i="1"/>
  <c r="AO463" i="1"/>
  <c r="AC463" i="1"/>
  <c r="Q463" i="1"/>
  <c r="E463" i="1"/>
  <c r="BA462" i="1"/>
  <c r="AO462" i="1"/>
  <c r="AC462" i="1"/>
  <c r="Q462" i="1"/>
  <c r="E462" i="1"/>
  <c r="BA461" i="1"/>
  <c r="AO461" i="1"/>
  <c r="AC461" i="1"/>
  <c r="Q461" i="1"/>
  <c r="E461" i="1"/>
  <c r="BA460" i="1"/>
  <c r="AO460" i="1"/>
  <c r="AC460" i="1"/>
  <c r="Q460" i="1"/>
  <c r="E460" i="1"/>
  <c r="BA459" i="1"/>
  <c r="AO459" i="1"/>
  <c r="AC459" i="1"/>
  <c r="Q459" i="1"/>
  <c r="E459" i="1"/>
  <c r="BA457" i="1"/>
  <c r="AO457" i="1"/>
  <c r="AC457" i="1"/>
  <c r="Q457" i="1"/>
  <c r="E457" i="1"/>
  <c r="BA456" i="1"/>
  <c r="AO456" i="1"/>
  <c r="AC456" i="1"/>
  <c r="Q456" i="1"/>
  <c r="E456" i="1"/>
  <c r="BA455" i="1"/>
  <c r="AO455" i="1"/>
  <c r="AC455" i="1"/>
  <c r="Q455" i="1"/>
  <c r="E455" i="1"/>
  <c r="BA454" i="1"/>
  <c r="AO454" i="1"/>
  <c r="AC454" i="1"/>
  <c r="Q454" i="1"/>
  <c r="E454" i="1"/>
  <c r="BA453" i="1"/>
  <c r="AO453" i="1"/>
  <c r="AC453" i="1"/>
  <c r="Q453" i="1"/>
  <c r="E453" i="1"/>
  <c r="BA452" i="1"/>
  <c r="AO452" i="1"/>
  <c r="AC452" i="1"/>
  <c r="Q452" i="1"/>
  <c r="E452" i="1"/>
  <c r="BA451" i="1"/>
  <c r="AO451" i="1"/>
  <c r="AC451" i="1"/>
  <c r="Q451" i="1"/>
  <c r="E451" i="1"/>
  <c r="BA450" i="1"/>
  <c r="AO450" i="1"/>
  <c r="AC450" i="1"/>
  <c r="Q450" i="1"/>
  <c r="E450" i="1"/>
  <c r="BA449" i="1"/>
  <c r="AO449" i="1"/>
  <c r="AC449" i="1"/>
  <c r="Q449" i="1"/>
  <c r="E449" i="1"/>
  <c r="BA448" i="1"/>
  <c r="AO448" i="1"/>
  <c r="AC448" i="1"/>
  <c r="Q448" i="1"/>
  <c r="E448" i="1"/>
  <c r="BA447" i="1"/>
  <c r="AO447" i="1"/>
  <c r="AC447" i="1"/>
  <c r="Q447" i="1"/>
  <c r="E447" i="1"/>
  <c r="BA446" i="1"/>
  <c r="AO446" i="1"/>
  <c r="AC446" i="1"/>
  <c r="Q446" i="1"/>
  <c r="E446" i="1"/>
  <c r="BA445" i="1"/>
  <c r="AO445" i="1"/>
  <c r="AC445" i="1"/>
  <c r="Q445" i="1"/>
  <c r="E445" i="1"/>
  <c r="BA444" i="1"/>
  <c r="AO444" i="1"/>
  <c r="AC444" i="1"/>
  <c r="Q444" i="1"/>
  <c r="E444" i="1"/>
  <c r="BA443" i="1"/>
  <c r="AO443" i="1"/>
  <c r="AC443" i="1"/>
  <c r="Q443" i="1"/>
  <c r="E443" i="1"/>
  <c r="BA442" i="1"/>
  <c r="AO442" i="1"/>
  <c r="AC442" i="1"/>
  <c r="Q442" i="1"/>
  <c r="E442" i="1"/>
  <c r="BA441" i="1"/>
  <c r="AO441" i="1"/>
  <c r="AC441" i="1"/>
  <c r="Q441" i="1"/>
  <c r="E441" i="1"/>
  <c r="BA440" i="1"/>
  <c r="AO440" i="1"/>
  <c r="AC440" i="1"/>
  <c r="Q440" i="1"/>
  <c r="E440" i="1"/>
  <c r="BA439" i="1"/>
  <c r="AO439" i="1"/>
  <c r="AC439" i="1"/>
  <c r="Q439" i="1"/>
  <c r="E439" i="1"/>
  <c r="BA438" i="1"/>
  <c r="AO438" i="1"/>
  <c r="AC438" i="1"/>
  <c r="Q438" i="1"/>
  <c r="E438" i="1"/>
  <c r="BA437" i="1"/>
  <c r="AO437" i="1"/>
  <c r="AC437" i="1"/>
  <c r="Q437" i="1"/>
  <c r="E437" i="1"/>
  <c r="BA436" i="1"/>
  <c r="AO436" i="1"/>
  <c r="AC436" i="1"/>
  <c r="Q436" i="1"/>
  <c r="E436" i="1"/>
  <c r="BA435" i="1"/>
  <c r="AO435" i="1"/>
  <c r="AC435" i="1"/>
  <c r="Q435" i="1"/>
  <c r="E435" i="1"/>
  <c r="BA434" i="1"/>
  <c r="AO434" i="1"/>
  <c r="AC434" i="1"/>
  <c r="Q434" i="1"/>
  <c r="E434" i="1"/>
  <c r="BA433" i="1"/>
  <c r="AO433" i="1"/>
  <c r="AC433" i="1"/>
  <c r="Q433" i="1"/>
  <c r="E433" i="1"/>
  <c r="BA432" i="1"/>
  <c r="AO432" i="1"/>
  <c r="AC432" i="1"/>
  <c r="Q432" i="1"/>
  <c r="E432" i="1"/>
  <c r="BA431" i="1"/>
  <c r="AO431" i="1"/>
  <c r="AC431" i="1"/>
  <c r="Q431" i="1"/>
  <c r="E431" i="1"/>
  <c r="BA430" i="1"/>
  <c r="AO430" i="1"/>
  <c r="AC430" i="1"/>
  <c r="Q430" i="1"/>
  <c r="E430" i="1"/>
  <c r="BA429" i="1"/>
  <c r="AO429" i="1"/>
  <c r="AC429" i="1"/>
  <c r="Q429" i="1"/>
  <c r="E429" i="1"/>
  <c r="BA428" i="1"/>
  <c r="AO428" i="1"/>
  <c r="AC428" i="1"/>
  <c r="Q428" i="1"/>
  <c r="E428" i="1"/>
  <c r="BA427" i="1"/>
  <c r="AO427" i="1"/>
  <c r="AC427" i="1"/>
  <c r="Q427" i="1"/>
  <c r="E427" i="1"/>
  <c r="BA426" i="1"/>
  <c r="AO426" i="1"/>
  <c r="AC426" i="1"/>
  <c r="Q426" i="1"/>
  <c r="E426" i="1"/>
  <c r="BA425" i="1"/>
  <c r="AO425" i="1"/>
  <c r="AC425" i="1"/>
  <c r="Q425" i="1"/>
  <c r="E425" i="1"/>
  <c r="BA424" i="1"/>
  <c r="AO424" i="1"/>
  <c r="AC424" i="1"/>
  <c r="Q424" i="1"/>
  <c r="E424" i="1"/>
  <c r="BA423" i="1"/>
  <c r="AO423" i="1"/>
  <c r="AC423" i="1"/>
  <c r="Q423" i="1"/>
  <c r="E423" i="1"/>
  <c r="BA422" i="1"/>
  <c r="AO422" i="1"/>
  <c r="AC422" i="1"/>
  <c r="Q422" i="1"/>
  <c r="E422" i="1"/>
  <c r="BA421" i="1"/>
  <c r="AO421" i="1"/>
  <c r="AC421" i="1"/>
  <c r="Q421" i="1"/>
  <c r="E421" i="1"/>
  <c r="BA420" i="1"/>
  <c r="AO420" i="1"/>
  <c r="AC420" i="1"/>
  <c r="Q420" i="1"/>
  <c r="E420" i="1"/>
  <c r="BA419" i="1"/>
  <c r="AO419" i="1"/>
  <c r="AC419" i="1"/>
  <c r="Q419" i="1"/>
  <c r="E419" i="1"/>
  <c r="BA418" i="1"/>
  <c r="AO418" i="1"/>
  <c r="AC418" i="1"/>
  <c r="Q418" i="1"/>
  <c r="E418" i="1"/>
  <c r="BA417" i="1"/>
  <c r="AO417" i="1"/>
  <c r="AC417" i="1"/>
  <c r="Q417" i="1"/>
  <c r="E417" i="1"/>
  <c r="BA416" i="1"/>
  <c r="AO416" i="1"/>
  <c r="AC416" i="1"/>
  <c r="Q416" i="1"/>
  <c r="E416" i="1"/>
  <c r="BA415" i="1"/>
  <c r="AO415" i="1"/>
  <c r="AC415" i="1"/>
  <c r="Q415" i="1"/>
  <c r="E415" i="1"/>
  <c r="BA414" i="1"/>
  <c r="AO414" i="1"/>
  <c r="AC414" i="1"/>
  <c r="Q414" i="1"/>
  <c r="E414" i="1"/>
  <c r="BA413" i="1"/>
  <c r="AO413" i="1"/>
  <c r="AC413" i="1"/>
  <c r="Q413" i="1"/>
  <c r="E413" i="1"/>
  <c r="BA412" i="1"/>
  <c r="AO412" i="1"/>
  <c r="AC412" i="1"/>
  <c r="Q412" i="1"/>
  <c r="E412" i="1"/>
  <c r="BA411" i="1"/>
  <c r="AO411" i="1"/>
  <c r="AC411" i="1"/>
  <c r="Q411" i="1"/>
  <c r="E411" i="1"/>
  <c r="BA410" i="1"/>
  <c r="AO410" i="1"/>
  <c r="AC410" i="1"/>
  <c r="Q410" i="1"/>
  <c r="E410" i="1"/>
  <c r="BA409" i="1"/>
  <c r="AO409" i="1"/>
  <c r="AC409" i="1"/>
  <c r="Q409" i="1"/>
  <c r="E409" i="1"/>
  <c r="BA408" i="1"/>
  <c r="AO408" i="1"/>
  <c r="AC408" i="1"/>
  <c r="Q408" i="1"/>
  <c r="E408" i="1"/>
  <c r="BA407" i="1"/>
  <c r="AO407" i="1"/>
  <c r="AC407" i="1"/>
  <c r="Q407" i="1"/>
  <c r="E407" i="1"/>
  <c r="BA406" i="1"/>
  <c r="AO406" i="1"/>
  <c r="AC406" i="1"/>
  <c r="Q406" i="1"/>
  <c r="E406" i="1"/>
  <c r="BA405" i="1"/>
  <c r="AO405" i="1"/>
  <c r="AC405" i="1"/>
  <c r="Q405" i="1"/>
  <c r="E405" i="1"/>
  <c r="BA404" i="1"/>
  <c r="AO404" i="1"/>
  <c r="AC404" i="1"/>
  <c r="Q404" i="1"/>
  <c r="E404" i="1"/>
  <c r="BA403" i="1"/>
  <c r="AO403" i="1"/>
  <c r="AC403" i="1"/>
  <c r="Q403" i="1"/>
  <c r="E403" i="1"/>
  <c r="BA402" i="1"/>
  <c r="AO402" i="1"/>
  <c r="AC402" i="1"/>
  <c r="Q402" i="1"/>
  <c r="E402" i="1"/>
  <c r="BA401" i="1"/>
  <c r="AO401" i="1"/>
  <c r="AC401" i="1"/>
  <c r="Q401" i="1"/>
  <c r="E401" i="1"/>
  <c r="BA400" i="1"/>
  <c r="AO400" i="1"/>
  <c r="AC400" i="1"/>
  <c r="Q400" i="1"/>
  <c r="E400" i="1"/>
  <c r="BA399" i="1"/>
  <c r="AO399" i="1"/>
  <c r="AC399" i="1"/>
  <c r="Q399" i="1"/>
  <c r="E399" i="1"/>
  <c r="BA398" i="1"/>
  <c r="AO398" i="1"/>
  <c r="AC398" i="1"/>
  <c r="Q398" i="1"/>
  <c r="E398" i="1"/>
  <c r="BA397" i="1"/>
  <c r="AO397" i="1"/>
  <c r="AC397" i="1"/>
  <c r="Q397" i="1"/>
  <c r="E397" i="1"/>
  <c r="BA396" i="1"/>
  <c r="AO396" i="1"/>
  <c r="AC396" i="1"/>
  <c r="Q396" i="1"/>
  <c r="E396" i="1"/>
  <c r="BA395" i="1"/>
  <c r="AO395" i="1"/>
  <c r="AC395" i="1"/>
  <c r="Q395" i="1"/>
  <c r="E395" i="1"/>
  <c r="BA394" i="1"/>
  <c r="AO394" i="1"/>
  <c r="AC394" i="1"/>
  <c r="Q394" i="1"/>
  <c r="E394" i="1"/>
  <c r="BA393" i="1"/>
  <c r="AO393" i="1"/>
  <c r="AC393" i="1"/>
  <c r="Q393" i="1"/>
  <c r="E393" i="1"/>
  <c r="BA392" i="1"/>
  <c r="AO392" i="1"/>
  <c r="AC392" i="1"/>
  <c r="Q392" i="1"/>
  <c r="E392" i="1"/>
  <c r="BA391" i="1"/>
  <c r="AO391" i="1"/>
  <c r="AC391" i="1"/>
  <c r="Q391" i="1"/>
  <c r="E391" i="1"/>
  <c r="BA390" i="1"/>
  <c r="AO390" i="1"/>
  <c r="AC390" i="1"/>
  <c r="Q390" i="1"/>
  <c r="E390" i="1"/>
  <c r="BA389" i="1"/>
  <c r="AO389" i="1"/>
  <c r="AC389" i="1"/>
  <c r="Q389" i="1"/>
  <c r="E389" i="1"/>
  <c r="BA387" i="1"/>
  <c r="AO387" i="1"/>
  <c r="AC387" i="1"/>
  <c r="Q387" i="1"/>
  <c r="E387" i="1"/>
  <c r="BA386" i="1"/>
  <c r="AO386" i="1"/>
  <c r="AC386" i="1"/>
  <c r="Q386" i="1"/>
  <c r="E386" i="1"/>
  <c r="BA385" i="1"/>
  <c r="AO385" i="1"/>
  <c r="AC385" i="1"/>
  <c r="Q385" i="1"/>
  <c r="E385" i="1"/>
  <c r="BA384" i="1"/>
  <c r="AO384" i="1"/>
  <c r="AC384" i="1"/>
  <c r="Q384" i="1"/>
  <c r="E384" i="1"/>
  <c r="BA383" i="1"/>
  <c r="AO383" i="1"/>
  <c r="AC383" i="1"/>
  <c r="Q383" i="1"/>
  <c r="E383" i="1"/>
  <c r="BA382" i="1"/>
  <c r="AO382" i="1"/>
  <c r="AC382" i="1"/>
  <c r="Q382" i="1"/>
  <c r="E382" i="1"/>
  <c r="BA379" i="1"/>
  <c r="AO379" i="1"/>
  <c r="AC379" i="1"/>
  <c r="Q379" i="1"/>
  <c r="E379" i="1"/>
  <c r="BA378" i="1"/>
  <c r="AO378" i="1"/>
  <c r="AC378" i="1"/>
  <c r="Q378" i="1"/>
  <c r="E378" i="1"/>
  <c r="BA377" i="1"/>
  <c r="AO377" i="1"/>
  <c r="AC377" i="1"/>
  <c r="Q377" i="1"/>
  <c r="E377" i="1"/>
  <c r="BA376" i="1"/>
  <c r="AO376" i="1"/>
  <c r="AC376" i="1"/>
  <c r="Q376" i="1"/>
  <c r="E376" i="1"/>
  <c r="BA372" i="1"/>
  <c r="AO372" i="1"/>
  <c r="AC372" i="1"/>
  <c r="Q372" i="1"/>
  <c r="E372" i="1"/>
  <c r="BA371" i="1"/>
  <c r="AO371" i="1"/>
  <c r="AC371" i="1"/>
  <c r="Q371" i="1"/>
  <c r="E371" i="1"/>
  <c r="BA370" i="1"/>
  <c r="AO370" i="1"/>
  <c r="AC370" i="1"/>
  <c r="Q370" i="1"/>
  <c r="E370" i="1"/>
  <c r="BA369" i="1"/>
  <c r="AO369" i="1"/>
  <c r="AC369" i="1"/>
  <c r="Q369" i="1"/>
  <c r="E369" i="1"/>
  <c r="BA365" i="1"/>
  <c r="AO365" i="1"/>
  <c r="AC365" i="1"/>
  <c r="Q365" i="1"/>
  <c r="E365" i="1"/>
  <c r="BA364" i="1"/>
  <c r="AO364" i="1"/>
  <c r="AC364" i="1"/>
  <c r="Q364" i="1"/>
  <c r="E364" i="1"/>
  <c r="BA362" i="1"/>
  <c r="AO362" i="1"/>
  <c r="AC362" i="1"/>
  <c r="Q362" i="1"/>
  <c r="E362" i="1"/>
  <c r="BA361" i="1"/>
  <c r="AO361" i="1"/>
  <c r="AC361" i="1"/>
  <c r="Q361" i="1"/>
  <c r="E361" i="1"/>
  <c r="BA360" i="1"/>
  <c r="AO360" i="1"/>
  <c r="AC360" i="1"/>
  <c r="Q360" i="1"/>
  <c r="E360" i="1"/>
  <c r="BA359" i="1"/>
  <c r="AO359" i="1"/>
  <c r="AC359" i="1"/>
  <c r="Q359" i="1"/>
  <c r="E359" i="1"/>
  <c r="BA358" i="1"/>
  <c r="AO358" i="1"/>
  <c r="AC358" i="1"/>
  <c r="Q358" i="1"/>
  <c r="E358" i="1"/>
  <c r="BA357" i="1"/>
  <c r="AO357" i="1"/>
  <c r="AC357" i="1"/>
  <c r="Q357" i="1"/>
  <c r="E357" i="1"/>
  <c r="BA356" i="1"/>
  <c r="AO356" i="1"/>
  <c r="AC356" i="1"/>
  <c r="Q356" i="1"/>
  <c r="E356" i="1"/>
  <c r="BA355" i="1"/>
  <c r="AO355" i="1"/>
  <c r="AC355" i="1"/>
  <c r="Q355" i="1"/>
  <c r="E355" i="1"/>
  <c r="BA354" i="1"/>
  <c r="AO354" i="1"/>
  <c r="AC354" i="1"/>
  <c r="Q354" i="1"/>
  <c r="E354" i="1"/>
  <c r="BA353" i="1"/>
  <c r="AO353" i="1"/>
  <c r="AC353" i="1"/>
  <c r="Q353" i="1"/>
  <c r="E353" i="1"/>
  <c r="BA352" i="1"/>
  <c r="AO352" i="1"/>
  <c r="AC352" i="1"/>
  <c r="Q352" i="1"/>
  <c r="E352" i="1"/>
  <c r="BA351" i="1"/>
  <c r="AO351" i="1"/>
  <c r="AC351" i="1"/>
  <c r="Q351" i="1"/>
  <c r="E351" i="1"/>
  <c r="BA350" i="1"/>
  <c r="AO350" i="1"/>
  <c r="AC350" i="1"/>
  <c r="Q350" i="1"/>
  <c r="E350" i="1"/>
  <c r="BA349" i="1"/>
  <c r="AO349" i="1"/>
  <c r="AC349" i="1"/>
  <c r="Q349" i="1"/>
  <c r="E349" i="1"/>
  <c r="BA348" i="1"/>
  <c r="AO348" i="1"/>
  <c r="AC348" i="1"/>
  <c r="Q348" i="1"/>
  <c r="E348" i="1"/>
  <c r="BA347" i="1"/>
  <c r="AO347" i="1"/>
  <c r="AC347" i="1"/>
  <c r="Q347" i="1"/>
  <c r="E347" i="1"/>
  <c r="BA346" i="1"/>
  <c r="AO346" i="1"/>
  <c r="AC346" i="1"/>
  <c r="Q346" i="1"/>
  <c r="E346" i="1"/>
  <c r="BA345" i="1"/>
  <c r="AO345" i="1"/>
  <c r="AC345" i="1"/>
  <c r="Q345" i="1"/>
  <c r="E345" i="1"/>
  <c r="BA344" i="1"/>
  <c r="AO344" i="1"/>
  <c r="AC344" i="1"/>
  <c r="Q344" i="1"/>
  <c r="E344" i="1"/>
  <c r="BA343" i="1"/>
  <c r="AO343" i="1"/>
  <c r="AC343" i="1"/>
  <c r="Q343" i="1"/>
  <c r="E343" i="1"/>
  <c r="BA342" i="1"/>
  <c r="AO342" i="1"/>
  <c r="AC342" i="1"/>
  <c r="Q342" i="1"/>
  <c r="E342" i="1"/>
  <c r="BA340" i="1"/>
  <c r="AO340" i="1"/>
  <c r="AC340" i="1"/>
  <c r="Q340" i="1"/>
  <c r="E340" i="1"/>
  <c r="BA339" i="1"/>
  <c r="AO339" i="1"/>
  <c r="AC339" i="1"/>
  <c r="Q339" i="1"/>
  <c r="E339" i="1"/>
  <c r="BA338" i="1"/>
  <c r="AO338" i="1"/>
  <c r="AC338" i="1"/>
  <c r="Q338" i="1"/>
  <c r="E338" i="1"/>
  <c r="BA337" i="1"/>
  <c r="AO337" i="1"/>
  <c r="AC337" i="1"/>
  <c r="Q337" i="1"/>
  <c r="E337" i="1"/>
  <c r="BA336" i="1"/>
  <c r="AO336" i="1"/>
  <c r="AC336" i="1"/>
  <c r="Q336" i="1"/>
  <c r="E336" i="1"/>
  <c r="BA335" i="1"/>
  <c r="AO335" i="1"/>
  <c r="AC335" i="1"/>
  <c r="Q335" i="1"/>
  <c r="E335" i="1"/>
  <c r="BA334" i="1"/>
  <c r="AO334" i="1"/>
  <c r="AC334" i="1"/>
  <c r="Q334" i="1"/>
  <c r="E334" i="1"/>
  <c r="BA333" i="1"/>
  <c r="AO333" i="1"/>
  <c r="AC333" i="1"/>
  <c r="Q333" i="1"/>
  <c r="E333" i="1"/>
  <c r="BA332" i="1"/>
  <c r="AO332" i="1"/>
  <c r="AC332" i="1"/>
  <c r="Q332" i="1"/>
  <c r="E332" i="1"/>
  <c r="BA331" i="1"/>
  <c r="AO331" i="1"/>
  <c r="AC331" i="1"/>
  <c r="Q331" i="1"/>
  <c r="E331" i="1"/>
  <c r="BA330" i="1"/>
  <c r="AO330" i="1"/>
  <c r="AC330" i="1"/>
  <c r="Q330" i="1"/>
  <c r="E330" i="1"/>
  <c r="BA329" i="1"/>
  <c r="AO329" i="1"/>
  <c r="AC329" i="1"/>
  <c r="Q329" i="1"/>
  <c r="E329" i="1"/>
  <c r="BA328" i="1"/>
  <c r="AO328" i="1"/>
  <c r="AC328" i="1"/>
  <c r="Q328" i="1"/>
  <c r="E328" i="1"/>
  <c r="BA326" i="1"/>
  <c r="AO326" i="1"/>
  <c r="AC326" i="1"/>
  <c r="Q326" i="1"/>
  <c r="E326" i="1"/>
  <c r="BA325" i="1"/>
  <c r="AO325" i="1"/>
  <c r="AC325" i="1"/>
  <c r="Q325" i="1"/>
  <c r="E325" i="1"/>
  <c r="BA324" i="1"/>
  <c r="AO324" i="1"/>
  <c r="AC324" i="1"/>
  <c r="Q324" i="1"/>
  <c r="E324" i="1"/>
  <c r="BA323" i="1"/>
  <c r="AO323" i="1"/>
  <c r="AC323" i="1"/>
  <c r="Q323" i="1"/>
  <c r="E323" i="1"/>
  <c r="BA322" i="1"/>
  <c r="AO322" i="1"/>
  <c r="AC322" i="1"/>
  <c r="Q322" i="1"/>
  <c r="E322" i="1"/>
  <c r="BA321" i="1"/>
  <c r="AO321" i="1"/>
  <c r="AC321" i="1"/>
  <c r="Q321" i="1"/>
  <c r="E321" i="1"/>
  <c r="BA320" i="1"/>
  <c r="AO320" i="1"/>
  <c r="AC320" i="1"/>
  <c r="Q320" i="1"/>
  <c r="E320" i="1"/>
  <c r="BA319" i="1"/>
  <c r="AO319" i="1"/>
  <c r="AC319" i="1"/>
  <c r="Q319" i="1"/>
  <c r="E319" i="1"/>
  <c r="BA318" i="1"/>
  <c r="AO318" i="1"/>
  <c r="AC318" i="1"/>
  <c r="Q318" i="1"/>
  <c r="E318" i="1"/>
  <c r="BA317" i="1"/>
  <c r="AO317" i="1"/>
  <c r="AC317" i="1"/>
  <c r="Q317" i="1"/>
  <c r="E317" i="1"/>
  <c r="BA316" i="1"/>
  <c r="AO316" i="1"/>
  <c r="AC316" i="1"/>
  <c r="Q316" i="1"/>
  <c r="E316" i="1"/>
  <c r="BA315" i="1"/>
  <c r="AO315" i="1"/>
  <c r="AC315" i="1"/>
  <c r="Q315" i="1"/>
  <c r="E315" i="1"/>
  <c r="BA313" i="1"/>
  <c r="AO313" i="1"/>
  <c r="AC313" i="1"/>
  <c r="Q313" i="1"/>
  <c r="E313" i="1"/>
  <c r="BA311" i="1"/>
  <c r="AO311" i="1"/>
  <c r="AC311" i="1"/>
  <c r="Q311" i="1"/>
  <c r="E311" i="1"/>
  <c r="BA309" i="1"/>
  <c r="AO309" i="1"/>
  <c r="AC309" i="1"/>
  <c r="Q309" i="1"/>
  <c r="E309" i="1"/>
  <c r="BA308" i="1"/>
  <c r="AO308" i="1"/>
  <c r="AC308" i="1"/>
  <c r="Q308" i="1"/>
  <c r="E308" i="1"/>
  <c r="BA307" i="1"/>
  <c r="AO307" i="1"/>
  <c r="AC307" i="1"/>
  <c r="Q307" i="1"/>
  <c r="E307" i="1"/>
  <c r="BA306" i="1"/>
  <c r="AO306" i="1"/>
  <c r="AC306" i="1"/>
  <c r="Q306" i="1"/>
  <c r="E306" i="1"/>
  <c r="BA304" i="1"/>
  <c r="AO304" i="1"/>
  <c r="AC304" i="1"/>
  <c r="Q304" i="1"/>
  <c r="E304" i="1"/>
  <c r="BA303" i="1"/>
  <c r="AO303" i="1"/>
  <c r="AC303" i="1"/>
  <c r="Q303" i="1"/>
  <c r="E303" i="1"/>
  <c r="BA302" i="1"/>
  <c r="AO302" i="1"/>
  <c r="AC302" i="1"/>
  <c r="Q302" i="1"/>
  <c r="E302" i="1"/>
  <c r="BA301" i="1"/>
  <c r="AO301" i="1"/>
  <c r="AC301" i="1"/>
  <c r="Q301" i="1"/>
  <c r="E301" i="1"/>
  <c r="BA299" i="1"/>
  <c r="AO299" i="1"/>
  <c r="AC299" i="1"/>
  <c r="Q299" i="1"/>
  <c r="E299" i="1"/>
  <c r="BA298" i="1"/>
  <c r="AO298" i="1"/>
  <c r="AC298" i="1"/>
  <c r="Q298" i="1"/>
  <c r="E298" i="1"/>
  <c r="BA297" i="1"/>
  <c r="AO297" i="1"/>
  <c r="AC297" i="1"/>
  <c r="Q297" i="1"/>
  <c r="E297" i="1"/>
  <c r="BA296" i="1"/>
  <c r="AO296" i="1"/>
  <c r="AC296" i="1"/>
  <c r="Q296" i="1"/>
  <c r="E296" i="1"/>
  <c r="BA293" i="1"/>
  <c r="AO293" i="1"/>
  <c r="AC293" i="1"/>
  <c r="Q293" i="1"/>
  <c r="E293" i="1"/>
  <c r="BA292" i="1"/>
  <c r="AO292" i="1"/>
  <c r="AC292" i="1"/>
  <c r="Q292" i="1"/>
  <c r="E292" i="1"/>
  <c r="BA291" i="1"/>
  <c r="AO291" i="1"/>
  <c r="AC291" i="1"/>
  <c r="Q291" i="1"/>
  <c r="E291" i="1"/>
  <c r="BA290" i="1"/>
  <c r="AO290" i="1"/>
  <c r="AC290" i="1"/>
  <c r="Q290" i="1"/>
  <c r="E290" i="1"/>
  <c r="BA289" i="1"/>
  <c r="AO289" i="1"/>
  <c r="AC289" i="1"/>
  <c r="Q289" i="1"/>
  <c r="E289" i="1"/>
  <c r="BA287" i="1"/>
  <c r="AO287" i="1"/>
  <c r="AC287" i="1"/>
  <c r="Q287" i="1"/>
  <c r="E287" i="1"/>
  <c r="BA286" i="1"/>
  <c r="AO286" i="1"/>
  <c r="AC286" i="1"/>
  <c r="Q286" i="1"/>
  <c r="E286" i="1"/>
  <c r="BA285" i="1"/>
  <c r="AO285" i="1"/>
  <c r="AC285" i="1"/>
  <c r="Q285" i="1"/>
  <c r="E285" i="1"/>
  <c r="BA282" i="1"/>
  <c r="AO282" i="1"/>
  <c r="AC282" i="1"/>
  <c r="Q282" i="1"/>
  <c r="E282" i="1"/>
  <c r="BA281" i="1"/>
  <c r="AO281" i="1"/>
  <c r="AC281" i="1"/>
  <c r="Q281" i="1"/>
  <c r="E281" i="1"/>
  <c r="BA280" i="1"/>
  <c r="AO280" i="1"/>
  <c r="AC280" i="1"/>
  <c r="Q280" i="1"/>
  <c r="E280" i="1"/>
  <c r="BA279" i="1"/>
  <c r="AO279" i="1"/>
  <c r="AC279" i="1"/>
  <c r="Q279" i="1"/>
  <c r="E279" i="1"/>
  <c r="BA278" i="1"/>
  <c r="AO278" i="1"/>
  <c r="AC278" i="1"/>
  <c r="Q278" i="1"/>
  <c r="E278" i="1"/>
  <c r="BA277" i="1"/>
  <c r="AO277" i="1"/>
  <c r="AC277" i="1"/>
  <c r="Q277" i="1"/>
  <c r="E277" i="1"/>
  <c r="BA276" i="1"/>
  <c r="AO276" i="1"/>
  <c r="AC276" i="1"/>
  <c r="Q276" i="1"/>
  <c r="E276" i="1"/>
  <c r="BA274" i="1"/>
  <c r="AO274" i="1"/>
  <c r="AC274" i="1"/>
  <c r="Q274" i="1"/>
  <c r="E274" i="1"/>
  <c r="BA273" i="1"/>
  <c r="AO273" i="1"/>
  <c r="AC273" i="1"/>
  <c r="Q273" i="1"/>
  <c r="E273" i="1"/>
  <c r="BA272" i="1"/>
  <c r="AO272" i="1"/>
  <c r="AC272" i="1"/>
  <c r="Q272" i="1"/>
  <c r="E272" i="1"/>
  <c r="BA271" i="1"/>
  <c r="AO271" i="1"/>
  <c r="AC271" i="1"/>
  <c r="Q271" i="1"/>
  <c r="E271" i="1"/>
  <c r="BA270" i="1"/>
  <c r="AO270" i="1"/>
  <c r="AC270" i="1"/>
  <c r="Q270" i="1"/>
  <c r="E270" i="1"/>
  <c r="BA269" i="1"/>
  <c r="AO269" i="1"/>
  <c r="AC269" i="1"/>
  <c r="Q269" i="1"/>
  <c r="E269" i="1"/>
  <c r="BA268" i="1"/>
  <c r="AO268" i="1"/>
  <c r="AC268" i="1"/>
  <c r="Q268" i="1"/>
  <c r="E268" i="1"/>
  <c r="BA267" i="1"/>
  <c r="AO267" i="1"/>
  <c r="AC267" i="1"/>
  <c r="Q267" i="1"/>
  <c r="E267" i="1"/>
  <c r="BA266" i="1"/>
  <c r="AO266" i="1"/>
  <c r="AC266" i="1"/>
  <c r="Q266" i="1"/>
  <c r="E266" i="1"/>
  <c r="BA265" i="1"/>
  <c r="AO265" i="1"/>
  <c r="AC265" i="1"/>
  <c r="Q265" i="1"/>
  <c r="E265" i="1"/>
  <c r="BA264" i="1"/>
  <c r="AO264" i="1"/>
  <c r="AC264" i="1"/>
  <c r="Q264" i="1"/>
  <c r="E264" i="1"/>
  <c r="BA263" i="1"/>
  <c r="AO263" i="1"/>
  <c r="AC263" i="1"/>
  <c r="Q263" i="1"/>
  <c r="E263" i="1"/>
  <c r="BA262" i="1"/>
  <c r="AO262" i="1"/>
  <c r="AC262" i="1"/>
  <c r="Q262" i="1"/>
  <c r="E262" i="1"/>
  <c r="BA261" i="1"/>
  <c r="AO261" i="1"/>
  <c r="AC261" i="1"/>
  <c r="Q261" i="1"/>
  <c r="E261" i="1"/>
  <c r="BA260" i="1"/>
  <c r="AO260" i="1"/>
  <c r="AC260" i="1"/>
  <c r="Q260" i="1"/>
  <c r="E260" i="1"/>
  <c r="BA259" i="1"/>
  <c r="AO259" i="1"/>
  <c r="AC259" i="1"/>
  <c r="Q259" i="1"/>
  <c r="E259" i="1"/>
  <c r="BA257" i="1"/>
  <c r="AO257" i="1"/>
  <c r="AC257" i="1"/>
  <c r="Q257" i="1"/>
  <c r="E257" i="1"/>
  <c r="BA256" i="1"/>
  <c r="AO256" i="1"/>
  <c r="AC256" i="1"/>
  <c r="Q256" i="1"/>
  <c r="E256" i="1"/>
  <c r="BA255" i="1"/>
  <c r="AO255" i="1"/>
  <c r="AC255" i="1"/>
  <c r="Q255" i="1"/>
  <c r="E255" i="1"/>
  <c r="BA254" i="1"/>
  <c r="AO254" i="1"/>
  <c r="AC254" i="1"/>
  <c r="Q254" i="1"/>
  <c r="E254" i="1"/>
  <c r="BA253" i="1"/>
  <c r="AO253" i="1"/>
  <c r="AC253" i="1"/>
  <c r="Q253" i="1"/>
  <c r="E253" i="1"/>
  <c r="BA252" i="1"/>
  <c r="AO252" i="1"/>
  <c r="AC252" i="1"/>
  <c r="Q252" i="1"/>
  <c r="E252" i="1"/>
  <c r="BA251" i="1"/>
  <c r="AO251" i="1"/>
  <c r="AC251" i="1"/>
  <c r="Q251" i="1"/>
  <c r="E251" i="1"/>
  <c r="BA250" i="1"/>
  <c r="AO250" i="1"/>
  <c r="AC250" i="1"/>
  <c r="Q250" i="1"/>
  <c r="E250" i="1"/>
  <c r="BA249" i="1"/>
  <c r="AO249" i="1"/>
  <c r="AC249" i="1"/>
  <c r="Q249" i="1"/>
  <c r="E249" i="1"/>
  <c r="BA248" i="1"/>
  <c r="AO248" i="1"/>
  <c r="AC248" i="1"/>
  <c r="Q248" i="1"/>
  <c r="E248" i="1"/>
  <c r="BA247" i="1"/>
  <c r="AO247" i="1"/>
  <c r="AC247" i="1"/>
  <c r="Q247" i="1"/>
  <c r="E247" i="1"/>
  <c r="BA246" i="1"/>
  <c r="AO246" i="1"/>
  <c r="AC246" i="1"/>
  <c r="Q246" i="1"/>
  <c r="E246" i="1"/>
  <c r="BA245" i="1"/>
  <c r="AO245" i="1"/>
  <c r="AC245" i="1"/>
  <c r="Q245" i="1"/>
  <c r="E245" i="1"/>
  <c r="BA244" i="1"/>
  <c r="AO244" i="1"/>
  <c r="AC244" i="1"/>
  <c r="Q244" i="1"/>
  <c r="E244" i="1"/>
  <c r="BA243" i="1"/>
  <c r="AO243" i="1"/>
  <c r="AC243" i="1"/>
  <c r="Q243" i="1"/>
  <c r="E243" i="1"/>
  <c r="BA242" i="1"/>
  <c r="AO242" i="1"/>
  <c r="AC242" i="1"/>
  <c r="Q242" i="1"/>
  <c r="E242" i="1"/>
  <c r="BA241" i="1"/>
  <c r="AO241" i="1"/>
  <c r="AC241" i="1"/>
  <c r="Q241" i="1"/>
  <c r="E241" i="1"/>
  <c r="BA240" i="1"/>
  <c r="AO240" i="1"/>
  <c r="AC240" i="1"/>
  <c r="Q240" i="1"/>
  <c r="E240" i="1"/>
  <c r="BA239" i="1"/>
  <c r="AO239" i="1"/>
  <c r="AC239" i="1"/>
  <c r="Q239" i="1"/>
  <c r="E239" i="1"/>
  <c r="BA237" i="1"/>
  <c r="AO237" i="1"/>
  <c r="AC237" i="1"/>
  <c r="Q237" i="1"/>
  <c r="E237" i="1"/>
  <c r="BA236" i="1"/>
  <c r="AO236" i="1"/>
  <c r="AC236" i="1"/>
  <c r="Q236" i="1"/>
  <c r="E236" i="1"/>
  <c r="BA235" i="1"/>
  <c r="AO235" i="1"/>
  <c r="AC235" i="1"/>
  <c r="Q235" i="1"/>
  <c r="E235" i="1"/>
  <c r="BA234" i="1"/>
  <c r="AO234" i="1"/>
  <c r="AC234" i="1"/>
  <c r="Q234" i="1"/>
  <c r="E234" i="1"/>
  <c r="BA233" i="1"/>
  <c r="AO233" i="1"/>
  <c r="AC233" i="1"/>
  <c r="Q233" i="1"/>
  <c r="E233" i="1"/>
  <c r="BA232" i="1"/>
  <c r="AO232" i="1"/>
  <c r="AC232" i="1"/>
  <c r="Q232" i="1"/>
  <c r="E232" i="1"/>
  <c r="BA231" i="1"/>
  <c r="AO231" i="1"/>
  <c r="AC231" i="1"/>
  <c r="Q231" i="1"/>
  <c r="E231" i="1"/>
  <c r="BA230" i="1"/>
  <c r="AO230" i="1"/>
  <c r="AC230" i="1"/>
  <c r="Q230" i="1"/>
  <c r="E230" i="1"/>
  <c r="BA229" i="1"/>
  <c r="AO229" i="1"/>
  <c r="AC229" i="1"/>
  <c r="Q229" i="1"/>
  <c r="E229" i="1"/>
  <c r="BA228" i="1"/>
  <c r="AO228" i="1"/>
  <c r="AC228" i="1"/>
  <c r="Q228" i="1"/>
  <c r="E228" i="1"/>
  <c r="BA227" i="1"/>
  <c r="AO227" i="1"/>
  <c r="AC227" i="1"/>
  <c r="Q227" i="1"/>
  <c r="E227" i="1"/>
  <c r="BA226" i="1"/>
  <c r="AO226" i="1"/>
  <c r="AC226" i="1"/>
  <c r="Q226" i="1"/>
  <c r="E226" i="1"/>
  <c r="BA225" i="1"/>
  <c r="AO225" i="1"/>
  <c r="AC225" i="1"/>
  <c r="Q225" i="1"/>
  <c r="E225" i="1"/>
  <c r="BA224" i="1"/>
  <c r="AO224" i="1"/>
  <c r="AC224" i="1"/>
  <c r="Q224" i="1"/>
  <c r="E224" i="1"/>
  <c r="BA223" i="1"/>
  <c r="AO223" i="1"/>
  <c r="AC223" i="1"/>
  <c r="Q223" i="1"/>
  <c r="E223" i="1"/>
  <c r="BA222" i="1"/>
  <c r="AO222" i="1"/>
  <c r="AC222" i="1"/>
  <c r="Q222" i="1"/>
  <c r="E222" i="1"/>
  <c r="BA221" i="1"/>
  <c r="AO221" i="1"/>
  <c r="AC221" i="1"/>
  <c r="Q221" i="1"/>
  <c r="E221" i="1"/>
  <c r="BA220" i="1"/>
  <c r="AO220" i="1"/>
  <c r="AC220" i="1"/>
  <c r="Q220" i="1"/>
  <c r="E220" i="1"/>
  <c r="BA219" i="1"/>
  <c r="AO219" i="1"/>
  <c r="AC219" i="1"/>
  <c r="Q219" i="1"/>
  <c r="E219" i="1"/>
  <c r="BA218" i="1"/>
  <c r="AO218" i="1"/>
  <c r="AC218" i="1"/>
  <c r="Q218" i="1"/>
  <c r="E218" i="1"/>
  <c r="BA217" i="1"/>
  <c r="AO217" i="1"/>
  <c r="AC217" i="1"/>
  <c r="Q217" i="1"/>
  <c r="E217" i="1"/>
  <c r="BA216" i="1"/>
  <c r="AO216" i="1"/>
  <c r="AC216" i="1"/>
  <c r="Q216" i="1"/>
  <c r="E216" i="1"/>
  <c r="BA215" i="1"/>
  <c r="AO215" i="1"/>
  <c r="AC215" i="1"/>
  <c r="Q215" i="1"/>
  <c r="E215" i="1"/>
  <c r="BA214" i="1"/>
  <c r="AO214" i="1"/>
  <c r="AC214" i="1"/>
  <c r="Q214" i="1"/>
  <c r="E214" i="1"/>
  <c r="BA213" i="1"/>
  <c r="AO213" i="1"/>
  <c r="AC213" i="1"/>
  <c r="Q213" i="1"/>
  <c r="E213" i="1"/>
  <c r="BA212" i="1"/>
  <c r="AO212" i="1"/>
  <c r="AC212" i="1"/>
  <c r="Q212" i="1"/>
  <c r="E212" i="1"/>
  <c r="BA211" i="1"/>
  <c r="AO211" i="1"/>
  <c r="AC211" i="1"/>
  <c r="Q211" i="1"/>
  <c r="E211" i="1"/>
  <c r="BA210" i="1"/>
  <c r="AO210" i="1"/>
  <c r="AC210" i="1"/>
  <c r="Q210" i="1"/>
  <c r="E210" i="1"/>
  <c r="BA209" i="1"/>
  <c r="AO209" i="1"/>
  <c r="AC209" i="1"/>
  <c r="Q209" i="1"/>
  <c r="E209" i="1"/>
  <c r="BA208" i="1"/>
  <c r="AO208" i="1"/>
  <c r="AC208" i="1"/>
  <c r="Q208" i="1"/>
  <c r="E208" i="1"/>
  <c r="BA207" i="1"/>
  <c r="AO207" i="1"/>
  <c r="AC207" i="1"/>
  <c r="Q207" i="1"/>
  <c r="E207" i="1"/>
  <c r="BA206" i="1"/>
  <c r="AO206" i="1"/>
  <c r="AC206" i="1"/>
  <c r="Q206" i="1"/>
  <c r="E206" i="1"/>
  <c r="BA205" i="1"/>
  <c r="AO205" i="1"/>
  <c r="AC205" i="1"/>
  <c r="Q205" i="1"/>
  <c r="E205" i="1"/>
  <c r="BA204" i="1"/>
  <c r="AO204" i="1"/>
  <c r="AC204" i="1"/>
  <c r="Q204" i="1"/>
  <c r="E204" i="1"/>
  <c r="BA202" i="1"/>
  <c r="AO202" i="1"/>
  <c r="AC202" i="1"/>
  <c r="Q202" i="1"/>
  <c r="E202" i="1"/>
  <c r="BA201" i="1"/>
  <c r="AO201" i="1"/>
  <c r="AC201" i="1"/>
  <c r="Q201" i="1"/>
  <c r="E201" i="1"/>
  <c r="BA200" i="1"/>
  <c r="AO200" i="1"/>
  <c r="AC200" i="1"/>
  <c r="Q200" i="1"/>
  <c r="E200" i="1"/>
  <c r="BA199" i="1"/>
  <c r="AO199" i="1"/>
  <c r="AC199" i="1"/>
  <c r="Q199" i="1"/>
  <c r="E199" i="1"/>
  <c r="BA198" i="1"/>
  <c r="AO198" i="1"/>
  <c r="AC198" i="1"/>
  <c r="Q198" i="1"/>
  <c r="E198" i="1"/>
  <c r="BA197" i="1"/>
  <c r="AO197" i="1"/>
  <c r="AC197" i="1"/>
  <c r="Q197" i="1"/>
  <c r="E197" i="1"/>
  <c r="BA196" i="1"/>
  <c r="AO196" i="1"/>
  <c r="AC196" i="1"/>
  <c r="Q196" i="1"/>
  <c r="E196" i="1"/>
  <c r="BA194" i="1"/>
  <c r="AO194" i="1"/>
  <c r="AC194" i="1"/>
  <c r="Q194" i="1"/>
  <c r="E194" i="1"/>
  <c r="BA193" i="1"/>
  <c r="AO193" i="1"/>
  <c r="AC193" i="1"/>
  <c r="Q193" i="1"/>
  <c r="E193" i="1"/>
  <c r="BA192" i="1"/>
  <c r="AO192" i="1"/>
  <c r="AC192" i="1"/>
  <c r="Q192" i="1"/>
  <c r="E192" i="1"/>
  <c r="BA191" i="1"/>
  <c r="AO191" i="1"/>
  <c r="AC191" i="1"/>
  <c r="Q191" i="1"/>
  <c r="E191" i="1"/>
  <c r="BA190" i="1"/>
  <c r="AO190" i="1"/>
  <c r="AC190" i="1"/>
  <c r="Q190" i="1"/>
  <c r="E190" i="1"/>
  <c r="BA189" i="1"/>
  <c r="AO189" i="1"/>
  <c r="AC189" i="1"/>
  <c r="Q189" i="1"/>
  <c r="E189" i="1"/>
  <c r="BA188" i="1"/>
  <c r="AO188" i="1"/>
  <c r="AC188" i="1"/>
  <c r="Q188" i="1"/>
  <c r="E188" i="1"/>
  <c r="BA187" i="1"/>
  <c r="AO187" i="1"/>
  <c r="AC187" i="1"/>
  <c r="Q187" i="1"/>
  <c r="E187" i="1"/>
  <c r="BA186" i="1"/>
  <c r="AO186" i="1"/>
  <c r="AC186" i="1"/>
  <c r="Q186" i="1"/>
  <c r="E186" i="1"/>
  <c r="BA185" i="1"/>
  <c r="AO185" i="1"/>
  <c r="AC185" i="1"/>
  <c r="Q185" i="1"/>
  <c r="E185" i="1"/>
  <c r="BA184" i="1"/>
  <c r="AO184" i="1"/>
  <c r="AC184" i="1"/>
  <c r="Q184" i="1"/>
  <c r="E184" i="1"/>
  <c r="BA183" i="1"/>
  <c r="AO183" i="1"/>
  <c r="AC183" i="1"/>
  <c r="Q183" i="1"/>
  <c r="E183" i="1"/>
  <c r="BA182" i="1"/>
  <c r="AO182" i="1"/>
  <c r="AC182" i="1"/>
  <c r="Q182" i="1"/>
  <c r="E182" i="1"/>
  <c r="BA181" i="1"/>
  <c r="AO181" i="1"/>
  <c r="AC181" i="1"/>
  <c r="Q181" i="1"/>
  <c r="E181" i="1"/>
  <c r="BA180" i="1"/>
  <c r="AO180" i="1"/>
  <c r="AC180" i="1"/>
  <c r="Q180" i="1"/>
  <c r="E180" i="1"/>
  <c r="BA179" i="1"/>
  <c r="AO179" i="1"/>
  <c r="AC179" i="1"/>
  <c r="Q179" i="1"/>
  <c r="E179" i="1"/>
  <c r="BA178" i="1"/>
  <c r="AO178" i="1"/>
  <c r="AC178" i="1"/>
  <c r="Q178" i="1"/>
  <c r="E178" i="1"/>
  <c r="BA177" i="1"/>
  <c r="AO177" i="1"/>
  <c r="AC177" i="1"/>
  <c r="Q177" i="1"/>
  <c r="E177" i="1"/>
  <c r="BA176" i="1"/>
  <c r="AO176" i="1"/>
  <c r="AC176" i="1"/>
  <c r="Q176" i="1"/>
  <c r="E176" i="1"/>
  <c r="BA174" i="1"/>
  <c r="AO174" i="1"/>
  <c r="AC174" i="1"/>
  <c r="Q174" i="1"/>
  <c r="E174" i="1"/>
  <c r="BA173" i="1"/>
  <c r="AO173" i="1"/>
  <c r="AC173" i="1"/>
  <c r="Q173" i="1"/>
  <c r="E173" i="1"/>
  <c r="BA172" i="1"/>
  <c r="AO172" i="1"/>
  <c r="AC172" i="1"/>
  <c r="Q172" i="1"/>
  <c r="E172" i="1"/>
  <c r="BA171" i="1"/>
  <c r="AO171" i="1"/>
  <c r="AC171" i="1"/>
  <c r="Q171" i="1"/>
  <c r="E171" i="1"/>
  <c r="BA170" i="1"/>
  <c r="AO170" i="1"/>
  <c r="AC170" i="1"/>
  <c r="Q170" i="1"/>
  <c r="E170" i="1"/>
  <c r="BA169" i="1"/>
  <c r="AO169" i="1"/>
  <c r="AC169" i="1"/>
  <c r="Q169" i="1"/>
  <c r="E169" i="1"/>
  <c r="BA168" i="1"/>
  <c r="AO168" i="1"/>
  <c r="AC168" i="1"/>
  <c r="Q168" i="1"/>
  <c r="E168" i="1"/>
  <c r="BA167" i="1"/>
  <c r="AO167" i="1"/>
  <c r="AC167" i="1"/>
  <c r="Q167" i="1"/>
  <c r="E167" i="1"/>
  <c r="BA166" i="1"/>
  <c r="AO166" i="1"/>
  <c r="AC166" i="1"/>
  <c r="Q166" i="1"/>
  <c r="E166" i="1"/>
  <c r="BA165" i="1"/>
  <c r="AO165" i="1"/>
  <c r="AC165" i="1"/>
  <c r="Q165" i="1"/>
  <c r="E165" i="1"/>
  <c r="BA164" i="1"/>
  <c r="AO164" i="1"/>
  <c r="AC164" i="1"/>
  <c r="Q164" i="1"/>
  <c r="E164" i="1"/>
  <c r="BA163" i="1"/>
  <c r="AO163" i="1"/>
  <c r="AC163" i="1"/>
  <c r="Q163" i="1"/>
  <c r="E163" i="1"/>
  <c r="BA162" i="1"/>
  <c r="AO162" i="1"/>
  <c r="AC162" i="1"/>
  <c r="Q162" i="1"/>
  <c r="E162" i="1"/>
  <c r="BA161" i="1"/>
  <c r="AO161" i="1"/>
  <c r="AC161" i="1"/>
  <c r="Q161" i="1"/>
  <c r="E161" i="1"/>
  <c r="BA160" i="1"/>
  <c r="AO160" i="1"/>
  <c r="AC160" i="1"/>
  <c r="Q160" i="1"/>
  <c r="E160" i="1"/>
  <c r="BA159" i="1"/>
  <c r="AO159" i="1"/>
  <c r="AC159" i="1"/>
  <c r="Q159" i="1"/>
  <c r="E159" i="1"/>
  <c r="BA158" i="1"/>
  <c r="AO158" i="1"/>
  <c r="AC158" i="1"/>
  <c r="Q158" i="1"/>
  <c r="E158" i="1"/>
  <c r="BA157" i="1"/>
  <c r="AO157" i="1"/>
  <c r="AC157" i="1"/>
  <c r="Q157" i="1"/>
  <c r="E157" i="1"/>
  <c r="BA156" i="1"/>
  <c r="AO156" i="1"/>
  <c r="AC156" i="1"/>
  <c r="Q156" i="1"/>
  <c r="E156" i="1"/>
  <c r="BA155" i="1"/>
  <c r="AO155" i="1"/>
  <c r="AC155" i="1"/>
  <c r="Q155" i="1"/>
  <c r="E155" i="1"/>
  <c r="BA154" i="1"/>
  <c r="AO154" i="1"/>
  <c r="AC154" i="1"/>
  <c r="Q154" i="1"/>
  <c r="E154" i="1"/>
  <c r="BA153" i="1"/>
  <c r="AO153" i="1"/>
  <c r="AC153" i="1"/>
  <c r="Q153" i="1"/>
  <c r="E153" i="1"/>
  <c r="BA152" i="1"/>
  <c r="AO152" i="1"/>
  <c r="AC152" i="1"/>
  <c r="Q152" i="1"/>
  <c r="E152" i="1"/>
  <c r="BA151" i="1"/>
  <c r="AO151" i="1"/>
  <c r="AC151" i="1"/>
  <c r="Q151" i="1"/>
  <c r="E151" i="1"/>
  <c r="BA150" i="1"/>
  <c r="AO150" i="1"/>
  <c r="AC150" i="1"/>
  <c r="Q150" i="1"/>
  <c r="E150" i="1"/>
  <c r="BA149" i="1"/>
  <c r="AO149" i="1"/>
  <c r="AC149" i="1"/>
  <c r="Q149" i="1"/>
  <c r="E149" i="1"/>
  <c r="BA148" i="1"/>
  <c r="AO148" i="1"/>
  <c r="AC148" i="1"/>
  <c r="Q148" i="1"/>
  <c r="E148" i="1"/>
  <c r="BA147" i="1"/>
  <c r="AO147" i="1"/>
  <c r="AC147" i="1"/>
  <c r="Q147" i="1"/>
  <c r="E147" i="1"/>
  <c r="BA146" i="1"/>
  <c r="AO146" i="1"/>
  <c r="AC146" i="1"/>
  <c r="Q146" i="1"/>
  <c r="E146" i="1"/>
  <c r="BA145" i="1"/>
  <c r="AO145" i="1"/>
  <c r="AC145" i="1"/>
  <c r="Q145" i="1"/>
  <c r="E145" i="1"/>
  <c r="BA144" i="1"/>
  <c r="AO144" i="1"/>
  <c r="AC144" i="1"/>
  <c r="Q144" i="1"/>
  <c r="E144" i="1"/>
  <c r="BA143" i="1"/>
  <c r="AO143" i="1"/>
  <c r="AC143" i="1"/>
  <c r="Q143" i="1"/>
  <c r="E143" i="1"/>
  <c r="BA142" i="1"/>
  <c r="AO142" i="1"/>
  <c r="AC142" i="1"/>
  <c r="Q142" i="1"/>
  <c r="E142" i="1"/>
  <c r="BA141" i="1"/>
  <c r="AO141" i="1"/>
  <c r="AC141" i="1"/>
  <c r="Q141" i="1"/>
  <c r="E141" i="1"/>
  <c r="BA140" i="1"/>
  <c r="AO140" i="1"/>
  <c r="AC140" i="1"/>
  <c r="Q140" i="1"/>
  <c r="E140" i="1"/>
  <c r="BA139" i="1"/>
  <c r="AO139" i="1"/>
  <c r="AC139" i="1"/>
  <c r="Q139" i="1"/>
  <c r="E139" i="1"/>
  <c r="BA138" i="1"/>
  <c r="AO138" i="1"/>
  <c r="AC138" i="1"/>
  <c r="Q138" i="1"/>
  <c r="E138" i="1"/>
  <c r="BA137" i="1"/>
  <c r="AO137" i="1"/>
  <c r="AC137" i="1"/>
  <c r="Q137" i="1"/>
  <c r="E137" i="1"/>
  <c r="BA136" i="1"/>
  <c r="AO136" i="1"/>
  <c r="AC136" i="1"/>
  <c r="Q136" i="1"/>
  <c r="E136" i="1"/>
  <c r="BA135" i="1"/>
  <c r="AO135" i="1"/>
  <c r="AC135" i="1"/>
  <c r="Q135" i="1"/>
  <c r="E135" i="1"/>
  <c r="BA134" i="1"/>
  <c r="AO134" i="1"/>
  <c r="AC134" i="1"/>
  <c r="Q134" i="1"/>
  <c r="E134" i="1"/>
  <c r="BA133" i="1"/>
  <c r="AO133" i="1"/>
  <c r="AC133" i="1"/>
  <c r="Q133" i="1"/>
  <c r="E133" i="1"/>
  <c r="BA132" i="1"/>
  <c r="AO132" i="1"/>
  <c r="AC132" i="1"/>
  <c r="Q132" i="1"/>
  <c r="E132" i="1"/>
  <c r="BA131" i="1"/>
  <c r="AO131" i="1"/>
  <c r="AC131" i="1"/>
  <c r="Q131" i="1"/>
  <c r="E131" i="1"/>
  <c r="BA130" i="1"/>
  <c r="AO130" i="1"/>
  <c r="AC130" i="1"/>
  <c r="Q130" i="1"/>
  <c r="E130" i="1"/>
  <c r="BA129" i="1"/>
  <c r="AO129" i="1"/>
  <c r="AC129" i="1"/>
  <c r="Q129" i="1"/>
  <c r="E129" i="1"/>
  <c r="BA128" i="1"/>
  <c r="AO128" i="1"/>
  <c r="AC128" i="1"/>
  <c r="Q128" i="1"/>
  <c r="E128" i="1"/>
  <c r="BA127" i="1"/>
  <c r="AO127" i="1"/>
  <c r="AC127" i="1"/>
  <c r="Q127" i="1"/>
  <c r="E127" i="1"/>
  <c r="BA126" i="1"/>
  <c r="AO126" i="1"/>
  <c r="AC126" i="1"/>
  <c r="Q126" i="1"/>
  <c r="E126" i="1"/>
  <c r="BA125" i="1"/>
  <c r="AO125" i="1"/>
  <c r="AC125" i="1"/>
  <c r="Q125" i="1"/>
  <c r="E125" i="1"/>
  <c r="BA124" i="1"/>
  <c r="AO124" i="1"/>
  <c r="AC124" i="1"/>
  <c r="Q124" i="1"/>
  <c r="E124" i="1"/>
  <c r="BA123" i="1"/>
  <c r="AO123" i="1"/>
  <c r="AC123" i="1"/>
  <c r="Q123" i="1"/>
  <c r="E123" i="1"/>
  <c r="BA122" i="1"/>
  <c r="AO122" i="1"/>
  <c r="AC122" i="1"/>
  <c r="Q122" i="1"/>
  <c r="E122" i="1"/>
  <c r="BA121" i="1"/>
  <c r="AO121" i="1"/>
  <c r="AC121" i="1"/>
  <c r="Q121" i="1"/>
  <c r="E121" i="1"/>
  <c r="BA120" i="1"/>
  <c r="AO120" i="1"/>
  <c r="AC120" i="1"/>
  <c r="Q120" i="1"/>
  <c r="E120" i="1"/>
  <c r="BA119" i="1"/>
  <c r="AO119" i="1"/>
  <c r="AC119" i="1"/>
  <c r="Q119" i="1"/>
  <c r="E119" i="1"/>
  <c r="BA118" i="1"/>
  <c r="AO118" i="1"/>
  <c r="AC118" i="1"/>
  <c r="Q118" i="1"/>
  <c r="E118" i="1"/>
  <c r="BA117" i="1"/>
  <c r="AO117" i="1"/>
  <c r="AC117" i="1"/>
  <c r="Q117" i="1"/>
  <c r="E117" i="1"/>
  <c r="BA116" i="1"/>
  <c r="AO116" i="1"/>
  <c r="AC116" i="1"/>
  <c r="Q116" i="1"/>
  <c r="E116" i="1"/>
  <c r="BA115" i="1"/>
  <c r="AO115" i="1"/>
  <c r="AC115" i="1"/>
  <c r="Q115" i="1"/>
  <c r="E115" i="1"/>
  <c r="BA114" i="1"/>
  <c r="AO114" i="1"/>
  <c r="AC114" i="1"/>
  <c r="Q114" i="1"/>
  <c r="E114" i="1"/>
  <c r="BA113" i="1"/>
  <c r="AO113" i="1"/>
  <c r="AC113" i="1"/>
  <c r="Q113" i="1"/>
  <c r="E113" i="1"/>
  <c r="BA112" i="1"/>
  <c r="AO112" i="1"/>
  <c r="AC112" i="1"/>
  <c r="Q112" i="1"/>
  <c r="E112" i="1"/>
  <c r="BA111" i="1"/>
  <c r="AO111" i="1"/>
  <c r="AC111" i="1"/>
  <c r="Q111" i="1"/>
  <c r="E111" i="1"/>
  <c r="BA110" i="1"/>
  <c r="AO110" i="1"/>
  <c r="AC110" i="1"/>
  <c r="Q110" i="1"/>
  <c r="E110" i="1"/>
  <c r="BA109" i="1"/>
  <c r="AO109" i="1"/>
  <c r="AC109" i="1"/>
  <c r="Q109" i="1"/>
  <c r="E109" i="1"/>
  <c r="BA108" i="1"/>
  <c r="AO108" i="1"/>
  <c r="AC108" i="1"/>
  <c r="Q108" i="1"/>
  <c r="E108" i="1"/>
  <c r="BA107" i="1"/>
  <c r="AO107" i="1"/>
  <c r="AC107" i="1"/>
  <c r="Q107" i="1"/>
  <c r="E107" i="1"/>
  <c r="BA106" i="1"/>
  <c r="AO106" i="1"/>
  <c r="AC106" i="1"/>
  <c r="Q106" i="1"/>
  <c r="E106" i="1"/>
  <c r="BA105" i="1"/>
  <c r="AO105" i="1"/>
  <c r="AC105" i="1"/>
  <c r="Q105" i="1"/>
  <c r="E105" i="1"/>
  <c r="BA104" i="1"/>
  <c r="AO104" i="1"/>
  <c r="AC104" i="1"/>
  <c r="Q104" i="1"/>
  <c r="E104" i="1"/>
  <c r="BA103" i="1"/>
  <c r="AO103" i="1"/>
  <c r="AC103" i="1"/>
  <c r="Q103" i="1"/>
  <c r="E103" i="1"/>
  <c r="BA102" i="1"/>
  <c r="AO102" i="1"/>
  <c r="AC102" i="1"/>
  <c r="Q102" i="1"/>
  <c r="E102" i="1"/>
  <c r="BA101" i="1"/>
  <c r="AO101" i="1"/>
  <c r="AC101" i="1"/>
  <c r="Q101" i="1"/>
  <c r="E101" i="1"/>
  <c r="BA100" i="1"/>
  <c r="AO100" i="1"/>
  <c r="AC100" i="1"/>
  <c r="Q100" i="1"/>
  <c r="E100" i="1"/>
  <c r="BA99" i="1"/>
  <c r="AO99" i="1"/>
  <c r="AC99" i="1"/>
  <c r="Q99" i="1"/>
  <c r="E99" i="1"/>
  <c r="BA98" i="1"/>
  <c r="AO98" i="1"/>
  <c r="AC98" i="1"/>
  <c r="Q98" i="1"/>
  <c r="E98" i="1"/>
  <c r="BA97" i="1"/>
  <c r="AO97" i="1"/>
  <c r="AC97" i="1"/>
  <c r="Q97" i="1"/>
  <c r="E97" i="1"/>
  <c r="BA96" i="1"/>
  <c r="AO96" i="1"/>
  <c r="AC96" i="1"/>
  <c r="Q96" i="1"/>
  <c r="E96" i="1"/>
  <c r="BA95" i="1"/>
  <c r="AO95" i="1"/>
  <c r="AC95" i="1"/>
  <c r="Q95" i="1"/>
  <c r="E95" i="1"/>
  <c r="BA94" i="1"/>
  <c r="AO94" i="1"/>
  <c r="AC94" i="1"/>
  <c r="Q94" i="1"/>
  <c r="E94" i="1"/>
  <c r="BA93" i="1"/>
  <c r="AO93" i="1"/>
  <c r="AC93" i="1"/>
  <c r="Q93" i="1"/>
  <c r="E93" i="1"/>
  <c r="BA92" i="1"/>
  <c r="AO92" i="1"/>
  <c r="AC92" i="1"/>
  <c r="Q92" i="1"/>
  <c r="E92" i="1"/>
  <c r="BA91" i="1"/>
  <c r="AO91" i="1"/>
  <c r="AC91" i="1"/>
  <c r="Q91" i="1"/>
  <c r="E91" i="1"/>
  <c r="BA90" i="1"/>
  <c r="AO90" i="1"/>
  <c r="AC90" i="1"/>
  <c r="Q90" i="1"/>
  <c r="E90" i="1"/>
  <c r="BA89" i="1"/>
  <c r="AO89" i="1"/>
  <c r="AC89" i="1"/>
  <c r="Q89" i="1"/>
  <c r="E89" i="1"/>
  <c r="BA88" i="1"/>
  <c r="AO88" i="1"/>
  <c r="AC88" i="1"/>
  <c r="Q88" i="1"/>
  <c r="E88" i="1"/>
  <c r="BA87" i="1"/>
  <c r="AO87" i="1"/>
  <c r="AC87" i="1"/>
  <c r="Q87" i="1"/>
  <c r="E87" i="1"/>
  <c r="BA86" i="1"/>
  <c r="AO86" i="1"/>
  <c r="AC86" i="1"/>
  <c r="Q86" i="1"/>
  <c r="E86" i="1"/>
  <c r="BA85" i="1"/>
  <c r="AO85" i="1"/>
  <c r="AC85" i="1"/>
  <c r="Q85" i="1"/>
  <c r="E85" i="1"/>
  <c r="BA84" i="1"/>
  <c r="AO84" i="1"/>
  <c r="AC84" i="1"/>
  <c r="Q84" i="1"/>
  <c r="E84" i="1"/>
  <c r="BA83" i="1"/>
  <c r="AO83" i="1"/>
  <c r="AC83" i="1"/>
  <c r="Q83" i="1"/>
  <c r="E83" i="1"/>
  <c r="BA82" i="1"/>
  <c r="AO82" i="1"/>
  <c r="AC82" i="1"/>
  <c r="Q82" i="1"/>
  <c r="E82" i="1"/>
  <c r="BA81" i="1"/>
  <c r="AO81" i="1"/>
  <c r="AC81" i="1"/>
  <c r="Q81" i="1"/>
  <c r="E81" i="1"/>
  <c r="BA80" i="1"/>
  <c r="AO80" i="1"/>
  <c r="AC80" i="1"/>
  <c r="Q80" i="1"/>
  <c r="E80" i="1"/>
  <c r="BA79" i="1"/>
  <c r="AO79" i="1"/>
  <c r="AC79" i="1"/>
  <c r="Q79" i="1"/>
  <c r="E79" i="1"/>
  <c r="BA78" i="1"/>
  <c r="AO78" i="1"/>
  <c r="AC78" i="1"/>
  <c r="Q78" i="1"/>
  <c r="E78" i="1"/>
  <c r="BA77" i="1"/>
  <c r="AO77" i="1"/>
  <c r="AC77" i="1"/>
  <c r="Q77" i="1"/>
  <c r="E77" i="1"/>
  <c r="BA76" i="1"/>
  <c r="AO76" i="1"/>
  <c r="AC76" i="1"/>
  <c r="Q76" i="1"/>
  <c r="E76" i="1"/>
  <c r="BA75" i="1"/>
  <c r="AO75" i="1"/>
  <c r="AC75" i="1"/>
  <c r="Q75" i="1"/>
  <c r="E75" i="1"/>
  <c r="BA74" i="1"/>
  <c r="AO74" i="1"/>
  <c r="AC74" i="1"/>
  <c r="Q74" i="1"/>
  <c r="E74" i="1"/>
  <c r="BA73" i="1"/>
  <c r="AO73" i="1"/>
  <c r="AC73" i="1"/>
  <c r="Q73" i="1"/>
  <c r="E73" i="1"/>
  <c r="BA71" i="1"/>
  <c r="AO71" i="1"/>
  <c r="AC71" i="1"/>
  <c r="Q71" i="1"/>
  <c r="E71" i="1"/>
  <c r="BA70" i="1"/>
  <c r="AO70" i="1"/>
  <c r="AC70" i="1"/>
  <c r="Q70" i="1"/>
  <c r="E70" i="1"/>
  <c r="BA68" i="1"/>
  <c r="AO68" i="1"/>
  <c r="AC68" i="1"/>
  <c r="Q68" i="1"/>
  <c r="E68" i="1"/>
  <c r="BA67" i="1"/>
  <c r="AO67" i="1"/>
  <c r="AC67" i="1"/>
  <c r="Q67" i="1"/>
  <c r="E67" i="1"/>
  <c r="BA66" i="1"/>
  <c r="AO66" i="1"/>
  <c r="AC66" i="1"/>
  <c r="Q66" i="1"/>
  <c r="E66" i="1"/>
  <c r="BA65" i="1"/>
  <c r="AO65" i="1"/>
  <c r="AC65" i="1"/>
  <c r="Q65" i="1"/>
  <c r="E65" i="1"/>
  <c r="BA64" i="1"/>
  <c r="AO64" i="1"/>
  <c r="AC64" i="1"/>
  <c r="Q64" i="1"/>
  <c r="E64" i="1"/>
  <c r="BA63" i="1"/>
  <c r="AO63" i="1"/>
  <c r="AC63" i="1"/>
  <c r="Q63" i="1"/>
  <c r="E63" i="1"/>
  <c r="BA62" i="1"/>
  <c r="AO62" i="1"/>
  <c r="AC62" i="1"/>
  <c r="Q62" i="1"/>
  <c r="E62" i="1"/>
  <c r="BA61" i="1"/>
  <c r="AO61" i="1"/>
  <c r="AC61" i="1"/>
  <c r="Q61" i="1"/>
  <c r="E61" i="1"/>
  <c r="BA60" i="1"/>
  <c r="AO60" i="1"/>
  <c r="AC60" i="1"/>
  <c r="Q60" i="1"/>
  <c r="E60" i="1"/>
  <c r="BA59" i="1"/>
  <c r="AO59" i="1"/>
  <c r="AC59" i="1"/>
  <c r="Q59" i="1"/>
  <c r="E59" i="1"/>
  <c r="BA58" i="1"/>
  <c r="AO58" i="1"/>
  <c r="AC58" i="1"/>
  <c r="Q58" i="1"/>
  <c r="E58" i="1"/>
  <c r="BA57" i="1"/>
  <c r="AO57" i="1"/>
  <c r="AC57" i="1"/>
  <c r="Q57" i="1"/>
  <c r="E57" i="1"/>
  <c r="BA56" i="1"/>
  <c r="AO56" i="1"/>
  <c r="AC56" i="1"/>
  <c r="Q56" i="1"/>
  <c r="E56" i="1"/>
  <c r="BA55" i="1"/>
  <c r="AO55" i="1"/>
  <c r="AC55" i="1"/>
  <c r="Q55" i="1"/>
  <c r="E55" i="1"/>
  <c r="BA54" i="1"/>
  <c r="AO54" i="1"/>
  <c r="AC54" i="1"/>
  <c r="Q54" i="1"/>
  <c r="E54" i="1"/>
  <c r="BA53" i="1"/>
  <c r="AO53" i="1"/>
  <c r="AC53" i="1"/>
  <c r="Q53" i="1"/>
  <c r="E53" i="1"/>
  <c r="BA52" i="1"/>
  <c r="AO52" i="1"/>
  <c r="AC52" i="1"/>
  <c r="Q52" i="1"/>
  <c r="E52" i="1"/>
  <c r="BA51" i="1"/>
  <c r="AO51" i="1"/>
  <c r="AC51" i="1"/>
  <c r="Q51" i="1"/>
  <c r="E51" i="1"/>
  <c r="BA50" i="1"/>
  <c r="AO50" i="1"/>
  <c r="AC50" i="1"/>
  <c r="Q50" i="1"/>
  <c r="E50" i="1"/>
  <c r="BA49" i="1"/>
  <c r="AO49" i="1"/>
  <c r="AC49" i="1"/>
  <c r="Q49" i="1"/>
  <c r="E49" i="1"/>
  <c r="BA48" i="1"/>
  <c r="AO48" i="1"/>
  <c r="AC48" i="1"/>
  <c r="Q48" i="1"/>
  <c r="E48" i="1"/>
  <c r="BA47" i="1"/>
  <c r="AO47" i="1"/>
  <c r="AC47" i="1"/>
  <c r="Q47" i="1"/>
  <c r="E47" i="1"/>
  <c r="BA46" i="1"/>
  <c r="AO46" i="1"/>
  <c r="AC46" i="1"/>
  <c r="Q46" i="1"/>
  <c r="E46" i="1"/>
  <c r="BA45" i="1"/>
  <c r="AO45" i="1"/>
  <c r="AC45" i="1"/>
  <c r="Q45" i="1"/>
  <c r="E45" i="1"/>
  <c r="BA44" i="1"/>
  <c r="AO44" i="1"/>
  <c r="AC44" i="1"/>
  <c r="Q44" i="1"/>
  <c r="E44" i="1"/>
  <c r="BA43" i="1"/>
  <c r="AO43" i="1"/>
  <c r="AC43" i="1"/>
  <c r="Q43" i="1"/>
  <c r="E43" i="1"/>
  <c r="BA42" i="1"/>
  <c r="AO42" i="1"/>
  <c r="AC42" i="1"/>
  <c r="Q42" i="1"/>
  <c r="E42" i="1"/>
  <c r="BA41" i="1"/>
  <c r="AO41" i="1"/>
  <c r="AC41" i="1"/>
  <c r="Q41" i="1"/>
  <c r="E41" i="1"/>
  <c r="BA40" i="1"/>
  <c r="AO40" i="1"/>
  <c r="AC40" i="1"/>
  <c r="Q40" i="1"/>
  <c r="E40" i="1"/>
  <c r="BA39" i="1"/>
  <c r="AO39" i="1"/>
  <c r="AC39" i="1"/>
  <c r="Q39" i="1"/>
  <c r="E39" i="1"/>
  <c r="BA38" i="1"/>
  <c r="AO38" i="1"/>
  <c r="AC38" i="1"/>
  <c r="Q38" i="1"/>
  <c r="E38" i="1"/>
  <c r="BA37" i="1"/>
  <c r="AO37" i="1"/>
  <c r="AC37" i="1"/>
  <c r="Q37" i="1"/>
  <c r="E37" i="1"/>
  <c r="BA36" i="1"/>
  <c r="AO36" i="1"/>
  <c r="AC36" i="1"/>
  <c r="Q36" i="1"/>
  <c r="E36" i="1"/>
  <c r="BA35" i="1"/>
  <c r="AO35" i="1"/>
  <c r="AC35" i="1"/>
  <c r="Q35" i="1"/>
  <c r="E35" i="1"/>
  <c r="BA34" i="1"/>
  <c r="AO34" i="1"/>
  <c r="AC34" i="1"/>
  <c r="Q34" i="1"/>
  <c r="E34" i="1"/>
  <c r="BA33" i="1"/>
  <c r="AO33" i="1"/>
  <c r="AC33" i="1"/>
  <c r="Q33" i="1"/>
  <c r="E33" i="1"/>
  <c r="BA32" i="1"/>
  <c r="AO32" i="1"/>
  <c r="AC32" i="1"/>
  <c r="Q32" i="1"/>
  <c r="E32" i="1"/>
  <c r="BA31" i="1"/>
  <c r="AO31" i="1"/>
  <c r="AC31" i="1"/>
  <c r="Q31" i="1"/>
  <c r="E31" i="1"/>
  <c r="BA30" i="1"/>
  <c r="AO30" i="1"/>
  <c r="AC30" i="1"/>
  <c r="Q30" i="1"/>
  <c r="E30" i="1"/>
  <c r="BA29" i="1"/>
  <c r="AO29" i="1"/>
  <c r="AC29" i="1"/>
  <c r="Q29" i="1"/>
  <c r="E29" i="1"/>
  <c r="BA28" i="1"/>
  <c r="AO28" i="1"/>
  <c r="AC28" i="1"/>
  <c r="Q28" i="1"/>
  <c r="E28" i="1"/>
  <c r="BA27" i="1"/>
  <c r="AO27" i="1"/>
  <c r="AC27" i="1"/>
  <c r="Q27" i="1"/>
  <c r="E27" i="1"/>
  <c r="BA26" i="1"/>
  <c r="AO26" i="1"/>
  <c r="AC26" i="1"/>
  <c r="Q26" i="1"/>
  <c r="E26" i="1"/>
  <c r="BA25" i="1"/>
  <c r="AO25" i="1"/>
  <c r="AC25" i="1"/>
  <c r="Q25" i="1"/>
  <c r="E25" i="1"/>
  <c r="BA24" i="1"/>
  <c r="AO24" i="1"/>
  <c r="AC24" i="1"/>
  <c r="Q24" i="1"/>
  <c r="E24" i="1"/>
  <c r="BA23" i="1"/>
  <c r="AO23" i="1"/>
  <c r="AC23" i="1"/>
  <c r="Q23" i="1"/>
  <c r="E23" i="1"/>
  <c r="BA22" i="1"/>
  <c r="AO22" i="1"/>
  <c r="AC22" i="1"/>
  <c r="Q22" i="1"/>
  <c r="E22" i="1"/>
  <c r="BA21" i="1"/>
  <c r="AO21" i="1"/>
  <c r="AC21" i="1"/>
  <c r="Q21" i="1"/>
  <c r="E21" i="1"/>
  <c r="BA20" i="1"/>
  <c r="AO20" i="1"/>
  <c r="AC20" i="1"/>
  <c r="Q20" i="1"/>
  <c r="E20" i="1"/>
  <c r="BA19" i="1"/>
  <c r="AO19" i="1"/>
  <c r="AC19" i="1"/>
  <c r="Q19" i="1"/>
  <c r="E19" i="1"/>
  <c r="BA18" i="1"/>
  <c r="AO18" i="1"/>
  <c r="AC18" i="1"/>
  <c r="Q18" i="1"/>
  <c r="E18" i="1"/>
  <c r="BA17" i="1"/>
  <c r="AO17" i="1"/>
  <c r="AC17" i="1"/>
  <c r="Q17" i="1"/>
  <c r="E17" i="1"/>
  <c r="BA16" i="1"/>
  <c r="AO16" i="1"/>
  <c r="AC16" i="1"/>
  <c r="Q16" i="1"/>
  <c r="E16" i="1"/>
  <c r="BA15" i="1"/>
  <c r="AO15" i="1"/>
  <c r="AC15" i="1"/>
  <c r="Q15" i="1"/>
  <c r="E15" i="1"/>
  <c r="BA14" i="1"/>
  <c r="AO14" i="1"/>
  <c r="AC14" i="1"/>
  <c r="Q14" i="1"/>
  <c r="E14" i="1"/>
  <c r="BA13" i="1"/>
  <c r="AO13" i="1"/>
  <c r="AC13" i="1"/>
  <c r="Q13" i="1"/>
  <c r="E13" i="1"/>
  <c r="BA12" i="1"/>
  <c r="AO12" i="1"/>
  <c r="AC12" i="1"/>
  <c r="Q12" i="1"/>
  <c r="E12" i="1"/>
  <c r="BA11" i="1"/>
  <c r="AO11" i="1"/>
  <c r="AC11" i="1"/>
  <c r="Q11" i="1"/>
  <c r="E11" i="1"/>
  <c r="BA10" i="1"/>
  <c r="AO10" i="1"/>
  <c r="AC10" i="1"/>
  <c r="Q10" i="1"/>
  <c r="E10" i="1"/>
  <c r="BA9" i="1"/>
  <c r="AO9" i="1"/>
  <c r="AC9" i="1"/>
  <c r="Q9" i="1"/>
  <c r="E9" i="1"/>
  <c r="BA8" i="1"/>
  <c r="AO8" i="1"/>
  <c r="AC8" i="1"/>
  <c r="Q8" i="1"/>
  <c r="E8" i="1"/>
  <c r="BA7" i="1"/>
  <c r="AO7" i="1"/>
  <c r="AC7" i="1"/>
  <c r="Q7" i="1"/>
  <c r="E7" i="1"/>
  <c r="BA6" i="1"/>
  <c r="AO6" i="1"/>
  <c r="AC6" i="1"/>
  <c r="Q6" i="1"/>
  <c r="E6" i="1"/>
  <c r="BA5" i="1"/>
  <c r="AO5" i="1"/>
  <c r="AC5" i="1"/>
  <c r="Q5" i="1"/>
  <c r="E5" i="1"/>
  <c r="K2" i="15"/>
  <c r="B5" i="22"/>
  <c r="R203" i="1"/>
  <c r="BB373" i="1"/>
  <c r="R541" i="1"/>
  <c r="BB846" i="1"/>
  <c r="R69" i="1"/>
  <c r="BB238" i="1"/>
  <c r="AD310" i="1"/>
  <c r="F380" i="1"/>
  <c r="O380" i="1"/>
  <c r="AP341" i="1"/>
  <c r="R510" i="1"/>
  <c r="BB605" i="1"/>
  <c r="AD858" i="1"/>
  <c r="R300" i="1"/>
  <c r="F381" i="1"/>
  <c r="O381" i="1"/>
  <c r="AP718" i="1"/>
  <c r="F367" i="1"/>
  <c r="O367" i="1"/>
  <c r="AD341" i="1"/>
  <c r="BB510" i="1"/>
  <c r="AD707" i="1"/>
  <c r="F327" i="1"/>
  <c r="O327" i="1"/>
  <c r="AP458" i="1"/>
  <c r="R238" i="1"/>
  <c r="R380" i="1"/>
  <c r="R605" i="1"/>
  <c r="BB654" i="1"/>
  <c r="R373" i="1"/>
  <c r="BB300" i="1"/>
  <c r="AD368" i="1"/>
  <c r="F363" i="1"/>
  <c r="O363" i="1"/>
  <c r="AP327" i="1"/>
  <c r="R846" i="1"/>
  <c r="BB718" i="1"/>
  <c r="AD458" i="1"/>
  <c r="F373" i="1"/>
  <c r="O373" i="1"/>
  <c r="AD314" i="1"/>
  <c r="F846" i="1"/>
  <c r="O846" i="1"/>
  <c r="AD799" i="1"/>
  <c r="F238" i="1"/>
  <c r="O238" i="1"/>
  <c r="AP295" i="1"/>
  <c r="R367" i="1"/>
  <c r="BB380" i="1"/>
  <c r="AD366" i="1"/>
  <c r="F605" i="1"/>
  <c r="O605" i="1"/>
  <c r="AP654" i="1"/>
  <c r="R707" i="1"/>
  <c r="R368" i="1"/>
  <c r="BB381" i="1"/>
  <c r="AD295" i="1"/>
  <c r="BB367" i="1"/>
  <c r="F510" i="1"/>
  <c r="O510" i="1"/>
  <c r="AP858" i="1"/>
  <c r="R363" i="1"/>
  <c r="BB327" i="1"/>
  <c r="AD69" i="1"/>
  <c r="R310" i="1"/>
  <c r="R366" i="1"/>
  <c r="F654" i="1"/>
  <c r="O654" i="1"/>
  <c r="AD203" i="1"/>
  <c r="F300" i="1"/>
  <c r="O300" i="1"/>
  <c r="AP314" i="1"/>
  <c r="R381" i="1"/>
  <c r="BB363" i="1"/>
  <c r="AD541" i="1"/>
  <c r="F718" i="1"/>
  <c r="O718" i="1"/>
  <c r="AP799" i="1"/>
  <c r="AP203" i="1"/>
  <c r="F314" i="1"/>
  <c r="O314" i="1"/>
  <c r="AP541" i="1"/>
  <c r="F799" i="1"/>
  <c r="O799" i="1"/>
  <c r="AP69" i="1"/>
  <c r="R295" i="1"/>
  <c r="BB310" i="1"/>
  <c r="AD380" i="1"/>
  <c r="F366" i="1"/>
  <c r="O366" i="1"/>
  <c r="AP510" i="1"/>
  <c r="R654" i="1"/>
  <c r="BB858" i="1"/>
  <c r="AP300" i="1"/>
  <c r="AD381" i="1"/>
  <c r="F295" i="1"/>
  <c r="O295" i="1"/>
  <c r="AD367" i="1"/>
  <c r="BB341" i="1"/>
  <c r="R858" i="1"/>
  <c r="BB707" i="1"/>
  <c r="AD327" i="1"/>
  <c r="F69" i="1"/>
  <c r="O69" i="1"/>
  <c r="AP238" i="1"/>
  <c r="AP380" i="1"/>
  <c r="AP605" i="1"/>
  <c r="F203" i="1"/>
  <c r="O203" i="1"/>
  <c r="AP373" i="1"/>
  <c r="R314" i="1"/>
  <c r="BB368" i="1"/>
  <c r="AD363" i="1"/>
  <c r="F541" i="1"/>
  <c r="O541" i="1"/>
  <c r="AP846" i="1"/>
  <c r="R799" i="1"/>
  <c r="BB458" i="1"/>
  <c r="AD373" i="1"/>
  <c r="BB314" i="1"/>
  <c r="AD846" i="1"/>
  <c r="BB799" i="1"/>
  <c r="AD238" i="1"/>
  <c r="F310" i="1"/>
  <c r="O310" i="1"/>
  <c r="AP367" i="1"/>
  <c r="R341" i="1"/>
  <c r="BB366" i="1"/>
  <c r="AD605" i="1"/>
  <c r="F858" i="1"/>
  <c r="O858" i="1"/>
  <c r="AP707" i="1"/>
  <c r="AP368" i="1"/>
  <c r="R718" i="1"/>
  <c r="BB295" i="1"/>
  <c r="F341" i="1"/>
  <c r="O341" i="1"/>
  <c r="AD510" i="1"/>
  <c r="F707" i="1"/>
  <c r="O707" i="1"/>
  <c r="AP363" i="1"/>
  <c r="R458" i="1"/>
  <c r="BB69" i="1"/>
  <c r="AP310" i="1"/>
  <c r="AP366" i="1"/>
  <c r="AD654" i="1"/>
  <c r="BB203" i="1"/>
  <c r="AD300" i="1"/>
  <c r="F368" i="1"/>
  <c r="O368" i="1"/>
  <c r="AP381" i="1"/>
  <c r="R327" i="1"/>
  <c r="BB541" i="1"/>
  <c r="AD718" i="1"/>
  <c r="F458" i="1"/>
  <c r="O458" i="1"/>
  <c r="BN278" i="1"/>
  <c r="BO278" i="1" a="1"/>
  <c r="BO278" i="1"/>
  <c r="BN29" i="1"/>
  <c r="BO29" i="1" a="1"/>
  <c r="BO29" i="1"/>
  <c r="BN262" i="1"/>
  <c r="BO262" i="1" a="1"/>
  <c r="BO262" i="1"/>
  <c r="BN265" i="1"/>
  <c r="BO265" i="1" a="1"/>
  <c r="BO265" i="1"/>
  <c r="BN581" i="1"/>
  <c r="BO581" i="1" a="1"/>
  <c r="BO581" i="1"/>
  <c r="BN379" i="1"/>
  <c r="BO379" i="1" a="1"/>
  <c r="BO379" i="1"/>
  <c r="BN889" i="1"/>
  <c r="BN980" i="1"/>
  <c r="BN409" i="1"/>
  <c r="BO409" i="1" a="1"/>
  <c r="BO409" i="1"/>
  <c r="F175" i="1"/>
  <c r="O175" i="1"/>
  <c r="AD275" i="1"/>
  <c r="BB284" i="1"/>
  <c r="F312" i="1"/>
  <c r="O312" i="1"/>
  <c r="AD374" i="1"/>
  <c r="BB375" i="1"/>
  <c r="F719" i="1"/>
  <c r="O719" i="1"/>
  <c r="AD797" i="1"/>
  <c r="BB882" i="1"/>
  <c r="F906" i="1"/>
  <c r="O906" i="1"/>
  <c r="AD869" i="1"/>
  <c r="R275" i="1"/>
  <c r="R305" i="1"/>
  <c r="R374" i="1"/>
  <c r="R562" i="1"/>
  <c r="R797" i="1"/>
  <c r="R893" i="1"/>
  <c r="R869" i="1"/>
  <c r="AD175" i="1"/>
  <c r="BB275" i="1"/>
  <c r="F305" i="1"/>
  <c r="O305" i="1"/>
  <c r="AA305" i="1"/>
  <c r="AD312" i="1"/>
  <c r="BB374" i="1"/>
  <c r="F562" i="1"/>
  <c r="O562" i="1"/>
  <c r="AD719" i="1"/>
  <c r="BB797" i="1"/>
  <c r="F893" i="1"/>
  <c r="O893" i="1"/>
  <c r="AD906" i="1"/>
  <c r="BB869" i="1"/>
  <c r="AP275" i="1"/>
  <c r="AP305" i="1"/>
  <c r="AP374" i="1"/>
  <c r="AP562" i="1"/>
  <c r="AP797" i="1"/>
  <c r="AP893" i="1"/>
  <c r="AP869" i="1"/>
  <c r="BB175" i="1"/>
  <c r="F284" i="1"/>
  <c r="O284" i="1"/>
  <c r="AD305" i="1"/>
  <c r="BB312" i="1"/>
  <c r="F375" i="1"/>
  <c r="O375" i="1"/>
  <c r="AD562" i="1"/>
  <c r="BB719" i="1"/>
  <c r="F882" i="1"/>
  <c r="O882" i="1"/>
  <c r="AD893" i="1"/>
  <c r="BB906" i="1"/>
  <c r="R175" i="1"/>
  <c r="R284" i="1"/>
  <c r="R312" i="1"/>
  <c r="R375" i="1"/>
  <c r="R719" i="1"/>
  <c r="R882" i="1"/>
  <c r="R906" i="1"/>
  <c r="F275" i="1"/>
  <c r="O275" i="1"/>
  <c r="AD284" i="1"/>
  <c r="BB305" i="1"/>
  <c r="F374" i="1"/>
  <c r="O374" i="1"/>
  <c r="AD375" i="1"/>
  <c r="BB562" i="1"/>
  <c r="F797" i="1"/>
  <c r="O797" i="1"/>
  <c r="AA797" i="1"/>
  <c r="AM797" i="1"/>
  <c r="AD882" i="1"/>
  <c r="BB893" i="1"/>
  <c r="F869" i="1"/>
  <c r="O869" i="1"/>
  <c r="AP175" i="1"/>
  <c r="AP284" i="1"/>
  <c r="AP312" i="1"/>
  <c r="AP375" i="1"/>
  <c r="AP719" i="1"/>
  <c r="AP882" i="1"/>
  <c r="AP906" i="1"/>
  <c r="BN372" i="1"/>
  <c r="BO372" i="1" a="1"/>
  <c r="BO372" i="1"/>
  <c r="Z432" i="1"/>
  <c r="BN432" i="1"/>
  <c r="BO432" i="1" a="1"/>
  <c r="BO432" i="1"/>
  <c r="Z451" i="1"/>
  <c r="BN451" i="1"/>
  <c r="BO451" i="1" a="1"/>
  <c r="BO451" i="1"/>
  <c r="BN260" i="1"/>
  <c r="BO260" i="1" a="1"/>
  <c r="BO260" i="1"/>
  <c r="BN82" i="1"/>
  <c r="BO82" i="1" a="1"/>
  <c r="BO82" i="1"/>
  <c r="BN179" i="1"/>
  <c r="BO179" i="1" a="1"/>
  <c r="BO179" i="1"/>
  <c r="BN425" i="1"/>
  <c r="BO425" i="1" a="1"/>
  <c r="BO425" i="1"/>
  <c r="BN467" i="1"/>
  <c r="BO467" i="1" a="1"/>
  <c r="BO467" i="1"/>
  <c r="BN334" i="1"/>
  <c r="BO334" i="1" a="1"/>
  <c r="BO334" i="1"/>
  <c r="BN5" i="1"/>
  <c r="BO5" i="1" a="1"/>
  <c r="BO5" i="1"/>
  <c r="BN311" i="1"/>
  <c r="BO311" i="1" a="1"/>
  <c r="BO311" i="1"/>
  <c r="BN557" i="1"/>
  <c r="BO557" i="1" a="1"/>
  <c r="BO557" i="1"/>
  <c r="BN645" i="1"/>
  <c r="BN561" i="1"/>
  <c r="BO561" i="1" a="1"/>
  <c r="BO561" i="1"/>
  <c r="BN675" i="1"/>
  <c r="BN907" i="1"/>
  <c r="BO907" i="1" a="1"/>
  <c r="BO907" i="1"/>
  <c r="BN917" i="1"/>
  <c r="BN921" i="1"/>
  <c r="BO921" i="1" a="1"/>
  <c r="BO921" i="1"/>
  <c r="BN925" i="1"/>
  <c r="BN931" i="1"/>
  <c r="BO931" i="1" a="1"/>
  <c r="BO931" i="1"/>
  <c r="BN935" i="1"/>
  <c r="BN943" i="1"/>
  <c r="BO943" i="1" a="1"/>
  <c r="BO943" i="1"/>
  <c r="BN947" i="1"/>
  <c r="BO947" i="1" a="1"/>
  <c r="BO947" i="1"/>
  <c r="BN951" i="1"/>
  <c r="BN955" i="1"/>
  <c r="BN959" i="1"/>
  <c r="BN963" i="1"/>
  <c r="BN967" i="1"/>
  <c r="BN971" i="1"/>
  <c r="BO971" i="1" a="1"/>
  <c r="BO971" i="1"/>
  <c r="BN975" i="1"/>
  <c r="BO975" i="1" a="1"/>
  <c r="BO975" i="1"/>
  <c r="BN264" i="1"/>
  <c r="BO264" i="1" a="1"/>
  <c r="BO264" i="1"/>
  <c r="BN387" i="1"/>
  <c r="BO387" i="1" a="1"/>
  <c r="BO387" i="1"/>
  <c r="BN666" i="1"/>
  <c r="BO666" i="1" a="1"/>
  <c r="BO666" i="1"/>
  <c r="BN916" i="1"/>
  <c r="BO916" i="1" a="1"/>
  <c r="BO916" i="1"/>
  <c r="BN920" i="1"/>
  <c r="BN924" i="1"/>
  <c r="BN930" i="1"/>
  <c r="BN938" i="1"/>
  <c r="BO938" i="1" a="1"/>
  <c r="BO938" i="1"/>
  <c r="BN942" i="1"/>
  <c r="BO942" i="1" a="1"/>
  <c r="BO942" i="1"/>
  <c r="BN946" i="1"/>
  <c r="BN950" i="1"/>
  <c r="BN954" i="1"/>
  <c r="BN958" i="1"/>
  <c r="BN962" i="1"/>
  <c r="BN965" i="1"/>
  <c r="BO965" i="1" a="1"/>
  <c r="BO965" i="1"/>
  <c r="BN970" i="1"/>
  <c r="BO970" i="1" a="1"/>
  <c r="BO970" i="1"/>
  <c r="BN974" i="1"/>
  <c r="BN978" i="1"/>
  <c r="BN263" i="1"/>
  <c r="BO263" i="1" a="1"/>
  <c r="BO263" i="1"/>
  <c r="BN376" i="1"/>
  <c r="BO376" i="1" a="1"/>
  <c r="BO376" i="1"/>
  <c r="BN377" i="1"/>
  <c r="BO377" i="1" a="1"/>
  <c r="BO377" i="1"/>
  <c r="BN378" i="1"/>
  <c r="BO378" i="1" a="1"/>
  <c r="BO378" i="1"/>
  <c r="BN45" i="1"/>
  <c r="BO45" i="1" a="1"/>
  <c r="BO45" i="1"/>
  <c r="BN74" i="1"/>
  <c r="BO74" i="1" a="1"/>
  <c r="BO74" i="1"/>
  <c r="BN286" i="1"/>
  <c r="BO286" i="1" a="1"/>
  <c r="BO286" i="1"/>
  <c r="BN309" i="1"/>
  <c r="BO309" i="1" a="1"/>
  <c r="BO309" i="1"/>
  <c r="BN386" i="1"/>
  <c r="BO386" i="1" a="1"/>
  <c r="BO386" i="1"/>
  <c r="BN454" i="1"/>
  <c r="BO454" i="1" a="1"/>
  <c r="BO454" i="1"/>
  <c r="BN73" i="1"/>
  <c r="BO73" i="1" a="1"/>
  <c r="BO73" i="1"/>
  <c r="BN97" i="1"/>
  <c r="BO97" i="1" a="1"/>
  <c r="BO97" i="1"/>
  <c r="BN115" i="1"/>
  <c r="BO115" i="1" a="1"/>
  <c r="BO115" i="1"/>
  <c r="BN296" i="1"/>
  <c r="BO296" i="1" a="1"/>
  <c r="BO296" i="1"/>
  <c r="BN313" i="1"/>
  <c r="BO313" i="1" a="1"/>
  <c r="BO313" i="1"/>
  <c r="BN316" i="1"/>
  <c r="BO316" i="1" a="1"/>
  <c r="BO316" i="1"/>
  <c r="BN416" i="1"/>
  <c r="BO416" i="1" a="1"/>
  <c r="BO416" i="1"/>
  <c r="BN417" i="1"/>
  <c r="BO417" i="1" a="1"/>
  <c r="BO417" i="1"/>
  <c r="BN418" i="1"/>
  <c r="BO418" i="1" a="1"/>
  <c r="BO418" i="1"/>
  <c r="BN912" i="1"/>
  <c r="BO912" i="1" a="1"/>
  <c r="BO912" i="1"/>
  <c r="BN919" i="1"/>
  <c r="BN923" i="1"/>
  <c r="BO923" i="1" a="1"/>
  <c r="BO923" i="1"/>
  <c r="BN929" i="1"/>
  <c r="BN933" i="1"/>
  <c r="BN937" i="1"/>
  <c r="BN941" i="1"/>
  <c r="BO941" i="1" a="1"/>
  <c r="BO941" i="1"/>
  <c r="BN945" i="1"/>
  <c r="BN949" i="1"/>
  <c r="BO949" i="1" a="1"/>
  <c r="BO949" i="1"/>
  <c r="BN953" i="1"/>
  <c r="BN957" i="1"/>
  <c r="BN961" i="1"/>
  <c r="BN964" i="1"/>
  <c r="BO964" i="1" a="1"/>
  <c r="BO964" i="1"/>
  <c r="BN969" i="1"/>
  <c r="BO969" i="1" a="1"/>
  <c r="BO969" i="1"/>
  <c r="BN973" i="1"/>
  <c r="BO973" i="1" a="1"/>
  <c r="BO973" i="1"/>
  <c r="BN977" i="1"/>
  <c r="BN111" i="1"/>
  <c r="BO111" i="1" a="1"/>
  <c r="BO111" i="1"/>
  <c r="BN259" i="1"/>
  <c r="BO259" i="1" a="1"/>
  <c r="BO259" i="1"/>
  <c r="BN261" i="1"/>
  <c r="BO261" i="1" a="1"/>
  <c r="BO261" i="1"/>
  <c r="BN315" i="1"/>
  <c r="BO315" i="1" a="1"/>
  <c r="BO315" i="1"/>
  <c r="BN364" i="1"/>
  <c r="BO364" i="1" a="1"/>
  <c r="BO364" i="1"/>
  <c r="BN370" i="1"/>
  <c r="BO370" i="1" a="1"/>
  <c r="BO370" i="1"/>
  <c r="BN371" i="1"/>
  <c r="BO371" i="1" a="1"/>
  <c r="BO371" i="1"/>
  <c r="BN441" i="1"/>
  <c r="BO441" i="1" a="1"/>
  <c r="BO441" i="1"/>
  <c r="BN468" i="1"/>
  <c r="BO468" i="1" a="1"/>
  <c r="BO468" i="1"/>
  <c r="BN556" i="1"/>
  <c r="BO556" i="1" a="1"/>
  <c r="BO556" i="1"/>
  <c r="BN909" i="1"/>
  <c r="BO909" i="1" a="1"/>
  <c r="BO909" i="1"/>
  <c r="BN918" i="1"/>
  <c r="BO918" i="1" a="1"/>
  <c r="BO918" i="1"/>
  <c r="BN922" i="1"/>
  <c r="BO922" i="1" a="1"/>
  <c r="BO922" i="1"/>
  <c r="BN927" i="1"/>
  <c r="BN932" i="1"/>
  <c r="BO932" i="1" a="1"/>
  <c r="BO932" i="1"/>
  <c r="BN936" i="1"/>
  <c r="BO936" i="1" a="1"/>
  <c r="BO936" i="1"/>
  <c r="BN940" i="1"/>
  <c r="BN944" i="1"/>
  <c r="BN948" i="1"/>
  <c r="BO948" i="1" a="1"/>
  <c r="BO948" i="1"/>
  <c r="BN952" i="1"/>
  <c r="BO952" i="1" a="1"/>
  <c r="BO952" i="1"/>
  <c r="BN956" i="1"/>
  <c r="BO956" i="1" a="1"/>
  <c r="BO956" i="1"/>
  <c r="BN960" i="1"/>
  <c r="BN968" i="1"/>
  <c r="BN976" i="1"/>
  <c r="BO976" i="1" a="1"/>
  <c r="BO976" i="1"/>
  <c r="BN896" i="1"/>
  <c r="BN900" i="1"/>
  <c r="BN32" i="1"/>
  <c r="BO32" i="1" a="1"/>
  <c r="BO32" i="1"/>
  <c r="BN225" i="1"/>
  <c r="BO225" i="1" a="1"/>
  <c r="BO225" i="1"/>
  <c r="BN226" i="1"/>
  <c r="BO226" i="1" a="1"/>
  <c r="BO226" i="1"/>
  <c r="BN234" i="1"/>
  <c r="BO234" i="1" a="1"/>
  <c r="BO234" i="1"/>
  <c r="BN555" i="1"/>
  <c r="BO555" i="1" a="1"/>
  <c r="BO555" i="1"/>
  <c r="BN699" i="1"/>
  <c r="BO699" i="1" a="1"/>
  <c r="BO699" i="1"/>
  <c r="BN895" i="1"/>
  <c r="BN899" i="1"/>
  <c r="BN914" i="1"/>
  <c r="BO914" i="1" a="1"/>
  <c r="BO914" i="1"/>
  <c r="BN972" i="1"/>
  <c r="BN894" i="1"/>
  <c r="BO894" i="1" a="1"/>
  <c r="BO894" i="1"/>
  <c r="BN898" i="1"/>
  <c r="BN913" i="1"/>
  <c r="BN915" i="1"/>
  <c r="BN939" i="1"/>
  <c r="BO939" i="1" a="1"/>
  <c r="BO939" i="1"/>
  <c r="BN337" i="1"/>
  <c r="BO337" i="1" a="1"/>
  <c r="BO337" i="1"/>
  <c r="BN689" i="1"/>
  <c r="BO689" i="1" a="1"/>
  <c r="BO689" i="1"/>
  <c r="BN897" i="1"/>
  <c r="BO897" i="1" a="1"/>
  <c r="BO897" i="1"/>
  <c r="BN934" i="1"/>
  <c r="BN979" i="1"/>
  <c r="BN803" i="1"/>
  <c r="BO803" i="1" a="1"/>
  <c r="BO803" i="1"/>
  <c r="BN834" i="1"/>
  <c r="BN774" i="1"/>
  <c r="BN722" i="1"/>
  <c r="BO722" i="1" a="1"/>
  <c r="BO722" i="1"/>
  <c r="BN765" i="1"/>
  <c r="BO765" i="1" a="1"/>
  <c r="BO765" i="1"/>
  <c r="BN766" i="1"/>
  <c r="BN857" i="1"/>
  <c r="BO857" i="1" a="1"/>
  <c r="BO857" i="1"/>
  <c r="BN552" i="1"/>
  <c r="BO552" i="1" a="1"/>
  <c r="BO552" i="1"/>
  <c r="BN784" i="1"/>
  <c r="BN783" i="1"/>
  <c r="BN827" i="1"/>
  <c r="BO827" i="1" a="1"/>
  <c r="BO827" i="1"/>
  <c r="BN860" i="1"/>
  <c r="BN782" i="1"/>
  <c r="BO782" i="1" a="1"/>
  <c r="BO782" i="1"/>
  <c r="BN859" i="1"/>
  <c r="BO859" i="1" a="1"/>
  <c r="BO859" i="1"/>
  <c r="BN811" i="1"/>
  <c r="BN849" i="1"/>
  <c r="BO849" i="1" a="1"/>
  <c r="BO849" i="1"/>
  <c r="BN886" i="1"/>
  <c r="BO886" i="1" a="1"/>
  <c r="BO886" i="1"/>
  <c r="BN651" i="1"/>
  <c r="BN758" i="1"/>
  <c r="BN823" i="1"/>
  <c r="BN905" i="1"/>
  <c r="BO905" i="1" a="1"/>
  <c r="BO905" i="1"/>
  <c r="BN757" i="1"/>
  <c r="BN815" i="1"/>
  <c r="BO815" i="1" a="1"/>
  <c r="BO815" i="1"/>
  <c r="BN822" i="1"/>
  <c r="BO822" i="1" a="1"/>
  <c r="BO822" i="1"/>
  <c r="BN826" i="1"/>
  <c r="BO826" i="1" a="1"/>
  <c r="BO826" i="1"/>
  <c r="BN837" i="1"/>
  <c r="BO837" i="1" a="1"/>
  <c r="BO837" i="1"/>
  <c r="BN841" i="1"/>
  <c r="BO841" i="1" a="1"/>
  <c r="BO841" i="1"/>
  <c r="BN848" i="1"/>
  <c r="BN852" i="1"/>
  <c r="BO852" i="1" a="1"/>
  <c r="BO852" i="1"/>
  <c r="BN874" i="1"/>
  <c r="BO874" i="1" a="1"/>
  <c r="BO874" i="1"/>
  <c r="BN904" i="1"/>
  <c r="BO904" i="1" a="1"/>
  <c r="BO904" i="1"/>
  <c r="BN650" i="1"/>
  <c r="BO650" i="1" a="1"/>
  <c r="BO650" i="1"/>
  <c r="BN760" i="1"/>
  <c r="BO760" i="1" a="1"/>
  <c r="BO760" i="1"/>
  <c r="BN768" i="1"/>
  <c r="BO768" i="1" a="1"/>
  <c r="BO768" i="1"/>
  <c r="BN770" i="1"/>
  <c r="BO770" i="1" a="1"/>
  <c r="BO770" i="1"/>
  <c r="BN772" i="1"/>
  <c r="BO772" i="1" a="1"/>
  <c r="BO772" i="1"/>
  <c r="BN780" i="1"/>
  <c r="BO780" i="1" a="1"/>
  <c r="BO780" i="1"/>
  <c r="BN821" i="1"/>
  <c r="BN825" i="1"/>
  <c r="BN847" i="1"/>
  <c r="BO847" i="1" a="1"/>
  <c r="BO847" i="1"/>
  <c r="BN851" i="1"/>
  <c r="BO851" i="1" a="1"/>
  <c r="BO851" i="1"/>
  <c r="BN861" i="1"/>
  <c r="BO861" i="1" a="1"/>
  <c r="BO861" i="1"/>
  <c r="BN866" i="1"/>
  <c r="BN902" i="1"/>
  <c r="BN565" i="1"/>
  <c r="BO565" i="1" a="1"/>
  <c r="BO565" i="1"/>
  <c r="BN759" i="1"/>
  <c r="BO759" i="1" a="1"/>
  <c r="BO759" i="1"/>
  <c r="BN820" i="1"/>
  <c r="BN824" i="1"/>
  <c r="BN845" i="1"/>
  <c r="BO845" i="1" a="1"/>
  <c r="BO845" i="1"/>
  <c r="BN850" i="1"/>
  <c r="BO850" i="1" a="1"/>
  <c r="BO850" i="1"/>
  <c r="BN887" i="1"/>
  <c r="BO887" i="1" a="1"/>
  <c r="BO887" i="1"/>
  <c r="BN901" i="1"/>
  <c r="BO901" i="1" a="1"/>
  <c r="BO901" i="1"/>
  <c r="BN498" i="1"/>
  <c r="BO498" i="1" a="1"/>
  <c r="BO498" i="1"/>
  <c r="BN564" i="1"/>
  <c r="BO564" i="1" a="1"/>
  <c r="BO564" i="1"/>
  <c r="BN805" i="1"/>
  <c r="BN809" i="1"/>
  <c r="BN818" i="1"/>
  <c r="BO818" i="1" a="1"/>
  <c r="BO818" i="1"/>
  <c r="BN830" i="1"/>
  <c r="BO830" i="1" a="1"/>
  <c r="BO830" i="1"/>
  <c r="BN855" i="1"/>
  <c r="BO855" i="1" a="1"/>
  <c r="BO855" i="1"/>
  <c r="BN871" i="1"/>
  <c r="BN880" i="1"/>
  <c r="BN698" i="1"/>
  <c r="BO698" i="1" a="1"/>
  <c r="BO698" i="1"/>
  <c r="BN804" i="1"/>
  <c r="BO804" i="1" a="1"/>
  <c r="BO804" i="1"/>
  <c r="BN808" i="1"/>
  <c r="BN814" i="1"/>
  <c r="BO814" i="1" a="1"/>
  <c r="BO814" i="1"/>
  <c r="BN817" i="1"/>
  <c r="BO817" i="1" a="1"/>
  <c r="BO817" i="1"/>
  <c r="BN829" i="1"/>
  <c r="BO829" i="1" a="1"/>
  <c r="BO829" i="1"/>
  <c r="BN833" i="1"/>
  <c r="BN840" i="1"/>
  <c r="BO840" i="1" a="1"/>
  <c r="BO840" i="1"/>
  <c r="BN854" i="1"/>
  <c r="BN864" i="1"/>
  <c r="BO864" i="1" a="1"/>
  <c r="BO864" i="1"/>
  <c r="BN879" i="1"/>
  <c r="BO879" i="1" a="1"/>
  <c r="BO879" i="1"/>
  <c r="BN585" i="1"/>
  <c r="BO585" i="1" a="1"/>
  <c r="BO585" i="1"/>
  <c r="BN641" i="1"/>
  <c r="BO641" i="1" a="1"/>
  <c r="BO641" i="1"/>
  <c r="BN647" i="1"/>
  <c r="BO647" i="1" a="1"/>
  <c r="BO647" i="1"/>
  <c r="BN807" i="1"/>
  <c r="BO807" i="1" a="1"/>
  <c r="BO807" i="1"/>
  <c r="BN832" i="1"/>
  <c r="BO832" i="1" a="1"/>
  <c r="BO832" i="1"/>
  <c r="BN839" i="1"/>
  <c r="BO839" i="1" a="1"/>
  <c r="BO839" i="1"/>
  <c r="BN843" i="1"/>
  <c r="BN863" i="1"/>
  <c r="BO863" i="1" a="1"/>
  <c r="BO863" i="1"/>
  <c r="BN878" i="1"/>
  <c r="BO878" i="1" a="1"/>
  <c r="BO878" i="1"/>
  <c r="BN883" i="1"/>
  <c r="BO883" i="1" a="1"/>
  <c r="BO883" i="1"/>
  <c r="BN739" i="1"/>
  <c r="BO739" i="1" a="1"/>
  <c r="BO739" i="1"/>
  <c r="BN755" i="1"/>
  <c r="BO755" i="1" a="1"/>
  <c r="BO755" i="1"/>
  <c r="BN806" i="1"/>
  <c r="BO806" i="1" a="1"/>
  <c r="BO806" i="1"/>
  <c r="BN831" i="1"/>
  <c r="BN838" i="1"/>
  <c r="BO838" i="1" a="1"/>
  <c r="BO838" i="1"/>
  <c r="BN842" i="1"/>
  <c r="BO842" i="1" a="1"/>
  <c r="BO842" i="1"/>
  <c r="BN862" i="1"/>
  <c r="BO862" i="1" a="1"/>
  <c r="BO862" i="1"/>
  <c r="BN868" i="1"/>
  <c r="BN872" i="1"/>
  <c r="BO872" i="1" a="1"/>
  <c r="BO872" i="1"/>
  <c r="BN592" i="1"/>
  <c r="BO592" i="1" a="1"/>
  <c r="BO592" i="1"/>
  <c r="BN593" i="1"/>
  <c r="BO593" i="1" a="1"/>
  <c r="BO593" i="1"/>
  <c r="BN658" i="1"/>
  <c r="BO658" i="1" a="1"/>
  <c r="BO658" i="1"/>
  <c r="BN670" i="1"/>
  <c r="BO670" i="1" a="1"/>
  <c r="BO670" i="1"/>
  <c r="BN726" i="1"/>
  <c r="BO726" i="1" a="1"/>
  <c r="BO726" i="1"/>
  <c r="BN734" i="1"/>
  <c r="BN738" i="1"/>
  <c r="BO738" i="1" a="1"/>
  <c r="BO738" i="1"/>
  <c r="BN744" i="1"/>
  <c r="BN753" i="1"/>
  <c r="BO753" i="1" a="1"/>
  <c r="BO753" i="1"/>
  <c r="BN764" i="1"/>
  <c r="BN787" i="1"/>
  <c r="BO787" i="1" a="1"/>
  <c r="BO787" i="1"/>
  <c r="BN791" i="1"/>
  <c r="BO791" i="1" a="1"/>
  <c r="BO791" i="1"/>
  <c r="BN796" i="1"/>
  <c r="BN802" i="1"/>
  <c r="BO802" i="1" a="1"/>
  <c r="BO802" i="1"/>
  <c r="BN812" i="1"/>
  <c r="BO812" i="1" a="1"/>
  <c r="BO812" i="1"/>
  <c r="BN816" i="1"/>
  <c r="BO816" i="1" a="1"/>
  <c r="BO816" i="1"/>
  <c r="BN836" i="1"/>
  <c r="BN877" i="1"/>
  <c r="BO877" i="1" a="1"/>
  <c r="BO877" i="1"/>
  <c r="BN509" i="1"/>
  <c r="BO509" i="1" a="1"/>
  <c r="BO509" i="1"/>
  <c r="BN514" i="1"/>
  <c r="BO514" i="1" a="1"/>
  <c r="BO514" i="1"/>
  <c r="BN529" i="1"/>
  <c r="BO529" i="1" a="1"/>
  <c r="BO529" i="1"/>
  <c r="BN657" i="1"/>
  <c r="BO657" i="1" a="1"/>
  <c r="BO657" i="1"/>
  <c r="BN669" i="1"/>
  <c r="BO669" i="1" a="1"/>
  <c r="BO669" i="1"/>
  <c r="BN691" i="1"/>
  <c r="BO691" i="1" a="1"/>
  <c r="BO691" i="1"/>
  <c r="BN693" i="1"/>
  <c r="BO693" i="1" a="1"/>
  <c r="BO693" i="1"/>
  <c r="BN733" i="1"/>
  <c r="BO733" i="1" a="1"/>
  <c r="BO733" i="1"/>
  <c r="BN737" i="1"/>
  <c r="BO737" i="1" a="1"/>
  <c r="BO737" i="1"/>
  <c r="BN743" i="1"/>
  <c r="BO743" i="1" a="1"/>
  <c r="BO743" i="1"/>
  <c r="BN747" i="1"/>
  <c r="BO747" i="1" a="1"/>
  <c r="BO747" i="1"/>
  <c r="BN749" i="1"/>
  <c r="BN752" i="1"/>
  <c r="BN763" i="1"/>
  <c r="BO763" i="1" a="1"/>
  <c r="BO763" i="1"/>
  <c r="BN775" i="1"/>
  <c r="BO775" i="1" a="1"/>
  <c r="BO775" i="1"/>
  <c r="BN790" i="1"/>
  <c r="BO790" i="1" a="1"/>
  <c r="BO790" i="1"/>
  <c r="BN793" i="1"/>
  <c r="BO793" i="1" a="1"/>
  <c r="BO793" i="1"/>
  <c r="BN801" i="1"/>
  <c r="BO801" i="1" a="1"/>
  <c r="BO801" i="1"/>
  <c r="BN819" i="1"/>
  <c r="BO819" i="1" a="1"/>
  <c r="BO819" i="1"/>
  <c r="BN865" i="1"/>
  <c r="BO865" i="1" a="1"/>
  <c r="BO865" i="1"/>
  <c r="BN472" i="1"/>
  <c r="BO472" i="1" a="1"/>
  <c r="BO472" i="1"/>
  <c r="BN571" i="1"/>
  <c r="BO571" i="1" a="1"/>
  <c r="BO571" i="1"/>
  <c r="BN574" i="1"/>
  <c r="BO574" i="1" a="1"/>
  <c r="BO574" i="1"/>
  <c r="BN577" i="1"/>
  <c r="BO577" i="1" a="1"/>
  <c r="BO577" i="1"/>
  <c r="BN595" i="1"/>
  <c r="BO595" i="1" a="1"/>
  <c r="BO595" i="1"/>
  <c r="BN628" i="1"/>
  <c r="BO628" i="1" a="1"/>
  <c r="BO628" i="1"/>
  <c r="BN630" i="1"/>
  <c r="BO630" i="1" a="1"/>
  <c r="BO630" i="1"/>
  <c r="BN676" i="1"/>
  <c r="BN702" i="1"/>
  <c r="BN732" i="1"/>
  <c r="BO732" i="1" a="1"/>
  <c r="BO732" i="1"/>
  <c r="BN736" i="1"/>
  <c r="BN742" i="1"/>
  <c r="BN746" i="1"/>
  <c r="BN789" i="1"/>
  <c r="BO789" i="1" a="1"/>
  <c r="BO789" i="1"/>
  <c r="BN800" i="1"/>
  <c r="BO800" i="1" a="1"/>
  <c r="BO800" i="1"/>
  <c r="BN853" i="1"/>
  <c r="BO853" i="1" a="1"/>
  <c r="BO853" i="1"/>
  <c r="BN547" i="1"/>
  <c r="BO547" i="1" a="1"/>
  <c r="BO547" i="1"/>
  <c r="BN659" i="1"/>
  <c r="BO659" i="1" a="1"/>
  <c r="BO659" i="1"/>
  <c r="BN701" i="1"/>
  <c r="BO701" i="1" a="1"/>
  <c r="BO701" i="1"/>
  <c r="BN705" i="1"/>
  <c r="BN731" i="1"/>
  <c r="BO731" i="1" a="1"/>
  <c r="BO731" i="1"/>
  <c r="BN735" i="1"/>
  <c r="BO735" i="1" a="1"/>
  <c r="BO735" i="1"/>
  <c r="BN745" i="1"/>
  <c r="BO745" i="1" a="1"/>
  <c r="BO745" i="1"/>
  <c r="BN769" i="1"/>
  <c r="BO769" i="1" a="1"/>
  <c r="BO769" i="1"/>
  <c r="BN777" i="1"/>
  <c r="BO777" i="1" a="1"/>
  <c r="BO777" i="1"/>
  <c r="BN779" i="1"/>
  <c r="BO779" i="1" a="1"/>
  <c r="BO779" i="1"/>
  <c r="BN788" i="1"/>
  <c r="BN792" i="1"/>
  <c r="BO792" i="1" a="1"/>
  <c r="BO792" i="1"/>
  <c r="BN794" i="1"/>
  <c r="BN798" i="1"/>
  <c r="BO798" i="1" a="1"/>
  <c r="BO798" i="1"/>
  <c r="BN810" i="1"/>
  <c r="BO810" i="1" a="1"/>
  <c r="BO810" i="1"/>
  <c r="BN881" i="1"/>
  <c r="BO881" i="1" a="1"/>
  <c r="BO881" i="1"/>
  <c r="BN360" i="1"/>
  <c r="BO360" i="1" a="1"/>
  <c r="BO360" i="1"/>
  <c r="BN382" i="1"/>
  <c r="BO382" i="1" a="1"/>
  <c r="BO382" i="1"/>
  <c r="BN550" i="1"/>
  <c r="BO550" i="1" a="1"/>
  <c r="BO550" i="1"/>
  <c r="BN563" i="1"/>
  <c r="BO563" i="1" a="1"/>
  <c r="BO563" i="1"/>
  <c r="BN583" i="1"/>
  <c r="BO583" i="1" a="1"/>
  <c r="BO583" i="1"/>
  <c r="BN584" i="1"/>
  <c r="BO584" i="1" a="1"/>
  <c r="BO584" i="1"/>
  <c r="BN629" i="1"/>
  <c r="BO629" i="1" a="1"/>
  <c r="BO629" i="1"/>
  <c r="BN644" i="1"/>
  <c r="BO644" i="1" a="1"/>
  <c r="BO644" i="1"/>
  <c r="BN652" i="1"/>
  <c r="BO652" i="1" a="1"/>
  <c r="BO652" i="1"/>
  <c r="BN656" i="1"/>
  <c r="BO656" i="1" a="1"/>
  <c r="BO656" i="1"/>
  <c r="BN661" i="1"/>
  <c r="BN664" i="1"/>
  <c r="BO664" i="1" a="1"/>
  <c r="BO664" i="1"/>
  <c r="BN673" i="1"/>
  <c r="BN681" i="1"/>
  <c r="BO681" i="1" a="1"/>
  <c r="BO681" i="1"/>
  <c r="BN683" i="1"/>
  <c r="BN687" i="1"/>
  <c r="BO687" i="1" a="1"/>
  <c r="BO687" i="1"/>
  <c r="BN696" i="1"/>
  <c r="BO696" i="1" a="1"/>
  <c r="BO696" i="1"/>
  <c r="BN709" i="1"/>
  <c r="BO709" i="1" a="1"/>
  <c r="BO709" i="1"/>
  <c r="BN717" i="1"/>
  <c r="BO717" i="1" a="1"/>
  <c r="BO717" i="1"/>
  <c r="BN427" i="1"/>
  <c r="BO427" i="1" a="1"/>
  <c r="BO427" i="1"/>
  <c r="BN433" i="1"/>
  <c r="BO433" i="1" a="1"/>
  <c r="BO433" i="1"/>
  <c r="BN438" i="1"/>
  <c r="BO438" i="1" a="1"/>
  <c r="BO438" i="1"/>
  <c r="BN504" i="1"/>
  <c r="BO504" i="1" a="1"/>
  <c r="BO504" i="1"/>
  <c r="BN531" i="1"/>
  <c r="BO531" i="1" a="1"/>
  <c r="BO531" i="1"/>
  <c r="BN554" i="1"/>
  <c r="BO554" i="1" a="1"/>
  <c r="BO554" i="1"/>
  <c r="BN566" i="1"/>
  <c r="BO566" i="1" a="1"/>
  <c r="BO566" i="1"/>
  <c r="BN569" i="1"/>
  <c r="BO569" i="1" a="1"/>
  <c r="BO569" i="1"/>
  <c r="BN570" i="1"/>
  <c r="BO570" i="1" a="1"/>
  <c r="BO570" i="1"/>
  <c r="BN578" i="1"/>
  <c r="BO578" i="1" a="1"/>
  <c r="BO578" i="1"/>
  <c r="BN588" i="1"/>
  <c r="BO588" i="1" a="1"/>
  <c r="BO588" i="1"/>
  <c r="BN589" i="1"/>
  <c r="BO589" i="1" a="1"/>
  <c r="BO589" i="1"/>
  <c r="BN591" i="1"/>
  <c r="BO591" i="1" a="1"/>
  <c r="BO591" i="1"/>
  <c r="BN601" i="1"/>
  <c r="BO601" i="1" a="1"/>
  <c r="BO601" i="1"/>
  <c r="BN606" i="1"/>
  <c r="BO606" i="1" a="1"/>
  <c r="BO606" i="1"/>
  <c r="BN608" i="1"/>
  <c r="BO608" i="1" a="1"/>
  <c r="BO608" i="1"/>
  <c r="BN610" i="1"/>
  <c r="BO610" i="1" a="1"/>
  <c r="BO610" i="1"/>
  <c r="BN612" i="1"/>
  <c r="BO612" i="1" a="1"/>
  <c r="BO612" i="1"/>
  <c r="BN614" i="1"/>
  <c r="BO614" i="1" a="1"/>
  <c r="BO614" i="1"/>
  <c r="BN616" i="1"/>
  <c r="BO616" i="1" a="1"/>
  <c r="BO616" i="1"/>
  <c r="BN620" i="1"/>
  <c r="BO620" i="1" a="1"/>
  <c r="BO620" i="1"/>
  <c r="BN622" i="1"/>
  <c r="BO622" i="1" a="1"/>
  <c r="BO622" i="1"/>
  <c r="BN624" i="1"/>
  <c r="BO624" i="1" a="1"/>
  <c r="BO624" i="1"/>
  <c r="BN631" i="1"/>
  <c r="BO631" i="1" a="1"/>
  <c r="BO631" i="1"/>
  <c r="BN632" i="1"/>
  <c r="BO632" i="1" a="1"/>
  <c r="BO632" i="1"/>
  <c r="BN635" i="1"/>
  <c r="BO635" i="1" a="1"/>
  <c r="BO635" i="1"/>
  <c r="BN655" i="1"/>
  <c r="BO655" i="1" a="1"/>
  <c r="BO655" i="1"/>
  <c r="BN660" i="1"/>
  <c r="BO660" i="1" a="1"/>
  <c r="BO660" i="1"/>
  <c r="BN667" i="1"/>
  <c r="BO667" i="1" a="1"/>
  <c r="BO667" i="1"/>
  <c r="BN703" i="1"/>
  <c r="BO703" i="1" a="1"/>
  <c r="BO703" i="1"/>
  <c r="BN716" i="1"/>
  <c r="BN741" i="1"/>
  <c r="BO741" i="1" a="1"/>
  <c r="BO741" i="1"/>
  <c r="BN761" i="1"/>
  <c r="BN762" i="1"/>
  <c r="BO762" i="1" a="1"/>
  <c r="BO762" i="1"/>
  <c r="BN767" i="1"/>
  <c r="BN398" i="1"/>
  <c r="BO398" i="1" a="1"/>
  <c r="BO398" i="1"/>
  <c r="BN399" i="1"/>
  <c r="BO399" i="1" a="1"/>
  <c r="BO399" i="1"/>
  <c r="BN401" i="1"/>
  <c r="BO401" i="1" a="1"/>
  <c r="BO401" i="1"/>
  <c r="BN455" i="1"/>
  <c r="BO455" i="1" a="1"/>
  <c r="BO455" i="1"/>
  <c r="BN474" i="1"/>
  <c r="BO474" i="1" a="1"/>
  <c r="BO474" i="1"/>
  <c r="BN479" i="1"/>
  <c r="BO479" i="1" a="1"/>
  <c r="BO479" i="1"/>
  <c r="BN484" i="1"/>
  <c r="BO484" i="1" a="1"/>
  <c r="BO484" i="1"/>
  <c r="BN488" i="1"/>
  <c r="BO488" i="1" a="1"/>
  <c r="BO488" i="1"/>
  <c r="BN572" i="1"/>
  <c r="BO572" i="1" a="1"/>
  <c r="BO572" i="1"/>
  <c r="BN573" i="1"/>
  <c r="BO573" i="1" a="1"/>
  <c r="BO573" i="1"/>
  <c r="BN575" i="1"/>
  <c r="BO575" i="1" a="1"/>
  <c r="BO575" i="1"/>
  <c r="BN576" i="1"/>
  <c r="BO576" i="1" a="1"/>
  <c r="BO576" i="1"/>
  <c r="BN582" i="1"/>
  <c r="BO582" i="1" a="1"/>
  <c r="BO582" i="1"/>
  <c r="BN594" i="1"/>
  <c r="BO594" i="1" a="1"/>
  <c r="BO594" i="1"/>
  <c r="BN646" i="1"/>
  <c r="BO646" i="1" a="1"/>
  <c r="BO646" i="1"/>
  <c r="BN648" i="1"/>
  <c r="BO648" i="1" a="1"/>
  <c r="BO648" i="1"/>
  <c r="BN649" i="1"/>
  <c r="BO649" i="1" a="1"/>
  <c r="BO649" i="1"/>
  <c r="BN663" i="1"/>
  <c r="BO663" i="1" a="1"/>
  <c r="BO663" i="1"/>
  <c r="BN672" i="1"/>
  <c r="BO672" i="1" a="1"/>
  <c r="BO672" i="1"/>
  <c r="BN677" i="1"/>
  <c r="BN685" i="1"/>
  <c r="BO685" i="1" a="1"/>
  <c r="BO685" i="1"/>
  <c r="BN690" i="1"/>
  <c r="BO690" i="1" a="1"/>
  <c r="BO690" i="1"/>
  <c r="BN695" i="1"/>
  <c r="BO695" i="1" a="1"/>
  <c r="BO695" i="1"/>
  <c r="BN708" i="1"/>
  <c r="BO708" i="1" a="1"/>
  <c r="BO708" i="1"/>
  <c r="BN711" i="1"/>
  <c r="BO711" i="1" a="1"/>
  <c r="BO711" i="1"/>
  <c r="BN713" i="1"/>
  <c r="BO713" i="1" a="1"/>
  <c r="BO713" i="1"/>
  <c r="BN721" i="1"/>
  <c r="BO721" i="1" a="1"/>
  <c r="BO721" i="1"/>
  <c r="BN748" i="1"/>
  <c r="BN778" i="1"/>
  <c r="BO778" i="1" a="1"/>
  <c r="BO778" i="1"/>
  <c r="BN785" i="1"/>
  <c r="BO785" i="1" a="1"/>
  <c r="BO785" i="1"/>
  <c r="BN500" i="1"/>
  <c r="BO500" i="1" a="1"/>
  <c r="BO500" i="1"/>
  <c r="BN579" i="1"/>
  <c r="BO579" i="1" a="1"/>
  <c r="BO579" i="1"/>
  <c r="BN580" i="1"/>
  <c r="BO580" i="1" a="1"/>
  <c r="BO580" i="1"/>
  <c r="BN586" i="1"/>
  <c r="BO586" i="1" a="1"/>
  <c r="BO586" i="1"/>
  <c r="BN587" i="1"/>
  <c r="BO587" i="1" a="1"/>
  <c r="BO587" i="1"/>
  <c r="BN590" i="1"/>
  <c r="BO590" i="1" a="1"/>
  <c r="BO590" i="1"/>
  <c r="BN597" i="1"/>
  <c r="BO597" i="1" a="1"/>
  <c r="BO597" i="1"/>
  <c r="BN600" i="1"/>
  <c r="BO600" i="1" a="1"/>
  <c r="BO600" i="1"/>
  <c r="BN603" i="1"/>
  <c r="BO603" i="1" a="1"/>
  <c r="BO603" i="1"/>
  <c r="BN604" i="1"/>
  <c r="BO604" i="1" a="1"/>
  <c r="BO604" i="1"/>
  <c r="BN607" i="1"/>
  <c r="BO607" i="1" a="1"/>
  <c r="BO607" i="1"/>
  <c r="BN609" i="1"/>
  <c r="BO609" i="1" a="1"/>
  <c r="BO609" i="1"/>
  <c r="BN611" i="1"/>
  <c r="BO611" i="1" a="1"/>
  <c r="BO611" i="1"/>
  <c r="BN613" i="1"/>
  <c r="BO613" i="1" a="1"/>
  <c r="BO613" i="1"/>
  <c r="BN615" i="1"/>
  <c r="BO615" i="1" a="1"/>
  <c r="BO615" i="1"/>
  <c r="BN619" i="1"/>
  <c r="BO619" i="1" a="1"/>
  <c r="BO619" i="1"/>
  <c r="BN621" i="1"/>
  <c r="BO621" i="1" a="1"/>
  <c r="BO621" i="1"/>
  <c r="BN623" i="1"/>
  <c r="BO623" i="1" a="1"/>
  <c r="BO623" i="1"/>
  <c r="BN626" i="1"/>
  <c r="BO626" i="1" a="1"/>
  <c r="BO626" i="1"/>
  <c r="BN634" i="1"/>
  <c r="BO634" i="1" a="1"/>
  <c r="BO634" i="1"/>
  <c r="BN638" i="1"/>
  <c r="BO638" i="1" a="1"/>
  <c r="BO638" i="1"/>
  <c r="BN639" i="1"/>
  <c r="BN640" i="1"/>
  <c r="BO640" i="1" a="1"/>
  <c r="BO640" i="1"/>
  <c r="BN653" i="1"/>
  <c r="BO653" i="1" a="1"/>
  <c r="BO653" i="1"/>
  <c r="BN662" i="1"/>
  <c r="BO662" i="1" a="1"/>
  <c r="BO662" i="1"/>
  <c r="BN665" i="1"/>
  <c r="BN671" i="1"/>
  <c r="BO671" i="1" a="1"/>
  <c r="BO671" i="1"/>
  <c r="BN674" i="1"/>
  <c r="BO674" i="1" a="1"/>
  <c r="BO674" i="1"/>
  <c r="BN700" i="1"/>
  <c r="BO700" i="1" a="1"/>
  <c r="BO700" i="1"/>
  <c r="BN710" i="1"/>
  <c r="BN720" i="1"/>
  <c r="BO720" i="1" a="1"/>
  <c r="BO720" i="1"/>
  <c r="BN795" i="1"/>
  <c r="BO795" i="1" a="1"/>
  <c r="BO795" i="1"/>
  <c r="BN404" i="1"/>
  <c r="BO404" i="1" a="1"/>
  <c r="BO404" i="1"/>
  <c r="BN407" i="1"/>
  <c r="BO407" i="1" a="1"/>
  <c r="BO407" i="1"/>
  <c r="BN461" i="1"/>
  <c r="BO461" i="1" a="1"/>
  <c r="BO461" i="1"/>
  <c r="BN465" i="1"/>
  <c r="BO465" i="1" a="1"/>
  <c r="BO465" i="1"/>
  <c r="BN466" i="1"/>
  <c r="BO466" i="1" a="1"/>
  <c r="BO466" i="1"/>
  <c r="BN492" i="1"/>
  <c r="BO492" i="1" a="1"/>
  <c r="BO492" i="1"/>
  <c r="BN496" i="1"/>
  <c r="BO496" i="1" a="1"/>
  <c r="BO496" i="1"/>
  <c r="BN497" i="1"/>
  <c r="BO497" i="1" a="1"/>
  <c r="BO497" i="1"/>
  <c r="BN506" i="1"/>
  <c r="BO506" i="1" a="1"/>
  <c r="BO506" i="1"/>
  <c r="BN507" i="1"/>
  <c r="BO507" i="1" a="1"/>
  <c r="BO507" i="1"/>
  <c r="BN419" i="1"/>
  <c r="BO419" i="1" a="1"/>
  <c r="BO419" i="1"/>
  <c r="BN424" i="1"/>
  <c r="BO424" i="1" a="1"/>
  <c r="BO424" i="1"/>
  <c r="BN410" i="1"/>
  <c r="BO410" i="1" a="1"/>
  <c r="BO410" i="1"/>
  <c r="BN414" i="1"/>
  <c r="BO414" i="1" a="1"/>
  <c r="BO414" i="1"/>
  <c r="BN517" i="1"/>
  <c r="BO517" i="1" a="1"/>
  <c r="BO517" i="1"/>
  <c r="BN521" i="1"/>
  <c r="BO521" i="1" a="1"/>
  <c r="BO521" i="1"/>
  <c r="BN524" i="1"/>
  <c r="BO524" i="1" a="1"/>
  <c r="BO524" i="1"/>
  <c r="BN440" i="1"/>
  <c r="BO440" i="1" a="1"/>
  <c r="BO440" i="1"/>
  <c r="BN470" i="1"/>
  <c r="BO470" i="1" a="1"/>
  <c r="BO470" i="1"/>
  <c r="BN471" i="1"/>
  <c r="BO471" i="1" a="1"/>
  <c r="BO471" i="1"/>
  <c r="BN533" i="1"/>
  <c r="BO533" i="1" a="1"/>
  <c r="BO533" i="1"/>
  <c r="BN544" i="1"/>
  <c r="BO544" i="1" a="1"/>
  <c r="BO544" i="1"/>
  <c r="BN344" i="1"/>
  <c r="BO344" i="1" a="1"/>
  <c r="BO344" i="1"/>
  <c r="BN365" i="1"/>
  <c r="BO365" i="1" a="1"/>
  <c r="BO365" i="1"/>
  <c r="BN389" i="1"/>
  <c r="BO389" i="1" a="1"/>
  <c r="BO389" i="1"/>
  <c r="BN392" i="1"/>
  <c r="BO392" i="1" a="1"/>
  <c r="BO392" i="1"/>
  <c r="BN394" i="1"/>
  <c r="BO394" i="1" a="1"/>
  <c r="BO394" i="1"/>
  <c r="BN397" i="1"/>
  <c r="BO397" i="1" a="1"/>
  <c r="BO397" i="1"/>
  <c r="BN442" i="1"/>
  <c r="BO442" i="1" a="1"/>
  <c r="BO442" i="1"/>
  <c r="BN446" i="1"/>
  <c r="BO446" i="1" a="1"/>
  <c r="BO446" i="1"/>
  <c r="BN448" i="1"/>
  <c r="BO448" i="1" a="1"/>
  <c r="BO448" i="1"/>
  <c r="BN453" i="1"/>
  <c r="BO453" i="1" a="1"/>
  <c r="BO453" i="1"/>
  <c r="BN473" i="1"/>
  <c r="BO473" i="1" a="1"/>
  <c r="BO473" i="1"/>
  <c r="BN494" i="1"/>
  <c r="BO494" i="1" a="1"/>
  <c r="BO494" i="1"/>
  <c r="BN499" i="1"/>
  <c r="BO499" i="1" a="1"/>
  <c r="BO499" i="1"/>
  <c r="BN511" i="1"/>
  <c r="BO511" i="1" a="1"/>
  <c r="BO511" i="1"/>
  <c r="BN530" i="1"/>
  <c r="BO530" i="1" a="1"/>
  <c r="BO530" i="1"/>
  <c r="BN548" i="1"/>
  <c r="BO548" i="1" a="1"/>
  <c r="BO548" i="1"/>
  <c r="BN553" i="1"/>
  <c r="BO553" i="1" a="1"/>
  <c r="BO553" i="1"/>
  <c r="BN559" i="1"/>
  <c r="BO559" i="1" a="1"/>
  <c r="BO559" i="1"/>
  <c r="BN596" i="1"/>
  <c r="BO596" i="1" a="1"/>
  <c r="BO596" i="1"/>
  <c r="BN684" i="1"/>
  <c r="BO684" i="1" a="1"/>
  <c r="BO684" i="1"/>
  <c r="BN692" i="1"/>
  <c r="BO692" i="1" a="1"/>
  <c r="BO692" i="1"/>
  <c r="BN694" i="1"/>
  <c r="BO694" i="1" a="1"/>
  <c r="BO694" i="1"/>
  <c r="BN714" i="1"/>
  <c r="BO714" i="1" a="1"/>
  <c r="BO714" i="1"/>
  <c r="BN329" i="1"/>
  <c r="BO329" i="1" a="1"/>
  <c r="BO329" i="1"/>
  <c r="BN383" i="1"/>
  <c r="BO383" i="1" a="1"/>
  <c r="BO383" i="1"/>
  <c r="BN384" i="1"/>
  <c r="BO384" i="1" a="1"/>
  <c r="BO384" i="1"/>
  <c r="BN400" i="1"/>
  <c r="BO400" i="1" a="1"/>
  <c r="BO400" i="1"/>
  <c r="BN403" i="1"/>
  <c r="BO403" i="1" a="1"/>
  <c r="BO403" i="1"/>
  <c r="BN420" i="1"/>
  <c r="BO420" i="1" a="1"/>
  <c r="BO420" i="1"/>
  <c r="BN421" i="1"/>
  <c r="BO421" i="1" a="1"/>
  <c r="BO421" i="1"/>
  <c r="BN430" i="1"/>
  <c r="BO430" i="1" a="1"/>
  <c r="BO430" i="1"/>
  <c r="BN434" i="1"/>
  <c r="BO434" i="1" a="1"/>
  <c r="BO434" i="1"/>
  <c r="BN435" i="1"/>
  <c r="BO435" i="1" a="1"/>
  <c r="BO435" i="1"/>
  <c r="BN437" i="1"/>
  <c r="BO437" i="1" a="1"/>
  <c r="BO437" i="1"/>
  <c r="BN439" i="1"/>
  <c r="BO439" i="1" a="1"/>
  <c r="BO439" i="1"/>
  <c r="BN457" i="1"/>
  <c r="BO457" i="1" a="1"/>
  <c r="BO457" i="1"/>
  <c r="BN476" i="1"/>
  <c r="BO476" i="1" a="1"/>
  <c r="BO476" i="1"/>
  <c r="BN478" i="1"/>
  <c r="BO478" i="1" a="1"/>
  <c r="BO478" i="1"/>
  <c r="BN481" i="1"/>
  <c r="BO481" i="1" a="1"/>
  <c r="BO481" i="1"/>
  <c r="BN482" i="1"/>
  <c r="BO482" i="1" a="1"/>
  <c r="BO482" i="1"/>
  <c r="BN486" i="1"/>
  <c r="BO486" i="1" a="1"/>
  <c r="BO486" i="1"/>
  <c r="BN489" i="1"/>
  <c r="BO489" i="1" a="1"/>
  <c r="BO489" i="1"/>
  <c r="BN503" i="1"/>
  <c r="BO503" i="1" a="1"/>
  <c r="BO503" i="1"/>
  <c r="BN516" i="1"/>
  <c r="BO516" i="1" a="1"/>
  <c r="BO516" i="1"/>
  <c r="BN532" i="1"/>
  <c r="BO532" i="1" a="1"/>
  <c r="BO532" i="1"/>
  <c r="BN602" i="1"/>
  <c r="BO602" i="1" a="1"/>
  <c r="BO602" i="1"/>
  <c r="BN617" i="1"/>
  <c r="BO617" i="1" a="1"/>
  <c r="BO617" i="1"/>
  <c r="BN546" i="1"/>
  <c r="BO546" i="1" a="1"/>
  <c r="BO546" i="1"/>
  <c r="BN390" i="1"/>
  <c r="BO390" i="1" a="1"/>
  <c r="BO390" i="1"/>
  <c r="BN395" i="1"/>
  <c r="BO395" i="1" a="1"/>
  <c r="BO395" i="1"/>
  <c r="BN405" i="1"/>
  <c r="BO405" i="1" a="1"/>
  <c r="BO405" i="1"/>
  <c r="BN411" i="1"/>
  <c r="BO411" i="1" a="1"/>
  <c r="BO411" i="1"/>
  <c r="BN443" i="1"/>
  <c r="BO443" i="1" a="1"/>
  <c r="BO443" i="1"/>
  <c r="BN447" i="1"/>
  <c r="BO447" i="1" a="1"/>
  <c r="BO447" i="1"/>
  <c r="BN449" i="1"/>
  <c r="BO449" i="1" a="1"/>
  <c r="BO449" i="1"/>
  <c r="BN462" i="1"/>
  <c r="BO462" i="1" a="1"/>
  <c r="BO462" i="1"/>
  <c r="BN495" i="1"/>
  <c r="BO495" i="1" a="1"/>
  <c r="BO495" i="1"/>
  <c r="BN505" i="1"/>
  <c r="BO505" i="1" a="1"/>
  <c r="BO505" i="1"/>
  <c r="BN518" i="1"/>
  <c r="BO518" i="1" a="1"/>
  <c r="BO518" i="1"/>
  <c r="BN534" i="1"/>
  <c r="BO534" i="1" a="1"/>
  <c r="BO534" i="1"/>
  <c r="BN538" i="1"/>
  <c r="BO538" i="1" a="1"/>
  <c r="BO538" i="1"/>
  <c r="BN539" i="1"/>
  <c r="BO539" i="1" a="1"/>
  <c r="BO539" i="1"/>
  <c r="BN540" i="1"/>
  <c r="BO540" i="1" a="1"/>
  <c r="BO540" i="1"/>
  <c r="BN542" i="1"/>
  <c r="BO542" i="1" a="1"/>
  <c r="BO542" i="1"/>
  <c r="BN543" i="1"/>
  <c r="BO543" i="1" a="1"/>
  <c r="BO543" i="1"/>
  <c r="BN551" i="1"/>
  <c r="BO551" i="1" a="1"/>
  <c r="BO551" i="1"/>
  <c r="BN567" i="1"/>
  <c r="BO567" i="1" a="1"/>
  <c r="BO567" i="1"/>
  <c r="BN599" i="1"/>
  <c r="BO599" i="1" a="1"/>
  <c r="BO599" i="1"/>
  <c r="BN637" i="1"/>
  <c r="BO637" i="1" a="1"/>
  <c r="BO637" i="1"/>
  <c r="BN668" i="1"/>
  <c r="BO668" i="1" a="1"/>
  <c r="BO668" i="1"/>
  <c r="BN353" i="1"/>
  <c r="BO353" i="1" a="1"/>
  <c r="BO353" i="1"/>
  <c r="BN357" i="1"/>
  <c r="BO357" i="1" a="1"/>
  <c r="BO357" i="1"/>
  <c r="BN545" i="1"/>
  <c r="BO545" i="1" a="1"/>
  <c r="BO545" i="1"/>
  <c r="BN322" i="1"/>
  <c r="BO322" i="1" a="1"/>
  <c r="BO322" i="1"/>
  <c r="BN325" i="1"/>
  <c r="BO325" i="1" a="1"/>
  <c r="BO325" i="1"/>
  <c r="BN535" i="1"/>
  <c r="BO535" i="1" a="1"/>
  <c r="BO535" i="1"/>
  <c r="BN347" i="1"/>
  <c r="BO347" i="1" a="1"/>
  <c r="BO347" i="1"/>
  <c r="BN348" i="1"/>
  <c r="BO348" i="1" a="1"/>
  <c r="BO348" i="1"/>
  <c r="BN391" i="1"/>
  <c r="BO391" i="1" a="1"/>
  <c r="BO391" i="1"/>
  <c r="BN431" i="1"/>
  <c r="BO431" i="1" a="1"/>
  <c r="BO431" i="1"/>
  <c r="BN480" i="1"/>
  <c r="BO480" i="1" a="1"/>
  <c r="BO480" i="1"/>
  <c r="BN487" i="1"/>
  <c r="BO487" i="1" a="1"/>
  <c r="BO487" i="1"/>
  <c r="BN318" i="1"/>
  <c r="BO318" i="1" a="1"/>
  <c r="BO318" i="1"/>
  <c r="BN319" i="1"/>
  <c r="BO319" i="1" a="1"/>
  <c r="BO319" i="1"/>
  <c r="BN335" i="1"/>
  <c r="BO335" i="1" a="1"/>
  <c r="BO335" i="1"/>
  <c r="BN340" i="1"/>
  <c r="BO340" i="1" a="1"/>
  <c r="BO340" i="1"/>
  <c r="BN528" i="1"/>
  <c r="BO528" i="1" a="1"/>
  <c r="BO528" i="1"/>
  <c r="BN326" i="1"/>
  <c r="BO326" i="1" a="1"/>
  <c r="BO326" i="1"/>
  <c r="BN328" i="1"/>
  <c r="BO328" i="1" a="1"/>
  <c r="BO328" i="1"/>
  <c r="BN343" i="1"/>
  <c r="BO343" i="1" a="1"/>
  <c r="BO343" i="1"/>
  <c r="BN359" i="1"/>
  <c r="BO359" i="1" a="1"/>
  <c r="BO359" i="1"/>
  <c r="BN317" i="1"/>
  <c r="BO317" i="1" a="1"/>
  <c r="BO317" i="1"/>
  <c r="BN323" i="1"/>
  <c r="BO323" i="1" a="1"/>
  <c r="BO323" i="1"/>
  <c r="BN330" i="1"/>
  <c r="BO330" i="1" a="1"/>
  <c r="BO330" i="1"/>
  <c r="BN331" i="1"/>
  <c r="BO331" i="1" a="1"/>
  <c r="BO331" i="1"/>
  <c r="BN332" i="1"/>
  <c r="BO332" i="1" a="1"/>
  <c r="BO332" i="1"/>
  <c r="BN333" i="1"/>
  <c r="BO333" i="1" a="1"/>
  <c r="BO333" i="1"/>
  <c r="BN336" i="1"/>
  <c r="BO336" i="1" a="1"/>
  <c r="BO336" i="1"/>
  <c r="BN345" i="1"/>
  <c r="BO345" i="1" a="1"/>
  <c r="BO345" i="1"/>
  <c r="BN346" i="1"/>
  <c r="BO346" i="1" a="1"/>
  <c r="BO346" i="1"/>
  <c r="BN361" i="1"/>
  <c r="BO361" i="1" a="1"/>
  <c r="BO361" i="1"/>
  <c r="BN362" i="1"/>
  <c r="BO362" i="1" a="1"/>
  <c r="BO362" i="1"/>
  <c r="BN320" i="1"/>
  <c r="BO320" i="1" a="1"/>
  <c r="BO320" i="1"/>
  <c r="BN321" i="1"/>
  <c r="BO321" i="1" a="1"/>
  <c r="BO321" i="1"/>
  <c r="BN342" i="1"/>
  <c r="BO342" i="1" a="1"/>
  <c r="BO342" i="1"/>
  <c r="BN349" i="1"/>
  <c r="BO349" i="1" a="1"/>
  <c r="BO349" i="1"/>
  <c r="BN350" i="1"/>
  <c r="BO350" i="1" a="1"/>
  <c r="BO350" i="1"/>
  <c r="BN351" i="1"/>
  <c r="BO351" i="1" a="1"/>
  <c r="BO351" i="1"/>
  <c r="BN352" i="1"/>
  <c r="BO352" i="1" a="1"/>
  <c r="BO352" i="1"/>
  <c r="BN358" i="1"/>
  <c r="BO358" i="1" a="1"/>
  <c r="BO358" i="1"/>
  <c r="BN369" i="1"/>
  <c r="BO369" i="1" a="1"/>
  <c r="BO369" i="1"/>
  <c r="BN324" i="1"/>
  <c r="BO324" i="1" a="1"/>
  <c r="BO324" i="1"/>
  <c r="BN338" i="1"/>
  <c r="BO338" i="1" a="1"/>
  <c r="BO338" i="1"/>
  <c r="BN339" i="1"/>
  <c r="BO339" i="1" a="1"/>
  <c r="BO339" i="1"/>
  <c r="BN354" i="1"/>
  <c r="BO354" i="1" a="1"/>
  <c r="BO354" i="1"/>
  <c r="BN355" i="1"/>
  <c r="BO355" i="1" a="1"/>
  <c r="BO355" i="1"/>
  <c r="BN356" i="1"/>
  <c r="BO356" i="1" a="1"/>
  <c r="BO356" i="1"/>
  <c r="BN56" i="1"/>
  <c r="BO56" i="1" a="1"/>
  <c r="BO56" i="1"/>
  <c r="BN308" i="1"/>
  <c r="BO308" i="1" a="1"/>
  <c r="BO308" i="1"/>
  <c r="BN11" i="1"/>
  <c r="BO11" i="1" a="1"/>
  <c r="BO11" i="1"/>
  <c r="BN239" i="1"/>
  <c r="BO239" i="1" a="1"/>
  <c r="BO239" i="1"/>
  <c r="BN304" i="1"/>
  <c r="BO304" i="1" a="1"/>
  <c r="BO304" i="1"/>
  <c r="BN306" i="1"/>
  <c r="BO306" i="1" a="1"/>
  <c r="BO306" i="1"/>
  <c r="BN287" i="1"/>
  <c r="BO287" i="1" a="1"/>
  <c r="BO287" i="1"/>
  <c r="BN292" i="1"/>
  <c r="BO292" i="1" a="1"/>
  <c r="BO292" i="1"/>
  <c r="BN272" i="1"/>
  <c r="BO272" i="1" a="1"/>
  <c r="BO272" i="1"/>
  <c r="BN293" i="1"/>
  <c r="BO293" i="1" a="1"/>
  <c r="BO293" i="1"/>
  <c r="BN191" i="1"/>
  <c r="BO191" i="1" a="1"/>
  <c r="BO191" i="1"/>
  <c r="BN194" i="1"/>
  <c r="BO194" i="1" a="1"/>
  <c r="BO194" i="1"/>
  <c r="BN289" i="1"/>
  <c r="BO289" i="1" a="1"/>
  <c r="BO289" i="1"/>
  <c r="BN298" i="1"/>
  <c r="BO298" i="1" a="1"/>
  <c r="BO298" i="1"/>
  <c r="BN301" i="1"/>
  <c r="BO301" i="1" a="1"/>
  <c r="BO301" i="1"/>
  <c r="BN303" i="1"/>
  <c r="BO303" i="1" a="1"/>
  <c r="BO303" i="1"/>
  <c r="BN131" i="1"/>
  <c r="BO131" i="1" a="1"/>
  <c r="BO131" i="1"/>
  <c r="BN253" i="1"/>
  <c r="BO253" i="1" a="1"/>
  <c r="BO253" i="1"/>
  <c r="BN257" i="1"/>
  <c r="BO257" i="1" a="1"/>
  <c r="BO257" i="1"/>
  <c r="BN307" i="1"/>
  <c r="BO307" i="1" a="1"/>
  <c r="BO307" i="1"/>
  <c r="BN52" i="1"/>
  <c r="BO52" i="1" a="1"/>
  <c r="BO52" i="1"/>
  <c r="BN113" i="1"/>
  <c r="BO113" i="1" a="1"/>
  <c r="BO113" i="1"/>
  <c r="BN208" i="1"/>
  <c r="BO208" i="1" a="1"/>
  <c r="BO208" i="1"/>
  <c r="BN216" i="1"/>
  <c r="BO216" i="1" a="1"/>
  <c r="BO216" i="1"/>
  <c r="BN281" i="1"/>
  <c r="BO281" i="1" a="1"/>
  <c r="BO281" i="1"/>
  <c r="BN290" i="1"/>
  <c r="BO290" i="1" a="1"/>
  <c r="BO290" i="1"/>
  <c r="BN291" i="1"/>
  <c r="BO291" i="1" a="1"/>
  <c r="BO291" i="1"/>
  <c r="BN297" i="1"/>
  <c r="BO297" i="1" a="1"/>
  <c r="BO297" i="1"/>
  <c r="BN299" i="1"/>
  <c r="BO299" i="1" a="1"/>
  <c r="BO299" i="1"/>
  <c r="BN302" i="1"/>
  <c r="BO302" i="1" a="1"/>
  <c r="BO302" i="1"/>
  <c r="BN235" i="1"/>
  <c r="BO235" i="1" a="1"/>
  <c r="BO235" i="1"/>
  <c r="BN277" i="1"/>
  <c r="BO277" i="1" a="1"/>
  <c r="BO277" i="1"/>
  <c r="BN189" i="1"/>
  <c r="BO189" i="1" a="1"/>
  <c r="BO189" i="1"/>
  <c r="BN210" i="1"/>
  <c r="BO210" i="1" a="1"/>
  <c r="BO210" i="1"/>
  <c r="BN211" i="1"/>
  <c r="BO211" i="1" a="1"/>
  <c r="BO211" i="1"/>
  <c r="BN247" i="1"/>
  <c r="BO247" i="1" a="1"/>
  <c r="BO247" i="1"/>
  <c r="BN249" i="1"/>
  <c r="BO249" i="1" a="1"/>
  <c r="BO249" i="1"/>
  <c r="BN266" i="1"/>
  <c r="BO266" i="1" a="1"/>
  <c r="BO266" i="1"/>
  <c r="BN280" i="1"/>
  <c r="BO280" i="1" a="1"/>
  <c r="BO280" i="1"/>
  <c r="BN27" i="1"/>
  <c r="BO27" i="1" a="1"/>
  <c r="BO27" i="1"/>
  <c r="BN143" i="1"/>
  <c r="BO143" i="1" a="1"/>
  <c r="BO143" i="1"/>
  <c r="BN165" i="1"/>
  <c r="BO165" i="1" a="1"/>
  <c r="BO165" i="1"/>
  <c r="BN168" i="1"/>
  <c r="BO168" i="1" a="1"/>
  <c r="BO168" i="1"/>
  <c r="BN171" i="1"/>
  <c r="BO171" i="1" a="1"/>
  <c r="BO171" i="1"/>
  <c r="BN174" i="1"/>
  <c r="BO174" i="1" a="1"/>
  <c r="BO174" i="1"/>
  <c r="BN197" i="1"/>
  <c r="BO197" i="1" a="1"/>
  <c r="BO197" i="1"/>
  <c r="BN204" i="1"/>
  <c r="BO204" i="1" a="1"/>
  <c r="BO204" i="1"/>
  <c r="BN274" i="1"/>
  <c r="BO274" i="1" a="1"/>
  <c r="BO274" i="1"/>
  <c r="BN282" i="1"/>
  <c r="BO282" i="1" a="1"/>
  <c r="BO282" i="1"/>
  <c r="BN285" i="1"/>
  <c r="BO285" i="1" a="1"/>
  <c r="BO285" i="1"/>
  <c r="BN106" i="1"/>
  <c r="BO106" i="1" a="1"/>
  <c r="BO106" i="1"/>
  <c r="BN124" i="1"/>
  <c r="BO124" i="1" a="1"/>
  <c r="BO124" i="1"/>
  <c r="BN212" i="1"/>
  <c r="BO212" i="1" a="1"/>
  <c r="BO212" i="1"/>
  <c r="BN214" i="1"/>
  <c r="BO214" i="1" a="1"/>
  <c r="BO214" i="1"/>
  <c r="BN241" i="1"/>
  <c r="BO241" i="1" a="1"/>
  <c r="BO241" i="1"/>
  <c r="BN268" i="1"/>
  <c r="BO268" i="1" a="1"/>
  <c r="BO268" i="1"/>
  <c r="BN270" i="1"/>
  <c r="BO270" i="1" a="1"/>
  <c r="BO270" i="1"/>
  <c r="BN279" i="1"/>
  <c r="BO279" i="1" a="1"/>
  <c r="BO279" i="1"/>
  <c r="BN251" i="1"/>
  <c r="BO251" i="1" a="1"/>
  <c r="BO251" i="1"/>
  <c r="BN271" i="1"/>
  <c r="BO271" i="1" a="1"/>
  <c r="BO271" i="1"/>
  <c r="BN25" i="1"/>
  <c r="BO25" i="1" a="1"/>
  <c r="BO25" i="1"/>
  <c r="BN36" i="1"/>
  <c r="BO36" i="1" a="1"/>
  <c r="BO36" i="1"/>
  <c r="BN110" i="1"/>
  <c r="BO110" i="1" a="1"/>
  <c r="BO110" i="1"/>
  <c r="BN117" i="1"/>
  <c r="BO117" i="1" a="1"/>
  <c r="BO117" i="1"/>
  <c r="BN141" i="1"/>
  <c r="BO141" i="1" a="1"/>
  <c r="BO141" i="1"/>
  <c r="BN185" i="1"/>
  <c r="BO185" i="1" a="1"/>
  <c r="BO185" i="1"/>
  <c r="BN187" i="1"/>
  <c r="BO187" i="1" a="1"/>
  <c r="BO187" i="1"/>
  <c r="BN198" i="1"/>
  <c r="BO198" i="1" a="1"/>
  <c r="BO198" i="1"/>
  <c r="BN228" i="1"/>
  <c r="BO228" i="1" a="1"/>
  <c r="BO228" i="1"/>
  <c r="BN231" i="1"/>
  <c r="BO231" i="1" a="1"/>
  <c r="BO231" i="1"/>
  <c r="BN240" i="1"/>
  <c r="BO240" i="1" a="1"/>
  <c r="BO240" i="1"/>
  <c r="BN273" i="1"/>
  <c r="BO273" i="1" a="1"/>
  <c r="BO273" i="1"/>
  <c r="BN17" i="1"/>
  <c r="BO17" i="1" a="1"/>
  <c r="BO17" i="1"/>
  <c r="BN205" i="1"/>
  <c r="BO205" i="1" a="1"/>
  <c r="BO205" i="1"/>
  <c r="BN215" i="1"/>
  <c r="BO215" i="1" a="1"/>
  <c r="BO215" i="1"/>
  <c r="BN236" i="1"/>
  <c r="BO236" i="1" a="1"/>
  <c r="BO236" i="1"/>
  <c r="BN267" i="1"/>
  <c r="BO267" i="1" a="1"/>
  <c r="BO267" i="1"/>
  <c r="BN276" i="1"/>
  <c r="BO276" i="1" a="1"/>
  <c r="BO276" i="1"/>
  <c r="BN63" i="1"/>
  <c r="BO63" i="1" a="1"/>
  <c r="BO63" i="1"/>
  <c r="BN86" i="1"/>
  <c r="BO86" i="1" a="1"/>
  <c r="BO86" i="1"/>
  <c r="BN121" i="1"/>
  <c r="BO121" i="1" a="1"/>
  <c r="BO121" i="1"/>
  <c r="BN133" i="1"/>
  <c r="BO133" i="1" a="1"/>
  <c r="BO133" i="1"/>
  <c r="BN135" i="1"/>
  <c r="BO135" i="1" a="1"/>
  <c r="BO135" i="1"/>
  <c r="BN188" i="1"/>
  <c r="BO188" i="1" a="1"/>
  <c r="BO188" i="1"/>
  <c r="BN192" i="1"/>
  <c r="BO192" i="1" a="1"/>
  <c r="BO192" i="1"/>
  <c r="BN199" i="1"/>
  <c r="BO199" i="1" a="1"/>
  <c r="BO199" i="1"/>
  <c r="BN200" i="1"/>
  <c r="BO200" i="1" a="1"/>
  <c r="BO200" i="1"/>
  <c r="BN218" i="1"/>
  <c r="BO218" i="1" a="1"/>
  <c r="BO218" i="1"/>
  <c r="BN220" i="1"/>
  <c r="BO220" i="1" a="1"/>
  <c r="BO220" i="1"/>
  <c r="BN222" i="1"/>
  <c r="BO222" i="1" a="1"/>
  <c r="BO222" i="1"/>
  <c r="BN224" i="1"/>
  <c r="BO224" i="1" a="1"/>
  <c r="BO224" i="1"/>
  <c r="BN232" i="1"/>
  <c r="BO232" i="1" a="1"/>
  <c r="BO232" i="1"/>
  <c r="BN99" i="1"/>
  <c r="BO99" i="1" a="1"/>
  <c r="BO99" i="1"/>
  <c r="BN219" i="1"/>
  <c r="BO219" i="1" a="1"/>
  <c r="BO219" i="1"/>
  <c r="BN54" i="1"/>
  <c r="BO54" i="1" a="1"/>
  <c r="BO54" i="1"/>
  <c r="BN223" i="1"/>
  <c r="BO223" i="1" a="1"/>
  <c r="BO223" i="1"/>
  <c r="BN58" i="1"/>
  <c r="BO58" i="1" a="1"/>
  <c r="BO58" i="1"/>
  <c r="BN75" i="1"/>
  <c r="BO75" i="1" a="1"/>
  <c r="BO75" i="1"/>
  <c r="BN79" i="1"/>
  <c r="BO79" i="1" a="1"/>
  <c r="BO79" i="1"/>
  <c r="BN254" i="1"/>
  <c r="BO254" i="1" a="1"/>
  <c r="BO254" i="1"/>
  <c r="BN112" i="1"/>
  <c r="BO112" i="1" a="1"/>
  <c r="BO112" i="1"/>
  <c r="BN156" i="1"/>
  <c r="BO156" i="1" a="1"/>
  <c r="BO156" i="1"/>
  <c r="BN158" i="1"/>
  <c r="BO158" i="1" a="1"/>
  <c r="BO158" i="1"/>
  <c r="BN227" i="1"/>
  <c r="BO227" i="1" a="1"/>
  <c r="BO227" i="1"/>
  <c r="BN90" i="1"/>
  <c r="BO90" i="1" a="1"/>
  <c r="BO90" i="1"/>
  <c r="BN13" i="1"/>
  <c r="BO13" i="1" a="1"/>
  <c r="BO13" i="1"/>
  <c r="BN42" i="1"/>
  <c r="BO42" i="1" a="1"/>
  <c r="BO42" i="1"/>
  <c r="BN44" i="1"/>
  <c r="BO44" i="1" a="1"/>
  <c r="BO44" i="1"/>
  <c r="BN48" i="1"/>
  <c r="BO48" i="1" a="1"/>
  <c r="BO48" i="1"/>
  <c r="BN67" i="1"/>
  <c r="BO67" i="1" a="1"/>
  <c r="BO67" i="1"/>
  <c r="BN70" i="1"/>
  <c r="BO70" i="1" a="1"/>
  <c r="BO70" i="1"/>
  <c r="BN84" i="1"/>
  <c r="BO84" i="1" a="1"/>
  <c r="BO84" i="1"/>
  <c r="BN119" i="1"/>
  <c r="BO119" i="1" a="1"/>
  <c r="BO119" i="1"/>
  <c r="BN126" i="1"/>
  <c r="BO126" i="1" a="1"/>
  <c r="BO126" i="1"/>
  <c r="BN137" i="1"/>
  <c r="BO137" i="1" a="1"/>
  <c r="BO137" i="1"/>
  <c r="BN145" i="1"/>
  <c r="BO145" i="1" a="1"/>
  <c r="BO145" i="1"/>
  <c r="BN180" i="1"/>
  <c r="BO180" i="1" a="1"/>
  <c r="BO180" i="1"/>
  <c r="BN182" i="1"/>
  <c r="BO182" i="1" a="1"/>
  <c r="BO182" i="1"/>
  <c r="BN193" i="1"/>
  <c r="BO193" i="1" a="1"/>
  <c r="BO193" i="1"/>
  <c r="BN196" i="1"/>
  <c r="BO196" i="1" a="1"/>
  <c r="BO196" i="1"/>
  <c r="BN202" i="1"/>
  <c r="BO202" i="1" a="1"/>
  <c r="BO202" i="1"/>
  <c r="BN209" i="1"/>
  <c r="BO209" i="1" a="1"/>
  <c r="BO209" i="1"/>
  <c r="BN213" i="1"/>
  <c r="BO213" i="1" a="1"/>
  <c r="BO213" i="1"/>
  <c r="BN221" i="1"/>
  <c r="BO221" i="1" a="1"/>
  <c r="BO221" i="1"/>
  <c r="BN229" i="1"/>
  <c r="BO229" i="1" a="1"/>
  <c r="BO229" i="1"/>
  <c r="BN237" i="1"/>
  <c r="BO237" i="1" a="1"/>
  <c r="BO237" i="1"/>
  <c r="BN244" i="1"/>
  <c r="BO244" i="1" a="1"/>
  <c r="BO244" i="1"/>
  <c r="BN129" i="1"/>
  <c r="BO129" i="1" a="1"/>
  <c r="BO129" i="1"/>
  <c r="BN184" i="1"/>
  <c r="BO184" i="1" a="1"/>
  <c r="BO184" i="1"/>
  <c r="BN190" i="1"/>
  <c r="BO190" i="1" a="1"/>
  <c r="BO190" i="1"/>
  <c r="BN20" i="1"/>
  <c r="BO20" i="1" a="1"/>
  <c r="BO20" i="1"/>
  <c r="BN22" i="1"/>
  <c r="BO22" i="1" a="1"/>
  <c r="BO22" i="1"/>
  <c r="BN217" i="1"/>
  <c r="BO217" i="1" a="1"/>
  <c r="BO217" i="1"/>
  <c r="BN248" i="1"/>
  <c r="BO248" i="1" a="1"/>
  <c r="BO248" i="1"/>
  <c r="BN269" i="1"/>
  <c r="BO269" i="1" a="1"/>
  <c r="BO269" i="1"/>
  <c r="BN250" i="1"/>
  <c r="BO250" i="1" a="1"/>
  <c r="BO250" i="1"/>
  <c r="BN88" i="1"/>
  <c r="BO88" i="1" a="1"/>
  <c r="BO88" i="1"/>
  <c r="BN101" i="1"/>
  <c r="BO101" i="1" a="1"/>
  <c r="BO101" i="1"/>
  <c r="BN104" i="1"/>
  <c r="BO104" i="1" a="1"/>
  <c r="BO104" i="1"/>
  <c r="BN8" i="1"/>
  <c r="BO8" i="1" a="1"/>
  <c r="BO8" i="1"/>
  <c r="BN9" i="1"/>
  <c r="BO9" i="1" a="1"/>
  <c r="BO9" i="1"/>
  <c r="BN46" i="1"/>
  <c r="BO46" i="1" a="1"/>
  <c r="BO46" i="1"/>
  <c r="BN61" i="1"/>
  <c r="BO61" i="1" a="1"/>
  <c r="BO61" i="1"/>
  <c r="BN178" i="1"/>
  <c r="BO178" i="1" a="1"/>
  <c r="BO178" i="1"/>
  <c r="BN16" i="1"/>
  <c r="BO16" i="1" a="1"/>
  <c r="BO16" i="1"/>
  <c r="BN18" i="1"/>
  <c r="BO18" i="1" a="1"/>
  <c r="BO18" i="1"/>
  <c r="BN35" i="1"/>
  <c r="BO35" i="1" a="1"/>
  <c r="BO35" i="1"/>
  <c r="BN38" i="1"/>
  <c r="BO38" i="1" a="1"/>
  <c r="BO38" i="1"/>
  <c r="BN50" i="1"/>
  <c r="BO50" i="1" a="1"/>
  <c r="BO50" i="1"/>
  <c r="BN65" i="1"/>
  <c r="BO65" i="1" a="1"/>
  <c r="BO65" i="1"/>
  <c r="BN93" i="1"/>
  <c r="BO93" i="1" a="1"/>
  <c r="BO93" i="1"/>
  <c r="BN108" i="1"/>
  <c r="BO108" i="1" a="1"/>
  <c r="BO108" i="1"/>
  <c r="BN148" i="1"/>
  <c r="BO148" i="1" a="1"/>
  <c r="BO148" i="1"/>
  <c r="BN149" i="1"/>
  <c r="BO149" i="1" a="1"/>
  <c r="BO149" i="1"/>
  <c r="BN152" i="1"/>
  <c r="BO152" i="1" a="1"/>
  <c r="BO152" i="1"/>
  <c r="BN154" i="1"/>
  <c r="BO154" i="1" a="1"/>
  <c r="BO154" i="1"/>
  <c r="BN159" i="1"/>
  <c r="BO159" i="1" a="1"/>
  <c r="BO159" i="1"/>
  <c r="BN161" i="1"/>
  <c r="BO161" i="1" a="1"/>
  <c r="BO161" i="1"/>
  <c r="BN163" i="1"/>
  <c r="BO163" i="1" a="1"/>
  <c r="BO163" i="1"/>
  <c r="BN245" i="1"/>
  <c r="BO245" i="1" a="1"/>
  <c r="BO245" i="1"/>
  <c r="BN246" i="1"/>
  <c r="BO246" i="1" a="1"/>
  <c r="BO246" i="1"/>
  <c r="BN100" i="1"/>
  <c r="BO100" i="1" a="1"/>
  <c r="BO100" i="1"/>
  <c r="BN43" i="1"/>
  <c r="BO43" i="1" a="1"/>
  <c r="BO43" i="1"/>
  <c r="BN53" i="1"/>
  <c r="BO53" i="1" a="1"/>
  <c r="BO53" i="1"/>
  <c r="BN91" i="1"/>
  <c r="BO91" i="1" a="1"/>
  <c r="BO91" i="1"/>
  <c r="BN14" i="1"/>
  <c r="BO14" i="1" a="1"/>
  <c r="BO14" i="1"/>
  <c r="BN24" i="1"/>
  <c r="BO24" i="1" a="1"/>
  <c r="BO24" i="1"/>
  <c r="BN26" i="1"/>
  <c r="BO26" i="1" a="1"/>
  <c r="BO26" i="1"/>
  <c r="BN34" i="1"/>
  <c r="BO34" i="1" a="1"/>
  <c r="BO34" i="1"/>
  <c r="BN41" i="1"/>
  <c r="BO41" i="1" a="1"/>
  <c r="BO41" i="1"/>
  <c r="BN51" i="1"/>
  <c r="BO51" i="1" a="1"/>
  <c r="BO51" i="1"/>
  <c r="BN59" i="1"/>
  <c r="BO59" i="1" a="1"/>
  <c r="BO59" i="1"/>
  <c r="BN66" i="1"/>
  <c r="BO66" i="1" a="1"/>
  <c r="BO66" i="1"/>
  <c r="BN81" i="1"/>
  <c r="BO81" i="1" a="1"/>
  <c r="BO81" i="1"/>
  <c r="BN89" i="1"/>
  <c r="BO89" i="1" a="1"/>
  <c r="BO89" i="1"/>
  <c r="BN116" i="1"/>
  <c r="BO116" i="1" a="1"/>
  <c r="BO116" i="1"/>
  <c r="BN120" i="1"/>
  <c r="BO120" i="1" a="1"/>
  <c r="BO120" i="1"/>
  <c r="BN125" i="1"/>
  <c r="BO125" i="1" a="1"/>
  <c r="BO125" i="1"/>
  <c r="BN130" i="1"/>
  <c r="BO130" i="1" a="1"/>
  <c r="BO130" i="1"/>
  <c r="BN134" i="1"/>
  <c r="BO134" i="1" a="1"/>
  <c r="BO134" i="1"/>
  <c r="BN138" i="1"/>
  <c r="BO138" i="1" a="1"/>
  <c r="BO138" i="1"/>
  <c r="BN144" i="1"/>
  <c r="BO144" i="1" a="1"/>
  <c r="BO144" i="1"/>
  <c r="BN146" i="1"/>
  <c r="BO146" i="1" a="1"/>
  <c r="BO146" i="1"/>
  <c r="BN153" i="1"/>
  <c r="BO153" i="1" a="1"/>
  <c r="BO153" i="1"/>
  <c r="BN157" i="1"/>
  <c r="BO157" i="1" a="1"/>
  <c r="BO157" i="1"/>
  <c r="BN160" i="1"/>
  <c r="BO160" i="1" a="1"/>
  <c r="BO160" i="1"/>
  <c r="BN170" i="1"/>
  <c r="BO170" i="1" a="1"/>
  <c r="BO170" i="1"/>
  <c r="BN68" i="1"/>
  <c r="BO68" i="1" a="1"/>
  <c r="BO68" i="1"/>
  <c r="BN83" i="1"/>
  <c r="BO83" i="1" a="1"/>
  <c r="BO83" i="1"/>
  <c r="BN105" i="1"/>
  <c r="BO105" i="1" a="1"/>
  <c r="BO105" i="1"/>
  <c r="BN12" i="1"/>
  <c r="BO12" i="1" a="1"/>
  <c r="BO12" i="1"/>
  <c r="BN21" i="1"/>
  <c r="BO21" i="1" a="1"/>
  <c r="BO21" i="1"/>
  <c r="BN37" i="1"/>
  <c r="BO37" i="1" a="1"/>
  <c r="BO37" i="1"/>
  <c r="BN49" i="1"/>
  <c r="BO49" i="1" a="1"/>
  <c r="BO49" i="1"/>
  <c r="BN57" i="1"/>
  <c r="BO57" i="1" a="1"/>
  <c r="BO57" i="1"/>
  <c r="BN64" i="1"/>
  <c r="BO64" i="1" a="1"/>
  <c r="BO64" i="1"/>
  <c r="BN78" i="1"/>
  <c r="BO78" i="1" a="1"/>
  <c r="BO78" i="1"/>
  <c r="BN87" i="1"/>
  <c r="BO87" i="1" a="1"/>
  <c r="BO87" i="1"/>
  <c r="BN94" i="1"/>
  <c r="BO94" i="1" a="1"/>
  <c r="BO94" i="1"/>
  <c r="BN98" i="1"/>
  <c r="BO98" i="1" a="1"/>
  <c r="BO98" i="1"/>
  <c r="BN103" i="1"/>
  <c r="BO103" i="1" a="1"/>
  <c r="BO103" i="1"/>
  <c r="BN162" i="1"/>
  <c r="BO162" i="1" a="1"/>
  <c r="BO162" i="1"/>
  <c r="BN172" i="1"/>
  <c r="BO172" i="1" a="1"/>
  <c r="BO172" i="1"/>
  <c r="BN15" i="1"/>
  <c r="BO15" i="1" a="1"/>
  <c r="BO15" i="1"/>
  <c r="BN60" i="1"/>
  <c r="BO60" i="1" a="1"/>
  <c r="BO60" i="1"/>
  <c r="BN167" i="1"/>
  <c r="BO167" i="1" a="1"/>
  <c r="BO167" i="1"/>
  <c r="BN10" i="1"/>
  <c r="BO10" i="1" a="1"/>
  <c r="BO10" i="1"/>
  <c r="BN47" i="1"/>
  <c r="BO47" i="1" a="1"/>
  <c r="BO47" i="1"/>
  <c r="BN55" i="1"/>
  <c r="BO55" i="1" a="1"/>
  <c r="BO55" i="1"/>
  <c r="BN62" i="1"/>
  <c r="BO62" i="1" a="1"/>
  <c r="BO62" i="1"/>
  <c r="BN71" i="1"/>
  <c r="BO71" i="1" a="1"/>
  <c r="BO71" i="1"/>
  <c r="BN85" i="1"/>
  <c r="BO85" i="1" a="1"/>
  <c r="BO85" i="1"/>
  <c r="BN95" i="1"/>
  <c r="BO95" i="1" a="1"/>
  <c r="BO95" i="1"/>
  <c r="BN114" i="1"/>
  <c r="BO114" i="1" a="1"/>
  <c r="BO114" i="1"/>
  <c r="BN118" i="1"/>
  <c r="BO118" i="1" a="1"/>
  <c r="BO118" i="1"/>
  <c r="BN123" i="1"/>
  <c r="BO123" i="1" a="1"/>
  <c r="BO123" i="1"/>
  <c r="BN128" i="1"/>
  <c r="BO128" i="1" a="1"/>
  <c r="BO128" i="1"/>
  <c r="BN132" i="1"/>
  <c r="BO132" i="1" a="1"/>
  <c r="BO132" i="1"/>
  <c r="BN136" i="1"/>
  <c r="BO136" i="1" a="1"/>
  <c r="BO136" i="1"/>
  <c r="BN142" i="1"/>
  <c r="BO142" i="1" a="1"/>
  <c r="BO142" i="1"/>
  <c r="BN151" i="1"/>
  <c r="BO151" i="1" a="1"/>
  <c r="BO151" i="1"/>
  <c r="BN155" i="1"/>
  <c r="BO155" i="1" a="1"/>
  <c r="BO155" i="1"/>
  <c r="BN164" i="1"/>
  <c r="BO164" i="1" a="1"/>
  <c r="BO164" i="1"/>
  <c r="BN176" i="1"/>
  <c r="BO176" i="1" a="1"/>
  <c r="BO176" i="1"/>
  <c r="BN122" i="1"/>
  <c r="BO122" i="1" a="1"/>
  <c r="BO122" i="1"/>
  <c r="BN127" i="1"/>
  <c r="BO127" i="1" a="1"/>
  <c r="BO127" i="1"/>
  <c r="BN109" i="1"/>
  <c r="BO109" i="1" a="1"/>
  <c r="BO109" i="1"/>
  <c r="BR646" i="1" a="1"/>
  <c r="BR646" i="1"/>
  <c r="BR650" i="1" a="1"/>
  <c r="BR650" i="1"/>
  <c r="BR661" i="1" a="1"/>
  <c r="BR661" i="1"/>
  <c r="BR665" i="1" a="1"/>
  <c r="BR665" i="1"/>
  <c r="BR669" i="1" a="1"/>
  <c r="BR669" i="1"/>
  <c r="BO676" i="1" a="1"/>
  <c r="BO676" i="1"/>
  <c r="BR683" i="1" a="1"/>
  <c r="BR683" i="1"/>
  <c r="BR684" i="1" a="1"/>
  <c r="BR684" i="1"/>
  <c r="BR700" i="1" a="1"/>
  <c r="BR700" i="1"/>
  <c r="BR705" i="1" a="1"/>
  <c r="BR705" i="1"/>
  <c r="BR706" i="1" a="1"/>
  <c r="BR706" i="1"/>
  <c r="BR710" i="1" a="1"/>
  <c r="BR710" i="1"/>
  <c r="BR713" i="1" a="1"/>
  <c r="BR713" i="1"/>
  <c r="BR714" i="1" a="1"/>
  <c r="BR714" i="1"/>
  <c r="BR715" i="1" a="1"/>
  <c r="BR715" i="1"/>
  <c r="BR735" i="1" a="1"/>
  <c r="BR735" i="1"/>
  <c r="BO783" i="1" a="1"/>
  <c r="BO783" i="1"/>
  <c r="BO809" i="1" a="1"/>
  <c r="BO809" i="1"/>
  <c r="BR814" i="1" a="1"/>
  <c r="BR814" i="1"/>
  <c r="BO935" i="1" a="1"/>
  <c r="BO935" i="1"/>
  <c r="BO710" i="1" a="1"/>
  <c r="BO710" i="1"/>
  <c r="BR717" i="1" a="1"/>
  <c r="BR717" i="1"/>
  <c r="BO734" i="1" a="1"/>
  <c r="BO734" i="1"/>
  <c r="BR745" i="1" a="1"/>
  <c r="BR745" i="1"/>
  <c r="BR757" i="1" a="1"/>
  <c r="BR757" i="1"/>
  <c r="BR780" i="1" a="1"/>
  <c r="BR780" i="1"/>
  <c r="BR781" i="1" a="1"/>
  <c r="BR781" i="1"/>
  <c r="BR918" i="1" a="1"/>
  <c r="BR918" i="1"/>
  <c r="BR645" i="1" a="1"/>
  <c r="BR645" i="1"/>
  <c r="BR647" i="1" a="1"/>
  <c r="BR647" i="1"/>
  <c r="BR649" i="1" a="1"/>
  <c r="BR649" i="1"/>
  <c r="BR655" i="1" a="1"/>
  <c r="BR655" i="1"/>
  <c r="BR657" i="1" a="1"/>
  <c r="BR657" i="1"/>
  <c r="BO661" i="1" a="1"/>
  <c r="BO661" i="1"/>
  <c r="BO665" i="1" a="1"/>
  <c r="BO665" i="1"/>
  <c r="BR673" i="1" a="1"/>
  <c r="BR673" i="1"/>
  <c r="BR675" i="1" a="1"/>
  <c r="BR675" i="1"/>
  <c r="BR677" i="1" a="1"/>
  <c r="BR677" i="1"/>
  <c r="BR678" i="1" a="1"/>
  <c r="BR678" i="1"/>
  <c r="BR679" i="1" a="1"/>
  <c r="BR679" i="1"/>
  <c r="BR680" i="1" a="1"/>
  <c r="BR680" i="1"/>
  <c r="BO683" i="1" a="1"/>
  <c r="BO683" i="1"/>
  <c r="BR690" i="1" a="1"/>
  <c r="BR690" i="1"/>
  <c r="BR693" i="1" a="1"/>
  <c r="BR693" i="1"/>
  <c r="BR694" i="1" a="1"/>
  <c r="BR694" i="1"/>
  <c r="BO702" i="1" a="1"/>
  <c r="BO702" i="1"/>
  <c r="BO705" i="1" a="1"/>
  <c r="BO705" i="1"/>
  <c r="BR709" i="1" a="1"/>
  <c r="BR709" i="1"/>
  <c r="BR711" i="1" a="1"/>
  <c r="BR711" i="1"/>
  <c r="BR712" i="1" a="1"/>
  <c r="BR712" i="1"/>
  <c r="BR726" i="1" a="1"/>
  <c r="BR726" i="1"/>
  <c r="BR727" i="1" a="1"/>
  <c r="BR727" i="1"/>
  <c r="BR728" i="1" a="1"/>
  <c r="BR728" i="1"/>
  <c r="BR729" i="1" a="1"/>
  <c r="BR729" i="1"/>
  <c r="BR733" i="1" a="1"/>
  <c r="BR733" i="1"/>
  <c r="BR743" i="1" a="1"/>
  <c r="BR743" i="1"/>
  <c r="BR746" i="1" a="1"/>
  <c r="BR746" i="1"/>
  <c r="BO757" i="1" a="1"/>
  <c r="BO757" i="1"/>
  <c r="BR758" i="1" a="1"/>
  <c r="BR758" i="1"/>
  <c r="BR765" i="1" a="1"/>
  <c r="BR765" i="1"/>
  <c r="BO767" i="1" a="1"/>
  <c r="BO767" i="1"/>
  <c r="BR769" i="1" a="1"/>
  <c r="BR769" i="1"/>
  <c r="BR777" i="1" a="1"/>
  <c r="BR777" i="1"/>
  <c r="BR778" i="1" a="1"/>
  <c r="BR778" i="1"/>
  <c r="BR782" i="1" a="1"/>
  <c r="BR782" i="1"/>
  <c r="BR796" i="1" a="1"/>
  <c r="BR796" i="1"/>
  <c r="BR807" i="1" a="1"/>
  <c r="BR807" i="1"/>
  <c r="BR826" i="1" a="1"/>
  <c r="BR826" i="1"/>
  <c r="BR837" i="1" a="1"/>
  <c r="BR837" i="1"/>
  <c r="BR927" i="1" a="1"/>
  <c r="BR927" i="1"/>
  <c r="BR952" i="1" a="1"/>
  <c r="BR952" i="1"/>
  <c r="BR636" i="1" a="1"/>
  <c r="BR636" i="1"/>
  <c r="BR637" i="1" a="1"/>
  <c r="BR637" i="1"/>
  <c r="BO639" i="1" a="1"/>
  <c r="BO639" i="1"/>
  <c r="BR641" i="1" a="1"/>
  <c r="BR641" i="1"/>
  <c r="BR642" i="1" a="1"/>
  <c r="BR642" i="1"/>
  <c r="BR643" i="1" a="1"/>
  <c r="BR643" i="1"/>
  <c r="BO645" i="1" a="1"/>
  <c r="BO645" i="1"/>
  <c r="BO651" i="1" a="1"/>
  <c r="BO651" i="1"/>
  <c r="BR652" i="1" a="1"/>
  <c r="BR652" i="1"/>
  <c r="BR658" i="1" a="1"/>
  <c r="BR658" i="1"/>
  <c r="BR660" i="1" a="1"/>
  <c r="BR660" i="1"/>
  <c r="BR662" i="1" a="1"/>
  <c r="BR662" i="1"/>
  <c r="BR664" i="1" a="1"/>
  <c r="BR664" i="1"/>
  <c r="BR666" i="1" a="1"/>
  <c r="BR666" i="1"/>
  <c r="BR671" i="1" a="1"/>
  <c r="BR671" i="1"/>
  <c r="BO673" i="1" a="1"/>
  <c r="BO673" i="1"/>
  <c r="BO675" i="1" a="1"/>
  <c r="BO675" i="1"/>
  <c r="BO677" i="1" a="1"/>
  <c r="BO677" i="1"/>
  <c r="BR681" i="1" a="1"/>
  <c r="BR681" i="1"/>
  <c r="BR682" i="1" a="1"/>
  <c r="BR682" i="1"/>
  <c r="BR685" i="1" a="1"/>
  <c r="BR685" i="1"/>
  <c r="BR687" i="1" a="1"/>
  <c r="BR687" i="1"/>
  <c r="BR688" i="1" a="1"/>
  <c r="BR688" i="1"/>
  <c r="BR698" i="1" a="1"/>
  <c r="BR698" i="1"/>
  <c r="BR699" i="1" a="1"/>
  <c r="BR699" i="1"/>
  <c r="BR701" i="1" a="1"/>
  <c r="BR701" i="1"/>
  <c r="BR703" i="1" a="1"/>
  <c r="BR703" i="1"/>
  <c r="BR716" i="1" a="1"/>
  <c r="BR716" i="1"/>
  <c r="BR720" i="1" a="1"/>
  <c r="BR720" i="1"/>
  <c r="BR722" i="1" a="1"/>
  <c r="BR722" i="1"/>
  <c r="BR723" i="1" a="1"/>
  <c r="BR723" i="1"/>
  <c r="BR731" i="1" a="1"/>
  <c r="BR731" i="1"/>
  <c r="BR739" i="1" a="1"/>
  <c r="BR739" i="1"/>
  <c r="BR740" i="1" a="1"/>
  <c r="BR740" i="1"/>
  <c r="BR741" i="1" a="1"/>
  <c r="BR741" i="1"/>
  <c r="BR744" i="1" a="1"/>
  <c r="BR744" i="1"/>
  <c r="BR752" i="1" a="1"/>
  <c r="BR752" i="1"/>
  <c r="BR763" i="1" a="1"/>
  <c r="BR763" i="1"/>
  <c r="BR766" i="1" a="1"/>
  <c r="BR766" i="1"/>
  <c r="BR767" i="1" a="1"/>
  <c r="BR767" i="1"/>
  <c r="BR779" i="1" a="1"/>
  <c r="BR779" i="1"/>
  <c r="BR830" i="1" a="1"/>
  <c r="BR830" i="1"/>
  <c r="BR886" i="1" a="1"/>
  <c r="BR886" i="1"/>
  <c r="BO716" i="1" a="1"/>
  <c r="BO716" i="1"/>
  <c r="BO736" i="1" a="1"/>
  <c r="BO736" i="1"/>
  <c r="BR737" i="1" a="1"/>
  <c r="BR737" i="1"/>
  <c r="BR742" i="1" a="1"/>
  <c r="BR742" i="1"/>
  <c r="BR747" i="1" a="1"/>
  <c r="BR747" i="1"/>
  <c r="BR748" i="1" a="1"/>
  <c r="BR748" i="1"/>
  <c r="BO752" i="1" a="1"/>
  <c r="BO752" i="1"/>
  <c r="BR753" i="1" a="1"/>
  <c r="BR753" i="1"/>
  <c r="BR754" i="1" a="1"/>
  <c r="BR754" i="1"/>
  <c r="BO758" i="1" a="1"/>
  <c r="BO758" i="1"/>
  <c r="BR759" i="1" a="1"/>
  <c r="BR759" i="1"/>
  <c r="BO761" i="1" a="1"/>
  <c r="BO761" i="1"/>
  <c r="BR764" i="1" a="1"/>
  <c r="BR764" i="1"/>
  <c r="BR770" i="1" a="1"/>
  <c r="BR770" i="1"/>
  <c r="BR771" i="1" a="1"/>
  <c r="BR771" i="1"/>
  <c r="BR772" i="1" a="1"/>
  <c r="BR772" i="1"/>
  <c r="BR773" i="1" a="1"/>
  <c r="BR773" i="1"/>
  <c r="BR783" i="1" a="1"/>
  <c r="BR783" i="1"/>
  <c r="BR790" i="1" a="1"/>
  <c r="BR790" i="1"/>
  <c r="BR801" i="1" a="1"/>
  <c r="BR801" i="1"/>
  <c r="BR820" i="1" a="1"/>
  <c r="BR820" i="1"/>
  <c r="BR840" i="1" a="1"/>
  <c r="BR840" i="1"/>
  <c r="BR848" i="1" a="1"/>
  <c r="BR848" i="1"/>
  <c r="BR868" i="1" a="1"/>
  <c r="BR868" i="1"/>
  <c r="BR870" i="1" a="1"/>
  <c r="BR870" i="1"/>
  <c r="BR874" i="1" a="1"/>
  <c r="BR874" i="1"/>
  <c r="BR980" i="1" a="1"/>
  <c r="BR980" i="1"/>
  <c r="BR977" i="1" a="1"/>
  <c r="BR977" i="1"/>
  <c r="BR975" i="1" a="1"/>
  <c r="BR975" i="1"/>
  <c r="BR973" i="1" a="1"/>
  <c r="BR973" i="1"/>
  <c r="BR972" i="1" a="1"/>
  <c r="BR972" i="1"/>
  <c r="BR971" i="1" a="1"/>
  <c r="BR971" i="1"/>
  <c r="BR969" i="1" a="1"/>
  <c r="BR969" i="1"/>
  <c r="BO968" i="1" a="1"/>
  <c r="BO968" i="1"/>
  <c r="BR965" i="1" a="1"/>
  <c r="BR965" i="1"/>
  <c r="BR963" i="1" a="1"/>
  <c r="BR963" i="1"/>
  <c r="BR961" i="1" a="1"/>
  <c r="BR961" i="1"/>
  <c r="BR959" i="1" a="1"/>
  <c r="BR959" i="1"/>
  <c r="BO958" i="1" a="1"/>
  <c r="BO958" i="1"/>
  <c r="BR956" i="1" a="1"/>
  <c r="BR956" i="1"/>
  <c r="BR954" i="1" a="1"/>
  <c r="BR954" i="1"/>
  <c r="BO953" i="1" a="1"/>
  <c r="BO953" i="1"/>
  <c r="BO951" i="1" a="1"/>
  <c r="BO951" i="1"/>
  <c r="BR945" i="1" a="1"/>
  <c r="BR945" i="1"/>
  <c r="BR943" i="1" a="1"/>
  <c r="BR943" i="1"/>
  <c r="BR941" i="1" a="1"/>
  <c r="BR941" i="1"/>
  <c r="BO940" i="1" a="1"/>
  <c r="BO940" i="1"/>
  <c r="BO937" i="1" a="1"/>
  <c r="BO937" i="1"/>
  <c r="BR932" i="1" a="1"/>
  <c r="BR932" i="1"/>
  <c r="BR930" i="1" a="1"/>
  <c r="BR930" i="1"/>
  <c r="BO925" i="1" a="1"/>
  <c r="BO925" i="1"/>
  <c r="BO919" i="1" a="1"/>
  <c r="BO919" i="1"/>
  <c r="BO917" i="1" a="1"/>
  <c r="BO917" i="1"/>
  <c r="BR908" i="1" a="1"/>
  <c r="BR908" i="1"/>
  <c r="BR907" i="1" a="1"/>
  <c r="BR907" i="1"/>
  <c r="BR904" i="1" a="1"/>
  <c r="BR904" i="1"/>
  <c r="BR901" i="1" a="1"/>
  <c r="BR901" i="1"/>
  <c r="BR900" i="1" a="1"/>
  <c r="BR900" i="1"/>
  <c r="BR898" i="1" a="1"/>
  <c r="BR898" i="1"/>
  <c r="BR896" i="1" a="1"/>
  <c r="BR896" i="1"/>
  <c r="BO895" i="1" a="1"/>
  <c r="BO895" i="1"/>
  <c r="BR892" i="1" a="1"/>
  <c r="BR892" i="1"/>
  <c r="BR890" i="1" a="1"/>
  <c r="BR890" i="1"/>
  <c r="BR889" i="1" a="1"/>
  <c r="BR889" i="1"/>
  <c r="BO880" i="1" a="1"/>
  <c r="BO880" i="1"/>
  <c r="BR878" i="1" a="1"/>
  <c r="BR878" i="1"/>
  <c r="BR873" i="1" a="1"/>
  <c r="BR873" i="1"/>
  <c r="BR872" i="1" a="1"/>
  <c r="BR872" i="1"/>
  <c r="BO871" i="1" a="1"/>
  <c r="BO871" i="1"/>
  <c r="BR862" i="1" a="1"/>
  <c r="BR862" i="1"/>
  <c r="BR854" i="1" a="1"/>
  <c r="BR854" i="1"/>
  <c r="BR851" i="1" a="1"/>
  <c r="BR851" i="1"/>
  <c r="BR849" i="1" a="1"/>
  <c r="BR849" i="1"/>
  <c r="BR847" i="1" a="1"/>
  <c r="BR847" i="1"/>
  <c r="BO834" i="1" a="1"/>
  <c r="BO834" i="1"/>
  <c r="BR825" i="1" a="1"/>
  <c r="BR825" i="1"/>
  <c r="BR823" i="1" a="1"/>
  <c r="BR823" i="1"/>
  <c r="BR821" i="1" a="1"/>
  <c r="BR821" i="1"/>
  <c r="BR819" i="1" a="1"/>
  <c r="BR819" i="1"/>
  <c r="BR818" i="1" a="1"/>
  <c r="BR818" i="1"/>
  <c r="BR816" i="1" a="1"/>
  <c r="BR816" i="1"/>
  <c r="BR815" i="1" a="1"/>
  <c r="BR815" i="1"/>
  <c r="BR813" i="1" a="1"/>
  <c r="BR813" i="1"/>
  <c r="BR812" i="1" a="1"/>
  <c r="BR812" i="1"/>
  <c r="BR811" i="1" a="1"/>
  <c r="BR811" i="1"/>
  <c r="BR808" i="1" a="1"/>
  <c r="BR808" i="1"/>
  <c r="BR806" i="1" a="1"/>
  <c r="BR806" i="1"/>
  <c r="BR804" i="1" a="1"/>
  <c r="BR804" i="1"/>
  <c r="BO978" i="1" a="1"/>
  <c r="BO978" i="1"/>
  <c r="BO974" i="1" a="1"/>
  <c r="BO974" i="1"/>
  <c r="BR968" i="1" a="1"/>
  <c r="BR968" i="1"/>
  <c r="BO962" i="1" a="1"/>
  <c r="BO962" i="1"/>
  <c r="BO960" i="1" a="1"/>
  <c r="BO960" i="1"/>
  <c r="BR958" i="1" a="1"/>
  <c r="BR958" i="1"/>
  <c r="BO955" i="1" a="1"/>
  <c r="BO955" i="1"/>
  <c r="BR953" i="1" a="1"/>
  <c r="BR953" i="1"/>
  <c r="BR951" i="1" a="1"/>
  <c r="BR951" i="1"/>
  <c r="BR949" i="1" a="1"/>
  <c r="BR949" i="1"/>
  <c r="BR947" i="1" a="1"/>
  <c r="BR947" i="1"/>
  <c r="BO946" i="1" a="1"/>
  <c r="BO946" i="1"/>
  <c r="BO944" i="1" a="1"/>
  <c r="BO944" i="1"/>
  <c r="BR940" i="1" a="1"/>
  <c r="BR940" i="1"/>
  <c r="BR937" i="1" a="1"/>
  <c r="BR937" i="1"/>
  <c r="BR935" i="1" a="1"/>
  <c r="BR935" i="1"/>
  <c r="BO933" i="1" a="1"/>
  <c r="BO933" i="1"/>
  <c r="BR925" i="1" a="1"/>
  <c r="BR925" i="1"/>
  <c r="BR923" i="1" a="1"/>
  <c r="BR923" i="1"/>
  <c r="BR921" i="1" a="1"/>
  <c r="BR921" i="1"/>
  <c r="BR919" i="1" a="1"/>
  <c r="BR919" i="1"/>
  <c r="BR917" i="1" a="1"/>
  <c r="BR917" i="1"/>
  <c r="BR915" i="1" a="1"/>
  <c r="BR915" i="1"/>
  <c r="BR914" i="1" a="1"/>
  <c r="BR914" i="1"/>
  <c r="BR913" i="1" a="1"/>
  <c r="BR913" i="1"/>
  <c r="BR912" i="1" a="1"/>
  <c r="BR912" i="1"/>
  <c r="BO902" i="1" a="1"/>
  <c r="BO902" i="1"/>
  <c r="BO899" i="1" a="1"/>
  <c r="BO899" i="1"/>
  <c r="BR895" i="1" a="1"/>
  <c r="BR895" i="1"/>
  <c r="BR885" i="1" a="1"/>
  <c r="BR885" i="1"/>
  <c r="BR884" i="1" a="1"/>
  <c r="BR884" i="1"/>
  <c r="BR883" i="1" a="1"/>
  <c r="BR883" i="1"/>
  <c r="BR881" i="1" a="1"/>
  <c r="BR881" i="1"/>
  <c r="BR880" i="1" a="1"/>
  <c r="BR880" i="1"/>
  <c r="BR871" i="1" a="1"/>
  <c r="BR871" i="1"/>
  <c r="BR866" i="1" a="1"/>
  <c r="BR866" i="1"/>
  <c r="BR857" i="1" a="1"/>
  <c r="BR857" i="1"/>
  <c r="BR979" i="1" a="1"/>
  <c r="BR979" i="1"/>
  <c r="BR978" i="1" a="1"/>
  <c r="BR978" i="1"/>
  <c r="BR976" i="1" a="1"/>
  <c r="BR976" i="1"/>
  <c r="BR974" i="1" a="1"/>
  <c r="BR974" i="1"/>
  <c r="BR970" i="1" a="1"/>
  <c r="BR970" i="1"/>
  <c r="BR964" i="1" a="1"/>
  <c r="BR964" i="1"/>
  <c r="BR962" i="1" a="1"/>
  <c r="BR962" i="1"/>
  <c r="BR960" i="1" a="1"/>
  <c r="BR960" i="1"/>
  <c r="BR955" i="1" a="1"/>
  <c r="BR955" i="1"/>
  <c r="BO950" i="1" a="1"/>
  <c r="BO950" i="1"/>
  <c r="BR946" i="1" a="1"/>
  <c r="BR946" i="1"/>
  <c r="BR944" i="1" a="1"/>
  <c r="BR944" i="1"/>
  <c r="BR942" i="1" a="1"/>
  <c r="BR942" i="1"/>
  <c r="BR934" i="1" a="1"/>
  <c r="BR934" i="1"/>
  <c r="BR933" i="1" a="1"/>
  <c r="BR933" i="1"/>
  <c r="BR931" i="1" a="1"/>
  <c r="BR931" i="1"/>
  <c r="BR929" i="1" a="1"/>
  <c r="BR929" i="1"/>
  <c r="BO927" i="1" a="1"/>
  <c r="BO927" i="1"/>
  <c r="BO924" i="1" a="1"/>
  <c r="BO924" i="1"/>
  <c r="BO920" i="1" a="1"/>
  <c r="BO920" i="1"/>
  <c r="BR909" i="1" a="1"/>
  <c r="BR909" i="1"/>
  <c r="BR905" i="1" a="1"/>
  <c r="BR905" i="1"/>
  <c r="BR902" i="1" a="1"/>
  <c r="BR902" i="1"/>
  <c r="BR899" i="1" a="1"/>
  <c r="BR899" i="1"/>
  <c r="BR897" i="1" a="1"/>
  <c r="BR897" i="1"/>
  <c r="BR888" i="1" a="1"/>
  <c r="BR888" i="1"/>
  <c r="BR887" i="1" a="1"/>
  <c r="BR887" i="1"/>
  <c r="BR877" i="1" a="1"/>
  <c r="BR877" i="1"/>
  <c r="BR876" i="1" a="1"/>
  <c r="BR876" i="1"/>
  <c r="BR875" i="1" a="1"/>
  <c r="BR875" i="1"/>
  <c r="BR784" i="1" a="1"/>
  <c r="BR784" i="1"/>
  <c r="BR785" i="1" a="1"/>
  <c r="BR785" i="1"/>
  <c r="BR786" i="1" a="1"/>
  <c r="BR786" i="1"/>
  <c r="BR788" i="1" a="1"/>
  <c r="BR788" i="1"/>
  <c r="BR791" i="1" a="1"/>
  <c r="BR791" i="1"/>
  <c r="BR794" i="1" a="1"/>
  <c r="BR794" i="1"/>
  <c r="BO796" i="1" a="1"/>
  <c r="BO796" i="1"/>
  <c r="BR798" i="1" a="1"/>
  <c r="BR798" i="1"/>
  <c r="BR805" i="1" a="1"/>
  <c r="BR805" i="1"/>
  <c r="BO820" i="1" a="1"/>
  <c r="BO820" i="1"/>
  <c r="BO825" i="1" a="1"/>
  <c r="BO825" i="1"/>
  <c r="BR827" i="1" a="1"/>
  <c r="BR827" i="1"/>
  <c r="BR828" i="1" a="1"/>
  <c r="BR828" i="1"/>
  <c r="BR833" i="1" a="1"/>
  <c r="BR833" i="1"/>
  <c r="BO836" i="1" a="1"/>
  <c r="BO836" i="1"/>
  <c r="BR838" i="1" a="1"/>
  <c r="BR838" i="1"/>
  <c r="BR843" i="1" a="1"/>
  <c r="BR843" i="1"/>
  <c r="BR844" i="1" a="1"/>
  <c r="BR844" i="1"/>
  <c r="BO848" i="1" a="1"/>
  <c r="BO848" i="1"/>
  <c r="BO854" i="1" a="1"/>
  <c r="BO854" i="1"/>
  <c r="BR863" i="1" a="1"/>
  <c r="BR863" i="1"/>
  <c r="BO866" i="1" a="1"/>
  <c r="BO866" i="1"/>
  <c r="BO868" i="1" a="1"/>
  <c r="BO868" i="1"/>
  <c r="BR920" i="1" a="1"/>
  <c r="BR920" i="1"/>
  <c r="BO934" i="1" a="1"/>
  <c r="BO934" i="1"/>
  <c r="BO961" i="1" a="1"/>
  <c r="BO961" i="1"/>
  <c r="BO977" i="1" a="1"/>
  <c r="BO977" i="1"/>
  <c r="BO980" i="1" a="1"/>
  <c r="BO980" i="1"/>
  <c r="BR730" i="1" a="1"/>
  <c r="BR730" i="1"/>
  <c r="BR732" i="1" a="1"/>
  <c r="BR732" i="1"/>
  <c r="BR734" i="1" a="1"/>
  <c r="BR734" i="1"/>
  <c r="BR736" i="1" a="1"/>
  <c r="BR736" i="1"/>
  <c r="BO742" i="1" a="1"/>
  <c r="BO742" i="1"/>
  <c r="BO744" i="1" a="1"/>
  <c r="BO744" i="1"/>
  <c r="BO746" i="1" a="1"/>
  <c r="BO746" i="1"/>
  <c r="BO748" i="1" a="1"/>
  <c r="BO748" i="1"/>
  <c r="BO749" i="1" a="1"/>
  <c r="BO749" i="1"/>
  <c r="BR755" i="1" a="1"/>
  <c r="BR755" i="1"/>
  <c r="BR756" i="1" a="1"/>
  <c r="BR756" i="1"/>
  <c r="BO764" i="1" a="1"/>
  <c r="BO764" i="1"/>
  <c r="BO766" i="1" a="1"/>
  <c r="BO766" i="1"/>
  <c r="BO774" i="1" a="1"/>
  <c r="BO774" i="1"/>
  <c r="BR775" i="1" a="1"/>
  <c r="BR775" i="1"/>
  <c r="BR776" i="1" a="1"/>
  <c r="BR776" i="1"/>
  <c r="BO784" i="1" a="1"/>
  <c r="BO784" i="1"/>
  <c r="BO788" i="1" a="1"/>
  <c r="BO788" i="1"/>
  <c r="BR789" i="1" a="1"/>
  <c r="BR789" i="1"/>
  <c r="BR793" i="1" a="1"/>
  <c r="BR793" i="1"/>
  <c r="BO794" i="1" a="1"/>
  <c r="BO794" i="1"/>
  <c r="BR795" i="1" a="1"/>
  <c r="BR795" i="1"/>
  <c r="BR802" i="1" a="1"/>
  <c r="BR802" i="1"/>
  <c r="BO805" i="1" a="1"/>
  <c r="BO805" i="1"/>
  <c r="BO811" i="1" a="1"/>
  <c r="BO811" i="1"/>
  <c r="BR817" i="1" a="1"/>
  <c r="BR817" i="1"/>
  <c r="BO823" i="1" a="1"/>
  <c r="BO823" i="1"/>
  <c r="BR824" i="1" a="1"/>
  <c r="BR824" i="1"/>
  <c r="BR831" i="1" a="1"/>
  <c r="BR831" i="1"/>
  <c r="BO833" i="1" a="1"/>
  <c r="BO833" i="1"/>
  <c r="BR834" i="1" a="1"/>
  <c r="BR834" i="1"/>
  <c r="BR835" i="1" a="1"/>
  <c r="BR835" i="1"/>
  <c r="BR836" i="1" a="1"/>
  <c r="BR836" i="1"/>
  <c r="BR841" i="1" a="1"/>
  <c r="BR841" i="1"/>
  <c r="BO843" i="1" a="1"/>
  <c r="BO843" i="1"/>
  <c r="BR845" i="1" a="1"/>
  <c r="BR845" i="1"/>
  <c r="BR852" i="1" a="1"/>
  <c r="BR852" i="1"/>
  <c r="BR853" i="1" a="1"/>
  <c r="BR853" i="1"/>
  <c r="BR859" i="1" a="1"/>
  <c r="BR859" i="1"/>
  <c r="BR864" i="1" a="1"/>
  <c r="BR864" i="1"/>
  <c r="BR865" i="1" a="1"/>
  <c r="BR865" i="1"/>
  <c r="BO889" i="1" a="1"/>
  <c r="BO889" i="1"/>
  <c r="BO898" i="1" a="1"/>
  <c r="BO898" i="1"/>
  <c r="BR922" i="1" a="1"/>
  <c r="BR922" i="1"/>
  <c r="BR936" i="1" a="1"/>
  <c r="BR936" i="1"/>
  <c r="BR948" i="1" a="1"/>
  <c r="BR948" i="1"/>
  <c r="BR957" i="1" a="1"/>
  <c r="BR957" i="1"/>
  <c r="BO963" i="1" a="1"/>
  <c r="BO963" i="1"/>
  <c r="BR967" i="1" a="1"/>
  <c r="BR967" i="1"/>
  <c r="BO979" i="1" a="1"/>
  <c r="BO979" i="1"/>
  <c r="BR787" i="1" a="1"/>
  <c r="BR787" i="1"/>
  <c r="BR792" i="1" a="1"/>
  <c r="BR792" i="1"/>
  <c r="BR800" i="1" a="1"/>
  <c r="BR800" i="1"/>
  <c r="BR803" i="1" a="1"/>
  <c r="BR803" i="1"/>
  <c r="BO808" i="1" a="1"/>
  <c r="BO808" i="1"/>
  <c r="BR809" i="1" a="1"/>
  <c r="BR809" i="1"/>
  <c r="BR810" i="1" a="1"/>
  <c r="BR810" i="1"/>
  <c r="BO821" i="1" a="1"/>
  <c r="BO821" i="1"/>
  <c r="BR822" i="1" a="1"/>
  <c r="BR822" i="1"/>
  <c r="BO824" i="1" a="1"/>
  <c r="BO824" i="1"/>
  <c r="BR829" i="1" a="1"/>
  <c r="BR829" i="1"/>
  <c r="BO831" i="1" a="1"/>
  <c r="BO831" i="1"/>
  <c r="BR832" i="1" a="1"/>
  <c r="BR832" i="1"/>
  <c r="BR839" i="1" a="1"/>
  <c r="BR839" i="1"/>
  <c r="BR842" i="1" a="1"/>
  <c r="BR842" i="1"/>
  <c r="BR850" i="1" a="1"/>
  <c r="BR850" i="1"/>
  <c r="BR860" i="1" a="1"/>
  <c r="BR860" i="1"/>
  <c r="BR861" i="1" a="1"/>
  <c r="BR861" i="1"/>
  <c r="BR879" i="1" a="1"/>
  <c r="BR879" i="1"/>
  <c r="BR894" i="1" a="1"/>
  <c r="BR894" i="1"/>
  <c r="BO900" i="1" a="1"/>
  <c r="BO900" i="1"/>
  <c r="BR916" i="1" a="1"/>
  <c r="BR916" i="1"/>
  <c r="BR924" i="1" a="1"/>
  <c r="BR924" i="1"/>
  <c r="BO930" i="1" a="1"/>
  <c r="BO930" i="1"/>
  <c r="BR938" i="1" a="1"/>
  <c r="BR938" i="1"/>
  <c r="BR939" i="1" a="1"/>
  <c r="BR939" i="1"/>
  <c r="BO945" i="1" a="1"/>
  <c r="BO945" i="1"/>
  <c r="BR950" i="1" a="1"/>
  <c r="BR950" i="1"/>
  <c r="BO896" i="1" a="1"/>
  <c r="BO896" i="1"/>
  <c r="BO913" i="1" a="1"/>
  <c r="BO913" i="1"/>
  <c r="BO954" i="1" a="1"/>
  <c r="BO954" i="1"/>
  <c r="BO959" i="1" a="1"/>
  <c r="BO959" i="1"/>
  <c r="BO957" i="1" a="1"/>
  <c r="BO957" i="1"/>
  <c r="BO967" i="1" a="1"/>
  <c r="BO967" i="1"/>
  <c r="BO972" i="1" a="1"/>
  <c r="BO972" i="1"/>
  <c r="BO860" i="1" a="1"/>
  <c r="BO860" i="1"/>
  <c r="BO915" i="1" a="1"/>
  <c r="BO915" i="1"/>
  <c r="BO929" i="1" a="1"/>
  <c r="BO929" i="1"/>
  <c r="BN139" i="1"/>
  <c r="BO139" i="1" a="1"/>
  <c r="BO139" i="1"/>
  <c r="BN508" i="1"/>
  <c r="BO508" i="1" a="1"/>
  <c r="BO508" i="1"/>
  <c r="BN526" i="1"/>
  <c r="BO526" i="1" a="1"/>
  <c r="BO526" i="1"/>
  <c r="BN525" i="1"/>
  <c r="BO525" i="1" a="1"/>
  <c r="BO525" i="1"/>
  <c r="BN523" i="1"/>
  <c r="BO523" i="1" a="1"/>
  <c r="BO523" i="1"/>
  <c r="BN835" i="1"/>
  <c r="BO835" i="1" a="1"/>
  <c r="BO835" i="1"/>
  <c r="BN740" i="1"/>
  <c r="BO740" i="1" a="1"/>
  <c r="BO740" i="1"/>
  <c r="BN501" i="1"/>
  <c r="BO501" i="1" a="1"/>
  <c r="BO501" i="1"/>
  <c r="BN493" i="1"/>
  <c r="BO493" i="1" a="1"/>
  <c r="BO493" i="1"/>
  <c r="BN549" i="1"/>
  <c r="BO549" i="1" a="1"/>
  <c r="BO549" i="1"/>
  <c r="BN537" i="1"/>
  <c r="BO537" i="1" a="1"/>
  <c r="BO537" i="1"/>
  <c r="BN536" i="1"/>
  <c r="BO536" i="1" a="1"/>
  <c r="BO536" i="1"/>
  <c r="BN527" i="1"/>
  <c r="BO527" i="1" a="1"/>
  <c r="BO527" i="1"/>
  <c r="BN413" i="1"/>
  <c r="BO413" i="1" a="1"/>
  <c r="BO413" i="1"/>
  <c r="BN706" i="1"/>
  <c r="BO706" i="1" a="1"/>
  <c r="BO706" i="1"/>
  <c r="BN230" i="1"/>
  <c r="BO230" i="1" a="1"/>
  <c r="BO230" i="1"/>
  <c r="BN169" i="1"/>
  <c r="BO169" i="1" a="1"/>
  <c r="BO169" i="1"/>
  <c r="BN107" i="1"/>
  <c r="BO107" i="1" a="1"/>
  <c r="BO107" i="1"/>
  <c r="BN892" i="1"/>
  <c r="BO892" i="1" a="1"/>
  <c r="BO892" i="1"/>
  <c r="BN754" i="1"/>
  <c r="BO754" i="1" a="1"/>
  <c r="BO754" i="1"/>
  <c r="BN750" i="1"/>
  <c r="BO750" i="1" a="1"/>
  <c r="BO750" i="1"/>
  <c r="BN697" i="1"/>
  <c r="BO697" i="1" a="1"/>
  <c r="BO697" i="1"/>
  <c r="BN643" i="1"/>
  <c r="BO643" i="1" a="1"/>
  <c r="BO643" i="1"/>
  <c r="BN642" i="1"/>
  <c r="BO642" i="1" a="1"/>
  <c r="BO642" i="1"/>
  <c r="BN515" i="1"/>
  <c r="BO515" i="1" a="1"/>
  <c r="BO515" i="1"/>
  <c r="BN502" i="1"/>
  <c r="BO502" i="1" a="1"/>
  <c r="BO502" i="1"/>
  <c r="BN491" i="1"/>
  <c r="BO491" i="1" a="1"/>
  <c r="BO491" i="1"/>
  <c r="BN490" i="1"/>
  <c r="BO490" i="1" a="1"/>
  <c r="BO490" i="1"/>
  <c r="BN483" i="1"/>
  <c r="BO483" i="1" a="1"/>
  <c r="BO483" i="1"/>
  <c r="BN477" i="1"/>
  <c r="BO477" i="1" a="1"/>
  <c r="BO477" i="1"/>
  <c r="BN679" i="1"/>
  <c r="BO679" i="1" a="1"/>
  <c r="BO679" i="1"/>
  <c r="BN513" i="1"/>
  <c r="BO513" i="1" a="1"/>
  <c r="BO513" i="1"/>
  <c r="BN844" i="1"/>
  <c r="BO844" i="1" a="1"/>
  <c r="BO844" i="1"/>
  <c r="BN751" i="1"/>
  <c r="BO751" i="1" a="1"/>
  <c r="BO751" i="1"/>
  <c r="BN756" i="1"/>
  <c r="BO756" i="1" a="1"/>
  <c r="BO756" i="1"/>
  <c r="BN412" i="1"/>
  <c r="BO412" i="1" a="1"/>
  <c r="BO412" i="1"/>
  <c r="BN408" i="1"/>
  <c r="BO408" i="1" a="1"/>
  <c r="BO408" i="1"/>
  <c r="BN406" i="1"/>
  <c r="BO406" i="1" a="1"/>
  <c r="BO406" i="1"/>
  <c r="BN813" i="1"/>
  <c r="BO813" i="1" a="1"/>
  <c r="BO813" i="1"/>
  <c r="BN39" i="1"/>
  <c r="BO39" i="1" a="1"/>
  <c r="BO39" i="1"/>
  <c r="BN444" i="1"/>
  <c r="BO444" i="1" a="1"/>
  <c r="BO444" i="1"/>
  <c r="BN771" i="1"/>
  <c r="BO771" i="1" a="1"/>
  <c r="BO771" i="1"/>
  <c r="BN725" i="1"/>
  <c r="BO725" i="1" a="1"/>
  <c r="BO725" i="1"/>
  <c r="BN724" i="1"/>
  <c r="BO724" i="1" a="1"/>
  <c r="BO724" i="1"/>
  <c r="BN712" i="1"/>
  <c r="BO712" i="1" a="1"/>
  <c r="BO712" i="1"/>
  <c r="BN682" i="1"/>
  <c r="BO682" i="1" a="1"/>
  <c r="BO682" i="1"/>
  <c r="BN201" i="1"/>
  <c r="BO201" i="1" a="1"/>
  <c r="BO201" i="1"/>
  <c r="BN92" i="1"/>
  <c r="BO92" i="1" a="1"/>
  <c r="BO92" i="1"/>
  <c r="BN150" i="1"/>
  <c r="BO150" i="1" a="1"/>
  <c r="BO150" i="1"/>
  <c r="BN426" i="1"/>
  <c r="BO426" i="1" a="1"/>
  <c r="BO426" i="1"/>
  <c r="BN186" i="1"/>
  <c r="BO186" i="1" a="1"/>
  <c r="BO186" i="1"/>
  <c r="BN177" i="1"/>
  <c r="BO177" i="1" a="1"/>
  <c r="BO177" i="1"/>
  <c r="BN181" i="1"/>
  <c r="BO181" i="1" a="1"/>
  <c r="BO181" i="1"/>
  <c r="BN183" i="1"/>
  <c r="BO183" i="1" a="1"/>
  <c r="BO183" i="1"/>
  <c r="BN173" i="1"/>
  <c r="BO173" i="1" a="1"/>
  <c r="BO173" i="1"/>
  <c r="BN730" i="1"/>
  <c r="BO730" i="1" a="1"/>
  <c r="BO730" i="1"/>
  <c r="BN727" i="1"/>
  <c r="BO727" i="1" a="1"/>
  <c r="BO727" i="1"/>
  <c r="BN385" i="1"/>
  <c r="BO385" i="1" a="1"/>
  <c r="BO385" i="1"/>
  <c r="BN255" i="1"/>
  <c r="BO255" i="1" a="1"/>
  <c r="BO255" i="1"/>
  <c r="BN207" i="1"/>
  <c r="BO207" i="1" a="1"/>
  <c r="BO207" i="1"/>
  <c r="BN23" i="1"/>
  <c r="BO23" i="1" a="1"/>
  <c r="BO23" i="1"/>
  <c r="BN19" i="1"/>
  <c r="BO19" i="1" a="1"/>
  <c r="BO19" i="1"/>
  <c r="BN873" i="1"/>
  <c r="BO873" i="1" a="1"/>
  <c r="BO873" i="1"/>
  <c r="BN464" i="1"/>
  <c r="BO464" i="1" a="1"/>
  <c r="BO464" i="1"/>
  <c r="BN456" i="1"/>
  <c r="BO456" i="1" a="1"/>
  <c r="BO456" i="1"/>
  <c r="BN445" i="1"/>
  <c r="BO445" i="1" a="1"/>
  <c r="BO445" i="1"/>
  <c r="BN436" i="1"/>
  <c r="BO436" i="1" a="1"/>
  <c r="BO436" i="1"/>
  <c r="BN422" i="1"/>
  <c r="BO422" i="1" a="1"/>
  <c r="BO422" i="1"/>
  <c r="BN452" i="1"/>
  <c r="BO452" i="1" a="1"/>
  <c r="BO452" i="1"/>
  <c r="BN459" i="1"/>
  <c r="BO459" i="1" a="1"/>
  <c r="BO459" i="1"/>
  <c r="BN96" i="1"/>
  <c r="BO96" i="1" a="1"/>
  <c r="BO96" i="1"/>
  <c r="BN77" i="1"/>
  <c r="BO77" i="1" a="1"/>
  <c r="BO77" i="1"/>
  <c r="BN76" i="1"/>
  <c r="BO76" i="1" a="1"/>
  <c r="BO76" i="1"/>
  <c r="BN243" i="1"/>
  <c r="BO243" i="1" a="1"/>
  <c r="BO243" i="1"/>
  <c r="BN828" i="1"/>
  <c r="BO828" i="1" a="1"/>
  <c r="BO828" i="1"/>
  <c r="BN776" i="1"/>
  <c r="BO776" i="1" a="1"/>
  <c r="BO776" i="1"/>
  <c r="BN773" i="1"/>
  <c r="BO773" i="1" a="1"/>
  <c r="BO773" i="1"/>
  <c r="BN729" i="1"/>
  <c r="BO729" i="1" a="1"/>
  <c r="BO729" i="1"/>
  <c r="BN728" i="1"/>
  <c r="BO728" i="1" a="1"/>
  <c r="BO728" i="1"/>
  <c r="BN686" i="1"/>
  <c r="BO686" i="1" a="1"/>
  <c r="BO686" i="1"/>
  <c r="BN870" i="1"/>
  <c r="BO870" i="1" a="1"/>
  <c r="BO870" i="1"/>
  <c r="BN469" i="1"/>
  <c r="BO469" i="1" a="1"/>
  <c r="BO469" i="1"/>
  <c r="BN463" i="1"/>
  <c r="BO463" i="1" a="1"/>
  <c r="BO463" i="1"/>
  <c r="BN460" i="1"/>
  <c r="BO460" i="1" a="1"/>
  <c r="BO460" i="1"/>
  <c r="BN450" i="1"/>
  <c r="BO450" i="1" a="1"/>
  <c r="BO450" i="1"/>
  <c r="BN429" i="1"/>
  <c r="BO429" i="1" a="1"/>
  <c r="BO429" i="1"/>
  <c r="BN428" i="1"/>
  <c r="BO428" i="1" a="1"/>
  <c r="BO428" i="1"/>
  <c r="BN415" i="1"/>
  <c r="BO415" i="1" a="1"/>
  <c r="BO415" i="1"/>
  <c r="BN166" i="1"/>
  <c r="BO166" i="1" a="1"/>
  <c r="BO166" i="1"/>
  <c r="BN140" i="1"/>
  <c r="BO140" i="1" a="1"/>
  <c r="BO140" i="1"/>
  <c r="BN233" i="1"/>
  <c r="BO233" i="1" a="1"/>
  <c r="BO233" i="1"/>
  <c r="BN568" i="1"/>
  <c r="BO568" i="1" a="1"/>
  <c r="BO568" i="1"/>
  <c r="BN688" i="1"/>
  <c r="BO688" i="1" a="1"/>
  <c r="BO688" i="1"/>
  <c r="BN680" i="1"/>
  <c r="BO680" i="1" a="1"/>
  <c r="BO680" i="1"/>
  <c r="BN678" i="1"/>
  <c r="BO678" i="1" a="1"/>
  <c r="BO678" i="1"/>
  <c r="BN31" i="1"/>
  <c r="BO31" i="1" a="1"/>
  <c r="BO31" i="1"/>
  <c r="BN890" i="1"/>
  <c r="BO890" i="1" a="1"/>
  <c r="BO890" i="1"/>
  <c r="BN888" i="1"/>
  <c r="BO888" i="1" a="1"/>
  <c r="BO888" i="1"/>
  <c r="BN885" i="1"/>
  <c r="BO885" i="1" a="1"/>
  <c r="BO885" i="1"/>
  <c r="BN884" i="1"/>
  <c r="BO884" i="1" a="1"/>
  <c r="BO884" i="1"/>
  <c r="BN876" i="1"/>
  <c r="BO876" i="1" a="1"/>
  <c r="BO876" i="1"/>
  <c r="BN875" i="1"/>
  <c r="BO875" i="1" a="1"/>
  <c r="BO875" i="1"/>
  <c r="BN715" i="1"/>
  <c r="BO715" i="1" a="1"/>
  <c r="BO715" i="1"/>
  <c r="BN723" i="1"/>
  <c r="BO723" i="1" a="1"/>
  <c r="BO723" i="1"/>
  <c r="BN393" i="1"/>
  <c r="BO393" i="1" a="1"/>
  <c r="BO393" i="1"/>
  <c r="BN781" i="1"/>
  <c r="BO781" i="1" a="1"/>
  <c r="BO781" i="1"/>
  <c r="BN80" i="1"/>
  <c r="BO80" i="1" a="1"/>
  <c r="BO80" i="1"/>
  <c r="BN242" i="1"/>
  <c r="BO242" i="1" a="1"/>
  <c r="BO242" i="1"/>
  <c r="BN627" i="1"/>
  <c r="BO627" i="1" a="1"/>
  <c r="BO627" i="1"/>
  <c r="BN636" i="1"/>
  <c r="BO636" i="1" a="1"/>
  <c r="BO636" i="1"/>
  <c r="BN856" i="1"/>
  <c r="BO856" i="1" a="1"/>
  <c r="BO856" i="1"/>
  <c r="BN33" i="1"/>
  <c r="BO33" i="1" a="1"/>
  <c r="BO33" i="1"/>
  <c r="BN30" i="1"/>
  <c r="BO30" i="1" a="1"/>
  <c r="BO30" i="1"/>
  <c r="BN402" i="1"/>
  <c r="BO402" i="1" a="1"/>
  <c r="BO402" i="1"/>
  <c r="BN396" i="1"/>
  <c r="BO396" i="1" a="1"/>
  <c r="BO396" i="1"/>
  <c r="BN423" i="1"/>
  <c r="BO423" i="1" a="1"/>
  <c r="BO423" i="1"/>
  <c r="BN147" i="1"/>
  <c r="BO147" i="1" a="1"/>
  <c r="BO147" i="1"/>
  <c r="BN102" i="1"/>
  <c r="BO102" i="1" a="1"/>
  <c r="BO102" i="1"/>
  <c r="BN252" i="1"/>
  <c r="BO252" i="1" a="1"/>
  <c r="BO252" i="1"/>
  <c r="BN256" i="1"/>
  <c r="BO256" i="1" a="1"/>
  <c r="BO256" i="1"/>
  <c r="BN206" i="1"/>
  <c r="BO206" i="1" a="1"/>
  <c r="BO206" i="1"/>
  <c r="BN560" i="1"/>
  <c r="BO560" i="1" a="1"/>
  <c r="BO560" i="1"/>
  <c r="BN625" i="1"/>
  <c r="BO625" i="1" a="1"/>
  <c r="BO625" i="1"/>
  <c r="BN618" i="1"/>
  <c r="BO618" i="1" a="1"/>
  <c r="BO618" i="1"/>
  <c r="BN908" i="1"/>
  <c r="BO908" i="1" a="1"/>
  <c r="BO908" i="1"/>
  <c r="BN786" i="1"/>
  <c r="BO786" i="1" a="1"/>
  <c r="BO786" i="1"/>
  <c r="BN512" i="1"/>
  <c r="BO512" i="1" a="1"/>
  <c r="BO512" i="1"/>
  <c r="BN485" i="1"/>
  <c r="BO485" i="1" a="1"/>
  <c r="BO485" i="1"/>
  <c r="BN6" i="1"/>
  <c r="BO6" i="1" a="1"/>
  <c r="BO6" i="1"/>
  <c r="BN40" i="1"/>
  <c r="BO40" i="1" a="1"/>
  <c r="BO40" i="1"/>
  <c r="BN28" i="1"/>
  <c r="BO28" i="1" a="1"/>
  <c r="BO28" i="1"/>
  <c r="T986" i="1"/>
  <c r="BN7" i="1"/>
  <c r="BO7" i="1" a="1"/>
  <c r="BO7" i="1"/>
  <c r="BB59" i="1"/>
  <c r="AD29" i="1"/>
  <c r="AD135" i="1"/>
  <c r="I986" i="1"/>
  <c r="F51" i="1"/>
  <c r="O51" i="1"/>
  <c r="AP10" i="1"/>
  <c r="BB81" i="1"/>
  <c r="F7" i="1"/>
  <c r="O7" i="1"/>
  <c r="AD31" i="1"/>
  <c r="AE986" i="1"/>
  <c r="F17" i="1"/>
  <c r="O17" i="1"/>
  <c r="AP55" i="1"/>
  <c r="R108" i="1"/>
  <c r="AD167" i="1"/>
  <c r="F23" i="1"/>
  <c r="O23" i="1"/>
  <c r="AD153" i="1"/>
  <c r="AP16" i="1"/>
  <c r="R14" i="1"/>
  <c r="BB23" i="1"/>
  <c r="R42" i="1"/>
  <c r="AP67" i="1"/>
  <c r="F95" i="1"/>
  <c r="O95" i="1"/>
  <c r="AP120" i="1"/>
  <c r="AD151" i="1"/>
  <c r="AD184" i="1"/>
  <c r="AD33" i="1"/>
  <c r="F98" i="1"/>
  <c r="O98" i="1"/>
  <c r="R326" i="1"/>
  <c r="F5" i="1"/>
  <c r="O5" i="1"/>
  <c r="AP5" i="1"/>
  <c r="AP12" i="1"/>
  <c r="R15" i="1"/>
  <c r="BB21" i="1"/>
  <c r="AD26" i="1"/>
  <c r="BB36" i="1"/>
  <c r="BB47" i="1"/>
  <c r="F61" i="1"/>
  <c r="O61" i="1"/>
  <c r="R76" i="1"/>
  <c r="AP88" i="1"/>
  <c r="AP101" i="1"/>
  <c r="BB113" i="1"/>
  <c r="AD127" i="1"/>
  <c r="AD143" i="1"/>
  <c r="AD159" i="1"/>
  <c r="AD176" i="1"/>
  <c r="AP6" i="1"/>
  <c r="AP11" i="1"/>
  <c r="R18" i="1"/>
  <c r="AP27" i="1"/>
  <c r="AD46" i="1"/>
  <c r="F74" i="1"/>
  <c r="O74" i="1"/>
  <c r="R123" i="1"/>
  <c r="R187" i="1"/>
  <c r="AP114" i="1"/>
  <c r="AH986" i="1"/>
  <c r="AP126" i="1"/>
  <c r="F26" i="1"/>
  <c r="O26" i="1"/>
  <c r="AD241" i="1"/>
  <c r="AD104" i="1"/>
  <c r="R11" i="1"/>
  <c r="R144" i="1"/>
  <c r="F89" i="1"/>
  <c r="O89" i="1"/>
  <c r="AD41" i="1"/>
  <c r="F25" i="1"/>
  <c r="O25" i="1"/>
  <c r="F12" i="1"/>
  <c r="O12" i="1"/>
  <c r="AD178" i="1"/>
  <c r="AD161" i="1"/>
  <c r="AD145" i="1"/>
  <c r="AD129" i="1"/>
  <c r="BB116" i="1"/>
  <c r="AP103" i="1"/>
  <c r="R91" i="1"/>
  <c r="R78" i="1"/>
  <c r="R68" i="1"/>
  <c r="AP61" i="1"/>
  <c r="F57" i="1"/>
  <c r="O57" i="1"/>
  <c r="R50" i="1"/>
  <c r="R44" i="1"/>
  <c r="BB34" i="1"/>
  <c r="F32" i="1"/>
  <c r="O32" i="1"/>
  <c r="AP28" i="1"/>
  <c r="BB25" i="1"/>
  <c r="F21" i="1"/>
  <c r="O21" i="1"/>
  <c r="R19" i="1"/>
  <c r="R17" i="1"/>
  <c r="AP15" i="1"/>
  <c r="AP14" i="1"/>
  <c r="BB12" i="1"/>
  <c r="BB10" i="1"/>
  <c r="F8" i="1"/>
  <c r="O8" i="1"/>
  <c r="BB5" i="1"/>
  <c r="BB7" i="1"/>
  <c r="AD194" i="1"/>
  <c r="AD186" i="1"/>
  <c r="AP182" i="1"/>
  <c r="AD179" i="1"/>
  <c r="AP173" i="1"/>
  <c r="AD170" i="1"/>
  <c r="AP165" i="1"/>
  <c r="AD162" i="1"/>
  <c r="AP157" i="1"/>
  <c r="AD154" i="1"/>
  <c r="AP149" i="1"/>
  <c r="AD146" i="1"/>
  <c r="AP141" i="1"/>
  <c r="AD138" i="1"/>
  <c r="AP133" i="1"/>
  <c r="AD130" i="1"/>
  <c r="AP125" i="1"/>
  <c r="BB121" i="1"/>
  <c r="F119" i="1"/>
  <c r="O119" i="1"/>
  <c r="R116" i="1"/>
  <c r="AP112" i="1"/>
  <c r="AP109" i="1"/>
  <c r="BB105" i="1"/>
  <c r="F103" i="1"/>
  <c r="O103" i="1"/>
  <c r="R100" i="1"/>
  <c r="AP96" i="1"/>
  <c r="AP93" i="1"/>
  <c r="BB89" i="1"/>
  <c r="F87" i="1"/>
  <c r="O87" i="1"/>
  <c r="R84" i="1"/>
  <c r="AP80" i="1"/>
  <c r="AP77" i="1"/>
  <c r="BB73" i="1"/>
  <c r="F70" i="1"/>
  <c r="O70" i="1"/>
  <c r="R66" i="1"/>
  <c r="AP62" i="1"/>
  <c r="BB56" i="1"/>
  <c r="F54" i="1"/>
  <c r="O54" i="1"/>
  <c r="R51" i="1"/>
  <c r="R46" i="1"/>
  <c r="AP43" i="1"/>
  <c r="AD40" i="1"/>
  <c r="F38" i="1"/>
  <c r="O38" i="1"/>
  <c r="AP35" i="1"/>
  <c r="BB30" i="1"/>
  <c r="R28" i="1"/>
  <c r="AP25" i="1"/>
  <c r="R6" i="1"/>
  <c r="AP17" i="1"/>
  <c r="AD9" i="1"/>
  <c r="AD11" i="1"/>
  <c r="AD13" i="1"/>
  <c r="R16" i="1"/>
  <c r="F19" i="1"/>
  <c r="O19" i="1"/>
  <c r="AP22" i="1"/>
  <c r="AP24" i="1"/>
  <c r="AD27" i="1"/>
  <c r="R34" i="1"/>
  <c r="AP39" i="1"/>
  <c r="F45" i="1"/>
  <c r="O45" i="1"/>
  <c r="AP52" i="1"/>
  <c r="R59" i="1"/>
  <c r="BB63" i="1"/>
  <c r="AP71" i="1"/>
  <c r="F79" i="1"/>
  <c r="O79" i="1"/>
  <c r="AP85" i="1"/>
  <c r="R92" i="1"/>
  <c r="BB97" i="1"/>
  <c r="AP104" i="1"/>
  <c r="F111" i="1"/>
  <c r="O111" i="1"/>
  <c r="AP117" i="1"/>
  <c r="R124" i="1"/>
  <c r="R132" i="1"/>
  <c r="F132" i="1"/>
  <c r="O132" i="1"/>
  <c r="AA132" i="1"/>
  <c r="R140" i="1"/>
  <c r="R148" i="1"/>
  <c r="R156" i="1"/>
  <c r="R164" i="1"/>
  <c r="R172" i="1"/>
  <c r="R181" i="1"/>
  <c r="R189" i="1"/>
  <c r="BB8" i="1"/>
  <c r="BB9" i="1"/>
  <c r="AP13" i="1"/>
  <c r="AD16" i="1"/>
  <c r="R20" i="1"/>
  <c r="AP26" i="1"/>
  <c r="AP29" i="1"/>
  <c r="BB39" i="1"/>
  <c r="R53" i="1"/>
  <c r="R65" i="1"/>
  <c r="BB84" i="1"/>
  <c r="R110" i="1"/>
  <c r="AD137" i="1"/>
  <c r="AD169" i="1"/>
  <c r="AP19" i="1"/>
  <c r="BB61" i="1"/>
  <c r="R177" i="1"/>
  <c r="AD165" i="1"/>
  <c r="AP49" i="1"/>
  <c r="AD75" i="1"/>
  <c r="AD102" i="1"/>
  <c r="R128" i="1"/>
  <c r="R160" i="1"/>
  <c r="AD8" i="1"/>
  <c r="R27" i="1"/>
  <c r="AD77" i="1"/>
  <c r="R130" i="1"/>
  <c r="AP208" i="1"/>
  <c r="R38" i="1"/>
  <c r="AD42" i="1"/>
  <c r="AP45" i="1"/>
  <c r="F49" i="1"/>
  <c r="O49" i="1"/>
  <c r="BB51" i="1"/>
  <c r="AP54" i="1"/>
  <c r="R58" i="1"/>
  <c r="R60" i="1"/>
  <c r="F64" i="1"/>
  <c r="O64" i="1"/>
  <c r="BB66" i="1"/>
  <c r="AP70" i="1"/>
  <c r="R75" i="1"/>
  <c r="F82" i="1"/>
  <c r="O82" i="1"/>
  <c r="AP87" i="1"/>
  <c r="R94" i="1"/>
  <c r="BB100" i="1"/>
  <c r="R107" i="1"/>
  <c r="F114" i="1"/>
  <c r="O114" i="1"/>
  <c r="AP119" i="1"/>
  <c r="R126" i="1"/>
  <c r="R134" i="1"/>
  <c r="R142" i="1"/>
  <c r="R150" i="1"/>
  <c r="R158" i="1"/>
  <c r="R166" i="1"/>
  <c r="R174" i="1"/>
  <c r="R183" i="1"/>
  <c r="F9" i="1"/>
  <c r="O9" i="1"/>
  <c r="R21" i="1"/>
  <c r="BB28" i="1"/>
  <c r="AP33" i="1"/>
  <c r="BB45" i="1"/>
  <c r="F56" i="1"/>
  <c r="O56" i="1"/>
  <c r="AD68" i="1"/>
  <c r="AP82" i="1"/>
  <c r="BB95" i="1"/>
  <c r="AD107" i="1"/>
  <c r="F121" i="1"/>
  <c r="O121" i="1"/>
  <c r="R136" i="1"/>
  <c r="R152" i="1"/>
  <c r="R168" i="1"/>
  <c r="R185" i="1"/>
  <c r="F36" i="1"/>
  <c r="O36" i="1"/>
  <c r="AP20" i="1"/>
  <c r="AP37" i="1"/>
  <c r="R63" i="1"/>
  <c r="BB90" i="1"/>
  <c r="F116" i="1"/>
  <c r="O116" i="1"/>
  <c r="AA116" i="1"/>
  <c r="R146" i="1"/>
  <c r="AP190" i="1"/>
  <c r="AD224" i="1"/>
  <c r="AP266" i="1"/>
  <c r="F169" i="1"/>
  <c r="O169" i="1"/>
  <c r="AP75" i="1"/>
  <c r="F321" i="1"/>
  <c r="O321" i="1"/>
  <c r="AD249" i="1"/>
  <c r="AD232" i="1"/>
  <c r="AD216" i="1"/>
  <c r="AP199" i="1"/>
  <c r="AD182" i="1"/>
  <c r="R154" i="1"/>
  <c r="R138" i="1"/>
  <c r="BB122" i="1"/>
  <c r="AD109" i="1"/>
  <c r="R97" i="1"/>
  <c r="F84" i="1"/>
  <c r="O84" i="1"/>
  <c r="AA84" i="1"/>
  <c r="AD71" i="1"/>
  <c r="BB57" i="1"/>
  <c r="AD43" i="1"/>
  <c r="BB32" i="1"/>
  <c r="AD24" i="1"/>
  <c r="F15" i="1"/>
  <c r="O15" i="1"/>
  <c r="AP7" i="1"/>
  <c r="R23" i="1"/>
  <c r="R193" i="1"/>
  <c r="AD180" i="1"/>
  <c r="AD171" i="1"/>
  <c r="AD163" i="1"/>
  <c r="AD155" i="1"/>
  <c r="AD147" i="1"/>
  <c r="AD139" i="1"/>
  <c r="AD131" i="1"/>
  <c r="AD123" i="1"/>
  <c r="AD118" i="1"/>
  <c r="BB111" i="1"/>
  <c r="F105" i="1"/>
  <c r="O105" i="1"/>
  <c r="AP98" i="1"/>
  <c r="AD91" i="1"/>
  <c r="AD86" i="1"/>
  <c r="BB79" i="1"/>
  <c r="F73" i="1"/>
  <c r="O73" i="1"/>
  <c r="AP64" i="1"/>
  <c r="AD58" i="1"/>
  <c r="AD53" i="1"/>
  <c r="F47" i="1"/>
  <c r="O47" i="1"/>
  <c r="AD44" i="1"/>
  <c r="BB38" i="1"/>
  <c r="R32" i="1"/>
  <c r="F30" i="1"/>
  <c r="O30" i="1"/>
  <c r="R22" i="1"/>
  <c r="AD20" i="1"/>
  <c r="BB15" i="1"/>
  <c r="BB14" i="1"/>
  <c r="F10" i="1"/>
  <c r="O10" i="1"/>
  <c r="AD192" i="1"/>
  <c r="AP184" i="1"/>
  <c r="AD181" i="1"/>
  <c r="AP176" i="1"/>
  <c r="AD172" i="1"/>
  <c r="AP167" i="1"/>
  <c r="AD164" i="1"/>
  <c r="AP159" i="1"/>
  <c r="AD156" i="1"/>
  <c r="AP151" i="1"/>
  <c r="AD148" i="1"/>
  <c r="AP143" i="1"/>
  <c r="AD140" i="1"/>
  <c r="AP135" i="1"/>
  <c r="AD132" i="1"/>
  <c r="AP127" i="1"/>
  <c r="BB124" i="1"/>
  <c r="F122" i="1"/>
  <c r="O122" i="1"/>
  <c r="R118" i="1"/>
  <c r="R115" i="1"/>
  <c r="AP111" i="1"/>
  <c r="BB108" i="1"/>
  <c r="F106" i="1"/>
  <c r="O106" i="1"/>
  <c r="R102" i="1"/>
  <c r="R99" i="1"/>
  <c r="AP95" i="1"/>
  <c r="BB92" i="1"/>
  <c r="F90" i="1"/>
  <c r="O90" i="1"/>
  <c r="R86" i="1"/>
  <c r="R83" i="1"/>
  <c r="AP79" i="1"/>
  <c r="BB76" i="1"/>
  <c r="BB217" i="1"/>
  <c r="BB147" i="1"/>
  <c r="F101" i="1"/>
  <c r="O101" i="1"/>
  <c r="AP48" i="1"/>
  <c r="F11" i="1"/>
  <c r="O11" i="1"/>
  <c r="AD287" i="1"/>
  <c r="AD257" i="1"/>
  <c r="AD245" i="1"/>
  <c r="AD236" i="1"/>
  <c r="AD228" i="1"/>
  <c r="AD220" i="1"/>
  <c r="AD212" i="1"/>
  <c r="AP204" i="1"/>
  <c r="AP194" i="1"/>
  <c r="AP186" i="1"/>
  <c r="AD173" i="1"/>
  <c r="AD157" i="1"/>
  <c r="AD149" i="1"/>
  <c r="AD141" i="1"/>
  <c r="AD133" i="1"/>
  <c r="AD125" i="1"/>
  <c r="AD120" i="1"/>
  <c r="R113" i="1"/>
  <c r="BB106" i="1"/>
  <c r="F100" i="1"/>
  <c r="O100" i="1"/>
  <c r="AD93" i="1"/>
  <c r="AD88" i="1"/>
  <c r="R81" i="1"/>
  <c r="BB74" i="1"/>
  <c r="F66" i="1"/>
  <c r="O66" i="1"/>
  <c r="AD55" i="1"/>
  <c r="AD48" i="1"/>
  <c r="R40" i="1"/>
  <c r="AD35" i="1"/>
  <c r="R30" i="1"/>
  <c r="R26" i="1"/>
  <c r="AD22" i="1"/>
  <c r="AP18" i="1"/>
  <c r="R13" i="1"/>
  <c r="R9" i="1"/>
  <c r="AD5" i="1"/>
  <c r="R24" i="1"/>
  <c r="AD18" i="1"/>
  <c r="R7" i="1"/>
  <c r="AD190" i="1"/>
  <c r="AD183" i="1"/>
  <c r="AP178" i="1"/>
  <c r="AD174" i="1"/>
  <c r="AP169" i="1"/>
  <c r="AD166" i="1"/>
  <c r="AP161" i="1"/>
  <c r="AD158" i="1"/>
  <c r="AP153" i="1"/>
  <c r="AD150" i="1"/>
  <c r="AP145" i="1"/>
  <c r="AD142" i="1"/>
  <c r="AP137" i="1"/>
  <c r="AD134" i="1"/>
  <c r="AP129" i="1"/>
  <c r="AD126" i="1"/>
  <c r="AP122" i="1"/>
  <c r="BB119" i="1"/>
  <c r="AD115" i="1"/>
  <c r="F113" i="1"/>
  <c r="O113" i="1"/>
  <c r="AD110" i="1"/>
  <c r="AP106" i="1"/>
  <c r="BB103" i="1"/>
  <c r="AD99" i="1"/>
  <c r="F97" i="1"/>
  <c r="O97" i="1"/>
  <c r="AD94" i="1"/>
  <c r="AP90" i="1"/>
  <c r="BB87" i="1"/>
  <c r="AD83" i="1"/>
  <c r="F81" i="1"/>
  <c r="O81" i="1"/>
  <c r="AD78" i="1"/>
  <c r="AP74" i="1"/>
  <c r="BB70" i="1"/>
  <c r="AD65" i="1"/>
  <c r="F63" i="1"/>
  <c r="O63" i="1"/>
  <c r="AD60" i="1"/>
  <c r="AP57" i="1"/>
  <c r="BB54" i="1"/>
  <c r="AD50" i="1"/>
  <c r="R48" i="1"/>
  <c r="F189" i="1"/>
  <c r="O189" i="1"/>
  <c r="BB250" i="1"/>
  <c r="AP191" i="1"/>
  <c r="AP158" i="1"/>
  <c r="F137" i="1"/>
  <c r="O137" i="1"/>
  <c r="AD113" i="1"/>
  <c r="F88" i="1"/>
  <c r="O88" i="1"/>
  <c r="AP60" i="1"/>
  <c r="BB35" i="1"/>
  <c r="AD15" i="1"/>
  <c r="BB336" i="1"/>
  <c r="R304" i="1"/>
  <c r="AP271" i="1"/>
  <c r="AD262" i="1"/>
  <c r="AD253" i="1"/>
  <c r="AD247" i="1"/>
  <c r="AD243" i="1"/>
  <c r="AD239" i="1"/>
  <c r="AD234" i="1"/>
  <c r="AD230" i="1"/>
  <c r="AD226" i="1"/>
  <c r="AD222" i="1"/>
  <c r="AD218" i="1"/>
  <c r="AD214" i="1"/>
  <c r="AD210" i="1"/>
  <c r="AP206" i="1"/>
  <c r="AP201" i="1"/>
  <c r="AP197" i="1"/>
  <c r="AP192" i="1"/>
  <c r="AP188" i="1"/>
  <c r="R191" i="1"/>
  <c r="R179" i="1"/>
  <c r="R170" i="1"/>
  <c r="R162" i="1"/>
  <c r="AP155" i="1"/>
  <c r="AD152" i="1"/>
  <c r="AP147" i="1"/>
  <c r="AD144" i="1"/>
  <c r="AP139" i="1"/>
  <c r="AD136" i="1"/>
  <c r="AP131" i="1"/>
  <c r="AD128" i="1"/>
  <c r="F124" i="1"/>
  <c r="O124" i="1"/>
  <c r="R121" i="1"/>
  <c r="AD117" i="1"/>
  <c r="BB114" i="1"/>
  <c r="AD112" i="1"/>
  <c r="F108" i="1"/>
  <c r="O108" i="1"/>
  <c r="R105" i="1"/>
  <c r="AD101" i="1"/>
  <c r="BB98" i="1"/>
  <c r="AD96" i="1"/>
  <c r="F92" i="1"/>
  <c r="O92" i="1"/>
  <c r="R89" i="1"/>
  <c r="AA89" i="1"/>
  <c r="AD85" i="1"/>
  <c r="BB82" i="1"/>
  <c r="AD80" i="1"/>
  <c r="F76" i="1"/>
  <c r="O76" i="1"/>
  <c r="R73" i="1"/>
  <c r="AD67" i="1"/>
  <c r="BB64" i="1"/>
  <c r="AD62" i="1"/>
  <c r="F59" i="1"/>
  <c r="O59" i="1"/>
  <c r="R56" i="1"/>
  <c r="AD52" i="1"/>
  <c r="BB49" i="1"/>
  <c r="AP47" i="1"/>
  <c r="AP41" i="1"/>
  <c r="F39" i="1"/>
  <c r="O39" i="1"/>
  <c r="R36" i="1"/>
  <c r="F34" i="1"/>
  <c r="O34" i="1"/>
  <c r="AP31" i="1"/>
  <c r="F28" i="1"/>
  <c r="O28" i="1"/>
  <c r="R25" i="1"/>
  <c r="AP23" i="1"/>
  <c r="AP21" i="1"/>
  <c r="BB19" i="1"/>
  <c r="BB17" i="1"/>
  <c r="F14" i="1"/>
  <c r="O14" i="1"/>
  <c r="R12" i="1"/>
  <c r="R10" i="1"/>
  <c r="AP8" i="1"/>
  <c r="AD6" i="1"/>
  <c r="AD37" i="1"/>
  <c r="BB60" i="1"/>
  <c r="BB20" i="1"/>
  <c r="AD30" i="1"/>
  <c r="BB41" i="1"/>
  <c r="F55" i="1"/>
  <c r="O55" i="1"/>
  <c r="F67" i="1"/>
  <c r="O67" i="1"/>
  <c r="AD81" i="1"/>
  <c r="AP94" i="1"/>
  <c r="AP107" i="1"/>
  <c r="F120" i="1"/>
  <c r="O120" i="1"/>
  <c r="BB131" i="1"/>
  <c r="AP142" i="1"/>
  <c r="F153" i="1"/>
  <c r="O153" i="1"/>
  <c r="BB163" i="1"/>
  <c r="BB180" i="1"/>
  <c r="F204" i="1"/>
  <c r="O204" i="1"/>
  <c r="BB233" i="1"/>
  <c r="AD267" i="1"/>
  <c r="AD114" i="1"/>
  <c r="R360" i="1"/>
  <c r="AP293" i="1"/>
  <c r="BB259" i="1"/>
  <c r="BB242" i="1"/>
  <c r="BB225" i="1"/>
  <c r="BB209" i="1"/>
  <c r="BB197" i="1"/>
  <c r="F186" i="1"/>
  <c r="O186" i="1"/>
  <c r="AP174" i="1"/>
  <c r="AP166" i="1"/>
  <c r="F161" i="1"/>
  <c r="O161" i="1"/>
  <c r="BB155" i="1"/>
  <c r="AP150" i="1"/>
  <c r="F145" i="1"/>
  <c r="O145" i="1"/>
  <c r="BB139" i="1"/>
  <c r="AP134" i="1"/>
  <c r="F129" i="1"/>
  <c r="O129" i="1"/>
  <c r="AP123" i="1"/>
  <c r="F117" i="1"/>
  <c r="O117" i="1"/>
  <c r="AP110" i="1"/>
  <c r="F104" i="1"/>
  <c r="O104" i="1"/>
  <c r="AD97" i="1"/>
  <c r="AP91" i="1"/>
  <c r="F85" i="1"/>
  <c r="O85" i="1"/>
  <c r="AP78" i="1"/>
  <c r="F71" i="1"/>
  <c r="O71" i="1"/>
  <c r="AD63" i="1"/>
  <c r="AP58" i="1"/>
  <c r="F52" i="1"/>
  <c r="O52" i="1"/>
  <c r="AP44" i="1"/>
  <c r="AD38" i="1"/>
  <c r="F33" i="1"/>
  <c r="O33" i="1"/>
  <c r="BB27" i="1"/>
  <c r="AD23" i="1"/>
  <c r="F18" i="1"/>
  <c r="O18" i="1"/>
  <c r="BB13" i="1"/>
  <c r="AD7" i="1"/>
  <c r="AD328" i="1"/>
  <c r="AP313" i="1"/>
  <c r="BB296" i="1"/>
  <c r="F279" i="1"/>
  <c r="O279" i="1"/>
  <c r="AP268" i="1"/>
  <c r="AD264" i="1"/>
  <c r="AD260" i="1"/>
  <c r="AD255" i="1"/>
  <c r="AD251" i="1"/>
  <c r="AD248" i="1"/>
  <c r="AD246" i="1"/>
  <c r="AD244" i="1"/>
  <c r="AD242" i="1"/>
  <c r="AD240" i="1"/>
  <c r="AD237" i="1"/>
  <c r="AD235" i="1"/>
  <c r="AD233" i="1"/>
  <c r="AD231" i="1"/>
  <c r="AD229" i="1"/>
  <c r="AD227" i="1"/>
  <c r="AD225" i="1"/>
  <c r="AD223" i="1"/>
  <c r="AD221" i="1"/>
  <c r="AD219" i="1"/>
  <c r="AD217" i="1"/>
  <c r="AD215" i="1"/>
  <c r="AD213" i="1"/>
  <c r="AD211" i="1"/>
  <c r="AD209" i="1"/>
  <c r="AD207" i="1"/>
  <c r="AD205" i="1"/>
  <c r="AD202" i="1"/>
  <c r="AD200" i="1"/>
  <c r="AD198" i="1"/>
  <c r="AD196" i="1"/>
  <c r="AD193" i="1"/>
  <c r="AD191" i="1"/>
  <c r="AD189" i="1"/>
  <c r="AD187" i="1"/>
  <c r="AD185" i="1"/>
  <c r="AD188" i="1"/>
  <c r="AP180" i="1"/>
  <c r="AD177" i="1"/>
  <c r="AP171" i="1"/>
  <c r="AD168" i="1"/>
  <c r="AP163" i="1"/>
  <c r="AD160" i="1"/>
  <c r="AP365" i="1"/>
  <c r="R248" i="1"/>
  <c r="F349" i="1"/>
  <c r="O349" i="1"/>
  <c r="F219" i="1"/>
  <c r="O219" i="1"/>
  <c r="BB166" i="1"/>
  <c r="BB144" i="1"/>
  <c r="R120" i="1"/>
  <c r="BB107" i="1"/>
  <c r="BB94" i="1"/>
  <c r="AD82" i="1"/>
  <c r="R67" i="1"/>
  <c r="R55" i="1"/>
  <c r="F44" i="1"/>
  <c r="O44" i="1"/>
  <c r="AP30" i="1"/>
  <c r="R365" i="1"/>
  <c r="R356" i="1"/>
  <c r="R348" i="1"/>
  <c r="R339" i="1"/>
  <c r="AD330" i="1"/>
  <c r="F323" i="1"/>
  <c r="O323" i="1"/>
  <c r="AP316" i="1"/>
  <c r="R307" i="1"/>
  <c r="BB298" i="1"/>
  <c r="AD290" i="1"/>
  <c r="F281" i="1"/>
  <c r="O281" i="1"/>
  <c r="AP273" i="1"/>
  <c r="AD270" i="1"/>
  <c r="BB266" i="1"/>
  <c r="AP264" i="1"/>
  <c r="AP262" i="1"/>
  <c r="AP260" i="1"/>
  <c r="AP257" i="1"/>
  <c r="AP255" i="1"/>
  <c r="AP253" i="1"/>
  <c r="AP251" i="1"/>
  <c r="AP249" i="1"/>
  <c r="AP247" i="1"/>
  <c r="AP245" i="1"/>
  <c r="AP243" i="1"/>
  <c r="AP241" i="1"/>
  <c r="AP239" i="1"/>
  <c r="AP236" i="1"/>
  <c r="AP234" i="1"/>
  <c r="AP232" i="1"/>
  <c r="AP230" i="1"/>
  <c r="AP228" i="1"/>
  <c r="AP226" i="1"/>
  <c r="AP224" i="1"/>
  <c r="AP222" i="1"/>
  <c r="AP220" i="1"/>
  <c r="AP218" i="1"/>
  <c r="AP216" i="1"/>
  <c r="AP214" i="1"/>
  <c r="AP212" i="1"/>
  <c r="AP210" i="1"/>
  <c r="BB208" i="1"/>
  <c r="AP207" i="1"/>
  <c r="F206" i="1"/>
  <c r="O206" i="1"/>
  <c r="BB204" i="1"/>
  <c r="AP202" i="1"/>
  <c r="F201" i="1"/>
  <c r="O201" i="1"/>
  <c r="BB199" i="1"/>
  <c r="AP198" i="1"/>
  <c r="F197" i="1"/>
  <c r="O197" i="1"/>
  <c r="BB194" i="1"/>
  <c r="AP193" i="1"/>
  <c r="F192" i="1"/>
  <c r="O192" i="1"/>
  <c r="BB190" i="1"/>
  <c r="AP189" i="1"/>
  <c r="F188" i="1"/>
  <c r="O188" i="1"/>
  <c r="BB186" i="1"/>
  <c r="AP185" i="1"/>
  <c r="F184" i="1"/>
  <c r="O184" i="1"/>
  <c r="BB182" i="1"/>
  <c r="AP181" i="1"/>
  <c r="F180" i="1"/>
  <c r="O180" i="1"/>
  <c r="BB178" i="1"/>
  <c r="AP177" i="1"/>
  <c r="F176" i="1"/>
  <c r="O176" i="1"/>
  <c r="BB173" i="1"/>
  <c r="AP172" i="1"/>
  <c r="F171" i="1"/>
  <c r="O171" i="1"/>
  <c r="BB169" i="1"/>
  <c r="BB371" i="1"/>
  <c r="AD281" i="1"/>
  <c r="R155" i="1"/>
  <c r="BB126" i="1"/>
  <c r="R101" i="1"/>
  <c r="BB75" i="1"/>
  <c r="AD49" i="1"/>
  <c r="R377" i="1"/>
  <c r="R352" i="1"/>
  <c r="BB334" i="1"/>
  <c r="BB319" i="1"/>
  <c r="F303" i="1"/>
  <c r="O303" i="1"/>
  <c r="R286" i="1"/>
  <c r="F272" i="1"/>
  <c r="O272" i="1"/>
  <c r="BB265" i="1"/>
  <c r="BB261" i="1"/>
  <c r="BB256" i="1"/>
  <c r="BB252" i="1"/>
  <c r="BB248" i="1"/>
  <c r="BB244" i="1"/>
  <c r="BB240" i="1"/>
  <c r="BB235" i="1"/>
  <c r="BB231" i="1"/>
  <c r="BB227" i="1"/>
  <c r="BB223" i="1"/>
  <c r="BB219" i="1"/>
  <c r="BB215" i="1"/>
  <c r="BB211" i="1"/>
  <c r="F208" i="1"/>
  <c r="O208" i="1"/>
  <c r="AP205" i="1"/>
  <c r="BB201" i="1"/>
  <c r="F199" i="1"/>
  <c r="O199" i="1"/>
  <c r="AP196" i="1"/>
  <c r="BB192" i="1"/>
  <c r="F190" i="1"/>
  <c r="O190" i="1"/>
  <c r="AP187" i="1"/>
  <c r="BB184" i="1"/>
  <c r="F182" i="1"/>
  <c r="O182" i="1"/>
  <c r="AP179" i="1"/>
  <c r="BB176" i="1"/>
  <c r="F173" i="1"/>
  <c r="O173" i="1"/>
  <c r="AP170" i="1"/>
  <c r="AP168" i="1"/>
  <c r="F167" i="1"/>
  <c r="O167" i="1"/>
  <c r="BB165" i="1"/>
  <c r="AP164" i="1"/>
  <c r="F163" i="1"/>
  <c r="O163" i="1"/>
  <c r="BB161" i="1"/>
  <c r="AP160" i="1"/>
  <c r="F159" i="1"/>
  <c r="O159" i="1"/>
  <c r="BB157" i="1"/>
  <c r="AP156" i="1"/>
  <c r="F155" i="1"/>
  <c r="O155" i="1"/>
  <c r="BB153" i="1"/>
  <c r="AP152" i="1"/>
  <c r="F151" i="1"/>
  <c r="O151" i="1"/>
  <c r="BB149" i="1"/>
  <c r="AP148" i="1"/>
  <c r="F147" i="1"/>
  <c r="O147" i="1"/>
  <c r="BB145" i="1"/>
  <c r="AP144" i="1"/>
  <c r="F143" i="1"/>
  <c r="O143" i="1"/>
  <c r="BB141" i="1"/>
  <c r="AP140" i="1"/>
  <c r="F139" i="1"/>
  <c r="O139" i="1"/>
  <c r="BB137" i="1"/>
  <c r="AP136" i="1"/>
  <c r="F135" i="1"/>
  <c r="O135" i="1"/>
  <c r="BB133" i="1"/>
  <c r="AP132" i="1"/>
  <c r="F131" i="1"/>
  <c r="O131" i="1"/>
  <c r="BB129" i="1"/>
  <c r="AP128" i="1"/>
  <c r="F127" i="1"/>
  <c r="O127" i="1"/>
  <c r="BB125" i="1"/>
  <c r="AD124" i="1"/>
  <c r="R122" i="1"/>
  <c r="BB120" i="1"/>
  <c r="R119" i="1"/>
  <c r="BB117" i="1"/>
  <c r="AD116" i="1"/>
  <c r="R114" i="1"/>
  <c r="BB112" i="1"/>
  <c r="R111" i="1"/>
  <c r="BB109" i="1"/>
  <c r="AD108" i="1"/>
  <c r="R106" i="1"/>
  <c r="BB104" i="1"/>
  <c r="R103" i="1"/>
  <c r="BB101" i="1"/>
  <c r="AD100" i="1"/>
  <c r="R98" i="1"/>
  <c r="BB96" i="1"/>
  <c r="R95" i="1"/>
  <c r="BB93" i="1"/>
  <c r="AD92" i="1"/>
  <c r="R90" i="1"/>
  <c r="BB88" i="1"/>
  <c r="R87" i="1"/>
  <c r="BB85" i="1"/>
  <c r="AD84" i="1"/>
  <c r="R82" i="1"/>
  <c r="BB80" i="1"/>
  <c r="R79" i="1"/>
  <c r="BB77" i="1"/>
  <c r="AD76" i="1"/>
  <c r="R74" i="1"/>
  <c r="BB71" i="1"/>
  <c r="R70" i="1"/>
  <c r="BB67" i="1"/>
  <c r="AD66" i="1"/>
  <c r="R64" i="1"/>
  <c r="BB62" i="1"/>
  <c r="R61" i="1"/>
  <c r="AD59" i="1"/>
  <c r="R57" i="1"/>
  <c r="BB55" i="1"/>
  <c r="R54" i="1"/>
  <c r="BB52" i="1"/>
  <c r="AD51" i="1"/>
  <c r="R49" i="1"/>
  <c r="R47" i="1"/>
  <c r="R45" i="1"/>
  <c r="BB43" i="1"/>
  <c r="AP42" i="1"/>
  <c r="F41" i="1"/>
  <c r="O41" i="1"/>
  <c r="R39" i="1"/>
  <c r="BB37" i="1"/>
  <c r="AD36" i="1"/>
  <c r="F35" i="1"/>
  <c r="O35" i="1"/>
  <c r="BB33" i="1"/>
  <c r="AD32" i="1"/>
  <c r="F31" i="1"/>
  <c r="O31" i="1"/>
  <c r="BB29" i="1"/>
  <c r="AD28" i="1"/>
  <c r="F27" i="1"/>
  <c r="O27" i="1"/>
  <c r="AA27" i="1"/>
  <c r="AM27" i="1"/>
  <c r="AY27" i="1"/>
  <c r="BB26" i="1"/>
  <c r="AD25" i="1"/>
  <c r="F24" i="1"/>
  <c r="O24" i="1"/>
  <c r="BB22" i="1"/>
  <c r="AD21" i="1"/>
  <c r="F20" i="1"/>
  <c r="O20" i="1"/>
  <c r="AA20" i="1"/>
  <c r="AM20" i="1"/>
  <c r="BB18" i="1"/>
  <c r="AD17" i="1"/>
  <c r="F16" i="1"/>
  <c r="O16" i="1"/>
  <c r="AD14" i="1"/>
  <c r="F13" i="1"/>
  <c r="O13" i="1"/>
  <c r="BB11" i="1"/>
  <c r="AD10" i="1"/>
  <c r="R8" i="1"/>
  <c r="BB6" i="1"/>
  <c r="R5" i="1"/>
  <c r="F334" i="1"/>
  <c r="O334" i="1"/>
  <c r="F330" i="1"/>
  <c r="O330" i="1"/>
  <c r="BB325" i="1"/>
  <c r="AP322" i="1"/>
  <c r="AD319" i="1"/>
  <c r="R316" i="1"/>
  <c r="F311" i="1"/>
  <c r="O311" i="1"/>
  <c r="BB306" i="1"/>
  <c r="AP302" i="1"/>
  <c r="AD298" i="1"/>
  <c r="R293" i="1"/>
  <c r="F290" i="1"/>
  <c r="O290" i="1"/>
  <c r="BB285" i="1"/>
  <c r="AP280" i="1"/>
  <c r="AD277" i="1"/>
  <c r="R273" i="1"/>
  <c r="AD250" i="1"/>
  <c r="AD252" i="1"/>
  <c r="AD254" i="1"/>
  <c r="AD256" i="1"/>
  <c r="AD259" i="1"/>
  <c r="AD261" i="1"/>
  <c r="AD263" i="1"/>
  <c r="AD265" i="1"/>
  <c r="F267" i="1"/>
  <c r="O267" i="1"/>
  <c r="F270" i="1"/>
  <c r="O270" i="1"/>
  <c r="BB274" i="1"/>
  <c r="R282" i="1"/>
  <c r="AP291" i="1"/>
  <c r="F301" i="1"/>
  <c r="O301" i="1"/>
  <c r="AD308" i="1"/>
  <c r="BB317" i="1"/>
  <c r="R324" i="1"/>
  <c r="AP331" i="1"/>
  <c r="F6" i="1"/>
  <c r="O6" i="1"/>
  <c r="AP9" i="1"/>
  <c r="AD12" i="1"/>
  <c r="BB16" i="1"/>
  <c r="AD19" i="1"/>
  <c r="F22" i="1"/>
  <c r="O22" i="1"/>
  <c r="AA22" i="1"/>
  <c r="BB24" i="1"/>
  <c r="F29" i="1"/>
  <c r="O29" i="1"/>
  <c r="BB31" i="1"/>
  <c r="AD34" i="1"/>
  <c r="F37" i="1"/>
  <c r="O37" i="1"/>
  <c r="AP40" i="1"/>
  <c r="F43" i="1"/>
  <c r="O43" i="1"/>
  <c r="AP46" i="1"/>
  <c r="AP50" i="1"/>
  <c r="AP53" i="1"/>
  <c r="AD56" i="1"/>
  <c r="F62" i="1"/>
  <c r="O62" i="1"/>
  <c r="AP65" i="1"/>
  <c r="AP68" i="1"/>
  <c r="AD73" i="1"/>
  <c r="F77" i="1"/>
  <c r="O77" i="1"/>
  <c r="F80" i="1"/>
  <c r="O80" i="1"/>
  <c r="AP83" i="1"/>
  <c r="AP86" i="1"/>
  <c r="AD89" i="1"/>
  <c r="AM89" i="1"/>
  <c r="F93" i="1"/>
  <c r="O93" i="1"/>
  <c r="F96" i="1"/>
  <c r="O96" i="1"/>
  <c r="AP99" i="1"/>
  <c r="AP102" i="1"/>
  <c r="AD105" i="1"/>
  <c r="F109" i="1"/>
  <c r="O109" i="1"/>
  <c r="F112" i="1"/>
  <c r="O112" i="1"/>
  <c r="AP115" i="1"/>
  <c r="AP118" i="1"/>
  <c r="AD121" i="1"/>
  <c r="F125" i="1"/>
  <c r="O125" i="1"/>
  <c r="BB127" i="1"/>
  <c r="AP130" i="1"/>
  <c r="F133" i="1"/>
  <c r="O133" i="1"/>
  <c r="BB135" i="1"/>
  <c r="AP138" i="1"/>
  <c r="F141" i="1"/>
  <c r="O141" i="1"/>
  <c r="BB143" i="1"/>
  <c r="AP146" i="1"/>
  <c r="F149" i="1"/>
  <c r="O149" i="1"/>
  <c r="BB151" i="1"/>
  <c r="AP154" i="1"/>
  <c r="F157" i="1"/>
  <c r="O157" i="1"/>
  <c r="BB159" i="1"/>
  <c r="AP162" i="1"/>
  <c r="F165" i="1"/>
  <c r="O165" i="1"/>
  <c r="BB167" i="1"/>
  <c r="BB171" i="1"/>
  <c r="F178" i="1"/>
  <c r="O178" i="1"/>
  <c r="AP183" i="1"/>
  <c r="BB188" i="1"/>
  <c r="F194" i="1"/>
  <c r="O194" i="1"/>
  <c r="AP200" i="1"/>
  <c r="BB206" i="1"/>
  <c r="BB213" i="1"/>
  <c r="BB221" i="1"/>
  <c r="BB229" i="1"/>
  <c r="BB237" i="1"/>
  <c r="BB246" i="1"/>
  <c r="BB254" i="1"/>
  <c r="BB263" i="1"/>
  <c r="BB277" i="1"/>
  <c r="AD311" i="1"/>
  <c r="R344" i="1"/>
  <c r="AP38" i="1"/>
  <c r="R88" i="1"/>
  <c r="R137" i="1"/>
  <c r="R215" i="1"/>
  <c r="AD337" i="1"/>
  <c r="R276" i="1"/>
  <c r="AD279" i="1"/>
  <c r="AP282" i="1"/>
  <c r="BB287" i="1"/>
  <c r="F292" i="1"/>
  <c r="O292" i="1"/>
  <c r="R297" i="1"/>
  <c r="AD301" i="1"/>
  <c r="AP304" i="1"/>
  <c r="BB308" i="1"/>
  <c r="F315" i="1"/>
  <c r="O315" i="1"/>
  <c r="R318" i="1"/>
  <c r="AD321" i="1"/>
  <c r="AP324" i="1"/>
  <c r="BB328" i="1"/>
  <c r="F332" i="1"/>
  <c r="O332" i="1"/>
  <c r="R337" i="1"/>
  <c r="R342" i="1"/>
  <c r="R346" i="1"/>
  <c r="R350" i="1"/>
  <c r="R354" i="1"/>
  <c r="R358" i="1"/>
  <c r="R362" i="1"/>
  <c r="R370" i="1"/>
  <c r="R383" i="1"/>
  <c r="AP34" i="1"/>
  <c r="R41" i="1"/>
  <c r="BB46" i="1"/>
  <c r="R52" i="1"/>
  <c r="BB58" i="1"/>
  <c r="AD64" i="1"/>
  <c r="R71" i="1"/>
  <c r="BB78" i="1"/>
  <c r="R85" i="1"/>
  <c r="BB91" i="1"/>
  <c r="AD98" i="1"/>
  <c r="R104" i="1"/>
  <c r="BB110" i="1"/>
  <c r="R117" i="1"/>
  <c r="BB123" i="1"/>
  <c r="R129" i="1"/>
  <c r="BB134" i="1"/>
  <c r="F140" i="1"/>
  <c r="O140" i="1"/>
  <c r="AA140" i="1"/>
  <c r="F150" i="1"/>
  <c r="O150" i="1"/>
  <c r="BB160" i="1"/>
  <c r="R178" i="1"/>
  <c r="BB200" i="1"/>
  <c r="F252" i="1"/>
  <c r="O252" i="1"/>
  <c r="F317" i="1"/>
  <c r="O317" i="1"/>
  <c r="R198" i="1"/>
  <c r="R231" i="1"/>
  <c r="AD296" i="1"/>
  <c r="AP386" i="1"/>
  <c r="AP32" i="1"/>
  <c r="AP36" i="1"/>
  <c r="F40" i="1"/>
  <c r="O40" i="1"/>
  <c r="BB42" i="1"/>
  <c r="AD45" i="1"/>
  <c r="F48" i="1"/>
  <c r="O48" i="1"/>
  <c r="BB50" i="1"/>
  <c r="BB53" i="1"/>
  <c r="AD57" i="1"/>
  <c r="R62" i="1"/>
  <c r="BB65" i="1"/>
  <c r="BB68" i="1"/>
  <c r="AD74" i="1"/>
  <c r="R77" i="1"/>
  <c r="R80" i="1"/>
  <c r="BB83" i="1"/>
  <c r="BB86" i="1"/>
  <c r="AD90" i="1"/>
  <c r="R93" i="1"/>
  <c r="R96" i="1"/>
  <c r="BB99" i="1"/>
  <c r="BB102" i="1"/>
  <c r="AD106" i="1"/>
  <c r="R109" i="1"/>
  <c r="R112" i="1"/>
  <c r="BB115" i="1"/>
  <c r="BB118" i="1"/>
  <c r="AD122" i="1"/>
  <c r="R125" i="1"/>
  <c r="F128" i="1"/>
  <c r="O128" i="1"/>
  <c r="AA128" i="1"/>
  <c r="BB130" i="1"/>
  <c r="R133" i="1"/>
  <c r="F136" i="1"/>
  <c r="O136" i="1"/>
  <c r="BB138" i="1"/>
  <c r="F142" i="1"/>
  <c r="O142" i="1"/>
  <c r="AA142" i="1"/>
  <c r="R147" i="1"/>
  <c r="BB152" i="1"/>
  <c r="F158" i="1"/>
  <c r="O158" i="1"/>
  <c r="R163" i="1"/>
  <c r="F172" i="1"/>
  <c r="O172" i="1"/>
  <c r="AA172" i="1"/>
  <c r="BB183" i="1"/>
  <c r="R194" i="1"/>
  <c r="F207" i="1"/>
  <c r="O207" i="1"/>
  <c r="F235" i="1"/>
  <c r="O235" i="1"/>
  <c r="BB267" i="1"/>
  <c r="R299" i="1"/>
  <c r="BB330" i="1"/>
  <c r="F369" i="1"/>
  <c r="O369" i="1"/>
  <c r="R207" i="1"/>
  <c r="R223" i="1"/>
  <c r="R240" i="1"/>
  <c r="R265" i="1"/>
  <c r="F328" i="1"/>
  <c r="O328" i="1"/>
  <c r="AD299" i="1"/>
  <c r="BB409" i="1"/>
  <c r="AP221" i="1"/>
  <c r="R372" i="1"/>
  <c r="R379" i="1"/>
  <c r="R29" i="1"/>
  <c r="R31" i="1"/>
  <c r="R33" i="1"/>
  <c r="R35" i="1"/>
  <c r="R37" i="1"/>
  <c r="AD39" i="1"/>
  <c r="BB40" i="1"/>
  <c r="F42" i="1"/>
  <c r="O42" i="1"/>
  <c r="AA42" i="1"/>
  <c r="AM42" i="1"/>
  <c r="R43" i="1"/>
  <c r="BB44" i="1"/>
  <c r="F46" i="1"/>
  <c r="O46" i="1"/>
  <c r="AA46" i="1"/>
  <c r="AM46" i="1"/>
  <c r="AD47" i="1"/>
  <c r="BB48" i="1"/>
  <c r="F50" i="1"/>
  <c r="O50" i="1"/>
  <c r="AP51" i="1"/>
  <c r="F53" i="1"/>
  <c r="O53" i="1"/>
  <c r="AD54" i="1"/>
  <c r="AP56" i="1"/>
  <c r="F58" i="1"/>
  <c r="O58" i="1"/>
  <c r="AP59" i="1"/>
  <c r="F60" i="1"/>
  <c r="O60" i="1"/>
  <c r="AA60" i="1"/>
  <c r="AM60" i="1"/>
  <c r="AY60" i="1"/>
  <c r="AD61" i="1"/>
  <c r="AP63" i="1"/>
  <c r="F65" i="1"/>
  <c r="O65" i="1"/>
  <c r="AA65" i="1"/>
  <c r="AP66" i="1"/>
  <c r="F68" i="1"/>
  <c r="O68" i="1"/>
  <c r="AA68" i="1"/>
  <c r="AD70" i="1"/>
  <c r="AP73" i="1"/>
  <c r="F75" i="1"/>
  <c r="O75" i="1"/>
  <c r="AA75" i="1"/>
  <c r="AM75" i="1"/>
  <c r="AY75" i="1"/>
  <c r="AP76" i="1"/>
  <c r="F78" i="1"/>
  <c r="O78" i="1"/>
  <c r="AD79" i="1"/>
  <c r="AP81" i="1"/>
  <c r="F83" i="1"/>
  <c r="O83" i="1"/>
  <c r="AP84" i="1"/>
  <c r="F86" i="1"/>
  <c r="O86" i="1"/>
  <c r="AD87" i="1"/>
  <c r="AP89" i="1"/>
  <c r="F91" i="1"/>
  <c r="O91" i="1"/>
  <c r="AA91" i="1"/>
  <c r="AM91" i="1"/>
  <c r="AY91" i="1"/>
  <c r="AP92" i="1"/>
  <c r="F94" i="1"/>
  <c r="O94" i="1"/>
  <c r="AD95" i="1"/>
  <c r="AP97" i="1"/>
  <c r="F99" i="1"/>
  <c r="O99" i="1"/>
  <c r="AP100" i="1"/>
  <c r="F102" i="1"/>
  <c r="O102" i="1"/>
  <c r="AD103" i="1"/>
  <c r="AP105" i="1"/>
  <c r="F107" i="1"/>
  <c r="O107" i="1"/>
  <c r="AP108" i="1"/>
  <c r="F110" i="1"/>
  <c r="O110" i="1"/>
  <c r="AD111" i="1"/>
  <c r="AP113" i="1"/>
  <c r="F115" i="1"/>
  <c r="O115" i="1"/>
  <c r="AP116" i="1"/>
  <c r="F118" i="1"/>
  <c r="O118" i="1"/>
  <c r="AD119" i="1"/>
  <c r="AP121" i="1"/>
  <c r="F123" i="1"/>
  <c r="O123" i="1"/>
  <c r="AP124" i="1"/>
  <c r="F126" i="1"/>
  <c r="O126" i="1"/>
  <c r="R127" i="1"/>
  <c r="BB128" i="1"/>
  <c r="F130" i="1"/>
  <c r="O130" i="1"/>
  <c r="R131" i="1"/>
  <c r="BB132" i="1"/>
  <c r="F134" i="1"/>
  <c r="O134" i="1"/>
  <c r="R135" i="1"/>
  <c r="BB136" i="1"/>
  <c r="F138" i="1"/>
  <c r="O138" i="1"/>
  <c r="R139" i="1"/>
  <c r="BB140" i="1"/>
  <c r="R143" i="1"/>
  <c r="F146" i="1"/>
  <c r="O146" i="1"/>
  <c r="BB148" i="1"/>
  <c r="R151" i="1"/>
  <c r="F154" i="1"/>
  <c r="O154" i="1"/>
  <c r="BB156" i="1"/>
  <c r="R159" i="1"/>
  <c r="F162" i="1"/>
  <c r="O162" i="1"/>
  <c r="BB164" i="1"/>
  <c r="R169" i="1"/>
  <c r="BB174" i="1"/>
  <c r="F181" i="1"/>
  <c r="O181" i="1"/>
  <c r="R186" i="1"/>
  <c r="BB191" i="1"/>
  <c r="F198" i="1"/>
  <c r="O198" i="1"/>
  <c r="R204" i="1"/>
  <c r="F211" i="1"/>
  <c r="O211" i="1"/>
  <c r="F227" i="1"/>
  <c r="O227" i="1"/>
  <c r="F244" i="1"/>
  <c r="O244" i="1"/>
  <c r="F261" i="1"/>
  <c r="O261" i="1"/>
  <c r="F274" i="1"/>
  <c r="O274" i="1"/>
  <c r="BB290" i="1"/>
  <c r="AP307" i="1"/>
  <c r="AD323" i="1"/>
  <c r="F340" i="1"/>
  <c r="O340" i="1"/>
  <c r="F357" i="1"/>
  <c r="O357" i="1"/>
  <c r="F382" i="1"/>
  <c r="O382" i="1"/>
  <c r="R202" i="1"/>
  <c r="R211" i="1"/>
  <c r="R219" i="1"/>
  <c r="R227" i="1"/>
  <c r="R235" i="1"/>
  <c r="R244" i="1"/>
  <c r="R256" i="1"/>
  <c r="AP278" i="1"/>
  <c r="R313" i="1"/>
  <c r="BB345" i="1"/>
  <c r="AD278" i="1"/>
  <c r="AD320" i="1"/>
  <c r="R371" i="1"/>
  <c r="AP442" i="1"/>
  <c r="AP263" i="1"/>
  <c r="F415" i="1"/>
  <c r="O415" i="1"/>
  <c r="AP348" i="1"/>
  <c r="BB425" i="1"/>
  <c r="R393" i="1"/>
  <c r="R351" i="1"/>
  <c r="AD329" i="1"/>
  <c r="AD309" i="1"/>
  <c r="AD289" i="1"/>
  <c r="AD269" i="1"/>
  <c r="BB353" i="1"/>
  <c r="F336" i="1"/>
  <c r="O336" i="1"/>
  <c r="AP320" i="1"/>
  <c r="BB303" i="1"/>
  <c r="F287" i="1"/>
  <c r="O287" i="1"/>
  <c r="R271" i="1"/>
  <c r="R261" i="1"/>
  <c r="R252" i="1"/>
  <c r="R246" i="1"/>
  <c r="R242" i="1"/>
  <c r="R237" i="1"/>
  <c r="R233" i="1"/>
  <c r="R229" i="1"/>
  <c r="R225" i="1"/>
  <c r="R221" i="1"/>
  <c r="R217" i="1"/>
  <c r="R213" i="1"/>
  <c r="R209" i="1"/>
  <c r="R205" i="1"/>
  <c r="R200" i="1"/>
  <c r="R196" i="1"/>
  <c r="F376" i="1"/>
  <c r="O376" i="1"/>
  <c r="F361" i="1"/>
  <c r="O361" i="1"/>
  <c r="F353" i="1"/>
  <c r="O353" i="1"/>
  <c r="F345" i="1"/>
  <c r="O345" i="1"/>
  <c r="R335" i="1"/>
  <c r="AP326" i="1"/>
  <c r="R320" i="1"/>
  <c r="BB311" i="1"/>
  <c r="AD303" i="1"/>
  <c r="F296" i="1"/>
  <c r="O296" i="1"/>
  <c r="AP286" i="1"/>
  <c r="R278" i="1"/>
  <c r="BB270" i="1"/>
  <c r="F265" i="1"/>
  <c r="O265" i="1"/>
  <c r="F256" i="1"/>
  <c r="O256" i="1"/>
  <c r="F248" i="1"/>
  <c r="O248" i="1"/>
  <c r="F240" i="1"/>
  <c r="O240" i="1"/>
  <c r="F231" i="1"/>
  <c r="O231" i="1"/>
  <c r="F223" i="1"/>
  <c r="O223" i="1"/>
  <c r="F215" i="1"/>
  <c r="O215" i="1"/>
  <c r="R208" i="1"/>
  <c r="BB205" i="1"/>
  <c r="F202" i="1"/>
  <c r="O202" i="1"/>
  <c r="R199" i="1"/>
  <c r="BB196" i="1"/>
  <c r="F193" i="1"/>
  <c r="O193" i="1"/>
  <c r="R190" i="1"/>
  <c r="BB187" i="1"/>
  <c r="F185" i="1"/>
  <c r="O185" i="1"/>
  <c r="AA185" i="1"/>
  <c r="R182" i="1"/>
  <c r="BB179" i="1"/>
  <c r="F177" i="1"/>
  <c r="O177" i="1"/>
  <c r="R173" i="1"/>
  <c r="BB170" i="1"/>
  <c r="F168" i="1"/>
  <c r="O168" i="1"/>
  <c r="R165" i="1"/>
  <c r="F164" i="1"/>
  <c r="O164" i="1"/>
  <c r="BB162" i="1"/>
  <c r="R161" i="1"/>
  <c r="F160" i="1"/>
  <c r="O160" i="1"/>
  <c r="BB158" i="1"/>
  <c r="R157" i="1"/>
  <c r="F156" i="1"/>
  <c r="O156" i="1"/>
  <c r="BB154" i="1"/>
  <c r="R153" i="1"/>
  <c r="F152" i="1"/>
  <c r="O152" i="1"/>
  <c r="AA152" i="1"/>
  <c r="BB150" i="1"/>
  <c r="R149" i="1"/>
  <c r="F148" i="1"/>
  <c r="O148" i="1"/>
  <c r="BB146" i="1"/>
  <c r="R145" i="1"/>
  <c r="F144" i="1"/>
  <c r="O144" i="1"/>
  <c r="BB142" i="1"/>
  <c r="R141" i="1"/>
  <c r="BB307" i="1"/>
  <c r="R250" i="1"/>
  <c r="R254" i="1"/>
  <c r="R259" i="1"/>
  <c r="R263" i="1"/>
  <c r="R268" i="1"/>
  <c r="AD274" i="1"/>
  <c r="BB281" i="1"/>
  <c r="R291" i="1"/>
  <c r="AP299" i="1"/>
  <c r="F308" i="1"/>
  <c r="O308" i="1"/>
  <c r="AD317" i="1"/>
  <c r="BB323" i="1"/>
  <c r="R331" i="1"/>
  <c r="BB340" i="1"/>
  <c r="BB349" i="1"/>
  <c r="BB359" i="1"/>
  <c r="BB384" i="1"/>
  <c r="AD273" i="1"/>
  <c r="AD282" i="1"/>
  <c r="AD293" i="1"/>
  <c r="AD304" i="1"/>
  <c r="AD316" i="1"/>
  <c r="AD324" i="1"/>
  <c r="AD333" i="1"/>
  <c r="R343" i="1"/>
  <c r="R359" i="1"/>
  <c r="R384" i="1"/>
  <c r="BB401" i="1"/>
  <c r="BB417" i="1"/>
  <c r="BB433" i="1"/>
  <c r="AP339" i="1"/>
  <c r="AP356" i="1"/>
  <c r="AP387" i="1"/>
  <c r="BB210" i="1"/>
  <c r="F241" i="1"/>
  <c r="O241" i="1"/>
  <c r="F448" i="1"/>
  <c r="O448" i="1"/>
  <c r="R390" i="1"/>
  <c r="BB344" i="1"/>
  <c r="AP321" i="1"/>
  <c r="F293" i="1"/>
  <c r="O293" i="1"/>
  <c r="AA293" i="1"/>
  <c r="AM293" i="1"/>
  <c r="BB269" i="1"/>
  <c r="F257" i="1"/>
  <c r="O257" i="1"/>
  <c r="AP246" i="1"/>
  <c r="BB234" i="1"/>
  <c r="F224" i="1"/>
  <c r="O224" i="1"/>
  <c r="BB218" i="1"/>
  <c r="AP213" i="1"/>
  <c r="F439" i="1"/>
  <c r="O439" i="1"/>
  <c r="F423" i="1"/>
  <c r="O423" i="1"/>
  <c r="F407" i="1"/>
  <c r="O407" i="1"/>
  <c r="AP392" i="1"/>
  <c r="AP383" i="1"/>
  <c r="AP370" i="1"/>
  <c r="AP362" i="1"/>
  <c r="AP358" i="1"/>
  <c r="AP354" i="1"/>
  <c r="AP350" i="1"/>
  <c r="AP346" i="1"/>
  <c r="AP342" i="1"/>
  <c r="AP337" i="1"/>
  <c r="AP333" i="1"/>
  <c r="BB439" i="1"/>
  <c r="BB435" i="1"/>
  <c r="BB431" i="1"/>
  <c r="BB427" i="1"/>
  <c r="BB423" i="1"/>
  <c r="BB419" i="1"/>
  <c r="BB415" i="1"/>
  <c r="BB411" i="1"/>
  <c r="BB407" i="1"/>
  <c r="BB403" i="1"/>
  <c r="BB399" i="1"/>
  <c r="BB395" i="1"/>
  <c r="R391" i="1"/>
  <c r="R386" i="1"/>
  <c r="R382" i="1"/>
  <c r="R376" i="1"/>
  <c r="R369" i="1"/>
  <c r="R361" i="1"/>
  <c r="R357" i="1"/>
  <c r="R353" i="1"/>
  <c r="R349" i="1"/>
  <c r="R345" i="1"/>
  <c r="R340" i="1"/>
  <c r="R338" i="1"/>
  <c r="R336" i="1"/>
  <c r="R334" i="1"/>
  <c r="R332" i="1"/>
  <c r="R330" i="1"/>
  <c r="R328" i="1"/>
  <c r="R325" i="1"/>
  <c r="R323" i="1"/>
  <c r="AA323" i="1"/>
  <c r="R321" i="1"/>
  <c r="R319" i="1"/>
  <c r="R317" i="1"/>
  <c r="R315" i="1"/>
  <c r="R311" i="1"/>
  <c r="R308" i="1"/>
  <c r="R306" i="1"/>
  <c r="R303" i="1"/>
  <c r="R301" i="1"/>
  <c r="R298" i="1"/>
  <c r="R296" i="1"/>
  <c r="R292" i="1"/>
  <c r="R290" i="1"/>
  <c r="R287" i="1"/>
  <c r="R285" i="1"/>
  <c r="R281" i="1"/>
  <c r="R279" i="1"/>
  <c r="R277" i="1"/>
  <c r="R274" i="1"/>
  <c r="R272" i="1"/>
  <c r="R270" i="1"/>
  <c r="BB268" i="1"/>
  <c r="R267" i="1"/>
  <c r="BB382" i="1"/>
  <c r="BB376" i="1"/>
  <c r="BB369" i="1"/>
  <c r="BB361" i="1"/>
  <c r="BB357" i="1"/>
  <c r="AP451" i="1"/>
  <c r="F333" i="1"/>
  <c r="O333" i="1"/>
  <c r="AP279" i="1"/>
  <c r="BB251" i="1"/>
  <c r="AP229" i="1"/>
  <c r="F216" i="1"/>
  <c r="O216" i="1"/>
  <c r="F431" i="1"/>
  <c r="O431" i="1"/>
  <c r="F399" i="1"/>
  <c r="O399" i="1"/>
  <c r="AP377" i="1"/>
  <c r="AP360" i="1"/>
  <c r="AP352" i="1"/>
  <c r="AP344" i="1"/>
  <c r="AP335" i="1"/>
  <c r="BB437" i="1"/>
  <c r="BB429" i="1"/>
  <c r="BB421" i="1"/>
  <c r="BB413" i="1"/>
  <c r="BB405" i="1"/>
  <c r="BB397" i="1"/>
  <c r="R389" i="1"/>
  <c r="R378" i="1"/>
  <c r="R364" i="1"/>
  <c r="R355" i="1"/>
  <c r="R347" i="1"/>
  <c r="AD339" i="1"/>
  <c r="AD335" i="1"/>
  <c r="AD331" i="1"/>
  <c r="AD326" i="1"/>
  <c r="AD322" i="1"/>
  <c r="AD318" i="1"/>
  <c r="AD313" i="1"/>
  <c r="AD307" i="1"/>
  <c r="AD302" i="1"/>
  <c r="AD297" i="1"/>
  <c r="AD291" i="1"/>
  <c r="AD286" i="1"/>
  <c r="AD280" i="1"/>
  <c r="AD276" i="1"/>
  <c r="AD271" i="1"/>
  <c r="F268" i="1"/>
  <c r="O268" i="1"/>
  <c r="BB378" i="1"/>
  <c r="BB364" i="1"/>
  <c r="BB355" i="1"/>
  <c r="BB351" i="1"/>
  <c r="BB347" i="1"/>
  <c r="BB343" i="1"/>
  <c r="BB338" i="1"/>
  <c r="R333" i="1"/>
  <c r="AP329" i="1"/>
  <c r="AD325" i="1"/>
  <c r="R322" i="1"/>
  <c r="F319" i="1"/>
  <c r="O319" i="1"/>
  <c r="BB315" i="1"/>
  <c r="AP309" i="1"/>
  <c r="AD306" i="1"/>
  <c r="R302" i="1"/>
  <c r="F298" i="1"/>
  <c r="O298" i="1"/>
  <c r="BB292" i="1"/>
  <c r="AP289" i="1"/>
  <c r="AD285" i="1"/>
  <c r="R280" i="1"/>
  <c r="F277" i="1"/>
  <c r="O277" i="1"/>
  <c r="BB272" i="1"/>
  <c r="AP269" i="1"/>
  <c r="R266" i="1"/>
  <c r="R264" i="1"/>
  <c r="R262" i="1"/>
  <c r="R260" i="1"/>
  <c r="R257" i="1"/>
  <c r="R255" i="1"/>
  <c r="R253" i="1"/>
  <c r="R251" i="1"/>
  <c r="R249" i="1"/>
  <c r="R247" i="1"/>
  <c r="R245" i="1"/>
  <c r="R243" i="1"/>
  <c r="R241" i="1"/>
  <c r="R239" i="1"/>
  <c r="R236" i="1"/>
  <c r="R234" i="1"/>
  <c r="R232" i="1"/>
  <c r="R230" i="1"/>
  <c r="R228" i="1"/>
  <c r="R226" i="1"/>
  <c r="R224" i="1"/>
  <c r="R222" i="1"/>
  <c r="R220" i="1"/>
  <c r="R218" i="1"/>
  <c r="R216" i="1"/>
  <c r="R214" i="1"/>
  <c r="R212" i="1"/>
  <c r="R210" i="1"/>
  <c r="AD208" i="1"/>
  <c r="AD206" i="1"/>
  <c r="AD204" i="1"/>
  <c r="AD201" i="1"/>
  <c r="AD199" i="1"/>
  <c r="AD197" i="1"/>
  <c r="F384" i="1"/>
  <c r="O384" i="1"/>
  <c r="AA384" i="1"/>
  <c r="F378" i="1"/>
  <c r="O378" i="1"/>
  <c r="F371" i="1"/>
  <c r="O371" i="1"/>
  <c r="AA371" i="1"/>
  <c r="F364" i="1"/>
  <c r="O364" i="1"/>
  <c r="F359" i="1"/>
  <c r="O359" i="1"/>
  <c r="F355" i="1"/>
  <c r="O355" i="1"/>
  <c r="F351" i="1"/>
  <c r="O351" i="1"/>
  <c r="F347" i="1"/>
  <c r="O347" i="1"/>
  <c r="F343" i="1"/>
  <c r="O343" i="1"/>
  <c r="AA343" i="1"/>
  <c r="F338" i="1"/>
  <c r="O338" i="1"/>
  <c r="BB332" i="1"/>
  <c r="R329" i="1"/>
  <c r="F325" i="1"/>
  <c r="O325" i="1"/>
  <c r="BB321" i="1"/>
  <c r="AP318" i="1"/>
  <c r="AD315" i="1"/>
  <c r="R309" i="1"/>
  <c r="F306" i="1"/>
  <c r="O306" i="1"/>
  <c r="BB301" i="1"/>
  <c r="AP297" i="1"/>
  <c r="AD292" i="1"/>
  <c r="R289" i="1"/>
  <c r="F285" i="1"/>
  <c r="O285" i="1"/>
  <c r="BB279" i="1"/>
  <c r="AP276" i="1"/>
  <c r="AD272" i="1"/>
  <c r="R269" i="1"/>
  <c r="F266" i="1"/>
  <c r="O266" i="1"/>
  <c r="F263" i="1"/>
  <c r="O263" i="1"/>
  <c r="F259" i="1"/>
  <c r="O259" i="1"/>
  <c r="F254" i="1"/>
  <c r="O254" i="1"/>
  <c r="F250" i="1"/>
  <c r="O250" i="1"/>
  <c r="F246" i="1"/>
  <c r="O246" i="1"/>
  <c r="F242" i="1"/>
  <c r="O242" i="1"/>
  <c r="AA242" i="1"/>
  <c r="F237" i="1"/>
  <c r="O237" i="1"/>
  <c r="F233" i="1"/>
  <c r="O233" i="1"/>
  <c r="F229" i="1"/>
  <c r="O229" i="1"/>
  <c r="F225" i="1"/>
  <c r="O225" i="1"/>
  <c r="F221" i="1"/>
  <c r="O221" i="1"/>
  <c r="F217" i="1"/>
  <c r="O217" i="1"/>
  <c r="AA217" i="1"/>
  <c r="F213" i="1"/>
  <c r="O213" i="1"/>
  <c r="F209" i="1"/>
  <c r="O209" i="1"/>
  <c r="AA209" i="1"/>
  <c r="BB207" i="1"/>
  <c r="R206" i="1"/>
  <c r="F205" i="1"/>
  <c r="O205" i="1"/>
  <c r="AA205" i="1"/>
  <c r="BB202" i="1"/>
  <c r="R201" i="1"/>
  <c r="F200" i="1"/>
  <c r="O200" i="1"/>
  <c r="BB198" i="1"/>
  <c r="R197" i="1"/>
  <c r="F196" i="1"/>
  <c r="O196" i="1"/>
  <c r="AA196" i="1"/>
  <c r="BB193" i="1"/>
  <c r="R192" i="1"/>
  <c r="F191" i="1"/>
  <c r="O191" i="1"/>
  <c r="BB189" i="1"/>
  <c r="R188" i="1"/>
  <c r="F187" i="1"/>
  <c r="O187" i="1"/>
  <c r="AA187" i="1"/>
  <c r="BB185" i="1"/>
  <c r="R184" i="1"/>
  <c r="F183" i="1"/>
  <c r="O183" i="1"/>
  <c r="BB181" i="1"/>
  <c r="R180" i="1"/>
  <c r="F179" i="1"/>
  <c r="O179" i="1"/>
  <c r="AA179" i="1"/>
  <c r="AM179" i="1"/>
  <c r="BB177" i="1"/>
  <c r="R176" i="1"/>
  <c r="F174" i="1"/>
  <c r="O174" i="1"/>
  <c r="AA174" i="1"/>
  <c r="BB172" i="1"/>
  <c r="R171" i="1"/>
  <c r="F170" i="1"/>
  <c r="O170" i="1"/>
  <c r="BB168" i="1"/>
  <c r="R167" i="1"/>
  <c r="F166" i="1"/>
  <c r="O166" i="1"/>
  <c r="AA166" i="1"/>
  <c r="AM166" i="1"/>
  <c r="R528" i="1"/>
  <c r="BB226" i="1"/>
  <c r="F232" i="1"/>
  <c r="O232" i="1"/>
  <c r="AP237" i="1"/>
  <c r="BB243" i="1"/>
  <c r="F249" i="1"/>
  <c r="O249" i="1"/>
  <c r="AP254" i="1"/>
  <c r="BB260" i="1"/>
  <c r="AD266" i="1"/>
  <c r="F273" i="1"/>
  <c r="O273" i="1"/>
  <c r="BB286" i="1"/>
  <c r="AP301" i="1"/>
  <c r="F316" i="1"/>
  <c r="O316" i="1"/>
  <c r="BB326" i="1"/>
  <c r="AP338" i="1"/>
  <c r="F356" i="1"/>
  <c r="O356" i="1"/>
  <c r="AA356" i="1"/>
  <c r="R416" i="1"/>
  <c r="AD420" i="1"/>
  <c r="AP486" i="1"/>
  <c r="AD461" i="1"/>
  <c r="R531" i="1"/>
  <c r="AP446" i="1"/>
  <c r="AP403" i="1"/>
  <c r="F499" i="1"/>
  <c r="O499" i="1"/>
  <c r="AP461" i="1"/>
  <c r="AP452" i="1"/>
  <c r="AP444" i="1"/>
  <c r="AD514" i="1"/>
  <c r="AP502" i="1"/>
  <c r="F492" i="1"/>
  <c r="O492" i="1"/>
  <c r="F480" i="1"/>
  <c r="O480" i="1"/>
  <c r="F472" i="1"/>
  <c r="O472" i="1"/>
  <c r="F464" i="1"/>
  <c r="O464" i="1"/>
  <c r="F455" i="1"/>
  <c r="O455" i="1"/>
  <c r="F447" i="1"/>
  <c r="O447" i="1"/>
  <c r="AD440" i="1"/>
  <c r="AD432" i="1"/>
  <c r="AD424" i="1"/>
  <c r="AD416" i="1"/>
  <c r="AD408" i="1"/>
  <c r="AD400" i="1"/>
  <c r="F393" i="1"/>
  <c r="O393" i="1"/>
  <c r="BB386" i="1"/>
  <c r="R436" i="1"/>
  <c r="R428" i="1"/>
  <c r="R420" i="1"/>
  <c r="R412" i="1"/>
  <c r="R404" i="1"/>
  <c r="R396" i="1"/>
  <c r="F390" i="1"/>
  <c r="O390" i="1"/>
  <c r="BB383" i="1"/>
  <c r="AP376" i="1"/>
  <c r="F365" i="1"/>
  <c r="O365" i="1"/>
  <c r="BB358" i="1"/>
  <c r="AP353" i="1"/>
  <c r="F350" i="1"/>
  <c r="O350" i="1"/>
  <c r="AP347" i="1"/>
  <c r="AP345" i="1"/>
  <c r="F344" i="1"/>
  <c r="O344" i="1"/>
  <c r="BB342" i="1"/>
  <c r="AP340" i="1"/>
  <c r="F339" i="1"/>
  <c r="O339" i="1"/>
  <c r="BB337" i="1"/>
  <c r="AP336" i="1"/>
  <c r="F335" i="1"/>
  <c r="O335" i="1"/>
  <c r="BB333" i="1"/>
  <c r="AP332" i="1"/>
  <c r="F331" i="1"/>
  <c r="O331" i="1"/>
  <c r="BB329" i="1"/>
  <c r="AP328" i="1"/>
  <c r="F326" i="1"/>
  <c r="O326" i="1"/>
  <c r="AA326" i="1"/>
  <c r="BB324" i="1"/>
  <c r="AP323" i="1"/>
  <c r="F322" i="1"/>
  <c r="O322" i="1"/>
  <c r="BB320" i="1"/>
  <c r="AP319" i="1"/>
  <c r="F318" i="1"/>
  <c r="O318" i="1"/>
  <c r="BB316" i="1"/>
  <c r="AP315" i="1"/>
  <c r="F313" i="1"/>
  <c r="O313" i="1"/>
  <c r="BB309" i="1"/>
  <c r="AP308" i="1"/>
  <c r="F307" i="1"/>
  <c r="O307" i="1"/>
  <c r="BB304" i="1"/>
  <c r="AP303" i="1"/>
  <c r="F302" i="1"/>
  <c r="O302" i="1"/>
  <c r="BB299" i="1"/>
  <c r="AP298" i="1"/>
  <c r="F297" i="1"/>
  <c r="O297" i="1"/>
  <c r="BB293" i="1"/>
  <c r="AP292" i="1"/>
  <c r="F291" i="1"/>
  <c r="O291" i="1"/>
  <c r="BB289" i="1"/>
  <c r="AP287" i="1"/>
  <c r="F286" i="1"/>
  <c r="O286" i="1"/>
  <c r="AA286" i="1"/>
  <c r="BB282" i="1"/>
  <c r="AP281" i="1"/>
  <c r="F280" i="1"/>
  <c r="O280" i="1"/>
  <c r="BB278" i="1"/>
  <c r="AP277" i="1"/>
  <c r="F276" i="1"/>
  <c r="O276" i="1"/>
  <c r="BB273" i="1"/>
  <c r="AP272" i="1"/>
  <c r="AP473" i="1"/>
  <c r="BB424" i="1"/>
  <c r="F483" i="1"/>
  <c r="O483" i="1"/>
  <c r="F456" i="1"/>
  <c r="O456" i="1"/>
  <c r="AD525" i="1"/>
  <c r="BB496" i="1"/>
  <c r="AP476" i="1"/>
  <c r="AP460" i="1"/>
  <c r="R443" i="1"/>
  <c r="AD428" i="1"/>
  <c r="AD412" i="1"/>
  <c r="AD396" i="1"/>
  <c r="R440" i="1"/>
  <c r="R424" i="1"/>
  <c r="R408" i="1"/>
  <c r="BB392" i="1"/>
  <c r="F379" i="1"/>
  <c r="O379" i="1"/>
  <c r="AP361" i="1"/>
  <c r="AP351" i="1"/>
  <c r="F346" i="1"/>
  <c r="O346" i="1"/>
  <c r="AA346" i="1"/>
  <c r="AP343" i="1"/>
  <c r="BB339" i="1"/>
  <c r="F337" i="1"/>
  <c r="O337" i="1"/>
  <c r="AP334" i="1"/>
  <c r="BB331" i="1"/>
  <c r="F329" i="1"/>
  <c r="O329" i="1"/>
  <c r="AP325" i="1"/>
  <c r="BB322" i="1"/>
  <c r="F320" i="1"/>
  <c r="O320" i="1"/>
  <c r="AP317" i="1"/>
  <c r="BB313" i="1"/>
  <c r="F309" i="1"/>
  <c r="O309" i="1"/>
  <c r="AP306" i="1"/>
  <c r="BB302" i="1"/>
  <c r="F299" i="1"/>
  <c r="O299" i="1"/>
  <c r="AP296" i="1"/>
  <c r="BB291" i="1"/>
  <c r="F289" i="1"/>
  <c r="O289" i="1"/>
  <c r="AP285" i="1"/>
  <c r="BB280" i="1"/>
  <c r="F278" i="1"/>
  <c r="O278" i="1"/>
  <c r="AP274" i="1"/>
  <c r="BB271" i="1"/>
  <c r="AP270" i="1"/>
  <c r="F269" i="1"/>
  <c r="O269" i="1"/>
  <c r="AP267" i="1"/>
  <c r="AP265" i="1"/>
  <c r="F264" i="1"/>
  <c r="O264" i="1"/>
  <c r="BB262" i="1"/>
  <c r="AP261" i="1"/>
  <c r="F260" i="1"/>
  <c r="O260" i="1"/>
  <c r="BB257" i="1"/>
  <c r="AP256" i="1"/>
  <c r="F255" i="1"/>
  <c r="O255" i="1"/>
  <c r="BB253" i="1"/>
  <c r="AP252" i="1"/>
  <c r="F251" i="1"/>
  <c r="O251" i="1"/>
  <c r="BB249" i="1"/>
  <c r="AP248" i="1"/>
  <c r="F247" i="1"/>
  <c r="O247" i="1"/>
  <c r="BB245" i="1"/>
  <c r="AP244" i="1"/>
  <c r="F243" i="1"/>
  <c r="O243" i="1"/>
  <c r="BB241" i="1"/>
  <c r="AP240" i="1"/>
  <c r="F239" i="1"/>
  <c r="O239" i="1"/>
  <c r="BB236" i="1"/>
  <c r="AP235" i="1"/>
  <c r="F234" i="1"/>
  <c r="O234" i="1"/>
  <c r="BB232" i="1"/>
  <c r="AP231" i="1"/>
  <c r="F230" i="1"/>
  <c r="O230" i="1"/>
  <c r="BB228" i="1"/>
  <c r="AP227" i="1"/>
  <c r="F226" i="1"/>
  <c r="O226" i="1"/>
  <c r="BB224" i="1"/>
  <c r="AP223" i="1"/>
  <c r="F222" i="1"/>
  <c r="O222" i="1"/>
  <c r="BB220" i="1"/>
  <c r="AP219" i="1"/>
  <c r="F218" i="1"/>
  <c r="O218" i="1"/>
  <c r="BB216" i="1"/>
  <c r="AP215" i="1"/>
  <c r="F214" i="1"/>
  <c r="O214" i="1"/>
  <c r="BB212" i="1"/>
  <c r="AP211" i="1"/>
  <c r="F210" i="1"/>
  <c r="O210" i="1"/>
  <c r="F441" i="1"/>
  <c r="O441" i="1"/>
  <c r="F437" i="1"/>
  <c r="O437" i="1"/>
  <c r="F433" i="1"/>
  <c r="O433" i="1"/>
  <c r="F429" i="1"/>
  <c r="O429" i="1"/>
  <c r="F425" i="1"/>
  <c r="O425" i="1"/>
  <c r="F421" i="1"/>
  <c r="O421" i="1"/>
  <c r="F417" i="1"/>
  <c r="O417" i="1"/>
  <c r="F413" i="1"/>
  <c r="O413" i="1"/>
  <c r="F409" i="1"/>
  <c r="O409" i="1"/>
  <c r="F405" i="1"/>
  <c r="O405" i="1"/>
  <c r="F401" i="1"/>
  <c r="O401" i="1"/>
  <c r="F397" i="1"/>
  <c r="O397" i="1"/>
  <c r="AD393" i="1"/>
  <c r="AD391" i="1"/>
  <c r="AD389" i="1"/>
  <c r="AD386" i="1"/>
  <c r="AD384" i="1"/>
  <c r="AD382" i="1"/>
  <c r="AD378" i="1"/>
  <c r="AD376" i="1"/>
  <c r="AD371" i="1"/>
  <c r="AD369" i="1"/>
  <c r="AD364" i="1"/>
  <c r="AD361" i="1"/>
  <c r="AD359" i="1"/>
  <c r="AD357" i="1"/>
  <c r="AD355" i="1"/>
  <c r="AD353" i="1"/>
  <c r="AD351" i="1"/>
  <c r="AD349" i="1"/>
  <c r="AD347" i="1"/>
  <c r="AD345" i="1"/>
  <c r="AD343" i="1"/>
  <c r="AD340" i="1"/>
  <c r="AD338" i="1"/>
  <c r="AD336" i="1"/>
  <c r="AD334" i="1"/>
  <c r="AD332" i="1"/>
  <c r="AP440" i="1"/>
  <c r="AP438" i="1"/>
  <c r="AP436" i="1"/>
  <c r="AP434" i="1"/>
  <c r="AP432" i="1"/>
  <c r="AP430" i="1"/>
  <c r="AP428" i="1"/>
  <c r="AP426" i="1"/>
  <c r="AP424" i="1"/>
  <c r="AP422" i="1"/>
  <c r="AP420" i="1"/>
  <c r="AP418" i="1"/>
  <c r="AP416" i="1"/>
  <c r="AP414" i="1"/>
  <c r="AP412" i="1"/>
  <c r="AP410" i="1"/>
  <c r="AP408" i="1"/>
  <c r="AP406" i="1"/>
  <c r="AP404" i="1"/>
  <c r="AP402" i="1"/>
  <c r="AP400" i="1"/>
  <c r="AP398" i="1"/>
  <c r="AP396" i="1"/>
  <c r="AP394" i="1"/>
  <c r="AD392" i="1"/>
  <c r="AD390" i="1"/>
  <c r="AD387" i="1"/>
  <c r="AD385" i="1"/>
  <c r="AD383" i="1"/>
  <c r="AD379" i="1"/>
  <c r="AD377" i="1"/>
  <c r="AD372" i="1"/>
  <c r="AD370" i="1"/>
  <c r="AD365" i="1"/>
  <c r="AD362" i="1"/>
  <c r="AD360" i="1"/>
  <c r="AD358" i="1"/>
  <c r="AD356" i="1"/>
  <c r="AD354" i="1"/>
  <c r="AD352" i="1"/>
  <c r="AD350" i="1"/>
  <c r="AD348" i="1"/>
  <c r="AD346" i="1"/>
  <c r="AD344" i="1"/>
  <c r="AD342" i="1"/>
  <c r="AP372" i="1"/>
  <c r="AP379" i="1"/>
  <c r="AP385" i="1"/>
  <c r="AP390" i="1"/>
  <c r="F395" i="1"/>
  <c r="O395" i="1"/>
  <c r="F403" i="1"/>
  <c r="O403" i="1"/>
  <c r="F411" i="1"/>
  <c r="O411" i="1"/>
  <c r="F419" i="1"/>
  <c r="O419" i="1"/>
  <c r="F427" i="1"/>
  <c r="O427" i="1"/>
  <c r="F435" i="1"/>
  <c r="O435" i="1"/>
  <c r="AP209" i="1"/>
  <c r="F212" i="1"/>
  <c r="O212" i="1"/>
  <c r="BB214" i="1"/>
  <c r="AP217" i="1"/>
  <c r="F220" i="1"/>
  <c r="O220" i="1"/>
  <c r="BB222" i="1"/>
  <c r="AP225" i="1"/>
  <c r="F228" i="1"/>
  <c r="O228" i="1"/>
  <c r="AA228" i="1"/>
  <c r="AM228" i="1"/>
  <c r="AY228" i="1"/>
  <c r="BB230" i="1"/>
  <c r="AP233" i="1"/>
  <c r="F236" i="1"/>
  <c r="O236" i="1"/>
  <c r="BB239" i="1"/>
  <c r="AP242" i="1"/>
  <c r="F245" i="1"/>
  <c r="O245" i="1"/>
  <c r="BB247" i="1"/>
  <c r="AP250" i="1"/>
  <c r="F253" i="1"/>
  <c r="O253" i="1"/>
  <c r="BB255" i="1"/>
  <c r="AP259" i="1"/>
  <c r="F262" i="1"/>
  <c r="O262" i="1"/>
  <c r="AA262" i="1"/>
  <c r="AM262" i="1"/>
  <c r="AY262" i="1"/>
  <c r="BB264" i="1"/>
  <c r="AD268" i="1"/>
  <c r="F271" i="1"/>
  <c r="O271" i="1"/>
  <c r="BB276" i="1"/>
  <c r="F282" i="1"/>
  <c r="O282" i="1"/>
  <c r="AP290" i="1"/>
  <c r="BB297" i="1"/>
  <c r="F304" i="1"/>
  <c r="O304" i="1"/>
  <c r="AA304" i="1"/>
  <c r="AM304" i="1"/>
  <c r="AY304" i="1"/>
  <c r="AP311" i="1"/>
  <c r="BB318" i="1"/>
  <c r="F324" i="1"/>
  <c r="O324" i="1"/>
  <c r="AP330" i="1"/>
  <c r="BB335" i="1"/>
  <c r="F342" i="1"/>
  <c r="O342" i="1"/>
  <c r="BB348" i="1"/>
  <c r="BB370" i="1"/>
  <c r="R400" i="1"/>
  <c r="R432" i="1"/>
  <c r="AD404" i="1"/>
  <c r="AD436" i="1"/>
  <c r="AP468" i="1"/>
  <c r="F508" i="1"/>
  <c r="O508" i="1"/>
  <c r="BB467" i="1"/>
  <c r="AP479" i="1"/>
  <c r="AD490" i="1"/>
  <c r="AD481" i="1"/>
  <c r="R532" i="1"/>
  <c r="AP481" i="1"/>
  <c r="AP465" i="1"/>
  <c r="AP448" i="1"/>
  <c r="BB509" i="1"/>
  <c r="F489" i="1"/>
  <c r="O489" i="1"/>
  <c r="AP471" i="1"/>
  <c r="AP454" i="1"/>
  <c r="BB440" i="1"/>
  <c r="F430" i="1"/>
  <c r="O430" i="1"/>
  <c r="AP419" i="1"/>
  <c r="BB408" i="1"/>
  <c r="F398" i="1"/>
  <c r="O398" i="1"/>
  <c r="R509" i="1"/>
  <c r="BB487" i="1"/>
  <c r="R479" i="1"/>
  <c r="R471" i="1"/>
  <c r="R463" i="1"/>
  <c r="BB459" i="1"/>
  <c r="R454" i="1"/>
  <c r="BB450" i="1"/>
  <c r="R446" i="1"/>
  <c r="AD529" i="1"/>
  <c r="AD518" i="1"/>
  <c r="AP511" i="1"/>
  <c r="BB504" i="1"/>
  <c r="F500" i="1"/>
  <c r="O500" i="1"/>
  <c r="AP494" i="1"/>
  <c r="BB488" i="1"/>
  <c r="F484" i="1"/>
  <c r="O484" i="1"/>
  <c r="AD478" i="1"/>
  <c r="BB474" i="1"/>
  <c r="AD470" i="1"/>
  <c r="BB466" i="1"/>
  <c r="AD462" i="1"/>
  <c r="BB457" i="1"/>
  <c r="AD453" i="1"/>
  <c r="BB449" i="1"/>
  <c r="AD445" i="1"/>
  <c r="R441" i="1"/>
  <c r="AD438" i="1"/>
  <c r="AD434" i="1"/>
  <c r="AD430" i="1"/>
  <c r="AD426" i="1"/>
  <c r="AD422" i="1"/>
  <c r="AD418" i="1"/>
  <c r="AD414" i="1"/>
  <c r="AD410" i="1"/>
  <c r="AD406" i="1"/>
  <c r="AD402" i="1"/>
  <c r="AD398" i="1"/>
  <c r="AD394" i="1"/>
  <c r="BB391" i="1"/>
  <c r="F389" i="1"/>
  <c r="O389" i="1"/>
  <c r="R385" i="1"/>
  <c r="R438" i="1"/>
  <c r="R434" i="1"/>
  <c r="R430" i="1"/>
  <c r="R426" i="1"/>
  <c r="R422" i="1"/>
  <c r="R418" i="1"/>
  <c r="R414" i="1"/>
  <c r="R410" i="1"/>
  <c r="R406" i="1"/>
  <c r="R402" i="1"/>
  <c r="R398" i="1"/>
  <c r="R394" i="1"/>
  <c r="AP391" i="1"/>
  <c r="BB387" i="1"/>
  <c r="F385" i="1"/>
  <c r="O385" i="1"/>
  <c r="AP382" i="1"/>
  <c r="BB377" i="1"/>
  <c r="F372" i="1"/>
  <c r="O372" i="1"/>
  <c r="AA372" i="1"/>
  <c r="AP369" i="1"/>
  <c r="BB362" i="1"/>
  <c r="F360" i="1"/>
  <c r="O360" i="1"/>
  <c r="AA360" i="1"/>
  <c r="AP357" i="1"/>
  <c r="BB354" i="1"/>
  <c r="F352" i="1"/>
  <c r="O352" i="1"/>
  <c r="AA352" i="1"/>
  <c r="BB350" i="1"/>
  <c r="AP349" i="1"/>
  <c r="F348" i="1"/>
  <c r="O348" i="1"/>
  <c r="AA348" i="1"/>
  <c r="BB346" i="1"/>
  <c r="F414" i="1"/>
  <c r="O414" i="1"/>
  <c r="AP435" i="1"/>
  <c r="AP463" i="1"/>
  <c r="R499" i="1"/>
  <c r="AP456" i="1"/>
  <c r="BB499" i="1"/>
  <c r="AP514" i="1"/>
  <c r="BH986" i="1"/>
  <c r="AV986" i="1"/>
  <c r="AJ986" i="1"/>
  <c r="X986" i="1"/>
  <c r="L986" i="1"/>
  <c r="BG986" i="1"/>
  <c r="AU986" i="1"/>
  <c r="AI986" i="1"/>
  <c r="W986" i="1"/>
  <c r="K986" i="1"/>
  <c r="BJ986" i="1"/>
  <c r="AT986" i="1"/>
  <c r="V986" i="1"/>
  <c r="BI986" i="1"/>
  <c r="M986" i="1"/>
  <c r="AG986" i="1"/>
  <c r="AW986" i="1"/>
  <c r="AS986" i="1"/>
  <c r="BD986" i="1"/>
  <c r="AF986" i="1"/>
  <c r="H986" i="1"/>
  <c r="AQ986" i="1"/>
  <c r="S986" i="1"/>
  <c r="BF986" i="1"/>
  <c r="J986" i="1"/>
  <c r="BE986" i="1"/>
  <c r="Y986" i="1"/>
  <c r="AP607" i="1"/>
  <c r="AD506" i="1"/>
  <c r="BB560" i="1"/>
  <c r="BB526" i="1"/>
  <c r="AD505" i="1"/>
  <c r="AD489" i="1"/>
  <c r="AD473" i="1"/>
  <c r="AD465" i="1"/>
  <c r="AD456" i="1"/>
  <c r="AD448" i="1"/>
  <c r="R523" i="1"/>
  <c r="R505" i="1"/>
  <c r="F495" i="1"/>
  <c r="O495" i="1"/>
  <c r="BB483" i="1"/>
  <c r="BB479" i="1"/>
  <c r="BB471" i="1"/>
  <c r="R467" i="1"/>
  <c r="BB463" i="1"/>
  <c r="R459" i="1"/>
  <c r="BB454" i="1"/>
  <c r="R450" i="1"/>
  <c r="BB446" i="1"/>
  <c r="F443" i="1"/>
  <c r="O443" i="1"/>
  <c r="AD526" i="1"/>
  <c r="AD515" i="1"/>
  <c r="R507" i="1"/>
  <c r="BB501" i="1"/>
  <c r="F497" i="1"/>
  <c r="O497" i="1"/>
  <c r="R491" i="1"/>
  <c r="BB485" i="1"/>
  <c r="R481" i="1"/>
  <c r="BB477" i="1"/>
  <c r="R473" i="1"/>
  <c r="BB469" i="1"/>
  <c r="R465" i="1"/>
  <c r="BB461" i="1"/>
  <c r="R456" i="1"/>
  <c r="BB452" i="1"/>
  <c r="R448" i="1"/>
  <c r="BB444" i="1"/>
  <c r="F442" i="1"/>
  <c r="O442" i="1"/>
  <c r="AP439" i="1"/>
  <c r="BB436" i="1"/>
  <c r="F434" i="1"/>
  <c r="O434" i="1"/>
  <c r="AA434" i="1"/>
  <c r="AP431" i="1"/>
  <c r="BB428" i="1"/>
  <c r="F426" i="1"/>
  <c r="O426" i="1"/>
  <c r="AP423" i="1"/>
  <c r="BB420" i="1"/>
  <c r="F418" i="1"/>
  <c r="O418" i="1"/>
  <c r="AA418" i="1"/>
  <c r="AP415" i="1"/>
  <c r="BB412" i="1"/>
  <c r="F410" i="1"/>
  <c r="O410" i="1"/>
  <c r="AP407" i="1"/>
  <c r="BB404" i="1"/>
  <c r="F402" i="1"/>
  <c r="O402" i="1"/>
  <c r="AA402" i="1"/>
  <c r="AP399" i="1"/>
  <c r="BB396" i="1"/>
  <c r="F394" i="1"/>
  <c r="O394" i="1"/>
  <c r="R524" i="1"/>
  <c r="R513" i="1"/>
  <c r="F507" i="1"/>
  <c r="O507" i="1"/>
  <c r="AA507" i="1"/>
  <c r="R501" i="1"/>
  <c r="BB495" i="1"/>
  <c r="F491" i="1"/>
  <c r="O491" i="1"/>
  <c r="AA491" i="1"/>
  <c r="F538" i="1"/>
  <c r="O538" i="1"/>
  <c r="BB543" i="1"/>
  <c r="AD497" i="1"/>
  <c r="AD469" i="1"/>
  <c r="AD452" i="1"/>
  <c r="R512" i="1"/>
  <c r="R489" i="1"/>
  <c r="F477" i="1"/>
  <c r="O477" i="1"/>
  <c r="F469" i="1"/>
  <c r="O469" i="1"/>
  <c r="F461" i="1"/>
  <c r="O461" i="1"/>
  <c r="F452" i="1"/>
  <c r="O452" i="1"/>
  <c r="R444" i="1"/>
  <c r="AD521" i="1"/>
  <c r="F505" i="1"/>
  <c r="O505" i="1"/>
  <c r="BB493" i="1"/>
  <c r="R483" i="1"/>
  <c r="F467" i="1"/>
  <c r="O467" i="1"/>
  <c r="F459" i="1"/>
  <c r="O459" i="1"/>
  <c r="AA459" i="1"/>
  <c r="F450" i="1"/>
  <c r="O450" i="1"/>
  <c r="AP443" i="1"/>
  <c r="F438" i="1"/>
  <c r="O438" i="1"/>
  <c r="BB432" i="1"/>
  <c r="AP427" i="1"/>
  <c r="F422" i="1"/>
  <c r="O422" i="1"/>
  <c r="BB416" i="1"/>
  <c r="AP411" i="1"/>
  <c r="F406" i="1"/>
  <c r="O406" i="1"/>
  <c r="BB400" i="1"/>
  <c r="AP395" i="1"/>
  <c r="R517" i="1"/>
  <c r="BB503" i="1"/>
  <c r="R493" i="1"/>
  <c r="R485" i="1"/>
  <c r="F481" i="1"/>
  <c r="O481" i="1"/>
  <c r="AP477" i="1"/>
  <c r="F473" i="1"/>
  <c r="O473" i="1"/>
  <c r="AA473" i="1"/>
  <c r="AM473" i="1"/>
  <c r="AP469" i="1"/>
  <c r="F465" i="1"/>
  <c r="O465" i="1"/>
  <c r="AP462" i="1"/>
  <c r="BB460" i="1"/>
  <c r="F457" i="1"/>
  <c r="O457" i="1"/>
  <c r="AD455" i="1"/>
  <c r="AP453" i="1"/>
  <c r="BB451" i="1"/>
  <c r="F449" i="1"/>
  <c r="O449" i="1"/>
  <c r="AD447" i="1"/>
  <c r="AP445" i="1"/>
  <c r="AD443" i="1"/>
  <c r="AD527" i="1"/>
  <c r="AD523" i="1"/>
  <c r="AD516" i="1"/>
  <c r="AD512" i="1"/>
  <c r="F509" i="1"/>
  <c r="O509" i="1"/>
  <c r="BB505" i="1"/>
  <c r="R503" i="1"/>
  <c r="F501" i="1"/>
  <c r="O501" i="1"/>
  <c r="BB497" i="1"/>
  <c r="R495" i="1"/>
  <c r="F493" i="1"/>
  <c r="O493" i="1"/>
  <c r="BB489" i="1"/>
  <c r="R487" i="1"/>
  <c r="F485" i="1"/>
  <c r="O485" i="1"/>
  <c r="BB481" i="1"/>
  <c r="F479" i="1"/>
  <c r="O479" i="1"/>
  <c r="AA479" i="1"/>
  <c r="R477" i="1"/>
  <c r="BB473" i="1"/>
  <c r="F471" i="1"/>
  <c r="O471" i="1"/>
  <c r="AA471" i="1"/>
  <c r="R469" i="1"/>
  <c r="AP467" i="1"/>
  <c r="BB465" i="1"/>
  <c r="F463" i="1"/>
  <c r="O463" i="1"/>
  <c r="R461" i="1"/>
  <c r="AP459" i="1"/>
  <c r="BB456" i="1"/>
  <c r="F454" i="1"/>
  <c r="O454" i="1"/>
  <c r="R452" i="1"/>
  <c r="AP450" i="1"/>
  <c r="BB448" i="1"/>
  <c r="F446" i="1"/>
  <c r="O446" i="1"/>
  <c r="AD444" i="1"/>
  <c r="AD442" i="1"/>
  <c r="BB441" i="1"/>
  <c r="AD439" i="1"/>
  <c r="AD437" i="1"/>
  <c r="AD435" i="1"/>
  <c r="AD433" i="1"/>
  <c r="AD431" i="1"/>
  <c r="AD429" i="1"/>
  <c r="AD427" i="1"/>
  <c r="AD425" i="1"/>
  <c r="AD423" i="1"/>
  <c r="AD421" i="1"/>
  <c r="AD419" i="1"/>
  <c r="AD417" i="1"/>
  <c r="AD415" i="1"/>
  <c r="AD413" i="1"/>
  <c r="AD411" i="1"/>
  <c r="AD409" i="1"/>
  <c r="AD407" i="1"/>
  <c r="AD405" i="1"/>
  <c r="AD403" i="1"/>
  <c r="AD401" i="1"/>
  <c r="AD399" i="1"/>
  <c r="AD397" i="1"/>
  <c r="AD395" i="1"/>
  <c r="BB393" i="1"/>
  <c r="R392" i="1"/>
  <c r="F391" i="1"/>
  <c r="O391" i="1"/>
  <c r="BB389" i="1"/>
  <c r="R387" i="1"/>
  <c r="F386" i="1"/>
  <c r="O386" i="1"/>
  <c r="AD441" i="1"/>
  <c r="R439" i="1"/>
  <c r="R437" i="1"/>
  <c r="R435" i="1"/>
  <c r="R433" i="1"/>
  <c r="R431" i="1"/>
  <c r="R429" i="1"/>
  <c r="R427" i="1"/>
  <c r="R425" i="1"/>
  <c r="R423" i="1"/>
  <c r="R421" i="1"/>
  <c r="R419" i="1"/>
  <c r="R417" i="1"/>
  <c r="R415" i="1"/>
  <c r="R413" i="1"/>
  <c r="R411" i="1"/>
  <c r="R409" i="1"/>
  <c r="AA409" i="1"/>
  <c r="R407" i="1"/>
  <c r="R405" i="1"/>
  <c r="R403" i="1"/>
  <c r="R401" i="1"/>
  <c r="R399" i="1"/>
  <c r="R397" i="1"/>
  <c r="R395" i="1"/>
  <c r="AP393" i="1"/>
  <c r="F392" i="1"/>
  <c r="O392" i="1"/>
  <c r="BB390" i="1"/>
  <c r="AP389" i="1"/>
  <c r="F387" i="1"/>
  <c r="O387" i="1"/>
  <c r="BB385" i="1"/>
  <c r="AP384" i="1"/>
  <c r="F383" i="1"/>
  <c r="O383" i="1"/>
  <c r="BB379" i="1"/>
  <c r="AP378" i="1"/>
  <c r="F377" i="1"/>
  <c r="O377" i="1"/>
  <c r="AA377" i="1"/>
  <c r="AM377" i="1"/>
  <c r="AY377" i="1"/>
  <c r="BL377" i="1"/>
  <c r="BB372" i="1"/>
  <c r="AP371" i="1"/>
  <c r="F370" i="1"/>
  <c r="O370" i="1"/>
  <c r="AA370" i="1"/>
  <c r="BB365" i="1"/>
  <c r="AP364" i="1"/>
  <c r="F362" i="1"/>
  <c r="O362" i="1"/>
  <c r="AA362" i="1"/>
  <c r="BB360" i="1"/>
  <c r="AP359" i="1"/>
  <c r="F358" i="1"/>
  <c r="O358" i="1"/>
  <c r="AA358" i="1"/>
  <c r="BB356" i="1"/>
  <c r="AP355" i="1"/>
  <c r="F354" i="1"/>
  <c r="O354" i="1"/>
  <c r="AA354" i="1"/>
  <c r="AM354" i="1"/>
  <c r="BB352" i="1"/>
  <c r="U986" i="1"/>
  <c r="AK986" i="1"/>
  <c r="G986" i="1"/>
  <c r="BC986" i="1"/>
  <c r="AR986" i="1"/>
  <c r="AD544" i="1"/>
  <c r="BB512" i="1"/>
  <c r="AD477" i="1"/>
  <c r="AD485" i="1"/>
  <c r="AD493" i="1"/>
  <c r="AD501" i="1"/>
  <c r="AD509" i="1"/>
  <c r="AP518" i="1"/>
  <c r="BB534" i="1"/>
  <c r="BB551" i="1"/>
  <c r="AD482" i="1"/>
  <c r="AD498" i="1"/>
  <c r="F521" i="1"/>
  <c r="O521" i="1"/>
  <c r="AP565" i="1"/>
  <c r="AP604" i="1"/>
  <c r="F537" i="1"/>
  <c r="O537" i="1"/>
  <c r="AD611" i="1"/>
  <c r="AD624" i="1"/>
  <c r="BB586" i="1"/>
  <c r="R624" i="1"/>
  <c r="BB584" i="1"/>
  <c r="AP561" i="1"/>
  <c r="AP574" i="1"/>
  <c r="R534" i="1"/>
  <c r="F555" i="1"/>
  <c r="O555" i="1"/>
  <c r="F543" i="1"/>
  <c r="O543" i="1"/>
  <c r="F534" i="1"/>
  <c r="O534" i="1"/>
  <c r="F526" i="1"/>
  <c r="O526" i="1"/>
  <c r="F515" i="1"/>
  <c r="O515" i="1"/>
  <c r="AD508" i="1"/>
  <c r="AD504" i="1"/>
  <c r="AD500" i="1"/>
  <c r="AD496" i="1"/>
  <c r="AD492" i="1"/>
  <c r="AD488" i="1"/>
  <c r="AD484" i="1"/>
  <c r="BB572" i="1"/>
  <c r="BB564" i="1"/>
  <c r="BB557" i="1"/>
  <c r="BB553" i="1"/>
  <c r="BB549" i="1"/>
  <c r="BB545" i="1"/>
  <c r="BB540" i="1"/>
  <c r="BB536" i="1"/>
  <c r="BB532" i="1"/>
  <c r="BB528" i="1"/>
  <c r="BB524" i="1"/>
  <c r="BB521" i="1"/>
  <c r="BB517" i="1"/>
  <c r="BB515" i="1"/>
  <c r="BB513" i="1"/>
  <c r="R511" i="1"/>
  <c r="R508" i="1"/>
  <c r="R506" i="1"/>
  <c r="R504" i="1"/>
  <c r="R502" i="1"/>
  <c r="R500" i="1"/>
  <c r="AA500" i="1"/>
  <c r="R498" i="1"/>
  <c r="R496" i="1"/>
  <c r="R494" i="1"/>
  <c r="R492" i="1"/>
  <c r="R490" i="1"/>
  <c r="R488" i="1"/>
  <c r="R486" i="1"/>
  <c r="R484" i="1"/>
  <c r="R482" i="1"/>
  <c r="R480" i="1"/>
  <c r="R478" i="1"/>
  <c r="R476" i="1"/>
  <c r="R474" i="1"/>
  <c r="R472" i="1"/>
  <c r="R470" i="1"/>
  <c r="R468" i="1"/>
  <c r="R466" i="1"/>
  <c r="R464" i="1"/>
  <c r="R462" i="1"/>
  <c r="R460" i="1"/>
  <c r="R457" i="1"/>
  <c r="R455" i="1"/>
  <c r="R453" i="1"/>
  <c r="R451" i="1"/>
  <c r="R449" i="1"/>
  <c r="R447" i="1"/>
  <c r="R445" i="1"/>
  <c r="R529" i="1"/>
  <c r="R525" i="1"/>
  <c r="R518" i="1"/>
  <c r="R514" i="1"/>
  <c r="F511" i="1"/>
  <c r="O511" i="1"/>
  <c r="BB506" i="1"/>
  <c r="AP504" i="1"/>
  <c r="F502" i="1"/>
  <c r="O502" i="1"/>
  <c r="BB498" i="1"/>
  <c r="AP496" i="1"/>
  <c r="F494" i="1"/>
  <c r="O494" i="1"/>
  <c r="BB490" i="1"/>
  <c r="AP488" i="1"/>
  <c r="F486" i="1"/>
  <c r="O486" i="1"/>
  <c r="AD464" i="1"/>
  <c r="F466" i="1"/>
  <c r="O466" i="1"/>
  <c r="BB468" i="1"/>
  <c r="AP470" i="1"/>
  <c r="AD472" i="1"/>
  <c r="F474" i="1"/>
  <c r="O474" i="1"/>
  <c r="AA474" i="1"/>
  <c r="BB476" i="1"/>
  <c r="AP478" i="1"/>
  <c r="AD480" i="1"/>
  <c r="F482" i="1"/>
  <c r="O482" i="1"/>
  <c r="AP484" i="1"/>
  <c r="BB486" i="1"/>
  <c r="F490" i="1"/>
  <c r="O490" i="1"/>
  <c r="AP492" i="1"/>
  <c r="BB494" i="1"/>
  <c r="F498" i="1"/>
  <c r="O498" i="1"/>
  <c r="AP500" i="1"/>
  <c r="BB502" i="1"/>
  <c r="F506" i="1"/>
  <c r="O506" i="1"/>
  <c r="AP508" i="1"/>
  <c r="BB511" i="1"/>
  <c r="R515" i="1"/>
  <c r="R521" i="1"/>
  <c r="R526" i="1"/>
  <c r="R530" i="1"/>
  <c r="BB394" i="1"/>
  <c r="F396" i="1"/>
  <c r="O396" i="1"/>
  <c r="AP397" i="1"/>
  <c r="BB398" i="1"/>
  <c r="F400" i="1"/>
  <c r="O400" i="1"/>
  <c r="AP401" i="1"/>
  <c r="BB402" i="1"/>
  <c r="F404" i="1"/>
  <c r="O404" i="1"/>
  <c r="AA404" i="1"/>
  <c r="AM404" i="1"/>
  <c r="AP405" i="1"/>
  <c r="BB406" i="1"/>
  <c r="F408" i="1"/>
  <c r="O408" i="1"/>
  <c r="AP409" i="1"/>
  <c r="BB410" i="1"/>
  <c r="F412" i="1"/>
  <c r="O412" i="1"/>
  <c r="AP413" i="1"/>
  <c r="BB414" i="1"/>
  <c r="F416" i="1"/>
  <c r="O416" i="1"/>
  <c r="AA416" i="1"/>
  <c r="AM416" i="1"/>
  <c r="AY416" i="1"/>
  <c r="AP417" i="1"/>
  <c r="BB418" i="1"/>
  <c r="F420" i="1"/>
  <c r="O420" i="1"/>
  <c r="AA420" i="1"/>
  <c r="AM420" i="1"/>
  <c r="AP421" i="1"/>
  <c r="BB422" i="1"/>
  <c r="F424" i="1"/>
  <c r="O424" i="1"/>
  <c r="AP425" i="1"/>
  <c r="BB426" i="1"/>
  <c r="F428" i="1"/>
  <c r="O428" i="1"/>
  <c r="AP429" i="1"/>
  <c r="BB430" i="1"/>
  <c r="F432" i="1"/>
  <c r="O432" i="1"/>
  <c r="AP433" i="1"/>
  <c r="BB434" i="1"/>
  <c r="F436" i="1"/>
  <c r="O436" i="1"/>
  <c r="AA436" i="1"/>
  <c r="AP437" i="1"/>
  <c r="BB438" i="1"/>
  <c r="F440" i="1"/>
  <c r="O440" i="1"/>
  <c r="AP441" i="1"/>
  <c r="BB442" i="1"/>
  <c r="F444" i="1"/>
  <c r="O444" i="1"/>
  <c r="BB445" i="1"/>
  <c r="AP447" i="1"/>
  <c r="AD449" i="1"/>
  <c r="F451" i="1"/>
  <c r="O451" i="1"/>
  <c r="BB453" i="1"/>
  <c r="AP455" i="1"/>
  <c r="AD457" i="1"/>
  <c r="F460" i="1"/>
  <c r="O460" i="1"/>
  <c r="AA460" i="1"/>
  <c r="BB462" i="1"/>
  <c r="AP464" i="1"/>
  <c r="AD466" i="1"/>
  <c r="F468" i="1"/>
  <c r="O468" i="1"/>
  <c r="BB470" i="1"/>
  <c r="AP472" i="1"/>
  <c r="AD474" i="1"/>
  <c r="F476" i="1"/>
  <c r="O476" i="1"/>
  <c r="BB478" i="1"/>
  <c r="AP480" i="1"/>
  <c r="AP482" i="1"/>
  <c r="BB484" i="1"/>
  <c r="F488" i="1"/>
  <c r="O488" i="1"/>
  <c r="AP490" i="1"/>
  <c r="BB492" i="1"/>
  <c r="F496" i="1"/>
  <c r="O496" i="1"/>
  <c r="AP498" i="1"/>
  <c r="BB500" i="1"/>
  <c r="F504" i="1"/>
  <c r="O504" i="1"/>
  <c r="AP506" i="1"/>
  <c r="BB508" i="1"/>
  <c r="AD513" i="1"/>
  <c r="AD517" i="1"/>
  <c r="AD524" i="1"/>
  <c r="AD528" i="1"/>
  <c r="R442" i="1"/>
  <c r="BB443" i="1"/>
  <c r="F445" i="1"/>
  <c r="O445" i="1"/>
  <c r="BB447" i="1"/>
  <c r="AP449" i="1"/>
  <c r="AD451" i="1"/>
  <c r="F453" i="1"/>
  <c r="O453" i="1"/>
  <c r="BB455" i="1"/>
  <c r="AP457" i="1"/>
  <c r="AD460" i="1"/>
  <c r="F462" i="1"/>
  <c r="O462" i="1"/>
  <c r="BB464" i="1"/>
  <c r="AP466" i="1"/>
  <c r="AD468" i="1"/>
  <c r="F470" i="1"/>
  <c r="O470" i="1"/>
  <c r="BB472" i="1"/>
  <c r="AP474" i="1"/>
  <c r="AD476" i="1"/>
  <c r="F478" i="1"/>
  <c r="O478" i="1"/>
  <c r="BB480" i="1"/>
  <c r="BB482" i="1"/>
  <c r="F487" i="1"/>
  <c r="O487" i="1"/>
  <c r="BB491" i="1"/>
  <c r="R497" i="1"/>
  <c r="F503" i="1"/>
  <c r="O503" i="1"/>
  <c r="BB507" i="1"/>
  <c r="R516" i="1"/>
  <c r="R527" i="1"/>
  <c r="AD446" i="1"/>
  <c r="AD450" i="1"/>
  <c r="AD454" i="1"/>
  <c r="AD459" i="1"/>
  <c r="AD463" i="1"/>
  <c r="AD467" i="1"/>
  <c r="AD471" i="1"/>
  <c r="AD479" i="1"/>
  <c r="AD483" i="1"/>
  <c r="AD487" i="1"/>
  <c r="AD491" i="1"/>
  <c r="AD495" i="1"/>
  <c r="AD499" i="1"/>
  <c r="AD503" i="1"/>
  <c r="AD507" i="1"/>
  <c r="AP512" i="1"/>
  <c r="AP516" i="1"/>
  <c r="AP523" i="1"/>
  <c r="BB530" i="1"/>
  <c r="BB538" i="1"/>
  <c r="BB547" i="1"/>
  <c r="BB555" i="1"/>
  <c r="AD569" i="1"/>
  <c r="AD486" i="1"/>
  <c r="AD494" i="1"/>
  <c r="AD502" i="1"/>
  <c r="AD511" i="1"/>
  <c r="F530" i="1"/>
  <c r="O530" i="1"/>
  <c r="F547" i="1"/>
  <c r="O547" i="1"/>
  <c r="R547" i="1"/>
  <c r="F566" i="1"/>
  <c r="O566" i="1"/>
  <c r="F652" i="1"/>
  <c r="O652" i="1"/>
  <c r="R653" i="1"/>
  <c r="AP577" i="1"/>
  <c r="F676" i="1"/>
  <c r="O676" i="1"/>
  <c r="F551" i="1"/>
  <c r="O551" i="1"/>
  <c r="F560" i="1"/>
  <c r="O560" i="1"/>
  <c r="F568" i="1"/>
  <c r="O568" i="1"/>
  <c r="R538" i="1"/>
  <c r="R555" i="1"/>
  <c r="AD535" i="1"/>
  <c r="AD552" i="1"/>
  <c r="R579" i="1"/>
  <c r="R575" i="1"/>
  <c r="AP594" i="1"/>
  <c r="AD614" i="1"/>
  <c r="R635" i="1"/>
  <c r="R577" i="1"/>
  <c r="AP596" i="1"/>
  <c r="AD616" i="1"/>
  <c r="R634" i="1"/>
  <c r="AP591" i="1"/>
  <c r="AD628" i="1"/>
  <c r="AP526" i="1"/>
  <c r="BB548" i="1"/>
  <c r="AD612" i="1"/>
  <c r="BB559" i="1"/>
  <c r="AP543" i="1"/>
  <c r="BB531" i="1"/>
  <c r="F518" i="1"/>
  <c r="O518" i="1"/>
  <c r="BB646" i="1"/>
  <c r="AD620" i="1"/>
  <c r="AD601" i="1"/>
  <c r="AP673" i="1"/>
  <c r="F640" i="1"/>
  <c r="O640" i="1"/>
  <c r="F628" i="1"/>
  <c r="O628" i="1"/>
  <c r="R620" i="1"/>
  <c r="R611" i="1"/>
  <c r="F601" i="1"/>
  <c r="O601" i="1"/>
  <c r="AD591" i="1"/>
  <c r="AD582" i="1"/>
  <c r="AP573" i="1"/>
  <c r="R641" i="1"/>
  <c r="BB629" i="1"/>
  <c r="BB618" i="1"/>
  <c r="R609" i="1"/>
  <c r="F599" i="1"/>
  <c r="O599" i="1"/>
  <c r="AD589" i="1"/>
  <c r="AD580" i="1"/>
  <c r="AP571" i="1"/>
  <c r="F563" i="1"/>
  <c r="O563" i="1"/>
  <c r="F570" i="1"/>
  <c r="O570" i="1"/>
  <c r="AD556" i="1"/>
  <c r="AD548" i="1"/>
  <c r="AD539" i="1"/>
  <c r="AD531" i="1"/>
  <c r="R560" i="1"/>
  <c r="R551" i="1"/>
  <c r="R543" i="1"/>
  <c r="R536" i="1"/>
  <c r="BB580" i="1"/>
  <c r="AD567" i="1"/>
  <c r="AD563" i="1"/>
  <c r="F557" i="1"/>
  <c r="O557" i="1"/>
  <c r="F553" i="1"/>
  <c r="O553" i="1"/>
  <c r="F549" i="1"/>
  <c r="O549" i="1"/>
  <c r="F545" i="1"/>
  <c r="O545" i="1"/>
  <c r="F540" i="1"/>
  <c r="O540" i="1"/>
  <c r="F536" i="1"/>
  <c r="O536" i="1"/>
  <c r="F532" i="1"/>
  <c r="O532" i="1"/>
  <c r="F528" i="1"/>
  <c r="O528" i="1"/>
  <c r="F524" i="1"/>
  <c r="O524" i="1"/>
  <c r="F517" i="1"/>
  <c r="O517" i="1"/>
  <c r="F513" i="1"/>
  <c r="O513" i="1"/>
  <c r="AP509" i="1"/>
  <c r="AP507" i="1"/>
  <c r="AP505" i="1"/>
  <c r="AP503" i="1"/>
  <c r="AP501" i="1"/>
  <c r="AP499" i="1"/>
  <c r="AP497" i="1"/>
  <c r="AP495" i="1"/>
  <c r="AP493" i="1"/>
  <c r="AP491" i="1"/>
  <c r="AP489" i="1"/>
  <c r="AP487" i="1"/>
  <c r="AP485" i="1"/>
  <c r="AP483" i="1"/>
  <c r="AP583" i="1"/>
  <c r="BB570" i="1"/>
  <c r="AP566" i="1"/>
  <c r="R563" i="1"/>
  <c r="AP559" i="1"/>
  <c r="AP556" i="1"/>
  <c r="AP554" i="1"/>
  <c r="AP552" i="1"/>
  <c r="AP550" i="1"/>
  <c r="AP548" i="1"/>
  <c r="AP546" i="1"/>
  <c r="AP544" i="1"/>
  <c r="AP542" i="1"/>
  <c r="AP539" i="1"/>
  <c r="AP537" i="1"/>
  <c r="AP535" i="1"/>
  <c r="AP533" i="1"/>
  <c r="AP531" i="1"/>
  <c r="AP529" i="1"/>
  <c r="AP527" i="1"/>
  <c r="AP525" i="1"/>
  <c r="AD741" i="1"/>
  <c r="R540" i="1"/>
  <c r="R545" i="1"/>
  <c r="R549" i="1"/>
  <c r="R553" i="1"/>
  <c r="R557" i="1"/>
  <c r="AP567" i="1"/>
  <c r="F578" i="1"/>
  <c r="O578" i="1"/>
  <c r="AD533" i="1"/>
  <c r="AD537" i="1"/>
  <c r="AD542" i="1"/>
  <c r="AD546" i="1"/>
  <c r="AD550" i="1"/>
  <c r="AD554" i="1"/>
  <c r="AD559" i="1"/>
  <c r="AD566" i="1"/>
  <c r="AP575" i="1"/>
  <c r="AD584" i="1"/>
  <c r="AD564" i="1"/>
  <c r="BB568" i="1"/>
  <c r="AD573" i="1"/>
  <c r="AP578" i="1"/>
  <c r="F582" i="1"/>
  <c r="O582" i="1"/>
  <c r="AP587" i="1"/>
  <c r="R591" i="1"/>
  <c r="AD596" i="1"/>
  <c r="BB601" i="1"/>
  <c r="AD607" i="1"/>
  <c r="AP612" i="1"/>
  <c r="F616" i="1"/>
  <c r="O616" i="1"/>
  <c r="F622" i="1"/>
  <c r="O622" i="1"/>
  <c r="BB627" i="1"/>
  <c r="AP632" i="1"/>
  <c r="R638" i="1"/>
  <c r="R645" i="1"/>
  <c r="AP666" i="1"/>
  <c r="AD575" i="1"/>
  <c r="AP580" i="1"/>
  <c r="F584" i="1"/>
  <c r="O584" i="1"/>
  <c r="AP589" i="1"/>
  <c r="R593" i="1"/>
  <c r="AD599" i="1"/>
  <c r="BB603" i="1"/>
  <c r="AD609" i="1"/>
  <c r="AP614" i="1"/>
  <c r="F618" i="1"/>
  <c r="O618" i="1"/>
  <c r="R622" i="1"/>
  <c r="R626" i="1"/>
  <c r="AD631" i="1"/>
  <c r="F637" i="1"/>
  <c r="O637" i="1"/>
  <c r="AP648" i="1"/>
  <c r="F661" i="1"/>
  <c r="O661" i="1"/>
  <c r="F586" i="1"/>
  <c r="O586" i="1"/>
  <c r="R595" i="1"/>
  <c r="BB606" i="1"/>
  <c r="AP616" i="1"/>
  <c r="AP624" i="1"/>
  <c r="AD634" i="1"/>
  <c r="R662" i="1"/>
  <c r="AP515" i="1"/>
  <c r="BB523" i="1"/>
  <c r="F529" i="1"/>
  <c r="O529" i="1"/>
  <c r="AP534" i="1"/>
  <c r="BB539" i="1"/>
  <c r="F546" i="1"/>
  <c r="O546" i="1"/>
  <c r="AP553" i="1"/>
  <c r="AP568" i="1"/>
  <c r="AP592" i="1"/>
  <c r="BB630" i="1"/>
  <c r="BB693" i="1"/>
  <c r="AD745" i="1"/>
  <c r="F854" i="1"/>
  <c r="O854" i="1"/>
  <c r="R683" i="1"/>
  <c r="F665" i="1"/>
  <c r="O665" i="1"/>
  <c r="AP650" i="1"/>
  <c r="BB777" i="1"/>
  <c r="AP731" i="1"/>
  <c r="R716" i="1"/>
  <c r="F708" i="1"/>
  <c r="O708" i="1"/>
  <c r="AD698" i="1"/>
  <c r="AD689" i="1"/>
  <c r="AP681" i="1"/>
  <c r="AD668" i="1"/>
  <c r="AD637" i="1"/>
  <c r="AP626" i="1"/>
  <c r="BB616" i="1"/>
  <c r="R607" i="1"/>
  <c r="F596" i="1"/>
  <c r="O596" i="1"/>
  <c r="AD587" i="1"/>
  <c r="AD579" i="1"/>
  <c r="BB574" i="1"/>
  <c r="AD570" i="1"/>
  <c r="R565" i="1"/>
  <c r="F561" i="1"/>
  <c r="O561" i="1"/>
  <c r="AP557" i="1"/>
  <c r="BB554" i="1"/>
  <c r="F552" i="1"/>
  <c r="O552" i="1"/>
  <c r="AP549" i="1"/>
  <c r="F548" i="1"/>
  <c r="O548" i="1"/>
  <c r="BB546" i="1"/>
  <c r="AP545" i="1"/>
  <c r="F544" i="1"/>
  <c r="O544" i="1"/>
  <c r="BB542" i="1"/>
  <c r="AP540" i="1"/>
  <c r="F539" i="1"/>
  <c r="O539" i="1"/>
  <c r="BB537" i="1"/>
  <c r="AP536" i="1"/>
  <c r="F535" i="1"/>
  <c r="O535" i="1"/>
  <c r="BB533" i="1"/>
  <c r="AP532" i="1"/>
  <c r="F531" i="1"/>
  <c r="O531" i="1"/>
  <c r="BB529" i="1"/>
  <c r="AP528" i="1"/>
  <c r="F527" i="1"/>
  <c r="O527" i="1"/>
  <c r="BB525" i="1"/>
  <c r="AP524" i="1"/>
  <c r="F523" i="1"/>
  <c r="O523" i="1"/>
  <c r="BB518" i="1"/>
  <c r="AP517" i="1"/>
  <c r="F516" i="1"/>
  <c r="O516" i="1"/>
  <c r="BB514" i="1"/>
  <c r="AP513" i="1"/>
  <c r="F512" i="1"/>
  <c r="O512" i="1"/>
  <c r="AD667" i="1"/>
  <c r="AD660" i="1"/>
  <c r="AP649" i="1"/>
  <c r="AD640" i="1"/>
  <c r="R637" i="1"/>
  <c r="BB631" i="1"/>
  <c r="F629" i="1"/>
  <c r="O629" i="1"/>
  <c r="R627" i="1"/>
  <c r="AD625" i="1"/>
  <c r="AP623" i="1"/>
  <c r="AD621" i="1"/>
  <c r="AD619" i="1"/>
  <c r="AP617" i="1"/>
  <c r="BB614" i="1"/>
  <c r="F612" i="1"/>
  <c r="O612" i="1"/>
  <c r="AD610" i="1"/>
  <c r="AP608" i="1"/>
  <c r="R604" i="1"/>
  <c r="AD602" i="1"/>
  <c r="AP600" i="1"/>
  <c r="BB596" i="1"/>
  <c r="F594" i="1"/>
  <c r="O594" i="1"/>
  <c r="AD592" i="1"/>
  <c r="AP590" i="1"/>
  <c r="R587" i="1"/>
  <c r="R571" i="1"/>
  <c r="R533" i="1"/>
  <c r="R535" i="1"/>
  <c r="R537" i="1"/>
  <c r="R539" i="1"/>
  <c r="R542" i="1"/>
  <c r="R544" i="1"/>
  <c r="R546" i="1"/>
  <c r="R548" i="1"/>
  <c r="R550" i="1"/>
  <c r="R552" i="1"/>
  <c r="R554" i="1"/>
  <c r="R556" i="1"/>
  <c r="R559" i="1"/>
  <c r="AD561" i="1"/>
  <c r="AD568" i="1"/>
  <c r="AD576" i="1"/>
  <c r="AD530" i="1"/>
  <c r="AD532" i="1"/>
  <c r="AD534" i="1"/>
  <c r="AD536" i="1"/>
  <c r="AD538" i="1"/>
  <c r="AD540" i="1"/>
  <c r="AD543" i="1"/>
  <c r="AD545" i="1"/>
  <c r="AD547" i="1"/>
  <c r="AD549" i="1"/>
  <c r="AD551" i="1"/>
  <c r="AD553" i="1"/>
  <c r="AD555" i="1"/>
  <c r="AD557" i="1"/>
  <c r="AD560" i="1"/>
  <c r="AP564" i="1"/>
  <c r="R569" i="1"/>
  <c r="AP572" i="1"/>
  <c r="AD577" i="1"/>
  <c r="AP582" i="1"/>
  <c r="R561" i="1"/>
  <c r="BB563" i="1"/>
  <c r="AD565" i="1"/>
  <c r="R567" i="1"/>
  <c r="AP570" i="1"/>
  <c r="AD572" i="1"/>
  <c r="F574" i="1"/>
  <c r="O574" i="1"/>
  <c r="BB576" i="1"/>
  <c r="AP579" i="1"/>
  <c r="AD581" i="1"/>
  <c r="R583" i="1"/>
  <c r="AP586" i="1"/>
  <c r="AD588" i="1"/>
  <c r="F590" i="1"/>
  <c r="O590" i="1"/>
  <c r="BB592" i="1"/>
  <c r="AP595" i="1"/>
  <c r="AD597" i="1"/>
  <c r="R600" i="1"/>
  <c r="AP603" i="1"/>
  <c r="AD606" i="1"/>
  <c r="F608" i="1"/>
  <c r="O608" i="1"/>
  <c r="BB610" i="1"/>
  <c r="AP613" i="1"/>
  <c r="AD615" i="1"/>
  <c r="R617" i="1"/>
  <c r="F620" i="1"/>
  <c r="O620" i="1"/>
  <c r="F623" i="1"/>
  <c r="O623" i="1"/>
  <c r="BB625" i="1"/>
  <c r="BB628" i="1"/>
  <c r="F631" i="1"/>
  <c r="O631" i="1"/>
  <c r="F634" i="1"/>
  <c r="O634" i="1"/>
  <c r="AA634" i="1"/>
  <c r="AM634" i="1"/>
  <c r="AD636" i="1"/>
  <c r="AD639" i="1"/>
  <c r="AD643" i="1"/>
  <c r="AD650" i="1"/>
  <c r="BB663" i="1"/>
  <c r="AP672" i="1"/>
  <c r="AD574" i="1"/>
  <c r="F576" i="1"/>
  <c r="O576" i="1"/>
  <c r="BB578" i="1"/>
  <c r="AP581" i="1"/>
  <c r="AD583" i="1"/>
  <c r="R585" i="1"/>
  <c r="AP588" i="1"/>
  <c r="AD590" i="1"/>
  <c r="F592" i="1"/>
  <c r="O592" i="1"/>
  <c r="BB594" i="1"/>
  <c r="AP597" i="1"/>
  <c r="AD600" i="1"/>
  <c r="R602" i="1"/>
  <c r="AP606" i="1"/>
  <c r="AD608" i="1"/>
  <c r="F610" i="1"/>
  <c r="O610" i="1"/>
  <c r="BB612" i="1"/>
  <c r="AP615" i="1"/>
  <c r="AD617" i="1"/>
  <c r="R619" i="1"/>
  <c r="R621" i="1"/>
  <c r="AD623" i="1"/>
  <c r="F625" i="1"/>
  <c r="O625" i="1"/>
  <c r="F627" i="1"/>
  <c r="O627" i="1"/>
  <c r="F630" i="1"/>
  <c r="O630" i="1"/>
  <c r="BB632" i="1"/>
  <c r="AP635" i="1"/>
  <c r="AD638" i="1"/>
  <c r="AP641" i="1"/>
  <c r="AD651" i="1"/>
  <c r="AD659" i="1"/>
  <c r="BB670" i="1"/>
  <c r="AD585" i="1"/>
  <c r="BB588" i="1"/>
  <c r="AD593" i="1"/>
  <c r="AP599" i="1"/>
  <c r="F603" i="1"/>
  <c r="O603" i="1"/>
  <c r="AP609" i="1"/>
  <c r="R613" i="1"/>
  <c r="AD618" i="1"/>
  <c r="AD622" i="1"/>
  <c r="AD626" i="1"/>
  <c r="AD630" i="1"/>
  <c r="F639" i="1"/>
  <c r="O639" i="1"/>
  <c r="AP657" i="1"/>
  <c r="F514" i="1"/>
  <c r="O514" i="1"/>
  <c r="BB516" i="1"/>
  <c r="AP521" i="1"/>
  <c r="F525" i="1"/>
  <c r="O525" i="1"/>
  <c r="BB527" i="1"/>
  <c r="AP530" i="1"/>
  <c r="F533" i="1"/>
  <c r="O533" i="1"/>
  <c r="BB535" i="1"/>
  <c r="AP538" i="1"/>
  <c r="F542" i="1"/>
  <c r="O542" i="1"/>
  <c r="BB544" i="1"/>
  <c r="AP547" i="1"/>
  <c r="BB550" i="1"/>
  <c r="F556" i="1"/>
  <c r="O556" i="1"/>
  <c r="AA556" i="1"/>
  <c r="AP563" i="1"/>
  <c r="F572" i="1"/>
  <c r="O572" i="1"/>
  <c r="BB582" i="1"/>
  <c r="AP602" i="1"/>
  <c r="AP621" i="1"/>
  <c r="F644" i="1"/>
  <c r="O644" i="1"/>
  <c r="R685" i="1"/>
  <c r="AP703" i="1"/>
  <c r="AD723" i="1"/>
  <c r="R631" i="1"/>
  <c r="BB721" i="1"/>
  <c r="F569" i="1"/>
  <c r="O569" i="1"/>
  <c r="F624" i="1"/>
  <c r="O624" i="1"/>
  <c r="R625" i="1"/>
  <c r="BB626" i="1"/>
  <c r="R628" i="1"/>
  <c r="R630" i="1"/>
  <c r="AD632" i="1"/>
  <c r="BB613" i="1"/>
  <c r="F550" i="1"/>
  <c r="O550" i="1"/>
  <c r="AP551" i="1"/>
  <c r="BB552" i="1"/>
  <c r="F554" i="1"/>
  <c r="O554" i="1"/>
  <c r="AP555" i="1"/>
  <c r="BB556" i="1"/>
  <c r="F559" i="1"/>
  <c r="O559" i="1"/>
  <c r="AP560" i="1"/>
  <c r="BB561" i="1"/>
  <c r="F564" i="1"/>
  <c r="O564" i="1"/>
  <c r="BB566" i="1"/>
  <c r="AP569" i="1"/>
  <c r="AD571" i="1"/>
  <c r="R573" i="1"/>
  <c r="AP576" i="1"/>
  <c r="AD578" i="1"/>
  <c r="F580" i="1"/>
  <c r="O580" i="1"/>
  <c r="AP585" i="1"/>
  <c r="R589" i="1"/>
  <c r="AD594" i="1"/>
  <c r="BB599" i="1"/>
  <c r="AD604" i="1"/>
  <c r="AP610" i="1"/>
  <c r="F614" i="1"/>
  <c r="O614" i="1"/>
  <c r="AP619" i="1"/>
  <c r="BB623" i="1"/>
  <c r="AP628" i="1"/>
  <c r="F635" i="1"/>
  <c r="O635" i="1"/>
  <c r="AP640" i="1"/>
  <c r="AP658" i="1"/>
  <c r="AD674" i="1"/>
  <c r="BB678" i="1"/>
  <c r="AD683" i="1"/>
  <c r="AP687" i="1"/>
  <c r="F691" i="1"/>
  <c r="O691" i="1"/>
  <c r="AP696" i="1"/>
  <c r="R700" i="1"/>
  <c r="AD706" i="1"/>
  <c r="BB710" i="1"/>
  <c r="AD714" i="1"/>
  <c r="AP721" i="1"/>
  <c r="BB726" i="1"/>
  <c r="F738" i="1"/>
  <c r="O738" i="1"/>
  <c r="AD753" i="1"/>
  <c r="AP813" i="1"/>
  <c r="BB640" i="1"/>
  <c r="AP660" i="1"/>
  <c r="AD677" i="1"/>
  <c r="R694" i="1"/>
  <c r="BB783" i="1"/>
  <c r="AP700" i="1"/>
  <c r="AP647" i="1"/>
  <c r="AD721" i="1"/>
  <c r="BB653" i="1"/>
  <c r="R581" i="1"/>
  <c r="AP584" i="1"/>
  <c r="AD586" i="1"/>
  <c r="F588" i="1"/>
  <c r="O588" i="1"/>
  <c r="BB590" i="1"/>
  <c r="AP593" i="1"/>
  <c r="AD595" i="1"/>
  <c r="R597" i="1"/>
  <c r="AP601" i="1"/>
  <c r="AD603" i="1"/>
  <c r="F606" i="1"/>
  <c r="O606" i="1"/>
  <c r="BB608" i="1"/>
  <c r="AP611" i="1"/>
  <c r="AD613" i="1"/>
  <c r="R615" i="1"/>
  <c r="AP618" i="1"/>
  <c r="BB620" i="1"/>
  <c r="BB622" i="1"/>
  <c r="AP625" i="1"/>
  <c r="AP627" i="1"/>
  <c r="R629" i="1"/>
  <c r="F632" i="1"/>
  <c r="O632" i="1"/>
  <c r="R636" i="1"/>
  <c r="R639" i="1"/>
  <c r="AD642" i="1"/>
  <c r="BB655" i="1"/>
  <c r="AP665" i="1"/>
  <c r="R669" i="1"/>
  <c r="AD675" i="1"/>
  <c r="R677" i="1"/>
  <c r="AP680" i="1"/>
  <c r="AD682" i="1"/>
  <c r="F684" i="1"/>
  <c r="O684" i="1"/>
  <c r="AP688" i="1"/>
  <c r="AD690" i="1"/>
  <c r="R692" i="1"/>
  <c r="AP695" i="1"/>
  <c r="AD697" i="1"/>
  <c r="F699" i="1"/>
  <c r="O699" i="1"/>
  <c r="BB701" i="1"/>
  <c r="AP705" i="1"/>
  <c r="R709" i="1"/>
  <c r="AP712" i="1"/>
  <c r="AD713" i="1"/>
  <c r="F715" i="1"/>
  <c r="O715" i="1"/>
  <c r="BB717" i="1"/>
  <c r="AP722" i="1"/>
  <c r="F724" i="1"/>
  <c r="O724" i="1"/>
  <c r="AP729" i="1"/>
  <c r="BB734" i="1"/>
  <c r="AP740" i="1"/>
  <c r="AP747" i="1"/>
  <c r="F760" i="1"/>
  <c r="O760" i="1"/>
  <c r="BB850" i="1"/>
  <c r="AP636" i="1"/>
  <c r="AD645" i="1"/>
  <c r="F655" i="1"/>
  <c r="O655" i="1"/>
  <c r="R664" i="1"/>
  <c r="BB672" i="1"/>
  <c r="AP682" i="1"/>
  <c r="AP690" i="1"/>
  <c r="F701" i="1"/>
  <c r="O701" i="1"/>
  <c r="F744" i="1"/>
  <c r="O744" i="1"/>
  <c r="AD646" i="1"/>
  <c r="BB682" i="1"/>
  <c r="AD720" i="1"/>
  <c r="AP778" i="1"/>
  <c r="AD666" i="1"/>
  <c r="AP701" i="1"/>
  <c r="F748" i="1"/>
  <c r="O748" i="1"/>
  <c r="R590" i="1"/>
  <c r="BB753" i="1"/>
  <c r="R725" i="1"/>
  <c r="AP728" i="1"/>
  <c r="AD730" i="1"/>
  <c r="AP732" i="1"/>
  <c r="AD737" i="1"/>
  <c r="AP739" i="1"/>
  <c r="BB742" i="1"/>
  <c r="F746" i="1"/>
  <c r="O746" i="1"/>
  <c r="AP748" i="1"/>
  <c r="AP757" i="1"/>
  <c r="BB769" i="1"/>
  <c r="BB785" i="1"/>
  <c r="AP804" i="1"/>
  <c r="BB836" i="1"/>
  <c r="AP629" i="1"/>
  <c r="BB634" i="1"/>
  <c r="AP638" i="1"/>
  <c r="AP643" i="1"/>
  <c r="R647" i="1"/>
  <c r="AD652" i="1"/>
  <c r="BB657" i="1"/>
  <c r="AD662" i="1"/>
  <c r="AP667" i="1"/>
  <c r="F670" i="1"/>
  <c r="O670" i="1"/>
  <c r="AP675" i="1"/>
  <c r="R679" i="1"/>
  <c r="AD684" i="1"/>
  <c r="BB687" i="1"/>
  <c r="AD692" i="1"/>
  <c r="AP697" i="1"/>
  <c r="R711" i="1"/>
  <c r="AP730" i="1"/>
  <c r="AP759" i="1"/>
  <c r="BB817" i="1"/>
  <c r="AD656" i="1"/>
  <c r="R673" i="1"/>
  <c r="AP691" i="1"/>
  <c r="AD710" i="1"/>
  <c r="F728" i="1"/>
  <c r="O728" i="1"/>
  <c r="AP752" i="1"/>
  <c r="AP822" i="1"/>
  <c r="AD657" i="1"/>
  <c r="F674" i="1"/>
  <c r="O674" i="1"/>
  <c r="BB691" i="1"/>
  <c r="AP711" i="1"/>
  <c r="AD729" i="1"/>
  <c r="AP798" i="1"/>
  <c r="BB579" i="1"/>
  <c r="F602" i="1"/>
  <c r="O602" i="1"/>
  <c r="F626" i="1"/>
  <c r="O626" i="1"/>
  <c r="F800" i="1"/>
  <c r="O800" i="1"/>
  <c r="BB685" i="1"/>
  <c r="R640" i="1"/>
  <c r="F619" i="1"/>
  <c r="O619" i="1"/>
  <c r="R608" i="1"/>
  <c r="BB595" i="1"/>
  <c r="F585" i="1"/>
  <c r="O585" i="1"/>
  <c r="R574" i="1"/>
  <c r="AD907" i="1"/>
  <c r="AP768" i="1"/>
  <c r="AP734" i="1"/>
  <c r="BB724" i="1"/>
  <c r="R714" i="1"/>
  <c r="F706" i="1"/>
  <c r="O706" i="1"/>
  <c r="AD696" i="1"/>
  <c r="AD687" i="1"/>
  <c r="AP679" i="1"/>
  <c r="AP670" i="1"/>
  <c r="BB661" i="1"/>
  <c r="R651" i="1"/>
  <c r="F642" i="1"/>
  <c r="O642" i="1"/>
  <c r="AP793" i="1"/>
  <c r="BB762" i="1"/>
  <c r="BB746" i="1"/>
  <c r="F734" i="1"/>
  <c r="O734" i="1"/>
  <c r="AP724" i="1"/>
  <c r="BB713" i="1"/>
  <c r="R705" i="1"/>
  <c r="F695" i="1"/>
  <c r="O695" i="1"/>
  <c r="AD686" i="1"/>
  <c r="AD678" i="1"/>
  <c r="AP669" i="1"/>
  <c r="AP661" i="1"/>
  <c r="BB650" i="1"/>
  <c r="BB884" i="1"/>
  <c r="BB796" i="1"/>
  <c r="BB767" i="1"/>
  <c r="AD751" i="1"/>
  <c r="AP737" i="1"/>
  <c r="AD725" i="1"/>
  <c r="AD715" i="1"/>
  <c r="AD699" i="1"/>
  <c r="BB695" i="1"/>
  <c r="F693" i="1"/>
  <c r="O693" i="1"/>
  <c r="AD691" i="1"/>
  <c r="AP689" i="1"/>
  <c r="R686" i="1"/>
  <c r="AD685" i="1"/>
  <c r="AP683" i="1"/>
  <c r="BB680" i="1"/>
  <c r="F678" i="1"/>
  <c r="O678" i="1"/>
  <c r="AD676" i="1"/>
  <c r="AP674" i="1"/>
  <c r="R671" i="1"/>
  <c r="AD669" i="1"/>
  <c r="AP668" i="1"/>
  <c r="BB665" i="1"/>
  <c r="F663" i="1"/>
  <c r="O663" i="1"/>
  <c r="AD661" i="1"/>
  <c r="AP659" i="1"/>
  <c r="R656" i="1"/>
  <c r="AD653" i="1"/>
  <c r="AP651" i="1"/>
  <c r="BB648" i="1"/>
  <c r="F646" i="1"/>
  <c r="O646" i="1"/>
  <c r="AD644" i="1"/>
  <c r="AP642" i="1"/>
  <c r="BB639" i="1"/>
  <c r="BB637" i="1"/>
  <c r="BB635" i="1"/>
  <c r="R632" i="1"/>
  <c r="AP630" i="1"/>
  <c r="R860" i="1"/>
  <c r="F841" i="1"/>
  <c r="O841" i="1"/>
  <c r="BB827" i="1"/>
  <c r="R807" i="1"/>
  <c r="AP795" i="1"/>
  <c r="AP790" i="1"/>
  <c r="AP782" i="1"/>
  <c r="AP774" i="1"/>
  <c r="AP766" i="1"/>
  <c r="BB758" i="1"/>
  <c r="F754" i="1"/>
  <c r="O754" i="1"/>
  <c r="BB750" i="1"/>
  <c r="AD942" i="1"/>
  <c r="BB703" i="1"/>
  <c r="AD709" i="1"/>
  <c r="AP713" i="1"/>
  <c r="F717" i="1"/>
  <c r="O717" i="1"/>
  <c r="R727" i="1"/>
  <c r="AD735" i="1"/>
  <c r="BB740" i="1"/>
  <c r="AP746" i="1"/>
  <c r="AP753" i="1"/>
  <c r="F762" i="1"/>
  <c r="O762" i="1"/>
  <c r="BB775" i="1"/>
  <c r="BB791" i="1"/>
  <c r="BB802" i="1"/>
  <c r="AP831" i="1"/>
  <c r="AP644" i="1"/>
  <c r="F648" i="1"/>
  <c r="O648" i="1"/>
  <c r="AP653" i="1"/>
  <c r="R658" i="1"/>
  <c r="AD663" i="1"/>
  <c r="BB667" i="1"/>
  <c r="AD671" i="1"/>
  <c r="AP676" i="1"/>
  <c r="F680" i="1"/>
  <c r="O680" i="1"/>
  <c r="AP685" i="1"/>
  <c r="R688" i="1"/>
  <c r="AD693" i="1"/>
  <c r="BB697" i="1"/>
  <c r="AD702" i="1"/>
  <c r="AP708" i="1"/>
  <c r="F712" i="1"/>
  <c r="O712" i="1"/>
  <c r="AP716" i="1"/>
  <c r="R722" i="1"/>
  <c r="AD726" i="1"/>
  <c r="BB730" i="1"/>
  <c r="AP736" i="1"/>
  <c r="AP743" i="1"/>
  <c r="F750" i="1"/>
  <c r="O750" i="1"/>
  <c r="F756" i="1"/>
  <c r="O756" i="1"/>
  <c r="AP770" i="1"/>
  <c r="AP786" i="1"/>
  <c r="R805" i="1"/>
  <c r="R866" i="1"/>
  <c r="BB644" i="1"/>
  <c r="AD649" i="1"/>
  <c r="AP655" i="1"/>
  <c r="F659" i="1"/>
  <c r="O659" i="1"/>
  <c r="AP664" i="1"/>
  <c r="R668" i="1"/>
  <c r="AD672" i="1"/>
  <c r="BB676" i="1"/>
  <c r="AD681" i="1"/>
  <c r="F689" i="1"/>
  <c r="O689" i="1"/>
  <c r="AP694" i="1"/>
  <c r="R698" i="1"/>
  <c r="AD703" i="1"/>
  <c r="BB708" i="1"/>
  <c r="AP717" i="1"/>
  <c r="F723" i="1"/>
  <c r="O723" i="1"/>
  <c r="AP727" i="1"/>
  <c r="AD731" i="1"/>
  <c r="AP741" i="1"/>
  <c r="AP755" i="1"/>
  <c r="AP784" i="1"/>
  <c r="F812" i="1"/>
  <c r="O812" i="1"/>
  <c r="R566" i="1"/>
  <c r="BB571" i="1"/>
  <c r="F577" i="1"/>
  <c r="O577" i="1"/>
  <c r="R582" i="1"/>
  <c r="BB587" i="1"/>
  <c r="F593" i="1"/>
  <c r="O593" i="1"/>
  <c r="R599" i="1"/>
  <c r="BB604" i="1"/>
  <c r="F611" i="1"/>
  <c r="O611" i="1"/>
  <c r="R616" i="1"/>
  <c r="BB621" i="1"/>
  <c r="AP634" i="1"/>
  <c r="BB645" i="1"/>
  <c r="R665" i="1"/>
  <c r="F711" i="1"/>
  <c r="O711" i="1"/>
  <c r="R737" i="1"/>
  <c r="BB826" i="1"/>
  <c r="F784" i="1"/>
  <c r="O784" i="1"/>
  <c r="AP796" i="1"/>
  <c r="F818" i="1"/>
  <c r="O818" i="1"/>
  <c r="R785" i="1"/>
  <c r="R753" i="1"/>
  <c r="AD833" i="1"/>
  <c r="F767" i="1"/>
  <c r="O767" i="1"/>
  <c r="F743" i="1"/>
  <c r="O743" i="1"/>
  <c r="BB722" i="1"/>
  <c r="BB700" i="1"/>
  <c r="F690" i="1"/>
  <c r="O690" i="1"/>
  <c r="R680" i="1"/>
  <c r="BB669" i="1"/>
  <c r="BB662" i="1"/>
  <c r="R657" i="1"/>
  <c r="F651" i="1"/>
  <c r="O651" i="1"/>
  <c r="F647" i="1"/>
  <c r="O647" i="1"/>
  <c r="R644" i="1"/>
  <c r="BB641" i="1"/>
  <c r="BB638" i="1"/>
  <c r="F636" i="1"/>
  <c r="O636" i="1"/>
  <c r="AA636" i="1"/>
  <c r="AM636" i="1"/>
  <c r="AY636" i="1"/>
  <c r="AP631" i="1"/>
  <c r="AD627" i="1"/>
  <c r="BB624" i="1"/>
  <c r="AP622" i="1"/>
  <c r="F621" i="1"/>
  <c r="O621" i="1"/>
  <c r="BB619" i="1"/>
  <c r="R618" i="1"/>
  <c r="F617" i="1"/>
  <c r="O617" i="1"/>
  <c r="BB615" i="1"/>
  <c r="R614" i="1"/>
  <c r="F613" i="1"/>
  <c r="O613" i="1"/>
  <c r="BB611" i="1"/>
  <c r="R610" i="1"/>
  <c r="F609" i="1"/>
  <c r="O609" i="1"/>
  <c r="AA609" i="1"/>
  <c r="BB607" i="1"/>
  <c r="R606" i="1"/>
  <c r="F604" i="1"/>
  <c r="O604" i="1"/>
  <c r="BB602" i="1"/>
  <c r="R601" i="1"/>
  <c r="F600" i="1"/>
  <c r="O600" i="1"/>
  <c r="BB597" i="1"/>
  <c r="R596" i="1"/>
  <c r="F595" i="1"/>
  <c r="O595" i="1"/>
  <c r="BB593" i="1"/>
  <c r="R592" i="1"/>
  <c r="F591" i="1"/>
  <c r="O591" i="1"/>
  <c r="BB589" i="1"/>
  <c r="R588" i="1"/>
  <c r="F587" i="1"/>
  <c r="O587" i="1"/>
  <c r="BB585" i="1"/>
  <c r="R584" i="1"/>
  <c r="F583" i="1"/>
  <c r="O583" i="1"/>
  <c r="BB581" i="1"/>
  <c r="R580" i="1"/>
  <c r="F579" i="1"/>
  <c r="O579" i="1"/>
  <c r="BB577" i="1"/>
  <c r="R576" i="1"/>
  <c r="F575" i="1"/>
  <c r="O575" i="1"/>
  <c r="AA575" i="1"/>
  <c r="BB573" i="1"/>
  <c r="R572" i="1"/>
  <c r="F571" i="1"/>
  <c r="O571" i="1"/>
  <c r="BB569" i="1"/>
  <c r="R568" i="1"/>
  <c r="F567" i="1"/>
  <c r="O567" i="1"/>
  <c r="AA567" i="1"/>
  <c r="AM567" i="1"/>
  <c r="AY567" i="1"/>
  <c r="BB565" i="1"/>
  <c r="R564" i="1"/>
  <c r="R876" i="1"/>
  <c r="BB818" i="1"/>
  <c r="R806" i="1"/>
  <c r="F801" i="1"/>
  <c r="O801" i="1"/>
  <c r="BB787" i="1"/>
  <c r="BB779" i="1"/>
  <c r="BB771" i="1"/>
  <c r="BB763" i="1"/>
  <c r="BB756" i="1"/>
  <c r="BB752" i="1"/>
  <c r="AP749" i="1"/>
  <c r="AD747" i="1"/>
  <c r="AP742" i="1"/>
  <c r="F740" i="1"/>
  <c r="O740" i="1"/>
  <c r="BB736" i="1"/>
  <c r="AP733" i="1"/>
  <c r="R818" i="1"/>
  <c r="AD767" i="1"/>
  <c r="R769" i="1"/>
  <c r="F796" i="1"/>
  <c r="O796" i="1"/>
  <c r="R732" i="1"/>
  <c r="R695" i="1"/>
  <c r="F675" i="1"/>
  <c r="O675" i="1"/>
  <c r="F660" i="1"/>
  <c r="O660" i="1"/>
  <c r="R648" i="1"/>
  <c r="F643" i="1"/>
  <c r="O643" i="1"/>
  <c r="AP637" i="1"/>
  <c r="AD629" i="1"/>
  <c r="R623" i="1"/>
  <c r="AP620" i="1"/>
  <c r="BB617" i="1"/>
  <c r="F615" i="1"/>
  <c r="O615" i="1"/>
  <c r="R612" i="1"/>
  <c r="BB609" i="1"/>
  <c r="F607" i="1"/>
  <c r="O607" i="1"/>
  <c r="R603" i="1"/>
  <c r="BB600" i="1"/>
  <c r="F597" i="1"/>
  <c r="O597" i="1"/>
  <c r="R594" i="1"/>
  <c r="BB591" i="1"/>
  <c r="F589" i="1"/>
  <c r="O589" i="1"/>
  <c r="R586" i="1"/>
  <c r="BB583" i="1"/>
  <c r="F581" i="1"/>
  <c r="O581" i="1"/>
  <c r="R578" i="1"/>
  <c r="BB575" i="1"/>
  <c r="F573" i="1"/>
  <c r="O573" i="1"/>
  <c r="R570" i="1"/>
  <c r="BB567" i="1"/>
  <c r="F565" i="1"/>
  <c r="O565" i="1"/>
  <c r="AD852" i="1"/>
  <c r="AD803" i="1"/>
  <c r="AP792" i="1"/>
  <c r="AP776" i="1"/>
  <c r="F758" i="1"/>
  <c r="O758" i="1"/>
  <c r="AP750" i="1"/>
  <c r="BB744" i="1"/>
  <c r="AD739" i="1"/>
  <c r="F732" i="1"/>
  <c r="O732" i="1"/>
  <c r="AA732" i="1"/>
  <c r="F730" i="1"/>
  <c r="O730" i="1"/>
  <c r="AD728" i="1"/>
  <c r="AP726" i="1"/>
  <c r="AD722" i="1"/>
  <c r="AP720" i="1"/>
  <c r="BB715" i="1"/>
  <c r="F713" i="1"/>
  <c r="O713" i="1"/>
  <c r="AD712" i="1"/>
  <c r="AP710" i="1"/>
  <c r="AD705" i="1"/>
  <c r="AP702" i="1"/>
  <c r="BB699" i="1"/>
  <c r="F697" i="1"/>
  <c r="O697" i="1"/>
  <c r="AD695" i="1"/>
  <c r="AP693" i="1"/>
  <c r="R690" i="1"/>
  <c r="AA690" i="1"/>
  <c r="AM690" i="1"/>
  <c r="AY690" i="1"/>
  <c r="AD688" i="1"/>
  <c r="AP686" i="1"/>
  <c r="BB684" i="1"/>
  <c r="F682" i="1"/>
  <c r="O682" i="1"/>
  <c r="AD680" i="1"/>
  <c r="AP678" i="1"/>
  <c r="R675" i="1"/>
  <c r="AD673" i="1"/>
  <c r="AP671" i="1"/>
  <c r="F667" i="1"/>
  <c r="O667" i="1"/>
  <c r="AD665" i="1"/>
  <c r="AP663" i="1"/>
  <c r="R660" i="1"/>
  <c r="AD658" i="1"/>
  <c r="AP656" i="1"/>
  <c r="BB652" i="1"/>
  <c r="F650" i="1"/>
  <c r="O650" i="1"/>
  <c r="AD648" i="1"/>
  <c r="AP646" i="1"/>
  <c r="R643" i="1"/>
  <c r="AD641" i="1"/>
  <c r="BB834" i="1"/>
  <c r="R808" i="1"/>
  <c r="BB789" i="1"/>
  <c r="BB781" i="1"/>
  <c r="BB773" i="1"/>
  <c r="BB765" i="1"/>
  <c r="AP761" i="1"/>
  <c r="BB754" i="1"/>
  <c r="AP751" i="1"/>
  <c r="AD749" i="1"/>
  <c r="AP744" i="1"/>
  <c r="F742" i="1"/>
  <c r="O742" i="1"/>
  <c r="BB738" i="1"/>
  <c r="AP735" i="1"/>
  <c r="AD733" i="1"/>
  <c r="R729" i="1"/>
  <c r="AD727" i="1"/>
  <c r="AP725" i="1"/>
  <c r="BB723" i="1"/>
  <c r="F721" i="1"/>
  <c r="O721" i="1"/>
  <c r="AD717" i="1"/>
  <c r="AP715" i="1"/>
  <c r="AD711" i="1"/>
  <c r="AP709" i="1"/>
  <c r="BB706" i="1"/>
  <c r="F703" i="1"/>
  <c r="O703" i="1"/>
  <c r="AD701" i="1"/>
  <c r="AP699" i="1"/>
  <c r="R696" i="1"/>
  <c r="AD694" i="1"/>
  <c r="AP692" i="1"/>
  <c r="BB689" i="1"/>
  <c r="F687" i="1"/>
  <c r="O687" i="1"/>
  <c r="AP684" i="1"/>
  <c r="R681" i="1"/>
  <c r="AD679" i="1"/>
  <c r="AP677" i="1"/>
  <c r="BB674" i="1"/>
  <c r="F672" i="1"/>
  <c r="O672" i="1"/>
  <c r="AD670" i="1"/>
  <c r="R666" i="1"/>
  <c r="F666" i="1"/>
  <c r="O666" i="1"/>
  <c r="AA666" i="1"/>
  <c r="AM666" i="1"/>
  <c r="AY666" i="1"/>
  <c r="AD664" i="1"/>
  <c r="AP662" i="1"/>
  <c r="BB659" i="1"/>
  <c r="F657" i="1"/>
  <c r="O657" i="1"/>
  <c r="AA657" i="1"/>
  <c r="AM657" i="1"/>
  <c r="AY657" i="1"/>
  <c r="BL657" i="1"/>
  <c r="AD655" i="1"/>
  <c r="AP652" i="1"/>
  <c r="R649" i="1"/>
  <c r="AD647" i="1"/>
  <c r="AP645" i="1"/>
  <c r="BB642" i="1"/>
  <c r="R848" i="1"/>
  <c r="BB819" i="1"/>
  <c r="AP815" i="1"/>
  <c r="AP800" i="1"/>
  <c r="AP794" i="1"/>
  <c r="AP788" i="1"/>
  <c r="AP780" i="1"/>
  <c r="AP772" i="1"/>
  <c r="AP764" i="1"/>
  <c r="BB760" i="1"/>
  <c r="AP754" i="1"/>
  <c r="F752" i="1"/>
  <c r="O752" i="1"/>
  <c r="BB748" i="1"/>
  <c r="AP745" i="1"/>
  <c r="AD743" i="1"/>
  <c r="AP738" i="1"/>
  <c r="F736" i="1"/>
  <c r="O736" i="1"/>
  <c r="BB732" i="1"/>
  <c r="BB728" i="1"/>
  <c r="F726" i="1"/>
  <c r="O726" i="1"/>
  <c r="AD724" i="1"/>
  <c r="AP723" i="1"/>
  <c r="R720" i="1"/>
  <c r="AD716" i="1"/>
  <c r="AP714" i="1"/>
  <c r="BB712" i="1"/>
  <c r="F710" i="1"/>
  <c r="O710" i="1"/>
  <c r="AD708" i="1"/>
  <c r="AP706" i="1"/>
  <c r="R702" i="1"/>
  <c r="F702" i="1"/>
  <c r="O702" i="1"/>
  <c r="AA702" i="1"/>
  <c r="AM702" i="1"/>
  <c r="AY702" i="1"/>
  <c r="BB702" i="1"/>
  <c r="BL702" i="1"/>
  <c r="AD700" i="1"/>
  <c r="AP698" i="1"/>
  <c r="F645" i="1"/>
  <c r="O645" i="1"/>
  <c r="AA645" i="1"/>
  <c r="R646" i="1"/>
  <c r="BB647" i="1"/>
  <c r="BB649" i="1"/>
  <c r="R652" i="1"/>
  <c r="F656" i="1"/>
  <c r="O656" i="1"/>
  <c r="BB658" i="1"/>
  <c r="R661" i="1"/>
  <c r="AA661" i="1"/>
  <c r="F664" i="1"/>
  <c r="O664" i="1"/>
  <c r="AD813" i="1"/>
  <c r="AD635" i="1"/>
  <c r="BB636" i="1"/>
  <c r="F638" i="1"/>
  <c r="O638" i="1"/>
  <c r="AP639" i="1"/>
  <c r="F641" i="1"/>
  <c r="O641" i="1"/>
  <c r="R642" i="1"/>
  <c r="BB643" i="1"/>
  <c r="F668" i="1"/>
  <c r="O668" i="1"/>
  <c r="R672" i="1"/>
  <c r="BB677" i="1"/>
  <c r="F683" i="1"/>
  <c r="O683" i="1"/>
  <c r="AA683" i="1"/>
  <c r="AM683" i="1"/>
  <c r="AY683" i="1"/>
  <c r="R687" i="1"/>
  <c r="BB692" i="1"/>
  <c r="F698" i="1"/>
  <c r="O698" i="1"/>
  <c r="BB705" i="1"/>
  <c r="R715" i="1"/>
  <c r="F727" i="1"/>
  <c r="O727" i="1"/>
  <c r="BB737" i="1"/>
  <c r="R748" i="1"/>
  <c r="F759" i="1"/>
  <c r="O759" i="1"/>
  <c r="F783" i="1"/>
  <c r="O783" i="1"/>
  <c r="AP807" i="1"/>
  <c r="R874" i="1"/>
  <c r="R745" i="1"/>
  <c r="R761" i="1"/>
  <c r="R777" i="1"/>
  <c r="AP808" i="1"/>
  <c r="R872" i="1"/>
  <c r="AD783" i="1"/>
  <c r="AD818" i="1"/>
  <c r="AP773" i="1"/>
  <c r="BB793" i="1"/>
  <c r="BB844" i="1"/>
  <c r="R835" i="1"/>
  <c r="R838" i="1"/>
  <c r="BB885" i="1"/>
  <c r="F831" i="1"/>
  <c r="O831" i="1"/>
  <c r="F806" i="1"/>
  <c r="O806" i="1"/>
  <c r="AA806" i="1"/>
  <c r="AP789" i="1"/>
  <c r="BB778" i="1"/>
  <c r="F768" i="1"/>
  <c r="O768" i="1"/>
  <c r="F836" i="1"/>
  <c r="O836" i="1"/>
  <c r="F807" i="1"/>
  <c r="O807" i="1"/>
  <c r="AD791" i="1"/>
  <c r="AD775" i="1"/>
  <c r="AD759" i="1"/>
  <c r="R832" i="1"/>
  <c r="BB812" i="1"/>
  <c r="F804" i="1"/>
  <c r="O804" i="1"/>
  <c r="R789" i="1"/>
  <c r="R781" i="1"/>
  <c r="R773" i="1"/>
  <c r="R765" i="1"/>
  <c r="R757" i="1"/>
  <c r="R749" i="1"/>
  <c r="R741" i="1"/>
  <c r="R733" i="1"/>
  <c r="F843" i="1"/>
  <c r="O843" i="1"/>
  <c r="F820" i="1"/>
  <c r="O820" i="1"/>
  <c r="BB803" i="1"/>
  <c r="F791" i="1"/>
  <c r="O791" i="1"/>
  <c r="F775" i="1"/>
  <c r="O775" i="1"/>
  <c r="BB761" i="1"/>
  <c r="R756" i="1"/>
  <c r="AA756" i="1"/>
  <c r="F751" i="1"/>
  <c r="O751" i="1"/>
  <c r="BB745" i="1"/>
  <c r="R740" i="1"/>
  <c r="F735" i="1"/>
  <c r="O735" i="1"/>
  <c r="BB729" i="1"/>
  <c r="R724" i="1"/>
  <c r="F720" i="1"/>
  <c r="O720" i="1"/>
  <c r="R708" i="1"/>
  <c r="R699" i="1"/>
  <c r="BB696" i="1"/>
  <c r="F694" i="1"/>
  <c r="O694" i="1"/>
  <c r="R691" i="1"/>
  <c r="AA691" i="1"/>
  <c r="AM691" i="1"/>
  <c r="AY691" i="1"/>
  <c r="BB688" i="1"/>
  <c r="F686" i="1"/>
  <c r="O686" i="1"/>
  <c r="R684" i="1"/>
  <c r="BB681" i="1"/>
  <c r="F679" i="1"/>
  <c r="O679" i="1"/>
  <c r="AA679" i="1"/>
  <c r="R676" i="1"/>
  <c r="BB673" i="1"/>
  <c r="F671" i="1"/>
  <c r="O671" i="1"/>
  <c r="BB666" i="1"/>
  <c r="BB664" i="1"/>
  <c r="R663" i="1"/>
  <c r="F662" i="1"/>
  <c r="O662" i="1"/>
  <c r="AA662" i="1"/>
  <c r="BB660" i="1"/>
  <c r="R659" i="1"/>
  <c r="F658" i="1"/>
  <c r="O658" i="1"/>
  <c r="BB656" i="1"/>
  <c r="R655" i="1"/>
  <c r="AA655" i="1"/>
  <c r="AM655" i="1"/>
  <c r="AY655" i="1"/>
  <c r="BL655" i="1"/>
  <c r="F653" i="1"/>
  <c r="O653" i="1"/>
  <c r="BB651" i="1"/>
  <c r="R650" i="1"/>
  <c r="F649" i="1"/>
  <c r="O649" i="1"/>
  <c r="R667" i="1"/>
  <c r="AA667" i="1"/>
  <c r="AM667" i="1"/>
  <c r="BB668" i="1"/>
  <c r="F669" i="1"/>
  <c r="O669" i="1"/>
  <c r="AA669" i="1"/>
  <c r="R670" i="1"/>
  <c r="BB671" i="1"/>
  <c r="F685" i="1"/>
  <c r="O685" i="1"/>
  <c r="BB686" i="1"/>
  <c r="F688" i="1"/>
  <c r="O688" i="1"/>
  <c r="R689" i="1"/>
  <c r="BB690" i="1"/>
  <c r="F692" i="1"/>
  <c r="O692" i="1"/>
  <c r="AA692" i="1"/>
  <c r="R693" i="1"/>
  <c r="BB694" i="1"/>
  <c r="AP970" i="1"/>
  <c r="F673" i="1"/>
  <c r="O673" i="1"/>
  <c r="AA673" i="1"/>
  <c r="AM673" i="1"/>
  <c r="R674" i="1"/>
  <c r="AA674" i="1"/>
  <c r="AM674" i="1"/>
  <c r="AY674" i="1"/>
  <c r="BL674" i="1"/>
  <c r="BB675" i="1"/>
  <c r="F677" i="1"/>
  <c r="O677" i="1"/>
  <c r="R678" i="1"/>
  <c r="BB679" i="1"/>
  <c r="F681" i="1"/>
  <c r="O681" i="1"/>
  <c r="AA681" i="1"/>
  <c r="AM681" i="1"/>
  <c r="AY681" i="1"/>
  <c r="R682" i="1"/>
  <c r="BB683" i="1"/>
  <c r="F696" i="1"/>
  <c r="O696" i="1"/>
  <c r="R697" i="1"/>
  <c r="BB698" i="1"/>
  <c r="F700" i="1"/>
  <c r="O700" i="1"/>
  <c r="R701" i="1"/>
  <c r="R703" i="1"/>
  <c r="BB709" i="1"/>
  <c r="R712" i="1"/>
  <c r="AA712" i="1"/>
  <c r="AM712" i="1"/>
  <c r="AY712" i="1"/>
  <c r="BL712" i="1"/>
  <c r="F714" i="1"/>
  <c r="O714" i="1"/>
  <c r="AA714" i="1"/>
  <c r="BB716" i="1"/>
  <c r="R721" i="1"/>
  <c r="AA721" i="1"/>
  <c r="AM721" i="1"/>
  <c r="AY721" i="1"/>
  <c r="BB725" i="1"/>
  <c r="R728" i="1"/>
  <c r="AA728" i="1"/>
  <c r="F731" i="1"/>
  <c r="O731" i="1"/>
  <c r="BB733" i="1"/>
  <c r="R736" i="1"/>
  <c r="F739" i="1"/>
  <c r="O739" i="1"/>
  <c r="BB741" i="1"/>
  <c r="R744" i="1"/>
  <c r="AA744" i="1"/>
  <c r="F747" i="1"/>
  <c r="O747" i="1"/>
  <c r="BB749" i="1"/>
  <c r="R752" i="1"/>
  <c r="AA752" i="1"/>
  <c r="F755" i="1"/>
  <c r="O755" i="1"/>
  <c r="BB757" i="1"/>
  <c r="R760" i="1"/>
  <c r="AA760" i="1"/>
  <c r="F763" i="1"/>
  <c r="O763" i="1"/>
  <c r="F771" i="1"/>
  <c r="O771" i="1"/>
  <c r="F779" i="1"/>
  <c r="O779" i="1"/>
  <c r="F787" i="1"/>
  <c r="O787" i="1"/>
  <c r="R801" i="1"/>
  <c r="AP805" i="1"/>
  <c r="F809" i="1"/>
  <c r="O809" i="1"/>
  <c r="AD812" i="1"/>
  <c r="AD826" i="1"/>
  <c r="AP840" i="1"/>
  <c r="F853" i="1"/>
  <c r="O853" i="1"/>
  <c r="R731" i="1"/>
  <c r="R735" i="1"/>
  <c r="AA735" i="1"/>
  <c r="R739" i="1"/>
  <c r="R743" i="1"/>
  <c r="AA743" i="1"/>
  <c r="R747" i="1"/>
  <c r="R751" i="1"/>
  <c r="R755" i="1"/>
  <c r="AA755" i="1"/>
  <c r="R759" i="1"/>
  <c r="AA759" i="1"/>
  <c r="AM759" i="1"/>
  <c r="AY759" i="1"/>
  <c r="R763" i="1"/>
  <c r="R767" i="1"/>
  <c r="R771" i="1"/>
  <c r="R775" i="1"/>
  <c r="AA775" i="1"/>
  <c r="R779" i="1"/>
  <c r="R783" i="1"/>
  <c r="AA783" i="1"/>
  <c r="AM783" i="1"/>
  <c r="R787" i="1"/>
  <c r="AA787" i="1"/>
  <c r="R791" i="1"/>
  <c r="R796" i="1"/>
  <c r="AA796" i="1"/>
  <c r="AD802" i="1"/>
  <c r="AP806" i="1"/>
  <c r="AD810" i="1"/>
  <c r="R816" i="1"/>
  <c r="BB820" i="1"/>
  <c r="R849" i="1"/>
  <c r="AD755" i="1"/>
  <c r="AD763" i="1"/>
  <c r="AD771" i="1"/>
  <c r="AD779" i="1"/>
  <c r="AD787" i="1"/>
  <c r="AP802" i="1"/>
  <c r="R813" i="1"/>
  <c r="BB825" i="1"/>
  <c r="AD856" i="1"/>
  <c r="AP765" i="1"/>
  <c r="BB770" i="1"/>
  <c r="F776" i="1"/>
  <c r="O776" i="1"/>
  <c r="AP781" i="1"/>
  <c r="BB786" i="1"/>
  <c r="F792" i="1"/>
  <c r="O792" i="1"/>
  <c r="F798" i="1"/>
  <c r="O798" i="1"/>
  <c r="AP812" i="1"/>
  <c r="BB824" i="1"/>
  <c r="F838" i="1"/>
  <c r="O838" i="1"/>
  <c r="R853" i="1"/>
  <c r="AP957" i="1"/>
  <c r="F833" i="1"/>
  <c r="O833" i="1"/>
  <c r="AP849" i="1"/>
  <c r="BB823" i="1"/>
  <c r="R856" i="1"/>
  <c r="BB976" i="1"/>
  <c r="AD918" i="1"/>
  <c r="AP884" i="1"/>
  <c r="AP878" i="1"/>
  <c r="AD909" i="1"/>
  <c r="AD879" i="1"/>
  <c r="F845" i="1"/>
  <c r="O845" i="1"/>
  <c r="AD838" i="1"/>
  <c r="F832" i="1"/>
  <c r="O832" i="1"/>
  <c r="AP827" i="1"/>
  <c r="F821" i="1"/>
  <c r="O821" i="1"/>
  <c r="AD815" i="1"/>
  <c r="AP809" i="1"/>
  <c r="AD853" i="1"/>
  <c r="F844" i="1"/>
  <c r="O844" i="1"/>
  <c r="R840" i="1"/>
  <c r="F840" i="1"/>
  <c r="O840" i="1"/>
  <c r="AA840" i="1"/>
  <c r="AD836" i="1"/>
  <c r="AD834" i="1"/>
  <c r="R831" i="1"/>
  <c r="F828" i="1"/>
  <c r="O828" i="1"/>
  <c r="AD825" i="1"/>
  <c r="AP821" i="1"/>
  <c r="R920" i="1"/>
  <c r="R894" i="1"/>
  <c r="BB860" i="1"/>
  <c r="BB855" i="1"/>
  <c r="BB851" i="1"/>
  <c r="AD847" i="1"/>
  <c r="AP842" i="1"/>
  <c r="AD839" i="1"/>
  <c r="R836" i="1"/>
  <c r="AD832" i="1"/>
  <c r="BB829" i="1"/>
  <c r="AP826" i="1"/>
  <c r="AD823" i="1"/>
  <c r="R820" i="1"/>
  <c r="AD816" i="1"/>
  <c r="BB813" i="1"/>
  <c r="AP810" i="1"/>
  <c r="AD807" i="1"/>
  <c r="R804" i="1"/>
  <c r="AD800" i="1"/>
  <c r="BB795" i="1"/>
  <c r="F794" i="1"/>
  <c r="O794" i="1"/>
  <c r="AP959" i="1"/>
  <c r="AP948" i="1"/>
  <c r="AP865" i="1"/>
  <c r="AP841" i="1"/>
  <c r="F830" i="1"/>
  <c r="O830" i="1"/>
  <c r="R817" i="1"/>
  <c r="BB895" i="1"/>
  <c r="F842" i="1"/>
  <c r="O842" i="1"/>
  <c r="F835" i="1"/>
  <c r="O835" i="1"/>
  <c r="R829" i="1"/>
  <c r="AP823" i="1"/>
  <c r="F909" i="1"/>
  <c r="O909" i="1"/>
  <c r="F857" i="1"/>
  <c r="O857" i="1"/>
  <c r="AD849" i="1"/>
  <c r="BB840" i="1"/>
  <c r="R834" i="1"/>
  <c r="AP828" i="1"/>
  <c r="F822" i="1"/>
  <c r="O822" i="1"/>
  <c r="F815" i="1"/>
  <c r="O815" i="1"/>
  <c r="BB808" i="1"/>
  <c r="R802" i="1"/>
  <c r="BB790" i="1"/>
  <c r="F788" i="1"/>
  <c r="O788" i="1"/>
  <c r="AP785" i="1"/>
  <c r="BB782" i="1"/>
  <c r="F780" i="1"/>
  <c r="O780" i="1"/>
  <c r="AP777" i="1"/>
  <c r="BB774" i="1"/>
  <c r="F772" i="1"/>
  <c r="O772" i="1"/>
  <c r="AP769" i="1"/>
  <c r="BB766" i="1"/>
  <c r="F764" i="1"/>
  <c r="O764" i="1"/>
  <c r="R878" i="1"/>
  <c r="AD842" i="1"/>
  <c r="R830" i="1"/>
  <c r="AA830" i="1"/>
  <c r="R821" i="1"/>
  <c r="AA821" i="1"/>
  <c r="AP816" i="1"/>
  <c r="BB810" i="1"/>
  <c r="AD804" i="1"/>
  <c r="R800" i="1"/>
  <c r="AD789" i="1"/>
  <c r="AD785" i="1"/>
  <c r="AD781" i="1"/>
  <c r="AD777" i="1"/>
  <c r="AD773" i="1"/>
  <c r="AD769" i="1"/>
  <c r="AD765" i="1"/>
  <c r="AD761" i="1"/>
  <c r="AD757" i="1"/>
  <c r="F892" i="1"/>
  <c r="O892" i="1"/>
  <c r="R855" i="1"/>
  <c r="AP838" i="1"/>
  <c r="F825" i="1"/>
  <c r="O825" i="1"/>
  <c r="F819" i="1"/>
  <c r="O819" i="1"/>
  <c r="F817" i="1"/>
  <c r="O817" i="1"/>
  <c r="AP814" i="1"/>
  <c r="AD811" i="1"/>
  <c r="AD809" i="1"/>
  <c r="BB807" i="1"/>
  <c r="BB805" i="1"/>
  <c r="F803" i="1"/>
  <c r="O803" i="1"/>
  <c r="AD801" i="1"/>
  <c r="R798" i="1"/>
  <c r="AA798" i="1"/>
  <c r="R795" i="1"/>
  <c r="R794" i="1"/>
  <c r="R793" i="1"/>
  <c r="R792" i="1"/>
  <c r="R790" i="1"/>
  <c r="R788" i="1"/>
  <c r="R786" i="1"/>
  <c r="R784" i="1"/>
  <c r="AA784" i="1"/>
  <c r="R782" i="1"/>
  <c r="R780" i="1"/>
  <c r="R778" i="1"/>
  <c r="R776" i="1"/>
  <c r="AA776" i="1"/>
  <c r="R774" i="1"/>
  <c r="R772" i="1"/>
  <c r="R770" i="1"/>
  <c r="R768" i="1"/>
  <c r="R766" i="1"/>
  <c r="R764" i="1"/>
  <c r="AD762" i="1"/>
  <c r="AD760" i="1"/>
  <c r="AD758" i="1"/>
  <c r="AD756" i="1"/>
  <c r="AD754" i="1"/>
  <c r="AD752" i="1"/>
  <c r="AD750" i="1"/>
  <c r="AD748" i="1"/>
  <c r="AD746" i="1"/>
  <c r="AD744" i="1"/>
  <c r="AD742" i="1"/>
  <c r="AD740" i="1"/>
  <c r="AD738" i="1"/>
  <c r="AD736" i="1"/>
  <c r="AD734" i="1"/>
  <c r="AD732" i="1"/>
  <c r="AD959" i="1"/>
  <c r="R864" i="1"/>
  <c r="R845" i="1"/>
  <c r="AA845" i="1"/>
  <c r="BB841" i="1"/>
  <c r="R837" i="1"/>
  <c r="AD828" i="1"/>
  <c r="R823" i="1"/>
  <c r="R814" i="1"/>
  <c r="F811" i="1"/>
  <c r="O811" i="1"/>
  <c r="F810" i="1"/>
  <c r="O810" i="1"/>
  <c r="AD808" i="1"/>
  <c r="AD806" i="1"/>
  <c r="BB804" i="1"/>
  <c r="F802" i="1"/>
  <c r="O802" i="1"/>
  <c r="BB800" i="1"/>
  <c r="F789" i="1"/>
  <c r="O789" i="1"/>
  <c r="F785" i="1"/>
  <c r="O785" i="1"/>
  <c r="F781" i="1"/>
  <c r="O781" i="1"/>
  <c r="AA781" i="1"/>
  <c r="AM781" i="1"/>
  <c r="F777" i="1"/>
  <c r="O777" i="1"/>
  <c r="AA777" i="1"/>
  <c r="AM777" i="1"/>
  <c r="F773" i="1"/>
  <c r="O773" i="1"/>
  <c r="F769" i="1"/>
  <c r="O769" i="1"/>
  <c r="AA769" i="1"/>
  <c r="AM769" i="1"/>
  <c r="AY769" i="1"/>
  <c r="F765" i="1"/>
  <c r="O765" i="1"/>
  <c r="AA765" i="1"/>
  <c r="AM765" i="1"/>
  <c r="R762" i="1"/>
  <c r="F761" i="1"/>
  <c r="O761" i="1"/>
  <c r="BB759" i="1"/>
  <c r="R758" i="1"/>
  <c r="F757" i="1"/>
  <c r="O757" i="1"/>
  <c r="BB755" i="1"/>
  <c r="R754" i="1"/>
  <c r="F753" i="1"/>
  <c r="O753" i="1"/>
  <c r="AA753" i="1"/>
  <c r="BB751" i="1"/>
  <c r="R750" i="1"/>
  <c r="F749" i="1"/>
  <c r="O749" i="1"/>
  <c r="BB747" i="1"/>
  <c r="R746" i="1"/>
  <c r="AA746" i="1"/>
  <c r="AM746" i="1"/>
  <c r="F745" i="1"/>
  <c r="O745" i="1"/>
  <c r="BB743" i="1"/>
  <c r="R742" i="1"/>
  <c r="AA742" i="1"/>
  <c r="F741" i="1"/>
  <c r="O741" i="1"/>
  <c r="BB739" i="1"/>
  <c r="R738" i="1"/>
  <c r="F737" i="1"/>
  <c r="O737" i="1"/>
  <c r="AA737" i="1"/>
  <c r="AM737" i="1"/>
  <c r="AY737" i="1"/>
  <c r="BB735" i="1"/>
  <c r="R734" i="1"/>
  <c r="AA734" i="1"/>
  <c r="F733" i="1"/>
  <c r="O733" i="1"/>
  <c r="BB731" i="1"/>
  <c r="R730" i="1"/>
  <c r="F729" i="1"/>
  <c r="O729" i="1"/>
  <c r="AA729" i="1"/>
  <c r="BB727" i="1"/>
  <c r="R726" i="1"/>
  <c r="F725" i="1"/>
  <c r="O725" i="1"/>
  <c r="AA725" i="1"/>
  <c r="AM725" i="1"/>
  <c r="AY725" i="1"/>
  <c r="BL725" i="1"/>
  <c r="R723" i="1"/>
  <c r="F722" i="1"/>
  <c r="O722" i="1"/>
  <c r="BB720" i="1"/>
  <c r="R717" i="1"/>
  <c r="F716" i="1"/>
  <c r="O716" i="1"/>
  <c r="BB714" i="1"/>
  <c r="R713" i="1"/>
  <c r="AA713" i="1"/>
  <c r="BB711" i="1"/>
  <c r="R710" i="1"/>
  <c r="AA710" i="1"/>
  <c r="F709" i="1"/>
  <c r="O709" i="1"/>
  <c r="AA709" i="1"/>
  <c r="AM709" i="1"/>
  <c r="AY709" i="1"/>
  <c r="R706" i="1"/>
  <c r="F705" i="1"/>
  <c r="O705" i="1"/>
  <c r="AA705" i="1"/>
  <c r="AM705" i="1"/>
  <c r="F852" i="1"/>
  <c r="O852" i="1"/>
  <c r="AD861" i="1"/>
  <c r="F944" i="1"/>
  <c r="O944" i="1"/>
  <c r="F884" i="1"/>
  <c r="O884" i="1"/>
  <c r="BB954" i="1"/>
  <c r="AD947" i="1"/>
  <c r="R962" i="1"/>
  <c r="F931" i="1"/>
  <c r="O931" i="1"/>
  <c r="R935" i="1"/>
  <c r="AD955" i="1"/>
  <c r="BB942" i="1"/>
  <c r="BB934" i="1"/>
  <c r="R923" i="1"/>
  <c r="AD915" i="1"/>
  <c r="AD952" i="1"/>
  <c r="R947" i="1"/>
  <c r="AD944" i="1"/>
  <c r="R939" i="1"/>
  <c r="AP935" i="1"/>
  <c r="F930" i="1"/>
  <c r="O930" i="1"/>
  <c r="AP925" i="1"/>
  <c r="AD920" i="1"/>
  <c r="AD916" i="1"/>
  <c r="AD912" i="1"/>
  <c r="AD905" i="1"/>
  <c r="AD900" i="1"/>
  <c r="AD896" i="1"/>
  <c r="AD890" i="1"/>
  <c r="AD886" i="1"/>
  <c r="AD881" i="1"/>
  <c r="F960" i="1"/>
  <c r="O960" i="1"/>
  <c r="AD951" i="1"/>
  <c r="AD935" i="1"/>
  <c r="R912" i="1"/>
  <c r="AD904" i="1"/>
  <c r="F897" i="1"/>
  <c r="O897" i="1"/>
  <c r="BB890" i="1"/>
  <c r="R886" i="1"/>
  <c r="BB881" i="1"/>
  <c r="F878" i="1"/>
  <c r="O878" i="1"/>
  <c r="AA878" i="1"/>
  <c r="R875" i="1"/>
  <c r="BB872" i="1"/>
  <c r="F870" i="1"/>
  <c r="O870" i="1"/>
  <c r="R865" i="1"/>
  <c r="BB862" i="1"/>
  <c r="BB971" i="1"/>
  <c r="AP932" i="1"/>
  <c r="AD913" i="1"/>
  <c r="F904" i="1"/>
  <c r="O904" i="1"/>
  <c r="AP896" i="1"/>
  <c r="BB889" i="1"/>
  <c r="F886" i="1"/>
  <c r="O886" i="1"/>
  <c r="AA886" i="1"/>
  <c r="AP883" i="1"/>
  <c r="F879" i="1"/>
  <c r="O879" i="1"/>
  <c r="F877" i="1"/>
  <c r="O877" i="1"/>
  <c r="AP874" i="1"/>
  <c r="AP872" i="1"/>
  <c r="BB868" i="1"/>
  <c r="F865" i="1"/>
  <c r="O865" i="1"/>
  <c r="BB861" i="1"/>
  <c r="F859" i="1"/>
  <c r="O859" i="1"/>
  <c r="AP855" i="1"/>
  <c r="R852" i="1"/>
  <c r="AA852" i="1"/>
  <c r="AM852" i="1"/>
  <c r="F849" i="1"/>
  <c r="O849" i="1"/>
  <c r="AA849" i="1"/>
  <c r="F847" i="1"/>
  <c r="O847" i="1"/>
  <c r="BB979" i="1"/>
  <c r="AD943" i="1"/>
  <c r="AD925" i="1"/>
  <c r="F919" i="1"/>
  <c r="O919" i="1"/>
  <c r="F915" i="1"/>
  <c r="O915" i="1"/>
  <c r="R905" i="1"/>
  <c r="BB897" i="1"/>
  <c r="R890" i="1"/>
  <c r="BB886" i="1"/>
  <c r="R881" i="1"/>
  <c r="AP877" i="1"/>
  <c r="AP873" i="1"/>
  <c r="AP868" i="1"/>
  <c r="AP863" i="1"/>
  <c r="AP859" i="1"/>
  <c r="F947" i="1"/>
  <c r="O947" i="1"/>
  <c r="BB975" i="1"/>
  <c r="AD939" i="1"/>
  <c r="AD919" i="1"/>
  <c r="AP950" i="1"/>
  <c r="AP942" i="1"/>
  <c r="BB932" i="1"/>
  <c r="BB922" i="1"/>
  <c r="AD914" i="1"/>
  <c r="AD902" i="1"/>
  <c r="AD894" i="1"/>
  <c r="AD884" i="1"/>
  <c r="AP956" i="1"/>
  <c r="BB930" i="1"/>
  <c r="R900" i="1"/>
  <c r="F888" i="1"/>
  <c r="O888" i="1"/>
  <c r="R879" i="1"/>
  <c r="F874" i="1"/>
  <c r="O874" i="1"/>
  <c r="AA874" i="1"/>
  <c r="BB866" i="1"/>
  <c r="R861" i="1"/>
  <c r="BB917" i="1"/>
  <c r="BB899" i="1"/>
  <c r="F887" i="1"/>
  <c r="O887" i="1"/>
  <c r="BB880" i="1"/>
  <c r="BB875" i="1"/>
  <c r="F871" i="1"/>
  <c r="O871" i="1"/>
  <c r="BB863" i="1"/>
  <c r="BB856" i="1"/>
  <c r="R850" i="1"/>
  <c r="F850" i="1"/>
  <c r="O850" i="1"/>
  <c r="AA850" i="1"/>
  <c r="AD845" i="1"/>
  <c r="BB938" i="1"/>
  <c r="F917" i="1"/>
  <c r="O917" i="1"/>
  <c r="F901" i="1"/>
  <c r="O901" i="1"/>
  <c r="AP888" i="1"/>
  <c r="AP879" i="1"/>
  <c r="AP871" i="1"/>
  <c r="AP861" i="1"/>
  <c r="AP854" i="1"/>
  <c r="AD924" i="1"/>
  <c r="AD897" i="1"/>
  <c r="AD875" i="1"/>
  <c r="AD865" i="1"/>
  <c r="F860" i="1"/>
  <c r="O860" i="1"/>
  <c r="BB857" i="1"/>
  <c r="F855" i="1"/>
  <c r="O855" i="1"/>
  <c r="BB853" i="1"/>
  <c r="R851" i="1"/>
  <c r="F848" i="1"/>
  <c r="O848" i="1"/>
  <c r="AD844" i="1"/>
  <c r="R842" i="1"/>
  <c r="AD840" i="1"/>
  <c r="F839" i="1"/>
  <c r="O839" i="1"/>
  <c r="BB837" i="1"/>
  <c r="AP836" i="1"/>
  <c r="AP834" i="1"/>
  <c r="BB832" i="1"/>
  <c r="BB830" i="1"/>
  <c r="R828" i="1"/>
  <c r="R826" i="1"/>
  <c r="AD824" i="1"/>
  <c r="F823" i="1"/>
  <c r="O823" i="1"/>
  <c r="BB821" i="1"/>
  <c r="AP820" i="1"/>
  <c r="AP818" i="1"/>
  <c r="BB816" i="1"/>
  <c r="BB814" i="1"/>
  <c r="R812" i="1"/>
  <c r="AA812" i="1"/>
  <c r="AM812" i="1"/>
  <c r="AY812" i="1"/>
  <c r="BL812" i="1"/>
  <c r="R810" i="1"/>
  <c r="AA810" i="1"/>
  <c r="F927" i="1"/>
  <c r="O927" i="1"/>
  <c r="R902" i="1"/>
  <c r="AD889" i="1"/>
  <c r="F883" i="1"/>
  <c r="O883" i="1"/>
  <c r="AD859" i="1"/>
  <c r="AD854" i="1"/>
  <c r="BB852" i="1"/>
  <c r="AD850" i="1"/>
  <c r="BB848" i="1"/>
  <c r="BB845" i="1"/>
  <c r="BB842" i="1"/>
  <c r="R951" i="1"/>
  <c r="AD930" i="1"/>
  <c r="F946" i="1"/>
  <c r="O946" i="1"/>
  <c r="AD929" i="1"/>
  <c r="AD908" i="1"/>
  <c r="AD888" i="1"/>
  <c r="BB946" i="1"/>
  <c r="AD895" i="1"/>
  <c r="BB876" i="1"/>
  <c r="F864" i="1"/>
  <c r="O864" i="1"/>
  <c r="R908" i="1"/>
  <c r="AD885" i="1"/>
  <c r="F873" i="1"/>
  <c r="O873" i="1"/>
  <c r="AP860" i="1"/>
  <c r="AD848" i="1"/>
  <c r="F921" i="1"/>
  <c r="O921" i="1"/>
  <c r="AP894" i="1"/>
  <c r="AP875" i="1"/>
  <c r="AP856" i="1"/>
  <c r="R914" i="1"/>
  <c r="AD871" i="1"/>
  <c r="AP850" i="1"/>
  <c r="AP843" i="1"/>
  <c r="BB839" i="1"/>
  <c r="F837" i="1"/>
  <c r="O837" i="1"/>
  <c r="R833" i="1"/>
  <c r="AD831" i="1"/>
  <c r="AD829" i="1"/>
  <c r="AP825" i="1"/>
  <c r="AD822" i="1"/>
  <c r="R819" i="1"/>
  <c r="F816" i="1"/>
  <c r="O816" i="1"/>
  <c r="F814" i="1"/>
  <c r="O814" i="1"/>
  <c r="AA814" i="1"/>
  <c r="AP811" i="1"/>
  <c r="AP912" i="1"/>
  <c r="AP886" i="1"/>
  <c r="R857" i="1"/>
  <c r="AA857" i="1"/>
  <c r="F851" i="1"/>
  <c r="O851" i="1"/>
  <c r="AP847" i="1"/>
  <c r="AD843" i="1"/>
  <c r="AD841" i="1"/>
  <c r="AP839" i="1"/>
  <c r="AP837" i="1"/>
  <c r="BB835" i="1"/>
  <c r="BB833" i="1"/>
  <c r="AP832" i="1"/>
  <c r="AP830" i="1"/>
  <c r="BB828" i="1"/>
  <c r="AD827" i="1"/>
  <c r="F826" i="1"/>
  <c r="O826" i="1"/>
  <c r="R824" i="1"/>
  <c r="R822" i="1"/>
  <c r="AA822" i="1"/>
  <c r="AM822" i="1"/>
  <c r="AY822" i="1"/>
  <c r="BB822" i="1"/>
  <c r="BL822" i="1"/>
  <c r="AD820" i="1"/>
  <c r="AP940" i="1"/>
  <c r="R916" i="1"/>
  <c r="AP900" i="1"/>
  <c r="R888" i="1"/>
  <c r="AA888" i="1"/>
  <c r="F881" i="1"/>
  <c r="O881" i="1"/>
  <c r="R859" i="1"/>
  <c r="R854" i="1"/>
  <c r="AA854" i="1"/>
  <c r="AP852" i="1"/>
  <c r="AP848" i="1"/>
  <c r="AP845" i="1"/>
  <c r="R843" i="1"/>
  <c r="R841" i="1"/>
  <c r="BB838" i="1"/>
  <c r="AD837" i="1"/>
  <c r="AP835" i="1"/>
  <c r="AP833" i="1"/>
  <c r="BB831" i="1"/>
  <c r="AD830" i="1"/>
  <c r="F829" i="1"/>
  <c r="O829" i="1"/>
  <c r="R827" i="1"/>
  <c r="R825" i="1"/>
  <c r="AA825" i="1"/>
  <c r="AM825" i="1"/>
  <c r="F824" i="1"/>
  <c r="O824" i="1"/>
  <c r="AD821" i="1"/>
  <c r="AP819" i="1"/>
  <c r="AP817" i="1"/>
  <c r="BB815" i="1"/>
  <c r="AD814" i="1"/>
  <c r="F813" i="1"/>
  <c r="O813" i="1"/>
  <c r="R811" i="1"/>
  <c r="R809" i="1"/>
  <c r="AA809" i="1"/>
  <c r="AM809" i="1"/>
  <c r="F808" i="1"/>
  <c r="O808" i="1"/>
  <c r="AA808" i="1"/>
  <c r="BB806" i="1"/>
  <c r="AD805" i="1"/>
  <c r="AP803" i="1"/>
  <c r="AP801" i="1"/>
  <c r="BB798" i="1"/>
  <c r="AD796" i="1"/>
  <c r="F795" i="1"/>
  <c r="O795" i="1"/>
  <c r="BB794" i="1"/>
  <c r="F793" i="1"/>
  <c r="O793" i="1"/>
  <c r="BB792" i="1"/>
  <c r="AP791" i="1"/>
  <c r="F790" i="1"/>
  <c r="O790" i="1"/>
  <c r="BB788" i="1"/>
  <c r="AP787" i="1"/>
  <c r="F786" i="1"/>
  <c r="O786" i="1"/>
  <c r="BB784" i="1"/>
  <c r="AP783" i="1"/>
  <c r="F782" i="1"/>
  <c r="O782" i="1"/>
  <c r="BB780" i="1"/>
  <c r="AP779" i="1"/>
  <c r="F778" i="1"/>
  <c r="O778" i="1"/>
  <c r="AA778" i="1"/>
  <c r="BB776" i="1"/>
  <c r="AP775" i="1"/>
  <c r="F774" i="1"/>
  <c r="O774" i="1"/>
  <c r="BB772" i="1"/>
  <c r="AP771" i="1"/>
  <c r="F770" i="1"/>
  <c r="O770" i="1"/>
  <c r="BB768" i="1"/>
  <c r="AP767" i="1"/>
  <c r="F766" i="1"/>
  <c r="O766" i="1"/>
  <c r="BB764" i="1"/>
  <c r="AP763" i="1"/>
  <c r="F899" i="1"/>
  <c r="O899" i="1"/>
  <c r="R870" i="1"/>
  <c r="R847" i="1"/>
  <c r="AA847" i="1"/>
  <c r="AM847" i="1"/>
  <c r="AP844" i="1"/>
  <c r="R839" i="1"/>
  <c r="F834" i="1"/>
  <c r="O834" i="1"/>
  <c r="F827" i="1"/>
  <c r="O827" i="1"/>
  <c r="AP824" i="1"/>
  <c r="AD819" i="1"/>
  <c r="AD817" i="1"/>
  <c r="R815" i="1"/>
  <c r="BB811" i="1"/>
  <c r="BB809" i="1"/>
  <c r="F805" i="1"/>
  <c r="O805" i="1"/>
  <c r="R803" i="1"/>
  <c r="BB801" i="1"/>
  <c r="AD798" i="1"/>
  <c r="AD795" i="1"/>
  <c r="AD794" i="1"/>
  <c r="AD793" i="1"/>
  <c r="AD792" i="1"/>
  <c r="AD790" i="1"/>
  <c r="AD788" i="1"/>
  <c r="AD786" i="1"/>
  <c r="AD784" i="1"/>
  <c r="AD782" i="1"/>
  <c r="AD780" i="1"/>
  <c r="AD778" i="1"/>
  <c r="AD776" i="1"/>
  <c r="AD774" i="1"/>
  <c r="AD772" i="1"/>
  <c r="AD770" i="1"/>
  <c r="AD768" i="1"/>
  <c r="AD766" i="1"/>
  <c r="AD764" i="1"/>
  <c r="AP762" i="1"/>
  <c r="AP760" i="1"/>
  <c r="AP758" i="1"/>
  <c r="AP756" i="1"/>
  <c r="AP922" i="1"/>
  <c r="AD880" i="1"/>
  <c r="R862" i="1"/>
  <c r="AD851" i="1"/>
  <c r="BB843" i="1"/>
  <c r="AD835" i="1"/>
  <c r="AP829" i="1"/>
  <c r="AP866" i="1"/>
  <c r="AP892" i="1"/>
  <c r="R871" i="1"/>
  <c r="F907" i="1"/>
  <c r="O907" i="1"/>
  <c r="AD898" i="1"/>
  <c r="AD937" i="1"/>
  <c r="B13" i="22"/>
  <c r="AD980" i="1"/>
  <c r="AD967" i="1"/>
  <c r="BB972" i="1"/>
  <c r="F965" i="1"/>
  <c r="O965" i="1"/>
  <c r="F959" i="1"/>
  <c r="O959" i="1"/>
  <c r="F951" i="1"/>
  <c r="O951" i="1"/>
  <c r="F943" i="1"/>
  <c r="O943" i="1"/>
  <c r="F935" i="1"/>
  <c r="O935" i="1"/>
  <c r="F925" i="1"/>
  <c r="O925" i="1"/>
  <c r="F958" i="1"/>
  <c r="O958" i="1"/>
  <c r="AP947" i="1"/>
  <c r="AD940" i="1"/>
  <c r="AD932" i="1"/>
  <c r="AD922" i="1"/>
  <c r="BB967" i="1"/>
  <c r="F956" i="1"/>
  <c r="O956" i="1"/>
  <c r="AP953" i="1"/>
  <c r="F948" i="1"/>
  <c r="O948" i="1"/>
  <c r="AD946" i="1"/>
  <c r="AP944" i="1"/>
  <c r="R941" i="1"/>
  <c r="AD938" i="1"/>
  <c r="AP936" i="1"/>
  <c r="R933" i="1"/>
  <c r="AD931" i="1"/>
  <c r="AP929" i="1"/>
  <c r="BB924" i="1"/>
  <c r="F922" i="1"/>
  <c r="O922" i="1"/>
  <c r="AP920" i="1"/>
  <c r="AP918" i="1"/>
  <c r="AP916" i="1"/>
  <c r="AP914" i="1"/>
  <c r="F975" i="1"/>
  <c r="O975" i="1"/>
  <c r="BB973" i="1"/>
  <c r="F967" i="1"/>
  <c r="O967" i="1"/>
  <c r="BB964" i="1"/>
  <c r="AD960" i="1"/>
  <c r="AP958" i="1"/>
  <c r="R955" i="1"/>
  <c r="AD963" i="1"/>
  <c r="R969" i="1"/>
  <c r="F955" i="1"/>
  <c r="O955" i="1"/>
  <c r="F939" i="1"/>
  <c r="O939" i="1"/>
  <c r="F979" i="1"/>
  <c r="O979" i="1"/>
  <c r="F942" i="1"/>
  <c r="O942" i="1"/>
  <c r="R925" i="1"/>
  <c r="R957" i="1"/>
  <c r="BB950" i="1"/>
  <c r="AP945" i="1"/>
  <c r="F940" i="1"/>
  <c r="O940" i="1"/>
  <c r="AP937" i="1"/>
  <c r="F932" i="1"/>
  <c r="O932" i="1"/>
  <c r="AP927" i="1"/>
  <c r="AD921" i="1"/>
  <c r="AD917" i="1"/>
  <c r="AP980" i="1"/>
  <c r="AP972" i="1"/>
  <c r="AP963" i="1"/>
  <c r="BB956" i="1"/>
  <c r="F954" i="1"/>
  <c r="O954" i="1"/>
  <c r="AD953" i="1"/>
  <c r="AP951" i="1"/>
  <c r="BB948" i="1"/>
  <c r="AD945" i="1"/>
  <c r="AP943" i="1"/>
  <c r="BB940" i="1"/>
  <c r="F938" i="1"/>
  <c r="O938" i="1"/>
  <c r="AD936" i="1"/>
  <c r="AP934" i="1"/>
  <c r="R931" i="1"/>
  <c r="AD927" i="1"/>
  <c r="AP924" i="1"/>
  <c r="R921" i="1"/>
  <c r="R919" i="1"/>
  <c r="AA919" i="1"/>
  <c r="R917" i="1"/>
  <c r="R915" i="1"/>
  <c r="R913" i="1"/>
  <c r="R909" i="1"/>
  <c r="AA909" i="1"/>
  <c r="R907" i="1"/>
  <c r="R904" i="1"/>
  <c r="R901" i="1"/>
  <c r="R899" i="1"/>
  <c r="R897" i="1"/>
  <c r="R895" i="1"/>
  <c r="R892" i="1"/>
  <c r="R889" i="1"/>
  <c r="R887" i="1"/>
  <c r="R885" i="1"/>
  <c r="R883" i="1"/>
  <c r="AA883" i="1"/>
  <c r="R880" i="1"/>
  <c r="BB962" i="1"/>
  <c r="AD958" i="1"/>
  <c r="R953" i="1"/>
  <c r="AP949" i="1"/>
  <c r="R937" i="1"/>
  <c r="AP933" i="1"/>
  <c r="BB913" i="1"/>
  <c r="AP908" i="1"/>
  <c r="BB901" i="1"/>
  <c r="AP898" i="1"/>
  <c r="BB892" i="1"/>
  <c r="F889" i="1"/>
  <c r="O889" i="1"/>
  <c r="AD887" i="1"/>
  <c r="AP885" i="1"/>
  <c r="BB883" i="1"/>
  <c r="F880" i="1"/>
  <c r="O880" i="1"/>
  <c r="BB878" i="1"/>
  <c r="R877" i="1"/>
  <c r="AA877" i="1"/>
  <c r="F876" i="1"/>
  <c r="O876" i="1"/>
  <c r="BB874" i="1"/>
  <c r="R873" i="1"/>
  <c r="AA873" i="1"/>
  <c r="F872" i="1"/>
  <c r="O872" i="1"/>
  <c r="BB870" i="1"/>
  <c r="R868" i="1"/>
  <c r="F866" i="1"/>
  <c r="O866" i="1"/>
  <c r="AA866" i="1"/>
  <c r="BB864" i="1"/>
  <c r="R863" i="1"/>
  <c r="F862" i="1"/>
  <c r="O862" i="1"/>
  <c r="AP978" i="1"/>
  <c r="F964" i="1"/>
  <c r="O964" i="1"/>
  <c r="F952" i="1"/>
  <c r="O952" i="1"/>
  <c r="AD950" i="1"/>
  <c r="F936" i="1"/>
  <c r="O936" i="1"/>
  <c r="AD934" i="1"/>
  <c r="BB919" i="1"/>
  <c r="BB915" i="1"/>
  <c r="BB909" i="1"/>
  <c r="AP905" i="1"/>
  <c r="AD901" i="1"/>
  <c r="R898" i="1"/>
  <c r="F895" i="1"/>
  <c r="O895" i="1"/>
  <c r="AP890" i="1"/>
  <c r="BB888" i="1"/>
  <c r="R884" i="1"/>
  <c r="AP881" i="1"/>
  <c r="BB879" i="1"/>
  <c r="BB877" i="1"/>
  <c r="AP876" i="1"/>
  <c r="F875" i="1"/>
  <c r="O875" i="1"/>
  <c r="BB873" i="1"/>
  <c r="BB871" i="1"/>
  <c r="AP870" i="1"/>
  <c r="F868" i="1"/>
  <c r="O868" i="1"/>
  <c r="BB865" i="1"/>
  <c r="AP864" i="1"/>
  <c r="F863" i="1"/>
  <c r="O863" i="1"/>
  <c r="AP862" i="1"/>
  <c r="F861" i="1"/>
  <c r="O861" i="1"/>
  <c r="AA861" i="1"/>
  <c r="AM861" i="1"/>
  <c r="AY861" i="1"/>
  <c r="BL861" i="1"/>
  <c r="BB859" i="1"/>
  <c r="AP857" i="1"/>
  <c r="F856" i="1"/>
  <c r="O856" i="1"/>
  <c r="BB854" i="1"/>
  <c r="AP853" i="1"/>
  <c r="AP851" i="1"/>
  <c r="BB849" i="1"/>
  <c r="BB847" i="1"/>
  <c r="R844" i="1"/>
  <c r="AA844" i="1"/>
  <c r="F973" i="1"/>
  <c r="O973" i="1"/>
  <c r="R945" i="1"/>
  <c r="AP941" i="1"/>
  <c r="R929" i="1"/>
  <c r="AP923" i="1"/>
  <c r="F913" i="1"/>
  <c r="O913" i="1"/>
  <c r="AA913" i="1"/>
  <c r="AM913" i="1"/>
  <c r="BB907" i="1"/>
  <c r="AP902" i="1"/>
  <c r="AD899" i="1"/>
  <c r="R896" i="1"/>
  <c r="AD892" i="1"/>
  <c r="AP889" i="1"/>
  <c r="BB887" i="1"/>
  <c r="F885" i="1"/>
  <c r="O885" i="1"/>
  <c r="AD883" i="1"/>
  <c r="AP880" i="1"/>
  <c r="AD878" i="1"/>
  <c r="AD876" i="1"/>
  <c r="AD874" i="1"/>
  <c r="AD872" i="1"/>
  <c r="AD870" i="1"/>
  <c r="AD866" i="1"/>
  <c r="AD864" i="1"/>
  <c r="AD862" i="1"/>
  <c r="AD860" i="1"/>
  <c r="AD857" i="1"/>
  <c r="AD855" i="1"/>
  <c r="AP961" i="1"/>
  <c r="R918" i="1"/>
  <c r="BB904" i="1"/>
  <c r="F890" i="1"/>
  <c r="O890" i="1"/>
  <c r="AP887" i="1"/>
  <c r="AD877" i="1"/>
  <c r="AD873" i="1"/>
  <c r="AD868" i="1"/>
  <c r="AD863" i="1"/>
  <c r="R949" i="1"/>
  <c r="AP952" i="1"/>
  <c r="AD954" i="1"/>
  <c r="AP960" i="1"/>
  <c r="F969" i="1"/>
  <c r="O969" i="1"/>
  <c r="BB894" i="1"/>
  <c r="BB916" i="1"/>
  <c r="BB918" i="1"/>
  <c r="BB920" i="1"/>
  <c r="AP930" i="1"/>
  <c r="AP938" i="1"/>
  <c r="BB944" i="1"/>
  <c r="AD949" i="1"/>
  <c r="AD956" i="1"/>
  <c r="F971" i="1"/>
  <c r="O971" i="1"/>
  <c r="F923" i="1"/>
  <c r="O923" i="1"/>
  <c r="F929" i="1"/>
  <c r="O929" i="1"/>
  <c r="AD972" i="1"/>
  <c r="B11" i="22"/>
  <c r="BB896" i="1"/>
  <c r="BB898" i="1"/>
  <c r="BB900" i="1"/>
  <c r="BB902" i="1"/>
  <c r="BB905" i="1"/>
  <c r="BB908" i="1"/>
  <c r="BB912" i="1"/>
  <c r="BB914" i="1"/>
  <c r="F933" i="1"/>
  <c r="O933" i="1"/>
  <c r="F937" i="1"/>
  <c r="O937" i="1"/>
  <c r="F941" i="1"/>
  <c r="O941" i="1"/>
  <c r="AA941" i="1"/>
  <c r="F945" i="1"/>
  <c r="O945" i="1"/>
  <c r="F949" i="1"/>
  <c r="O949" i="1"/>
  <c r="F953" i="1"/>
  <c r="O953" i="1"/>
  <c r="F957" i="1"/>
  <c r="O957" i="1"/>
  <c r="R964" i="1"/>
  <c r="R971" i="1"/>
  <c r="BB974" i="1"/>
  <c r="AD975" i="1"/>
  <c r="AD978" i="1"/>
  <c r="AD974" i="1"/>
  <c r="AD970" i="1"/>
  <c r="AD965" i="1"/>
  <c r="AD961" i="1"/>
  <c r="AD977" i="1"/>
  <c r="AD973" i="1"/>
  <c r="AD969" i="1"/>
  <c r="AD964" i="1"/>
  <c r="BB980" i="1"/>
  <c r="BB978" i="1"/>
  <c r="R977" i="1"/>
  <c r="F976" i="1"/>
  <c r="O976" i="1"/>
  <c r="R975" i="1"/>
  <c r="AA975" i="1"/>
  <c r="AM975" i="1"/>
  <c r="F974" i="1"/>
  <c r="O974" i="1"/>
  <c r="R973" i="1"/>
  <c r="F972" i="1"/>
  <c r="O972" i="1"/>
  <c r="BB970" i="1"/>
  <c r="BB968" i="1"/>
  <c r="BB965" i="1"/>
  <c r="BB963" i="1"/>
  <c r="BB961" i="1"/>
  <c r="BB959" i="1"/>
  <c r="BB957" i="1"/>
  <c r="BB955" i="1"/>
  <c r="BB953" i="1"/>
  <c r="BB951" i="1"/>
  <c r="BB949" i="1"/>
  <c r="BB947" i="1"/>
  <c r="BB945" i="1"/>
  <c r="BB943" i="1"/>
  <c r="BB941" i="1"/>
  <c r="BB939" i="1"/>
  <c r="BB937" i="1"/>
  <c r="BB935" i="1"/>
  <c r="BB933" i="1"/>
  <c r="BB931" i="1"/>
  <c r="BB929" i="1"/>
  <c r="BB925" i="1"/>
  <c r="BB923" i="1"/>
  <c r="BB921" i="1"/>
  <c r="AP976" i="1"/>
  <c r="AP968" i="1"/>
  <c r="F962" i="1"/>
  <c r="O962" i="1"/>
  <c r="R959" i="1"/>
  <c r="AD957" i="1"/>
  <c r="AP955" i="1"/>
  <c r="BB952" i="1"/>
  <c r="F950" i="1"/>
  <c r="O950" i="1"/>
  <c r="AD976" i="1"/>
  <c r="AD968" i="1"/>
  <c r="AD979" i="1"/>
  <c r="AD971" i="1"/>
  <c r="AD962" i="1"/>
  <c r="F970" i="1"/>
  <c r="O970" i="1"/>
  <c r="F968" i="1"/>
  <c r="O968" i="1"/>
  <c r="R967" i="1"/>
  <c r="F963" i="1"/>
  <c r="O963" i="1"/>
  <c r="F961" i="1"/>
  <c r="O961" i="1"/>
  <c r="R960" i="1"/>
  <c r="R958" i="1"/>
  <c r="R956" i="1"/>
  <c r="R954" i="1"/>
  <c r="AA954" i="1"/>
  <c r="AM954" i="1"/>
  <c r="R952" i="1"/>
  <c r="R950" i="1"/>
  <c r="R948" i="1"/>
  <c r="R946" i="1"/>
  <c r="R944" i="1"/>
  <c r="R942" i="1"/>
  <c r="R940" i="1"/>
  <c r="R938" i="1"/>
  <c r="R936" i="1"/>
  <c r="AA936" i="1"/>
  <c r="R934" i="1"/>
  <c r="R932" i="1"/>
  <c r="R930" i="1"/>
  <c r="R927" i="1"/>
  <c r="R924" i="1"/>
  <c r="R922" i="1"/>
  <c r="BB977" i="1"/>
  <c r="BB969" i="1"/>
  <c r="BB960" i="1"/>
  <c r="AP954" i="1"/>
  <c r="AD948" i="1"/>
  <c r="AP946" i="1"/>
  <c r="R943" i="1"/>
  <c r="AD941" i="1"/>
  <c r="AP939" i="1"/>
  <c r="BB936" i="1"/>
  <c r="F934" i="1"/>
  <c r="O934" i="1"/>
  <c r="AD933" i="1"/>
  <c r="AP931" i="1"/>
  <c r="BB927" i="1"/>
  <c r="F924" i="1"/>
  <c r="O924" i="1"/>
  <c r="AD923" i="1"/>
  <c r="AP921" i="1"/>
  <c r="F920" i="1"/>
  <c r="O920" i="1"/>
  <c r="AA920" i="1"/>
  <c r="AM920" i="1"/>
  <c r="AY920" i="1"/>
  <c r="AP919" i="1"/>
  <c r="F918" i="1"/>
  <c r="O918" i="1"/>
  <c r="AP917" i="1"/>
  <c r="F916" i="1"/>
  <c r="O916" i="1"/>
  <c r="AA916" i="1"/>
  <c r="AP915" i="1"/>
  <c r="F914" i="1"/>
  <c r="O914" i="1"/>
  <c r="AP913" i="1"/>
  <c r="F912" i="1"/>
  <c r="O912" i="1"/>
  <c r="AA912" i="1"/>
  <c r="AM912" i="1"/>
  <c r="AY912" i="1"/>
  <c r="AP909" i="1"/>
  <c r="F908" i="1"/>
  <c r="O908" i="1"/>
  <c r="AP907" i="1"/>
  <c r="F905" i="1"/>
  <c r="O905" i="1"/>
  <c r="AP904" i="1"/>
  <c r="F902" i="1"/>
  <c r="O902" i="1"/>
  <c r="AA902" i="1"/>
  <c r="AM902" i="1"/>
  <c r="AP901" i="1"/>
  <c r="F900" i="1"/>
  <c r="O900" i="1"/>
  <c r="AP899" i="1"/>
  <c r="F898" i="1"/>
  <c r="O898" i="1"/>
  <c r="AP897" i="1"/>
  <c r="F896" i="1"/>
  <c r="O896" i="1"/>
  <c r="AP895" i="1"/>
  <c r="F894" i="1"/>
  <c r="O894" i="1"/>
  <c r="F977" i="1"/>
  <c r="O977" i="1"/>
  <c r="AP974" i="1"/>
  <c r="AP965" i="1"/>
  <c r="BB958" i="1"/>
  <c r="AP979" i="1"/>
  <c r="AP977" i="1"/>
  <c r="AP975" i="1"/>
  <c r="AP973" i="1"/>
  <c r="AP971" i="1"/>
  <c r="AP969" i="1"/>
  <c r="AP967" i="1"/>
  <c r="AP964" i="1"/>
  <c r="AP962" i="1"/>
  <c r="R980" i="1"/>
  <c r="R978" i="1"/>
  <c r="R976" i="1"/>
  <c r="R974" i="1"/>
  <c r="R972" i="1"/>
  <c r="R970" i="1"/>
  <c r="R968" i="1"/>
  <c r="R965" i="1"/>
  <c r="AA965" i="1"/>
  <c r="R963" i="1"/>
  <c r="R961" i="1"/>
  <c r="AA961" i="1"/>
  <c r="AM961" i="1"/>
  <c r="F980" i="1"/>
  <c r="O980" i="1"/>
  <c r="AA980" i="1"/>
  <c r="AM980" i="1"/>
  <c r="R979" i="1"/>
  <c r="AA979" i="1"/>
  <c r="F978" i="1"/>
  <c r="O978" i="1"/>
  <c r="AA168" i="1"/>
  <c r="AM168" i="1"/>
  <c r="AY168" i="1"/>
  <c r="BL168" i="1"/>
  <c r="AA126" i="1"/>
  <c r="AM126" i="1"/>
  <c r="AY126" i="1"/>
  <c r="BL126" i="1"/>
  <c r="AA177" i="1"/>
  <c r="AM177" i="1"/>
  <c r="AY177" i="1"/>
  <c r="BL177" i="1"/>
  <c r="AA130" i="1"/>
  <c r="AM130" i="1"/>
  <c r="AY130" i="1"/>
  <c r="BL130" i="1"/>
  <c r="AA428" i="1"/>
  <c r="AM428" i="1"/>
  <c r="AY428" i="1"/>
  <c r="BL428" i="1"/>
  <c r="AA379" i="1"/>
  <c r="AM379" i="1"/>
  <c r="AY379" i="1"/>
  <c r="BL379" i="1"/>
  <c r="AA99" i="1"/>
  <c r="AM99" i="1"/>
  <c r="AY99" i="1"/>
  <c r="BL99" i="1"/>
  <c r="AA53" i="1"/>
  <c r="AM53" i="1"/>
  <c r="AY53" i="1"/>
  <c r="BL53" i="1"/>
  <c r="AA121" i="1"/>
  <c r="AM121" i="1"/>
  <c r="AY121" i="1"/>
  <c r="BL121" i="1"/>
  <c r="AA431" i="1"/>
  <c r="AM431" i="1"/>
  <c r="AY431" i="1"/>
  <c r="BL431" i="1"/>
  <c r="AA707" i="1"/>
  <c r="AM707" i="1"/>
  <c r="AY707" i="1"/>
  <c r="BL707" i="1"/>
  <c r="AA300" i="1"/>
  <c r="AM300" i="1"/>
  <c r="AY300" i="1"/>
  <c r="BL300" i="1"/>
  <c r="AA69" i="1"/>
  <c r="AM69" i="1"/>
  <c r="AY69" i="1"/>
  <c r="BL69" i="1"/>
  <c r="AA138" i="1"/>
  <c r="AM138" i="1"/>
  <c r="AY138" i="1"/>
  <c r="BL138" i="1"/>
  <c r="AM68" i="1"/>
  <c r="AY68" i="1"/>
  <c r="BL68" i="1"/>
  <c r="AM172" i="1"/>
  <c r="AY172" i="1"/>
  <c r="BL172" i="1"/>
  <c r="AA310" i="1"/>
  <c r="AM310" i="1"/>
  <c r="AY310" i="1"/>
  <c r="BL310" i="1"/>
  <c r="AA528" i="1"/>
  <c r="AM528" i="1"/>
  <c r="AY528" i="1"/>
  <c r="BL528" i="1"/>
  <c r="AA480" i="1"/>
  <c r="AM480" i="1"/>
  <c r="AY480" i="1"/>
  <c r="BL480" i="1"/>
  <c r="AM174" i="1"/>
  <c r="AY174" i="1"/>
  <c r="BL174" i="1"/>
  <c r="AA191" i="1"/>
  <c r="AM191" i="1"/>
  <c r="AY191" i="1"/>
  <c r="BL191" i="1"/>
  <c r="AA58" i="1"/>
  <c r="AM58" i="1"/>
  <c r="AY58" i="1"/>
  <c r="BL58" i="1"/>
  <c r="AM140" i="1"/>
  <c r="AY140" i="1"/>
  <c r="BL140" i="1"/>
  <c r="AA314" i="1"/>
  <c r="AM314" i="1"/>
  <c r="AY314" i="1"/>
  <c r="BL314" i="1"/>
  <c r="AA295" i="1"/>
  <c r="AM295" i="1"/>
  <c r="AY295" i="1"/>
  <c r="BL295" i="1"/>
  <c r="BL228" i="1"/>
  <c r="AA393" i="1"/>
  <c r="AM393" i="1"/>
  <c r="AY393" i="1"/>
  <c r="BL393" i="1"/>
  <c r="AA383" i="1"/>
  <c r="AM383" i="1"/>
  <c r="AY383" i="1"/>
  <c r="BL383" i="1"/>
  <c r="AA386" i="1"/>
  <c r="AM386" i="1"/>
  <c r="AY386" i="1"/>
  <c r="BL386" i="1"/>
  <c r="AA307" i="1"/>
  <c r="AM307" i="1"/>
  <c r="AY307" i="1"/>
  <c r="BL307" i="1"/>
  <c r="AA158" i="1"/>
  <c r="AM158" i="1"/>
  <c r="AY158" i="1"/>
  <c r="BL158" i="1"/>
  <c r="AA40" i="1"/>
  <c r="AM40" i="1"/>
  <c r="AY40" i="1"/>
  <c r="BL40" i="1"/>
  <c r="AA366" i="1"/>
  <c r="AM366" i="1"/>
  <c r="AY366" i="1"/>
  <c r="BL366" i="1"/>
  <c r="AA532" i="1"/>
  <c r="AM532" i="1"/>
  <c r="AY532" i="1"/>
  <c r="BL532" i="1"/>
  <c r="AA424" i="1"/>
  <c r="AM424" i="1"/>
  <c r="AY424" i="1"/>
  <c r="BL424" i="1"/>
  <c r="AA339" i="1"/>
  <c r="AM339" i="1"/>
  <c r="AY339" i="1"/>
  <c r="BL339" i="1"/>
  <c r="AA156" i="1"/>
  <c r="AM156" i="1"/>
  <c r="AY156" i="1"/>
  <c r="BL156" i="1"/>
  <c r="AA123" i="1"/>
  <c r="AM123" i="1"/>
  <c r="AY123" i="1"/>
  <c r="BL123" i="1"/>
  <c r="AA110" i="1"/>
  <c r="AM110" i="1"/>
  <c r="AY110" i="1"/>
  <c r="BL110" i="1"/>
  <c r="AA368" i="1"/>
  <c r="AM368" i="1"/>
  <c r="AY368" i="1"/>
  <c r="BL368" i="1"/>
  <c r="AA419" i="1"/>
  <c r="AM419" i="1"/>
  <c r="AY419" i="1"/>
  <c r="BL419" i="1"/>
  <c r="AA846" i="1"/>
  <c r="AM846" i="1"/>
  <c r="AY846" i="1"/>
  <c r="BL846" i="1"/>
  <c r="AM436" i="1"/>
  <c r="AY436" i="1"/>
  <c r="BL436" i="1"/>
  <c r="AA569" i="1"/>
  <c r="AM569" i="1"/>
  <c r="AY569" i="1"/>
  <c r="BL569" i="1"/>
  <c r="AA605" i="1"/>
  <c r="AM605" i="1"/>
  <c r="AY605" i="1"/>
  <c r="BL605" i="1"/>
  <c r="AA327" i="1"/>
  <c r="AM327" i="1"/>
  <c r="AY327" i="1"/>
  <c r="BL327" i="1"/>
  <c r="AA367" i="1"/>
  <c r="AM367" i="1"/>
  <c r="AY367" i="1"/>
  <c r="BL367" i="1"/>
  <c r="AA380" i="1"/>
  <c r="AM380" i="1"/>
  <c r="AY380" i="1"/>
  <c r="BL380" i="1"/>
  <c r="AA858" i="1"/>
  <c r="AM858" i="1"/>
  <c r="AY858" i="1"/>
  <c r="BL858" i="1"/>
  <c r="AA458" i="1"/>
  <c r="AM458" i="1"/>
  <c r="AY458" i="1"/>
  <c r="BL458" i="1"/>
  <c r="AA341" i="1"/>
  <c r="AM341" i="1"/>
  <c r="AY341" i="1"/>
  <c r="BL341" i="1"/>
  <c r="AA373" i="1"/>
  <c r="AM373" i="1"/>
  <c r="AY373" i="1"/>
  <c r="BL373" i="1"/>
  <c r="AA238" i="1"/>
  <c r="AM238" i="1"/>
  <c r="AY238" i="1"/>
  <c r="BL238" i="1"/>
  <c r="AA381" i="1"/>
  <c r="AM381" i="1"/>
  <c r="AY381" i="1"/>
  <c r="BL381" i="1"/>
  <c r="AA510" i="1"/>
  <c r="AM510" i="1"/>
  <c r="AY510" i="1"/>
  <c r="BL510" i="1"/>
  <c r="AA799" i="1"/>
  <c r="AM799" i="1"/>
  <c r="AY799" i="1"/>
  <c r="BL799" i="1"/>
  <c r="AA654" i="1"/>
  <c r="AM654" i="1"/>
  <c r="AY654" i="1"/>
  <c r="BL654" i="1"/>
  <c r="AA363" i="1"/>
  <c r="AM363" i="1"/>
  <c r="AY363" i="1"/>
  <c r="BL363" i="1"/>
  <c r="AA203" i="1"/>
  <c r="AM203" i="1"/>
  <c r="AY203" i="1"/>
  <c r="BL203" i="1"/>
  <c r="AA630" i="1"/>
  <c r="AM630" i="1"/>
  <c r="AY630" i="1"/>
  <c r="BL630" i="1"/>
  <c r="AA525" i="1"/>
  <c r="AM525" i="1"/>
  <c r="AY525" i="1"/>
  <c r="BL525" i="1"/>
  <c r="AM362" i="1"/>
  <c r="AY362" i="1"/>
  <c r="BL362" i="1"/>
  <c r="AA422" i="1"/>
  <c r="AM422" i="1"/>
  <c r="AY422" i="1"/>
  <c r="BL422" i="1"/>
  <c r="AM185" i="1"/>
  <c r="AY185" i="1"/>
  <c r="BL185" i="1"/>
  <c r="AM132" i="1"/>
  <c r="AY132" i="1"/>
  <c r="BL132" i="1"/>
  <c r="AA495" i="1"/>
  <c r="AM495" i="1"/>
  <c r="AY495" i="1"/>
  <c r="BL495" i="1"/>
  <c r="AA530" i="1"/>
  <c r="AM530" i="1"/>
  <c r="AY530" i="1"/>
  <c r="BL530" i="1"/>
  <c r="AA489" i="1"/>
  <c r="AM489" i="1"/>
  <c r="AY489" i="1"/>
  <c r="BL489" i="1"/>
  <c r="AA513" i="1"/>
  <c r="AM513" i="1"/>
  <c r="AY513" i="1"/>
  <c r="BL513" i="1"/>
  <c r="AA344" i="1"/>
  <c r="AM344" i="1"/>
  <c r="AY344" i="1"/>
  <c r="BL344" i="1"/>
  <c r="AA154" i="1"/>
  <c r="AM154" i="1"/>
  <c r="AY154" i="1"/>
  <c r="BL154" i="1"/>
  <c r="AM142" i="1"/>
  <c r="AY142" i="1"/>
  <c r="BL142" i="1"/>
  <c r="AY293" i="1"/>
  <c r="BL293" i="1"/>
  <c r="AA18" i="1"/>
  <c r="AM18" i="1"/>
  <c r="AY18" i="1"/>
  <c r="BL18" i="1"/>
  <c r="AA313" i="1"/>
  <c r="AM313" i="1"/>
  <c r="AY313" i="1"/>
  <c r="BL313" i="1"/>
  <c r="AM343" i="1"/>
  <c r="AY343" i="1"/>
  <c r="BL343" i="1"/>
  <c r="AA63" i="1"/>
  <c r="AM63" i="1"/>
  <c r="AY63" i="1"/>
  <c r="BL63" i="1"/>
  <c r="AA412" i="1"/>
  <c r="AM412" i="1"/>
  <c r="AY412" i="1"/>
  <c r="BL412" i="1"/>
  <c r="AA335" i="1"/>
  <c r="AM335" i="1"/>
  <c r="AY335" i="1"/>
  <c r="BL335" i="1"/>
  <c r="AA225" i="1"/>
  <c r="AM225" i="1"/>
  <c r="AY225" i="1"/>
  <c r="BL225" i="1"/>
  <c r="AA92" i="1"/>
  <c r="AM92" i="1"/>
  <c r="AY92" i="1"/>
  <c r="BL92" i="1"/>
  <c r="AA13" i="1"/>
  <c r="AM13" i="1"/>
  <c r="AY13" i="1"/>
  <c r="BL13" i="1"/>
  <c r="AA503" i="1"/>
  <c r="AM503" i="1"/>
  <c r="AY503" i="1"/>
  <c r="BL503" i="1"/>
  <c r="AA200" i="1"/>
  <c r="AM200" i="1"/>
  <c r="AY200" i="1"/>
  <c r="BL200" i="1"/>
  <c r="AA233" i="1"/>
  <c r="AM233" i="1"/>
  <c r="AY233" i="1"/>
  <c r="BL233" i="1"/>
  <c r="AA463" i="1"/>
  <c r="AM463" i="1"/>
  <c r="AY463" i="1"/>
  <c r="BL463" i="1"/>
  <c r="AA581" i="1"/>
  <c r="AM581" i="1"/>
  <c r="AY581" i="1"/>
  <c r="BL581" i="1"/>
  <c r="AA222" i="1"/>
  <c r="AM222" i="1"/>
  <c r="AY222" i="1"/>
  <c r="BL222" i="1"/>
  <c r="AA239" i="1"/>
  <c r="AM239" i="1"/>
  <c r="AY239" i="1"/>
  <c r="BL239" i="1"/>
  <c r="AA255" i="1"/>
  <c r="AM255" i="1"/>
  <c r="AY255" i="1"/>
  <c r="BL255" i="1"/>
  <c r="AA329" i="1"/>
  <c r="AM329" i="1"/>
  <c r="AY329" i="1"/>
  <c r="BL329" i="1"/>
  <c r="AA319" i="1"/>
  <c r="AM319" i="1"/>
  <c r="AY319" i="1"/>
  <c r="BL319" i="1"/>
  <c r="AA487" i="1"/>
  <c r="AM487" i="1"/>
  <c r="AY487" i="1"/>
  <c r="BL487" i="1"/>
  <c r="BL416" i="1"/>
  <c r="AA263" i="1"/>
  <c r="AM263" i="1"/>
  <c r="AY263" i="1"/>
  <c r="BL263" i="1"/>
  <c r="AA231" i="1"/>
  <c r="AM231" i="1"/>
  <c r="AY231" i="1"/>
  <c r="BL231" i="1"/>
  <c r="AA11" i="1"/>
  <c r="AM11" i="1"/>
  <c r="AY11" i="1"/>
  <c r="BL11" i="1"/>
  <c r="AA250" i="1"/>
  <c r="AM250" i="1"/>
  <c r="AY250" i="1"/>
  <c r="BL250" i="1"/>
  <c r="AA259" i="1"/>
  <c r="AM259" i="1"/>
  <c r="AY259" i="1"/>
  <c r="BL259" i="1"/>
  <c r="AA189" i="1"/>
  <c r="AM189" i="1"/>
  <c r="AY189" i="1"/>
  <c r="BL189" i="1"/>
  <c r="AA100" i="1"/>
  <c r="AM100" i="1"/>
  <c r="AY100" i="1"/>
  <c r="BL100" i="1"/>
  <c r="AA597" i="1"/>
  <c r="AM597" i="1"/>
  <c r="AY597" i="1"/>
  <c r="BL597" i="1"/>
  <c r="AA432" i="1"/>
  <c r="AM432" i="1"/>
  <c r="AY432" i="1"/>
  <c r="BL432" i="1"/>
  <c r="AA338" i="1"/>
  <c r="AM338" i="1"/>
  <c r="AY338" i="1"/>
  <c r="BL338" i="1"/>
  <c r="AA509" i="1"/>
  <c r="AM509" i="1"/>
  <c r="AY509" i="1"/>
  <c r="BL509" i="1"/>
  <c r="AA554" i="1"/>
  <c r="AM554" i="1"/>
  <c r="AY554" i="1"/>
  <c r="BL554" i="1"/>
  <c r="AA533" i="1"/>
  <c r="AM533" i="1"/>
  <c r="AY533" i="1"/>
  <c r="BL533" i="1"/>
  <c r="AA249" i="1"/>
  <c r="AM249" i="1"/>
  <c r="AY249" i="1"/>
  <c r="BL249" i="1"/>
  <c r="AA298" i="1"/>
  <c r="AM298" i="1"/>
  <c r="AY298" i="1"/>
  <c r="BL298" i="1"/>
  <c r="AA19" i="1"/>
  <c r="AM19" i="1"/>
  <c r="AY19" i="1"/>
  <c r="BL19" i="1"/>
  <c r="AA81" i="1"/>
  <c r="AM81" i="1"/>
  <c r="AY81" i="1"/>
  <c r="BL81" i="1"/>
  <c r="AA493" i="1"/>
  <c r="AM493" i="1"/>
  <c r="AY493" i="1"/>
  <c r="BL493" i="1"/>
  <c r="AA546" i="1"/>
  <c r="AM546" i="1"/>
  <c r="AY546" i="1"/>
  <c r="BL546" i="1"/>
  <c r="AA427" i="1"/>
  <c r="AM427" i="1"/>
  <c r="AY427" i="1"/>
  <c r="BL427" i="1"/>
  <c r="AA216" i="1"/>
  <c r="AM216" i="1"/>
  <c r="AY216" i="1"/>
  <c r="BL216" i="1"/>
  <c r="AA340" i="1"/>
  <c r="AM340" i="1"/>
  <c r="AY340" i="1"/>
  <c r="BL340" i="1"/>
  <c r="AA349" i="1"/>
  <c r="AM349" i="1"/>
  <c r="AY349" i="1"/>
  <c r="BL349" i="1"/>
  <c r="AA105" i="1"/>
  <c r="AM105" i="1"/>
  <c r="AY105" i="1"/>
  <c r="BL105" i="1"/>
  <c r="AA38" i="1"/>
  <c r="AM38" i="1"/>
  <c r="AY38" i="1"/>
  <c r="BL38" i="1"/>
  <c r="AA637" i="1"/>
  <c r="AM637" i="1"/>
  <c r="AY637" i="1"/>
  <c r="BL637" i="1"/>
  <c r="AA536" i="1"/>
  <c r="AM536" i="1"/>
  <c r="AY536" i="1"/>
  <c r="BL536" i="1"/>
  <c r="AA385" i="1"/>
  <c r="AM385" i="1"/>
  <c r="AY385" i="1"/>
  <c r="BL385" i="1"/>
  <c r="AA345" i="1"/>
  <c r="AM345" i="1"/>
  <c r="AY345" i="1"/>
  <c r="BL345" i="1"/>
  <c r="AA235" i="1"/>
  <c r="AM235" i="1"/>
  <c r="AY235" i="1"/>
  <c r="BL235" i="1"/>
  <c r="AA10" i="1"/>
  <c r="AM10" i="1"/>
  <c r="AY10" i="1"/>
  <c r="BL10" i="1"/>
  <c r="AA73" i="1"/>
  <c r="AM73" i="1"/>
  <c r="AY73" i="1"/>
  <c r="BL73" i="1"/>
  <c r="AA36" i="1"/>
  <c r="AM36" i="1"/>
  <c r="AY36" i="1"/>
  <c r="BL36" i="1"/>
  <c r="AA56" i="1"/>
  <c r="AM56" i="1"/>
  <c r="AY56" i="1"/>
  <c r="BL56" i="1"/>
  <c r="AA9" i="1"/>
  <c r="AM9" i="1"/>
  <c r="AY9" i="1"/>
  <c r="BL9" i="1"/>
  <c r="AA21" i="1"/>
  <c r="AM21" i="1"/>
  <c r="AY21" i="1"/>
  <c r="BL21" i="1"/>
  <c r="AA23" i="1"/>
  <c r="AM23" i="1"/>
  <c r="AY23" i="1"/>
  <c r="BL23" i="1"/>
  <c r="AA677" i="1"/>
  <c r="AM677" i="1"/>
  <c r="AA157" i="1"/>
  <c r="AM157" i="1"/>
  <c r="AY157" i="1"/>
  <c r="BL157" i="1"/>
  <c r="AA279" i="1"/>
  <c r="AM279" i="1"/>
  <c r="AY279" i="1"/>
  <c r="BL279" i="1"/>
  <c r="AA5" i="1"/>
  <c r="AM5" i="1"/>
  <c r="AY5" i="1"/>
  <c r="BL5" i="1"/>
  <c r="AA61" i="1"/>
  <c r="AM61" i="1"/>
  <c r="AY61" i="1"/>
  <c r="BL61" i="1"/>
  <c r="AA95" i="1"/>
  <c r="AM95" i="1"/>
  <c r="AY95" i="1"/>
  <c r="BL95" i="1"/>
  <c r="AA369" i="1"/>
  <c r="AM369" i="1"/>
  <c r="AY369" i="1"/>
  <c r="BL369" i="1"/>
  <c r="AA186" i="1"/>
  <c r="AM186" i="1"/>
  <c r="AY186" i="1"/>
  <c r="BL186" i="1"/>
  <c r="AA43" i="1"/>
  <c r="AM43" i="1"/>
  <c r="AY43" i="1"/>
  <c r="BL43" i="1"/>
  <c r="AA321" i="1"/>
  <c r="AM321" i="1"/>
  <c r="AY321" i="1"/>
  <c r="BL321" i="1"/>
  <c r="AA175" i="1"/>
  <c r="AM175" i="1"/>
  <c r="AY175" i="1"/>
  <c r="BL175" i="1"/>
  <c r="AA723" i="1"/>
  <c r="AM723" i="1"/>
  <c r="AY723" i="1"/>
  <c r="BL723" i="1"/>
  <c r="AA570" i="1"/>
  <c r="AM570" i="1"/>
  <c r="AY570" i="1"/>
  <c r="BL570" i="1"/>
  <c r="AA596" i="1"/>
  <c r="AM596" i="1"/>
  <c r="AY596" i="1"/>
  <c r="BL596" i="1"/>
  <c r="AA272" i="1"/>
  <c r="AM272" i="1"/>
  <c r="AY272" i="1"/>
  <c r="BL272" i="1"/>
  <c r="AA281" i="1"/>
  <c r="AM281" i="1"/>
  <c r="AY281" i="1"/>
  <c r="BL281" i="1"/>
  <c r="AA332" i="1"/>
  <c r="AM332" i="1"/>
  <c r="AY332" i="1"/>
  <c r="BL332" i="1"/>
  <c r="AA145" i="1"/>
  <c r="AM145" i="1"/>
  <c r="AY145" i="1"/>
  <c r="BL145" i="1"/>
  <c r="AA252" i="1"/>
  <c r="AM252" i="1"/>
  <c r="AY252" i="1"/>
  <c r="BL252" i="1"/>
  <c r="AA159" i="1"/>
  <c r="AM159" i="1"/>
  <c r="AY159" i="1"/>
  <c r="BL159" i="1"/>
  <c r="AA35" i="1"/>
  <c r="AM35" i="1"/>
  <c r="AY35" i="1"/>
  <c r="BL35" i="1"/>
  <c r="AA407" i="1"/>
  <c r="AM407" i="1"/>
  <c r="AY407" i="1"/>
  <c r="BL407" i="1"/>
  <c r="AA423" i="1"/>
  <c r="AM423" i="1"/>
  <c r="AY423" i="1"/>
  <c r="BL423" i="1"/>
  <c r="AA448" i="1"/>
  <c r="AM448" i="1"/>
  <c r="AY448" i="1"/>
  <c r="BL448" i="1"/>
  <c r="AA153" i="1"/>
  <c r="AM153" i="1"/>
  <c r="AY153" i="1"/>
  <c r="BL153" i="1"/>
  <c r="AA184" i="1"/>
  <c r="AM184" i="1"/>
  <c r="AY184" i="1"/>
  <c r="BL184" i="1"/>
  <c r="AA201" i="1"/>
  <c r="AM201" i="1"/>
  <c r="AY201" i="1"/>
  <c r="BL201" i="1"/>
  <c r="AA87" i="1"/>
  <c r="AM87" i="1"/>
  <c r="AY87" i="1"/>
  <c r="BL87" i="1"/>
  <c r="AA415" i="1"/>
  <c r="AM415" i="1"/>
  <c r="AY415" i="1"/>
  <c r="BL415" i="1"/>
  <c r="AA169" i="1"/>
  <c r="AM169" i="1"/>
  <c r="AY169" i="1"/>
  <c r="BL169" i="1"/>
  <c r="AA111" i="1"/>
  <c r="AM111" i="1"/>
  <c r="AY111" i="1"/>
  <c r="BL111" i="1"/>
  <c r="AA869" i="1"/>
  <c r="AM869" i="1"/>
  <c r="AY869" i="1"/>
  <c r="BL869" i="1"/>
  <c r="AM326" i="1"/>
  <c r="AY326" i="1"/>
  <c r="BL326" i="1"/>
  <c r="AA761" i="1"/>
  <c r="AA267" i="1"/>
  <c r="AM267" i="1"/>
  <c r="AY267" i="1"/>
  <c r="BL267" i="1"/>
  <c r="AA592" i="1"/>
  <c r="AM592" i="1"/>
  <c r="AY592" i="1"/>
  <c r="BL592" i="1"/>
  <c r="AA444" i="1"/>
  <c r="AM444" i="1"/>
  <c r="AY444" i="1"/>
  <c r="BL444" i="1"/>
  <c r="AA316" i="1"/>
  <c r="AM316" i="1"/>
  <c r="AY316" i="1"/>
  <c r="BL316" i="1"/>
  <c r="AA167" i="1"/>
  <c r="AM167" i="1"/>
  <c r="AY167" i="1"/>
  <c r="BL167" i="1"/>
  <c r="AA47" i="1"/>
  <c r="AM47" i="1"/>
  <c r="AY47" i="1"/>
  <c r="BL47" i="1"/>
  <c r="AA54" i="1"/>
  <c r="AM54" i="1"/>
  <c r="AY54" i="1"/>
  <c r="BL54" i="1"/>
  <c r="AA119" i="1"/>
  <c r="AM119" i="1"/>
  <c r="AY119" i="1"/>
  <c r="BL119" i="1"/>
  <c r="AA562" i="1"/>
  <c r="AM562" i="1"/>
  <c r="AY562" i="1"/>
  <c r="BL562" i="1"/>
  <c r="AA578" i="1"/>
  <c r="AM578" i="1"/>
  <c r="AY578" i="1"/>
  <c r="BL578" i="1"/>
  <c r="AA391" i="1"/>
  <c r="AM391" i="1"/>
  <c r="AY391" i="1"/>
  <c r="BL391" i="1"/>
  <c r="AA271" i="1"/>
  <c r="AM271" i="1"/>
  <c r="AY271" i="1"/>
  <c r="BL271" i="1"/>
  <c r="AA303" i="1"/>
  <c r="AM303" i="1"/>
  <c r="AY303" i="1"/>
  <c r="BL303" i="1"/>
  <c r="AA33" i="1"/>
  <c r="AM33" i="1"/>
  <c r="AY33" i="1"/>
  <c r="BL33" i="1"/>
  <c r="AA49" i="1"/>
  <c r="AM49" i="1"/>
  <c r="AY49" i="1"/>
  <c r="BL49" i="1"/>
  <c r="AA906" i="1"/>
  <c r="AM906" i="1"/>
  <c r="AY906" i="1"/>
  <c r="BL906" i="1"/>
  <c r="AA579" i="1"/>
  <c r="AM579" i="1"/>
  <c r="AY579" i="1"/>
  <c r="BL579" i="1"/>
  <c r="AA566" i="1"/>
  <c r="AM566" i="1"/>
  <c r="AY566" i="1"/>
  <c r="BL566" i="1"/>
  <c r="AA651" i="1"/>
  <c r="AM651" i="1"/>
  <c r="AY651" i="1"/>
  <c r="AA626" i="1"/>
  <c r="AM626" i="1"/>
  <c r="AY626" i="1"/>
  <c r="BL626" i="1"/>
  <c r="AA342" i="1"/>
  <c r="AM342" i="1"/>
  <c r="AY342" i="1"/>
  <c r="BL342" i="1"/>
  <c r="AA176" i="1"/>
  <c r="AM176" i="1"/>
  <c r="AY176" i="1"/>
  <c r="BL176" i="1"/>
  <c r="AM187" i="1"/>
  <c r="AY187" i="1"/>
  <c r="BL187" i="1"/>
  <c r="AA192" i="1"/>
  <c r="AM192" i="1"/>
  <c r="AY192" i="1"/>
  <c r="BL192" i="1"/>
  <c r="AM205" i="1"/>
  <c r="AY205" i="1"/>
  <c r="BL205" i="1"/>
  <c r="AA219" i="1"/>
  <c r="AM219" i="1"/>
  <c r="AY219" i="1"/>
  <c r="BL219" i="1"/>
  <c r="AA83" i="1"/>
  <c r="AM83" i="1"/>
  <c r="AY83" i="1"/>
  <c r="BL83" i="1"/>
  <c r="AA57" i="1"/>
  <c r="AM57" i="1"/>
  <c r="AY57" i="1"/>
  <c r="BL57" i="1"/>
  <c r="AA122" i="1"/>
  <c r="AM122" i="1"/>
  <c r="AY122" i="1"/>
  <c r="BL122" i="1"/>
  <c r="AA312" i="1"/>
  <c r="AM312" i="1"/>
  <c r="AY312" i="1"/>
  <c r="BL312" i="1"/>
  <c r="AA648" i="1"/>
  <c r="AA606" i="1"/>
  <c r="AM606" i="1"/>
  <c r="AY606" i="1"/>
  <c r="BL606" i="1"/>
  <c r="AA514" i="1"/>
  <c r="AM514" i="1"/>
  <c r="AY514" i="1"/>
  <c r="BL514" i="1"/>
  <c r="AA531" i="1"/>
  <c r="AM531" i="1"/>
  <c r="AY531" i="1"/>
  <c r="BL531" i="1"/>
  <c r="AA408" i="1"/>
  <c r="AM408" i="1"/>
  <c r="AY408" i="1"/>
  <c r="BL408" i="1"/>
  <c r="AA484" i="1"/>
  <c r="AM484" i="1"/>
  <c r="AY484" i="1"/>
  <c r="BL484" i="1"/>
  <c r="AA405" i="1"/>
  <c r="AM405" i="1"/>
  <c r="AY405" i="1"/>
  <c r="BL405" i="1"/>
  <c r="AA421" i="1"/>
  <c r="AM421" i="1"/>
  <c r="AY421" i="1"/>
  <c r="BL421" i="1"/>
  <c r="AA437" i="1"/>
  <c r="AM437" i="1"/>
  <c r="AY437" i="1"/>
  <c r="BL437" i="1"/>
  <c r="AA282" i="1"/>
  <c r="AM282" i="1"/>
  <c r="AY282" i="1"/>
  <c r="BL282" i="1"/>
  <c r="AA297" i="1"/>
  <c r="AM297" i="1"/>
  <c r="AY297" i="1"/>
  <c r="BL297" i="1"/>
  <c r="AA171" i="1"/>
  <c r="AM171" i="1"/>
  <c r="AY171" i="1"/>
  <c r="BL171" i="1"/>
  <c r="AA183" i="1"/>
  <c r="AM183" i="1"/>
  <c r="AY183" i="1"/>
  <c r="BL183" i="1"/>
  <c r="AA188" i="1"/>
  <c r="AM188" i="1"/>
  <c r="AY188" i="1"/>
  <c r="BL188" i="1"/>
  <c r="AA206" i="1"/>
  <c r="AM206" i="1"/>
  <c r="AY206" i="1"/>
  <c r="BL206" i="1"/>
  <c r="AA148" i="1"/>
  <c r="AM148" i="1"/>
  <c r="AY148" i="1"/>
  <c r="BL148" i="1"/>
  <c r="AA131" i="1"/>
  <c r="AM131" i="1"/>
  <c r="AY131" i="1"/>
  <c r="BL131" i="1"/>
  <c r="AA94" i="1"/>
  <c r="AM94" i="1"/>
  <c r="AY94" i="1"/>
  <c r="BL94" i="1"/>
  <c r="AA147" i="1"/>
  <c r="AM147" i="1"/>
  <c r="AY147" i="1"/>
  <c r="BL147" i="1"/>
  <c r="AA88" i="1"/>
  <c r="AM88" i="1"/>
  <c r="AY88" i="1"/>
  <c r="BL88" i="1"/>
  <c r="AA8" i="1"/>
  <c r="AM8" i="1"/>
  <c r="AY8" i="1"/>
  <c r="BL8" i="1"/>
  <c r="AA98" i="1"/>
  <c r="AM98" i="1"/>
  <c r="AY98" i="1"/>
  <c r="BL98" i="1"/>
  <c r="AY797" i="1"/>
  <c r="BL797" i="1"/>
  <c r="AA284" i="1"/>
  <c r="AM284" i="1"/>
  <c r="AY284" i="1"/>
  <c r="BL284" i="1"/>
  <c r="AA275" i="1"/>
  <c r="AM275" i="1"/>
  <c r="AY275" i="1"/>
  <c r="BL275" i="1"/>
  <c r="AA719" i="1"/>
  <c r="AM719" i="1"/>
  <c r="AY719" i="1"/>
  <c r="BL719" i="1"/>
  <c r="AA624" i="1"/>
  <c r="AM624" i="1"/>
  <c r="AY624" i="1"/>
  <c r="BL624" i="1"/>
  <c r="AA472" i="1"/>
  <c r="AM472" i="1"/>
  <c r="AY472" i="1"/>
  <c r="BL472" i="1"/>
  <c r="AA378" i="1"/>
  <c r="AM378" i="1"/>
  <c r="AY378" i="1"/>
  <c r="BL378" i="1"/>
  <c r="AA161" i="1"/>
  <c r="AM161" i="1"/>
  <c r="AY161" i="1"/>
  <c r="BL161" i="1"/>
  <c r="AA190" i="1"/>
  <c r="AM190" i="1"/>
  <c r="AY190" i="1"/>
  <c r="BL190" i="1"/>
  <c r="AA150" i="1"/>
  <c r="AM150" i="1"/>
  <c r="AY150" i="1"/>
  <c r="BL150" i="1"/>
  <c r="AA6" i="1"/>
  <c r="AM6" i="1"/>
  <c r="AY6" i="1"/>
  <c r="BL6" i="1"/>
  <c r="AA516" i="1"/>
  <c r="AM516" i="1"/>
  <c r="AY516" i="1"/>
  <c r="BL516" i="1"/>
  <c r="AA337" i="1"/>
  <c r="AM337" i="1"/>
  <c r="AY337" i="1"/>
  <c r="BL337" i="1"/>
  <c r="AA334" i="1"/>
  <c r="AM334" i="1"/>
  <c r="AY334" i="1"/>
  <c r="BL334" i="1"/>
  <c r="AA48" i="1"/>
  <c r="AM48" i="1"/>
  <c r="AY48" i="1"/>
  <c r="BL48" i="1"/>
  <c r="AA117" i="1"/>
  <c r="AM117" i="1"/>
  <c r="AY117" i="1"/>
  <c r="BL117" i="1"/>
  <c r="AA70" i="1"/>
  <c r="AM70" i="1"/>
  <c r="AY70" i="1"/>
  <c r="BL70" i="1"/>
  <c r="AA374" i="1"/>
  <c r="AM374" i="1"/>
  <c r="AY374" i="1"/>
  <c r="BL374" i="1"/>
  <c r="AA375" i="1"/>
  <c r="AM375" i="1"/>
  <c r="AY375" i="1"/>
  <c r="BL375" i="1"/>
  <c r="AM305" i="1"/>
  <c r="AY305" i="1"/>
  <c r="BL305" i="1"/>
  <c r="AA893" i="1"/>
  <c r="AM893" i="1"/>
  <c r="AY893" i="1"/>
  <c r="BL893" i="1"/>
  <c r="AA686" i="1"/>
  <c r="AM686" i="1"/>
  <c r="AY686" i="1"/>
  <c r="AA315" i="1"/>
  <c r="AM315" i="1"/>
  <c r="AY315" i="1"/>
  <c r="BL315" i="1"/>
  <c r="AA139" i="1"/>
  <c r="AM139" i="1"/>
  <c r="AY139" i="1"/>
  <c r="BL139" i="1"/>
  <c r="AA82" i="1"/>
  <c r="AM82" i="1"/>
  <c r="AY82" i="1"/>
  <c r="BL82" i="1"/>
  <c r="AA632" i="1"/>
  <c r="AM632" i="1"/>
  <c r="AY632" i="1"/>
  <c r="BL632" i="1"/>
  <c r="AA173" i="1"/>
  <c r="AM173" i="1"/>
  <c r="AY173" i="1"/>
  <c r="BL173" i="1"/>
  <c r="AA208" i="1"/>
  <c r="AM208" i="1"/>
  <c r="AY208" i="1"/>
  <c r="BL208" i="1"/>
  <c r="AA24" i="1"/>
  <c r="AM24" i="1"/>
  <c r="AY24" i="1"/>
  <c r="BL24" i="1"/>
  <c r="AA39" i="1"/>
  <c r="AM39" i="1"/>
  <c r="AY39" i="1"/>
  <c r="BL39" i="1"/>
  <c r="AA64" i="1"/>
  <c r="AM64" i="1"/>
  <c r="AY64" i="1"/>
  <c r="BL64" i="1"/>
  <c r="AA79" i="1"/>
  <c r="AM79" i="1"/>
  <c r="AY79" i="1"/>
  <c r="BL79" i="1"/>
  <c r="AA14" i="1"/>
  <c r="AM14" i="1"/>
  <c r="AY14" i="1"/>
  <c r="BL14" i="1"/>
  <c r="AA270" i="1"/>
  <c r="AM270" i="1"/>
  <c r="AY270" i="1"/>
  <c r="BL270" i="1"/>
  <c r="AA301" i="1"/>
  <c r="AM301" i="1"/>
  <c r="AY301" i="1"/>
  <c r="BL301" i="1"/>
  <c r="AA311" i="1"/>
  <c r="AM311" i="1"/>
  <c r="AY311" i="1"/>
  <c r="BL311" i="1"/>
  <c r="AA204" i="1"/>
  <c r="AM204" i="1"/>
  <c r="AY204" i="1"/>
  <c r="BL204" i="1"/>
  <c r="AA129" i="1"/>
  <c r="AM129" i="1"/>
  <c r="AY129" i="1"/>
  <c r="BL129" i="1"/>
  <c r="AA104" i="1"/>
  <c r="AM104" i="1"/>
  <c r="AY104" i="1"/>
  <c r="BL104" i="1"/>
  <c r="AA52" i="1"/>
  <c r="AM52" i="1"/>
  <c r="AY52" i="1"/>
  <c r="BL52" i="1"/>
  <c r="AY20" i="1"/>
  <c r="BL20" i="1"/>
  <c r="AA106" i="1"/>
  <c r="AM106" i="1"/>
  <c r="AY106" i="1"/>
  <c r="BL106" i="1"/>
  <c r="AA680" i="1"/>
  <c r="AM680" i="1"/>
  <c r="AY680" i="1"/>
  <c r="BL680" i="1"/>
  <c r="AA628" i="1"/>
  <c r="AM628" i="1"/>
  <c r="AY628" i="1"/>
  <c r="BL628" i="1"/>
  <c r="AA26" i="1"/>
  <c r="AM26" i="1"/>
  <c r="AY26" i="1"/>
  <c r="BL26" i="1"/>
  <c r="AA720" i="1"/>
  <c r="AM720" i="1"/>
  <c r="AY720" i="1"/>
  <c r="AA652" i="1"/>
  <c r="AM652" i="1"/>
  <c r="AA580" i="1"/>
  <c r="AM580" i="1"/>
  <c r="AY580" i="1"/>
  <c r="BL580" i="1"/>
  <c r="AA600" i="1"/>
  <c r="AM600" i="1"/>
  <c r="AY600" i="1"/>
  <c r="BL600" i="1"/>
  <c r="AA671" i="1"/>
  <c r="AM671" i="1"/>
  <c r="AY671" i="1"/>
  <c r="AA724" i="1"/>
  <c r="AM724" i="1"/>
  <c r="AY724" i="1"/>
  <c r="BL724" i="1"/>
  <c r="AA411" i="1"/>
  <c r="AM411" i="1"/>
  <c r="AY411" i="1"/>
  <c r="BL411" i="1"/>
  <c r="AA274" i="1"/>
  <c r="AM274" i="1"/>
  <c r="AY274" i="1"/>
  <c r="BL274" i="1"/>
  <c r="AA265" i="1"/>
  <c r="AM265" i="1"/>
  <c r="AY265" i="1"/>
  <c r="BL265" i="1"/>
  <c r="AA905" i="1"/>
  <c r="AM905" i="1"/>
  <c r="AY905" i="1"/>
  <c r="AA660" i="1"/>
  <c r="AM660" i="1"/>
  <c r="AY660" i="1"/>
  <c r="BL660" i="1"/>
  <c r="AA582" i="1"/>
  <c r="AM582" i="1"/>
  <c r="AY582" i="1"/>
  <c r="BL582" i="1"/>
  <c r="AA330" i="1"/>
  <c r="AM330" i="1"/>
  <c r="AY330" i="1"/>
  <c r="BL330" i="1"/>
  <c r="AA165" i="1"/>
  <c r="AM165" i="1"/>
  <c r="AY165" i="1"/>
  <c r="BL165" i="1"/>
  <c r="AA199" i="1"/>
  <c r="AM199" i="1"/>
  <c r="AY199" i="1"/>
  <c r="BL199" i="1"/>
  <c r="AA151" i="1"/>
  <c r="AM151" i="1"/>
  <c r="AY151" i="1"/>
  <c r="BL151" i="1"/>
  <c r="AA135" i="1"/>
  <c r="AM135" i="1"/>
  <c r="AY135" i="1"/>
  <c r="BL135" i="1"/>
  <c r="AA698" i="1"/>
  <c r="AM698" i="1"/>
  <c r="AY698" i="1"/>
  <c r="BL698" i="1"/>
  <c r="AA565" i="1"/>
  <c r="AM565" i="1"/>
  <c r="AY565" i="1"/>
  <c r="BL565" i="1"/>
  <c r="AA604" i="1"/>
  <c r="AM604" i="1"/>
  <c r="AY604" i="1"/>
  <c r="BL604" i="1"/>
  <c r="AA464" i="1"/>
  <c r="AM464" i="1"/>
  <c r="AY464" i="1"/>
  <c r="BL464" i="1"/>
  <c r="AA214" i="1"/>
  <c r="AM214" i="1"/>
  <c r="AY214" i="1"/>
  <c r="BL214" i="1"/>
  <c r="AA230" i="1"/>
  <c r="AM230" i="1"/>
  <c r="AY230" i="1"/>
  <c r="BL230" i="1"/>
  <c r="AA247" i="1"/>
  <c r="AM247" i="1"/>
  <c r="AY247" i="1"/>
  <c r="BL247" i="1"/>
  <c r="AA264" i="1"/>
  <c r="AM264" i="1"/>
  <c r="AY264" i="1"/>
  <c r="BL264" i="1"/>
  <c r="AA355" i="1"/>
  <c r="AM355" i="1"/>
  <c r="AY355" i="1"/>
  <c r="BL355" i="1"/>
  <c r="AA347" i="1"/>
  <c r="AM347" i="1"/>
  <c r="AY347" i="1"/>
  <c r="BL347" i="1"/>
  <c r="AA292" i="1"/>
  <c r="AM292" i="1"/>
  <c r="AY292" i="1"/>
  <c r="BL292" i="1"/>
  <c r="AA568" i="1"/>
  <c r="AM568" i="1"/>
  <c r="AY568" i="1"/>
  <c r="BL568" i="1"/>
  <c r="AA595" i="1"/>
  <c r="AM595" i="1"/>
  <c r="AY595" i="1"/>
  <c r="BL595" i="1"/>
  <c r="AA601" i="1"/>
  <c r="AM601" i="1"/>
  <c r="AY601" i="1"/>
  <c r="BL601" i="1"/>
  <c r="AA618" i="1"/>
  <c r="AM618" i="1"/>
  <c r="AY618" i="1"/>
  <c r="BL618" i="1"/>
  <c r="AA439" i="1"/>
  <c r="AM439" i="1"/>
  <c r="AY439" i="1"/>
  <c r="BL439" i="1"/>
  <c r="AA320" i="1"/>
  <c r="AM320" i="1"/>
  <c r="AY320" i="1"/>
  <c r="BL320" i="1"/>
  <c r="AA291" i="1"/>
  <c r="AM291" i="1"/>
  <c r="AY291" i="1"/>
  <c r="BL291" i="1"/>
  <c r="AA350" i="1"/>
  <c r="AM350" i="1"/>
  <c r="AY350" i="1"/>
  <c r="BL350" i="1"/>
  <c r="AA351" i="1"/>
  <c r="AM351" i="1"/>
  <c r="AY351" i="1"/>
  <c r="BL351" i="1"/>
  <c r="AA290" i="1"/>
  <c r="AM290" i="1"/>
  <c r="AY290" i="1"/>
  <c r="BL290" i="1"/>
  <c r="AA149" i="1"/>
  <c r="AM149" i="1"/>
  <c r="AY149" i="1"/>
  <c r="BL149" i="1"/>
  <c r="AA248" i="1"/>
  <c r="AM248" i="1"/>
  <c r="AY248" i="1"/>
  <c r="BL248" i="1"/>
  <c r="AA576" i="1"/>
  <c r="AM576" i="1"/>
  <c r="AY576" i="1"/>
  <c r="BL576" i="1"/>
  <c r="AA587" i="1"/>
  <c r="AM587" i="1"/>
  <c r="AY587" i="1"/>
  <c r="BL587" i="1"/>
  <c r="AA644" i="1"/>
  <c r="AM644" i="1"/>
  <c r="AY644" i="1"/>
  <c r="BL644" i="1"/>
  <c r="AA599" i="1"/>
  <c r="AM599" i="1"/>
  <c r="AY599" i="1"/>
  <c r="BL599" i="1"/>
  <c r="AA512" i="1"/>
  <c r="AM512" i="1"/>
  <c r="AY512" i="1"/>
  <c r="BL512" i="1"/>
  <c r="AA299" i="1"/>
  <c r="AM299" i="1"/>
  <c r="AY299" i="1"/>
  <c r="BL299" i="1"/>
  <c r="AA641" i="1"/>
  <c r="AM641" i="1"/>
  <c r="AY641" i="1"/>
  <c r="BL641" i="1"/>
  <c r="AA616" i="1"/>
  <c r="AM616" i="1"/>
  <c r="AY616" i="1"/>
  <c r="BL616" i="1"/>
  <c r="AA499" i="1"/>
  <c r="AM499" i="1"/>
  <c r="AY499" i="1"/>
  <c r="BL499" i="1"/>
  <c r="AA318" i="1"/>
  <c r="AM318" i="1"/>
  <c r="AY318" i="1"/>
  <c r="BL318" i="1"/>
  <c r="AA273" i="1"/>
  <c r="AM273" i="1"/>
  <c r="AY273" i="1"/>
  <c r="BL273" i="1"/>
  <c r="AA215" i="1"/>
  <c r="AM215" i="1"/>
  <c r="AY215" i="1"/>
  <c r="BL215" i="1"/>
  <c r="AA34" i="1"/>
  <c r="AM34" i="1"/>
  <c r="AY34" i="1"/>
  <c r="BL34" i="1"/>
  <c r="AA518" i="1"/>
  <c r="AM518" i="1"/>
  <c r="AY518" i="1"/>
  <c r="BL518" i="1"/>
  <c r="AA457" i="1"/>
  <c r="AM457" i="1"/>
  <c r="AY457" i="1"/>
  <c r="BL457" i="1"/>
  <c r="AA395" i="1"/>
  <c r="AM395" i="1"/>
  <c r="AY395" i="1"/>
  <c r="BL395" i="1"/>
  <c r="AA441" i="1"/>
  <c r="AM441" i="1"/>
  <c r="AY441" i="1"/>
  <c r="BL441" i="1"/>
  <c r="AA210" i="1"/>
  <c r="AM210" i="1"/>
  <c r="AY210" i="1"/>
  <c r="BL210" i="1"/>
  <c r="AA226" i="1"/>
  <c r="AM226" i="1"/>
  <c r="AY226" i="1"/>
  <c r="BL226" i="1"/>
  <c r="AA243" i="1"/>
  <c r="AM243" i="1"/>
  <c r="AY243" i="1"/>
  <c r="BL243" i="1"/>
  <c r="AA260" i="1"/>
  <c r="AM260" i="1"/>
  <c r="AY260" i="1"/>
  <c r="BL260" i="1"/>
  <c r="AA302" i="1"/>
  <c r="AM302" i="1"/>
  <c r="AY302" i="1"/>
  <c r="BL302" i="1"/>
  <c r="AA182" i="1"/>
  <c r="AM182" i="1"/>
  <c r="AY182" i="1"/>
  <c r="BL182" i="1"/>
  <c r="AA127" i="1"/>
  <c r="AM127" i="1"/>
  <c r="AY127" i="1"/>
  <c r="BL127" i="1"/>
  <c r="AA31" i="1"/>
  <c r="AM31" i="1"/>
  <c r="AY31" i="1"/>
  <c r="BL31" i="1"/>
  <c r="AA90" i="1"/>
  <c r="AM90" i="1"/>
  <c r="AY90" i="1"/>
  <c r="BL90" i="1"/>
  <c r="AA456" i="1"/>
  <c r="AM456" i="1"/>
  <c r="AY456" i="1"/>
  <c r="BL456" i="1"/>
  <c r="AA28" i="1"/>
  <c r="AM28" i="1"/>
  <c r="AY28" i="1"/>
  <c r="BL28" i="1"/>
  <c r="AA15" i="1"/>
  <c r="AM15" i="1"/>
  <c r="AY15" i="1"/>
  <c r="BL15" i="1"/>
  <c r="AA614" i="1"/>
  <c r="AM614" i="1"/>
  <c r="AY614" i="1"/>
  <c r="BL614" i="1"/>
  <c r="AM371" i="1"/>
  <c r="AY371" i="1"/>
  <c r="BL371" i="1"/>
  <c r="AM323" i="1"/>
  <c r="AY323" i="1"/>
  <c r="BL323" i="1"/>
  <c r="AA25" i="1"/>
  <c r="AM25" i="1"/>
  <c r="AY25" i="1"/>
  <c r="BL25" i="1"/>
  <c r="AA124" i="1"/>
  <c r="AM124" i="1"/>
  <c r="AY124" i="1"/>
  <c r="BL124" i="1"/>
  <c r="AA32" i="1"/>
  <c r="AM32" i="1"/>
  <c r="AY32" i="1"/>
  <c r="BL32" i="1"/>
  <c r="AA696" i="1"/>
  <c r="AM696" i="1"/>
  <c r="AY696" i="1"/>
  <c r="BL696" i="1"/>
  <c r="AA610" i="1"/>
  <c r="AM610" i="1"/>
  <c r="AY610" i="1"/>
  <c r="BL610" i="1"/>
  <c r="AA727" i="1"/>
  <c r="AM727" i="1"/>
  <c r="AY727" i="1"/>
  <c r="BL727" i="1"/>
  <c r="AA625" i="1"/>
  <c r="AM625" i="1"/>
  <c r="AY625" i="1"/>
  <c r="BL625" i="1"/>
  <c r="AA403" i="1"/>
  <c r="AM403" i="1"/>
  <c r="AY403" i="1"/>
  <c r="BL403" i="1"/>
  <c r="AA435" i="1"/>
  <c r="AM435" i="1"/>
  <c r="AY435" i="1"/>
  <c r="BL435" i="1"/>
  <c r="AA280" i="1"/>
  <c r="AM280" i="1"/>
  <c r="AY280" i="1"/>
  <c r="BL280" i="1"/>
  <c r="AA213" i="1"/>
  <c r="AM213" i="1"/>
  <c r="AY213" i="1"/>
  <c r="BL213" i="1"/>
  <c r="AA229" i="1"/>
  <c r="AM229" i="1"/>
  <c r="AY229" i="1"/>
  <c r="BL229" i="1"/>
  <c r="AA246" i="1"/>
  <c r="AM246" i="1"/>
  <c r="AY246" i="1"/>
  <c r="BL246" i="1"/>
  <c r="AA317" i="1"/>
  <c r="AM317" i="1"/>
  <c r="AY317" i="1"/>
  <c r="BL317" i="1"/>
  <c r="AA141" i="1"/>
  <c r="AM141" i="1"/>
  <c r="AY141" i="1"/>
  <c r="BL141" i="1"/>
  <c r="AA607" i="1"/>
  <c r="AM607" i="1"/>
  <c r="AY607" i="1"/>
  <c r="BL607" i="1"/>
  <c r="AM575" i="1"/>
  <c r="AY575" i="1"/>
  <c r="BL575" i="1"/>
  <c r="AA591" i="1"/>
  <c r="AM591" i="1"/>
  <c r="AY591" i="1"/>
  <c r="BL591" i="1"/>
  <c r="AA572" i="1"/>
  <c r="AM572" i="1"/>
  <c r="AY572" i="1"/>
  <c r="BL572" i="1"/>
  <c r="AA583" i="1"/>
  <c r="AM583" i="1"/>
  <c r="AY583" i="1"/>
  <c r="BL583" i="1"/>
  <c r="AA593" i="1"/>
  <c r="AM593" i="1"/>
  <c r="AY593" i="1"/>
  <c r="BL593" i="1"/>
  <c r="AA492" i="1"/>
  <c r="AM492" i="1"/>
  <c r="AY492" i="1"/>
  <c r="BL492" i="1"/>
  <c r="AA508" i="1"/>
  <c r="AM508" i="1"/>
  <c r="AY508" i="1"/>
  <c r="BL508" i="1"/>
  <c r="AA397" i="1"/>
  <c r="AM397" i="1"/>
  <c r="AY397" i="1"/>
  <c r="BL397" i="1"/>
  <c r="AA413" i="1"/>
  <c r="AM413" i="1"/>
  <c r="AY413" i="1"/>
  <c r="BL413" i="1"/>
  <c r="AA429" i="1"/>
  <c r="AM429" i="1"/>
  <c r="AY429" i="1"/>
  <c r="BL429" i="1"/>
  <c r="AA483" i="1"/>
  <c r="AM483" i="1"/>
  <c r="AY483" i="1"/>
  <c r="BL483" i="1"/>
  <c r="AA253" i="1"/>
  <c r="AM253" i="1"/>
  <c r="AY253" i="1"/>
  <c r="BL253" i="1"/>
  <c r="AA220" i="1"/>
  <c r="AM220" i="1"/>
  <c r="AY220" i="1"/>
  <c r="BL220" i="1"/>
  <c r="AA143" i="1"/>
  <c r="AM143" i="1"/>
  <c r="AY143" i="1"/>
  <c r="BL143" i="1"/>
  <c r="AA611" i="1"/>
  <c r="AM611" i="1"/>
  <c r="AY611" i="1"/>
  <c r="BL611" i="1"/>
  <c r="AA523" i="1"/>
  <c r="AM523" i="1"/>
  <c r="AY523" i="1"/>
  <c r="BL523" i="1"/>
  <c r="AA218" i="1"/>
  <c r="AM218" i="1"/>
  <c r="AY218" i="1"/>
  <c r="BL218" i="1"/>
  <c r="AA234" i="1"/>
  <c r="AM234" i="1"/>
  <c r="AY234" i="1"/>
  <c r="BL234" i="1"/>
  <c r="AA251" i="1"/>
  <c r="AM251" i="1"/>
  <c r="AY251" i="1"/>
  <c r="BL251" i="1"/>
  <c r="AA254" i="1"/>
  <c r="AM254" i="1"/>
  <c r="AY254" i="1"/>
  <c r="BL254" i="1"/>
  <c r="AA770" i="1"/>
  <c r="AM770" i="1"/>
  <c r="AY770" i="1"/>
  <c r="BL770" i="1"/>
  <c r="AA699" i="1"/>
  <c r="AM699" i="1"/>
  <c r="AY699" i="1"/>
  <c r="BL699" i="1"/>
  <c r="AA615" i="1"/>
  <c r="AM615" i="1"/>
  <c r="AY615" i="1"/>
  <c r="BL615" i="1"/>
  <c r="AA640" i="1"/>
  <c r="AM640" i="1"/>
  <c r="AY640" i="1"/>
  <c r="BL640" i="1"/>
  <c r="BL304" i="1"/>
  <c r="AA287" i="1"/>
  <c r="AM287" i="1"/>
  <c r="AY287" i="1"/>
  <c r="BL287" i="1"/>
  <c r="AA328" i="1"/>
  <c r="AM328" i="1"/>
  <c r="AY328" i="1"/>
  <c r="BL328" i="1"/>
  <c r="AA51" i="1"/>
  <c r="AM51" i="1"/>
  <c r="AY51" i="1"/>
  <c r="BL51" i="1"/>
  <c r="AA504" i="1"/>
  <c r="AM504" i="1"/>
  <c r="AY504" i="1"/>
  <c r="BL504" i="1"/>
  <c r="AA668" i="1"/>
  <c r="AM668" i="1"/>
  <c r="AY668" i="1"/>
  <c r="BL668" i="1"/>
  <c r="AA772" i="1"/>
  <c r="AA688" i="1"/>
  <c r="AM688" i="1"/>
  <c r="AY688" i="1"/>
  <c r="AA573" i="1"/>
  <c r="AM573" i="1"/>
  <c r="AY573" i="1"/>
  <c r="BL573" i="1"/>
  <c r="AA564" i="1"/>
  <c r="AM564" i="1"/>
  <c r="AY564" i="1"/>
  <c r="BL564" i="1"/>
  <c r="AA198" i="1"/>
  <c r="AM198" i="1"/>
  <c r="AY198" i="1"/>
  <c r="BL198" i="1"/>
  <c r="AA529" i="1"/>
  <c r="AM529" i="1"/>
  <c r="AY529" i="1"/>
  <c r="BL529" i="1"/>
  <c r="AA767" i="1"/>
  <c r="AM767" i="1"/>
  <c r="AY767" i="1"/>
  <c r="BL767" i="1"/>
  <c r="AA701" i="1"/>
  <c r="AM701" i="1"/>
  <c r="AY701" i="1"/>
  <c r="BL701" i="1"/>
  <c r="AA656" i="1"/>
  <c r="AM656" i="1"/>
  <c r="AY656" i="1"/>
  <c r="BL656" i="1"/>
  <c r="AA589" i="1"/>
  <c r="AM589" i="1"/>
  <c r="AY589" i="1"/>
  <c r="BL589" i="1"/>
  <c r="AA665" i="1"/>
  <c r="AM665" i="1"/>
  <c r="AY665" i="1"/>
  <c r="BL665" i="1"/>
  <c r="AA401" i="1"/>
  <c r="AM401" i="1"/>
  <c r="AY401" i="1"/>
  <c r="BL401" i="1"/>
  <c r="AA417" i="1"/>
  <c r="AM417" i="1"/>
  <c r="AY417" i="1"/>
  <c r="BL417" i="1"/>
  <c r="AA433" i="1"/>
  <c r="AM433" i="1"/>
  <c r="AY433" i="1"/>
  <c r="BL433" i="1"/>
  <c r="AA236" i="1"/>
  <c r="AM236" i="1"/>
  <c r="AY236" i="1"/>
  <c r="BL236" i="1"/>
  <c r="AM384" i="1"/>
  <c r="AY384" i="1"/>
  <c r="BL384" i="1"/>
  <c r="AA221" i="1"/>
  <c r="AM221" i="1"/>
  <c r="AY221" i="1"/>
  <c r="BL221" i="1"/>
  <c r="AA237" i="1"/>
  <c r="AM237" i="1"/>
  <c r="AY237" i="1"/>
  <c r="BL237" i="1"/>
  <c r="AA376" i="1"/>
  <c r="AM376" i="1"/>
  <c r="AY376" i="1"/>
  <c r="BL376" i="1"/>
  <c r="AY42" i="1"/>
  <c r="BL42" i="1"/>
  <c r="AA97" i="1"/>
  <c r="AM97" i="1"/>
  <c r="AY97" i="1"/>
  <c r="BL97" i="1"/>
  <c r="AA848" i="1"/>
  <c r="AM848" i="1"/>
  <c r="AY848" i="1"/>
  <c r="AA757" i="1"/>
  <c r="AA685" i="1"/>
  <c r="AM685" i="1"/>
  <c r="AY685" i="1"/>
  <c r="BL685" i="1"/>
  <c r="AA584" i="1"/>
  <c r="AM584" i="1"/>
  <c r="AY584" i="1"/>
  <c r="BL584" i="1"/>
  <c r="AA635" i="1"/>
  <c r="AA245" i="1"/>
  <c r="AM245" i="1"/>
  <c r="AY245" i="1"/>
  <c r="BL245" i="1"/>
  <c r="AA212" i="1"/>
  <c r="AM212" i="1"/>
  <c r="AY212" i="1"/>
  <c r="BL212" i="1"/>
  <c r="AA322" i="1"/>
  <c r="AM322" i="1"/>
  <c r="AY322" i="1"/>
  <c r="BL322" i="1"/>
  <c r="AA357" i="1"/>
  <c r="AM357" i="1"/>
  <c r="AY357" i="1"/>
  <c r="BL357" i="1"/>
  <c r="AY46" i="1"/>
  <c r="BL46" i="1"/>
  <c r="AA59" i="1"/>
  <c r="AM59" i="1"/>
  <c r="AY59" i="1"/>
  <c r="BL59" i="1"/>
  <c r="AA833" i="1"/>
  <c r="AM833" i="1"/>
  <c r="AY833" i="1"/>
  <c r="BL833" i="1"/>
  <c r="AA289" i="1"/>
  <c r="AM289" i="1"/>
  <c r="AY289" i="1"/>
  <c r="BL289" i="1"/>
  <c r="AA41" i="1"/>
  <c r="AM41" i="1"/>
  <c r="AY41" i="1"/>
  <c r="BL41" i="1"/>
  <c r="AA55" i="1"/>
  <c r="AM55" i="1"/>
  <c r="AY55" i="1"/>
  <c r="BL55" i="1"/>
  <c r="AA588" i="1"/>
  <c r="AM588" i="1"/>
  <c r="AY588" i="1"/>
  <c r="BL588" i="1"/>
  <c r="AA647" i="1"/>
  <c r="AA37" i="1"/>
  <c r="AM37" i="1"/>
  <c r="AY37" i="1"/>
  <c r="BL37" i="1"/>
  <c r="AA585" i="1"/>
  <c r="AM585" i="1"/>
  <c r="AY585" i="1"/>
  <c r="BL585" i="1"/>
  <c r="AA309" i="1"/>
  <c r="AM309" i="1"/>
  <c r="AY309" i="1"/>
  <c r="BL309" i="1"/>
  <c r="AA241" i="1"/>
  <c r="AM241" i="1"/>
  <c r="AY241" i="1"/>
  <c r="BL241" i="1"/>
  <c r="AA353" i="1"/>
  <c r="AM353" i="1"/>
  <c r="AY353" i="1"/>
  <c r="BL353" i="1"/>
  <c r="AA232" i="1"/>
  <c r="AM232" i="1"/>
  <c r="AY232" i="1"/>
  <c r="BL232" i="1"/>
  <c r="AA740" i="1"/>
  <c r="AM740" i="1"/>
  <c r="AY740" i="1"/>
  <c r="BL740" i="1"/>
  <c r="AA804" i="1"/>
  <c r="AM804" i="1"/>
  <c r="AY804" i="1"/>
  <c r="AA619" i="1"/>
  <c r="AM619" i="1"/>
  <c r="AY619" i="1"/>
  <c r="BL619" i="1"/>
  <c r="AA488" i="1"/>
  <c r="AM488" i="1"/>
  <c r="AY488" i="1"/>
  <c r="BL488" i="1"/>
  <c r="AM348" i="1"/>
  <c r="AY348" i="1"/>
  <c r="BL348" i="1"/>
  <c r="AA269" i="1"/>
  <c r="AM269" i="1"/>
  <c r="AY269" i="1"/>
  <c r="BL269" i="1"/>
  <c r="AA240" i="1"/>
  <c r="AM240" i="1"/>
  <c r="AY240" i="1"/>
  <c r="BL240" i="1"/>
  <c r="AA29" i="1"/>
  <c r="AM29" i="1"/>
  <c r="AY29" i="1"/>
  <c r="BL29" i="1"/>
  <c r="AA30" i="1"/>
  <c r="AM30" i="1"/>
  <c r="AY30" i="1"/>
  <c r="BL30" i="1"/>
  <c r="AA359" i="1"/>
  <c r="AM359" i="1"/>
  <c r="AY359" i="1"/>
  <c r="BL359" i="1"/>
  <c r="AA202" i="1"/>
  <c r="AM202" i="1"/>
  <c r="AY202" i="1"/>
  <c r="BL202" i="1"/>
  <c r="AA629" i="1"/>
  <c r="AM629" i="1"/>
  <c r="AY629" i="1"/>
  <c r="BL629" i="1"/>
  <c r="AA446" i="1"/>
  <c r="AM446" i="1"/>
  <c r="AY446" i="1"/>
  <c r="BL446" i="1"/>
  <c r="AM360" i="1"/>
  <c r="AY360" i="1"/>
  <c r="BL360" i="1"/>
  <c r="AA333" i="1"/>
  <c r="AM333" i="1"/>
  <c r="AY333" i="1"/>
  <c r="BL333" i="1"/>
  <c r="AA650" i="1"/>
  <c r="AM650" i="1"/>
  <c r="AY650" i="1"/>
  <c r="BL650" i="1"/>
  <c r="AA602" i="1"/>
  <c r="AM602" i="1"/>
  <c r="AY602" i="1"/>
  <c r="BL602" i="1"/>
  <c r="AA527" i="1"/>
  <c r="AM527" i="1"/>
  <c r="AY527" i="1"/>
  <c r="BL527" i="1"/>
  <c r="AA818" i="1"/>
  <c r="AM818" i="1"/>
  <c r="AY818" i="1"/>
  <c r="BL818" i="1"/>
  <c r="AA244" i="1"/>
  <c r="AM244" i="1"/>
  <c r="AY244" i="1"/>
  <c r="BL244" i="1"/>
  <c r="AA935" i="1"/>
  <c r="AM935" i="1"/>
  <c r="AY935" i="1"/>
  <c r="BL935" i="1"/>
  <c r="AA207" i="1"/>
  <c r="AM207" i="1"/>
  <c r="AY207" i="1"/>
  <c r="BL207" i="1"/>
  <c r="AA820" i="1"/>
  <c r="AA548" i="1"/>
  <c r="AM548" i="1"/>
  <c r="AY548" i="1"/>
  <c r="BL548" i="1"/>
  <c r="AM409" i="1"/>
  <c r="AY409" i="1"/>
  <c r="BL409" i="1"/>
  <c r="N986" i="1"/>
  <c r="Z986" i="1"/>
  <c r="BK986" i="1"/>
  <c r="AA67" i="1"/>
  <c r="AM67" i="1"/>
  <c r="AY67" i="1"/>
  <c r="BL67" i="1"/>
  <c r="AM352" i="1"/>
  <c r="AY352" i="1"/>
  <c r="BL352" i="1"/>
  <c r="AM372" i="1"/>
  <c r="AY372" i="1"/>
  <c r="BL372" i="1"/>
  <c r="BO986" i="1"/>
  <c r="AA835" i="1"/>
  <c r="AM835" i="1"/>
  <c r="AY835" i="1"/>
  <c r="BL835" i="1"/>
  <c r="AA257" i="1"/>
  <c r="AM257" i="1"/>
  <c r="AY257" i="1"/>
  <c r="BL257" i="1"/>
  <c r="AA296" i="1"/>
  <c r="AM296" i="1"/>
  <c r="AY296" i="1"/>
  <c r="BL296" i="1"/>
  <c r="AA223" i="1"/>
  <c r="AM223" i="1"/>
  <c r="AY223" i="1"/>
  <c r="BL223" i="1"/>
  <c r="AA559" i="1"/>
  <c r="AM559" i="1"/>
  <c r="AY559" i="1"/>
  <c r="BL559" i="1"/>
  <c r="AA550" i="1"/>
  <c r="AM550" i="1"/>
  <c r="AY550" i="1"/>
  <c r="BL550" i="1"/>
  <c r="AA361" i="1"/>
  <c r="AM361" i="1"/>
  <c r="AY361" i="1"/>
  <c r="BL361" i="1"/>
  <c r="AX986" i="1"/>
  <c r="AA268" i="1"/>
  <c r="AM268" i="1"/>
  <c r="AY268" i="1"/>
  <c r="BL268" i="1"/>
  <c r="AA336" i="1"/>
  <c r="AM336" i="1"/>
  <c r="AY336" i="1"/>
  <c r="BL336" i="1"/>
  <c r="AA120" i="1"/>
  <c r="AM120" i="1"/>
  <c r="AY120" i="1"/>
  <c r="BL120" i="1"/>
  <c r="AA266" i="1"/>
  <c r="AM266" i="1"/>
  <c r="AY266" i="1"/>
  <c r="BL266" i="1"/>
  <c r="AA406" i="1"/>
  <c r="AM406" i="1"/>
  <c r="AY406" i="1"/>
  <c r="BL406" i="1"/>
  <c r="AM116" i="1"/>
  <c r="AY116" i="1"/>
  <c r="BL116" i="1"/>
  <c r="AM84" i="1"/>
  <c r="AY84" i="1"/>
  <c r="BL84" i="1"/>
  <c r="AA178" i="1"/>
  <c r="AM178" i="1"/>
  <c r="AY178" i="1"/>
  <c r="BL178" i="1"/>
  <c r="AA551" i="1"/>
  <c r="AM551" i="1"/>
  <c r="AY551" i="1"/>
  <c r="BL551" i="1"/>
  <c r="AA113" i="1"/>
  <c r="AM113" i="1"/>
  <c r="AY113" i="1"/>
  <c r="BL113" i="1"/>
  <c r="AA791" i="1"/>
  <c r="AM791" i="1"/>
  <c r="AY791" i="1"/>
  <c r="BL791" i="1"/>
  <c r="AA451" i="1"/>
  <c r="AM451" i="1"/>
  <c r="AY451" i="1"/>
  <c r="BL451" i="1"/>
  <c r="AA227" i="1"/>
  <c r="AM227" i="1"/>
  <c r="AY227" i="1"/>
  <c r="BL227" i="1"/>
  <c r="AL986" i="1"/>
  <c r="AY89" i="1"/>
  <c r="BL89" i="1"/>
  <c r="AA155" i="1"/>
  <c r="AM155" i="1"/>
  <c r="AY155" i="1"/>
  <c r="BL155" i="1"/>
  <c r="AA557" i="1"/>
  <c r="AM557" i="1"/>
  <c r="AY557" i="1"/>
  <c r="BL557" i="1"/>
  <c r="AA560" i="1"/>
  <c r="AM560" i="1"/>
  <c r="AY560" i="1"/>
  <c r="BL560" i="1"/>
  <c r="AA675" i="1"/>
  <c r="AM675" i="1"/>
  <c r="AY675" i="1"/>
  <c r="BL675" i="1"/>
  <c r="AA544" i="1"/>
  <c r="AM544" i="1"/>
  <c r="AY544" i="1"/>
  <c r="BL544" i="1"/>
  <c r="AA535" i="1"/>
  <c r="AM535" i="1"/>
  <c r="AY535" i="1"/>
  <c r="BL535" i="1"/>
  <c r="AA553" i="1"/>
  <c r="AM553" i="1"/>
  <c r="AY553" i="1"/>
  <c r="BL553" i="1"/>
  <c r="AA545" i="1"/>
  <c r="AM545" i="1"/>
  <c r="AY545" i="1"/>
  <c r="BL545" i="1"/>
  <c r="AA563" i="1"/>
  <c r="AM563" i="1"/>
  <c r="AY563" i="1"/>
  <c r="BL563" i="1"/>
  <c r="AA256" i="1"/>
  <c r="AM256" i="1"/>
  <c r="AY256" i="1"/>
  <c r="BL256" i="1"/>
  <c r="AA261" i="1"/>
  <c r="AM261" i="1"/>
  <c r="AY261" i="1"/>
  <c r="BL261" i="1"/>
  <c r="AA899" i="1"/>
  <c r="AM899" i="1"/>
  <c r="AY899" i="1"/>
  <c r="AA539" i="1"/>
  <c r="AM539" i="1"/>
  <c r="AY539" i="1"/>
  <c r="BL539" i="1"/>
  <c r="AA549" i="1"/>
  <c r="AM549" i="1"/>
  <c r="AY549" i="1"/>
  <c r="BL549" i="1"/>
  <c r="AA540" i="1"/>
  <c r="AM540" i="1"/>
  <c r="AY540" i="1"/>
  <c r="BL540" i="1"/>
  <c r="AM500" i="1"/>
  <c r="AY500" i="1"/>
  <c r="BL500" i="1"/>
  <c r="AA285" i="1"/>
  <c r="AM285" i="1"/>
  <c r="AY285" i="1"/>
  <c r="BL285" i="1"/>
  <c r="AA306" i="1"/>
  <c r="AM306" i="1"/>
  <c r="AY306" i="1"/>
  <c r="BL306" i="1"/>
  <c r="AA325" i="1"/>
  <c r="AM325" i="1"/>
  <c r="AY325" i="1"/>
  <c r="BL325" i="1"/>
  <c r="AM356" i="1"/>
  <c r="AY356" i="1"/>
  <c r="BL356" i="1"/>
  <c r="AA414" i="1"/>
  <c r="AM414" i="1"/>
  <c r="AY414" i="1"/>
  <c r="BL414" i="1"/>
  <c r="AA907" i="1"/>
  <c r="AM907" i="1"/>
  <c r="AA392" i="1"/>
  <c r="AM392" i="1"/>
  <c r="AY392" i="1"/>
  <c r="BL392" i="1"/>
  <c r="AA387" i="1"/>
  <c r="AM387" i="1"/>
  <c r="AY387" i="1"/>
  <c r="BL387" i="1"/>
  <c r="AA485" i="1"/>
  <c r="AM485" i="1"/>
  <c r="AY485" i="1"/>
  <c r="BL485" i="1"/>
  <c r="AA501" i="1"/>
  <c r="AM501" i="1"/>
  <c r="AY501" i="1"/>
  <c r="BL501" i="1"/>
  <c r="AA465" i="1"/>
  <c r="AM465" i="1"/>
  <c r="AY465" i="1"/>
  <c r="BL465" i="1"/>
  <c r="AA481" i="1"/>
  <c r="AM481" i="1"/>
  <c r="AY481" i="1"/>
  <c r="BL481" i="1"/>
  <c r="AA547" i="1"/>
  <c r="AM547" i="1"/>
  <c r="AY547" i="1"/>
  <c r="BL547" i="1"/>
  <c r="AA445" i="1"/>
  <c r="AM445" i="1"/>
  <c r="AY445" i="1"/>
  <c r="BL445" i="1"/>
  <c r="AA453" i="1"/>
  <c r="AM453" i="1"/>
  <c r="AY453" i="1"/>
  <c r="BL453" i="1"/>
  <c r="AA462" i="1"/>
  <c r="AM462" i="1"/>
  <c r="AY462" i="1"/>
  <c r="BL462" i="1"/>
  <c r="AA466" i="1"/>
  <c r="AM466" i="1"/>
  <c r="AY466" i="1"/>
  <c r="BL466" i="1"/>
  <c r="AA470" i="1"/>
  <c r="AM470" i="1"/>
  <c r="AY470" i="1"/>
  <c r="BL470" i="1"/>
  <c r="AA478" i="1"/>
  <c r="AM478" i="1"/>
  <c r="AY478" i="1"/>
  <c r="BL478" i="1"/>
  <c r="AA482" i="1"/>
  <c r="AM482" i="1"/>
  <c r="AY482" i="1"/>
  <c r="BL482" i="1"/>
  <c r="AA486" i="1"/>
  <c r="AM486" i="1"/>
  <c r="AY486" i="1"/>
  <c r="BL486" i="1"/>
  <c r="AA490" i="1"/>
  <c r="AM490" i="1"/>
  <c r="AY490" i="1"/>
  <c r="BL490" i="1"/>
  <c r="AA494" i="1"/>
  <c r="AM494" i="1"/>
  <c r="AY494" i="1"/>
  <c r="BL494" i="1"/>
  <c r="AA498" i="1"/>
  <c r="AM498" i="1"/>
  <c r="AY498" i="1"/>
  <c r="BL498" i="1"/>
  <c r="AA502" i="1"/>
  <c r="AM502" i="1"/>
  <c r="AY502" i="1"/>
  <c r="BL502" i="1"/>
  <c r="AA506" i="1"/>
  <c r="AM506" i="1"/>
  <c r="AY506" i="1"/>
  <c r="BL506" i="1"/>
  <c r="AA511" i="1"/>
  <c r="AM511" i="1"/>
  <c r="AY511" i="1"/>
  <c r="BL511" i="1"/>
  <c r="AA468" i="1"/>
  <c r="AM468" i="1"/>
  <c r="AY468" i="1"/>
  <c r="BL468" i="1"/>
  <c r="AA476" i="1"/>
  <c r="AM476" i="1"/>
  <c r="AY476" i="1"/>
  <c r="BL476" i="1"/>
  <c r="AA496" i="1"/>
  <c r="AM496" i="1"/>
  <c r="AY496" i="1"/>
  <c r="BL496" i="1"/>
  <c r="AA627" i="1"/>
  <c r="AM627" i="1"/>
  <c r="AY627" i="1"/>
  <c r="BL627" i="1"/>
  <c r="AA542" i="1"/>
  <c r="AM542" i="1"/>
  <c r="AY542" i="1"/>
  <c r="BL542" i="1"/>
  <c r="AA771" i="1"/>
  <c r="AA739" i="1"/>
  <c r="AM739" i="1"/>
  <c r="AY739" i="1"/>
  <c r="AA802" i="1"/>
  <c r="AM802" i="1"/>
  <c r="AY802" i="1"/>
  <c r="BL802" i="1"/>
  <c r="AA969" i="1"/>
  <c r="AM969" i="1"/>
  <c r="AM840" i="1"/>
  <c r="AY840" i="1"/>
  <c r="BL840" i="1"/>
  <c r="AA880" i="1"/>
  <c r="AM880" i="1"/>
  <c r="AA826" i="1"/>
  <c r="AM826" i="1"/>
  <c r="AY826" i="1"/>
  <c r="BL826" i="1"/>
  <c r="AY783" i="1"/>
  <c r="BL783" i="1"/>
  <c r="BL759" i="1"/>
  <c r="BL666" i="1"/>
  <c r="AM771" i="1"/>
  <c r="AY907" i="1"/>
  <c r="BL907" i="1"/>
  <c r="BL804" i="1"/>
  <c r="AM647" i="1"/>
  <c r="AY647" i="1"/>
  <c r="BL671" i="1"/>
  <c r="AY652" i="1"/>
  <c r="BL652" i="1"/>
  <c r="AM648" i="1"/>
  <c r="AY648" i="1"/>
  <c r="BL648" i="1"/>
  <c r="AY677" i="1"/>
  <c r="AA932" i="1"/>
  <c r="AM932" i="1"/>
  <c r="AY932" i="1"/>
  <c r="BL932" i="1"/>
  <c r="AA782" i="1"/>
  <c r="AM782" i="1"/>
  <c r="AY782" i="1"/>
  <c r="BL782" i="1"/>
  <c r="AA819" i="1"/>
  <c r="AM819" i="1"/>
  <c r="AY819" i="1"/>
  <c r="BL819" i="1"/>
  <c r="AA939" i="1"/>
  <c r="AA884" i="1"/>
  <c r="AM884" i="1"/>
  <c r="AY884" i="1"/>
  <c r="BL884" i="1"/>
  <c r="AA716" i="1"/>
  <c r="AA750" i="1"/>
  <c r="AM750" i="1"/>
  <c r="AY750" i="1"/>
  <c r="BL750" i="1"/>
  <c r="AM753" i="1"/>
  <c r="AY753" i="1"/>
  <c r="BL753" i="1"/>
  <c r="AA758" i="1"/>
  <c r="AM758" i="1"/>
  <c r="AA864" i="1"/>
  <c r="AM864" i="1"/>
  <c r="AM776" i="1"/>
  <c r="AY776" i="1"/>
  <c r="AA792" i="1"/>
  <c r="AM792" i="1"/>
  <c r="AY792" i="1"/>
  <c r="AA794" i="1"/>
  <c r="AM794" i="1"/>
  <c r="AY794" i="1"/>
  <c r="AA803" i="1"/>
  <c r="AM803" i="1"/>
  <c r="AY803" i="1"/>
  <c r="BL803" i="1"/>
  <c r="AA817" i="1"/>
  <c r="AM817" i="1"/>
  <c r="AY817" i="1"/>
  <c r="BL817" i="1"/>
  <c r="AA816" i="1"/>
  <c r="AM816" i="1"/>
  <c r="AY816" i="1"/>
  <c r="BL816" i="1"/>
  <c r="AA779" i="1"/>
  <c r="AM779" i="1"/>
  <c r="AY779" i="1"/>
  <c r="BL779" i="1"/>
  <c r="AM760" i="1"/>
  <c r="AM744" i="1"/>
  <c r="AY744" i="1"/>
  <c r="BL744" i="1"/>
  <c r="AM728" i="1"/>
  <c r="AY728" i="1"/>
  <c r="BL728" i="1"/>
  <c r="BL721" i="1"/>
  <c r="AM714" i="1"/>
  <c r="AY714" i="1"/>
  <c r="AA682" i="1"/>
  <c r="AM682" i="1"/>
  <c r="AY682" i="1"/>
  <c r="BL682" i="1"/>
  <c r="AA670" i="1"/>
  <c r="AM670" i="1"/>
  <c r="AY670" i="1"/>
  <c r="BL670" i="1"/>
  <c r="AA653" i="1"/>
  <c r="AA676" i="1"/>
  <c r="AM676" i="1"/>
  <c r="AY676" i="1"/>
  <c r="BL676" i="1"/>
  <c r="BL691" i="1"/>
  <c r="AA832" i="1"/>
  <c r="AM832" i="1"/>
  <c r="AY832" i="1"/>
  <c r="AA748" i="1"/>
  <c r="AM748" i="1"/>
  <c r="AY748" i="1"/>
  <c r="BL748" i="1"/>
  <c r="AA672" i="1"/>
  <c r="AM672" i="1"/>
  <c r="AY672" i="1"/>
  <c r="BL672" i="1"/>
  <c r="AA638" i="1"/>
  <c r="AM638" i="1"/>
  <c r="AY638" i="1"/>
  <c r="BL638" i="1"/>
  <c r="AA664" i="1"/>
  <c r="AM664" i="1"/>
  <c r="AY664" i="1"/>
  <c r="BL664" i="1"/>
  <c r="AA736" i="1"/>
  <c r="AM736" i="1"/>
  <c r="AY736" i="1"/>
  <c r="BL736" i="1"/>
  <c r="AM609" i="1"/>
  <c r="AY354" i="1"/>
  <c r="BL354" i="1"/>
  <c r="AA365" i="1"/>
  <c r="AM365" i="1"/>
  <c r="AY365" i="1"/>
  <c r="BL365" i="1"/>
  <c r="AA170" i="1"/>
  <c r="AM170" i="1"/>
  <c r="AY170" i="1"/>
  <c r="BL170" i="1"/>
  <c r="AM196" i="1"/>
  <c r="AA144" i="1"/>
  <c r="AA160" i="1"/>
  <c r="AM160" i="1"/>
  <c r="AA193" i="1"/>
  <c r="AA181" i="1"/>
  <c r="AM181" i="1"/>
  <c r="AY181" i="1"/>
  <c r="BL181" i="1"/>
  <c r="AA146" i="1"/>
  <c r="AM146" i="1"/>
  <c r="AY146" i="1"/>
  <c r="BL146" i="1"/>
  <c r="AA118" i="1"/>
  <c r="AM118" i="1"/>
  <c r="AY118" i="1"/>
  <c r="AA86" i="1"/>
  <c r="AM86" i="1"/>
  <c r="AY86" i="1"/>
  <c r="AA50" i="1"/>
  <c r="AM50" i="1"/>
  <c r="AY50" i="1"/>
  <c r="BL50" i="1"/>
  <c r="BL899" i="1"/>
  <c r="BL690" i="1"/>
  <c r="BL647" i="1"/>
  <c r="AM635" i="1"/>
  <c r="AY635" i="1"/>
  <c r="BL635" i="1"/>
  <c r="AM757" i="1"/>
  <c r="AY757" i="1"/>
  <c r="BL757" i="1"/>
  <c r="AM756" i="1"/>
  <c r="AY756" i="1"/>
  <c r="BL756" i="1"/>
  <c r="AM743" i="1"/>
  <c r="AY743" i="1"/>
  <c r="BL743" i="1"/>
  <c r="BL709" i="1"/>
  <c r="AA978" i="1"/>
  <c r="AM978" i="1"/>
  <c r="AY978" i="1"/>
  <c r="BL978" i="1"/>
  <c r="AA934" i="1"/>
  <c r="AM934" i="1"/>
  <c r="AA959" i="1"/>
  <c r="AM959" i="1"/>
  <c r="AY959" i="1"/>
  <c r="BL959" i="1"/>
  <c r="AM877" i="1"/>
  <c r="AA889" i="1"/>
  <c r="AM889" i="1"/>
  <c r="AM909" i="1"/>
  <c r="AA815" i="1"/>
  <c r="AM815" i="1"/>
  <c r="AY815" i="1"/>
  <c r="BL815" i="1"/>
  <c r="AY809" i="1"/>
  <c r="BL809" i="1"/>
  <c r="AM854" i="1"/>
  <c r="AY854" i="1"/>
  <c r="AM888" i="1"/>
  <c r="AY888" i="1"/>
  <c r="AA851" i="1"/>
  <c r="AM851" i="1"/>
  <c r="AY851" i="1"/>
  <c r="BL851" i="1"/>
  <c r="AA855" i="1"/>
  <c r="AA860" i="1"/>
  <c r="AM860" i="1"/>
  <c r="AY860" i="1"/>
  <c r="BL860" i="1"/>
  <c r="AA947" i="1"/>
  <c r="AM947" i="1"/>
  <c r="AY947" i="1"/>
  <c r="BL947" i="1"/>
  <c r="AA881" i="1"/>
  <c r="AM881" i="1"/>
  <c r="AA890" i="1"/>
  <c r="AY705" i="1"/>
  <c r="AA717" i="1"/>
  <c r="AM717" i="1"/>
  <c r="AY717" i="1"/>
  <c r="BL717" i="1"/>
  <c r="AA722" i="1"/>
  <c r="AM722" i="1"/>
  <c r="AY722" i="1"/>
  <c r="BL722" i="1"/>
  <c r="AA733" i="1"/>
  <c r="AM733" i="1"/>
  <c r="AY733" i="1"/>
  <c r="BL733" i="1"/>
  <c r="AA738" i="1"/>
  <c r="AM738" i="1"/>
  <c r="AY738" i="1"/>
  <c r="BL738" i="1"/>
  <c r="AY746" i="1"/>
  <c r="BL746" i="1"/>
  <c r="AA749" i="1"/>
  <c r="AM749" i="1"/>
  <c r="AY749" i="1"/>
  <c r="BL749" i="1"/>
  <c r="BL769" i="1"/>
  <c r="AA811" i="1"/>
  <c r="AM811" i="1"/>
  <c r="AA823" i="1"/>
  <c r="AM823" i="1"/>
  <c r="AY823" i="1"/>
  <c r="BL823" i="1"/>
  <c r="AA837" i="1"/>
  <c r="AM837" i="1"/>
  <c r="AY837" i="1"/>
  <c r="AA786" i="1"/>
  <c r="AA795" i="1"/>
  <c r="AA800" i="1"/>
  <c r="AM800" i="1"/>
  <c r="AY800" i="1"/>
  <c r="BL800" i="1"/>
  <c r="AA764" i="1"/>
  <c r="AM764" i="1"/>
  <c r="AY764" i="1"/>
  <c r="BL764" i="1"/>
  <c r="AA780" i="1"/>
  <c r="AM780" i="1"/>
  <c r="AY780" i="1"/>
  <c r="BL780" i="1"/>
  <c r="AA829" i="1"/>
  <c r="AM829" i="1"/>
  <c r="AA838" i="1"/>
  <c r="AA813" i="1"/>
  <c r="AM813" i="1"/>
  <c r="AY813" i="1"/>
  <c r="BL813" i="1"/>
  <c r="AM775" i="1"/>
  <c r="AY775" i="1"/>
  <c r="BL775" i="1"/>
  <c r="AA751" i="1"/>
  <c r="AM751" i="1"/>
  <c r="AY751" i="1"/>
  <c r="BL751" i="1"/>
  <c r="AM735" i="1"/>
  <c r="AY735" i="1"/>
  <c r="BL735" i="1"/>
  <c r="AA853" i="1"/>
  <c r="AM853" i="1"/>
  <c r="AA801" i="1"/>
  <c r="AM801" i="1"/>
  <c r="AY801" i="1"/>
  <c r="BL801" i="1"/>
  <c r="AM752" i="1"/>
  <c r="AY752" i="1"/>
  <c r="BL752" i="1"/>
  <c r="AA747" i="1"/>
  <c r="AM747" i="1"/>
  <c r="AY747" i="1"/>
  <c r="AA700" i="1"/>
  <c r="AM700" i="1"/>
  <c r="AY700" i="1"/>
  <c r="BL700" i="1"/>
  <c r="AA697" i="1"/>
  <c r="AM697" i="1"/>
  <c r="AY697" i="1"/>
  <c r="BL697" i="1"/>
  <c r="BL681" i="1"/>
  <c r="AY673" i="1"/>
  <c r="BL673" i="1"/>
  <c r="AM692" i="1"/>
  <c r="AY692" i="1"/>
  <c r="BL692" i="1"/>
  <c r="AA689" i="1"/>
  <c r="AM689" i="1"/>
  <c r="AY689" i="1"/>
  <c r="BL689" i="1"/>
  <c r="AM669" i="1"/>
  <c r="AY669" i="1"/>
  <c r="BL669" i="1"/>
  <c r="AY667" i="1"/>
  <c r="BL667" i="1"/>
  <c r="AA649" i="1"/>
  <c r="AM649" i="1"/>
  <c r="AY649" i="1"/>
  <c r="BL649" i="1"/>
  <c r="AA658" i="1"/>
  <c r="AM658" i="1"/>
  <c r="AM679" i="1"/>
  <c r="AY679" i="1"/>
  <c r="BL679" i="1"/>
  <c r="AA684" i="1"/>
  <c r="AM684" i="1"/>
  <c r="AY684" i="1"/>
  <c r="BL684" i="1"/>
  <c r="AA694" i="1"/>
  <c r="AM694" i="1"/>
  <c r="AY694" i="1"/>
  <c r="BL694" i="1"/>
  <c r="AA708" i="1"/>
  <c r="AM708" i="1"/>
  <c r="AY708" i="1"/>
  <c r="BL708" i="1"/>
  <c r="AA741" i="1"/>
  <c r="AM741" i="1"/>
  <c r="AY741" i="1"/>
  <c r="BL741" i="1"/>
  <c r="AA715" i="1"/>
  <c r="AM715" i="1"/>
  <c r="AY715" i="1"/>
  <c r="BL715" i="1"/>
  <c r="AA642" i="1"/>
  <c r="AM642" i="1"/>
  <c r="AY642" i="1"/>
  <c r="BL642" i="1"/>
  <c r="AM661" i="1"/>
  <c r="AY661" i="1"/>
  <c r="BL661" i="1"/>
  <c r="AA571" i="1"/>
  <c r="AM571" i="1"/>
  <c r="AY571" i="1"/>
  <c r="BL571" i="1"/>
  <c r="AA613" i="1"/>
  <c r="AM613" i="1"/>
  <c r="AY613" i="1"/>
  <c r="BL613" i="1"/>
  <c r="AA621" i="1"/>
  <c r="AM621" i="1"/>
  <c r="AY621" i="1"/>
  <c r="BL621" i="1"/>
  <c r="AA711" i="1"/>
  <c r="AM711" i="1"/>
  <c r="AY711" i="1"/>
  <c r="AA577" i="1"/>
  <c r="AM577" i="1"/>
  <c r="AY577" i="1"/>
  <c r="AA517" i="1"/>
  <c r="AM517" i="1"/>
  <c r="AY517" i="1"/>
  <c r="BL517" i="1"/>
  <c r="AY420" i="1"/>
  <c r="BL420" i="1"/>
  <c r="AY404" i="1"/>
  <c r="BL404" i="1"/>
  <c r="AA396" i="1"/>
  <c r="AM396" i="1"/>
  <c r="AY396" i="1"/>
  <c r="BL396" i="1"/>
  <c r="AA534" i="1"/>
  <c r="AM358" i="1"/>
  <c r="AY358" i="1"/>
  <c r="BL358" i="1"/>
  <c r="AM370" i="1"/>
  <c r="AY370" i="1"/>
  <c r="BL370" i="1"/>
  <c r="AA454" i="1"/>
  <c r="AA438" i="1"/>
  <c r="AM438" i="1"/>
  <c r="AY438" i="1"/>
  <c r="AA450" i="1"/>
  <c r="AA467" i="1"/>
  <c r="AM402" i="1"/>
  <c r="AY402" i="1"/>
  <c r="AM418" i="1"/>
  <c r="AY418" i="1"/>
  <c r="AM434" i="1"/>
  <c r="AY434" i="1"/>
  <c r="AA324" i="1"/>
  <c r="AM324" i="1"/>
  <c r="AY324" i="1"/>
  <c r="BL324" i="1"/>
  <c r="AA278" i="1"/>
  <c r="AM278" i="1"/>
  <c r="AY278" i="1"/>
  <c r="BL278" i="1"/>
  <c r="AA331" i="1"/>
  <c r="AM331" i="1"/>
  <c r="AY331" i="1"/>
  <c r="BL331" i="1"/>
  <c r="AA390" i="1"/>
  <c r="AY166" i="1"/>
  <c r="BL166" i="1"/>
  <c r="AM209" i="1"/>
  <c r="AM217" i="1"/>
  <c r="AM242" i="1"/>
  <c r="AA164" i="1"/>
  <c r="AM164" i="1"/>
  <c r="AY164" i="1"/>
  <c r="BL164" i="1"/>
  <c r="AA134" i="1"/>
  <c r="AM134" i="1"/>
  <c r="AY134" i="1"/>
  <c r="BL134" i="1"/>
  <c r="AA107" i="1"/>
  <c r="AM107" i="1"/>
  <c r="AY107" i="1"/>
  <c r="BL107" i="1"/>
  <c r="AA78" i="1"/>
  <c r="AM78" i="1"/>
  <c r="AY78" i="1"/>
  <c r="BL78" i="1"/>
  <c r="BL75" i="1"/>
  <c r="BL60" i="1"/>
  <c r="AA136" i="1"/>
  <c r="AM136" i="1"/>
  <c r="AY136" i="1"/>
  <c r="AA71" i="1"/>
  <c r="AM71" i="1"/>
  <c r="AY71" i="1"/>
  <c r="BL71" i="1"/>
  <c r="AM22" i="1"/>
  <c r="AY22" i="1"/>
  <c r="BL22" i="1"/>
  <c r="AA16" i="1"/>
  <c r="AM16" i="1"/>
  <c r="AY16" i="1"/>
  <c r="AA101" i="1"/>
  <c r="AM101" i="1"/>
  <c r="AY101" i="1"/>
  <c r="BL101" i="1"/>
  <c r="AA66" i="1"/>
  <c r="AM66" i="1"/>
  <c r="AY66" i="1"/>
  <c r="BL66" i="1"/>
  <c r="BL837" i="1"/>
  <c r="AA793" i="1"/>
  <c r="AM793" i="1"/>
  <c r="AY793" i="1"/>
  <c r="BL793" i="1"/>
  <c r="AY909" i="1"/>
  <c r="BL854" i="1"/>
  <c r="AM855" i="1"/>
  <c r="AY811" i="1"/>
  <c r="BL811" i="1"/>
  <c r="AM838" i="1"/>
  <c r="AY838" i="1"/>
  <c r="BL838" i="1"/>
  <c r="AA872" i="1"/>
  <c r="AM872" i="1"/>
  <c r="AY872" i="1"/>
  <c r="BL872" i="1"/>
  <c r="AM755" i="1"/>
  <c r="AY755" i="1"/>
  <c r="BL755" i="1"/>
  <c r="AM787" i="1"/>
  <c r="AY787" i="1"/>
  <c r="BL787" i="1"/>
  <c r="AM939" i="1"/>
  <c r="BL848" i="1"/>
  <c r="BL688" i="1"/>
  <c r="AM772" i="1"/>
  <c r="AY772" i="1"/>
  <c r="BL772" i="1"/>
  <c r="BL714" i="1"/>
  <c r="BL711" i="1"/>
  <c r="AM798" i="1"/>
  <c r="AY798" i="1"/>
  <c r="BL798" i="1"/>
  <c r="AM761" i="1"/>
  <c r="AY761" i="1"/>
  <c r="BL761" i="1"/>
  <c r="AY760" i="1"/>
  <c r="BL760" i="1"/>
  <c r="BL686" i="1"/>
  <c r="BL651" i="1"/>
  <c r="AM784" i="1"/>
  <c r="AY784" i="1"/>
  <c r="BL784" i="1"/>
  <c r="BL677" i="1"/>
  <c r="AY980" i="1"/>
  <c r="AA976" i="1"/>
  <c r="AM976" i="1"/>
  <c r="AY976" i="1"/>
  <c r="BL976" i="1"/>
  <c r="AA894" i="1"/>
  <c r="AM894" i="1"/>
  <c r="AY894" i="1"/>
  <c r="AA898" i="1"/>
  <c r="AM898" i="1"/>
  <c r="AY898" i="1"/>
  <c r="BL898" i="1"/>
  <c r="AA900" i="1"/>
  <c r="AM900" i="1"/>
  <c r="AY900" i="1"/>
  <c r="AA914" i="1"/>
  <c r="AM914" i="1"/>
  <c r="AY914" i="1"/>
  <c r="BL914" i="1"/>
  <c r="AM916" i="1"/>
  <c r="AY916" i="1"/>
  <c r="BL916" i="1"/>
  <c r="AA918" i="1"/>
  <c r="AM918" i="1"/>
  <c r="AY918" i="1"/>
  <c r="BL918" i="1"/>
  <c r="BL920" i="1"/>
  <c r="AA922" i="1"/>
  <c r="AM922" i="1"/>
  <c r="AY922" i="1"/>
  <c r="BL922" i="1"/>
  <c r="AA927" i="1"/>
  <c r="AM927" i="1"/>
  <c r="AY927" i="1"/>
  <c r="AM936" i="1"/>
  <c r="AY936" i="1"/>
  <c r="AA940" i="1"/>
  <c r="AM940" i="1"/>
  <c r="AY940" i="1"/>
  <c r="BL940" i="1"/>
  <c r="AA944" i="1"/>
  <c r="AM944" i="1"/>
  <c r="AY944" i="1"/>
  <c r="BL944" i="1"/>
  <c r="AA948" i="1"/>
  <c r="AA956" i="1"/>
  <c r="AM956" i="1"/>
  <c r="AY956" i="1"/>
  <c r="BL956" i="1"/>
  <c r="AA962" i="1"/>
  <c r="AA973" i="1"/>
  <c r="AA971" i="1"/>
  <c r="AA949" i="1"/>
  <c r="AM949" i="1"/>
  <c r="AY949" i="1"/>
  <c r="AA933" i="1"/>
  <c r="AA923" i="1"/>
  <c r="AA885" i="1"/>
  <c r="AM885" i="1"/>
  <c r="AY885" i="1"/>
  <c r="BL885" i="1"/>
  <c r="AM844" i="1"/>
  <c r="AY844" i="1"/>
  <c r="BL844" i="1"/>
  <c r="AA856" i="1"/>
  <c r="AM856" i="1"/>
  <c r="AY856" i="1"/>
  <c r="BL856" i="1"/>
  <c r="AA868" i="1"/>
  <c r="AA875" i="1"/>
  <c r="AM875" i="1"/>
  <c r="AY875" i="1"/>
  <c r="BL875" i="1"/>
  <c r="AA895" i="1"/>
  <c r="AM895" i="1"/>
  <c r="AA876" i="1"/>
  <c r="AA887" i="1"/>
  <c r="AA892" i="1"/>
  <c r="AA921" i="1"/>
  <c r="AM921" i="1"/>
  <c r="AA805" i="1"/>
  <c r="AM805" i="1"/>
  <c r="AY805" i="1"/>
  <c r="BL805" i="1"/>
  <c r="AA834" i="1"/>
  <c r="AM834" i="1"/>
  <c r="AY834" i="1"/>
  <c r="BL834" i="1"/>
  <c r="AA870" i="1"/>
  <c r="AA766" i="1"/>
  <c r="AA774" i="1"/>
  <c r="AA790" i="1"/>
  <c r="AM808" i="1"/>
  <c r="AY808" i="1"/>
  <c r="BL808" i="1"/>
  <c r="AA843" i="1"/>
  <c r="AM843" i="1"/>
  <c r="AY843" i="1"/>
  <c r="AA859" i="1"/>
  <c r="AM859" i="1"/>
  <c r="AY859" i="1"/>
  <c r="AM810" i="1"/>
  <c r="AY810" i="1"/>
  <c r="BL810" i="1"/>
  <c r="AA828" i="1"/>
  <c r="AM828" i="1"/>
  <c r="AY828" i="1"/>
  <c r="AA842" i="1"/>
  <c r="AM842" i="1"/>
  <c r="AY842" i="1"/>
  <c r="AM849" i="1"/>
  <c r="AY849" i="1"/>
  <c r="AA706" i="1"/>
  <c r="AM706" i="1"/>
  <c r="AY706" i="1"/>
  <c r="BL706" i="1"/>
  <c r="AM710" i="1"/>
  <c r="AY710" i="1"/>
  <c r="BL710" i="1"/>
  <c r="AM713" i="1"/>
  <c r="AY713" i="1"/>
  <c r="BL713" i="1"/>
  <c r="AM716" i="1"/>
  <c r="AY716" i="1"/>
  <c r="BL716" i="1"/>
  <c r="AA726" i="1"/>
  <c r="AM726" i="1"/>
  <c r="AY726" i="1"/>
  <c r="BL726" i="1"/>
  <c r="AM729" i="1"/>
  <c r="AY729" i="1"/>
  <c r="BL729" i="1"/>
  <c r="AM734" i="1"/>
  <c r="AY734" i="1"/>
  <c r="BL734" i="1"/>
  <c r="BL737" i="1"/>
  <c r="AM742" i="1"/>
  <c r="AY742" i="1"/>
  <c r="BL742" i="1"/>
  <c r="AA745" i="1"/>
  <c r="AM745" i="1"/>
  <c r="AY745" i="1"/>
  <c r="BL745" i="1"/>
  <c r="AA773" i="1"/>
  <c r="AM773" i="1"/>
  <c r="AY773" i="1"/>
  <c r="BL773" i="1"/>
  <c r="AY781" i="1"/>
  <c r="BL781" i="1"/>
  <c r="AA789" i="1"/>
  <c r="AM789" i="1"/>
  <c r="AY789" i="1"/>
  <c r="BL789" i="1"/>
  <c r="AM653" i="1"/>
  <c r="AY653" i="1"/>
  <c r="BL653" i="1"/>
  <c r="AM662" i="1"/>
  <c r="AY662" i="1"/>
  <c r="BL662" i="1"/>
  <c r="AA807" i="1"/>
  <c r="AM645" i="1"/>
  <c r="AY645" i="1"/>
  <c r="BL645" i="1"/>
  <c r="BL567" i="1"/>
  <c r="AY609" i="1"/>
  <c r="BL609" i="1"/>
  <c r="AA617" i="1"/>
  <c r="AM617" i="1"/>
  <c r="AY617" i="1"/>
  <c r="BL617" i="1"/>
  <c r="BL636" i="1"/>
  <c r="AM973" i="1"/>
  <c r="AM971" i="1"/>
  <c r="AA929" i="1"/>
  <c r="AM929" i="1"/>
  <c r="AY929" i="1"/>
  <c r="AA945" i="1"/>
  <c r="AM945" i="1"/>
  <c r="AY945" i="1"/>
  <c r="AM868" i="1"/>
  <c r="AY868" i="1"/>
  <c r="BL868" i="1"/>
  <c r="AA863" i="1"/>
  <c r="AM883" i="1"/>
  <c r="AY883" i="1"/>
  <c r="AM892" i="1"/>
  <c r="AY892" i="1"/>
  <c r="AA955" i="1"/>
  <c r="AM955" i="1"/>
  <c r="AA925" i="1"/>
  <c r="AM925" i="1"/>
  <c r="AY925" i="1"/>
  <c r="BL828" i="1"/>
  <c r="BL842" i="1"/>
  <c r="AA879" i="1"/>
  <c r="AM879" i="1"/>
  <c r="AY879" i="1"/>
  <c r="AA643" i="1"/>
  <c r="AM643" i="1"/>
  <c r="AY643" i="1"/>
  <c r="AA515" i="1"/>
  <c r="AM515" i="1"/>
  <c r="AA452" i="1"/>
  <c r="AM452" i="1"/>
  <c r="AY452" i="1"/>
  <c r="BL452" i="1"/>
  <c r="AA469" i="1"/>
  <c r="AM469" i="1"/>
  <c r="AY975" i="1"/>
  <c r="BL975" i="1"/>
  <c r="AY971" i="1"/>
  <c r="BL971" i="1"/>
  <c r="AY913" i="1"/>
  <c r="BL913" i="1"/>
  <c r="AY895" i="1"/>
  <c r="BL895" i="1"/>
  <c r="AM863" i="1"/>
  <c r="AY863" i="1"/>
  <c r="BL863" i="1"/>
  <c r="AA937" i="1"/>
  <c r="AM937" i="1"/>
  <c r="AY937" i="1"/>
  <c r="AA953" i="1"/>
  <c r="AM953" i="1"/>
  <c r="AY953" i="1"/>
  <c r="AY921" i="1"/>
  <c r="BL921" i="1"/>
  <c r="AA938" i="1"/>
  <c r="AM938" i="1"/>
  <c r="AY938" i="1"/>
  <c r="BL938" i="1"/>
  <c r="AY955" i="1"/>
  <c r="BL955" i="1"/>
  <c r="AA967" i="1"/>
  <c r="AM967" i="1"/>
  <c r="AY967" i="1"/>
  <c r="BL967" i="1"/>
  <c r="BL925" i="1"/>
  <c r="AA862" i="1"/>
  <c r="AM870" i="1"/>
  <c r="AY870" i="1"/>
  <c r="AM774" i="1"/>
  <c r="AY774" i="1"/>
  <c r="BL774" i="1"/>
  <c r="AA824" i="1"/>
  <c r="AM824" i="1"/>
  <c r="AY824" i="1"/>
  <c r="BL824" i="1"/>
  <c r="AA946" i="1"/>
  <c r="AA951" i="1"/>
  <c r="AM951" i="1"/>
  <c r="AY951" i="1"/>
  <c r="BL951" i="1"/>
  <c r="AA871" i="1"/>
  <c r="AM871" i="1"/>
  <c r="AY871" i="1"/>
  <c r="BL871" i="1"/>
  <c r="AM874" i="1"/>
  <c r="AY874" i="1"/>
  <c r="BL874" i="1"/>
  <c r="AA915" i="1"/>
  <c r="AM915" i="1"/>
  <c r="AY915" i="1"/>
  <c r="BL915" i="1"/>
  <c r="BL879" i="1"/>
  <c r="AM878" i="1"/>
  <c r="AY878" i="1"/>
  <c r="AA931" i="1"/>
  <c r="AA703" i="1"/>
  <c r="AM703" i="1"/>
  <c r="AY703" i="1"/>
  <c r="BL703" i="1"/>
  <c r="AA963" i="1"/>
  <c r="AM963" i="1"/>
  <c r="AY963" i="1"/>
  <c r="BL963" i="1"/>
  <c r="AM923" i="1"/>
  <c r="AY923" i="1"/>
  <c r="BL923" i="1"/>
  <c r="AA896" i="1"/>
  <c r="AM896" i="1"/>
  <c r="AY896" i="1"/>
  <c r="BL929" i="1"/>
  <c r="BL937" i="1"/>
  <c r="BL883" i="1"/>
  <c r="BL892" i="1"/>
  <c r="AM790" i="1"/>
  <c r="AY790" i="1"/>
  <c r="BL790" i="1"/>
  <c r="AA908" i="1"/>
  <c r="AM908" i="1"/>
  <c r="AY908" i="1"/>
  <c r="BL908" i="1"/>
  <c r="AM946" i="1"/>
  <c r="BL936" i="1"/>
  <c r="AM933" i="1"/>
  <c r="AY933" i="1"/>
  <c r="BL933" i="1"/>
  <c r="BL945" i="1"/>
  <c r="AM873" i="1"/>
  <c r="AY873" i="1"/>
  <c r="BL873" i="1"/>
  <c r="AM887" i="1"/>
  <c r="AA957" i="1"/>
  <c r="AM957" i="1"/>
  <c r="AY957" i="1"/>
  <c r="BL957" i="1"/>
  <c r="BL870" i="1"/>
  <c r="AM766" i="1"/>
  <c r="AY766" i="1"/>
  <c r="BL766" i="1"/>
  <c r="BL843" i="1"/>
  <c r="AM814" i="1"/>
  <c r="AY814" i="1"/>
  <c r="BL814" i="1"/>
  <c r="BL878" i="1"/>
  <c r="AM931" i="1"/>
  <c r="AY931" i="1"/>
  <c r="BL931" i="1"/>
  <c r="AY934" i="1"/>
  <c r="BL934" i="1"/>
  <c r="AM850" i="1"/>
  <c r="AY850" i="1"/>
  <c r="BL850" i="1"/>
  <c r="AY853" i="1"/>
  <c r="BL853" i="1"/>
  <c r="BL739" i="1"/>
  <c r="AY771" i="1"/>
  <c r="BL771" i="1"/>
  <c r="AM821" i="1"/>
  <c r="AY821" i="1"/>
  <c r="BL821" i="1"/>
  <c r="AM845" i="1"/>
  <c r="AY845" i="1"/>
  <c r="BL845" i="1"/>
  <c r="AM820" i="1"/>
  <c r="AY820" i="1"/>
  <c r="BL820" i="1"/>
  <c r="AM919" i="1"/>
  <c r="AY919" i="1"/>
  <c r="BL832" i="1"/>
  <c r="BL792" i="1"/>
  <c r="AM890" i="1"/>
  <c r="AY890" i="1"/>
  <c r="BL890" i="1"/>
  <c r="AY829" i="1"/>
  <c r="BL829" i="1"/>
  <c r="AM796" i="1"/>
  <c r="AY796" i="1"/>
  <c r="BL796" i="1"/>
  <c r="AM830" i="1"/>
  <c r="AY830" i="1"/>
  <c r="BL830" i="1"/>
  <c r="AY855" i="1"/>
  <c r="BL855" i="1"/>
  <c r="BL720" i="1"/>
  <c r="AY852" i="1"/>
  <c r="BL852" i="1"/>
  <c r="BL776" i="1"/>
  <c r="AY847" i="1"/>
  <c r="BL847" i="1"/>
  <c r="BL747" i="1"/>
  <c r="AM795" i="1"/>
  <c r="AY795" i="1"/>
  <c r="BL795" i="1"/>
  <c r="BL794" i="1"/>
  <c r="AM786" i="1"/>
  <c r="AY786" i="1"/>
  <c r="BL786" i="1"/>
  <c r="AY877" i="1"/>
  <c r="BL877" i="1"/>
  <c r="AY758" i="1"/>
  <c r="BL758" i="1"/>
  <c r="AY825" i="1"/>
  <c r="BL825" i="1"/>
  <c r="AA943" i="1"/>
  <c r="AM943" i="1"/>
  <c r="AA930" i="1"/>
  <c r="AM930" i="1"/>
  <c r="AY930" i="1"/>
  <c r="BL930" i="1"/>
  <c r="AA827" i="1"/>
  <c r="AM827" i="1"/>
  <c r="AY827" i="1"/>
  <c r="BL827" i="1"/>
  <c r="AA839" i="1"/>
  <c r="AM839" i="1"/>
  <c r="AY839" i="1"/>
  <c r="BL839" i="1"/>
  <c r="AM778" i="1"/>
  <c r="AY778" i="1"/>
  <c r="BL778" i="1"/>
  <c r="BL705" i="1"/>
  <c r="AY777" i="1"/>
  <c r="BL777" i="1"/>
  <c r="AA785" i="1"/>
  <c r="AM785" i="1"/>
  <c r="AY785" i="1"/>
  <c r="BL785" i="1"/>
  <c r="AY658" i="1"/>
  <c r="AM556" i="1"/>
  <c r="AY556" i="1"/>
  <c r="AA620" i="1"/>
  <c r="AM620" i="1"/>
  <c r="AA524" i="1"/>
  <c r="AM524" i="1"/>
  <c r="AY524" i="1"/>
  <c r="BL524" i="1"/>
  <c r="AA440" i="1"/>
  <c r="AM440" i="1"/>
  <c r="AY440" i="1"/>
  <c r="BL440" i="1"/>
  <c r="AA400" i="1"/>
  <c r="AM400" i="1"/>
  <c r="AY400" i="1"/>
  <c r="BL400" i="1"/>
  <c r="AY473" i="1"/>
  <c r="AA443" i="1"/>
  <c r="AM443" i="1"/>
  <c r="AY443" i="1"/>
  <c r="BL443" i="1"/>
  <c r="AA389" i="1"/>
  <c r="BL262" i="1"/>
  <c r="AA276" i="1"/>
  <c r="AM276" i="1"/>
  <c r="AY276" i="1"/>
  <c r="BL276" i="1"/>
  <c r="AM286" i="1"/>
  <c r="AY286" i="1"/>
  <c r="AA447" i="1"/>
  <c r="AM447" i="1"/>
  <c r="AY447" i="1"/>
  <c r="BL447" i="1"/>
  <c r="AY179" i="1"/>
  <c r="BL179" i="1"/>
  <c r="AY196" i="1"/>
  <c r="BL196" i="1"/>
  <c r="AM144" i="1"/>
  <c r="AY144" i="1"/>
  <c r="BL144" i="1"/>
  <c r="AM152" i="1"/>
  <c r="AY152" i="1"/>
  <c r="AY160" i="1"/>
  <c r="BL160" i="1"/>
  <c r="AM193" i="1"/>
  <c r="AY193" i="1"/>
  <c r="AA162" i="1"/>
  <c r="AM162" i="1"/>
  <c r="AY162" i="1"/>
  <c r="BL162" i="1"/>
  <c r="AA115" i="1"/>
  <c r="AM115" i="1"/>
  <c r="AY115" i="1"/>
  <c r="BL115" i="1"/>
  <c r="AA102" i="1"/>
  <c r="AM102" i="1"/>
  <c r="AM65" i="1"/>
  <c r="AY65" i="1"/>
  <c r="AM128" i="1"/>
  <c r="AY128" i="1"/>
  <c r="BL128" i="1"/>
  <c r="BL27" i="1"/>
  <c r="AA114" i="1"/>
  <c r="AM114" i="1"/>
  <c r="AY114" i="1"/>
  <c r="BL114" i="1"/>
  <c r="AA44" i="1"/>
  <c r="AM44" i="1"/>
  <c r="AY44" i="1"/>
  <c r="BL44" i="1"/>
  <c r="AA768" i="1"/>
  <c r="AM768" i="1"/>
  <c r="AY768" i="1"/>
  <c r="BL768" i="1"/>
  <c r="AA831" i="1"/>
  <c r="AA455" i="1"/>
  <c r="AM455" i="1"/>
  <c r="AY455" i="1"/>
  <c r="BL455" i="1"/>
  <c r="AA399" i="1"/>
  <c r="AM399" i="1"/>
  <c r="AY399" i="1"/>
  <c r="BL399" i="1"/>
  <c r="B19" i="22"/>
  <c r="BO982" i="1"/>
  <c r="AT984" i="1"/>
  <c r="U984" i="1"/>
  <c r="AS982" i="1"/>
  <c r="AI984" i="1"/>
  <c r="J982" i="1"/>
  <c r="AH984" i="1"/>
  <c r="T984" i="1"/>
  <c r="AF982" i="1"/>
  <c r="AV982" i="1"/>
  <c r="G984" i="1"/>
  <c r="S984" i="1"/>
  <c r="AE982" i="1"/>
  <c r="BH982" i="1"/>
  <c r="M984" i="1"/>
  <c r="BC984" i="1"/>
  <c r="AI982" i="1"/>
  <c r="AQ984" i="1"/>
  <c r="BJ984" i="1"/>
  <c r="BG984" i="1"/>
  <c r="M982" i="1"/>
  <c r="AE984" i="1"/>
  <c r="H984" i="1"/>
  <c r="BD984" i="1"/>
  <c r="AQ982" i="1"/>
  <c r="AG984" i="1"/>
  <c r="T982" i="1"/>
  <c r="J984" i="1"/>
  <c r="AJ982" i="1"/>
  <c r="BG982" i="1"/>
  <c r="X984" i="1"/>
  <c r="W984" i="1"/>
  <c r="AK984" i="1"/>
  <c r="V984" i="1"/>
  <c r="U982" i="1"/>
  <c r="AU982" i="1"/>
  <c r="BO984" i="1"/>
  <c r="AG982" i="1"/>
  <c r="AU984" i="1"/>
  <c r="S982" i="1"/>
  <c r="I984" i="1"/>
  <c r="BF984" i="1"/>
  <c r="K982" i="1"/>
  <c r="I982" i="1"/>
  <c r="W982" i="1"/>
  <c r="AJ984" i="1"/>
  <c r="AV984" i="1"/>
  <c r="AR984" i="1"/>
  <c r="BD982" i="1"/>
  <c r="AT982" i="1"/>
  <c r="L984" i="1"/>
  <c r="G982" i="1"/>
  <c r="BI982" i="1"/>
  <c r="BC982" i="1"/>
  <c r="Y984" i="1"/>
  <c r="AS984" i="1"/>
  <c r="K984" i="1"/>
  <c r="BF982" i="1"/>
  <c r="H982" i="1"/>
  <c r="Y982" i="1"/>
  <c r="L982" i="1"/>
  <c r="BJ982" i="1"/>
  <c r="BI984" i="1"/>
  <c r="BE982" i="1"/>
  <c r="BH984" i="1"/>
  <c r="AH982" i="1"/>
  <c r="AF984" i="1"/>
  <c r="BE984" i="1"/>
  <c r="BK984" i="1"/>
  <c r="AR982" i="1"/>
  <c r="AW984" i="1"/>
  <c r="V982" i="1"/>
  <c r="X982" i="1"/>
  <c r="AK982" i="1"/>
  <c r="AW982" i="1"/>
  <c r="B17" i="22"/>
  <c r="G17" i="22"/>
  <c r="BL927" i="1"/>
  <c r="BL949" i="1"/>
  <c r="BL896" i="1"/>
  <c r="AM941" i="1"/>
  <c r="AY941" i="1"/>
  <c r="BL941" i="1"/>
  <c r="AY889" i="1"/>
  <c r="BL889" i="1"/>
  <c r="AY880" i="1"/>
  <c r="BL880" i="1"/>
  <c r="AM862" i="1"/>
  <c r="AY862" i="1"/>
  <c r="BL862" i="1"/>
  <c r="BL859" i="1"/>
  <c r="BL953" i="1"/>
  <c r="AY946" i="1"/>
  <c r="BL946" i="1"/>
  <c r="BL849" i="1"/>
  <c r="AY887" i="1"/>
  <c r="BL887" i="1"/>
  <c r="BL905" i="1"/>
  <c r="BL909" i="1"/>
  <c r="AY864" i="1"/>
  <c r="BL864" i="1"/>
  <c r="AY881" i="1"/>
  <c r="BL881" i="1"/>
  <c r="BL888" i="1"/>
  <c r="AY961" i="1"/>
  <c r="BL961" i="1"/>
  <c r="BL919" i="1"/>
  <c r="AM857" i="1"/>
  <c r="AY857" i="1"/>
  <c r="BL857" i="1"/>
  <c r="AM965" i="1"/>
  <c r="AY965" i="1"/>
  <c r="BL965" i="1"/>
  <c r="BL900" i="1"/>
  <c r="AM979" i="1"/>
  <c r="AA977" i="1"/>
  <c r="AM977" i="1"/>
  <c r="AY977" i="1"/>
  <c r="BL977" i="1"/>
  <c r="Z984" i="1"/>
  <c r="BL980" i="1"/>
  <c r="BL894" i="1"/>
  <c r="AY902" i="1"/>
  <c r="BL902" i="1"/>
  <c r="BL912" i="1"/>
  <c r="AY943" i="1"/>
  <c r="BL943" i="1"/>
  <c r="AA942" i="1"/>
  <c r="AM942" i="1"/>
  <c r="AY942" i="1"/>
  <c r="BL942" i="1"/>
  <c r="AY954" i="1"/>
  <c r="BL954" i="1"/>
  <c r="AA958" i="1"/>
  <c r="AM958" i="1"/>
  <c r="AY958" i="1"/>
  <c r="BL958" i="1"/>
  <c r="AM886" i="1"/>
  <c r="AY886" i="1"/>
  <c r="BL886" i="1"/>
  <c r="AY765" i="1"/>
  <c r="BL765" i="1"/>
  <c r="BL658" i="1"/>
  <c r="AA836" i="1"/>
  <c r="AM836" i="1"/>
  <c r="AY836" i="1"/>
  <c r="BL836" i="1"/>
  <c r="AM806" i="1"/>
  <c r="AY806" i="1"/>
  <c r="BL806" i="1"/>
  <c r="AA687" i="1"/>
  <c r="AM687" i="1"/>
  <c r="AY687" i="1"/>
  <c r="BL687" i="1"/>
  <c r="AA762" i="1"/>
  <c r="AM762" i="1"/>
  <c r="AY762" i="1"/>
  <c r="BL762" i="1"/>
  <c r="AM474" i="1"/>
  <c r="AY474" i="1"/>
  <c r="BL474" i="1"/>
  <c r="AA526" i="1"/>
  <c r="AM526" i="1"/>
  <c r="AY526" i="1"/>
  <c r="BL526" i="1"/>
  <c r="AA543" i="1"/>
  <c r="AM543" i="1"/>
  <c r="AY543" i="1"/>
  <c r="BL543" i="1"/>
  <c r="AA537" i="1"/>
  <c r="AM537" i="1"/>
  <c r="AY537" i="1"/>
  <c r="BL537" i="1"/>
  <c r="AA394" i="1"/>
  <c r="AM394" i="1"/>
  <c r="AY394" i="1"/>
  <c r="BL394" i="1"/>
  <c r="AA410" i="1"/>
  <c r="AM410" i="1"/>
  <c r="AY410" i="1"/>
  <c r="BL410" i="1"/>
  <c r="AA426" i="1"/>
  <c r="AM426" i="1"/>
  <c r="AY426" i="1"/>
  <c r="BL426" i="1"/>
  <c r="AM389" i="1"/>
  <c r="AY389" i="1"/>
  <c r="BL389" i="1"/>
  <c r="BL152" i="1"/>
  <c r="AY102" i="1"/>
  <c r="BL102" i="1"/>
  <c r="AA109" i="1"/>
  <c r="AM109" i="1"/>
  <c r="AY109" i="1"/>
  <c r="BL109" i="1"/>
  <c r="AA62" i="1"/>
  <c r="AM62" i="1"/>
  <c r="AY62" i="1"/>
  <c r="BL62" i="1"/>
  <c r="AA17" i="1"/>
  <c r="AM17" i="1"/>
  <c r="AY17" i="1"/>
  <c r="BL17" i="1"/>
  <c r="AM807" i="1"/>
  <c r="AY807" i="1"/>
  <c r="BL807" i="1"/>
  <c r="AM831" i="1"/>
  <c r="AY831" i="1"/>
  <c r="BL831" i="1"/>
  <c r="AY515" i="1"/>
  <c r="BL515" i="1"/>
  <c r="AM534" i="1"/>
  <c r="AY534" i="1"/>
  <c r="BL534" i="1"/>
  <c r="AA555" i="1"/>
  <c r="AM555" i="1"/>
  <c r="AY555" i="1"/>
  <c r="BL555" i="1"/>
  <c r="AA521" i="1"/>
  <c r="AM521" i="1"/>
  <c r="AY521" i="1"/>
  <c r="BL521" i="1"/>
  <c r="AA7" i="1"/>
  <c r="AM7" i="1"/>
  <c r="AY7" i="1"/>
  <c r="BL7" i="1"/>
  <c r="AY969" i="1"/>
  <c r="BL969" i="1"/>
  <c r="AY973" i="1"/>
  <c r="BL973" i="1"/>
  <c r="N982" i="1"/>
  <c r="AA968" i="1"/>
  <c r="AM968" i="1"/>
  <c r="AY968" i="1"/>
  <c r="BL968" i="1"/>
  <c r="AM962" i="1"/>
  <c r="AY962" i="1"/>
  <c r="BL962" i="1"/>
  <c r="AA952" i="1"/>
  <c r="AM952" i="1"/>
  <c r="AY952" i="1"/>
  <c r="BL952" i="1"/>
  <c r="AA901" i="1"/>
  <c r="AM901" i="1"/>
  <c r="AY901" i="1"/>
  <c r="BL901" i="1"/>
  <c r="AA865" i="1"/>
  <c r="AM865" i="1"/>
  <c r="AY865" i="1"/>
  <c r="BL865" i="1"/>
  <c r="AA904" i="1"/>
  <c r="AM904" i="1"/>
  <c r="AY904" i="1"/>
  <c r="BL904" i="1"/>
  <c r="AA960" i="1"/>
  <c r="AM960" i="1"/>
  <c r="AY960" i="1"/>
  <c r="BL960" i="1"/>
  <c r="AM732" i="1"/>
  <c r="AY732" i="1"/>
  <c r="BL732" i="1"/>
  <c r="AA659" i="1"/>
  <c r="AM659" i="1"/>
  <c r="AY659" i="1"/>
  <c r="BL659" i="1"/>
  <c r="AA841" i="1"/>
  <c r="AM841" i="1"/>
  <c r="AY841" i="1"/>
  <c r="BL841" i="1"/>
  <c r="AA663" i="1"/>
  <c r="AM663" i="1"/>
  <c r="AY663" i="1"/>
  <c r="BL663" i="1"/>
  <c r="AA693" i="1"/>
  <c r="AM693" i="1"/>
  <c r="AY693" i="1"/>
  <c r="BL693" i="1"/>
  <c r="BL556" i="1"/>
  <c r="AA603" i="1"/>
  <c r="AM603" i="1"/>
  <c r="AY603" i="1"/>
  <c r="BL603" i="1"/>
  <c r="AA631" i="1"/>
  <c r="AM631" i="1"/>
  <c r="AY631" i="1"/>
  <c r="BL631" i="1"/>
  <c r="AY620" i="1"/>
  <c r="BL620" i="1"/>
  <c r="AA590" i="1"/>
  <c r="AM590" i="1"/>
  <c r="AY590" i="1"/>
  <c r="BL590" i="1"/>
  <c r="AA594" i="1"/>
  <c r="AM594" i="1"/>
  <c r="AY594" i="1"/>
  <c r="BL594" i="1"/>
  <c r="AA552" i="1"/>
  <c r="AM552" i="1"/>
  <c r="AY552" i="1"/>
  <c r="BL552" i="1"/>
  <c r="AM460" i="1"/>
  <c r="AY460" i="1"/>
  <c r="BL460" i="1"/>
  <c r="AA924" i="1"/>
  <c r="AM924" i="1"/>
  <c r="AY924" i="1"/>
  <c r="BL924" i="1"/>
  <c r="AA970" i="1"/>
  <c r="AM970" i="1"/>
  <c r="AY970" i="1"/>
  <c r="BL970" i="1"/>
  <c r="AA972" i="1"/>
  <c r="AM972" i="1"/>
  <c r="AY972" i="1"/>
  <c r="BL972" i="1"/>
  <c r="AA964" i="1"/>
  <c r="AM964" i="1"/>
  <c r="AY964" i="1"/>
  <c r="BL964" i="1"/>
  <c r="AA917" i="1"/>
  <c r="AM917" i="1"/>
  <c r="AY917" i="1"/>
  <c r="BL917" i="1"/>
  <c r="AA897" i="1"/>
  <c r="AM897" i="1"/>
  <c r="AY897" i="1"/>
  <c r="BL897" i="1"/>
  <c r="AA730" i="1"/>
  <c r="AM730" i="1"/>
  <c r="AY730" i="1"/>
  <c r="BL730" i="1"/>
  <c r="BL643" i="1"/>
  <c r="AA754" i="1"/>
  <c r="AM754" i="1"/>
  <c r="AY754" i="1"/>
  <c r="BL754" i="1"/>
  <c r="AA646" i="1"/>
  <c r="AM646" i="1"/>
  <c r="AY646" i="1"/>
  <c r="BL646" i="1"/>
  <c r="AA678" i="1"/>
  <c r="AM678" i="1"/>
  <c r="AY678" i="1"/>
  <c r="BL678" i="1"/>
  <c r="AA695" i="1"/>
  <c r="AM695" i="1"/>
  <c r="AY695" i="1"/>
  <c r="BL695" i="1"/>
  <c r="AA639" i="1"/>
  <c r="AM639" i="1"/>
  <c r="AY639" i="1"/>
  <c r="BL639" i="1"/>
  <c r="AY634" i="1"/>
  <c r="BL634" i="1"/>
  <c r="AA623" i="1"/>
  <c r="AM623" i="1"/>
  <c r="AY623" i="1"/>
  <c r="BL623" i="1"/>
  <c r="AA608" i="1"/>
  <c r="AM608" i="1"/>
  <c r="AY608" i="1"/>
  <c r="BL608" i="1"/>
  <c r="AA574" i="1"/>
  <c r="AM574" i="1"/>
  <c r="AY574" i="1"/>
  <c r="BL574" i="1"/>
  <c r="AA612" i="1"/>
  <c r="AM612" i="1"/>
  <c r="AY612" i="1"/>
  <c r="BL612" i="1"/>
  <c r="AA561" i="1"/>
  <c r="AM561" i="1"/>
  <c r="AY561" i="1"/>
  <c r="BL561" i="1"/>
  <c r="AM471" i="1"/>
  <c r="AY471" i="1"/>
  <c r="BL471" i="1"/>
  <c r="AA449" i="1"/>
  <c r="AM449" i="1"/>
  <c r="AY449" i="1"/>
  <c r="BL449" i="1"/>
  <c r="AM450" i="1"/>
  <c r="AY450" i="1"/>
  <c r="BL450" i="1"/>
  <c r="AM467" i="1"/>
  <c r="AY467" i="1"/>
  <c r="BL467" i="1"/>
  <c r="AY469" i="1"/>
  <c r="BL469" i="1"/>
  <c r="AA538" i="1"/>
  <c r="AM538" i="1"/>
  <c r="AY538" i="1"/>
  <c r="BL538" i="1"/>
  <c r="AM507" i="1"/>
  <c r="AY507" i="1"/>
  <c r="BL507" i="1"/>
  <c r="BL402" i="1"/>
  <c r="BL418" i="1"/>
  <c r="BL434" i="1"/>
  <c r="AA497" i="1"/>
  <c r="AM497" i="1"/>
  <c r="AY497" i="1"/>
  <c r="BL497" i="1"/>
  <c r="AA430" i="1"/>
  <c r="AM430" i="1"/>
  <c r="AY430" i="1"/>
  <c r="BL430" i="1"/>
  <c r="AA541" i="1"/>
  <c r="AM541" i="1"/>
  <c r="AY541" i="1"/>
  <c r="BL541" i="1"/>
  <c r="AM479" i="1"/>
  <c r="AY479" i="1"/>
  <c r="BL479" i="1"/>
  <c r="BL473" i="1"/>
  <c r="AM459" i="1"/>
  <c r="AY459" i="1"/>
  <c r="BL459" i="1"/>
  <c r="AA505" i="1"/>
  <c r="AM505" i="1"/>
  <c r="AY505" i="1"/>
  <c r="BL505" i="1"/>
  <c r="AA461" i="1"/>
  <c r="AM461" i="1"/>
  <c r="AY461" i="1"/>
  <c r="BL461" i="1"/>
  <c r="AA477" i="1"/>
  <c r="AM477" i="1"/>
  <c r="AY477" i="1"/>
  <c r="BL477" i="1"/>
  <c r="AM491" i="1"/>
  <c r="AY491" i="1"/>
  <c r="BL491" i="1"/>
  <c r="AA442" i="1"/>
  <c r="AM442" i="1"/>
  <c r="AY442" i="1"/>
  <c r="BL442" i="1"/>
  <c r="AA398" i="1"/>
  <c r="AM398" i="1"/>
  <c r="AY398" i="1"/>
  <c r="BL398" i="1"/>
  <c r="AA224" i="1"/>
  <c r="AM224" i="1"/>
  <c r="AY224" i="1"/>
  <c r="BL224" i="1"/>
  <c r="BL91" i="1"/>
  <c r="AA125" i="1"/>
  <c r="AM125" i="1"/>
  <c r="AY125" i="1"/>
  <c r="BL125" i="1"/>
  <c r="AA112" i="1"/>
  <c r="AM112" i="1"/>
  <c r="AY112" i="1"/>
  <c r="BL112" i="1"/>
  <c r="AA718" i="1"/>
  <c r="AM718" i="1"/>
  <c r="AY718" i="1"/>
  <c r="BL718" i="1"/>
  <c r="AY939" i="1"/>
  <c r="BL939" i="1"/>
  <c r="AY979" i="1"/>
  <c r="BL979" i="1"/>
  <c r="AM948" i="1"/>
  <c r="AY948" i="1"/>
  <c r="BL948" i="1"/>
  <c r="AM866" i="1"/>
  <c r="AY866" i="1"/>
  <c r="BL866" i="1"/>
  <c r="AM876" i="1"/>
  <c r="AY876" i="1"/>
  <c r="BL876" i="1"/>
  <c r="AA763" i="1"/>
  <c r="AM763" i="1"/>
  <c r="AY763" i="1"/>
  <c r="BL763" i="1"/>
  <c r="AA586" i="1"/>
  <c r="AM586" i="1"/>
  <c r="AY586" i="1"/>
  <c r="BL586" i="1"/>
  <c r="AM454" i="1"/>
  <c r="AY454" i="1"/>
  <c r="BL454" i="1"/>
  <c r="AM346" i="1"/>
  <c r="AY346" i="1"/>
  <c r="BL346" i="1"/>
  <c r="AA382" i="1"/>
  <c r="AM382" i="1"/>
  <c r="AY382" i="1"/>
  <c r="BL382" i="1"/>
  <c r="BL118" i="1"/>
  <c r="BL65" i="1"/>
  <c r="AA137" i="1"/>
  <c r="AM137" i="1"/>
  <c r="AY137" i="1"/>
  <c r="BL137" i="1"/>
  <c r="AA80" i="1"/>
  <c r="AM80" i="1"/>
  <c r="AY80" i="1"/>
  <c r="BL80" i="1"/>
  <c r="AA45" i="1"/>
  <c r="AM45" i="1"/>
  <c r="AY45" i="1"/>
  <c r="BL45" i="1"/>
  <c r="AM390" i="1"/>
  <c r="AY390" i="1"/>
  <c r="BL390" i="1"/>
  <c r="AY209" i="1"/>
  <c r="BL209" i="1"/>
  <c r="AY217" i="1"/>
  <c r="BL217" i="1"/>
  <c r="AY242" i="1"/>
  <c r="BL242" i="1"/>
  <c r="AA85" i="1"/>
  <c r="AM85" i="1"/>
  <c r="AY85" i="1"/>
  <c r="BL85" i="1"/>
  <c r="AA74" i="1"/>
  <c r="AM74" i="1"/>
  <c r="AY74" i="1"/>
  <c r="BL74" i="1"/>
  <c r="AA103" i="1"/>
  <c r="AM103" i="1"/>
  <c r="AY103" i="1"/>
  <c r="BL103" i="1"/>
  <c r="AA12" i="1"/>
  <c r="AM12" i="1"/>
  <c r="AY12" i="1"/>
  <c r="BL12" i="1"/>
  <c r="Z982" i="1"/>
  <c r="AA950" i="1"/>
  <c r="AM950" i="1"/>
  <c r="AY950" i="1"/>
  <c r="BL950" i="1"/>
  <c r="AA974" i="1"/>
  <c r="AM974" i="1"/>
  <c r="AY974" i="1"/>
  <c r="BL974" i="1"/>
  <c r="AA788" i="1"/>
  <c r="AM788" i="1"/>
  <c r="AY788" i="1"/>
  <c r="BL788" i="1"/>
  <c r="BL683" i="1"/>
  <c r="AA622" i="1"/>
  <c r="AM622" i="1"/>
  <c r="AY622" i="1"/>
  <c r="BL622" i="1"/>
  <c r="BL286" i="1"/>
  <c r="AA364" i="1"/>
  <c r="AM364" i="1"/>
  <c r="AY364" i="1"/>
  <c r="BL364" i="1"/>
  <c r="AA277" i="1"/>
  <c r="AM277" i="1"/>
  <c r="AY277" i="1"/>
  <c r="BL277" i="1"/>
  <c r="AA308" i="1"/>
  <c r="AM308" i="1"/>
  <c r="AY308" i="1"/>
  <c r="BL308" i="1"/>
  <c r="AA211" i="1"/>
  <c r="AM211" i="1"/>
  <c r="AY211" i="1"/>
  <c r="BL211" i="1"/>
  <c r="BL86" i="1"/>
  <c r="AA194" i="1"/>
  <c r="AM194" i="1"/>
  <c r="AY194" i="1"/>
  <c r="BL194" i="1"/>
  <c r="AA133" i="1"/>
  <c r="AM133" i="1"/>
  <c r="AY133" i="1"/>
  <c r="BL133" i="1"/>
  <c r="AA96" i="1"/>
  <c r="AM96" i="1"/>
  <c r="AY96" i="1"/>
  <c r="BL96" i="1"/>
  <c r="BL16" i="1"/>
  <c r="AA163" i="1"/>
  <c r="AM163" i="1"/>
  <c r="AY163" i="1"/>
  <c r="BL163" i="1"/>
  <c r="AA180" i="1"/>
  <c r="AM180" i="1"/>
  <c r="AY180" i="1"/>
  <c r="BL180" i="1"/>
  <c r="AA197" i="1"/>
  <c r="AM197" i="1"/>
  <c r="AY197" i="1"/>
  <c r="BL197" i="1"/>
  <c r="AA731" i="1"/>
  <c r="AM731" i="1"/>
  <c r="AY731" i="1"/>
  <c r="BL731" i="1"/>
  <c r="BL577" i="1"/>
  <c r="BL438" i="1"/>
  <c r="AA425" i="1"/>
  <c r="AM425" i="1"/>
  <c r="AY425" i="1"/>
  <c r="BL425" i="1"/>
  <c r="BL193" i="1"/>
  <c r="BL136" i="1"/>
  <c r="AA93" i="1"/>
  <c r="AM93" i="1"/>
  <c r="AY93" i="1"/>
  <c r="BL93" i="1"/>
  <c r="AA77" i="1"/>
  <c r="AM77" i="1"/>
  <c r="AY77" i="1"/>
  <c r="BL77" i="1"/>
  <c r="AA882" i="1"/>
  <c r="AM882" i="1"/>
  <c r="AY882" i="1"/>
  <c r="BL882" i="1"/>
  <c r="AA76" i="1"/>
  <c r="AM76" i="1"/>
  <c r="AY76" i="1"/>
  <c r="BL76" i="1"/>
  <c r="AA108" i="1"/>
  <c r="AM108" i="1"/>
  <c r="AY108" i="1"/>
  <c r="BL108" i="1"/>
  <c r="K11" i="22"/>
  <c r="BB522" i="1"/>
  <c r="AP522" i="1"/>
  <c r="AD522" i="1"/>
  <c r="R522" i="1"/>
  <c r="F522" i="1"/>
  <c r="O522" i="1"/>
  <c r="BB519" i="1"/>
  <c r="AP519" i="1"/>
  <c r="AD519" i="1"/>
  <c r="R519" i="1"/>
  <c r="F519" i="1"/>
  <c r="O519" i="1"/>
  <c r="BB928" i="1"/>
  <c r="AP928" i="1"/>
  <c r="AD928" i="1"/>
  <c r="R928" i="1"/>
  <c r="F928" i="1"/>
  <c r="O928" i="1"/>
  <c r="BB903" i="1"/>
  <c r="AP903" i="1"/>
  <c r="AD903" i="1"/>
  <c r="R903" i="1"/>
  <c r="F903" i="1"/>
  <c r="O903" i="1"/>
  <c r="BB911" i="1"/>
  <c r="AP911" i="1"/>
  <c r="AD911" i="1"/>
  <c r="R911" i="1"/>
  <c r="F911" i="1"/>
  <c r="O911" i="1"/>
  <c r="BB633" i="1"/>
  <c r="AP633" i="1"/>
  <c r="AD633" i="1"/>
  <c r="R633" i="1"/>
  <c r="F633" i="1"/>
  <c r="O633" i="1"/>
  <c r="BB283" i="1"/>
  <c r="AP283" i="1"/>
  <c r="AD283" i="1"/>
  <c r="R283" i="1"/>
  <c r="F283" i="1"/>
  <c r="O283" i="1"/>
  <c r="F288" i="1"/>
  <c r="O288" i="1"/>
  <c r="R288" i="1"/>
  <c r="AD288" i="1"/>
  <c r="AP288" i="1"/>
  <c r="BB288" i="1"/>
  <c r="F704" i="1"/>
  <c r="O704" i="1"/>
  <c r="R704" i="1"/>
  <c r="AD704" i="1"/>
  <c r="AP704" i="1"/>
  <c r="BB704" i="1"/>
  <c r="F910" i="1"/>
  <c r="O910" i="1"/>
  <c r="R910" i="1"/>
  <c r="AD910" i="1"/>
  <c r="AP910" i="1"/>
  <c r="BB910" i="1"/>
  <c r="F926" i="1"/>
  <c r="O926" i="1"/>
  <c r="R926" i="1"/>
  <c r="AD926" i="1"/>
  <c r="AP926" i="1"/>
  <c r="BB926" i="1"/>
  <c r="F475" i="1"/>
  <c r="O475" i="1"/>
  <c r="R475" i="1"/>
  <c r="AD475" i="1"/>
  <c r="AP475" i="1"/>
  <c r="BB475" i="1"/>
  <c r="F520" i="1"/>
  <c r="O520" i="1"/>
  <c r="R520" i="1"/>
  <c r="AD520" i="1"/>
  <c r="AP520" i="1"/>
  <c r="BB520" i="1"/>
  <c r="K17" i="22"/>
  <c r="G11" i="22"/>
  <c r="BK982" i="1"/>
  <c r="AX982" i="1"/>
  <c r="AX984" i="1"/>
  <c r="AL984" i="1"/>
  <c r="AL982" i="1"/>
  <c r="AA475" i="1"/>
  <c r="AA910" i="1"/>
  <c r="AM910" i="1"/>
  <c r="AY910" i="1"/>
  <c r="BL910" i="1"/>
  <c r="AA288" i="1"/>
  <c r="AM288" i="1"/>
  <c r="AY288" i="1"/>
  <c r="BL288" i="1"/>
  <c r="N984" i="1"/>
  <c r="AA903" i="1"/>
  <c r="AA633" i="1"/>
  <c r="AM633" i="1"/>
  <c r="AY633" i="1"/>
  <c r="BL633" i="1"/>
  <c r="AA519" i="1"/>
  <c r="AA520" i="1"/>
  <c r="AM520" i="1"/>
  <c r="AY520" i="1"/>
  <c r="BL520" i="1"/>
  <c r="AM475" i="1"/>
  <c r="AY475" i="1"/>
  <c r="BL475" i="1"/>
  <c r="AA926" i="1"/>
  <c r="AM926" i="1"/>
  <c r="AY926" i="1"/>
  <c r="BL926" i="1"/>
  <c r="AA704" i="1"/>
  <c r="AM704" i="1"/>
  <c r="AY704" i="1"/>
  <c r="BL704" i="1"/>
  <c r="AA283" i="1"/>
  <c r="AM283" i="1"/>
  <c r="AY283" i="1"/>
  <c r="BL283" i="1"/>
  <c r="AA911" i="1"/>
  <c r="AM911" i="1"/>
  <c r="AY911" i="1"/>
  <c r="BL911" i="1"/>
  <c r="AM903" i="1"/>
  <c r="AY903" i="1"/>
  <c r="BL903" i="1"/>
  <c r="AA928" i="1"/>
  <c r="AM928" i="1"/>
  <c r="AY928" i="1"/>
  <c r="BL928" i="1"/>
  <c r="AM519" i="1"/>
  <c r="AY519" i="1"/>
  <c r="BL519" i="1"/>
  <c r="AA522" i="1"/>
  <c r="AM522" i="1"/>
  <c r="AY522" i="1"/>
  <c r="BL522" i="1"/>
</calcChain>
</file>

<file path=xl/sharedStrings.xml><?xml version="1.0" encoding="utf-8"?>
<sst xmlns="http://schemas.openxmlformats.org/spreadsheetml/2006/main" count="16304" uniqueCount="1322">
  <si>
    <t>PRODUTO</t>
  </si>
  <si>
    <t>ENTRADA</t>
  </si>
  <si>
    <t>DOMINGO</t>
  </si>
  <si>
    <t>SEGUNDA</t>
  </si>
  <si>
    <t>TERÇA</t>
  </si>
  <si>
    <t>QUARTA</t>
  </si>
  <si>
    <t>QUINTA</t>
  </si>
  <si>
    <t>SEXTA</t>
  </si>
  <si>
    <t>CONSUMO</t>
  </si>
  <si>
    <t>SALDO FINAL</t>
  </si>
  <si>
    <t>SÁBADO</t>
  </si>
  <si>
    <t>REFERÊNCIA</t>
  </si>
  <si>
    <t>DIA</t>
  </si>
  <si>
    <t>GRUPO</t>
  </si>
  <si>
    <t>FORNECEDOR</t>
  </si>
  <si>
    <t>Und MEDIDA</t>
  </si>
  <si>
    <t>QNT</t>
  </si>
  <si>
    <t>PREÇO 
(Und.)</t>
  </si>
  <si>
    <t>VALOR TOTAL
GÊNEROS</t>
  </si>
  <si>
    <t>Selecione</t>
  </si>
  <si>
    <t>SEMANA 1</t>
  </si>
  <si>
    <t>SEMANA 2</t>
  </si>
  <si>
    <t>SEMANA 3</t>
  </si>
  <si>
    <t>SEMANA 4</t>
  </si>
  <si>
    <t>SEMANA 5</t>
  </si>
  <si>
    <t>Julho</t>
  </si>
  <si>
    <t>SEMANA</t>
  </si>
  <si>
    <t>SALDO ANTERIOR</t>
  </si>
  <si>
    <t>INÍCIO DO MÊS:</t>
  </si>
  <si>
    <t>Janeiro</t>
  </si>
  <si>
    <t>Fevereiro</t>
  </si>
  <si>
    <t>Março</t>
  </si>
  <si>
    <t>Abril</t>
  </si>
  <si>
    <t>Maio</t>
  </si>
  <si>
    <t>Junho</t>
  </si>
  <si>
    <t>Agosto</t>
  </si>
  <si>
    <t>Setembro</t>
  </si>
  <si>
    <t>Outubro</t>
  </si>
  <si>
    <t>Novembro</t>
  </si>
  <si>
    <t>Dezembro</t>
  </si>
  <si>
    <t>TOTAL</t>
  </si>
  <si>
    <t>-</t>
  </si>
  <si>
    <t>Mercado</t>
  </si>
  <si>
    <t>Sobremesa</t>
  </si>
  <si>
    <t>Carnes</t>
  </si>
  <si>
    <t>Hortifruti</t>
  </si>
  <si>
    <t>Limpeza</t>
  </si>
  <si>
    <t>Bebidas</t>
  </si>
  <si>
    <t>REAL</t>
  </si>
  <si>
    <t>META</t>
  </si>
  <si>
    <t>R$ CONSUMO ACUMULADO</t>
  </si>
  <si>
    <t>R$ NOTA ACUMULADO</t>
  </si>
  <si>
    <t>R$ FATURAMENTO ACUMULADO</t>
  </si>
  <si>
    <t>QUANTIDADE
CONSUMO TOTAL</t>
  </si>
  <si>
    <t>VALOR (R$)
CONSUMO TOTAL</t>
  </si>
  <si>
    <t>R$ unit</t>
  </si>
  <si>
    <t>Categ.</t>
  </si>
  <si>
    <t>VALOR DE CONSUMO GERAL (R$)</t>
  </si>
  <si>
    <t>VALOR DE CONSUMO CARNES (R$)</t>
  </si>
  <si>
    <t>CONSUMO DE CARNES (kg)</t>
  </si>
  <si>
    <t>Sushi</t>
  </si>
  <si>
    <t>NF</t>
  </si>
  <si>
    <t xml:space="preserve">Abacate </t>
  </si>
  <si>
    <t>Abacate Organico</t>
  </si>
  <si>
    <t>Abacate Sushi</t>
  </si>
  <si>
    <t xml:space="preserve">Abacaxi </t>
  </si>
  <si>
    <t>Abacaxi Cristalizado</t>
  </si>
  <si>
    <t>Abacaxi em Calda Lata</t>
  </si>
  <si>
    <t>Abobora</t>
  </si>
  <si>
    <t>Abobora Japonesa</t>
  </si>
  <si>
    <t>Abobora Moranga</t>
  </si>
  <si>
    <t>Abobora Organica</t>
  </si>
  <si>
    <t xml:space="preserve">Abobrinha </t>
  </si>
  <si>
    <t>Abobrinha Organica</t>
  </si>
  <si>
    <t>Açafrão</t>
  </si>
  <si>
    <t>Acelga</t>
  </si>
  <si>
    <t>Acelga sushi</t>
  </si>
  <si>
    <t>Açucar Mascavo</t>
  </si>
  <si>
    <t>Açucar Organico Native Cx1000</t>
  </si>
  <si>
    <t>Açucar Refinado</t>
  </si>
  <si>
    <t>Açucar Refinado Sushi</t>
  </si>
  <si>
    <t>Açucar União Sache Cx 400</t>
  </si>
  <si>
    <t>Adoçante Linea Stevia Cx 500</t>
  </si>
  <si>
    <t>Adoçante Linea Suclarose Cx 1000</t>
  </si>
  <si>
    <t xml:space="preserve">AFVT - Antimicrobial Bb 10,4 KG </t>
  </si>
  <si>
    <t>Agrião</t>
  </si>
  <si>
    <t>Agrião Orgânico</t>
  </si>
  <si>
    <t>Agrião Sushi</t>
  </si>
  <si>
    <t>Água de Côco</t>
  </si>
  <si>
    <t>Água Mineral Bb 5 lt</t>
  </si>
  <si>
    <t>Água Mineral com Gás</t>
  </si>
  <si>
    <t>Água Mineral sem Gás</t>
  </si>
  <si>
    <t>Água Tonica</t>
  </si>
  <si>
    <t>Água Tonica Diet</t>
  </si>
  <si>
    <t>Aguardente 51</t>
  </si>
  <si>
    <t>Aipim</t>
  </si>
  <si>
    <t>Aipo</t>
  </si>
  <si>
    <t>Alcachofra cong. 400G</t>
  </si>
  <si>
    <t>Alcaparras BD 2KG</t>
  </si>
  <si>
    <t>Álcool 70</t>
  </si>
  <si>
    <t>Álcool Espuma</t>
  </si>
  <si>
    <t>Alecrim</t>
  </si>
  <si>
    <t xml:space="preserve">Alface Americana    </t>
  </si>
  <si>
    <t>Alface Americana Orgânica</t>
  </si>
  <si>
    <t>Alface crespa</t>
  </si>
  <si>
    <t>Alface crespa Orgânica</t>
  </si>
  <si>
    <t>Alface Crespa Sushi</t>
  </si>
  <si>
    <t>Alface Romana Orgânica</t>
  </si>
  <si>
    <t>Alface Roxa</t>
  </si>
  <si>
    <t>Alface Roxa Orgânica</t>
  </si>
  <si>
    <t>Alfafa</t>
  </si>
  <si>
    <t>Alho</t>
  </si>
  <si>
    <t>Alho Descascado</t>
  </si>
  <si>
    <t xml:space="preserve">Alho Poró </t>
  </si>
  <si>
    <t>Alho Poró Orgânico</t>
  </si>
  <si>
    <t>Aliche</t>
  </si>
  <si>
    <t>Ameixa sem Caroço</t>
  </si>
  <si>
    <t>Amendoa Fatiada</t>
  </si>
  <si>
    <t>Amendoa Inteira</t>
  </si>
  <si>
    <t>Amendoim Torrado</t>
  </si>
  <si>
    <t>Ammoniated Glas Cln (Limpa vidro) BB 5L</t>
  </si>
  <si>
    <t>Amora</t>
  </si>
  <si>
    <t>Anelina Sushi</t>
  </si>
  <si>
    <t>Aneto</t>
  </si>
  <si>
    <t>Aniz Estrelado</t>
  </si>
  <si>
    <t>Antibacterial Detergentye p/ mãos Bb 5lt</t>
  </si>
  <si>
    <t>Arroz Branco</t>
  </si>
  <si>
    <t>Arroz Integral Curto</t>
  </si>
  <si>
    <t>Arroz Selvagem</t>
  </si>
  <si>
    <t>Aspargos cong. 1 Kg</t>
  </si>
  <si>
    <t>Aspargos Fresco Sushi</t>
  </si>
  <si>
    <t>Aspargos lata</t>
  </si>
  <si>
    <t>Aveia Quaker Flocos cx 200g</t>
  </si>
  <si>
    <t>Avelã</t>
  </si>
  <si>
    <t>Aves -  Linguiça de frango</t>
  </si>
  <si>
    <t>Aves - Blanquete de Peru</t>
  </si>
  <si>
    <t>Aves - Coração de Frango</t>
  </si>
  <si>
    <t>Aves - Filé de Coxa</t>
  </si>
  <si>
    <t>Aves - Filé de Coxa c/ pele</t>
  </si>
  <si>
    <t>Aves - Filé de Peito de Frango</t>
  </si>
  <si>
    <t>Aves - Filé de Peito Korin</t>
  </si>
  <si>
    <t>Aves - Filezinho Sassami</t>
  </si>
  <si>
    <t>Aves - Frangão Rica (Chester)</t>
  </si>
  <si>
    <t>Aves - Galeto</t>
  </si>
  <si>
    <t>Aves - Magret de Pato</t>
  </si>
  <si>
    <t>Aves - Peito de Frango Defumado</t>
  </si>
  <si>
    <t>Aves - Peito de Peru Bolinha</t>
  </si>
  <si>
    <t>Aves - Peito de Peru Defumado Light</t>
  </si>
  <si>
    <t>Aves - Peito de Peru Fresco</t>
  </si>
  <si>
    <t>Aves - Peito s/ Osso</t>
  </si>
  <si>
    <t>Aves - Sobrecoxa</t>
  </si>
  <si>
    <t>Azeite Deleyda 500 ml</t>
  </si>
  <si>
    <t>Azeite Dende</t>
  </si>
  <si>
    <t>Azeite Extra Virgem (Santiago) 500 ml</t>
  </si>
  <si>
    <t>Azeitona Azapa bd</t>
  </si>
  <si>
    <t>Azeitona preta Bd 3,200 kg</t>
  </si>
  <si>
    <t>Azeitona Preta Fatiada Bd 3 kg</t>
  </si>
  <si>
    <t>Azeitona Verde c/ Caroço Bd 2 kg</t>
  </si>
  <si>
    <t>Azeitona Verde Fatiada Bd 2 kg</t>
  </si>
  <si>
    <t>Bala de Alga 500 g</t>
  </si>
  <si>
    <t>Bala de Gengibre</t>
  </si>
  <si>
    <t>Banana da Terra</t>
  </si>
  <si>
    <t>Banana D'Água</t>
  </si>
  <si>
    <t>Banana Prata</t>
  </si>
  <si>
    <t>Banana Prata Orgânica</t>
  </si>
  <si>
    <t>Bandeja 3 Div. Delivery Cx 150</t>
  </si>
  <si>
    <t>Bandeja Alumínio 220 ml cx 200 (Bolo)</t>
  </si>
  <si>
    <t>Bandeja Alumínio 3 Div. Cx 100</t>
  </si>
  <si>
    <t>Barra de Chocolate Nestle Classic</t>
  </si>
  <si>
    <t>Batata Baroa</t>
  </si>
  <si>
    <t>Batata Doce</t>
  </si>
  <si>
    <t>Batata HBT</t>
  </si>
  <si>
    <t>Batata Inglesa</t>
  </si>
  <si>
    <t>Batata Noisete</t>
  </si>
  <si>
    <t>Batata Palha 140 g</t>
  </si>
  <si>
    <t>Batata Palito 9M</t>
  </si>
  <si>
    <t>Batata Smiles</t>
  </si>
  <si>
    <t>Batata Yacon</t>
  </si>
  <si>
    <t>Berinjela</t>
  </si>
  <si>
    <t>Berinjela Orgânica</t>
  </si>
  <si>
    <t>Bertalha</t>
  </si>
  <si>
    <t>Beterraba</t>
  </si>
  <si>
    <t>Beterraba Orgânica</t>
  </si>
  <si>
    <t xml:space="preserve">Biscoito de Milho Café </t>
  </si>
  <si>
    <t xml:space="preserve">Biscoito de Milho Venda </t>
  </si>
  <si>
    <t>Bloco Mov. Caixa Saída/ Entrada</t>
  </si>
  <si>
    <t>Bobina para calculadora</t>
  </si>
  <si>
    <t>Bobina Picotada 25X35</t>
  </si>
  <si>
    <t>Bobina Picotada 30X40</t>
  </si>
  <si>
    <t>Bobina Picotada 40X50</t>
  </si>
  <si>
    <t>Bobina Picotada 40X60</t>
  </si>
  <si>
    <t>Bolo Rústico</t>
  </si>
  <si>
    <t>Bombom Trufado</t>
  </si>
  <si>
    <t>Borracha</t>
  </si>
  <si>
    <t>Brócolis Americano</t>
  </si>
  <si>
    <t>Brócolis Congelado</t>
  </si>
  <si>
    <t>Brócolis Orgânico</t>
  </si>
  <si>
    <t>Broto de Feijão</t>
  </si>
  <si>
    <t>Café Moído 1 Kg</t>
  </si>
  <si>
    <t>Café Spress Desc.</t>
  </si>
  <si>
    <t>Caldo de Cana</t>
  </si>
  <si>
    <t>Caldo de Carne</t>
  </si>
  <si>
    <t>Caldo de Galinha</t>
  </si>
  <si>
    <t>Canela</t>
  </si>
  <si>
    <t>Canelonni Misto</t>
  </si>
  <si>
    <t>Caneta Azul</t>
  </si>
  <si>
    <t>Caneta Pilot</t>
  </si>
  <si>
    <t>Caneta Vermelha</t>
  </si>
  <si>
    <t>Canjica de Milho</t>
  </si>
  <si>
    <t>Canudo Embalado</t>
  </si>
  <si>
    <t>Capeletti</t>
  </si>
  <si>
    <t>Capim Limão</t>
  </si>
  <si>
    <t>Caqui</t>
  </si>
  <si>
    <t>Cará</t>
  </si>
  <si>
    <t>Cardomomo Semente</t>
  </si>
  <si>
    <t>Carne Bovina  - Contra-filé - (Filé Noix)</t>
  </si>
  <si>
    <t>Carne Bovina - Alcatra Miolo</t>
  </si>
  <si>
    <t>Carne Bovina - Bucho</t>
  </si>
  <si>
    <t>Carne Bovina - Carne Seca</t>
  </si>
  <si>
    <t>Carne Bovina - Coração Alcatra</t>
  </si>
  <si>
    <t>Carne Bovina - Costela</t>
  </si>
  <si>
    <t>Carne Bovina - Cupim</t>
  </si>
  <si>
    <t>Carne Bovina - Fígado</t>
  </si>
  <si>
    <t>Carne Bovina - Filé Mignon 3/4</t>
  </si>
  <si>
    <t>Carne Bovina - Filé Mignon 4/5</t>
  </si>
  <si>
    <t>Carne Bovina - Lagarto Plano</t>
  </si>
  <si>
    <t>Carne Bovina - Lagarto Redondo</t>
  </si>
  <si>
    <t>Carne Bovina - Língua</t>
  </si>
  <si>
    <t>Carne Bovina - Maminha</t>
  </si>
  <si>
    <t>Carne Bovina - Músculo</t>
  </si>
  <si>
    <t>Carne Bovina - Patinho</t>
  </si>
  <si>
    <t>Carne Bovina - Peito</t>
  </si>
  <si>
    <t>Carne Bovina - Picanha A</t>
  </si>
  <si>
    <t>Carne Bovina - Picanha Grill/Churrascaria</t>
  </si>
  <si>
    <t>Carne Bovina - Rabada cortada</t>
  </si>
  <si>
    <t>Cartão Ponto Mensal</t>
  </si>
  <si>
    <t xml:space="preserve">Cartucho Impressora HP </t>
  </si>
  <si>
    <t>Casquinha de Laranja com chocolate</t>
  </si>
  <si>
    <t>Castanha de Caju Picada</t>
  </si>
  <si>
    <t>Castanha do Pará</t>
  </si>
  <si>
    <t>Catchup 3,6 Kg</t>
  </si>
  <si>
    <t>Cebola</t>
  </si>
  <si>
    <t>Cebola Calabresa</t>
  </si>
  <si>
    <t>Cebola Orgânica</t>
  </si>
  <si>
    <t>Cebola Roxa</t>
  </si>
  <si>
    <t>Cebolete em conserva</t>
  </si>
  <si>
    <t>Cebolinha Orgânica</t>
  </si>
  <si>
    <t>Cebolinha Verde</t>
  </si>
  <si>
    <t>Cebolinha Verde Sushi</t>
  </si>
  <si>
    <t>Cenoura</t>
  </si>
  <si>
    <t>Cenoura  Sushi</t>
  </si>
  <si>
    <t>Cenoura Baby</t>
  </si>
  <si>
    <t>Cenoura Orgânica</t>
  </si>
  <si>
    <t>Cereja Conserva</t>
  </si>
  <si>
    <t>Cerveja 1795</t>
  </si>
  <si>
    <t>Cerveja Affligem Blonde</t>
  </si>
  <si>
    <t>Cerveja Antartica 600 ml</t>
  </si>
  <si>
    <t>Cerveja Antartica Long Neck 355 ml</t>
  </si>
  <si>
    <t>Cerveja Bierland Vienna 500ml</t>
  </si>
  <si>
    <t>Cerveja Bohemia 600 ml</t>
  </si>
  <si>
    <t>Cerveja Bohemia Long Neck 355 ml</t>
  </si>
  <si>
    <t>Cerveja Dama IPA 355 ml</t>
  </si>
  <si>
    <t>Cerveja Garrafa Mary Angel 600 ml</t>
  </si>
  <si>
    <t>Cerveja Heineken 600 ml</t>
  </si>
  <si>
    <t>Cerveja Heineken Long Neck 330 ml</t>
  </si>
  <si>
    <t>Cerveja La Trappe Dubbel</t>
  </si>
  <si>
    <t>Cerveja Malzbier Brahma Long Neck</t>
  </si>
  <si>
    <t>Cerveja Paulaner Heufe 500 ml</t>
  </si>
  <si>
    <t>Cerveja W*Kattz Kölsh</t>
  </si>
  <si>
    <t>Cevadinha</t>
  </si>
  <si>
    <t>Chá diversos sache</t>
  </si>
  <si>
    <t>Chá verde 200gr</t>
  </si>
  <si>
    <t>Chia em Grão</t>
  </si>
  <si>
    <t>Chiclete Adams</t>
  </si>
  <si>
    <t>Chiclete Japonês cx 48</t>
  </si>
  <si>
    <t>Chicória</t>
  </si>
  <si>
    <t>Chicória Orgânica</t>
  </si>
  <si>
    <t>Chimichurri</t>
  </si>
  <si>
    <t>Choco Diet</t>
  </si>
  <si>
    <t>Chocolate Granulado 1,01 Kg</t>
  </si>
  <si>
    <t>Chuchu</t>
  </si>
  <si>
    <t>Chuchu Orgânico</t>
  </si>
  <si>
    <t>Clara de Ovo</t>
  </si>
  <si>
    <t>Clips Bacchi 2/0</t>
  </si>
  <si>
    <t>Cloril saco 20 kg</t>
  </si>
  <si>
    <t>Coca Cola (lata)</t>
  </si>
  <si>
    <t>Coca Cola Zero (lata)</t>
  </si>
  <si>
    <t>Côco Seco</t>
  </si>
  <si>
    <t>Côco Verde</t>
  </si>
  <si>
    <t>Coentro</t>
  </si>
  <si>
    <t>Coentro Orgânico</t>
  </si>
  <si>
    <t>Cogumelo Fatiado Bd 2 Kg</t>
  </si>
  <si>
    <t>Cogumelo Paris</t>
  </si>
  <si>
    <t>Cogumelo Portobello</t>
  </si>
  <si>
    <t>Colher Descartável Nobre Cristal</t>
  </si>
  <si>
    <t>Coloral</t>
  </si>
  <si>
    <t>Conchile de Frango Fresco</t>
  </si>
  <si>
    <t>Copo de Sobremesa Cristal 180 ml</t>
  </si>
  <si>
    <t>Copo Descartável 200 ml</t>
  </si>
  <si>
    <t>Copo Descartável 400ml</t>
  </si>
  <si>
    <t>Copo Descartável Feijão</t>
  </si>
  <si>
    <t>Copo para Café 50 ml</t>
  </si>
  <si>
    <t>Cordeiro - Paleta s/ Osso</t>
  </si>
  <si>
    <t>Cordeiro - Pernil s/ Osso</t>
  </si>
  <si>
    <t>Corretor Líquido</t>
  </si>
  <si>
    <t>Couve de Bruxelas</t>
  </si>
  <si>
    <t>Couve Flor</t>
  </si>
  <si>
    <t>Couve Manteiga</t>
  </si>
  <si>
    <t>Couve Orgânica</t>
  </si>
  <si>
    <t>Cranberry</t>
  </si>
  <si>
    <t>Cream Cheese</t>
  </si>
  <si>
    <t>Cream Cheese Sushi</t>
  </si>
  <si>
    <t>Creme de Cebola</t>
  </si>
  <si>
    <t>Creme de Leite 300 g</t>
  </si>
  <si>
    <t>Creme de Leite Chantily</t>
  </si>
  <si>
    <t>Creme de Leite Culinário 20% Bd 10 Lt</t>
  </si>
  <si>
    <t>Cupcake</t>
  </si>
  <si>
    <t>Curry</t>
  </si>
  <si>
    <t>Cuscus</t>
  </si>
  <si>
    <t>Damasco Seco</t>
  </si>
  <si>
    <t>Detergente Emulsionante (Coifa) Bb 5 Lt</t>
  </si>
  <si>
    <t>Dosador Pump 30 MLBB 3 L</t>
  </si>
  <si>
    <t>Elástico 1 Kg</t>
  </si>
  <si>
    <t>Embalagem Fatia de Torta Cx 200</t>
  </si>
  <si>
    <t>Embalagem Grande Segantini</t>
  </si>
  <si>
    <t>Embalagem p/ Sushi</t>
  </si>
  <si>
    <t>Endivia</t>
  </si>
  <si>
    <t>Envelope 24x34 c/ 50 um</t>
  </si>
  <si>
    <t>Erva doce</t>
  </si>
  <si>
    <t>Ervilha congelada</t>
  </si>
  <si>
    <t>Ervilha lata</t>
  </si>
  <si>
    <t>Espetinho 15 cm c/ 100</t>
  </si>
  <si>
    <t>Espinafre</t>
  </si>
  <si>
    <t>Espinafre Orgânico</t>
  </si>
  <si>
    <t>Espinafre Sushi</t>
  </si>
  <si>
    <t>Esponja Dupla Face</t>
  </si>
  <si>
    <t xml:space="preserve">Estragão </t>
  </si>
  <si>
    <t>Etiqueta de Validade 40X60</t>
  </si>
  <si>
    <t>Etiqueta Pimaco</t>
  </si>
  <si>
    <t>Etiqueta Toledo 40 X 40</t>
  </si>
  <si>
    <t>Faca Descartável Cristal</t>
  </si>
  <si>
    <t>Farinha de Mandioca</t>
  </si>
  <si>
    <t>Farinha de Rosca</t>
  </si>
  <si>
    <t>Farinha de Trigo</t>
  </si>
  <si>
    <t>Farinha de Trigo Semoli</t>
  </si>
  <si>
    <t>Farinha Panco</t>
  </si>
  <si>
    <t>Favas</t>
  </si>
  <si>
    <t>Feijão Azuki</t>
  </si>
  <si>
    <t>Feijão Branco</t>
  </si>
  <si>
    <t>Feijão de Soja</t>
  </si>
  <si>
    <t>Feijão Fradinho</t>
  </si>
  <si>
    <t>Feijão Mulatinho</t>
  </si>
  <si>
    <t>Feijão Preto</t>
  </si>
  <si>
    <t>Fermento em Pó Royal 100 g</t>
  </si>
  <si>
    <t>Fermento em Pó Royal 250 g</t>
  </si>
  <si>
    <t>Fibraço</t>
  </si>
  <si>
    <t>Figo em Calda</t>
  </si>
  <si>
    <t>Figo Fresco</t>
  </si>
  <si>
    <t>Figo Seco</t>
  </si>
  <si>
    <t>Filme PVC 28X300</t>
  </si>
  <si>
    <t>Filme PVC 380 X 1000 M</t>
  </si>
  <si>
    <t>Filme PVC 380 x 1000 Sushi</t>
  </si>
  <si>
    <t>Fita Durex 12x30</t>
  </si>
  <si>
    <t>Flocos de Arroz Sushi</t>
  </si>
  <si>
    <t>Flocos de Milho</t>
  </si>
  <si>
    <t>Flores Comestíveis</t>
  </si>
  <si>
    <t>Folha de Alga 100 Fl</t>
  </si>
  <si>
    <t>Folha Ofício</t>
  </si>
  <si>
    <t>Fósforo pacte c/ 10</t>
  </si>
  <si>
    <t>Frasco 3L P/ Diluição</t>
  </si>
  <si>
    <t>Frasco Redondo 32 OZ</t>
  </si>
  <si>
    <t>Fruta do Conde</t>
  </si>
  <si>
    <t>Frutas Cristalizadas</t>
  </si>
  <si>
    <t xml:space="preserve">Fubá de Milho </t>
  </si>
  <si>
    <t>Funcho</t>
  </si>
  <si>
    <t>Fundo de Alcachofra</t>
  </si>
  <si>
    <t>Funghi Seco</t>
  </si>
  <si>
    <t>Garfo Descartável</t>
  </si>
  <si>
    <t>Gás Butano Und</t>
  </si>
  <si>
    <t>Gás Capsula p/ Chantilly</t>
  </si>
  <si>
    <t>Gelatina em pó s/ sabor (incolor)</t>
  </si>
  <si>
    <t>Gelatina Morango c/ Açucar Orgânico</t>
  </si>
  <si>
    <t>Gelatina Morango Stevia Plus Zero 10 g</t>
  </si>
  <si>
    <t>Gelo em Cubo</t>
  </si>
  <si>
    <t>Gelo em Escamas</t>
  </si>
  <si>
    <t>Gengibre</t>
  </si>
  <si>
    <t>Gengibre Sushi</t>
  </si>
  <si>
    <t>Gergelim Branco</t>
  </si>
  <si>
    <t>Gergelim Branco Sushi</t>
  </si>
  <si>
    <t>Gergelim Preto</t>
  </si>
  <si>
    <t>Gergelim Preto Sushi</t>
  </si>
  <si>
    <t>Goiaba</t>
  </si>
  <si>
    <t>Goiabada</t>
  </si>
  <si>
    <t>Goma de Tapioca</t>
  </si>
  <si>
    <t>Grafite</t>
  </si>
  <si>
    <t>Grampo 26/6</t>
  </si>
  <si>
    <t>Grão de Bico</t>
  </si>
  <si>
    <t>Guaraná Antarctica (lata)</t>
  </si>
  <si>
    <t>Guaraná Antarctica Zero (lata)</t>
  </si>
  <si>
    <t>Guardanapo Pequeno</t>
  </si>
  <si>
    <t>H2O Limão</t>
  </si>
  <si>
    <t>Higienizador de Assento Sanitário</t>
  </si>
  <si>
    <t>Hipoclorito de Sódio Bb 5 Lt</t>
  </si>
  <si>
    <t>Hondashi 6 saches</t>
  </si>
  <si>
    <t>Hondashi Sushi</t>
  </si>
  <si>
    <t>Hortelã</t>
  </si>
  <si>
    <t>Hortelã Orgânica</t>
  </si>
  <si>
    <t>Humaytá - Ambrosia</t>
  </si>
  <si>
    <t xml:space="preserve">Humaytá - Berinjela Antepasto </t>
  </si>
  <si>
    <t xml:space="preserve">Humaytá - Berinjela com Tomate seco </t>
  </si>
  <si>
    <t xml:space="preserve">Humaytá - Chutney Damasco c/ Tâmaras </t>
  </si>
  <si>
    <t xml:space="preserve">Humaytá - Chutney de Manga </t>
  </si>
  <si>
    <t>Humaytá - Chuvisco</t>
  </si>
  <si>
    <t>Humaytá - Compota de Abóbora</t>
  </si>
  <si>
    <t>Humaytá - Compota de Figo</t>
  </si>
  <si>
    <t>Humaytá - Compota de Goiaba ao Creme</t>
  </si>
  <si>
    <t xml:space="preserve">Humaytá - Compota de Laranja </t>
  </si>
  <si>
    <t>Humaytá - Compota de Laranja da Terra</t>
  </si>
  <si>
    <t>Humaytá - Doce de Abóbora com Côco</t>
  </si>
  <si>
    <t>Humaytá - Doce de Banana em Calda</t>
  </si>
  <si>
    <t>Humaytá - Doce de Côco</t>
  </si>
  <si>
    <t>Humaytá - Doce de Leite Puro</t>
  </si>
  <si>
    <t>Humaytá - Doce de Mamão Verde</t>
  </si>
  <si>
    <t>Humaytá - Geléia de Alecrim</t>
  </si>
  <si>
    <t>Humaytá - Geléia de Amora</t>
  </si>
  <si>
    <t>Humaytá - Geléia de Damasco</t>
  </si>
  <si>
    <t>Humaytá - Geléia de Figo</t>
  </si>
  <si>
    <t xml:space="preserve">Humaytá - Geléia de Pimenta </t>
  </si>
  <si>
    <t>Humaytá - Geléia de Tangerina</t>
  </si>
  <si>
    <t>Humaytá - Mini Geléia de Amora</t>
  </si>
  <si>
    <t>Humaytá - Mini Geléia de Damasco</t>
  </si>
  <si>
    <t>Humaytá - Mini Geléia de Figo</t>
  </si>
  <si>
    <t>Humaytá - Mini Geléia de Framboesa</t>
  </si>
  <si>
    <t>Humaytá - Mini Geléia de Frutas Vermelhas</t>
  </si>
  <si>
    <t>Humaytá - Mini Geléia de Goiaba</t>
  </si>
  <si>
    <t>Humaytá - Mini Geléia de Jabuticaba</t>
  </si>
  <si>
    <t>Humaytá - Mini Geléia de Laranja</t>
  </si>
  <si>
    <t>Humaytá - Mini Geléia de Maracujá</t>
  </si>
  <si>
    <t>Humaytá - Mini Geléia de Morango</t>
  </si>
  <si>
    <t>Humaytá - Mini Geléia de Tangerina</t>
  </si>
  <si>
    <t>Humaytá - Molho de Tomate</t>
  </si>
  <si>
    <t>Humaytá - Molho de Tomate com Manjericão</t>
  </si>
  <si>
    <t>Humaytá - Papos de Anjo</t>
  </si>
  <si>
    <t>Ice Tea Limão</t>
  </si>
  <si>
    <t>Ice Tea Limão Ligth</t>
  </si>
  <si>
    <t>Ice Tea Pêssego</t>
  </si>
  <si>
    <t>Ice Tea Pêssego Light</t>
  </si>
  <si>
    <t>Ikura</t>
  </si>
  <si>
    <t>Inhame</t>
  </si>
  <si>
    <t>Inseticida</t>
  </si>
  <si>
    <t>Jet Dry Secante Bb 5 Lt</t>
  </si>
  <si>
    <t>Jiló</t>
  </si>
  <si>
    <t>Kampyo 100g</t>
  </si>
  <si>
    <t>Karo Mel</t>
  </si>
  <si>
    <t>Kiwi</t>
  </si>
  <si>
    <t>Kiwi Desidratado</t>
  </si>
  <si>
    <t>Lápis</t>
  </si>
  <si>
    <t>Laranja Pera</t>
  </si>
  <si>
    <t>Laranja Seleta</t>
  </si>
  <si>
    <t>Leite Condensado 395 g</t>
  </si>
  <si>
    <t>Leite de Côco</t>
  </si>
  <si>
    <t>Leite Integral</t>
  </si>
  <si>
    <t>Lentilha</t>
  </si>
  <si>
    <t>Lichia em Calda</t>
  </si>
  <si>
    <t>Limão</t>
  </si>
  <si>
    <t>Limão Orgânico</t>
  </si>
  <si>
    <t>Limão Siciliano</t>
  </si>
  <si>
    <t>Linhaça</t>
  </si>
  <si>
    <t>Linhaça Dourada</t>
  </si>
  <si>
    <t>Louro</t>
  </si>
  <si>
    <t>Lustra Móveis</t>
  </si>
  <si>
    <t>Luva Cano Longo</t>
  </si>
  <si>
    <t>Luva de Borraca Forrada</t>
  </si>
  <si>
    <t>Luva Descartável c/ 100</t>
  </si>
  <si>
    <t>Luva Látex para Procedimento</t>
  </si>
  <si>
    <t>Maçã Ácida</t>
  </si>
  <si>
    <t>Maçã Desidratada</t>
  </si>
  <si>
    <t>Maçã Nacional</t>
  </si>
  <si>
    <t>Macarrão Cabelo de Anjo</t>
  </si>
  <si>
    <t>Macarrão Celentani</t>
  </si>
  <si>
    <t>Macarrão Conchiglie Rigate</t>
  </si>
  <si>
    <t>Macarrão de Feijão (Harusame) 200g</t>
  </si>
  <si>
    <t>Macarrão Espaghetti</t>
  </si>
  <si>
    <t>Macarrão Espaghetti Nissim</t>
  </si>
  <si>
    <t>Macarrão Farfalle</t>
  </si>
  <si>
    <t>Macarrão Fusili</t>
  </si>
  <si>
    <t>Macarrão Integrale Farfalle</t>
  </si>
  <si>
    <t>Macarrão Integrale Penne</t>
  </si>
  <si>
    <t>Macarrão Linguine</t>
  </si>
  <si>
    <t>Macarrão Pappardelle</t>
  </si>
  <si>
    <t>Macarrão Penne</t>
  </si>
  <si>
    <t>Macarrão Talharim</t>
  </si>
  <si>
    <t>Maionese Hellmanns Bd 3 Kg</t>
  </si>
  <si>
    <t>Maisena Amido de Milho 1 Kg</t>
  </si>
  <si>
    <t>Mamão Bahia</t>
  </si>
  <si>
    <t>Mamão Papaya</t>
  </si>
  <si>
    <t>Manga Palmer</t>
  </si>
  <si>
    <t>Manga Tommy</t>
  </si>
  <si>
    <t>Manga Tommy Sushi</t>
  </si>
  <si>
    <t>Manjericão</t>
  </si>
  <si>
    <t>Manjericão Orgânico</t>
  </si>
  <si>
    <t>Manjericão Roxo</t>
  </si>
  <si>
    <t>Manjerona</t>
  </si>
  <si>
    <t>Manteiga de Garrafa</t>
  </si>
  <si>
    <t>Maracujá</t>
  </si>
  <si>
    <t>Margarina Bd 15 Kg</t>
  </si>
  <si>
    <t>Margarina Qualy 500 g</t>
  </si>
  <si>
    <t>Massa de Harumaki</t>
  </si>
  <si>
    <t>Massa de Pastel</t>
  </si>
  <si>
    <t>Massa Paglia e Fieno</t>
  </si>
  <si>
    <t>Massa para Lasanha</t>
  </si>
  <si>
    <t>Mate Orgânico Limão</t>
  </si>
  <si>
    <t>Mate Orgânico Natural</t>
  </si>
  <si>
    <t>Matte Leão Limão Pet 1,5 Lt</t>
  </si>
  <si>
    <t>Matte Leão Limão Zero Pet 1,5 Lt</t>
  </si>
  <si>
    <t>Maxixe</t>
  </si>
  <si>
    <t>Mel Orgânico</t>
  </si>
  <si>
    <t>Melância</t>
  </si>
  <si>
    <t xml:space="preserve">Melão de Rede </t>
  </si>
  <si>
    <t>Melão Orange</t>
  </si>
  <si>
    <t>Mikro Chlor</t>
  </si>
  <si>
    <t>Milho espiga</t>
  </si>
  <si>
    <t>Milho Mini Conserva lata 1,5 Kg</t>
  </si>
  <si>
    <t>Milho Verde 2 Kg</t>
  </si>
  <si>
    <t>Misso Shiro</t>
  </si>
  <si>
    <t>Molha Dedo Creme Umedecedor</t>
  </si>
  <si>
    <t>Molho de Peixe</t>
  </si>
  <si>
    <t>Molho de Pimenta</t>
  </si>
  <si>
    <t>Molho Inglês 1 Lt</t>
  </si>
  <si>
    <t>Molho Inglês Bb 5 Lt</t>
  </si>
  <si>
    <t>Molho Ostra</t>
  </si>
  <si>
    <t>Morango</t>
  </si>
  <si>
    <t>Mostarda Bb 3,3, Kg</t>
  </si>
  <si>
    <t>Mostarda Dijom em Grão</t>
  </si>
  <si>
    <t>Mostarda Escura Hemmer 200 g</t>
  </si>
  <si>
    <t>Nabo</t>
  </si>
  <si>
    <t>Nabo Japonês</t>
  </si>
  <si>
    <t>Nabo Japonês Sushi</t>
  </si>
  <si>
    <t>Nescau (Nestle)</t>
  </si>
  <si>
    <t>Nirá</t>
  </si>
  <si>
    <t>Nozes sem casca</t>
  </si>
  <si>
    <t>Oásis enforce (limpador clorado) Bb5lt</t>
  </si>
  <si>
    <t>Óleo Composto 500ml</t>
  </si>
  <si>
    <t>Óleo de Côco Orgânico 200ml</t>
  </si>
  <si>
    <t>Óleo de Gergelim</t>
  </si>
  <si>
    <t>Óleo de Soja 18 Lt</t>
  </si>
  <si>
    <t>Óleo de Soja Pet</t>
  </si>
  <si>
    <t>Orégano Chileno</t>
  </si>
  <si>
    <t>Ovo Caipira</t>
  </si>
  <si>
    <t>Ovo de Codorna</t>
  </si>
  <si>
    <t>Ovos Extra</t>
  </si>
  <si>
    <t>Ovos Extra Sushi</t>
  </si>
  <si>
    <t>Ovos Pontudos 14 gr</t>
  </si>
  <si>
    <t>Pá c/ Cabo para Lixo</t>
  </si>
  <si>
    <t>Palito Sache Cx 2000</t>
  </si>
  <si>
    <t>Palito Waribashi</t>
  </si>
  <si>
    <t>Palmito lata 500gr</t>
  </si>
  <si>
    <t>Palmito Orgânico</t>
  </si>
  <si>
    <t>Palmito Picado 1,8 Kg</t>
  </si>
  <si>
    <t>Pano Multiuso Cross Hatch Azul 300 M</t>
  </si>
  <si>
    <t>Pano Multiuso Cross Hatch Laranja 300 M</t>
  </si>
  <si>
    <t>Pão Árabe</t>
  </si>
  <si>
    <t>Pão de Forma</t>
  </si>
  <si>
    <t>Pão de Mel</t>
  </si>
  <si>
    <t>Pão de Queijo</t>
  </si>
  <si>
    <t>Pão Francês</t>
  </si>
  <si>
    <t>Pão Rabanada</t>
  </si>
  <si>
    <t>Papel Alumínio Rolo 30x100</t>
  </si>
  <si>
    <t>Papel Chamex A4 Office</t>
  </si>
  <si>
    <t>Papel de Arroz</t>
  </si>
  <si>
    <t>Papel Higiênico (P.H. Interf.) Cx 60</t>
  </si>
  <si>
    <t>Papel Higiênico Rolo</t>
  </si>
  <si>
    <t>Papel Manteiga Resma c/ 400</t>
  </si>
  <si>
    <t>Paprica doce</t>
  </si>
  <si>
    <t>Passas Preta</t>
  </si>
  <si>
    <t>Pastilha Descalsificante (bd Azul)</t>
  </si>
  <si>
    <t>Pastilha Detergente</t>
  </si>
  <si>
    <t>Pepino Japonês</t>
  </si>
  <si>
    <t>Pepino Japonês Orgânico</t>
  </si>
  <si>
    <t>Pepino Japonês Sushi</t>
  </si>
  <si>
    <t>Pequi Fatiado</t>
  </si>
  <si>
    <t>Pera</t>
  </si>
  <si>
    <t>Pera Seca</t>
  </si>
  <si>
    <t>Perfumador de Ambiente</t>
  </si>
  <si>
    <t>Pescados  - Filé de Badejo</t>
  </si>
  <si>
    <t>Pescados - Anchova</t>
  </si>
  <si>
    <t>Pescados - Atum Fresco</t>
  </si>
  <si>
    <t>Pescados - Atum Fresco Sushi</t>
  </si>
  <si>
    <t>Pescados - Bacalhau Dessalgado</t>
  </si>
  <si>
    <t>Pescados - Bacalhau Salgado</t>
  </si>
  <si>
    <t>Pescados - Camarão Desc. Evisc. 36/40 (Drenado)</t>
  </si>
  <si>
    <t>Pescados - Camarão Desc. Evisc. 41/50 (Drenado)</t>
  </si>
  <si>
    <t>Pescados - Camarão Desc. Evisc. 51/60 (Drenado)</t>
  </si>
  <si>
    <t>Pescados - Camarão IQF Evisc. 41/50</t>
  </si>
  <si>
    <t>Pescados - Camarão IQF Evisc. 51/60</t>
  </si>
  <si>
    <t>Pescados - Camarão Seco</t>
  </si>
  <si>
    <t>Pescados - Camarão Sujo 41/50</t>
  </si>
  <si>
    <t>Pescados - Camarão Sujo 51/60</t>
  </si>
  <si>
    <t>Pescados - Camarão VG</t>
  </si>
  <si>
    <t>Pescados - Camarão VM</t>
  </si>
  <si>
    <t>Pescados - Carne de siri</t>
  </si>
  <si>
    <t>Pescados - Cherne Fresco</t>
  </si>
  <si>
    <t>Pescados - Congro Rosa Fresco</t>
  </si>
  <si>
    <t>Pescados - Costela de Tambaqui</t>
  </si>
  <si>
    <t>Pescados - Dourado Fresco</t>
  </si>
  <si>
    <t>Pescados - Dourado Fresco Sushi</t>
  </si>
  <si>
    <t>Pescados - Filé de Pescada</t>
  </si>
  <si>
    <t>Pescados - Filé Linguado Cong. G</t>
  </si>
  <si>
    <t>Pescados - Filé Linguado Cong. M</t>
  </si>
  <si>
    <t>Pescados - Filé Pescada Branca Cong.</t>
  </si>
  <si>
    <t>Pescados - Filé Pintado</t>
  </si>
  <si>
    <t>Pescados - Filé Pirarucu Cong.</t>
  </si>
  <si>
    <t>Pescados - Filé Salmão Sushi</t>
  </si>
  <si>
    <t>Pescados - Filé Surubim</t>
  </si>
  <si>
    <t>Pescados - Filé Tilápia Cong.</t>
  </si>
  <si>
    <t>Pescados - Filé Tilápia Fresco</t>
  </si>
  <si>
    <t>Pescados - Filé Tilápia Fresco sushi</t>
  </si>
  <si>
    <t>Pescados - Filé Truta Cong.</t>
  </si>
  <si>
    <t>Pescados - Garoupa Fresca</t>
  </si>
  <si>
    <t>Pescados - Kani</t>
  </si>
  <si>
    <t>Pescados - Kani Sushi</t>
  </si>
  <si>
    <t>Pescados - Lula Calamares</t>
  </si>
  <si>
    <t>Pescados - Lula Fresca Sushi</t>
  </si>
  <si>
    <t>Pescados - Lula Natubras M</t>
  </si>
  <si>
    <t>Pescados - Lula Natubras P</t>
  </si>
  <si>
    <t>Pescados - Marisco</t>
  </si>
  <si>
    <t>Pescados - Namorado</t>
  </si>
  <si>
    <t>Pescados - Namorado Fresco Sushi</t>
  </si>
  <si>
    <t>Pescados - Olhete Fresco</t>
  </si>
  <si>
    <t>Pescados - Olhete Fresco Sushi</t>
  </si>
  <si>
    <t>Pescados - Olho de Boi</t>
  </si>
  <si>
    <t>Pescados - Olho de Cão Sushi</t>
  </si>
  <si>
    <t>Pescados - Ostras Frescas</t>
  </si>
  <si>
    <t>Pescados - Pargo Fresco Sushi</t>
  </si>
  <si>
    <t>Pescados - Pescada Amarela Fresca</t>
  </si>
  <si>
    <t>Pescados - Pintado Cong.</t>
  </si>
  <si>
    <t>Pescados - Polvo Fresco G</t>
  </si>
  <si>
    <t>Pescados - Polvo Fresco G Sushi</t>
  </si>
  <si>
    <t>Pescados - Polvo Fresco M</t>
  </si>
  <si>
    <t>Pescados - Polvo Fresco M Sushi</t>
  </si>
  <si>
    <t>Pescados - Polvo Tentáculos Cong. G</t>
  </si>
  <si>
    <t>Pescados - Polvo Tentáculos Cong. GG</t>
  </si>
  <si>
    <t>Pescados - Polvo Tentáculos Cong. M</t>
  </si>
  <si>
    <t>Pescados - Robalo Fresco</t>
  </si>
  <si>
    <t>Pescados - Salmão Inteiro</t>
  </si>
  <si>
    <t>Pescados - Salmão Inteiro Sushi</t>
  </si>
  <si>
    <t>Pescados - Sardinha Fresca</t>
  </si>
  <si>
    <t>Pescados - Sardinha Fresca Sushi</t>
  </si>
  <si>
    <t>Pescados - Tainha Fresca</t>
  </si>
  <si>
    <t>Pescados - Tainha Fresca Sushi</t>
  </si>
  <si>
    <t>Pescados - Xerelete Fresco Sushi</t>
  </si>
  <si>
    <t>Pessego</t>
  </si>
  <si>
    <t>Pessego em Calda</t>
  </si>
  <si>
    <t>Picles</t>
  </si>
  <si>
    <t>Pimenta Biquinho</t>
  </si>
  <si>
    <t>Pimenta Calabresa</t>
  </si>
  <si>
    <t>Pimenta de Cheiro</t>
  </si>
  <si>
    <t>Pimenta Dedo de Moça</t>
  </si>
  <si>
    <t>Pimenta do Reino em Pó</t>
  </si>
  <si>
    <t>Pimenta Japonesa (Kimuchi)</t>
  </si>
  <si>
    <t>Pimenta Malagueta</t>
  </si>
  <si>
    <t>Pimenta rosa</t>
  </si>
  <si>
    <t>Pimenta Tabasco</t>
  </si>
  <si>
    <t>Pimenta Togarashi Sushi</t>
  </si>
  <si>
    <t>Pimentão Amarelo</t>
  </si>
  <si>
    <t>Pimentão Orgânico</t>
  </si>
  <si>
    <t>Pimentão Verde</t>
  </si>
  <si>
    <t>Pimentão Vermelho</t>
  </si>
  <si>
    <t>Pistache</t>
  </si>
  <si>
    <t>Polaseal Plastific c/ 100</t>
  </si>
  <si>
    <t>Presunto Cozido</t>
  </si>
  <si>
    <t>Presunto Parma</t>
  </si>
  <si>
    <t>Quat Sanitizer (Higienização) Bb 5 Lt</t>
  </si>
  <si>
    <t>Queijo Brie</t>
  </si>
  <si>
    <t>Queijo Burrata</t>
  </si>
  <si>
    <t>Queijo Cheddar</t>
  </si>
  <si>
    <t>Queijo Coalho</t>
  </si>
  <si>
    <t>Queijo Cottage</t>
  </si>
  <si>
    <t>Queijo de Cabra</t>
  </si>
  <si>
    <t>Queijo Gorgonzola</t>
  </si>
  <si>
    <t>Queijo Gouda</t>
  </si>
  <si>
    <t>Queijo Mascarpone Ecila Bd 3,6 Kg</t>
  </si>
  <si>
    <t>Queijo Minas</t>
  </si>
  <si>
    <t>Queijo Minas Padrão</t>
  </si>
  <si>
    <t>Queijo Mozzarela Italiana pcte 880 gr</t>
  </si>
  <si>
    <t>Queijo Mussarela</t>
  </si>
  <si>
    <t>Queijo Parmezon</t>
  </si>
  <si>
    <t>Queijo Prato</t>
  </si>
  <si>
    <t>Queijo Requeijão BD 3,6 Kg</t>
  </si>
  <si>
    <t>Queijo Ricota</t>
  </si>
  <si>
    <t>Quiabo</t>
  </si>
  <si>
    <t>Quindão com Damasco</t>
  </si>
  <si>
    <t>Quindim</t>
  </si>
  <si>
    <t>Quinoa</t>
  </si>
  <si>
    <t>Rabanete</t>
  </si>
  <si>
    <t>Rabanete Orgânico</t>
  </si>
  <si>
    <t>Radichio</t>
  </si>
  <si>
    <t>Radichio Orgânico</t>
  </si>
  <si>
    <t>Raviole de Gorogonzola</t>
  </si>
  <si>
    <t>Raviole de Mussarela</t>
  </si>
  <si>
    <t>Raviole Variados</t>
  </si>
  <si>
    <t>Repolho</t>
  </si>
  <si>
    <t>Repolho Orgânico</t>
  </si>
  <si>
    <t>Repolho Roxo</t>
  </si>
  <si>
    <t>Rolo de Massa Folhada 2,8 Kg</t>
  </si>
  <si>
    <t>Rondelli</t>
  </si>
  <si>
    <t>Rúcula</t>
  </si>
  <si>
    <t>Rúcula Orgânica</t>
  </si>
  <si>
    <t>Sabão em Pó</t>
  </si>
  <si>
    <t>Sabonete Espuma refil 800 ml</t>
  </si>
  <si>
    <t>Saco de Lixo 100 Lt</t>
  </si>
  <si>
    <t>Saco de Lixo 20 Lt</t>
  </si>
  <si>
    <t>Saco de Lixo 200 Lt</t>
  </si>
  <si>
    <t>Saco de Lixo 300 Lt</t>
  </si>
  <si>
    <t>Saco de Lixo 60 Lt</t>
  </si>
  <si>
    <t>Saco Microperfurado 25x35 pacte 200</t>
  </si>
  <si>
    <t>Saco Microperfurado 30x40 pacte 200</t>
  </si>
  <si>
    <t>Saco p/ Biscoito 10x15 pacte 1000</t>
  </si>
  <si>
    <t>Saco para Talher</t>
  </si>
  <si>
    <t>Saco Plástico 50x70</t>
  </si>
  <si>
    <t>Sacola Camiseta Branca Doce</t>
  </si>
  <si>
    <t>Sacola Camiseta Branca Sobremesa</t>
  </si>
  <si>
    <t>Sacola Delivery</t>
  </si>
  <si>
    <t>Sagu</t>
  </si>
  <si>
    <t>Sal Grosso</t>
  </si>
  <si>
    <t>Sal Refinado</t>
  </si>
  <si>
    <t>Sal Sache</t>
  </si>
  <si>
    <t>Sal Sushi</t>
  </si>
  <si>
    <t>Salame Italiano</t>
  </si>
  <si>
    <t>Salsa</t>
  </si>
  <si>
    <t>Salsa Crespa</t>
  </si>
  <si>
    <t>Salsa Crespa Sushi</t>
  </si>
  <si>
    <t>Salsa Lisa Orgânica</t>
  </si>
  <si>
    <t>Sálvia</t>
  </si>
  <si>
    <t>Sapólio</t>
  </si>
  <si>
    <t>Saque Azuma Mirim 500 ml</t>
  </si>
  <si>
    <t>Saque Azuma Mirim 500 ml Sushi</t>
  </si>
  <si>
    <t>Saque Azuma Mirim Bb 5 Lt</t>
  </si>
  <si>
    <t>Saque Azuma Mirim Bb 5Lt Sushi</t>
  </si>
  <si>
    <t>Schweppes Citrus</t>
  </si>
  <si>
    <t>Schweppes Citrus Light</t>
  </si>
  <si>
    <t>Shitake Sushi</t>
  </si>
  <si>
    <t>Shoyu Light Bb 5 Lt</t>
  </si>
  <si>
    <t>Shoyu Light Sushi</t>
  </si>
  <si>
    <t>Shoyu Premium (Mesa) Bb 5 Lt</t>
  </si>
  <si>
    <t>Shoyu Tradicional (Cozinha) Bb 5 Lt</t>
  </si>
  <si>
    <t>Sidra Espumante</t>
  </si>
  <si>
    <t>Silver Power Talher</t>
  </si>
  <si>
    <t>Solid Power (Lava Louça) 4 Kg</t>
  </si>
  <si>
    <t>Sorvete Vanilla (Italia)</t>
  </si>
  <si>
    <t>Spray Y/Pulveriz 32 OZ</t>
  </si>
  <si>
    <t>Suco de Caju</t>
  </si>
  <si>
    <t>Suco de Laranja</t>
  </si>
  <si>
    <t>Suco de Maracujá</t>
  </si>
  <si>
    <t>Suco Greenpeople</t>
  </si>
  <si>
    <t>Suíno - Bacon</t>
  </si>
  <si>
    <t>Suíno - Bacon Fatiado</t>
  </si>
  <si>
    <t>Suíno - Barriga Suína</t>
  </si>
  <si>
    <t>Suíno - Carre Defumado (Kassler)</t>
  </si>
  <si>
    <t>Suíno - Costelinha Fresca</t>
  </si>
  <si>
    <t>Suíno - Costelinha Salgada</t>
  </si>
  <si>
    <t>Suino - File Mignon c/Barriga (Medalhão)</t>
  </si>
  <si>
    <t>Suíno - Linguiça Calabresa</t>
  </si>
  <si>
    <t>Suíno - Linguiça de Pernil</t>
  </si>
  <si>
    <t>Suíno - Linguiça Fina Defumada</t>
  </si>
  <si>
    <t>Suíno - Linguiça Paio</t>
  </si>
  <si>
    <t>Suíno - Linguiça Toscana</t>
  </si>
  <si>
    <t>Suíno - Lombinho Fresco</t>
  </si>
  <si>
    <t>Suíno - Lombo Salgado</t>
  </si>
  <si>
    <t>Suíno - Pernil s/ Osso</t>
  </si>
  <si>
    <t>Suíno - Picanha Suína</t>
  </si>
  <si>
    <t>Suíno - Salsichão Branco com Ervas</t>
  </si>
  <si>
    <t>Suíno - Salsichão de Vitela</t>
  </si>
  <si>
    <t>Suíno - Salsichão Defumado c/ Ervas</t>
  </si>
  <si>
    <t>Suíno - Salsichão Rica</t>
  </si>
  <si>
    <t>Suino - Tender Bolinha</t>
  </si>
  <si>
    <t>Suino - Toucinho</t>
  </si>
  <si>
    <t>T.P. Interfolhado Melpaper</t>
  </si>
  <si>
    <t>Tablet Diet</t>
  </si>
  <si>
    <t>Tahine Lata 500 gr</t>
  </si>
  <si>
    <t>Tamaras s/ Casca</t>
  </si>
  <si>
    <t>Tampa para Copo 400 ml</t>
  </si>
  <si>
    <t>Tampa para Copo Feijão</t>
  </si>
  <si>
    <t>Tampa Sobremesa Cristal 180 ml</t>
  </si>
  <si>
    <t>Tangerina</t>
  </si>
  <si>
    <t xml:space="preserve">Tapioca Granulada </t>
  </si>
  <si>
    <t>Tic Tac</t>
  </si>
  <si>
    <t>Toalha Bobina</t>
  </si>
  <si>
    <t>Tofu 500 gr</t>
  </si>
  <si>
    <t>Tofu Kilo</t>
  </si>
  <si>
    <t>Tomate Cereja</t>
  </si>
  <si>
    <t>Tomate Cereja Orgânico</t>
  </si>
  <si>
    <t>Tomate Molho</t>
  </si>
  <si>
    <t>Tomate Orgânico</t>
  </si>
  <si>
    <t>Tomate Pelatti s/ Pele</t>
  </si>
  <si>
    <t>Tomate Salada</t>
  </si>
  <si>
    <t>Tomate Salada Sushi</t>
  </si>
  <si>
    <t>Tomate Seco Conserva Bd 3 Kg</t>
  </si>
  <si>
    <t>Tomilho</t>
  </si>
  <si>
    <t>Toner HP Amarelo</t>
  </si>
  <si>
    <t>Toner HP Ciano</t>
  </si>
  <si>
    <t>Toner HP Magenta</t>
  </si>
  <si>
    <t>Toner HP Preto</t>
  </si>
  <si>
    <t>Top Mat Bb 5 Lt</t>
  </si>
  <si>
    <t>Torta Alemã</t>
  </si>
  <si>
    <t>Torta Banana Crock</t>
  </si>
  <si>
    <t>Torta Banana Integral</t>
  </si>
  <si>
    <t>Torta Bem Casado de Chocolate c/ Avelã</t>
  </si>
  <si>
    <t>Torta Bem Casado de Damasco</t>
  </si>
  <si>
    <t>Torta Bem Casado de Doce de Leite</t>
  </si>
  <si>
    <t>Torta Bem Casado Imperial</t>
  </si>
  <si>
    <t>Torta Brownie com Nozes</t>
  </si>
  <si>
    <t>Torta Capuccino Diet</t>
  </si>
  <si>
    <t>Torta de Brigadeiro c/ Raspas</t>
  </si>
  <si>
    <t>Torta de Limão</t>
  </si>
  <si>
    <t>Torta de Maça Integral</t>
  </si>
  <si>
    <t>Torta Integral de Banana</t>
  </si>
  <si>
    <t xml:space="preserve">Torta Mousse de Chocolate </t>
  </si>
  <si>
    <t>Torta Mousse de Chocolate Diet</t>
  </si>
  <si>
    <t>Torta Xcake Framboesa</t>
  </si>
  <si>
    <t>Tortinha Arosa  64 unid</t>
  </si>
  <si>
    <t>Tortinha Arosa  72 unid</t>
  </si>
  <si>
    <t>Tortinha Arosa  81 unid</t>
  </si>
  <si>
    <t>Touca Branca</t>
  </si>
  <si>
    <t>Trident</t>
  </si>
  <si>
    <t>Trigo em Grão</t>
  </si>
  <si>
    <t>Trigo para Kibe</t>
  </si>
  <si>
    <t>Trufas Diversas</t>
  </si>
  <si>
    <t>Uva Itália</t>
  </si>
  <si>
    <t>Uva Rubi</t>
  </si>
  <si>
    <t>Uva s/ Caroço</t>
  </si>
  <si>
    <t>Vagem Francesa</t>
  </si>
  <si>
    <t>Vagem Macarrão</t>
  </si>
  <si>
    <t>Vagem Macarrão Orgânico</t>
  </si>
  <si>
    <t>Vassoura Gari 40 cm</t>
  </si>
  <si>
    <t>Vassoura Nylon</t>
  </si>
  <si>
    <t>Veja Mult-Uso</t>
  </si>
  <si>
    <t>Vercom Detergente Bb 5 Lt</t>
  </si>
  <si>
    <t>Vinagre Aceto Balsamico</t>
  </si>
  <si>
    <t>Vinagre de Arroz Bb 5 Lt</t>
  </si>
  <si>
    <t>Vinagre de Arroz Sushi</t>
  </si>
  <si>
    <t>Vinagre de Vinho Branco 750 ml</t>
  </si>
  <si>
    <t>Vinagre de Vinho Tinto 750 ml</t>
  </si>
  <si>
    <t>Vinagrete de Ervas</t>
  </si>
  <si>
    <t>Vinho  Espumante Veuve Du Vernay 187 ml</t>
  </si>
  <si>
    <t>Vinho Alfredo Roca Malbec 375 ml</t>
  </si>
  <si>
    <t>Vinho Arg. Nieto Reserva Cab Sal 750ml</t>
  </si>
  <si>
    <t>Vinho Benjamin Cab. Sauvignon 750 ml</t>
  </si>
  <si>
    <t>Vinho Benjamin Chardonnay 750 ml</t>
  </si>
  <si>
    <t>Vinho Benjamin Malbec 375 ml</t>
  </si>
  <si>
    <t>Vinho Benjamin Malbec 750 ml</t>
  </si>
  <si>
    <t>Vinho Branco Seco Gf 4,6 Lt</t>
  </si>
  <si>
    <t>Vinho Cassal Del Ronco - Prosseco</t>
  </si>
  <si>
    <t>Vinho Cefiro Cab. Sauvignon 187 ml</t>
  </si>
  <si>
    <t>Vinho Cefiro Cab. Sauvignon 375 ml</t>
  </si>
  <si>
    <t>Vinho Cefiro Cab. Sauvignon 750 ml</t>
  </si>
  <si>
    <t>Vinho Cefiro Sauv. Blanc 187 ml</t>
  </si>
  <si>
    <t>Vinho Cefiro Sauv. Blanc 750 ml</t>
  </si>
  <si>
    <t>Vinho Espumante Veuve Du Vernay 750 ml</t>
  </si>
  <si>
    <t>Vinho Loios</t>
  </si>
  <si>
    <t>Vinho Nieto Senet D.O.C. Malbec 750 ml</t>
  </si>
  <si>
    <t>Vinho Nieto Senet Espumante 187 ml</t>
  </si>
  <si>
    <t>Vinho Nieto Senet Malbec 375 ml</t>
  </si>
  <si>
    <t>Vinho Nieto Senet Pinot Noir 750 ml</t>
  </si>
  <si>
    <t>Vinho Sta Carolina Cab. Sauvignon 187 ml</t>
  </si>
  <si>
    <t>Vinho Sta Carolina Sauv. Blanc 187 ml</t>
  </si>
  <si>
    <t>Vinho Tinto Seco Gf 4,6 Lt</t>
  </si>
  <si>
    <t>Vodka Smirnoff</t>
  </si>
  <si>
    <t>Wasabi em Pó</t>
  </si>
  <si>
    <t>Xarope de Groselha</t>
  </si>
  <si>
    <t>Yogurt de Pessego</t>
  </si>
  <si>
    <t>Zix 40</t>
  </si>
  <si>
    <t>Vendas Caixa</t>
  </si>
  <si>
    <t>Descartável</t>
  </si>
  <si>
    <t>Escritório</t>
  </si>
  <si>
    <t>Feirinha</t>
  </si>
  <si>
    <t>Guardanapo Comum</t>
  </si>
  <si>
    <t>Vinho Nieto Senet. Malbec 750 ml</t>
  </si>
  <si>
    <t>Geléia de Hortelã</t>
  </si>
  <si>
    <t>Alface Americana Org. Feirinha</t>
  </si>
  <si>
    <t>Alface Crespa Org. Feirinha</t>
  </si>
  <si>
    <t>Alface Roxa Org. Feirinha</t>
  </si>
  <si>
    <t>Berinjela Org. Feirinha</t>
  </si>
  <si>
    <t>Cenoura Org. Feirinha</t>
  </si>
  <si>
    <t>Rucula Org. Feirinha</t>
  </si>
  <si>
    <t>Aves - Filé de Coxa e Sobrecoxa s/pele</t>
  </si>
  <si>
    <t>Shoyu Tradicional (Sushi) Bb 5 Lt</t>
  </si>
  <si>
    <t>Pepino Japonês Org. Feirinha</t>
  </si>
  <si>
    <t>Coador Chá Verde</t>
  </si>
  <si>
    <t>Mês</t>
  </si>
  <si>
    <t>Aves - Medalhão de Frango</t>
  </si>
  <si>
    <t>Brócolis Nacional</t>
  </si>
  <si>
    <t>Couve Orgânica Feirinha</t>
  </si>
  <si>
    <t>Beterraba Orgânica Feirinha</t>
  </si>
  <si>
    <t>Flocos de Arroz (cozinha)</t>
  </si>
  <si>
    <t>Arroz Japonês (cozinha)</t>
  </si>
  <si>
    <t>Vinagre de Arroz (cozinha)</t>
  </si>
  <si>
    <t>Banana Prata Org. Feirinha</t>
  </si>
  <si>
    <t>Nirá Sushi</t>
  </si>
  <si>
    <t>Alho Poró Sushi</t>
  </si>
  <si>
    <t>Abobrinha Sushi</t>
  </si>
  <si>
    <t>Menta</t>
  </si>
  <si>
    <t>Arroz Japonês (sushi)</t>
  </si>
  <si>
    <t>Batata Calabresa</t>
  </si>
  <si>
    <t>Batata Palha 80 g</t>
  </si>
  <si>
    <t>Geléia de Framboesa</t>
  </si>
  <si>
    <t>Humaytá - Geléia de Frutas Vermelhas</t>
  </si>
  <si>
    <t>Humaytá - Geléia de Gengibre</t>
  </si>
  <si>
    <t>Humaytá - Geléia de Goiaba</t>
  </si>
  <si>
    <t>Humaytá - Geléia de Hortelã</t>
  </si>
  <si>
    <t>Humaytá - Geléia de Jabuticaba</t>
  </si>
  <si>
    <t>Humaytá - Geléia de Laranja</t>
  </si>
  <si>
    <t>Humaytá - Geléia de Maracujá</t>
  </si>
  <si>
    <t>Humaytá - Geléia de Morango</t>
  </si>
  <si>
    <t>Sal Himalaya</t>
  </si>
  <si>
    <t>Shoyu Sache</t>
  </si>
  <si>
    <t>Filme PVC 38 X 100 M</t>
  </si>
  <si>
    <t>Tempero p/ Sushi Bb 5 Lt (Sushi)</t>
  </si>
  <si>
    <t>Tempero p/ Sushi Bb 5 Lt  (Cozinha)</t>
  </si>
  <si>
    <t>BEBIDAS</t>
  </si>
  <si>
    <t>CARNES</t>
  </si>
  <si>
    <t>DESCARTÁVEL</t>
  </si>
  <si>
    <t>ESCRITÓRIO</t>
  </si>
  <si>
    <t>FEIRINHA</t>
  </si>
  <si>
    <t>HORTIFRUTI</t>
  </si>
  <si>
    <t>LIMPEZA</t>
  </si>
  <si>
    <t>MERCADO</t>
  </si>
  <si>
    <t>SOBREMESA</t>
  </si>
  <si>
    <t>VENDAS CAIXA</t>
  </si>
  <si>
    <t>SUSHI</t>
  </si>
  <si>
    <t>Furikake Wasabi</t>
  </si>
  <si>
    <t>Name Wasabi</t>
  </si>
  <si>
    <t>Ervilha Torta</t>
  </si>
  <si>
    <t>Chocolate em Pó Solúvel 200g</t>
  </si>
  <si>
    <t>Repelente (Mosquito)</t>
  </si>
  <si>
    <t>Shoyu Light 150 ml</t>
  </si>
  <si>
    <t>Cachaça Seleta Branca 670 ml</t>
  </si>
  <si>
    <t>Cachaça Seleta Preta 600 ml</t>
  </si>
  <si>
    <t>Coca-Cola Pet 2 Lt</t>
  </si>
  <si>
    <t>Guaraná Antarctica Pet 2 Lt</t>
  </si>
  <si>
    <t>Sukita Laranja Pet 2 Lt</t>
  </si>
  <si>
    <t>Aves - Drumet de Frango</t>
  </si>
  <si>
    <t>Carnes - File de Costela (Noix)</t>
  </si>
  <si>
    <t>Bolo de Banana (com Amendoas)</t>
  </si>
  <si>
    <t>Bolo de Cacau Belga</t>
  </si>
  <si>
    <t>Bolo de Cenoura (com cobertura de chocolate)</t>
  </si>
  <si>
    <t>Bolo de Fuba (com cobertura de goiaba)</t>
  </si>
  <si>
    <t>Chuchu Org. Feirinha</t>
  </si>
  <si>
    <t>Espinafre Org. Feirinha</t>
  </si>
  <si>
    <t>Humayta - Geléia de Ameixa c/ Nozes</t>
  </si>
  <si>
    <t>Humayta - Geléia de Damasco c/ Amendoas</t>
  </si>
  <si>
    <t>Humayta - Mostarda de Frutas</t>
  </si>
  <si>
    <t>Mini Bolo de Banana (com amendoas)</t>
  </si>
  <si>
    <t>Mini Bolo de Cacau Belga</t>
  </si>
  <si>
    <t>Mini Bolo de Cenoura (com cobertura de chocolate)</t>
  </si>
  <si>
    <t>Mini Bolo de Fuba (com cobertura goiaba)</t>
  </si>
  <si>
    <t>Petit Four de Amendoas</t>
  </si>
  <si>
    <t>Petit Four de Cacau Belga</t>
  </si>
  <si>
    <t>Petit Four de Queijo</t>
  </si>
  <si>
    <t>Tomate Salada Org. Feirinha</t>
  </si>
  <si>
    <t>Vagem Francesa Org. Feirinha</t>
  </si>
  <si>
    <t>Alface Romana</t>
  </si>
  <si>
    <t>Caju</t>
  </si>
  <si>
    <t>Chicória Frizé</t>
  </si>
  <si>
    <t>Calda de Agave Azul Orgânico 330g</t>
  </si>
  <si>
    <t>Cravo em Flor</t>
  </si>
  <si>
    <t>Granola</t>
  </si>
  <si>
    <t>Cogumelo Porto Belo Sushi</t>
  </si>
  <si>
    <t>Folha de Alga 50F</t>
  </si>
  <si>
    <t>Folha de Arroz</t>
  </si>
  <si>
    <t>Geléia de Menta c/ Hortelã (sushi)</t>
  </si>
  <si>
    <t>Sweet Chilli Sauce 650 ml</t>
  </si>
  <si>
    <t>Sacola Camiseta Azul 30x45</t>
  </si>
  <si>
    <t>Descartáveis + Limpeza</t>
  </si>
  <si>
    <t>Bebidas + Carnes + Hortifruti + Feirinha
+ Mercado + Sobremesa + Sushi + V. Cx.</t>
  </si>
  <si>
    <t>Carne Bovina - Contra-filé (Chorizo)</t>
  </si>
  <si>
    <t>Carne Bovina - Perinha da Chã</t>
  </si>
  <si>
    <t>Suíno - Filezinho Suíno</t>
  </si>
  <si>
    <t>Agenda</t>
  </si>
  <si>
    <t>Bobina Offset 1 Via</t>
  </si>
  <si>
    <t>Bobina Térmica Amarela</t>
  </si>
  <si>
    <t>Caderno Universitário 96F</t>
  </si>
  <si>
    <t>Fita Empacotamento 45x10</t>
  </si>
  <si>
    <t>Papel Adesivo 45/10</t>
  </si>
  <si>
    <t>Abobrinha Org. Feirinha</t>
  </si>
  <si>
    <t>Ameixa</t>
  </si>
  <si>
    <t>Vagem Manteiga</t>
  </si>
  <si>
    <t>Greasestrip Plus Bb 5 L</t>
  </si>
  <si>
    <t>Macarrão Integrale Fusilli</t>
  </si>
  <si>
    <t>Queijo Coalhada Minas</t>
  </si>
  <si>
    <t>Queijo Provolone Curado</t>
  </si>
  <si>
    <t>Tonkatsu Bb 5 Lt</t>
  </si>
  <si>
    <t>Torta Financier com Quindim</t>
  </si>
  <si>
    <t>Torta Mousse Chocolate s/ Gluten/Lactose</t>
  </si>
  <si>
    <t>Abacaxi (sushi)</t>
  </si>
  <si>
    <t>Álcool Gel Antiséptico 800 ml</t>
  </si>
  <si>
    <t>Bolo de Banana (c/ Castanhas)</t>
  </si>
  <si>
    <t>Cogumelo Paris Sushi</t>
  </si>
  <si>
    <t>Cookie c/ Flocos de Arroz, Amendoas e Castanhas</t>
  </si>
  <si>
    <t>Etiqueta p/ Etiquetadora</t>
  </si>
  <si>
    <t>Goiaba em Calda</t>
  </si>
  <si>
    <t>Marcador para Retro Projetor</t>
  </si>
  <si>
    <t>Pão de Psylium c/ Batata Baroa e Castanha</t>
  </si>
  <si>
    <t>Pão de Psylium c/Quinoa</t>
  </si>
  <si>
    <t>Pimenta Verde em Conserva</t>
  </si>
  <si>
    <t>Suino - Copa Lombo</t>
  </si>
  <si>
    <t>Torta de Cenoura c/ Chocolate</t>
  </si>
  <si>
    <t>Filme PVC 380 x 300m</t>
  </si>
  <si>
    <t>Vinho Sta Carolina Estrellas Cab. Sauv. 187ml</t>
  </si>
  <si>
    <t>Caixa Parda p/ Quiche</t>
  </si>
  <si>
    <t>Palitos de Dente (cx 500)</t>
  </si>
  <si>
    <t>Morango Org. Feirinha</t>
  </si>
  <si>
    <t>Abacate Org. Feirinha</t>
  </si>
  <si>
    <t>Batata Doce Org. Feirinha</t>
  </si>
  <si>
    <t>Chicória Lisa Org. Feirinha</t>
  </si>
  <si>
    <t>Ervilha Torta Org. Feirinha</t>
  </si>
  <si>
    <t>Laranja Lima Org. Feirinha</t>
  </si>
  <si>
    <t>Laranja Pera Org. Feirinha</t>
  </si>
  <si>
    <t>Repolho Roxo Org. Feirinha</t>
  </si>
  <si>
    <t>Repolho Verde Org. Feirinha</t>
  </si>
  <si>
    <t>Humaytá - Geléia de Framboesa</t>
  </si>
  <si>
    <t>Humaytá - Molho de Tomate Picante</t>
  </si>
  <si>
    <t>Humaytá - Pepino Agridoce</t>
  </si>
  <si>
    <t>Humaytá - Compota de Laranja Kinkan</t>
  </si>
  <si>
    <t>Orégano Fresco</t>
  </si>
  <si>
    <t>Tamarindo</t>
  </si>
  <si>
    <t>Açucar União Glaçucar</t>
  </si>
  <si>
    <t>Tapioca Fina</t>
  </si>
  <si>
    <t>Castanha de Caju Crua</t>
  </si>
  <si>
    <t>Girassol s/ Casca</t>
  </si>
  <si>
    <t>Vinagre Balsamico Branco</t>
  </si>
  <si>
    <t>Proteina de Soja Escura</t>
  </si>
  <si>
    <t>Embalagem Plastica (cuscus) cx 300</t>
  </si>
  <si>
    <t xml:space="preserve">Café em Grão </t>
  </si>
  <si>
    <t>Shitake</t>
  </si>
  <si>
    <t>Humaytá - Mostarda de Frutas</t>
  </si>
  <si>
    <t>Mercadinho Bambina</t>
  </si>
  <si>
    <t>pcte</t>
  </si>
  <si>
    <t>unid</t>
  </si>
  <si>
    <t>kg</t>
  </si>
  <si>
    <t>Planeta Gelo</t>
  </si>
  <si>
    <t>saco</t>
  </si>
  <si>
    <t>Feira</t>
  </si>
  <si>
    <t>Fernanda Alves</t>
  </si>
  <si>
    <t>Sitio do Moinho</t>
  </si>
  <si>
    <t>Laticinios Alhambra</t>
  </si>
  <si>
    <t>bd</t>
  </si>
  <si>
    <t>M-GR 810306</t>
  </si>
  <si>
    <t>Pescarimarcar</t>
  </si>
  <si>
    <t>Barrinhas</t>
  </si>
  <si>
    <t>M-GR 153234</t>
  </si>
  <si>
    <t>Reginaves</t>
  </si>
  <si>
    <t>M-GR 3267635</t>
  </si>
  <si>
    <t>Frigorifico Jahu</t>
  </si>
  <si>
    <t>Alcibiades G. Quintas</t>
  </si>
  <si>
    <t>Umehara</t>
  </si>
  <si>
    <t>Super Mercado Zonasul</t>
  </si>
  <si>
    <t>46111 - extra fina</t>
  </si>
  <si>
    <t>Nutry Max</t>
  </si>
  <si>
    <t>3553 - cobrado à maior R$ 1,98</t>
  </si>
  <si>
    <t>3553 - cobrado à maior R$ 1,50</t>
  </si>
  <si>
    <t>3700 - devolução</t>
  </si>
  <si>
    <t>Mar e Terra</t>
  </si>
  <si>
    <t>M-GR 25801</t>
  </si>
  <si>
    <t>M-GR 58668</t>
  </si>
  <si>
    <t>Kolnex</t>
  </si>
  <si>
    <t>M-GR 39366</t>
  </si>
  <si>
    <t>Luisa</t>
  </si>
  <si>
    <t>Rioaves</t>
  </si>
  <si>
    <t>pce</t>
  </si>
  <si>
    <t>Piffer Torteria</t>
  </si>
  <si>
    <t>fatia</t>
  </si>
  <si>
    <t>Bonificação</t>
  </si>
  <si>
    <t>Diana (Guloseima Saudavel)</t>
  </si>
  <si>
    <t>Mamy</t>
  </si>
  <si>
    <t>folha</t>
  </si>
  <si>
    <t>M-GR 60638</t>
  </si>
  <si>
    <t>M-GR 63487</t>
  </si>
  <si>
    <t>Top Alto</t>
  </si>
  <si>
    <t>M-GR 3254257</t>
  </si>
  <si>
    <t>Rio Quality</t>
  </si>
  <si>
    <t>lt</t>
  </si>
  <si>
    <t>bag</t>
  </si>
  <si>
    <t>M-GR 1178827</t>
  </si>
  <si>
    <t>J. Araujo (Arcofood)</t>
  </si>
  <si>
    <t>Zamboni</t>
  </si>
  <si>
    <t>M-GR 3901363</t>
  </si>
  <si>
    <t>bb</t>
  </si>
  <si>
    <t>M-GR 3264974</t>
  </si>
  <si>
    <t>CDI</t>
  </si>
  <si>
    <t>M-GR 811272</t>
  </si>
  <si>
    <t>Minalba</t>
  </si>
  <si>
    <t>Italimp</t>
  </si>
  <si>
    <t>M-GR 16788</t>
  </si>
  <si>
    <t>M-GR 16788 - Bobina 20 x 35</t>
  </si>
  <si>
    <t>Mundo Natural</t>
  </si>
  <si>
    <t>Tempero Carioca</t>
  </si>
  <si>
    <t>M-GR 9820</t>
  </si>
  <si>
    <t>M-GR 9820 embalagem 1 litro</t>
  </si>
  <si>
    <t>Nova Geração (Casa Pedro)</t>
  </si>
  <si>
    <t>Sanda Produtos</t>
  </si>
  <si>
    <t>M-GR 37454</t>
  </si>
  <si>
    <t>M-GR 3258203</t>
  </si>
  <si>
    <t>M-GR 3258203 - Imperio</t>
  </si>
  <si>
    <t>Truticultura da Serra</t>
  </si>
  <si>
    <t>M-GR 6671</t>
  </si>
  <si>
    <t>Melhoramentos</t>
  </si>
  <si>
    <t>Marfrig</t>
  </si>
  <si>
    <t>M-GR 68284</t>
  </si>
  <si>
    <t>M-GR 3903092</t>
  </si>
  <si>
    <t>Cheiro Verde</t>
  </si>
  <si>
    <t>3917 - devolução (substituido pela NF 3951)</t>
  </si>
  <si>
    <t>Central RJ</t>
  </si>
  <si>
    <t>M-GR 16688</t>
  </si>
  <si>
    <t>Caixa c/ 100 unidades</t>
  </si>
  <si>
    <t>82738 - Devolução</t>
  </si>
  <si>
    <t>Frisa</t>
  </si>
  <si>
    <t>M-GR 499583</t>
  </si>
  <si>
    <t>M-GR 499590</t>
  </si>
  <si>
    <t>M-GR 811861</t>
  </si>
  <si>
    <t>Lenira Brandão (Suzanne)</t>
  </si>
  <si>
    <t>Wah Sin</t>
  </si>
  <si>
    <t>3607 - 5 pacotes foram entregues em setembro</t>
  </si>
  <si>
    <t>CRBS</t>
  </si>
  <si>
    <t>M-GR 642170</t>
  </si>
  <si>
    <t>Artesanal Produtos</t>
  </si>
  <si>
    <t>M-GR 39332</t>
  </si>
  <si>
    <t>Atelier dos Sabores</t>
  </si>
  <si>
    <t>Mercearia Fuji</t>
  </si>
  <si>
    <t>Batata, o Rei do Alho</t>
  </si>
  <si>
    <t>Rio de Janeiro</t>
  </si>
  <si>
    <t>M-GR 1153525</t>
  </si>
  <si>
    <t>M-GR 3261182</t>
  </si>
  <si>
    <t>DM Com. Pescados</t>
  </si>
  <si>
    <t>M-GR 153558</t>
  </si>
  <si>
    <t>M-GR 812606</t>
  </si>
  <si>
    <t>M-GR 69070</t>
  </si>
  <si>
    <t>M-GR 500926</t>
  </si>
  <si>
    <t>M-GR 3273902</t>
  </si>
  <si>
    <t>cx</t>
  </si>
  <si>
    <t>960708 - Limppano</t>
  </si>
  <si>
    <t>Papelex</t>
  </si>
  <si>
    <t>Ceni</t>
  </si>
  <si>
    <t>M-GR 2546</t>
  </si>
  <si>
    <t>M-GR 58796</t>
  </si>
  <si>
    <t>LKAP</t>
  </si>
  <si>
    <t>M-GR 6697</t>
  </si>
  <si>
    <t>M-GR 812950</t>
  </si>
  <si>
    <t>Ecolab</t>
  </si>
  <si>
    <t>M-GR 60956</t>
  </si>
  <si>
    <t>M-GR 1194785</t>
  </si>
  <si>
    <t>M-GR 3270317 - Bonificação</t>
  </si>
  <si>
    <t>M-GR 3270316</t>
  </si>
  <si>
    <t>Estrela Real</t>
  </si>
  <si>
    <t>M-GR 1182466</t>
  </si>
  <si>
    <t>M-GR 813863</t>
  </si>
  <si>
    <t>82880 - devolução</t>
  </si>
  <si>
    <t>M-GR 379354</t>
  </si>
  <si>
    <t>Chez Bonbon</t>
  </si>
  <si>
    <t>M-GR 3265996</t>
  </si>
  <si>
    <t>Agropart</t>
  </si>
  <si>
    <t>M2HP</t>
  </si>
  <si>
    <t>Nossos Sabores</t>
  </si>
  <si>
    <t>M-GR 9923</t>
  </si>
  <si>
    <t>Ind. Caseira de Doces Helena</t>
  </si>
  <si>
    <t>M-GR 956262</t>
  </si>
  <si>
    <t>Satiro's</t>
  </si>
  <si>
    <t>M-GR 652627</t>
  </si>
  <si>
    <t>M-GR 153770</t>
  </si>
  <si>
    <t>M-GR 282182</t>
  </si>
  <si>
    <t>M-GR 814168</t>
  </si>
  <si>
    <t>M-GR 3913856</t>
  </si>
  <si>
    <t>M-GR 70387</t>
  </si>
  <si>
    <t>M-GR 3277817</t>
  </si>
  <si>
    <t>Bonduelle</t>
  </si>
  <si>
    <t>pacte</t>
  </si>
  <si>
    <t>55037 - Aveia Nestle cx 170g</t>
  </si>
  <si>
    <t>M-GR 3270558</t>
  </si>
  <si>
    <t>M-GR 1235452</t>
  </si>
  <si>
    <t>Peixaria Só Peixe</t>
  </si>
  <si>
    <t>M-GR 21693</t>
  </si>
  <si>
    <t>Suprimix</t>
  </si>
  <si>
    <t>M-GR 3273612</t>
  </si>
  <si>
    <t>M-GR 3280158</t>
  </si>
  <si>
    <t>M-GR 814666</t>
  </si>
  <si>
    <t>4475 - devolução - crédito R$ 5,30</t>
  </si>
  <si>
    <t>M-GR 1811 (faturado 17/10/17)</t>
  </si>
  <si>
    <t>M-GR 1767 (faturado 11/10/17)</t>
  </si>
  <si>
    <t>M-GR 19775</t>
  </si>
  <si>
    <t>4598 - não foi entregue ( crédito R$ 9,95)</t>
  </si>
  <si>
    <t>M-GR 19584</t>
  </si>
  <si>
    <t>19544 (Crédito R$ 1,32 ref bertalha, NF 19381)</t>
  </si>
  <si>
    <t>Café Fazenta (Orfeu)</t>
  </si>
  <si>
    <t>M-GR 1198362</t>
  </si>
  <si>
    <t>M-GR 3922424</t>
  </si>
  <si>
    <t>M-GR 3274460</t>
  </si>
  <si>
    <t>M-GR 957699</t>
  </si>
  <si>
    <t>M-GR 3921740</t>
  </si>
  <si>
    <t>4808 - não foi entregue - crédito  R$ 8,80</t>
  </si>
  <si>
    <t>4808 - entrgue à maior, crédito R$ 11,25</t>
  </si>
  <si>
    <t>4808 - faturado 17/10/17</t>
  </si>
  <si>
    <t>4749 - cobrado à maior, crédito R$ 11,25</t>
  </si>
  <si>
    <t>4808 - não foi entregue - crédito  R$ 4,40</t>
  </si>
  <si>
    <t>4959 - desconto R$ 39,70</t>
  </si>
  <si>
    <t>M-GR 153942</t>
  </si>
  <si>
    <t>M-GR 3274551</t>
  </si>
  <si>
    <t>M-GR 3281260</t>
  </si>
  <si>
    <t>Casa Flora</t>
  </si>
  <si>
    <t>Damy</t>
  </si>
  <si>
    <t>M-GR 35193</t>
  </si>
  <si>
    <t>M-GR 9987</t>
  </si>
  <si>
    <t>Toca da Lagosta</t>
  </si>
  <si>
    <t>M-GR 381791</t>
  </si>
  <si>
    <t>M-GR 1237385</t>
  </si>
  <si>
    <t>Ding Show</t>
  </si>
  <si>
    <t>Referente troca mercadoria</t>
  </si>
  <si>
    <t>Truticultua da Serra</t>
  </si>
  <si>
    <t>M-GR 6739</t>
  </si>
  <si>
    <t>M-GR 1185923</t>
  </si>
  <si>
    <t>M-GR 18977</t>
  </si>
  <si>
    <t>M-GR 815876</t>
  </si>
  <si>
    <t>M-GR 16927</t>
  </si>
  <si>
    <t>M-GR 57721</t>
  </si>
  <si>
    <t>M-GR 39649</t>
  </si>
  <si>
    <t>Rio Pak</t>
  </si>
  <si>
    <t>M-GR 14540</t>
  </si>
  <si>
    <t>M-GR 660845</t>
  </si>
  <si>
    <t>M-GR 3278020</t>
  </si>
  <si>
    <t>Aurora</t>
  </si>
  <si>
    <t>M-GR 2380145</t>
  </si>
  <si>
    <t>M-GR 1238415</t>
  </si>
  <si>
    <t>M-GR 507380</t>
  </si>
  <si>
    <t>M-GR 507375</t>
  </si>
  <si>
    <t>Sanda</t>
  </si>
  <si>
    <t>M-GR 37756</t>
  </si>
  <si>
    <t>M-GR 816161</t>
  </si>
  <si>
    <t>Horn (Arosa)</t>
  </si>
  <si>
    <t>M-GR 13398</t>
  </si>
  <si>
    <t>Comercial Tanabata</t>
  </si>
  <si>
    <t>M-GR 3280451</t>
  </si>
  <si>
    <t>M-GR 22215</t>
  </si>
  <si>
    <t>M-GR 816844</t>
  </si>
  <si>
    <t>M-GR 66629</t>
  </si>
  <si>
    <t>M-GR 21996</t>
  </si>
  <si>
    <t>19544 - devolução, crédito R$ 3,75 - ok</t>
  </si>
  <si>
    <t>19609 - não entregaram, crédito R$ 13,76 - ok</t>
  </si>
  <si>
    <t>M-GR 19939 - cobrado à maior, crédito R$ 2,44</t>
  </si>
  <si>
    <t>M-GR 19939</t>
  </si>
  <si>
    <t>M-GR 19939 - não entregaram</t>
  </si>
  <si>
    <t>M-GR 19965</t>
  </si>
  <si>
    <t>M-GR 19980</t>
  </si>
  <si>
    <t>M-GR 19980 - cobrado à maior, crédito R$ 0,70</t>
  </si>
  <si>
    <t>M-GR 19939 - desconto R$ 17,50</t>
  </si>
  <si>
    <t>5416 - devolução - R$ 10,00</t>
  </si>
  <si>
    <t>M-GR 17455</t>
  </si>
  <si>
    <t>FNS</t>
  </si>
  <si>
    <t>M-GR 112843</t>
  </si>
  <si>
    <t>M-GR 283357</t>
  </si>
  <si>
    <t>M-GR 3282119</t>
  </si>
  <si>
    <t>M-GR 1239351</t>
  </si>
  <si>
    <t>M-GR 154192</t>
  </si>
  <si>
    <t>M-GR 61130</t>
  </si>
  <si>
    <t>M-GR 39761</t>
  </si>
  <si>
    <t>Cambuci</t>
  </si>
  <si>
    <t>5416 - faturado como chicoria frisee, cobrado à maior R$ 36,00</t>
  </si>
  <si>
    <t>M-GR 1189107</t>
  </si>
  <si>
    <t>M-GR 3932790</t>
  </si>
  <si>
    <t>M-GR 3279428</t>
  </si>
  <si>
    <t>M-GR 3933606</t>
  </si>
  <si>
    <t>3698 - faturado 25/10/17</t>
  </si>
  <si>
    <t>M-GR 959647</t>
  </si>
  <si>
    <t>M-GR 1192060</t>
  </si>
  <si>
    <t>M-GR 668601</t>
  </si>
  <si>
    <t>M-GR 1240055</t>
  </si>
  <si>
    <t>M-GR 384225</t>
  </si>
  <si>
    <t>M-GR 3284438</t>
  </si>
  <si>
    <t>M-GR 3287468</t>
  </si>
  <si>
    <t>Fabene</t>
  </si>
  <si>
    <t>M-GR 817807</t>
  </si>
  <si>
    <t>M-GR 3285828</t>
  </si>
  <si>
    <t>M-GR 6772</t>
  </si>
  <si>
    <t>M-GR 20119</t>
  </si>
  <si>
    <t>Marechal</t>
  </si>
  <si>
    <t>M-GR 933100</t>
  </si>
  <si>
    <t>M-GR 10177</t>
  </si>
  <si>
    <t>M-GR 1241192</t>
  </si>
  <si>
    <t>5825 - Desconto RE 52,08 (6,08 + 36,00 + 10,00)</t>
  </si>
  <si>
    <t>Horitufruti São Clemente</t>
  </si>
  <si>
    <t>M-GR 818428</t>
  </si>
  <si>
    <t>M-GR 22918</t>
  </si>
  <si>
    <t>5932 - crédito R$ 6,25</t>
  </si>
  <si>
    <t>M-GR 3288885</t>
  </si>
  <si>
    <t>M-GR 23004</t>
  </si>
  <si>
    <t>M-GR 1192059 - troca</t>
  </si>
  <si>
    <t>Farinha Panco (sushi)</t>
  </si>
  <si>
    <t>Massa de Harumaki (sushi)</t>
  </si>
  <si>
    <t>Cebola (sushi)</t>
  </si>
  <si>
    <t>Maçã (sushi)</t>
  </si>
  <si>
    <t>Farinha de Trigo (sushi)</t>
  </si>
  <si>
    <t>Marca Texto Pilot</t>
  </si>
  <si>
    <t>Pasta L</t>
  </si>
  <si>
    <t>Banete Pec Pão (cozinha)</t>
  </si>
  <si>
    <t>Folha de Alga 50F (cozinha)</t>
  </si>
  <si>
    <t>Aspargos Frescos</t>
  </si>
  <si>
    <t>Vinho Nieto Senet Espumante (Brut) 750 ml</t>
  </si>
  <si>
    <t>Tapioca granulada usada para dadinho</t>
  </si>
  <si>
    <t>9660 - Tapioca granulada usada para dadinho</t>
  </si>
  <si>
    <t>M-GR 819048</t>
  </si>
  <si>
    <t>M-GR 3291391</t>
  </si>
  <si>
    <t>M-GR 23055</t>
  </si>
  <si>
    <t>M-GR 154472</t>
  </si>
  <si>
    <t>Caixa c/ 100</t>
  </si>
  <si>
    <t>M-GR 61380</t>
  </si>
  <si>
    <t>M-GR 6793</t>
  </si>
  <si>
    <t>M-GR 3291083</t>
  </si>
  <si>
    <t>M-GR 1242614</t>
  </si>
  <si>
    <t>M-GR 961298</t>
  </si>
  <si>
    <t>1493 - SR. Brasilio</t>
  </si>
  <si>
    <t>Celpa Quimica</t>
  </si>
  <si>
    <t>mamy</t>
  </si>
  <si>
    <t xml:space="preserve">;. </t>
  </si>
  <si>
    <t>5932 - crédito R$ 21,90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</si>
</sst>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-&quot;R$&quot;\ * #,##0.00_-;\-&quot;R$&quot;\ * #,##0.00_-;_-&quot;R$&quot;\ * &quot;-&quot;??_-;_-@_-"/>
    <numFmt numFmtId="166" formatCode="_-* #,##0_-;\-* #,##0_-;_-* &quot;-&quot;??_-;_-@_-"/>
    <numFmt numFmtId="167" formatCode="0.00&quot;kg&quot;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8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7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0" fillId="0" borderId="0" xfId="1" applyFont="1" applyAlignment="1">
      <alignment horizontal="center" vertical="center"/>
    </xf>
    <xf numFmtId="43" fontId="3" fillId="0" borderId="0" xfId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3" fontId="0" fillId="0" borderId="1" xfId="1" applyFont="1" applyBorder="1" applyAlignment="1" applyProtection="1">
      <alignment horizontal="center" vertical="center"/>
      <protection locked="0"/>
    </xf>
    <xf numFmtId="43" fontId="0" fillId="0" borderId="1" xfId="1" applyFont="1" applyBorder="1" applyAlignment="1">
      <alignment horizontal="center" vertical="center"/>
    </xf>
    <xf numFmtId="43" fontId="0" fillId="0" borderId="10" xfId="1" applyFont="1" applyBorder="1" applyAlignment="1">
      <alignment horizontal="center" vertical="center"/>
    </xf>
    <xf numFmtId="43" fontId="0" fillId="0" borderId="12" xfId="1" applyFont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 vertical="center"/>
    </xf>
    <xf numFmtId="43" fontId="0" fillId="0" borderId="15" xfId="1" applyFont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1" fontId="5" fillId="2" borderId="3" xfId="0" applyNumberFormat="1" applyFont="1" applyFill="1" applyBorder="1" applyAlignment="1">
      <alignment vertical="center"/>
    </xf>
    <xf numFmtId="1" fontId="3" fillId="0" borderId="0" xfId="1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0" fontId="0" fillId="0" borderId="0" xfId="3" applyNumberFormat="1" applyFont="1" applyFill="1" applyBorder="1" applyAlignment="1" applyProtection="1">
      <alignment horizontal="center" vertical="center"/>
    </xf>
    <xf numFmtId="0" fontId="0" fillId="0" borderId="0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center" vertical="center"/>
    </xf>
    <xf numFmtId="43" fontId="3" fillId="6" borderId="0" xfId="1" applyFont="1" applyFill="1" applyBorder="1" applyAlignment="1">
      <alignment horizontal="center" vertical="center"/>
    </xf>
    <xf numFmtId="1" fontId="3" fillId="6" borderId="0" xfId="1" applyNumberFormat="1" applyFont="1" applyFill="1" applyBorder="1" applyAlignment="1">
      <alignment horizontal="center" vertical="center"/>
    </xf>
    <xf numFmtId="165" fontId="0" fillId="0" borderId="1" xfId="2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</xf>
    <xf numFmtId="43" fontId="0" fillId="2" borderId="2" xfId="1" applyFont="1" applyFill="1" applyBorder="1" applyAlignment="1">
      <alignment vertical="center"/>
    </xf>
    <xf numFmtId="43" fontId="0" fillId="2" borderId="3" xfId="1" applyFont="1" applyFill="1" applyBorder="1" applyAlignment="1">
      <alignment vertical="center"/>
    </xf>
    <xf numFmtId="43" fontId="4" fillId="0" borderId="0" xfId="1" applyFont="1" applyAlignment="1">
      <alignment horizontal="center" vertical="center"/>
    </xf>
    <xf numFmtId="166" fontId="4" fillId="0" borderId="0" xfId="1" applyNumberFormat="1" applyFont="1" applyAlignment="1">
      <alignment horizontal="center" vertical="center"/>
    </xf>
    <xf numFmtId="165" fontId="0" fillId="0" borderId="0" xfId="2" applyFont="1" applyFill="1" applyBorder="1" applyAlignment="1" applyProtection="1">
      <alignment horizontal="center" vertical="center"/>
    </xf>
    <xf numFmtId="43" fontId="0" fillId="0" borderId="0" xfId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vertical="center"/>
    </xf>
    <xf numFmtId="0" fontId="0" fillId="0" borderId="0" xfId="0" applyFont="1" applyAlignment="1" applyProtection="1">
      <alignment horizontal="center" vertical="center"/>
    </xf>
    <xf numFmtId="165" fontId="8" fillId="0" borderId="17" xfId="0" applyNumberFormat="1" applyFont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165" fontId="7" fillId="4" borderId="14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left" vertical="center"/>
    </xf>
    <xf numFmtId="0" fontId="0" fillId="0" borderId="0" xfId="0" applyFont="1" applyBorder="1" applyAlignment="1" applyProtection="1">
      <alignment horizontal="center" vertical="center"/>
    </xf>
    <xf numFmtId="165" fontId="3" fillId="0" borderId="0" xfId="2" applyFont="1" applyFill="1" applyBorder="1" applyAlignment="1" applyProtection="1">
      <alignment horizontal="center" vertical="center"/>
    </xf>
    <xf numFmtId="165" fontId="3" fillId="0" borderId="13" xfId="2" applyFont="1" applyFill="1" applyBorder="1" applyAlignment="1" applyProtection="1">
      <alignment horizontal="center" vertical="center"/>
    </xf>
    <xf numFmtId="0" fontId="3" fillId="7" borderId="12" xfId="0" applyFont="1" applyFill="1" applyBorder="1" applyAlignment="1" applyProtection="1">
      <alignment horizontal="center" vertical="center"/>
    </xf>
    <xf numFmtId="9" fontId="0" fillId="0" borderId="0" xfId="3" applyFont="1" applyBorder="1" applyAlignment="1" applyProtection="1">
      <alignment horizontal="center" vertical="center"/>
    </xf>
    <xf numFmtId="165" fontId="3" fillId="0" borderId="12" xfId="2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9" fontId="4" fillId="0" borderId="0" xfId="3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2" fillId="8" borderId="11" xfId="0" applyFont="1" applyFill="1" applyBorder="1" applyAlignment="1" applyProtection="1">
      <alignment horizontal="center" vertical="center"/>
    </xf>
    <xf numFmtId="165" fontId="10" fillId="0" borderId="0" xfId="0" applyNumberFormat="1" applyFont="1" applyFill="1" applyBorder="1" applyAlignment="1" applyProtection="1">
      <alignment horizontal="center" vertical="center"/>
    </xf>
    <xf numFmtId="0" fontId="5" fillId="3" borderId="9" xfId="0" applyFont="1" applyFill="1" applyBorder="1" applyAlignment="1" applyProtection="1">
      <alignment horizontal="center" vertical="center"/>
    </xf>
    <xf numFmtId="43" fontId="5" fillId="2" borderId="2" xfId="1" applyFont="1" applyFill="1" applyBorder="1" applyAlignment="1">
      <alignment vertical="center"/>
    </xf>
    <xf numFmtId="43" fontId="5" fillId="2" borderId="3" xfId="1" applyFont="1" applyFill="1" applyBorder="1" applyAlignment="1">
      <alignment vertical="center"/>
    </xf>
    <xf numFmtId="0" fontId="5" fillId="2" borderId="3" xfId="1" applyNumberFormat="1" applyFont="1" applyFill="1" applyBorder="1" applyAlignment="1">
      <alignment vertical="center"/>
    </xf>
    <xf numFmtId="0" fontId="11" fillId="7" borderId="12" xfId="0" applyFont="1" applyFill="1" applyBorder="1" applyAlignment="1" applyProtection="1">
      <alignment horizontal="center" vertical="center" wrapText="1"/>
    </xf>
    <xf numFmtId="0" fontId="2" fillId="9" borderId="11" xfId="0" applyFont="1" applyFill="1" applyBorder="1" applyAlignment="1" applyProtection="1">
      <alignment horizontal="center" vertical="center"/>
    </xf>
    <xf numFmtId="43" fontId="3" fillId="0" borderId="22" xfId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43" fontId="5" fillId="2" borderId="4" xfId="1" applyFont="1" applyFill="1" applyBorder="1" applyAlignment="1">
      <alignment vertical="center"/>
    </xf>
    <xf numFmtId="0" fontId="2" fillId="10" borderId="6" xfId="0" applyFont="1" applyFill="1" applyBorder="1" applyAlignment="1">
      <alignment horizontal="center" vertical="center"/>
    </xf>
    <xf numFmtId="43" fontId="0" fillId="3" borderId="20" xfId="1" applyFont="1" applyFill="1" applyBorder="1" applyAlignment="1">
      <alignment horizontal="center" vertical="center"/>
    </xf>
    <xf numFmtId="43" fontId="3" fillId="3" borderId="23" xfId="1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43" fontId="0" fillId="3" borderId="25" xfId="1" applyFont="1" applyFill="1" applyBorder="1" applyAlignment="1">
      <alignment horizontal="center" vertical="center"/>
    </xf>
    <xf numFmtId="43" fontId="3" fillId="3" borderId="22" xfId="1" applyFont="1" applyFill="1" applyBorder="1" applyAlignment="1">
      <alignment horizontal="center" vertical="center"/>
    </xf>
    <xf numFmtId="43" fontId="3" fillId="3" borderId="21" xfId="1" applyFont="1" applyFill="1" applyBorder="1" applyAlignment="1">
      <alignment horizontal="center" vertical="center"/>
    </xf>
    <xf numFmtId="43" fontId="0" fillId="3" borderId="8" xfId="1" applyFont="1" applyFill="1" applyBorder="1" applyAlignment="1">
      <alignment horizontal="center" vertical="center"/>
    </xf>
    <xf numFmtId="43" fontId="0" fillId="3" borderId="26" xfId="1" applyFont="1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165" fontId="1" fillId="6" borderId="1" xfId="2" applyFont="1" applyFill="1" applyBorder="1" applyAlignment="1">
      <alignment horizontal="center" vertical="center"/>
    </xf>
    <xf numFmtId="165" fontId="1" fillId="7" borderId="1" xfId="2" applyFont="1" applyFill="1" applyBorder="1" applyAlignment="1">
      <alignment horizontal="center" vertical="center"/>
    </xf>
    <xf numFmtId="43" fontId="1" fillId="3" borderId="24" xfId="1" applyFont="1" applyFill="1" applyBorder="1" applyAlignment="1">
      <alignment horizontal="center" vertical="center"/>
    </xf>
    <xf numFmtId="167" fontId="1" fillId="6" borderId="1" xfId="1" applyNumberFormat="1" applyFont="1" applyFill="1" applyBorder="1" applyAlignment="1">
      <alignment horizontal="center" vertical="center"/>
    </xf>
    <xf numFmtId="167" fontId="1" fillId="7" borderId="1" xfId="1" applyNumberFormat="1" applyFont="1" applyFill="1" applyBorder="1" applyAlignment="1">
      <alignment horizontal="center" vertical="center"/>
    </xf>
    <xf numFmtId="43" fontId="3" fillId="5" borderId="2" xfId="1" applyFont="1" applyFill="1" applyBorder="1" applyAlignment="1">
      <alignment horizontal="center" vertical="center" wrapText="1"/>
    </xf>
    <xf numFmtId="0" fontId="3" fillId="5" borderId="19" xfId="1" applyNumberFormat="1" applyFont="1" applyFill="1" applyBorder="1" applyAlignment="1">
      <alignment horizontal="center" vertical="center" wrapText="1"/>
    </xf>
    <xf numFmtId="43" fontId="0" fillId="0" borderId="1" xfId="1" applyFont="1" applyBorder="1" applyAlignment="1" applyProtection="1">
      <alignment horizontal="center" vertical="center"/>
    </xf>
    <xf numFmtId="43" fontId="12" fillId="6" borderId="0" xfId="1" applyFont="1" applyFill="1" applyBorder="1" applyAlignment="1">
      <alignment horizontal="center" vertical="center"/>
    </xf>
    <xf numFmtId="1" fontId="12" fillId="6" borderId="0" xfId="1" applyNumberFormat="1" applyFont="1" applyFill="1" applyBorder="1" applyAlignment="1">
      <alignment horizontal="center" vertical="center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1" fontId="13" fillId="5" borderId="1" xfId="0" applyNumberFormat="1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 wrapText="1"/>
      <protection locked="0"/>
    </xf>
    <xf numFmtId="164" fontId="13" fillId="5" borderId="1" xfId="0" applyNumberFormat="1" applyFont="1" applyFill="1" applyBorder="1" applyAlignment="1" applyProtection="1">
      <alignment horizontal="center" wrapText="1"/>
      <protection locked="0"/>
    </xf>
    <xf numFmtId="0" fontId="0" fillId="0" borderId="0" xfId="0" applyFont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0" xfId="0" quotePrefix="1" applyFont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Font="1" applyFill="1" applyBorder="1" applyAlignment="1" applyProtection="1">
      <alignment horizontal="center" vertical="center"/>
    </xf>
    <xf numFmtId="164" fontId="14" fillId="0" borderId="1" xfId="0" applyNumberFormat="1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3" fontId="0" fillId="0" borderId="1" xfId="0" applyNumberFormat="1" applyFont="1" applyFill="1" applyBorder="1" applyAlignment="1" applyProtection="1">
      <alignment horizontal="center" vertical="center"/>
      <protection locked="0"/>
    </xf>
    <xf numFmtId="1" fontId="14" fillId="0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0" xfId="0" applyNumberFormat="1" applyFont="1" applyFill="1" applyAlignment="1">
      <alignment horizontal="center" vertical="center"/>
    </xf>
    <xf numFmtId="164" fontId="0" fillId="0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/>
    </xf>
    <xf numFmtId="43" fontId="0" fillId="0" borderId="8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3" fontId="0" fillId="0" borderId="28" xfId="1" applyFont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165" fontId="6" fillId="3" borderId="10" xfId="2" applyFont="1" applyFill="1" applyBorder="1" applyAlignment="1">
      <alignment horizontal="center" vertical="center"/>
    </xf>
    <xf numFmtId="43" fontId="0" fillId="3" borderId="0" xfId="1" applyFont="1" applyFill="1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7" fontId="6" fillId="3" borderId="10" xfId="1" applyNumberFormat="1" applyFont="1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16" fillId="3" borderId="27" xfId="0" applyFont="1" applyFill="1" applyBorder="1" applyAlignment="1">
      <alignment horizontal="center" vertical="center"/>
    </xf>
    <xf numFmtId="0" fontId="16" fillId="3" borderId="29" xfId="0" applyFont="1" applyFill="1" applyBorder="1" applyAlignment="1">
      <alignment horizontal="center" vertical="center"/>
    </xf>
    <xf numFmtId="0" fontId="16" fillId="3" borderId="3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 vertical="center"/>
    </xf>
    <xf numFmtId="0" fontId="16" fillId="0" borderId="3" xfId="0" applyFont="1" applyFill="1" applyBorder="1" applyAlignment="1" applyProtection="1">
      <alignment horizontal="center" vertical="center"/>
    </xf>
    <xf numFmtId="0" fontId="16" fillId="0" borderId="4" xfId="0" applyFont="1" applyFill="1" applyBorder="1" applyAlignment="1" applyProtection="1">
      <alignment horizontal="center" vertical="center"/>
    </xf>
    <xf numFmtId="0" fontId="16" fillId="0" borderId="0" xfId="0" applyFont="1" applyFill="1" applyAlignment="1" applyProtection="1">
      <alignment horizontal="center" vertical="center"/>
    </xf>
    <xf numFmtId="43" fontId="3" fillId="3" borderId="3" xfId="1" applyFont="1" applyFill="1" applyBorder="1" applyAlignment="1">
      <alignment horizontal="center" vertical="center" wrapText="1"/>
    </xf>
    <xf numFmtId="0" fontId="16" fillId="0" borderId="19" xfId="0" applyFont="1" applyBorder="1" applyAlignment="1">
      <alignment horizontal="left" vertical="center"/>
    </xf>
    <xf numFmtId="43" fontId="0" fillId="0" borderId="19" xfId="1" applyFont="1" applyBorder="1" applyAlignment="1" applyProtection="1">
      <alignment horizontal="center" vertical="center"/>
      <protection locked="0"/>
    </xf>
    <xf numFmtId="0" fontId="0" fillId="0" borderId="33" xfId="0" applyBorder="1" applyAlignment="1">
      <alignment horizontal="center" vertical="center"/>
    </xf>
    <xf numFmtId="43" fontId="0" fillId="0" borderId="34" xfId="1" applyFont="1" applyBorder="1" applyAlignment="1">
      <alignment horizontal="center" vertical="center"/>
    </xf>
    <xf numFmtId="43" fontId="0" fillId="0" borderId="34" xfId="1" applyFont="1" applyBorder="1" applyAlignment="1" applyProtection="1">
      <alignment horizontal="center" vertical="center"/>
    </xf>
    <xf numFmtId="43" fontId="0" fillId="0" borderId="34" xfId="1" applyFont="1" applyBorder="1" applyAlignment="1" applyProtection="1">
      <alignment horizontal="center" vertical="center"/>
      <protection locked="0"/>
    </xf>
    <xf numFmtId="43" fontId="0" fillId="0" borderId="35" xfId="1" applyFont="1" applyBorder="1" applyAlignment="1">
      <alignment horizontal="center" vertical="center"/>
    </xf>
    <xf numFmtId="43" fontId="0" fillId="0" borderId="36" xfId="1" applyFont="1" applyBorder="1" applyAlignment="1">
      <alignment horizontal="center" vertical="center"/>
    </xf>
    <xf numFmtId="1" fontId="5" fillId="11" borderId="6" xfId="0" applyNumberFormat="1" applyFont="1" applyFill="1" applyBorder="1" applyAlignment="1">
      <alignment vertical="center"/>
    </xf>
    <xf numFmtId="43" fontId="3" fillId="11" borderId="6" xfId="1" applyFont="1" applyFill="1" applyBorder="1" applyAlignment="1">
      <alignment horizontal="center" vertical="center" wrapText="1"/>
    </xf>
    <xf numFmtId="43" fontId="0" fillId="11" borderId="6" xfId="1" applyFont="1" applyFill="1" applyBorder="1" applyAlignment="1">
      <alignment vertical="center"/>
    </xf>
    <xf numFmtId="1" fontId="3" fillId="11" borderId="6" xfId="1" applyNumberFormat="1" applyFont="1" applyFill="1" applyBorder="1" applyAlignment="1">
      <alignment horizontal="center" vertical="center"/>
    </xf>
    <xf numFmtId="43" fontId="3" fillId="11" borderId="6" xfId="1" applyFont="1" applyFill="1" applyBorder="1" applyAlignment="1">
      <alignment horizontal="center" vertical="center"/>
    </xf>
    <xf numFmtId="1" fontId="12" fillId="11" borderId="6" xfId="1" applyNumberFormat="1" applyFont="1" applyFill="1" applyBorder="1" applyAlignment="1">
      <alignment horizontal="center" vertical="center"/>
    </xf>
    <xf numFmtId="43" fontId="5" fillId="11" borderId="6" xfId="1" applyFont="1" applyFill="1" applyBorder="1" applyAlignment="1">
      <alignment vertical="center"/>
    </xf>
    <xf numFmtId="43" fontId="6" fillId="11" borderId="6" xfId="1" applyFont="1" applyFill="1" applyBorder="1" applyAlignment="1">
      <alignment horizontal="center" vertical="center"/>
    </xf>
    <xf numFmtId="43" fontId="5" fillId="11" borderId="7" xfId="1" applyFont="1" applyFill="1" applyBorder="1" applyAlignment="1">
      <alignment vertical="center"/>
    </xf>
    <xf numFmtId="0" fontId="2" fillId="11" borderId="5" xfId="0" applyFont="1" applyFill="1" applyBorder="1" applyAlignment="1">
      <alignment horizontal="center" vertical="center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43" fontId="17" fillId="0" borderId="0" xfId="1" applyFont="1" applyAlignment="1">
      <alignment horizontal="center" vertical="center"/>
    </xf>
    <xf numFmtId="0" fontId="0" fillId="0" borderId="12" xfId="0" applyFont="1" applyBorder="1" applyAlignment="1">
      <alignment horizontal="left" vertical="center"/>
    </xf>
    <xf numFmtId="0" fontId="0" fillId="2" borderId="3" xfId="0" applyFont="1" applyFill="1" applyBorder="1" applyAlignment="1">
      <alignment vertical="center"/>
    </xf>
    <xf numFmtId="0" fontId="0" fillId="0" borderId="14" xfId="0" applyFont="1" applyBorder="1" applyAlignment="1">
      <alignment horizontal="center" vertical="center"/>
    </xf>
    <xf numFmtId="0" fontId="0" fillId="2" borderId="3" xfId="1" applyNumberFormat="1" applyFont="1" applyFill="1" applyBorder="1" applyAlignment="1">
      <alignment vertical="center"/>
    </xf>
    <xf numFmtId="43" fontId="6" fillId="3" borderId="2" xfId="1" applyFont="1" applyFill="1" applyBorder="1" applyAlignment="1">
      <alignment horizontal="center" vertical="center" wrapText="1"/>
    </xf>
    <xf numFmtId="43" fontId="6" fillId="3" borderId="3" xfId="1" applyFont="1" applyFill="1" applyBorder="1" applyAlignment="1">
      <alignment horizontal="center" vertical="center"/>
    </xf>
    <xf numFmtId="43" fontId="3" fillId="7" borderId="2" xfId="1" applyFont="1" applyFill="1" applyBorder="1" applyAlignment="1">
      <alignment horizontal="center" vertical="center"/>
    </xf>
    <xf numFmtId="43" fontId="3" fillId="7" borderId="3" xfId="1" applyFont="1" applyFill="1" applyBorder="1" applyAlignment="1">
      <alignment horizontal="center" vertical="center"/>
    </xf>
    <xf numFmtId="43" fontId="3" fillId="3" borderId="5" xfId="1" applyFont="1" applyFill="1" applyBorder="1" applyAlignment="1">
      <alignment horizontal="center" vertical="center"/>
    </xf>
    <xf numFmtId="43" fontId="3" fillId="3" borderId="6" xfId="1" applyFont="1" applyFill="1" applyBorder="1" applyAlignment="1">
      <alignment horizontal="center" vertical="center"/>
    </xf>
    <xf numFmtId="43" fontId="3" fillId="3" borderId="7" xfId="1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6" fillId="3" borderId="2" xfId="0" applyFont="1" applyFill="1" applyBorder="1" applyAlignment="1" applyProtection="1">
      <alignment horizontal="left" vertical="center"/>
    </xf>
    <xf numFmtId="0" fontId="6" fillId="3" borderId="3" xfId="0" applyFont="1" applyFill="1" applyBorder="1" applyAlignment="1" applyProtection="1">
      <alignment horizontal="left" vertical="center"/>
    </xf>
    <xf numFmtId="0" fontId="6" fillId="3" borderId="19" xfId="0" applyFont="1" applyFill="1" applyBorder="1" applyAlignment="1" applyProtection="1">
      <alignment horizontal="left" vertical="center"/>
    </xf>
    <xf numFmtId="165" fontId="10" fillId="0" borderId="18" xfId="0" applyNumberFormat="1" applyFont="1" applyFill="1" applyBorder="1" applyAlignment="1" applyProtection="1">
      <alignment horizontal="center" vertical="center"/>
    </xf>
    <xf numFmtId="165" fontId="10" fillId="0" borderId="3" xfId="0" applyNumberFormat="1" applyFont="1" applyFill="1" applyBorder="1" applyAlignment="1" applyProtection="1">
      <alignment horizontal="center" vertical="center"/>
    </xf>
    <xf numFmtId="165" fontId="10" fillId="0" borderId="4" xfId="0" applyNumberFormat="1" applyFont="1" applyFill="1" applyBorder="1" applyAlignment="1" applyProtection="1">
      <alignment horizontal="center" vertical="center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298">
    <dxf>
      <font>
        <color theme="8" tint="0.59999389629810485"/>
      </font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readingOrder="0"/>
    </dxf>
    <dxf>
      <alignment vertical="center" readingOrder="0"/>
    </dxf>
    <dxf>
      <font>
        <sz val="12"/>
      </font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color theme="9" tint="-0.249977111117893"/>
      </font>
    </dxf>
    <dxf>
      <font>
        <color theme="9" tint="-0.249977111117893"/>
      </font>
    </dxf>
    <dxf>
      <font>
        <b/>
      </font>
    </dxf>
    <dxf>
      <font>
        <b/>
      </font>
    </dxf>
    <dxf>
      <font>
        <color theme="9" tint="-0.249977111117893"/>
      </font>
    </dxf>
    <dxf>
      <font>
        <color theme="9" tint="-0.249977111117893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990095129512"/>
          <c:y val="3.0534351145038201E-2"/>
          <c:w val="0.88600990487048903"/>
          <c:h val="0.959287531806614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F2A-40BE-A07A-F0E32E8B0C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CMV!$F$10:$F$11</c:f>
              <c:strCache>
                <c:ptCount val="2"/>
                <c:pt idx="0">
                  <c:v>META</c:v>
                </c:pt>
                <c:pt idx="1">
                  <c:v>REAL</c:v>
                </c:pt>
              </c:strCache>
            </c:strRef>
          </c:cat>
          <c:val>
            <c:numRef>
              <c:f>CMV!$G$10:$G$11</c:f>
              <c:numCache>
                <c:formatCode>0%</c:formatCode>
                <c:ptCount val="2"/>
                <c:pt idx="0">
                  <c:v>0.27</c:v>
                </c:pt>
                <c:pt idx="1">
                  <c:v>0.25945001969346665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2A-40BE-A07A-F0E32E8B0C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293995712"/>
        <c:axId val="-293994352"/>
      </c:barChart>
      <c:catAx>
        <c:axId val="-29399571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-293994352"/>
        <c:crosses val="autoZero"/>
        <c:auto val="1"/>
        <c:lblAlgn val="ctr"/>
        <c:lblOffset val="100"/>
        <c:noMultiLvlLbl val="0"/>
      </c:catAx>
      <c:valAx>
        <c:axId val="-293994352"/>
        <c:scaling>
          <c:orientation val="minMax"/>
          <c:max val="1"/>
          <c:min val="0"/>
        </c:scaling>
        <c:delete val="1"/>
        <c:axPos val="t"/>
        <c:majorGridlines/>
        <c:numFmt formatCode="0%" sourceLinked="1"/>
        <c:majorTickMark val="out"/>
        <c:minorTickMark val="none"/>
        <c:tickLblPos val="nextTo"/>
        <c:crossAx val="-293995712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006686381397"/>
          <c:y val="3.0534351145038201E-2"/>
          <c:w val="0.882993313618603"/>
          <c:h val="0.959287531806614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1AA-428C-B428-909B628B9B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CMV!$J$10:$J$11</c:f>
              <c:strCache>
                <c:ptCount val="2"/>
                <c:pt idx="0">
                  <c:v>META</c:v>
                </c:pt>
                <c:pt idx="1">
                  <c:v>REAL</c:v>
                </c:pt>
              </c:strCache>
            </c:strRef>
          </c:cat>
          <c:val>
            <c:numRef>
              <c:f>CMV!$K$10:$K$11</c:f>
              <c:numCache>
                <c:formatCode>0%</c:formatCode>
                <c:ptCount val="2"/>
                <c:pt idx="0">
                  <c:v>0.03</c:v>
                </c:pt>
                <c:pt idx="1">
                  <c:v>2.8540288695571511E-2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AA-428C-B428-909B628B9B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294191856"/>
        <c:axId val="-294189808"/>
      </c:barChart>
      <c:catAx>
        <c:axId val="-29419185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-294189808"/>
        <c:crosses val="autoZero"/>
        <c:auto val="1"/>
        <c:lblAlgn val="ctr"/>
        <c:lblOffset val="100"/>
        <c:noMultiLvlLbl val="0"/>
      </c:catAx>
      <c:valAx>
        <c:axId val="-294189808"/>
        <c:scaling>
          <c:orientation val="minMax"/>
          <c:max val="1"/>
        </c:scaling>
        <c:delete val="1"/>
        <c:axPos val="t"/>
        <c:majorGridlines/>
        <c:numFmt formatCode="0%" sourceLinked="1"/>
        <c:majorTickMark val="out"/>
        <c:minorTickMark val="none"/>
        <c:tickLblPos val="nextTo"/>
        <c:crossAx val="-294191856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990095129512"/>
          <c:y val="3.0534351145038201E-2"/>
          <c:w val="0.88600990487048903"/>
          <c:h val="0.959287531806614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EC7-4B4B-964B-0825A80D3A8E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4EC7-4B4B-964B-0825A80D3A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CMV!$F$16:$F$17</c:f>
              <c:strCache>
                <c:ptCount val="2"/>
                <c:pt idx="0">
                  <c:v>META</c:v>
                </c:pt>
                <c:pt idx="1">
                  <c:v>REAL</c:v>
                </c:pt>
              </c:strCache>
            </c:strRef>
          </c:cat>
          <c:val>
            <c:numRef>
              <c:f>CMV!$G$16:$G$17</c:f>
              <c:numCache>
                <c:formatCode>0%</c:formatCode>
                <c:ptCount val="2"/>
                <c:pt idx="0">
                  <c:v>0.22</c:v>
                </c:pt>
                <c:pt idx="1">
                  <c:v>0.28675209466602336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C7-4B4B-964B-0825A80D3A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294166832"/>
        <c:axId val="-294164784"/>
      </c:barChart>
      <c:catAx>
        <c:axId val="-29416683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-294164784"/>
        <c:crosses val="autoZero"/>
        <c:auto val="1"/>
        <c:lblAlgn val="ctr"/>
        <c:lblOffset val="100"/>
        <c:noMultiLvlLbl val="0"/>
      </c:catAx>
      <c:valAx>
        <c:axId val="-294164784"/>
        <c:scaling>
          <c:orientation val="minMax"/>
          <c:max val="1"/>
        </c:scaling>
        <c:delete val="1"/>
        <c:axPos val="t"/>
        <c:majorGridlines/>
        <c:numFmt formatCode="0%" sourceLinked="1"/>
        <c:majorTickMark val="out"/>
        <c:minorTickMark val="none"/>
        <c:tickLblPos val="nextTo"/>
        <c:crossAx val="-294166832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97058945509901"/>
          <c:y val="3.05344107306777E-2"/>
          <c:w val="0.88600990487048903"/>
          <c:h val="0.959287531806614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7CE-401B-B63F-72EF3201C168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97CE-401B-B63F-72EF3201C1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CMV!$J$16:$J$17</c:f>
              <c:strCache>
                <c:ptCount val="2"/>
                <c:pt idx="0">
                  <c:v>META</c:v>
                </c:pt>
                <c:pt idx="1">
                  <c:v>REAL</c:v>
                </c:pt>
              </c:strCache>
            </c:strRef>
          </c:cat>
          <c:val>
            <c:numRef>
              <c:f>CMV!$K$16:$K$17</c:f>
              <c:numCache>
                <c:formatCode>0%</c:formatCode>
                <c:ptCount val="2"/>
                <c:pt idx="0">
                  <c:v>0.02</c:v>
                </c:pt>
                <c:pt idx="1">
                  <c:v>2.0122827485247793E-2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CE-401B-B63F-72EF3201C16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294143552"/>
        <c:axId val="-294141504"/>
      </c:barChart>
      <c:catAx>
        <c:axId val="-29414355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-294141504"/>
        <c:crosses val="autoZero"/>
        <c:auto val="1"/>
        <c:lblAlgn val="ctr"/>
        <c:lblOffset val="100"/>
        <c:noMultiLvlLbl val="0"/>
      </c:catAx>
      <c:valAx>
        <c:axId val="-294141504"/>
        <c:scaling>
          <c:orientation val="minMax"/>
          <c:max val="1"/>
          <c:min val="0"/>
        </c:scaling>
        <c:delete val="0"/>
        <c:axPos val="t"/>
        <c:majorGridlines/>
        <c:numFmt formatCode="0%" sourceLinked="1"/>
        <c:majorTickMark val="out"/>
        <c:minorTickMark val="none"/>
        <c:tickLblPos val="nextTo"/>
        <c:crossAx val="-294143552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[Controle_Estoque_EKKOS_Outubro_2017.xlsm]Análise Dinâmica (2)!Tabela dinâmica1</c:name>
    <c:fmtId val="3"/>
  </c:pivotSource>
  <c:chart>
    <c:autoTitleDeleted val="1"/>
    <c:pivotFmts>
      <c:pivotFmt>
        <c:idx val="0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accent6">
                <a:lumMod val="75000"/>
              </a:schemeClr>
            </a:solidFill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accent6">
                <a:lumMod val="75000"/>
              </a:schemeClr>
            </a:solidFill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accent6">
                <a:lumMod val="75000"/>
              </a:schemeClr>
            </a:solidFill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accent6">
                <a:lumMod val="75000"/>
              </a:schemeClr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1200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33454655747649E-2"/>
          <c:y val="2.7751495193746999E-2"/>
          <c:w val="0.97330906885046997"/>
          <c:h val="0.912288191232236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'Análise Dinâmica (2)'!$C$2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'Análise Dinâmica (2)'!$B$3:$B$16</c:f>
              <c:strCache>
                <c:ptCount val="13"/>
                <c:pt idx="0">
                  <c:v>-</c:v>
                </c:pt>
                <c:pt idx="1">
                  <c:v>;. </c:v>
                </c:pt>
                <c:pt idx="2">
                  <c:v>Bebidas</c:v>
                </c:pt>
                <c:pt idx="3">
                  <c:v>Carnes</c:v>
                </c:pt>
                <c:pt idx="4">
                  <c:v>Descartável</c:v>
                </c:pt>
                <c:pt idx="5">
                  <c:v>Escritório</c:v>
                </c:pt>
                <c:pt idx="6">
                  <c:v>Feirinha</c:v>
                </c:pt>
                <c:pt idx="7">
                  <c:v>Hortifruti</c:v>
                </c:pt>
                <c:pt idx="8">
                  <c:v>Limpeza</c:v>
                </c:pt>
                <c:pt idx="9">
                  <c:v>Mercado</c:v>
                </c:pt>
                <c:pt idx="10">
                  <c:v>Sobremesa</c:v>
                </c:pt>
                <c:pt idx="11">
                  <c:v>Sushi</c:v>
                </c:pt>
                <c:pt idx="12">
                  <c:v>Vendas Caixa</c:v>
                </c:pt>
              </c:strCache>
            </c:strRef>
          </c:cat>
          <c:val>
            <c:numRef>
              <c:f>'Análise Dinâmica (2)'!$C$3:$C$16</c:f>
              <c:numCache>
                <c:formatCode>_-"R$"\ * #,##0.00_-;\-"R$"\ * #,##0.00_-;_-"R$"\ * "-"??_-;_-@_-</c:formatCode>
                <c:ptCount val="13"/>
                <c:pt idx="0">
                  <c:v>0</c:v>
                </c:pt>
                <c:pt idx="1">
                  <c:v>7.5</c:v>
                </c:pt>
                <c:pt idx="2">
                  <c:v>10325.217400000001</c:v>
                </c:pt>
                <c:pt idx="3">
                  <c:v>66785.662001000033</c:v>
                </c:pt>
                <c:pt idx="4">
                  <c:v>9321.1299999999992</c:v>
                </c:pt>
                <c:pt idx="5">
                  <c:v>1092.8200000000002</c:v>
                </c:pt>
                <c:pt idx="6">
                  <c:v>1264.0814514983028</c:v>
                </c:pt>
                <c:pt idx="7">
                  <c:v>20383.24203676499</c:v>
                </c:pt>
                <c:pt idx="8">
                  <c:v>6898.9</c:v>
                </c:pt>
                <c:pt idx="9">
                  <c:v>30272.992746866672</c:v>
                </c:pt>
                <c:pt idx="10">
                  <c:v>4622.43</c:v>
                </c:pt>
                <c:pt idx="11">
                  <c:v>12879.803903070029</c:v>
                </c:pt>
                <c:pt idx="12">
                  <c:v>917.32499999999993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B-47A2-849E-1B78070C4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94108512"/>
        <c:axId val="-294106192"/>
      </c:barChart>
      <c:catAx>
        <c:axId val="-2941085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1200"/>
            </a:pPr>
            <a:endParaRPr lang="pt-BR"/>
          </a:p>
        </c:txPr>
        <c:crossAx val="-294106192"/>
        <c:crosses val="autoZero"/>
        <c:auto val="1"/>
        <c:lblAlgn val="ctr"/>
        <c:lblOffset val="100"/>
        <c:noMultiLvlLbl val="0"/>
      </c:catAx>
      <c:valAx>
        <c:axId val="-294106192"/>
        <c:scaling>
          <c:orientation val="minMax"/>
        </c:scaling>
        <c:delete val="1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_-&quot;R$&quot;\ * #,##0.00_-;\-&quot;R$&quot;\ * #,##0.00_-;_-&quot;R$&quot;\ * &quot;-&quot;??_-;_-@_-" sourceLinked="1"/>
        <c:majorTickMark val="out"/>
        <c:minorTickMark val="none"/>
        <c:tickLblPos val="nextTo"/>
        <c:crossAx val="-294108512"/>
        <c:crosses val="autoZero"/>
        <c:crossBetween val="between"/>
      </c:valAx>
      <c:spPr>
        <a:solidFill>
          <a:schemeClr val="bg1">
            <a:alpha val="0"/>
          </a:schemeClr>
        </a:solidFill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987</xdr:row>
      <xdr:rowOff>123825</xdr:rowOff>
    </xdr:from>
    <xdr:to>
      <xdr:col>0</xdr:col>
      <xdr:colOff>1524000</xdr:colOff>
      <xdr:row>989</xdr:row>
      <xdr:rowOff>161925</xdr:rowOff>
    </xdr:to>
    <xdr:sp macro="[0]!Abrir_CMV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5725" y="182803800"/>
          <a:ext cx="1438275" cy="4191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ysClr val="windowText" lastClr="000000"/>
              </a:solidFill>
            </a:rPr>
            <a:t>CMV + ANÁLISE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8</xdr:row>
      <xdr:rowOff>9525</xdr:rowOff>
    </xdr:from>
    <xdr:to>
      <xdr:col>3</xdr:col>
      <xdr:colOff>847725</xdr:colOff>
      <xdr:row>18</xdr:row>
      <xdr:rowOff>347850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228850" y="1533525"/>
          <a:ext cx="828675" cy="20814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C V M    A C U M U L A D O </a:t>
          </a:r>
        </a:p>
      </xdr:txBody>
    </xdr:sp>
    <xdr:clientData/>
  </xdr:twoCellAnchor>
  <xdr:twoCellAnchor>
    <xdr:from>
      <xdr:col>12</xdr:col>
      <xdr:colOff>219075</xdr:colOff>
      <xdr:row>8</xdr:row>
      <xdr:rowOff>9525</xdr:rowOff>
    </xdr:from>
    <xdr:to>
      <xdr:col>12</xdr:col>
      <xdr:colOff>1047075</xdr:colOff>
      <xdr:row>18</xdr:row>
      <xdr:rowOff>347850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flipV="1">
          <a:off x="11944350" y="1533525"/>
          <a:ext cx="828000" cy="20814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C V M    A C U M U L A D O </a:t>
          </a:r>
        </a:p>
      </xdr:txBody>
    </xdr:sp>
    <xdr:clientData/>
  </xdr:twoCellAnchor>
  <xdr:twoCellAnchor>
    <xdr:from>
      <xdr:col>3</xdr:col>
      <xdr:colOff>923925</xdr:colOff>
      <xdr:row>8</xdr:row>
      <xdr:rowOff>9525</xdr:rowOff>
    </xdr:from>
    <xdr:to>
      <xdr:col>12</xdr:col>
      <xdr:colOff>123825</xdr:colOff>
      <xdr:row>13</xdr:row>
      <xdr:rowOff>19050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133725" y="1533525"/>
          <a:ext cx="8715375" cy="962025"/>
        </a:xfrm>
        <a:prstGeom prst="rect">
          <a:avLst/>
        </a:prstGeom>
        <a:noFill/>
        <a:ln w="19050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923925</xdr:colOff>
      <xdr:row>14</xdr:row>
      <xdr:rowOff>0</xdr:rowOff>
    </xdr:from>
    <xdr:to>
      <xdr:col>12</xdr:col>
      <xdr:colOff>123825</xdr:colOff>
      <xdr:row>19</xdr:row>
      <xdr:rowOff>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133725" y="2667000"/>
          <a:ext cx="8715375" cy="952501"/>
        </a:xfrm>
        <a:prstGeom prst="rect">
          <a:avLst/>
        </a:prstGeom>
        <a:noFill/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1052513</xdr:colOff>
      <xdr:row>8</xdr:row>
      <xdr:rowOff>9525</xdr:rowOff>
    </xdr:from>
    <xdr:to>
      <xdr:col>7</xdr:col>
      <xdr:colOff>1052513</xdr:colOff>
      <xdr:row>13</xdr:row>
      <xdr:rowOff>19050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>
          <a:stCxn id="4" idx="0"/>
          <a:endCxn id="4" idx="2"/>
        </xdr:cNvCxnSpPr>
      </xdr:nvCxnSpPr>
      <xdr:spPr>
        <a:xfrm>
          <a:off x="7491413" y="1533525"/>
          <a:ext cx="0" cy="962025"/>
        </a:xfrm>
        <a:prstGeom prst="line">
          <a:avLst/>
        </a:prstGeom>
        <a:ln w="19050">
          <a:solidFill>
            <a:schemeClr val="accent2">
              <a:lumMod val="50000"/>
            </a:schemeClr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1052513</xdr:colOff>
      <xdr:row>14</xdr:row>
      <xdr:rowOff>0</xdr:rowOff>
    </xdr:from>
    <xdr:to>
      <xdr:col>7</xdr:col>
      <xdr:colOff>1052513</xdr:colOff>
      <xdr:row>19</xdr:row>
      <xdr:rowOff>1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5" idx="0"/>
          <a:endCxn id="5" idx="2"/>
        </xdr:cNvCxnSpPr>
      </xdr:nvCxnSpPr>
      <xdr:spPr>
        <a:xfrm>
          <a:off x="7491413" y="2667000"/>
          <a:ext cx="0" cy="952501"/>
        </a:xfrm>
        <a:prstGeom prst="line">
          <a:avLst/>
        </a:prstGeom>
        <a:ln w="19050">
          <a:solidFill>
            <a:srgbClr val="C00000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990600</xdr:colOff>
      <xdr:row>8</xdr:row>
      <xdr:rowOff>76201</xdr:rowOff>
    </xdr:from>
    <xdr:to>
      <xdr:col>7</xdr:col>
      <xdr:colOff>971550</xdr:colOff>
      <xdr:row>9</xdr:row>
      <xdr:rowOff>38101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200400" y="1600201"/>
          <a:ext cx="4210050" cy="1524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NOTA: Bebidas + Carnes + Hortifruti + Mercado + Sobremesa +Sushi</a:t>
          </a:r>
        </a:p>
      </xdr:txBody>
    </xdr:sp>
    <xdr:clientData/>
  </xdr:twoCellAnchor>
  <xdr:twoCellAnchor>
    <xdr:from>
      <xdr:col>3</xdr:col>
      <xdr:colOff>990601</xdr:colOff>
      <xdr:row>9</xdr:row>
      <xdr:rowOff>104775</xdr:rowOff>
    </xdr:from>
    <xdr:to>
      <xdr:col>7</xdr:col>
      <xdr:colOff>971551</xdr:colOff>
      <xdr:row>12</xdr:row>
      <xdr:rowOff>295275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76200</xdr:colOff>
      <xdr:row>8</xdr:row>
      <xdr:rowOff>76201</xdr:rowOff>
    </xdr:from>
    <xdr:to>
      <xdr:col>12</xdr:col>
      <xdr:colOff>57150</xdr:colOff>
      <xdr:row>9</xdr:row>
      <xdr:rowOff>38101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572375" y="1600201"/>
          <a:ext cx="4210050" cy="1524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NOTA: Descartáveis + Limpeza + Outros</a:t>
          </a:r>
        </a:p>
      </xdr:txBody>
    </xdr:sp>
    <xdr:clientData/>
  </xdr:twoCellAnchor>
  <xdr:twoCellAnchor>
    <xdr:from>
      <xdr:col>3</xdr:col>
      <xdr:colOff>1000125</xdr:colOff>
      <xdr:row>14</xdr:row>
      <xdr:rowOff>66676</xdr:rowOff>
    </xdr:from>
    <xdr:to>
      <xdr:col>7</xdr:col>
      <xdr:colOff>981075</xdr:colOff>
      <xdr:row>14</xdr:row>
      <xdr:rowOff>409576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3209925" y="2733676"/>
          <a:ext cx="4210050" cy="1238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accent6">
                  <a:lumMod val="75000"/>
                </a:schemeClr>
              </a:solidFill>
            </a:rPr>
            <a:t>CONSUMO: Bebidas + Carnes</a:t>
          </a:r>
          <a:r>
            <a:rPr lang="pt-BR" sz="1050" b="1" baseline="0">
              <a:solidFill>
                <a:schemeClr val="accent6">
                  <a:lumMod val="75000"/>
                </a:schemeClr>
              </a:solidFill>
            </a:rPr>
            <a:t> + </a:t>
          </a:r>
          <a:r>
            <a:rPr lang="pt-BR" sz="1050" b="1">
              <a:solidFill>
                <a:schemeClr val="accent6">
                  <a:lumMod val="75000"/>
                </a:schemeClr>
              </a:solidFill>
            </a:rPr>
            <a:t>Hortifruti + Mercado + Sobremesa +Sushi</a:t>
          </a:r>
        </a:p>
      </xdr:txBody>
    </xdr:sp>
    <xdr:clientData/>
  </xdr:twoCellAnchor>
  <xdr:twoCellAnchor>
    <xdr:from>
      <xdr:col>8</xdr:col>
      <xdr:colOff>76200</xdr:colOff>
      <xdr:row>14</xdr:row>
      <xdr:rowOff>66676</xdr:rowOff>
    </xdr:from>
    <xdr:to>
      <xdr:col>12</xdr:col>
      <xdr:colOff>57150</xdr:colOff>
      <xdr:row>14</xdr:row>
      <xdr:rowOff>409576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572375" y="2733676"/>
          <a:ext cx="4210050" cy="1238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6">
                  <a:lumMod val="75000"/>
                </a:schemeClr>
              </a:solidFill>
            </a:rPr>
            <a:t>CONSUMO: Descartáveis + Limpeza</a:t>
          </a:r>
        </a:p>
      </xdr:txBody>
    </xdr:sp>
    <xdr:clientData/>
  </xdr:twoCellAnchor>
  <xdr:twoCellAnchor>
    <xdr:from>
      <xdr:col>8</xdr:col>
      <xdr:colOff>76200</xdr:colOff>
      <xdr:row>9</xdr:row>
      <xdr:rowOff>104775</xdr:rowOff>
    </xdr:from>
    <xdr:to>
      <xdr:col>12</xdr:col>
      <xdr:colOff>57150</xdr:colOff>
      <xdr:row>12</xdr:row>
      <xdr:rowOff>295275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1000125</xdr:colOff>
      <xdr:row>15</xdr:row>
      <xdr:rowOff>47625</xdr:rowOff>
    </xdr:from>
    <xdr:to>
      <xdr:col>7</xdr:col>
      <xdr:colOff>981075</xdr:colOff>
      <xdr:row>18</xdr:row>
      <xdr:rowOff>257175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76200</xdr:colOff>
      <xdr:row>15</xdr:row>
      <xdr:rowOff>47625</xdr:rowOff>
    </xdr:from>
    <xdr:to>
      <xdr:col>12</xdr:col>
      <xdr:colOff>57150</xdr:colOff>
      <xdr:row>18</xdr:row>
      <xdr:rowOff>257175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19</xdr:row>
      <xdr:rowOff>85725</xdr:rowOff>
    </xdr:from>
    <xdr:to>
      <xdr:col>2</xdr:col>
      <xdr:colOff>0</xdr:colOff>
      <xdr:row>21</xdr:row>
      <xdr:rowOff>123825</xdr:rowOff>
    </xdr:to>
    <xdr:sp macro="[0]!Fechar__CMV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14300" y="5295900"/>
          <a:ext cx="2019300" cy="4191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ysClr val="windowText" lastClr="000000"/>
              </a:solidFill>
            </a:rPr>
            <a:t>FECHAR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116416</xdr:colOff>
      <xdr:row>15</xdr:row>
      <xdr:rowOff>74082</xdr:rowOff>
    </xdr:from>
    <xdr:to>
      <xdr:col>3</xdr:col>
      <xdr:colOff>10583</xdr:colOff>
      <xdr:row>21</xdr:row>
      <xdr:rowOff>177799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RUP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416" y="3005665"/>
              <a:ext cx="1936750" cy="12573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3</xdr:col>
      <xdr:colOff>183621</xdr:colOff>
      <xdr:row>1</xdr:row>
      <xdr:rowOff>0</xdr:rowOff>
    </xdr:from>
    <xdr:to>
      <xdr:col>3</xdr:col>
      <xdr:colOff>183621</xdr:colOff>
      <xdr:row>24</xdr:row>
      <xdr:rowOff>151573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2226204" y="116417"/>
          <a:ext cx="0" cy="4986040"/>
        </a:xfrm>
        <a:prstGeom prst="line">
          <a:avLst/>
        </a:prstGeom>
        <a:ln>
          <a:solidFill>
            <a:schemeClr val="accent6">
              <a:lumMod val="7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296334</xdr:colOff>
      <xdr:row>1</xdr:row>
      <xdr:rowOff>23811</xdr:rowOff>
    </xdr:from>
    <xdr:to>
      <xdr:col>20</xdr:col>
      <xdr:colOff>261936</xdr:colOff>
      <xdr:row>24</xdr:row>
      <xdr:rowOff>133349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22</xdr:row>
      <xdr:rowOff>66675</xdr:rowOff>
    </xdr:from>
    <xdr:to>
      <xdr:col>3</xdr:col>
      <xdr:colOff>0</xdr:colOff>
      <xdr:row>24</xdr:row>
      <xdr:rowOff>104775</xdr:rowOff>
    </xdr:to>
    <xdr:sp macro="[0]!ATUALIZAR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4300" y="4229100"/>
          <a:ext cx="1857375" cy="4191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ysClr val="windowText" lastClr="000000"/>
              </a:solidFill>
            </a:rPr>
            <a:t>ATUALIZAR</a:t>
          </a:r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3</xdr:col>
      <xdr:colOff>225</xdr:colOff>
      <xdr:row>26</xdr:row>
      <xdr:rowOff>142875</xdr:rowOff>
    </xdr:to>
    <xdr:sp macro="[0]!Fechar__CMV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14300" y="4733925"/>
          <a:ext cx="1857600" cy="3333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ysClr val="windowText" lastClr="000000"/>
              </a:solidFill>
            </a:rPr>
            <a:t>FECHAR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" refreshedDate="43292.863704745374" createdVersion="4" refreshedVersion="6" minRefreshableVersion="3" recordCount="3136" xr:uid="{00000000-000A-0000-FFFF-FFFF0B000000}">
  <cacheSource type="worksheet">
    <worksheetSource ref="B1:K3137" sheet="NF"/>
  </cacheSource>
  <cacheFields count="10">
    <cacheField name="Mês" numFmtId="0">
      <sharedItems/>
    </cacheField>
    <cacheField name="SEMANA" numFmtId="0">
      <sharedItems/>
    </cacheField>
    <cacheField name="DIA" numFmtId="0">
      <sharedItems containsString="0" containsBlank="1" containsNumber="1" containsInteger="1" minValue="1" maxValue="31"/>
    </cacheField>
    <cacheField name="GRUPO" numFmtId="0">
      <sharedItems containsBlank="1" count="19">
        <s v="Mercado"/>
        <s v="Hortifruti"/>
        <s v="Descartável"/>
        <s v="Carnes"/>
        <s v="Sushi"/>
        <s v="Sobremesa"/>
        <s v="Feirinha"/>
        <s v="Vendas Caixa"/>
        <s v="Bebidas"/>
        <s v="Limpeza"/>
        <s v="Escritório"/>
        <s v=";. "/>
        <s v="-"/>
        <m u="1"/>
        <s v="Outros" u="1"/>
        <s v="Descartáveis" u="1"/>
        <s v="----" u="1"/>
        <e v="#N/A" u="1"/>
        <s v="Selecione" u="1"/>
      </sharedItems>
    </cacheField>
    <cacheField name="FORNECEDOR" numFmtId="0">
      <sharedItems containsBlank="1"/>
    </cacheField>
    <cacheField name="PRODUTO" numFmtId="0">
      <sharedItems/>
    </cacheField>
    <cacheField name="Und MEDIDA" numFmtId="0">
      <sharedItems containsBlank="1" containsMixedTypes="1" containsNumber="1" containsInteger="1" minValue="60" maxValue="60"/>
    </cacheField>
    <cacheField name="QNT" numFmtId="0">
      <sharedItems containsString="0" containsBlank="1" containsNumber="1" minValue="3.5999999999999976E-2" maxValue="5010"/>
    </cacheField>
    <cacheField name="PREÇO _x000a_(Und.)" numFmtId="164">
      <sharedItems containsString="0" containsBlank="1" containsNumber="1" minValue="1.7333333333333333E-2" maxValue="789.87"/>
    </cacheField>
    <cacheField name="VALOR TOTAL_x000a_GÊNEROS" numFmtId="164">
      <sharedItems containsSemiMixedTypes="0" containsString="0" containsNumber="1" minValue="0" maxValue="3857.7000000000003"/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6">
  <r>
    <s v="Outubro"/>
    <s v="SEMANA 1"/>
    <n v="1"/>
    <x v="0"/>
    <s v="Mercadinho Bambina"/>
    <s v="Pão Rabanada"/>
    <s v="unid"/>
    <n v="10"/>
    <n v="6.01"/>
    <n v="60.099999999999994"/>
  </r>
  <r>
    <s v="Outubro"/>
    <s v="SEMANA 1"/>
    <n v="1"/>
    <x v="0"/>
    <s v="Mercadinho Bambina"/>
    <s v="Pão Árabe"/>
    <s v="pcte"/>
    <n v="2"/>
    <n v="6.7"/>
    <n v="13.4"/>
  </r>
  <r>
    <s v="Outubro"/>
    <s v="SEMANA 1"/>
    <n v="1"/>
    <x v="0"/>
    <s v="Mercadinho Bambina"/>
    <s v="Batata Palha 140 g"/>
    <s v="pcte"/>
    <n v="2"/>
    <n v="7.8"/>
    <n v="15.6"/>
  </r>
  <r>
    <s v="Outubro"/>
    <s v="SEMANA 1"/>
    <n v="1"/>
    <x v="1"/>
    <s v="Mercadinho Bambina"/>
    <s v="Manjericão"/>
    <s v="kg"/>
    <n v="0.1"/>
    <n v="32.999999999999993"/>
    <n v="3.2999999999999994"/>
  </r>
  <r>
    <s v="Outubro"/>
    <s v="SEMANA 1"/>
    <n v="1"/>
    <x v="0"/>
    <s v="Planeta Gelo"/>
    <s v="Gelo em Escamas"/>
    <s v="saco"/>
    <n v="1"/>
    <n v="7.5"/>
    <n v="7.5"/>
  </r>
  <r>
    <s v="Outubro"/>
    <s v="SEMANA 1"/>
    <n v="1"/>
    <x v="0"/>
    <s v="Planeta Gelo"/>
    <s v="Gelo em Cubo"/>
    <s v="saco"/>
    <n v="2"/>
    <n v="7.5"/>
    <n v="15"/>
  </r>
  <r>
    <s v="Outubro"/>
    <s v="SEMANA 1"/>
    <n v="2"/>
    <x v="0"/>
    <s v="Planeta Gelo"/>
    <s v="Gelo em Escamas"/>
    <s v="saco"/>
    <n v="1"/>
    <n v="7.5"/>
    <n v="7.5"/>
  </r>
  <r>
    <s v="Outubro"/>
    <s v="SEMANA 1"/>
    <n v="2"/>
    <x v="0"/>
    <s v="Planeta Gelo"/>
    <s v="Gelo em Cubo"/>
    <s v="saco"/>
    <n v="3"/>
    <n v="7.5"/>
    <n v="22.5"/>
  </r>
  <r>
    <s v="Outubro"/>
    <s v="SEMANA 1"/>
    <n v="2"/>
    <x v="0"/>
    <s v="Mercadinho Bambina"/>
    <s v="Pão Francês"/>
    <s v="kg"/>
    <n v="0.185"/>
    <n v="13.98"/>
    <n v="2.5863"/>
  </r>
  <r>
    <s v="Outubro"/>
    <s v="SEMANA 1"/>
    <n v="2"/>
    <x v="0"/>
    <s v="Feira"/>
    <s v="Massa de Pastel"/>
    <s v="kg"/>
    <n v="28.2"/>
    <n v="7.4468085106382977"/>
    <n v="210"/>
  </r>
  <r>
    <s v="Outubro"/>
    <s v="SEMANA 1"/>
    <n v="2"/>
    <x v="1"/>
    <s v="Feira"/>
    <s v="Acelga"/>
    <s v="kg"/>
    <n v="1.5"/>
    <n v="4"/>
    <n v="6"/>
  </r>
  <r>
    <s v="Outubro"/>
    <s v="SEMANA 1"/>
    <n v="2"/>
    <x v="1"/>
    <s v="Feira"/>
    <s v="Aipim"/>
    <s v="kg"/>
    <n v="20"/>
    <n v="5"/>
    <n v="100"/>
  </r>
  <r>
    <s v="Outubro"/>
    <s v="SEMANA 1"/>
    <n v="2"/>
    <x v="2"/>
    <s v="Fernanda Alves"/>
    <s v="Sacola Delivery"/>
    <s v="unid"/>
    <n v="5010"/>
    <n v="0.77"/>
    <n v="3857.7000000000003"/>
  </r>
  <r>
    <s v="Outubro"/>
    <s v="SEMANA 1"/>
    <n v="2"/>
    <x v="1"/>
    <s v="Sitio do Moinho"/>
    <s v="Alface Americana Orgânica"/>
    <s v="kg"/>
    <n v="11.44"/>
    <n v="6.3374125874125875"/>
    <n v="72.5"/>
  </r>
  <r>
    <s v="Outubro"/>
    <s v="SEMANA 1"/>
    <n v="2"/>
    <x v="1"/>
    <s v="Sitio do Moinho"/>
    <s v="Alface crespa Orgânica"/>
    <s v="kg"/>
    <n v="3.84"/>
    <n v="6.510416666666667"/>
    <n v="25"/>
  </r>
  <r>
    <s v="Outubro"/>
    <s v="SEMANA 1"/>
    <n v="2"/>
    <x v="1"/>
    <s v="Sitio do Moinho"/>
    <s v="Alface Roxa Orgânica"/>
    <s v="kg"/>
    <n v="1.44"/>
    <n v="10.416666666666668"/>
    <n v="15.000000000000002"/>
  </r>
  <r>
    <s v="Outubro"/>
    <s v="SEMANA 1"/>
    <n v="2"/>
    <x v="1"/>
    <s v="Sitio do Moinho"/>
    <s v="Beterraba Orgânica"/>
    <s v="kg"/>
    <n v="3"/>
    <n v="7.7"/>
    <n v="23.1"/>
  </r>
  <r>
    <s v="Outubro"/>
    <s v="SEMANA 1"/>
    <n v="2"/>
    <x v="1"/>
    <s v="Sitio do Moinho"/>
    <s v="Cenoura Orgânica"/>
    <s v="kg"/>
    <n v="6"/>
    <n v="7.75"/>
    <n v="46.5"/>
  </r>
  <r>
    <s v="Outubro"/>
    <s v="SEMANA 1"/>
    <n v="2"/>
    <x v="1"/>
    <s v="Sitio do Moinho"/>
    <s v="Rúcula Orgânica"/>
    <s v="kg"/>
    <n v="3"/>
    <n v="21.333333333333332"/>
    <n v="64"/>
  </r>
  <r>
    <s v="Outubro"/>
    <s v="SEMANA 1"/>
    <n v="2"/>
    <x v="0"/>
    <s v="Laticinios Alhambra"/>
    <s v="Creme de Leite Culinário 20% Bd 10 Lt"/>
    <s v="bd"/>
    <n v="1"/>
    <n v="142.44999999999999"/>
    <n v="142.44999999999999"/>
  </r>
  <r>
    <s v="Outubro"/>
    <s v="SEMANA 1"/>
    <n v="2"/>
    <x v="0"/>
    <s v="Laticinios Alhambra"/>
    <s v="Queijo Mussarela"/>
    <s v="kg"/>
    <n v="3.5"/>
    <n v="26"/>
    <n v="91"/>
  </r>
  <r>
    <s v="Outubro"/>
    <s v="SEMANA 1"/>
    <n v="2"/>
    <x v="0"/>
    <s v="Laticinios Alhambra"/>
    <s v="Queijo Minas"/>
    <s v="kg"/>
    <n v="4.5999999999999996"/>
    <n v="20.8"/>
    <n v="95.679999999999993"/>
  </r>
  <r>
    <s v="Outubro"/>
    <s v="SEMANA 1"/>
    <n v="2"/>
    <x v="3"/>
    <s v="Pescarimarcar"/>
    <s v="Pescados - Filé Linguado Cong. G"/>
    <s v="kg"/>
    <n v="30"/>
    <n v="42"/>
    <n v="1260"/>
  </r>
  <r>
    <s v="Outubro"/>
    <s v="SEMANA 1"/>
    <n v="2"/>
    <x v="3"/>
    <s v="Pescarimarcar"/>
    <s v="Pescados - Lula Calamares"/>
    <s v="kg"/>
    <n v="10"/>
    <n v="28"/>
    <n v="280"/>
  </r>
  <r>
    <s v="Outubro"/>
    <s v="SEMANA 1"/>
    <n v="2"/>
    <x v="3"/>
    <s v="Barrinhas"/>
    <s v="Pescados - Bacalhau Salgado"/>
    <s v="kg"/>
    <n v="25"/>
    <n v="43.921599999999998"/>
    <n v="1098.04"/>
  </r>
  <r>
    <s v="Outubro"/>
    <s v="SEMANA 1"/>
    <n v="2"/>
    <x v="3"/>
    <s v="Reginaves"/>
    <s v="Aves - Filé de Peito de Frango"/>
    <s v="kg"/>
    <n v="48"/>
    <n v="7.8"/>
    <n v="374.4"/>
  </r>
  <r>
    <s v="Outubro"/>
    <s v="SEMANA 1"/>
    <n v="2"/>
    <x v="4"/>
    <s v="Frigorifico Jahu"/>
    <s v="Pescados - Salmão Inteiro Sushi"/>
    <s v="kg"/>
    <n v="22.05"/>
    <n v="27.900200000000002"/>
    <n v="615.19941000000006"/>
  </r>
  <r>
    <s v="Outubro"/>
    <s v="SEMANA 1"/>
    <n v="2"/>
    <x v="1"/>
    <s v="Alcibiades G. Quintas"/>
    <s v="Batata Doce"/>
    <s v="kg"/>
    <n v="17.940000000000001"/>
    <n v="1.6722408026755851"/>
    <n v="29.999999999999996"/>
  </r>
  <r>
    <s v="Outubro"/>
    <s v="SEMANA 1"/>
    <n v="2"/>
    <x v="1"/>
    <s v="Alcibiades G. Quintas"/>
    <s v="Pimentão Verde"/>
    <s v="kg"/>
    <n v="1"/>
    <n v="4"/>
    <n v="4"/>
  </r>
  <r>
    <s v="Outubro"/>
    <s v="SEMANA 1"/>
    <n v="2"/>
    <x v="1"/>
    <s v="Alcibiades G. Quintas"/>
    <s v="Pimentão Amarelo"/>
    <s v="kg"/>
    <n v="1"/>
    <n v="8"/>
    <n v="8"/>
  </r>
  <r>
    <s v="Outubro"/>
    <s v="SEMANA 1"/>
    <n v="2"/>
    <x v="1"/>
    <s v="Alcibiades G. Quintas"/>
    <s v="Pimentão Vermelho"/>
    <s v="kg"/>
    <n v="1"/>
    <n v="8"/>
    <n v="8"/>
  </r>
  <r>
    <s v="Outubro"/>
    <s v="SEMANA 1"/>
    <n v="2"/>
    <x v="1"/>
    <s v="Alcibiades G. Quintas"/>
    <s v="Tomate Salada"/>
    <s v="kg"/>
    <n v="21.54"/>
    <n v="2.0891364902506964"/>
    <n v="45"/>
  </r>
  <r>
    <s v="Outubro"/>
    <s v="SEMANA 1"/>
    <n v="2"/>
    <x v="1"/>
    <s v="Alcibiades G. Quintas"/>
    <s v="Alho Poró "/>
    <s v="kg"/>
    <n v="2"/>
    <n v="8"/>
    <n v="16"/>
  </r>
  <r>
    <s v="Outubro"/>
    <s v="SEMANA 1"/>
    <n v="2"/>
    <x v="1"/>
    <s v="Alcibiades G. Quintas"/>
    <s v="Brócolis Americano"/>
    <s v="kg"/>
    <n v="8"/>
    <n v="7"/>
    <n v="56"/>
  </r>
  <r>
    <s v="Outubro"/>
    <s v="SEMANA 1"/>
    <n v="2"/>
    <x v="1"/>
    <s v="Alcibiades G. Quintas"/>
    <s v="Banana D'Água"/>
    <s v="kg"/>
    <n v="2"/>
    <n v="3.4"/>
    <n v="6.8"/>
  </r>
  <r>
    <s v="Outubro"/>
    <s v="SEMANA 1"/>
    <n v="2"/>
    <x v="1"/>
    <s v="Alcibiades G. Quintas"/>
    <s v="Limão"/>
    <s v="kg"/>
    <n v="20.02"/>
    <n v="5.4945054945054945"/>
    <n v="110"/>
  </r>
  <r>
    <s v="Outubro"/>
    <s v="SEMANA 1"/>
    <n v="2"/>
    <x v="1"/>
    <s v="Alcibiades G. Quintas"/>
    <s v="Manga Palmer"/>
    <s v="kg"/>
    <n v="5.5"/>
    <n v="5.4545454545454541"/>
    <n v="29.999999999999996"/>
  </r>
  <r>
    <s v="Outubro"/>
    <s v="SEMANA 1"/>
    <n v="2"/>
    <x v="1"/>
    <s v="Alcibiades G. Quintas"/>
    <s v="Pera"/>
    <s v="kg"/>
    <n v="3"/>
    <n v="8"/>
    <n v="24"/>
  </r>
  <r>
    <s v="Outubro"/>
    <s v="SEMANA 1"/>
    <n v="2"/>
    <x v="1"/>
    <s v="Umehara"/>
    <s v="Batata HBT"/>
    <s v="kg"/>
    <n v="25"/>
    <n v="1.25"/>
    <n v="31.25"/>
  </r>
  <r>
    <s v="Outubro"/>
    <s v="SEMANA 1"/>
    <n v="2"/>
    <x v="1"/>
    <s v="Umehara"/>
    <s v="Cebola"/>
    <s v="kg"/>
    <n v="20.62"/>
    <n v="1.2851600387972841"/>
    <n v="26.5"/>
  </r>
  <r>
    <s v="Outubro"/>
    <s v="SEMANA 1"/>
    <n v="2"/>
    <x v="1"/>
    <s v="Umehara"/>
    <s v="Cebolinha Verde"/>
    <s v="kg"/>
    <n v="1"/>
    <n v="7.5"/>
    <n v="7.5"/>
  </r>
  <r>
    <s v="Outubro"/>
    <s v="SEMANA 1"/>
    <n v="2"/>
    <x v="1"/>
    <s v="Umehara"/>
    <s v="Côco Verde"/>
    <s v="unid"/>
    <n v="10"/>
    <n v="1.8"/>
    <n v="18"/>
  </r>
  <r>
    <s v="Outubro"/>
    <s v="SEMANA 1"/>
    <n v="2"/>
    <x v="1"/>
    <s v="Umehara"/>
    <s v="Goiaba"/>
    <s v="kg"/>
    <n v="2.5"/>
    <n v="6"/>
    <n v="15"/>
  </r>
  <r>
    <s v="Outubro"/>
    <s v="SEMANA 1"/>
    <n v="2"/>
    <x v="1"/>
    <s v="Umehara"/>
    <s v="Mamão Bahia"/>
    <s v="kg"/>
    <n v="1.8"/>
    <n v="3.5"/>
    <n v="6.3"/>
  </r>
  <r>
    <s v="Outubro"/>
    <s v="SEMANA 1"/>
    <n v="2"/>
    <x v="1"/>
    <s v="Umehara"/>
    <s v="Melão de Rede "/>
    <s v="kg"/>
    <n v="1.8"/>
    <n v="5.9"/>
    <n v="10.620000000000001"/>
  </r>
  <r>
    <s v="Outubro"/>
    <s v="SEMANA 1"/>
    <n v="2"/>
    <x v="1"/>
    <s v="Umehara"/>
    <s v="Salsa"/>
    <s v="kg"/>
    <n v="1"/>
    <n v="7.5"/>
    <n v="7.5"/>
  </r>
  <r>
    <s v="Outubro"/>
    <s v="SEMANA 1"/>
    <n v="2"/>
    <x v="1"/>
    <s v="Umehara"/>
    <s v="Abacaxi "/>
    <s v="kg"/>
    <n v="15"/>
    <n v="2.5"/>
    <n v="37.5"/>
  </r>
  <r>
    <s v="Outubro"/>
    <s v="SEMANA 1"/>
    <n v="2"/>
    <x v="1"/>
    <s v="Umehara"/>
    <s v="Acelga"/>
    <s v="kg"/>
    <n v="2.6"/>
    <n v="2.2000000000000002"/>
    <n v="5.7200000000000006"/>
  </r>
  <r>
    <s v="Outubro"/>
    <s v="SEMANA 1"/>
    <n v="2"/>
    <x v="1"/>
    <s v="Umehara"/>
    <s v="Endivia"/>
    <s v="kg"/>
    <n v="2.5"/>
    <n v="19.899999999999999"/>
    <n v="49.75"/>
  </r>
  <r>
    <s v="Outubro"/>
    <s v="SEMANA 1"/>
    <n v="2"/>
    <x v="1"/>
    <s v="Umehara"/>
    <s v="Espinafre"/>
    <s v="kg"/>
    <n v="2.2999999999999998"/>
    <n v="5.9"/>
    <n v="13.57"/>
  </r>
  <r>
    <s v="Outubro"/>
    <s v="SEMANA 1"/>
    <n v="2"/>
    <x v="1"/>
    <s v="Umehara"/>
    <s v="Laranja Pera"/>
    <s v="kg"/>
    <n v="21.42"/>
    <n v="1.2605042016806722"/>
    <n v="27"/>
  </r>
  <r>
    <s v="Outubro"/>
    <s v="SEMANA 1"/>
    <n v="2"/>
    <x v="1"/>
    <s v="Umehara"/>
    <s v="Melância"/>
    <s v="kg"/>
    <n v="11"/>
    <n v="1.59"/>
    <n v="17.490000000000002"/>
  </r>
  <r>
    <s v="Outubro"/>
    <s v="SEMANA 1"/>
    <n v="2"/>
    <x v="1"/>
    <s v="Umehara"/>
    <s v="Couve Flor"/>
    <s v="kg"/>
    <n v="3"/>
    <n v="4.25"/>
    <n v="12.75"/>
  </r>
  <r>
    <s v="Outubro"/>
    <s v="SEMANA 1"/>
    <n v="2"/>
    <x v="1"/>
    <s v="Umehara"/>
    <s v="Maçã Nacional"/>
    <s v="kg"/>
    <n v="2.5"/>
    <n v="3.22"/>
    <n v="8.0500000000000007"/>
  </r>
  <r>
    <s v="Outubro"/>
    <s v="SEMANA 1"/>
    <n v="2"/>
    <x v="1"/>
    <s v="Umehara"/>
    <s v="Manjericão"/>
    <s v="kg"/>
    <n v="0.5"/>
    <n v="12.5"/>
    <n v="6.25"/>
  </r>
  <r>
    <s v="Outubro"/>
    <s v="SEMANA 1"/>
    <n v="3"/>
    <x v="0"/>
    <s v="Super Mercado Zonasul"/>
    <s v="Côco Seco"/>
    <s v="kg"/>
    <n v="1.63"/>
    <n v="8.99"/>
    <n v="14.653699999999999"/>
  </r>
  <r>
    <s v="Outubro"/>
    <s v="SEMANA 1"/>
    <n v="3"/>
    <x v="0"/>
    <s v="Mercadinho Bambina"/>
    <s v="Pão Francês"/>
    <s v="kg"/>
    <n v="0.2"/>
    <n v="13.98"/>
    <n v="2.7960000000000003"/>
  </r>
  <r>
    <s v="Outubro"/>
    <s v="SEMANA 1"/>
    <n v="3"/>
    <x v="0"/>
    <s v="Mercadinho Bambina"/>
    <s v="Pão de Forma"/>
    <s v="pcte"/>
    <n v="2"/>
    <n v="3.9350000000000001"/>
    <n v="7.87"/>
  </r>
  <r>
    <s v="Outubro"/>
    <s v="SEMANA 1"/>
    <n v="3"/>
    <x v="0"/>
    <s v="Mercadinho Bambina"/>
    <s v="Gelatina em pó s/ sabor (incolor)"/>
    <s v="pcte"/>
    <n v="2"/>
    <n v="5.45"/>
    <n v="10.9"/>
  </r>
  <r>
    <s v="Outubro"/>
    <s v="SEMANA 1"/>
    <n v="3"/>
    <x v="0"/>
    <s v="Mercadinho Bambina"/>
    <s v="Batata Palha 140 g"/>
    <s v="pcte"/>
    <n v="1"/>
    <n v="7.8"/>
    <n v="7.8"/>
  </r>
  <r>
    <s v="Outubro"/>
    <s v="SEMANA 1"/>
    <n v="3"/>
    <x v="0"/>
    <s v="Mercadinho Bambina"/>
    <s v="Tapioca Granulada "/>
    <s v="kg"/>
    <n v="2"/>
    <n v="11"/>
    <n v="22"/>
  </r>
  <r>
    <s v="Outubro"/>
    <s v="SEMANA 1"/>
    <n v="3"/>
    <x v="0"/>
    <s v="Mercadinho Bambina"/>
    <s v="Chá diversos sache"/>
    <s v="pcte"/>
    <n v="1"/>
    <n v="5.98"/>
    <n v="5.98"/>
  </r>
  <r>
    <s v="Outubro"/>
    <s v="SEMANA 1"/>
    <n v="3"/>
    <x v="0"/>
    <s v="Mercadinho Bambina"/>
    <s v="Batata Palha 140 g"/>
    <s v="pcte"/>
    <n v="1"/>
    <n v="6.98"/>
    <n v="6.98"/>
  </r>
  <r>
    <s v="Outubro"/>
    <s v="SEMANA 1"/>
    <n v="3"/>
    <x v="0"/>
    <s v="Mercadinho Bambina"/>
    <s v="Goiabada"/>
    <s v="unid"/>
    <n v="2"/>
    <n v="7.98"/>
    <n v="15.96"/>
  </r>
  <r>
    <s v="Outubro"/>
    <s v="SEMANA 1"/>
    <n v="3"/>
    <x v="0"/>
    <s v="Mercadinho Bambina"/>
    <s v="Yogurt de Pessego"/>
    <s v="unid"/>
    <n v="2"/>
    <n v="6.98"/>
    <n v="13.96"/>
  </r>
  <r>
    <s v="Outubro"/>
    <s v="SEMANA 1"/>
    <n v="2"/>
    <x v="3"/>
    <s v="Nutry Max"/>
    <s v="Aves - Sobrecoxa"/>
    <s v="kg"/>
    <n v="18"/>
    <n v="5.35"/>
    <n v="96.3"/>
  </r>
  <r>
    <s v="Outubro"/>
    <s v="SEMANA 1"/>
    <n v="2"/>
    <x v="3"/>
    <s v="Nutry Max"/>
    <s v="Carne Bovina - Carne Seca"/>
    <s v="kg"/>
    <n v="15"/>
    <n v="16.190000000000001"/>
    <n v="242.85000000000002"/>
  </r>
  <r>
    <s v="Outubro"/>
    <s v="SEMANA 1"/>
    <n v="2"/>
    <x v="3"/>
    <s v="Nutry Max"/>
    <s v="Carne Bovina - Peito"/>
    <s v="kg"/>
    <n v="23.576000000000001"/>
    <n v="10.99"/>
    <n v="259.10023999999999"/>
  </r>
  <r>
    <s v="Outubro"/>
    <s v="SEMANA 1"/>
    <n v="2"/>
    <x v="3"/>
    <s v="Nutry Max"/>
    <s v="Suíno - Linguiça Calabresa"/>
    <s v="kg"/>
    <n v="2.5"/>
    <n v="9.49"/>
    <n v="23.725000000000001"/>
  </r>
  <r>
    <s v="Outubro"/>
    <s v="SEMANA 1"/>
    <n v="2"/>
    <x v="3"/>
    <s v="Nutry Max"/>
    <s v="Carne Bovina - Bucho"/>
    <s v="kg"/>
    <n v="20.04"/>
    <n v="8.99"/>
    <n v="180.15959999999998"/>
  </r>
  <r>
    <s v="Outubro"/>
    <s v="SEMANA 1"/>
    <n v="3"/>
    <x v="1"/>
    <s v="Umehara"/>
    <s v="Abobora"/>
    <s v="kg"/>
    <n v="10.6"/>
    <n v="2.2000000000000002"/>
    <n v="23.32"/>
  </r>
  <r>
    <s v="Outubro"/>
    <s v="SEMANA 1"/>
    <n v="3"/>
    <x v="1"/>
    <s v="Umehara"/>
    <s v="Banana D'Água"/>
    <s v="kg"/>
    <n v="7"/>
    <n v="2.2000000000000002"/>
    <n v="15.400000000000002"/>
  </r>
  <r>
    <s v="Outubro"/>
    <s v="SEMANA 1"/>
    <n v="3"/>
    <x v="1"/>
    <s v="Umehara"/>
    <s v="Batata Calabresa"/>
    <s v="kg"/>
    <n v="3.5"/>
    <n v="1.75"/>
    <n v="6.125"/>
  </r>
  <r>
    <s v="Outubro"/>
    <s v="SEMANA 1"/>
    <n v="3"/>
    <x v="1"/>
    <s v="Umehara"/>
    <s v="Berinjela"/>
    <s v="kg"/>
    <n v="23.16"/>
    <n v="2.9792746113989637"/>
    <n v="69"/>
  </r>
  <r>
    <s v="Outubro"/>
    <s v="SEMANA 1"/>
    <n v="3"/>
    <x v="1"/>
    <s v="Umehara"/>
    <s v="Cebolinha Verde"/>
    <s v="kg"/>
    <n v="1"/>
    <n v="7.5"/>
    <n v="7.5"/>
  </r>
  <r>
    <s v="Outubro"/>
    <s v="SEMANA 1"/>
    <n v="3"/>
    <x v="1"/>
    <s v="Umehara"/>
    <s v="Chicória"/>
    <s v="kg"/>
    <n v="8"/>
    <n v="3.5"/>
    <n v="28"/>
  </r>
  <r>
    <s v="Outubro"/>
    <s v="SEMANA 1"/>
    <n v="3"/>
    <x v="1"/>
    <s v="Umehara"/>
    <s v="Hortelã"/>
    <s v="kg"/>
    <n v="0.8"/>
    <n v="4.5"/>
    <n v="3.6"/>
  </r>
  <r>
    <s v="Outubro"/>
    <s v="SEMANA 1"/>
    <n v="3"/>
    <x v="1"/>
    <s v="Umehara"/>
    <s v="Inhame"/>
    <s v="kg"/>
    <n v="6"/>
    <n v="2.1"/>
    <n v="12.600000000000001"/>
  </r>
  <r>
    <s v="Outubro"/>
    <s v="SEMANA 1"/>
    <n v="3"/>
    <x v="1"/>
    <s v="Umehara"/>
    <s v="Manga Tommy"/>
    <s v="kg"/>
    <m/>
    <m/>
    <n v="0"/>
  </r>
  <r>
    <s v="Outubro"/>
    <s v="SEMANA 1"/>
    <n v="3"/>
    <x v="1"/>
    <s v="Umehara"/>
    <s v="Salsa"/>
    <s v="kg"/>
    <n v="1"/>
    <n v="7.5"/>
    <n v="7.5"/>
  </r>
  <r>
    <s v="Outubro"/>
    <s v="SEMANA 1"/>
    <n v="3"/>
    <x v="1"/>
    <s v="Umehara"/>
    <s v="Tomate Cereja"/>
    <s v="kg"/>
    <n v="7"/>
    <n v="7.85"/>
    <n v="54.949999999999996"/>
  </r>
  <r>
    <s v="Outubro"/>
    <s v="SEMANA 1"/>
    <n v="3"/>
    <x v="1"/>
    <s v="Umehara"/>
    <s v="Vagem Macarrão"/>
    <s v="kg"/>
    <n v="1.5"/>
    <n v="6"/>
    <n v="9"/>
  </r>
  <r>
    <s v="Outubro"/>
    <s v="SEMANA 1"/>
    <n v="3"/>
    <x v="0"/>
    <s v="Planeta Gelo"/>
    <s v="Gelo em Cubo"/>
    <s v="saco"/>
    <n v="2"/>
    <n v="7.5"/>
    <n v="15"/>
  </r>
  <r>
    <s v="Outubro"/>
    <s v="SEMANA 1"/>
    <n v="3"/>
    <x v="1"/>
    <s v="Alcibiades G. Quintas"/>
    <s v="Cenoura"/>
    <s v="kg"/>
    <n v="18.72"/>
    <n v="1.8696581196581197"/>
    <n v="35"/>
  </r>
  <r>
    <s v="Outubro"/>
    <s v="SEMANA 1"/>
    <n v="3"/>
    <x v="1"/>
    <s v="Alcibiades G. Quintas"/>
    <s v="Chuchu"/>
    <s v="kg"/>
    <n v="17.82"/>
    <n v="1.6835016835016834"/>
    <n v="30"/>
  </r>
  <r>
    <s v="Outubro"/>
    <s v="SEMANA 1"/>
    <n v="3"/>
    <x v="1"/>
    <s v="Alcibiades G. Quintas"/>
    <s v="Cebola Calabresa"/>
    <s v="kg"/>
    <n v="3"/>
    <n v="4"/>
    <n v="12"/>
  </r>
  <r>
    <s v="Outubro"/>
    <s v="SEMANA 1"/>
    <n v="3"/>
    <x v="1"/>
    <s v="Alcibiades G. Quintas"/>
    <s v="Cará"/>
    <s v="kg"/>
    <n v="2"/>
    <n v="6.8"/>
    <n v="13.6"/>
  </r>
  <r>
    <s v="Outubro"/>
    <s v="SEMANA 1"/>
    <n v="3"/>
    <x v="1"/>
    <s v="Alcibiades G. Quintas"/>
    <s v="Espinafre"/>
    <s v="kg"/>
    <n v="8"/>
    <n v="4.8"/>
    <n v="38.4"/>
  </r>
  <r>
    <s v="Outubro"/>
    <s v="SEMANA 1"/>
    <n v="3"/>
    <x v="1"/>
    <s v="Alcibiades G. Quintas"/>
    <s v="Alfafa"/>
    <s v="kg"/>
    <n v="0.6"/>
    <n v="40"/>
    <n v="24"/>
  </r>
  <r>
    <s v="Outubro"/>
    <s v="SEMANA 1"/>
    <n v="3"/>
    <x v="1"/>
    <s v="Alcibiades G. Quintas"/>
    <s v="Tofu Kilo"/>
    <s v="kg"/>
    <n v="3"/>
    <n v="14"/>
    <n v="42"/>
  </r>
  <r>
    <s v="Outubro"/>
    <s v="SEMANA 1"/>
    <n v="3"/>
    <x v="4"/>
    <s v="Alcibiades G. Quintas"/>
    <s v="Abacate Sushi"/>
    <s v="kg"/>
    <n v="1"/>
    <n v="6.8"/>
    <n v="6.8"/>
  </r>
  <r>
    <s v="Outubro"/>
    <s v="SEMANA 1"/>
    <n v="3"/>
    <x v="1"/>
    <s v="Alcibiades G. Quintas"/>
    <s v="Abacaxi "/>
    <s v="kg"/>
    <n v="6"/>
    <n v="2.4"/>
    <n v="14.399999999999999"/>
  </r>
  <r>
    <s v="Outubro"/>
    <s v="SEMANA 1"/>
    <n v="3"/>
    <x v="1"/>
    <s v="Alcibiades G. Quintas"/>
    <s v="Kiwi"/>
    <s v="kg"/>
    <n v="1"/>
    <n v="14"/>
    <n v="14"/>
  </r>
  <r>
    <s v="Outubro"/>
    <s v="SEMANA 1"/>
    <n v="3"/>
    <x v="3"/>
    <s v="Mar e Terra"/>
    <s v="Pescados - Filé Tilápia Cong."/>
    <s v="kg"/>
    <n v="32"/>
    <n v="26.3"/>
    <n v="841.6"/>
  </r>
  <r>
    <s v="Outubro"/>
    <s v="SEMANA 1"/>
    <n v="3"/>
    <x v="3"/>
    <s v="Mar e Terra"/>
    <s v="Pescados - Filé Tilápia Cong."/>
    <s v="kg"/>
    <n v="8"/>
    <n v="26.3"/>
    <n v="210.4"/>
  </r>
  <r>
    <s v="Outubro"/>
    <s v="SEMANA 1"/>
    <n v="3"/>
    <x v="2"/>
    <s v="Kolnex"/>
    <s v="Saco Plástico 50x70"/>
    <s v="pcte"/>
    <n v="3"/>
    <n v="49.85"/>
    <n v="149.55000000000001"/>
  </r>
  <r>
    <s v="Outubro"/>
    <s v="SEMANA 1"/>
    <n v="3"/>
    <x v="0"/>
    <s v="Luisa"/>
    <s v="Clara de Ovo"/>
    <s v="kg"/>
    <n v="7.73"/>
    <n v="6.4683053040103493"/>
    <n v="50"/>
  </r>
  <r>
    <s v="Outubro"/>
    <s v="SEMANA 1"/>
    <n v="3"/>
    <x v="1"/>
    <s v="Rioaves"/>
    <s v="Ovo de Codorna"/>
    <s v="pce"/>
    <n v="16"/>
    <n v="10.4"/>
    <n v="166.4"/>
  </r>
  <r>
    <s v="Outubro"/>
    <s v="SEMANA 1"/>
    <n v="3"/>
    <x v="5"/>
    <s v="Piffer Torteria"/>
    <s v="Torta Xcake Framboesa"/>
    <s v="fatia"/>
    <n v="36"/>
    <n v="6.166666666666667"/>
    <n v="222"/>
  </r>
  <r>
    <s v="Outubro"/>
    <s v="SEMANA 1"/>
    <n v="3"/>
    <x v="5"/>
    <s v="Piffer Torteria"/>
    <s v="Geléia de Framboesa"/>
    <s v="unid"/>
    <n v="2"/>
    <m/>
    <n v="0"/>
  </r>
  <r>
    <s v="Outubro"/>
    <s v="SEMANA 1"/>
    <n v="3"/>
    <x v="6"/>
    <s v="Diana (Guloseima Saudavel)"/>
    <s v="Pão de Psylium c/Quinoa"/>
    <s v="pcte"/>
    <n v="6"/>
    <n v="11.2"/>
    <n v="67.199999999999989"/>
  </r>
  <r>
    <s v="Outubro"/>
    <s v="SEMANA 1"/>
    <n v="3"/>
    <x v="7"/>
    <s v="Mamy"/>
    <s v="Bala de Alga 500 g"/>
    <s v="pcte"/>
    <n v="2"/>
    <n v="17.16"/>
    <n v="34.32"/>
  </r>
  <r>
    <s v="Outubro"/>
    <s v="SEMANA 1"/>
    <n v="3"/>
    <x v="0"/>
    <s v="Mamy"/>
    <s v="Farinha Panco"/>
    <s v="kg"/>
    <n v="6"/>
    <n v="17.7"/>
    <n v="106.19999999999999"/>
  </r>
  <r>
    <s v="Outubro"/>
    <s v="SEMANA 1"/>
    <n v="3"/>
    <x v="0"/>
    <s v="Mamy"/>
    <s v="Gergelim Branco"/>
    <s v="kg"/>
    <n v="1"/>
    <n v="16.850000000000001"/>
    <n v="16.850000000000001"/>
  </r>
  <r>
    <s v="Outubro"/>
    <s v="SEMANA 1"/>
    <n v="3"/>
    <x v="0"/>
    <s v="Mamy"/>
    <s v="Massa de Harumaki"/>
    <s v="folha"/>
    <n v="120"/>
    <n v="0.57583333333333331"/>
    <n v="69.099999999999994"/>
  </r>
  <r>
    <s v="Outubro"/>
    <s v="SEMANA 1"/>
    <n v="3"/>
    <x v="3"/>
    <s v="Nutry Max"/>
    <s v="Carne Bovina - Carne Seca"/>
    <s v="kg"/>
    <n v="10"/>
    <n v="15.95"/>
    <n v="159.5"/>
  </r>
  <r>
    <s v="Outubro"/>
    <s v="SEMANA 1"/>
    <n v="3"/>
    <x v="3"/>
    <s v="Nutry Max"/>
    <s v="Suíno - Costelinha Salgada"/>
    <s v="kg"/>
    <n v="10"/>
    <n v="9.98"/>
    <n v="99.800000000000011"/>
  </r>
  <r>
    <s v="Outubro"/>
    <s v="SEMANA 1"/>
    <n v="3"/>
    <x v="3"/>
    <s v="Nutry Max"/>
    <s v="Suíno - Linguiça de Pernil"/>
    <s v="kg"/>
    <n v="5"/>
    <n v="10.050000000000001"/>
    <n v="50.25"/>
  </r>
  <r>
    <s v="Outubro"/>
    <s v="SEMANA 1"/>
    <n v="3"/>
    <x v="3"/>
    <s v="Nutry Max"/>
    <s v="Suíno - Bacon"/>
    <s v="kg"/>
    <n v="10"/>
    <n v="13.24"/>
    <n v="132.4"/>
  </r>
  <r>
    <s v="Outubro"/>
    <s v="SEMANA 1"/>
    <n v="3"/>
    <x v="3"/>
    <s v="Nutry Max"/>
    <s v="Suíno - Pernil s/ Osso"/>
    <s v="kg"/>
    <n v="20"/>
    <n v="8.89"/>
    <n v="177.8"/>
  </r>
  <r>
    <s v="Outubro"/>
    <s v="SEMANA 1"/>
    <n v="3"/>
    <x v="3"/>
    <s v="Pescarimarcar"/>
    <s v="Pescados - Camarão IQF Evisc. 51/60"/>
    <s v="kg"/>
    <n v="14"/>
    <n v="45"/>
    <n v="630"/>
  </r>
  <r>
    <s v="Outubro"/>
    <s v="SEMANA 1"/>
    <n v="3"/>
    <x v="3"/>
    <s v="Pescarimarcar"/>
    <s v="Pescados - Filé Linguado Cong. G"/>
    <s v="kg"/>
    <n v="10"/>
    <n v="42"/>
    <n v="420"/>
  </r>
  <r>
    <s v="Outubro"/>
    <s v="SEMANA 1"/>
    <n v="3"/>
    <x v="3"/>
    <s v="Top Alto"/>
    <s v="Suíno - Lombo Salgado"/>
    <s v="kg"/>
    <n v="20"/>
    <n v="10.45"/>
    <n v="209"/>
  </r>
  <r>
    <s v="Outubro"/>
    <s v="SEMANA 1"/>
    <n v="3"/>
    <x v="3"/>
    <s v="Top Alto"/>
    <s v="Carne Bovina - Alcatra Miolo"/>
    <s v="kg"/>
    <n v="25.1"/>
    <n v="21.98"/>
    <n v="551.69800000000009"/>
  </r>
  <r>
    <s v="Outubro"/>
    <s v="SEMANA 1"/>
    <n v="3"/>
    <x v="0"/>
    <s v="Top Alto"/>
    <s v="Queijo Coalho"/>
    <s v="kg"/>
    <n v="4"/>
    <n v="24.13"/>
    <n v="96.52"/>
  </r>
  <r>
    <s v="Outubro"/>
    <s v="SEMANA 1"/>
    <n v="4"/>
    <x v="0"/>
    <s v="Rio Quality"/>
    <s v="Leite de Côco"/>
    <s v="lt"/>
    <n v="12"/>
    <n v="15.11"/>
    <n v="181.32"/>
  </r>
  <r>
    <s v="Outubro"/>
    <s v="SEMANA 1"/>
    <n v="4"/>
    <x v="0"/>
    <s v="Rio Quality"/>
    <s v="Leite Condensado 395 g"/>
    <s v="unid"/>
    <n v="48"/>
    <n v="6.6420833333333329"/>
    <n v="318.82"/>
  </r>
  <r>
    <s v="Outubro"/>
    <s v="SEMANA 1"/>
    <n v="4"/>
    <x v="0"/>
    <s v="Rio Quality"/>
    <s v="Leite Integral"/>
    <s v="lt"/>
    <n v="72"/>
    <n v="2.8890277777777778"/>
    <n v="208.01"/>
  </r>
  <r>
    <s v="Outubro"/>
    <s v="SEMANA 1"/>
    <n v="4"/>
    <x v="0"/>
    <s v="Rio Quality"/>
    <s v="Óleo de Soja 18 Lt"/>
    <s v="bag"/>
    <n v="5"/>
    <n v="61.98"/>
    <n v="309.89999999999998"/>
  </r>
  <r>
    <s v="Outubro"/>
    <s v="SEMANA 1"/>
    <n v="4"/>
    <x v="0"/>
    <s v="Rio Quality"/>
    <s v="Feijão Branco"/>
    <s v="kg"/>
    <n v="5"/>
    <n v="7.3"/>
    <n v="36.5"/>
  </r>
  <r>
    <s v="Outubro"/>
    <s v="SEMANA 1"/>
    <n v="4"/>
    <x v="0"/>
    <s v="Rio Quality"/>
    <s v="Fermento em Pó Royal 250 g"/>
    <s v="unid"/>
    <n v="6"/>
    <n v="6.9"/>
    <n v="41.400000000000006"/>
  </r>
  <r>
    <s v="Outubro"/>
    <s v="SEMANA 1"/>
    <n v="4"/>
    <x v="0"/>
    <s v="Rio Quality"/>
    <s v="Macarrão Espaghetti Nissim"/>
    <s v="kg"/>
    <n v="1.5"/>
    <n v="10.24"/>
    <n v="15.36"/>
  </r>
  <r>
    <s v="Outubro"/>
    <s v="SEMANA 1"/>
    <n v="4"/>
    <x v="0"/>
    <s v="Rio Quality"/>
    <s v="Trigo para Kibe"/>
    <s v="kg"/>
    <n v="5"/>
    <n v="3.3899999999999997"/>
    <n v="16.95"/>
  </r>
  <r>
    <s v="Outubro"/>
    <s v="SEMANA 1"/>
    <n v="4"/>
    <x v="0"/>
    <s v="J. Araujo (Arcofood)"/>
    <s v="Feijão Preto"/>
    <s v="kg"/>
    <n v="30"/>
    <n v="4.5060000000000002"/>
    <n v="135.18"/>
  </r>
  <r>
    <s v="Outubro"/>
    <s v="SEMANA 1"/>
    <n v="4"/>
    <x v="0"/>
    <s v="J. Araujo (Arcofood)"/>
    <s v="Farinha de Mandioca"/>
    <s v="kg"/>
    <n v="20"/>
    <n v="4.1304999999999996"/>
    <n v="82.609999999999985"/>
  </r>
  <r>
    <s v="Outubro"/>
    <s v="SEMANA 1"/>
    <n v="4"/>
    <x v="0"/>
    <s v="J. Araujo (Arcofood)"/>
    <s v="Sal Refinado"/>
    <s v="kg"/>
    <n v="9"/>
    <n v="0.8"/>
    <n v="7.2"/>
  </r>
  <r>
    <s v="Outubro"/>
    <s v="SEMANA 1"/>
    <n v="4"/>
    <x v="0"/>
    <s v="J. Araujo (Arcofood)"/>
    <s v="Nescau (Nestle)"/>
    <s v="kg"/>
    <n v="2"/>
    <n v="17.62"/>
    <n v="35.24"/>
  </r>
  <r>
    <s v="Outubro"/>
    <s v="SEMANA 1"/>
    <n v="4"/>
    <x v="0"/>
    <s v="Zamboni"/>
    <s v="Vinagre Aceto Balsamico"/>
    <s v="unid"/>
    <n v="2"/>
    <n v="9.02"/>
    <n v="18.04"/>
  </r>
  <r>
    <s v="Outubro"/>
    <s v="SEMANA 1"/>
    <n v="4"/>
    <x v="0"/>
    <s v="Zamboni"/>
    <s v="Café Moído 1 Kg"/>
    <s v="kg"/>
    <n v="5"/>
    <n v="16.119999999999997"/>
    <n v="80.599999999999994"/>
  </r>
  <r>
    <s v="Outubro"/>
    <s v="SEMANA 1"/>
    <n v="4"/>
    <x v="4"/>
    <s v="Zamboni"/>
    <s v="Vinagre de Arroz Sushi"/>
    <s v="lt"/>
    <n v="3.75"/>
    <n v="5.28"/>
    <n v="19.8"/>
  </r>
  <r>
    <s v="Outubro"/>
    <s v="SEMANA 1"/>
    <n v="4"/>
    <x v="0"/>
    <s v="Zamboni"/>
    <s v="Maionese Hellmanns Bd 3 Kg"/>
    <s v="bd"/>
    <n v="6"/>
    <n v="21.52"/>
    <n v="129.12"/>
  </r>
  <r>
    <s v="Outubro"/>
    <s v="SEMANA 1"/>
    <n v="4"/>
    <x v="0"/>
    <s v="Zamboni"/>
    <s v="Margarina Bd 15 Kg"/>
    <s v="bd"/>
    <n v="1"/>
    <n v="74.349999999999994"/>
    <n v="74.349999999999994"/>
  </r>
  <r>
    <s v="Outubro"/>
    <s v="SEMANA 1"/>
    <n v="4"/>
    <x v="0"/>
    <s v="Zamboni"/>
    <s v="Shoyu Light Bb 5 Lt"/>
    <s v="bb"/>
    <n v="1"/>
    <n v="59.88"/>
    <n v="59.88"/>
  </r>
  <r>
    <s v="Outubro"/>
    <s v="SEMANA 1"/>
    <n v="4"/>
    <x v="4"/>
    <s v="Zamboni"/>
    <s v="Shoyu Tradicional (Sushi) Bb 5 Lt"/>
    <s v="bb"/>
    <n v="1"/>
    <n v="47.25"/>
    <n v="47.25"/>
  </r>
  <r>
    <s v="Outubro"/>
    <s v="SEMANA 1"/>
    <n v="4"/>
    <x v="0"/>
    <s v="Zamboni"/>
    <s v="Tonkatsu Bb 5 Lt"/>
    <s v="bb"/>
    <n v="1"/>
    <n v="62.54"/>
    <n v="62.54"/>
  </r>
  <r>
    <s v="Outubro"/>
    <s v="SEMANA 1"/>
    <n v="4"/>
    <x v="0"/>
    <s v="Zamboni"/>
    <s v="Mostarda Bb 3,3, Kg"/>
    <s v="bb"/>
    <n v="1"/>
    <n v="11.16"/>
    <n v="11.16"/>
  </r>
  <r>
    <s v="Outubro"/>
    <s v="SEMANA 1"/>
    <n v="4"/>
    <x v="0"/>
    <s v="CDI"/>
    <s v="Açucar Refinado"/>
    <s v="kg"/>
    <n v="30"/>
    <n v="2.234"/>
    <n v="67.02"/>
  </r>
  <r>
    <s v="Outubro"/>
    <s v="SEMANA 1"/>
    <n v="4"/>
    <x v="0"/>
    <s v="CDI"/>
    <s v="Arroz Branco"/>
    <s v="kg"/>
    <n v="30"/>
    <n v="3.2920000000000003"/>
    <n v="98.76"/>
  </r>
  <r>
    <s v="Outubro"/>
    <s v="SEMANA 1"/>
    <n v="4"/>
    <x v="0"/>
    <s v="CDI"/>
    <s v="Feijão Mulatinho"/>
    <s v="kg"/>
    <n v="10"/>
    <n v="11.46"/>
    <n v="114.60000000000001"/>
  </r>
  <r>
    <s v="Outubro"/>
    <s v="SEMANA 1"/>
    <n v="4"/>
    <x v="0"/>
    <s v="CDI"/>
    <s v="Farinha de Trigo"/>
    <s v="kg"/>
    <n v="19"/>
    <n v="1.6220000000000001"/>
    <n v="30.818000000000001"/>
  </r>
  <r>
    <s v="Outubro"/>
    <s v="SEMANA 1"/>
    <n v="4"/>
    <x v="0"/>
    <s v="CDI"/>
    <s v="Karo Mel"/>
    <s v="unid"/>
    <n v="12"/>
    <n v="6.4333333333333336"/>
    <n v="77.2"/>
  </r>
  <r>
    <s v="Outubro"/>
    <s v="SEMANA 1"/>
    <n v="4"/>
    <x v="0"/>
    <s v="CDI"/>
    <s v="Grão de Bico"/>
    <s v="kg"/>
    <n v="10"/>
    <n v="14.84"/>
    <n v="148.4"/>
  </r>
  <r>
    <s v="Outubro"/>
    <s v="SEMANA 1"/>
    <n v="4"/>
    <x v="1"/>
    <s v="Umehara"/>
    <s v="Batata Baroa"/>
    <s v="kg"/>
    <n v="2"/>
    <n v="4.4000000000000004"/>
    <n v="8.8000000000000007"/>
  </r>
  <r>
    <s v="Outubro"/>
    <s v="SEMANA 1"/>
    <n v="4"/>
    <x v="1"/>
    <s v="Umehara"/>
    <s v="Batata HBT"/>
    <s v="kg"/>
    <n v="25"/>
    <n v="1.4"/>
    <n v="35"/>
  </r>
  <r>
    <s v="Outubro"/>
    <s v="SEMANA 1"/>
    <n v="4"/>
    <x v="1"/>
    <s v="Umehara"/>
    <s v="Cebola"/>
    <s v="kg"/>
    <n v="20.36"/>
    <n v="1.2278978388998036"/>
    <n v="25"/>
  </r>
  <r>
    <s v="Outubro"/>
    <s v="SEMANA 1"/>
    <n v="4"/>
    <x v="1"/>
    <s v="Umehara"/>
    <s v="Cebolinha Verde"/>
    <s v="kg"/>
    <n v="1"/>
    <n v="7.5"/>
    <n v="7.5"/>
  </r>
  <r>
    <s v="Outubro"/>
    <s v="SEMANA 1"/>
    <n v="4"/>
    <x v="0"/>
    <s v="Umehara"/>
    <s v="Côco Seco"/>
    <s v="kg"/>
    <n v="2"/>
    <n v="6.9"/>
    <n v="13.8"/>
  </r>
  <r>
    <s v="Outubro"/>
    <s v="SEMANA 1"/>
    <n v="4"/>
    <x v="1"/>
    <s v="Umehara"/>
    <s v="Côco Verde"/>
    <s v="unid"/>
    <n v="10"/>
    <n v="1.8"/>
    <n v="18"/>
  </r>
  <r>
    <s v="Outubro"/>
    <s v="SEMANA 1"/>
    <n v="4"/>
    <x v="1"/>
    <s v="Umehara"/>
    <s v="Couve Manteiga"/>
    <s v="kg"/>
    <n v="5"/>
    <n v="3"/>
    <n v="15"/>
  </r>
  <r>
    <s v="Outubro"/>
    <s v="SEMANA 1"/>
    <n v="4"/>
    <x v="1"/>
    <s v="Umehara"/>
    <s v="Laranja Pera"/>
    <s v="kg"/>
    <n v="20.68"/>
    <n v="1.3056092843326885"/>
    <n v="27"/>
  </r>
  <r>
    <s v="Outubro"/>
    <s v="SEMANA 1"/>
    <n v="4"/>
    <x v="1"/>
    <s v="Umehara"/>
    <s v="Limão Siciliano"/>
    <s v="kg"/>
    <n v="1"/>
    <n v="6.66"/>
    <n v="6.66"/>
  </r>
  <r>
    <s v="Outubro"/>
    <s v="SEMANA 1"/>
    <n v="4"/>
    <x v="1"/>
    <s v="Umehara"/>
    <s v="Maçã Nacional"/>
    <s v="kg"/>
    <n v="17.48"/>
    <n v="3.7185354691075516"/>
    <n v="65"/>
  </r>
  <r>
    <s v="Outubro"/>
    <s v="SEMANA 1"/>
    <n v="4"/>
    <x v="1"/>
    <s v="Umehara"/>
    <s v="Mamão Bahia"/>
    <s v="kg"/>
    <n v="4"/>
    <n v="3.26"/>
    <n v="13.04"/>
  </r>
  <r>
    <s v="Outubro"/>
    <s v="SEMANA 1"/>
    <n v="4"/>
    <x v="1"/>
    <s v="Umehara"/>
    <s v="Manga Palmer"/>
    <s v="kg"/>
    <n v="12"/>
    <n v="4"/>
    <n v="48"/>
  </r>
  <r>
    <s v="Outubro"/>
    <s v="SEMANA 1"/>
    <n v="4"/>
    <x v="4"/>
    <s v="Umehara"/>
    <s v="Manga Tommy Sushi"/>
    <s v="kg"/>
    <n v="1"/>
    <n v="3.5"/>
    <n v="3.5"/>
  </r>
  <r>
    <s v="Outubro"/>
    <s v="SEMANA 1"/>
    <n v="4"/>
    <x v="1"/>
    <s v="Umehara"/>
    <s v="Melância"/>
    <s v="kg"/>
    <n v="11"/>
    <n v="1.64"/>
    <n v="18.04"/>
  </r>
  <r>
    <s v="Outubro"/>
    <s v="SEMANA 1"/>
    <n v="4"/>
    <x v="1"/>
    <s v="Umehara"/>
    <s v="Vagem Macarrão"/>
    <s v="kg"/>
    <n v="4"/>
    <n v="6"/>
    <n v="24"/>
  </r>
  <r>
    <s v="Outubro"/>
    <s v="SEMANA 1"/>
    <n v="4"/>
    <x v="1"/>
    <s v="Alcibiades G. Quintas"/>
    <s v="Batata Doce"/>
    <s v="kg"/>
    <n v="17.52"/>
    <n v="1.7123287671232876"/>
    <n v="30"/>
  </r>
  <r>
    <s v="Outubro"/>
    <s v="SEMANA 1"/>
    <n v="4"/>
    <x v="1"/>
    <s v="Alcibiades G. Quintas"/>
    <s v="Batata Yacon"/>
    <s v="kg"/>
    <n v="0.5"/>
    <n v="8"/>
    <n v="4"/>
  </r>
  <r>
    <s v="Outubro"/>
    <s v="SEMANA 1"/>
    <n v="4"/>
    <x v="4"/>
    <s v="Alcibiades G. Quintas"/>
    <s v="Gengibre Sushi"/>
    <s v="kg"/>
    <n v="10.26"/>
    <n v="7.7972709551656925"/>
    <n v="80"/>
  </r>
  <r>
    <s v="Outubro"/>
    <s v="SEMANA 1"/>
    <n v="4"/>
    <x v="1"/>
    <s v="Alcibiades G. Quintas"/>
    <s v="Tomate Salada"/>
    <s v="kg"/>
    <n v="19.46"/>
    <n v="2.3124357656731758"/>
    <n v="45"/>
  </r>
  <r>
    <s v="Outubro"/>
    <s v="SEMANA 1"/>
    <n v="4"/>
    <x v="1"/>
    <s v="Alcibiades G. Quintas"/>
    <s v="Aipo"/>
    <s v="kg"/>
    <n v="1"/>
    <n v="4"/>
    <n v="4"/>
  </r>
  <r>
    <s v="Outubro"/>
    <s v="SEMANA 1"/>
    <n v="4"/>
    <x v="1"/>
    <s v="Alcibiades G. Quintas"/>
    <s v="Brócolis Americano"/>
    <s v="kg"/>
    <n v="8"/>
    <n v="7"/>
    <n v="56"/>
  </r>
  <r>
    <s v="Outubro"/>
    <s v="SEMANA 1"/>
    <n v="4"/>
    <x v="1"/>
    <s v="Alcibiades G. Quintas"/>
    <s v="Coentro"/>
    <s v="kg"/>
    <n v="0.5"/>
    <n v="14"/>
    <n v="7"/>
  </r>
  <r>
    <s v="Outubro"/>
    <s v="SEMANA 1"/>
    <n v="4"/>
    <x v="1"/>
    <s v="Alcibiades G. Quintas"/>
    <s v="Tomilho"/>
    <s v="kg"/>
    <n v="0.2"/>
    <n v="30"/>
    <n v="6"/>
  </r>
  <r>
    <s v="Outubro"/>
    <s v="SEMANA 1"/>
    <n v="4"/>
    <x v="1"/>
    <s v="Alcibiades G. Quintas"/>
    <s v="Broto de Feijão"/>
    <s v="kg"/>
    <n v="4.5"/>
    <n v="14"/>
    <n v="63"/>
  </r>
  <r>
    <s v="Outubro"/>
    <s v="SEMANA 1"/>
    <n v="4"/>
    <x v="1"/>
    <s v="Alcibiades G. Quintas"/>
    <s v="Abacaxi "/>
    <s v="kg"/>
    <n v="6"/>
    <n v="2.4"/>
    <n v="14.399999999999999"/>
  </r>
  <r>
    <s v="Outubro"/>
    <s v="SEMANA 1"/>
    <n v="4"/>
    <x v="1"/>
    <s v="Alcibiades G. Quintas"/>
    <s v="Banana D'Água"/>
    <s v="kg"/>
    <n v="2"/>
    <n v="3.4"/>
    <n v="6.8"/>
  </r>
  <r>
    <s v="Outubro"/>
    <s v="SEMANA 1"/>
    <n v="4"/>
    <x v="1"/>
    <s v="Alcibiades G. Quintas"/>
    <s v="Melão de Rede "/>
    <s v="kg"/>
    <n v="2.2999999999999998"/>
    <n v="5.9"/>
    <n v="13.57"/>
  </r>
  <r>
    <s v="Outubro"/>
    <s v="SEMANA 1"/>
    <n v="4"/>
    <x v="4"/>
    <s v="Toca da Lagosta"/>
    <s v="Pescados - Atum Fresco Sushi"/>
    <s v="kg"/>
    <n v="27.4"/>
    <n v="14.9"/>
    <n v="408.26"/>
  </r>
  <r>
    <s v="Outubro"/>
    <s v="SEMANA 1"/>
    <n v="4"/>
    <x v="0"/>
    <s v="Planeta Gelo"/>
    <s v="Gelo em Escamas"/>
    <s v="saco"/>
    <n v="1"/>
    <n v="7.5"/>
    <n v="7.5"/>
  </r>
  <r>
    <s v="Outubro"/>
    <s v="SEMANA 1"/>
    <n v="4"/>
    <x v="0"/>
    <s v="Planeta Gelo"/>
    <s v="Gelo em Cubo"/>
    <s v="saco"/>
    <n v="1"/>
    <n v="7.5"/>
    <n v="7.5"/>
  </r>
  <r>
    <s v="Outubro"/>
    <s v="SEMANA 1"/>
    <n v="4"/>
    <x v="3"/>
    <s v="Frigorifico Jahu"/>
    <s v="Pescados - Salmão Inteiro"/>
    <s v="kg"/>
    <n v="28.28"/>
    <n v="25.899899999999999"/>
    <n v="732.44917199999998"/>
  </r>
  <r>
    <s v="Outubro"/>
    <s v="SEMANA 1"/>
    <n v="4"/>
    <x v="0"/>
    <s v="Laticinios Alhambra"/>
    <s v="Creme de Leite Culinário 20% Bd 10 Lt"/>
    <s v="bd"/>
    <n v="1"/>
    <n v="142.44999999999999"/>
    <n v="142.44999999999999"/>
  </r>
  <r>
    <s v="Outubro"/>
    <s v="SEMANA 1"/>
    <n v="4"/>
    <x v="0"/>
    <s v="Laticinios Alhambra"/>
    <s v="Queijo Ricota"/>
    <s v="kg"/>
    <n v="5"/>
    <n v="10.6"/>
    <n v="53"/>
  </r>
  <r>
    <s v="Outubro"/>
    <s v="SEMANA 1"/>
    <n v="4"/>
    <x v="0"/>
    <s v="Laticinios Alhambra"/>
    <s v="Queijo Minas Padrão"/>
    <s v="kg"/>
    <n v="3.34"/>
    <n v="41.6"/>
    <n v="138.94399999999999"/>
  </r>
  <r>
    <s v="Outubro"/>
    <s v="SEMANA 1"/>
    <n v="4"/>
    <x v="8"/>
    <s v="Minalba"/>
    <s v="Água Mineral com Gás"/>
    <s v="unid"/>
    <n v="144"/>
    <n v="1.2539583333333333"/>
    <n v="180.57"/>
  </r>
  <r>
    <s v="Outubro"/>
    <s v="SEMANA 1"/>
    <n v="4"/>
    <x v="8"/>
    <s v="Minalba"/>
    <s v="Água Mineral sem Gás"/>
    <s v="unid"/>
    <n v="150"/>
    <n v="1.254"/>
    <n v="188.1"/>
  </r>
  <r>
    <s v="Outubro"/>
    <s v="SEMANA 1"/>
    <n v="4"/>
    <x v="9"/>
    <s v="Italimp"/>
    <s v="Álcool 70"/>
    <s v="unid"/>
    <n v="12"/>
    <n v="4.9000000000000004"/>
    <n v="58.800000000000004"/>
  </r>
  <r>
    <s v="Outubro"/>
    <s v="SEMANA 1"/>
    <n v="4"/>
    <x v="2"/>
    <s v="Italimp"/>
    <s v="Bobina Picotada 25X35"/>
    <s v="unid"/>
    <n v="1"/>
    <n v="9.42"/>
    <n v="9.42"/>
  </r>
  <r>
    <s v="Outubro"/>
    <s v="SEMANA 1"/>
    <n v="4"/>
    <x v="9"/>
    <s v="Italimp"/>
    <s v="Hipoclorito de Sódio Bb 5 Lt"/>
    <s v="bb"/>
    <n v="3"/>
    <n v="17.75"/>
    <n v="53.25"/>
  </r>
  <r>
    <s v="Outubro"/>
    <s v="SEMANA 1"/>
    <n v="4"/>
    <x v="2"/>
    <s v="Italimp"/>
    <s v="Luva Descartável c/ 100"/>
    <s v="pcte"/>
    <n v="4"/>
    <n v="1.68"/>
    <n v="6.72"/>
  </r>
  <r>
    <s v="Outubro"/>
    <s v="SEMANA 1"/>
    <n v="4"/>
    <x v="2"/>
    <s v="Italimp"/>
    <s v="Papel Higiênico Rolo"/>
    <s v="unid"/>
    <n v="64"/>
    <n v="0.99375000000000002"/>
    <n v="63.6"/>
  </r>
  <r>
    <s v="Outubro"/>
    <s v="SEMANA 1"/>
    <n v="4"/>
    <x v="9"/>
    <s v="Italimp"/>
    <s v="Saco de Lixo 100 Lt"/>
    <s v="pcte"/>
    <n v="1"/>
    <n v="36.6"/>
    <n v="36.6"/>
  </r>
  <r>
    <s v="Outubro"/>
    <s v="SEMANA 1"/>
    <n v="4"/>
    <x v="0"/>
    <s v="Mundo Natural"/>
    <s v="Gelatina Morango Stevia Plus Zero 10 g"/>
    <s v="unid"/>
    <n v="120"/>
    <n v="1.65"/>
    <n v="198"/>
  </r>
  <r>
    <s v="Outubro"/>
    <s v="SEMANA 1"/>
    <n v="4"/>
    <x v="0"/>
    <s v="Tempero Carioca"/>
    <s v="Açafrão"/>
    <s v="kg"/>
    <n v="0.3"/>
    <n v="11.9"/>
    <n v="3.57"/>
  </r>
  <r>
    <s v="Outubro"/>
    <s v="SEMANA 1"/>
    <n v="4"/>
    <x v="0"/>
    <s v="Tempero Carioca"/>
    <s v="Açucar Mascavo"/>
    <s v="kg"/>
    <n v="1"/>
    <n v="7.9"/>
    <n v="7.9"/>
  </r>
  <r>
    <s v="Outubro"/>
    <s v="SEMANA 1"/>
    <n v="4"/>
    <x v="0"/>
    <s v="Tempero Carioca"/>
    <s v="Castanha de Caju Picada"/>
    <s v="kg"/>
    <n v="1"/>
    <n v="44.9"/>
    <n v="44.9"/>
  </r>
  <r>
    <s v="Outubro"/>
    <s v="SEMANA 1"/>
    <n v="4"/>
    <x v="0"/>
    <s v="Tempero Carioca"/>
    <s v="Cevadinha"/>
    <s v="kg"/>
    <n v="3"/>
    <n v="5.9"/>
    <n v="17.700000000000003"/>
  </r>
  <r>
    <s v="Outubro"/>
    <s v="SEMANA 1"/>
    <n v="4"/>
    <x v="0"/>
    <s v="Tempero Carioca"/>
    <s v="Chimichurri"/>
    <s v="kg"/>
    <n v="0.2"/>
    <n v="26.5"/>
    <n v="5.3000000000000007"/>
  </r>
  <r>
    <s v="Outubro"/>
    <s v="SEMANA 1"/>
    <n v="4"/>
    <x v="0"/>
    <s v="Tempero Carioca"/>
    <s v="Coloral"/>
    <s v="kg"/>
    <n v="0.3"/>
    <n v="5.5"/>
    <n v="1.65"/>
  </r>
  <r>
    <s v="Outubro"/>
    <s v="SEMANA 1"/>
    <n v="4"/>
    <x v="0"/>
    <s v="Tempero Carioca"/>
    <s v="Feijão Azuki"/>
    <s v="kg"/>
    <n v="1"/>
    <n v="11.5"/>
    <n v="11.5"/>
  </r>
  <r>
    <s v="Outubro"/>
    <s v="SEMANA 1"/>
    <n v="4"/>
    <x v="0"/>
    <s v="Tempero Carioca"/>
    <s v="Feijão de Soja"/>
    <s v="kg"/>
    <n v="1"/>
    <n v="5.7"/>
    <n v="5.7"/>
  </r>
  <r>
    <s v="Outubro"/>
    <s v="SEMANA 1"/>
    <n v="4"/>
    <x v="0"/>
    <s v="Tempero Carioca"/>
    <s v="Nozes sem casca"/>
    <s v="kg"/>
    <n v="1"/>
    <n v="63"/>
    <n v="63"/>
  </r>
  <r>
    <s v="Outubro"/>
    <s v="SEMANA 1"/>
    <n v="4"/>
    <x v="0"/>
    <s v="Tempero Carioca"/>
    <s v="Quinoa"/>
    <s v="kg"/>
    <n v="1"/>
    <n v="23.9"/>
    <n v="23.9"/>
  </r>
  <r>
    <s v="Outubro"/>
    <s v="SEMANA 1"/>
    <n v="4"/>
    <x v="0"/>
    <s v="Tempero Carioca"/>
    <s v="Trigo em Grão"/>
    <s v="kg"/>
    <n v="1"/>
    <n v="3.9"/>
    <n v="3.9"/>
  </r>
  <r>
    <s v="Outubro"/>
    <s v="SEMANA 1"/>
    <n v="4"/>
    <x v="0"/>
    <s v="Tempero Carioca"/>
    <s v="Tahine Lata 500 gr"/>
    <s v="unid"/>
    <n v="2"/>
    <n v="18.95"/>
    <n v="37.9"/>
  </r>
  <r>
    <s v="Outubro"/>
    <s v="SEMANA 1"/>
    <n v="4"/>
    <x v="0"/>
    <s v="Tempero Carioca"/>
    <s v="Passas Preta"/>
    <s v="kg"/>
    <n v="2"/>
    <n v="13.5"/>
    <n v="27"/>
  </r>
  <r>
    <s v="Outubro"/>
    <s v="SEMANA 1"/>
    <n v="4"/>
    <x v="0"/>
    <s v="Nova Geração (Casa Pedro)"/>
    <s v="Arroz Integral Curto"/>
    <s v="kg"/>
    <n v="20.122"/>
    <n v="8.4200999999999997"/>
    <n v="169.42925219999998"/>
  </r>
  <r>
    <s v="Outubro"/>
    <s v="SEMANA 1"/>
    <n v="4"/>
    <x v="0"/>
    <s v="Nova Geração (Casa Pedro)"/>
    <s v="Tapioca Fina"/>
    <s v="kg"/>
    <n v="4.024"/>
    <n v="8.4990000000000006"/>
    <n v="34.199975999999999"/>
  </r>
  <r>
    <s v="Outubro"/>
    <s v="SEMANA 1"/>
    <n v="5"/>
    <x v="1"/>
    <s v="Feira"/>
    <s v="Aipim"/>
    <s v="kg"/>
    <n v="20"/>
    <n v="5"/>
    <n v="100"/>
  </r>
  <r>
    <s v="Outubro"/>
    <s v="SEMANA 1"/>
    <n v="5"/>
    <x v="0"/>
    <s v="Planeta Gelo"/>
    <s v="Gelo em Escamas"/>
    <s v="saco"/>
    <n v="2"/>
    <n v="7.5"/>
    <n v="15"/>
  </r>
  <r>
    <s v="Outubro"/>
    <s v="SEMANA 1"/>
    <n v="5"/>
    <x v="0"/>
    <s v="Planeta Gelo"/>
    <s v="Gelo em Cubo"/>
    <s v="saco"/>
    <n v="4"/>
    <n v="7.5"/>
    <n v="30"/>
  </r>
  <r>
    <s v="Outubro"/>
    <s v="SEMANA 1"/>
    <n v="5"/>
    <x v="2"/>
    <s v="Sanda Produtos"/>
    <s v="Bobina Picotada 40X50"/>
    <s v="unid"/>
    <n v="1"/>
    <n v="19.38"/>
    <n v="19.38"/>
  </r>
  <r>
    <s v="Outubro"/>
    <s v="SEMANA 1"/>
    <n v="5"/>
    <x v="9"/>
    <s v="Sanda Produtos"/>
    <s v="Esponja Dupla Face"/>
    <s v="unid"/>
    <n v="11"/>
    <n v="1.25"/>
    <n v="13.75"/>
  </r>
  <r>
    <s v="Outubro"/>
    <s v="SEMANA 1"/>
    <n v="5"/>
    <x v="9"/>
    <s v="Sanda Produtos"/>
    <s v="Fibraço"/>
    <s v="unid"/>
    <n v="15"/>
    <n v="1.64"/>
    <n v="24.599999999999998"/>
  </r>
  <r>
    <s v="Outubro"/>
    <s v="SEMANA 1"/>
    <n v="5"/>
    <x v="2"/>
    <s v="Sanda Produtos"/>
    <s v="Filme PVC 380 x 300m"/>
    <s v="unid"/>
    <n v="2"/>
    <n v="23.17"/>
    <n v="46.34"/>
  </r>
  <r>
    <s v="Outubro"/>
    <s v="SEMANA 1"/>
    <n v="5"/>
    <x v="4"/>
    <s v="Sanda Produtos"/>
    <s v="Filme PVC 380 x 1000 Sushi"/>
    <s v="unid"/>
    <n v="1"/>
    <n v="36.78"/>
    <n v="36.78"/>
  </r>
  <r>
    <s v="Outubro"/>
    <s v="SEMANA 1"/>
    <n v="5"/>
    <x v="4"/>
    <s v="Sanda Produtos"/>
    <s v="Filme PVC 380 x 1000 Sushi"/>
    <s v="unid"/>
    <n v="1"/>
    <n v="36.78"/>
    <n v="36.78"/>
  </r>
  <r>
    <s v="Outubro"/>
    <s v="SEMANA 1"/>
    <n v="5"/>
    <x v="9"/>
    <s v="Sanda Produtos"/>
    <s v="Inseticida"/>
    <s v="unid"/>
    <n v="6"/>
    <n v="10.74"/>
    <n v="64.44"/>
  </r>
  <r>
    <s v="Outubro"/>
    <s v="SEMANA 1"/>
    <n v="5"/>
    <x v="2"/>
    <s v="Sanda Produtos"/>
    <s v="Luva de Borraca Forrada"/>
    <s v="unid"/>
    <n v="3"/>
    <n v="4.9000000000000004"/>
    <n v="14.700000000000001"/>
  </r>
  <r>
    <s v="Outubro"/>
    <s v="SEMANA 1"/>
    <n v="5"/>
    <x v="9"/>
    <s v="Sanda Produtos"/>
    <s v="Saco de Lixo 20 Lt"/>
    <s v="pcte"/>
    <n v="1"/>
    <n v="8.4"/>
    <n v="8.4"/>
  </r>
  <r>
    <s v="Outubro"/>
    <s v="SEMANA 1"/>
    <n v="5"/>
    <x v="9"/>
    <s v="Sanda Produtos"/>
    <s v="Saco de Lixo 200 Lt"/>
    <s v="pcte"/>
    <n v="1"/>
    <n v="48.19"/>
    <n v="48.19"/>
  </r>
  <r>
    <s v="Outubro"/>
    <s v="SEMANA 1"/>
    <n v="5"/>
    <x v="2"/>
    <s v="Sanda Produtos"/>
    <s v="Luva Cano Longo"/>
    <s v="unid"/>
    <n v="3"/>
    <n v="17.05"/>
    <n v="51.150000000000006"/>
  </r>
  <r>
    <s v="Outubro"/>
    <s v="SEMANA 1"/>
    <n v="5"/>
    <x v="3"/>
    <s v="Frigorifico Jahu"/>
    <s v="Pescados - Camarão IQF Evisc. 51/60"/>
    <s v="kg"/>
    <n v="12"/>
    <n v="69.900000000000006"/>
    <n v="838.80000000000007"/>
  </r>
  <r>
    <s v="Outubro"/>
    <s v="SEMANA 1"/>
    <n v="5"/>
    <x v="4"/>
    <s v="Frigorifico Jahu"/>
    <s v="Pescados - Salmão Inteiro Sushi"/>
    <s v="kg"/>
    <n v="30.81"/>
    <n v="27.9"/>
    <n v="859.59899999999993"/>
  </r>
  <r>
    <s v="Outubro"/>
    <s v="SEMANA 1"/>
    <n v="5"/>
    <x v="3"/>
    <s v="Top Alto"/>
    <s v="Suíno - Costelinha Fresca"/>
    <s v="kg"/>
    <n v="15"/>
    <n v="15.74"/>
    <n v="236.1"/>
  </r>
  <r>
    <s v="Outubro"/>
    <s v="SEMANA 1"/>
    <n v="5"/>
    <x v="3"/>
    <s v="Top Alto"/>
    <s v="Suíno - Linguiça Paio"/>
    <s v="kg"/>
    <n v="10"/>
    <n v="9.48"/>
    <n v="94.800000000000011"/>
  </r>
  <r>
    <s v="Outubro"/>
    <s v="SEMANA 1"/>
    <n v="5"/>
    <x v="0"/>
    <s v="Top Alto"/>
    <s v="Queijo Parmezon"/>
    <s v="kg"/>
    <n v="5.9"/>
    <n v="23.96"/>
    <n v="141.364"/>
  </r>
  <r>
    <s v="Outubro"/>
    <s v="SEMANA 1"/>
    <n v="5"/>
    <x v="3"/>
    <s v="Truticultura da Serra"/>
    <s v="Pescados - Filé Truta Cong."/>
    <s v="kg"/>
    <n v="48"/>
    <n v="26"/>
    <n v="1248"/>
  </r>
  <r>
    <s v="Outubro"/>
    <s v="SEMANA 1"/>
    <n v="5"/>
    <x v="0"/>
    <s v="Truticultura da Serra"/>
    <s v="Cogumelo Paris"/>
    <s v="kg"/>
    <n v="5"/>
    <n v="15.5"/>
    <n v="77.5"/>
  </r>
  <r>
    <s v="Outubro"/>
    <s v="SEMANA 1"/>
    <n v="5"/>
    <x v="2"/>
    <s v="Melhoramentos"/>
    <s v="Guardanapo Pequeno"/>
    <s v="unid"/>
    <n v="192"/>
    <n v="1.7766145833333333"/>
    <n v="341.11"/>
  </r>
  <r>
    <s v="Outubro"/>
    <s v="SEMANA 1"/>
    <n v="5"/>
    <x v="2"/>
    <s v="Melhoramentos"/>
    <s v="T.P. Interfolhado Melpaper"/>
    <s v="unid"/>
    <n v="30"/>
    <n v="11.205"/>
    <n v="336.15"/>
  </r>
  <r>
    <s v="Outubro"/>
    <s v="SEMANA 1"/>
    <n v="5"/>
    <x v="3"/>
    <s v="Marfrig"/>
    <s v="Carne Bovina - Contra-filé (Chorizo)"/>
    <s v="kg"/>
    <n v="15.303000000000001"/>
    <n v="24.612200000000001"/>
    <n v="376.64049660000006"/>
  </r>
  <r>
    <s v="Outubro"/>
    <s v="SEMANA 1"/>
    <n v="5"/>
    <x v="3"/>
    <s v="Marfrig"/>
    <s v="Carne Bovina - Contra-filé (Chorizo)"/>
    <s v="kg"/>
    <n v="11.981"/>
    <n v="24.612200000000001"/>
    <n v="294.87876820000002"/>
  </r>
  <r>
    <s v="Outubro"/>
    <s v="SEMANA 1"/>
    <n v="5"/>
    <x v="0"/>
    <s v="Zamboni"/>
    <s v="Azeite Extra Virgem (Santiago) 500 ml"/>
    <s v="unid"/>
    <n v="36"/>
    <n v="16.349444444444444"/>
    <n v="588.57999999999993"/>
  </r>
  <r>
    <s v="Outubro"/>
    <s v="SEMANA 1"/>
    <n v="5"/>
    <x v="1"/>
    <s v="Umehara"/>
    <s v="Abacaxi "/>
    <s v="kg"/>
    <n v="6"/>
    <n v="2.5"/>
    <n v="15"/>
  </r>
  <r>
    <s v="Outubro"/>
    <s v="SEMANA 1"/>
    <n v="5"/>
    <x v="1"/>
    <s v="Umehara"/>
    <s v="Batata Calabresa"/>
    <s v="kg"/>
    <n v="2.5"/>
    <n v="1.75"/>
    <n v="4.375"/>
  </r>
  <r>
    <s v="Outubro"/>
    <s v="SEMANA 1"/>
    <n v="5"/>
    <x v="1"/>
    <s v="Umehara"/>
    <s v="Brócolis Nacional"/>
    <s v="kg"/>
    <n v="3"/>
    <n v="3.5"/>
    <n v="10.5"/>
  </r>
  <r>
    <s v="Outubro"/>
    <s v="SEMANA 1"/>
    <n v="5"/>
    <x v="1"/>
    <s v="Umehara"/>
    <s v="Berinjela"/>
    <s v="kg"/>
    <n v="10.72"/>
    <n v="3.2182835820895521"/>
    <n v="34.5"/>
  </r>
  <r>
    <s v="Outubro"/>
    <s v="SEMANA 1"/>
    <n v="5"/>
    <x v="0"/>
    <s v="Umehara"/>
    <s v="Côco Seco"/>
    <s v="kg"/>
    <n v="2"/>
    <n v="6.9"/>
    <n v="13.8"/>
  </r>
  <r>
    <s v="Outubro"/>
    <s v="SEMANA 1"/>
    <n v="5"/>
    <x v="1"/>
    <s v="Umehara"/>
    <s v="Couve Flor"/>
    <s v="kg"/>
    <n v="2.4"/>
    <n v="4.25"/>
    <n v="10.199999999999999"/>
  </r>
  <r>
    <s v="Outubro"/>
    <s v="SEMANA 1"/>
    <n v="5"/>
    <x v="1"/>
    <s v="Umehara"/>
    <s v="Couve Manteiga"/>
    <s v="kg"/>
    <n v="10.5"/>
    <n v="3"/>
    <n v="31.5"/>
  </r>
  <r>
    <s v="Outubro"/>
    <s v="SEMANA 1"/>
    <n v="5"/>
    <x v="1"/>
    <s v="Umehara"/>
    <s v="Mamão Bahia"/>
    <s v="kg"/>
    <n v="2.7"/>
    <n v="3.26"/>
    <n v="8.8019999999999996"/>
  </r>
  <r>
    <s v="Outubro"/>
    <s v="SEMANA 1"/>
    <n v="5"/>
    <x v="1"/>
    <s v="Umehara"/>
    <s v="Manga Palmer"/>
    <s v="kg"/>
    <m/>
    <m/>
    <n v="0"/>
  </r>
  <r>
    <s v="Outubro"/>
    <s v="SEMANA 1"/>
    <n v="5"/>
    <x v="1"/>
    <s v="Umehara"/>
    <s v="Manjericão"/>
    <s v="kg"/>
    <n v="0.5"/>
    <n v="12.5"/>
    <n v="6.25"/>
  </r>
  <r>
    <s v="Outubro"/>
    <s v="SEMANA 1"/>
    <n v="5"/>
    <x v="1"/>
    <s v="Umehara"/>
    <s v="Pepino Japonês"/>
    <s v="kg"/>
    <n v="14.54"/>
    <n v="3.4387895460797799"/>
    <n v="50"/>
  </r>
  <r>
    <s v="Outubro"/>
    <s v="SEMANA 1"/>
    <n v="5"/>
    <x v="1"/>
    <s v="Umehara"/>
    <s v="Pimentão Amarelo"/>
    <s v="kg"/>
    <n v="1"/>
    <n v="9"/>
    <n v="9"/>
  </r>
  <r>
    <s v="Outubro"/>
    <s v="SEMANA 1"/>
    <n v="5"/>
    <x v="1"/>
    <s v="Umehara"/>
    <s v="Pimentão Vermelho"/>
    <s v="kg"/>
    <n v="1"/>
    <n v="9"/>
    <n v="9"/>
  </r>
  <r>
    <s v="Outubro"/>
    <s v="SEMANA 1"/>
    <n v="5"/>
    <x v="1"/>
    <s v="Umehara"/>
    <s v="Salsa Crespa"/>
    <s v="kg"/>
    <n v="1"/>
    <n v="12.5"/>
    <n v="12.5"/>
  </r>
  <r>
    <s v="Outubro"/>
    <s v="SEMANA 1"/>
    <n v="5"/>
    <x v="1"/>
    <s v="Cheiro Verde"/>
    <s v="Abobora Japonesa"/>
    <s v="kg"/>
    <n v="2"/>
    <n v="2.5099999999999998"/>
    <n v="5.0199999999999996"/>
  </r>
  <r>
    <s v="Outubro"/>
    <s v="SEMANA 1"/>
    <n v="5"/>
    <x v="1"/>
    <s v="Cheiro Verde"/>
    <s v="Banana D'Água"/>
    <s v="kg"/>
    <n v="2.7"/>
    <n v="1.88"/>
    <n v="5.0759999999999996"/>
  </r>
  <r>
    <s v="Outubro"/>
    <s v="SEMANA 1"/>
    <n v="5"/>
    <x v="1"/>
    <s v="Cheiro Verde"/>
    <s v="Bertalha"/>
    <s v="kg"/>
    <m/>
    <m/>
    <n v="0"/>
  </r>
  <r>
    <s v="Outubro"/>
    <s v="SEMANA 1"/>
    <n v="5"/>
    <x v="1"/>
    <s v="Cheiro Verde"/>
    <s v="Côco Verde"/>
    <s v="unid"/>
    <n v="9"/>
    <n v="1.88"/>
    <n v="16.919999999999998"/>
  </r>
  <r>
    <s v="Outubro"/>
    <s v="SEMANA 1"/>
    <n v="5"/>
    <x v="1"/>
    <s v="Cheiro Verde"/>
    <s v="Coentro"/>
    <s v="kg"/>
    <n v="0.5"/>
    <n v="11.25"/>
    <n v="5.625"/>
  </r>
  <r>
    <s v="Outubro"/>
    <s v="SEMANA 1"/>
    <n v="5"/>
    <x v="1"/>
    <s v="Cheiro Verde"/>
    <s v="Espinafre"/>
    <s v="kg"/>
    <n v="7"/>
    <n v="4.4000000000000004"/>
    <n v="30.800000000000004"/>
  </r>
  <r>
    <s v="Outubro"/>
    <s v="SEMANA 1"/>
    <n v="5"/>
    <x v="1"/>
    <s v="Cheiro Verde"/>
    <s v="Ovos Extra"/>
    <s v="unid"/>
    <n v="360"/>
    <n v="0.31944444444444442"/>
    <n v="114.99999999999999"/>
  </r>
  <r>
    <s v="Outubro"/>
    <s v="SEMANA 1"/>
    <n v="6"/>
    <x v="2"/>
    <s v="Central RJ"/>
    <s v="Toalha Bobina"/>
    <s v="unid"/>
    <n v="60"/>
    <n v="12"/>
    <n v="720"/>
  </r>
  <r>
    <s v="Outubro"/>
    <s v="SEMANA 1"/>
    <n v="6"/>
    <x v="3"/>
    <s v="Reginaves"/>
    <s v="Aves - Filé de Peito de Frango"/>
    <s v="kg"/>
    <n v="48"/>
    <n v="7.8"/>
    <n v="374.4"/>
  </r>
  <r>
    <s v="Outubro"/>
    <s v="SEMANA 1"/>
    <n v="6"/>
    <x v="6"/>
    <s v="Sitio do Moinho"/>
    <s v="Abobrinha Org. Feirinha"/>
    <s v="kg"/>
    <n v="1.6120000000000001"/>
    <n v="7.85"/>
    <n v="12.654199999999999"/>
  </r>
  <r>
    <s v="Outubro"/>
    <s v="SEMANA 1"/>
    <n v="6"/>
    <x v="1"/>
    <s v="Sitio do Moinho"/>
    <s v="Alface Americana Orgânica"/>
    <s v="kg"/>
    <n v="10"/>
    <n v="8.6162988115449917"/>
    <n v="86.16298811544992"/>
  </r>
  <r>
    <s v="Outubro"/>
    <s v="SEMANA 1"/>
    <n v="6"/>
    <x v="6"/>
    <s v="Sitio do Moinho"/>
    <s v="Alface Americana Org. Feirinha"/>
    <s v="kg"/>
    <n v="1.78"/>
    <n v="8.6162988115449917"/>
    <n v="15.337011884550085"/>
  </r>
  <r>
    <s v="Outubro"/>
    <s v="SEMANA 1"/>
    <n v="6"/>
    <x v="1"/>
    <s v="Sitio do Moinho"/>
    <s v="Alface crespa Orgânica"/>
    <s v="kg"/>
    <n v="3.16"/>
    <n v="8.1775700934579429"/>
    <n v="25.841121495327101"/>
  </r>
  <r>
    <s v="Outubro"/>
    <s v="SEMANA 1"/>
    <n v="6"/>
    <x v="6"/>
    <s v="Sitio do Moinho"/>
    <s v="Alface Crespa Org. Feirinha"/>
    <s v="kg"/>
    <n v="1.1200000000000001"/>
    <n v="8.1775700934579429"/>
    <n v="9.1588785046728969"/>
  </r>
  <r>
    <s v="Outubro"/>
    <s v="SEMANA 1"/>
    <n v="6"/>
    <x v="1"/>
    <s v="Sitio do Moinho"/>
    <s v="Alface Roxa Orgânica"/>
    <s v="kg"/>
    <n v="2.68"/>
    <n v="10.093167701863353"/>
    <n v="27.049689440993788"/>
  </r>
  <r>
    <s v="Outubro"/>
    <s v="SEMANA 1"/>
    <n v="6"/>
    <x v="6"/>
    <s v="Sitio do Moinho"/>
    <s v="Alface Roxa Org. Feirinha"/>
    <s v="kg"/>
    <n v="0.54"/>
    <n v="10.093167701863353"/>
    <n v="5.4503105590062111"/>
  </r>
  <r>
    <s v="Outubro"/>
    <s v="SEMANA 1"/>
    <n v="6"/>
    <x v="6"/>
    <s v="Sitio do Moinho"/>
    <s v="Banana Prata Org. Feirinha"/>
    <s v="kg"/>
    <n v="2.39"/>
    <n v="6.55"/>
    <n v="15.654500000000001"/>
  </r>
  <r>
    <s v="Outubro"/>
    <s v="SEMANA 1"/>
    <n v="6"/>
    <x v="6"/>
    <s v="Sitio do Moinho"/>
    <s v="Berinjela Org. Feirinha"/>
    <s v="kg"/>
    <n v="1.5"/>
    <n v="8.1999999999999993"/>
    <n v="12.299999999999999"/>
  </r>
  <r>
    <s v="Outubro"/>
    <s v="SEMANA 1"/>
    <n v="6"/>
    <x v="1"/>
    <s v="Sitio do Moinho"/>
    <s v="Beterraba Orgânica"/>
    <s v="kg"/>
    <n v="6.6050000000000004"/>
    <n v="7.7"/>
    <n v="50.858500000000006"/>
  </r>
  <r>
    <s v="Outubro"/>
    <s v="SEMANA 1"/>
    <n v="6"/>
    <x v="6"/>
    <s v="Sitio do Moinho"/>
    <s v="Beterraba Orgânica Feirinha"/>
    <s v="kg"/>
    <n v="2"/>
    <n v="7.7"/>
    <n v="15.4"/>
  </r>
  <r>
    <s v="Outubro"/>
    <s v="SEMANA 1"/>
    <n v="6"/>
    <x v="1"/>
    <s v="Sitio do Moinho"/>
    <s v="Cenoura Orgânica"/>
    <s v="kg"/>
    <n v="6.0149999999999997"/>
    <n v="7.75"/>
    <n v="46.616250000000001"/>
  </r>
  <r>
    <s v="Outubro"/>
    <s v="SEMANA 1"/>
    <n v="6"/>
    <x v="6"/>
    <s v="Sitio do Moinho"/>
    <s v="Cenoura Org. Feirinha"/>
    <s v="kg"/>
    <n v="2"/>
    <n v="7.75"/>
    <n v="15.5"/>
  </r>
  <r>
    <s v="Outubro"/>
    <s v="SEMANA 1"/>
    <n v="6"/>
    <x v="6"/>
    <s v="Sitio do Moinho"/>
    <s v="Chuchu Org. Feirinha"/>
    <s v="kg"/>
    <m/>
    <m/>
    <n v="0"/>
  </r>
  <r>
    <s v="Outubro"/>
    <s v="SEMANA 1"/>
    <n v="6"/>
    <x v="6"/>
    <s v="Sitio do Moinho"/>
    <s v="Couve Orgânica Feirinha"/>
    <s v="kg"/>
    <n v="0.9"/>
    <n v="9.3333333333333339"/>
    <n v="8.4"/>
  </r>
  <r>
    <s v="Outubro"/>
    <s v="SEMANA 1"/>
    <n v="6"/>
    <x v="6"/>
    <s v="Sitio do Moinho"/>
    <s v="Pepino Japonês Org. Feirinha"/>
    <s v="kg"/>
    <n v="1.58"/>
    <n v="14"/>
    <n v="22.12"/>
  </r>
  <r>
    <s v="Outubro"/>
    <s v="SEMANA 1"/>
    <n v="6"/>
    <x v="1"/>
    <s v="Sitio do Moinho"/>
    <s v="Rúcula Orgânica"/>
    <s v="kg"/>
    <n v="3.75"/>
    <n v="21.333333333333332"/>
    <n v="80"/>
  </r>
  <r>
    <s v="Outubro"/>
    <s v="SEMANA 1"/>
    <n v="6"/>
    <x v="6"/>
    <s v="Sitio do Moinho"/>
    <s v="Rucula Org. Feirinha"/>
    <s v="kg"/>
    <n v="0.45"/>
    <n v="21.333333333333332"/>
    <n v="9.6"/>
  </r>
  <r>
    <s v="Outubro"/>
    <s v="SEMANA 1"/>
    <n v="6"/>
    <x v="0"/>
    <s v="Super Mercado Zonasul"/>
    <s v="Pão Árabe"/>
    <s v="pcte"/>
    <n v="3"/>
    <n v="10.9"/>
    <n v="32.700000000000003"/>
  </r>
  <r>
    <s v="Outubro"/>
    <s v="SEMANA 1"/>
    <n v="6"/>
    <x v="1"/>
    <s v="Super Mercado Zonasul"/>
    <s v="Banana D'Água"/>
    <s v="kg"/>
    <n v="1.85"/>
    <n v="2.9891891891891893"/>
    <n v="5.53"/>
  </r>
  <r>
    <s v="Outubro"/>
    <s v="SEMANA 1"/>
    <n v="5"/>
    <x v="2"/>
    <s v="Mercadinho Bambina"/>
    <s v="Palitos de Dente (cx 500)"/>
    <s v="unid"/>
    <n v="4"/>
    <n v="1.1000000000000001"/>
    <n v="4.4000000000000004"/>
  </r>
  <r>
    <s v="Outubro"/>
    <s v="SEMANA 1"/>
    <n v="6"/>
    <x v="3"/>
    <s v="Frisa"/>
    <s v="Carne Bovina - Picanha Grill/Churrascaria"/>
    <s v="kg"/>
    <n v="17.989999999999998"/>
    <n v="36"/>
    <n v="647.64"/>
  </r>
  <r>
    <s v="Outubro"/>
    <s v="SEMANA 1"/>
    <n v="6"/>
    <x v="3"/>
    <s v="Frisa"/>
    <s v="Carne Bovina - Filé Mignon 3/4"/>
    <s v="kg"/>
    <n v="18.73"/>
    <n v="32"/>
    <n v="599.36"/>
  </r>
  <r>
    <s v="Outubro"/>
    <s v="SEMANA 1"/>
    <n v="6"/>
    <x v="3"/>
    <s v="Frisa"/>
    <s v="Carne Bovina - Picanha Grill/Churrascaria"/>
    <s v="kg"/>
    <n v="17.54"/>
    <n v="36"/>
    <n v="631.43999999999994"/>
  </r>
  <r>
    <s v="Outubro"/>
    <s v="SEMANA 1"/>
    <n v="6"/>
    <x v="3"/>
    <s v="Frisa"/>
    <s v="Carne Bovina - Filé Mignon 3/4"/>
    <s v="kg"/>
    <n v="24.44"/>
    <n v="32"/>
    <n v="782.08"/>
  </r>
  <r>
    <s v="Outubro"/>
    <s v="SEMANA 1"/>
    <n v="6"/>
    <x v="0"/>
    <s v="Laticinios Alhambra"/>
    <s v="Creme de Leite Culinário 20% Bd 10 Lt"/>
    <s v="bd"/>
    <n v="2"/>
    <n v="142.44999999999999"/>
    <n v="284.89999999999998"/>
  </r>
  <r>
    <s v="Outubro"/>
    <s v="SEMANA 1"/>
    <n v="6"/>
    <x v="0"/>
    <s v="Laticinios Alhambra"/>
    <s v="Queijo Minas"/>
    <s v="kg"/>
    <n v="2.9"/>
    <n v="20.8"/>
    <n v="60.32"/>
  </r>
  <r>
    <s v="Outubro"/>
    <s v="SEMANA 1"/>
    <n v="6"/>
    <x v="0"/>
    <s v="Laticinios Alhambra"/>
    <s v="Queijo Ricota"/>
    <s v="kg"/>
    <n v="3.1"/>
    <n v="10.6"/>
    <n v="32.86"/>
  </r>
  <r>
    <s v="Outubro"/>
    <s v="SEMANA 1"/>
    <n v="6"/>
    <x v="0"/>
    <s v="Laticinios Alhambra"/>
    <s v="Queijo Requeijão BD 3,6 Kg"/>
    <s v="bd"/>
    <n v="1"/>
    <n v="74.400000000000006"/>
    <n v="74.400000000000006"/>
  </r>
  <r>
    <s v="Outubro"/>
    <s v="SEMANA 1"/>
    <n v="6"/>
    <x v="1"/>
    <s v="Umehara"/>
    <s v="Batata Baroa"/>
    <s v="kg"/>
    <n v="6"/>
    <n v="4.4000000000000004"/>
    <n v="26.400000000000002"/>
  </r>
  <r>
    <s v="Outubro"/>
    <s v="SEMANA 1"/>
    <n v="6"/>
    <x v="1"/>
    <s v="Umehara"/>
    <s v="Cebolinha Verde"/>
    <s v="kg"/>
    <n v="1"/>
    <n v="7.5"/>
    <n v="7.5"/>
  </r>
  <r>
    <s v="Outubro"/>
    <s v="SEMANA 1"/>
    <n v="6"/>
    <x v="1"/>
    <s v="Umehara"/>
    <s v="Couve Flor"/>
    <s v="kg"/>
    <n v="3"/>
    <n v="4.25"/>
    <n v="12.75"/>
  </r>
  <r>
    <s v="Outubro"/>
    <s v="SEMANA 1"/>
    <n v="6"/>
    <x v="1"/>
    <s v="Umehara"/>
    <s v="Goiaba"/>
    <s v="kg"/>
    <n v="2.5"/>
    <n v="6"/>
    <n v="15"/>
  </r>
  <r>
    <s v="Outubro"/>
    <s v="SEMANA 1"/>
    <n v="6"/>
    <x v="1"/>
    <s v="Umehara"/>
    <s v="Hortelã"/>
    <s v="kg"/>
    <n v="0.5"/>
    <n v="4.5"/>
    <n v="2.25"/>
  </r>
  <r>
    <s v="Outubro"/>
    <s v="SEMANA 1"/>
    <n v="6"/>
    <x v="1"/>
    <s v="Umehara"/>
    <s v="Kiwi"/>
    <s v="kg"/>
    <n v="1"/>
    <n v="14"/>
    <n v="14"/>
  </r>
  <r>
    <s v="Outubro"/>
    <s v="SEMANA 1"/>
    <n v="6"/>
    <x v="1"/>
    <s v="Umehara"/>
    <s v="Manga Palmer"/>
    <s v="kg"/>
    <n v="6"/>
    <n v="4"/>
    <n v="24"/>
  </r>
  <r>
    <s v="Outubro"/>
    <s v="SEMANA 1"/>
    <n v="6"/>
    <x v="1"/>
    <s v="Umehara"/>
    <s v="Manjericão"/>
    <s v="kg"/>
    <n v="0.3"/>
    <n v="12.5"/>
    <n v="3.75"/>
  </r>
  <r>
    <s v="Outubro"/>
    <s v="SEMANA 1"/>
    <n v="6"/>
    <x v="1"/>
    <s v="Umehara"/>
    <s v="Melância"/>
    <s v="kg"/>
    <n v="10"/>
    <n v="1.64"/>
    <n v="16.399999999999999"/>
  </r>
  <r>
    <s v="Outubro"/>
    <s v="SEMANA 1"/>
    <n v="6"/>
    <x v="1"/>
    <s v="Umehara"/>
    <s v="Ovos Extra"/>
    <s v="unid"/>
    <n v="346"/>
    <n v="0.28055555555555556"/>
    <n v="97.072222222222223"/>
  </r>
  <r>
    <s v="Outubro"/>
    <s v="SEMANA 1"/>
    <n v="6"/>
    <x v="1"/>
    <s v="Umehara"/>
    <s v="Salsa"/>
    <s v="kg"/>
    <n v="1"/>
    <n v="7.5"/>
    <n v="7.5"/>
  </r>
  <r>
    <s v="Outubro"/>
    <s v="SEMANA 1"/>
    <n v="6"/>
    <x v="1"/>
    <s v="Umehara"/>
    <s v="Tomate Salada"/>
    <s v="kg"/>
    <n v="19.8"/>
    <n v="4.545454545454545"/>
    <n v="90"/>
  </r>
  <r>
    <s v="Outubro"/>
    <s v="SEMANA 1"/>
    <n v="6"/>
    <x v="1"/>
    <s v="Umehara"/>
    <s v="Couve Manteiga"/>
    <s v="kg"/>
    <n v="1.5"/>
    <n v="3"/>
    <n v="4.5"/>
  </r>
  <r>
    <s v="Outubro"/>
    <s v="SEMANA 1"/>
    <n v="6"/>
    <x v="0"/>
    <s v="Planeta Gelo"/>
    <s v="Gelo em Escamas"/>
    <s v="saco"/>
    <n v="2"/>
    <n v="7.5"/>
    <n v="15"/>
  </r>
  <r>
    <s v="Outubro"/>
    <s v="SEMANA 1"/>
    <n v="6"/>
    <x v="0"/>
    <s v="Planeta Gelo"/>
    <s v="Gelo em Cubo"/>
    <s v="saco"/>
    <n v="2"/>
    <n v="7.5"/>
    <n v="15"/>
  </r>
  <r>
    <s v="Outubro"/>
    <s v="SEMANA 1"/>
    <n v="6"/>
    <x v="3"/>
    <s v="Frigorifico Jahu"/>
    <s v="Pescados - Salmão Inteiro"/>
    <s v="kg"/>
    <n v="27.75"/>
    <n v="25.900200000000002"/>
    <n v="718.73054999999999"/>
  </r>
  <r>
    <s v="Outubro"/>
    <s v="SEMANA 1"/>
    <n v="6"/>
    <x v="6"/>
    <s v="Lenira Brandão (Suzanne)"/>
    <s v="Bolo de Cacau Belga"/>
    <s v="unid"/>
    <n v="4"/>
    <n v="9.5"/>
    <n v="38"/>
  </r>
  <r>
    <s v="Outubro"/>
    <s v="SEMANA 1"/>
    <n v="6"/>
    <x v="6"/>
    <s v="Lenira Brandão (Suzanne)"/>
    <s v="Bolo de Banana (com Amendoas)"/>
    <s v="unid"/>
    <n v="4"/>
    <n v="9.5"/>
    <n v="38"/>
  </r>
  <r>
    <s v="Outubro"/>
    <s v="SEMANA 1"/>
    <n v="6"/>
    <x v="6"/>
    <s v="Lenira Brandão (Suzanne)"/>
    <s v="Bolo de Cenoura (com cobertura de chocolate)"/>
    <s v="unid"/>
    <n v="4"/>
    <n v="9.5"/>
    <n v="38"/>
  </r>
  <r>
    <s v="Outubro"/>
    <s v="SEMANA 1"/>
    <n v="6"/>
    <x v="6"/>
    <s v="Lenira Brandão (Suzanne)"/>
    <s v="Bolo de Fuba (com cobertura de goiaba)"/>
    <s v="unid"/>
    <n v="4"/>
    <n v="9.5"/>
    <n v="38"/>
  </r>
  <r>
    <s v="Outubro"/>
    <s v="SEMANA 1"/>
    <n v="6"/>
    <x v="6"/>
    <s v="Lenira Brandão (Suzanne)"/>
    <s v="Mini Bolo de Cacau Belga"/>
    <s v="unid"/>
    <n v="4"/>
    <n v="4.5"/>
    <n v="18"/>
  </r>
  <r>
    <s v="Outubro"/>
    <s v="SEMANA 1"/>
    <n v="6"/>
    <x v="6"/>
    <s v="Lenira Brandão (Suzanne)"/>
    <s v="Mini Bolo de Banana (com amendoas)"/>
    <s v="unid"/>
    <n v="4"/>
    <n v="4.5"/>
    <n v="18"/>
  </r>
  <r>
    <s v="Outubro"/>
    <s v="SEMANA 1"/>
    <n v="6"/>
    <x v="6"/>
    <s v="Lenira Brandão (Suzanne)"/>
    <s v="Mini Bolo de Cenoura (com cobertura de chocolate)"/>
    <s v="unid"/>
    <n v="4"/>
    <n v="4.5"/>
    <n v="18"/>
  </r>
  <r>
    <s v="Outubro"/>
    <s v="SEMANA 1"/>
    <n v="6"/>
    <x v="6"/>
    <s v="Lenira Brandão (Suzanne)"/>
    <s v="Mini Bolo de Fuba (com cobertura goiaba)"/>
    <s v="unid"/>
    <n v="4"/>
    <n v="4.5"/>
    <n v="18"/>
  </r>
  <r>
    <s v="Outubro"/>
    <s v="SEMANA 1"/>
    <n v="6"/>
    <x v="6"/>
    <s v="Lenira Brandão (Suzanne)"/>
    <s v="Petit Four de Cacau Belga"/>
    <s v="unid"/>
    <n v="6"/>
    <n v="9.5"/>
    <n v="57"/>
  </r>
  <r>
    <s v="Outubro"/>
    <s v="SEMANA 1"/>
    <n v="6"/>
    <x v="6"/>
    <s v="Lenira Brandão (Suzanne)"/>
    <s v="Petit Four de Queijo"/>
    <s v="unid"/>
    <n v="3"/>
    <n v="9.5"/>
    <n v="28.5"/>
  </r>
  <r>
    <s v="Outubro"/>
    <s v="SEMANA 1"/>
    <n v="6"/>
    <x v="6"/>
    <s v="Lenira Brandão (Suzanne)"/>
    <s v="Petit Four de Amendoas"/>
    <s v="unid"/>
    <n v="3"/>
    <n v="9.5"/>
    <n v="28.5"/>
  </r>
  <r>
    <s v="Outubro"/>
    <s v="SEMANA 1"/>
    <n v="6"/>
    <x v="1"/>
    <s v="Cheiro Verde"/>
    <s v="Abobrinha "/>
    <s v="kg"/>
    <n v="15.4"/>
    <n v="1.2175324675324675"/>
    <n v="18.75"/>
  </r>
  <r>
    <s v="Outubro"/>
    <s v="SEMANA 1"/>
    <n v="6"/>
    <x v="1"/>
    <s v="Cheiro Verde"/>
    <s v="Alho Poró "/>
    <s v="kg"/>
    <n v="1"/>
    <n v="9.9"/>
    <n v="9.9"/>
  </r>
  <r>
    <s v="Outubro"/>
    <s v="SEMANA 1"/>
    <n v="6"/>
    <x v="1"/>
    <s v="Cheiro Verde"/>
    <s v="Banana D'Água"/>
    <s v="kg"/>
    <n v="4"/>
    <n v="1.88"/>
    <n v="7.52"/>
  </r>
  <r>
    <s v="Outubro"/>
    <s v="SEMANA 1"/>
    <n v="6"/>
    <x v="1"/>
    <s v="Cheiro Verde"/>
    <s v="Cebola Roxa"/>
    <s v="kg"/>
    <n v="1"/>
    <n v="3.63"/>
    <n v="3.63"/>
  </r>
  <r>
    <s v="Outubro"/>
    <s v="SEMANA 1"/>
    <n v="6"/>
    <x v="1"/>
    <s v="Cheiro Verde"/>
    <s v="Cenoura"/>
    <s v="kg"/>
    <n v="18.05"/>
    <n v="1.8696581196581197"/>
    <n v="33.747329059829063"/>
  </r>
  <r>
    <s v="Outubro"/>
    <s v="SEMANA 1"/>
    <n v="6"/>
    <x v="1"/>
    <s v="Cheiro Verde"/>
    <s v="Espinafre"/>
    <s v="kg"/>
    <n v="5"/>
    <n v="4.4000000000000004"/>
    <n v="22"/>
  </r>
  <r>
    <s v="Outubro"/>
    <s v="SEMANA 1"/>
    <n v="6"/>
    <x v="4"/>
    <s v="Cheiro Verde"/>
    <s v="Nabo Japonês Sushi"/>
    <s v="kg"/>
    <n v="1.4259999999999999"/>
    <n v="5"/>
    <n v="7.13"/>
  </r>
  <r>
    <s v="Outubro"/>
    <s v="SEMANA 1"/>
    <n v="6"/>
    <x v="0"/>
    <s v="Rio Quality"/>
    <s v="Óleo Composto 500ml"/>
    <s v="unid"/>
    <n v="48"/>
    <n v="3.4816666666666669"/>
    <n v="167.12"/>
  </r>
  <r>
    <s v="Outubro"/>
    <s v="SEMANA 1"/>
    <n v="6"/>
    <x v="0"/>
    <s v="Rio Quality"/>
    <s v="Óleo de Soja 18 Lt"/>
    <s v="bag"/>
    <n v="1"/>
    <n v="61.98"/>
    <n v="61.98"/>
  </r>
  <r>
    <s v="Outubro"/>
    <s v="SEMANA 1"/>
    <n v="6"/>
    <x v="0"/>
    <s v="Rio Quality"/>
    <s v="Nescau (Nestle)"/>
    <s v="kg"/>
    <n v="1"/>
    <n v="18.78"/>
    <n v="18.78"/>
  </r>
  <r>
    <s v="Outubro"/>
    <s v="SEMANA 1"/>
    <n v="6"/>
    <x v="2"/>
    <s v="Rio Quality"/>
    <s v="Touca Branca"/>
    <s v="pcte"/>
    <n v="1"/>
    <n v="7.9"/>
    <n v="7.9"/>
  </r>
  <r>
    <s v="Outubro"/>
    <s v="SEMANA 1"/>
    <n v="6"/>
    <x v="4"/>
    <s v="Wah Sin"/>
    <s v="Folha de Alga 50F"/>
    <s v="pcte"/>
    <n v="8"/>
    <n v="33"/>
    <n v="264"/>
  </r>
  <r>
    <s v="Outubro"/>
    <s v="SEMANA 1"/>
    <n v="5"/>
    <x v="8"/>
    <s v="CRBS"/>
    <s v="Ice Tea Limão"/>
    <s v="unid"/>
    <n v="24"/>
    <n v="1.95875"/>
    <n v="47.01"/>
  </r>
  <r>
    <s v="Outubro"/>
    <s v="SEMANA 1"/>
    <n v="5"/>
    <x v="8"/>
    <s v="CRBS"/>
    <s v="Água Tonica"/>
    <s v="unid"/>
    <n v="12"/>
    <n v="1.8608333333333331"/>
    <n v="22.33"/>
  </r>
  <r>
    <s v="Outubro"/>
    <s v="SEMANA 1"/>
    <n v="5"/>
    <x v="8"/>
    <s v="CRBS"/>
    <s v="Guaraná Antarctica Zero (lata)"/>
    <s v="unid"/>
    <n v="120"/>
    <n v="1.33725"/>
    <n v="160.47"/>
  </r>
  <r>
    <s v="Outubro"/>
    <s v="SEMANA 1"/>
    <n v="5"/>
    <x v="8"/>
    <s v="CRBS"/>
    <s v="Guaraná Antarctica (lata)"/>
    <s v="unid"/>
    <n v="12"/>
    <n v="1.3375000000000001"/>
    <n v="16.05"/>
  </r>
  <r>
    <s v="Outubro"/>
    <s v="SEMANA 1"/>
    <n v="5"/>
    <x v="8"/>
    <s v="CRBS"/>
    <s v="H2O Limão"/>
    <s v="unid"/>
    <n v="24"/>
    <n v="2.1437500000000003"/>
    <n v="51.45"/>
  </r>
  <r>
    <s v="Outubro"/>
    <s v="SEMANA 1"/>
    <n v="5"/>
    <x v="8"/>
    <s v="CRBS"/>
    <s v="Cerveja Bohemia Long Neck 355 ml"/>
    <s v="unid"/>
    <n v="24"/>
    <n v="2.6570833333333335"/>
    <n v="63.77"/>
  </r>
  <r>
    <s v="Outubro"/>
    <s v="SEMANA 1"/>
    <n v="6"/>
    <x v="5"/>
    <s v="Artesanal Produtos"/>
    <s v="Torta de Maça Integral"/>
    <s v="fatia"/>
    <n v="20"/>
    <n v="4.9000000000000004"/>
    <n v="98"/>
  </r>
  <r>
    <s v="Outubro"/>
    <s v="SEMANA 1"/>
    <n v="6"/>
    <x v="0"/>
    <s v="Mercadinho Bambina"/>
    <s v="Batata Palha 140 g"/>
    <s v="pcte"/>
    <n v="4"/>
    <n v="7.8"/>
    <n v="31.2"/>
  </r>
  <r>
    <s v="Outubro"/>
    <s v="SEMANA 1"/>
    <n v="6"/>
    <x v="5"/>
    <s v="Atelier dos Sabores"/>
    <s v="Torta Bem Casado de Damasco"/>
    <s v="fatia"/>
    <n v="24"/>
    <n v="5.7429166666666669"/>
    <n v="137.83000000000001"/>
  </r>
  <r>
    <s v="Outubro"/>
    <s v="SEMANA 1"/>
    <n v="6"/>
    <x v="5"/>
    <s v="Atelier dos Sabores"/>
    <s v="Torta de Brigadeiro c/ Raspas"/>
    <s v="fatia"/>
    <n v="12"/>
    <n v="5.5658333333333339"/>
    <n v="66.790000000000006"/>
  </r>
  <r>
    <s v="Outubro"/>
    <s v="SEMANA 1"/>
    <n v="6"/>
    <x v="5"/>
    <s v="Atelier dos Sabores"/>
    <s v="Torta de Limão"/>
    <s v="fatia"/>
    <n v="12"/>
    <n v="5.3008333333333333"/>
    <n v="63.61"/>
  </r>
  <r>
    <s v="Outubro"/>
    <s v="SEMANA 1"/>
    <n v="6"/>
    <x v="5"/>
    <s v="Atelier dos Sabores"/>
    <s v="Torta Bem Casado de Chocolate c/ Avelã"/>
    <s v="fatia"/>
    <n v="48"/>
    <n v="5.7429166666666669"/>
    <n v="275.66000000000003"/>
  </r>
  <r>
    <s v="Outubro"/>
    <s v="SEMANA 1"/>
    <n v="6"/>
    <x v="0"/>
    <s v="Mercadinho Bambina"/>
    <s v="Flocos de Milho"/>
    <s v="kg"/>
    <n v="0.5"/>
    <n v="21"/>
    <n v="10.5"/>
  </r>
  <r>
    <s v="Outubro"/>
    <s v="SEMANA 1"/>
    <n v="4"/>
    <x v="0"/>
    <s v="Zamboni"/>
    <s v="Vinagre de Arroz (cozinha)"/>
    <s v="lt"/>
    <n v="5.25"/>
    <n v="5.28"/>
    <n v="27.720000000000002"/>
  </r>
  <r>
    <s v="Outubro"/>
    <s v="SEMANA 1"/>
    <n v="6"/>
    <x v="4"/>
    <s v="Cheiro Verde"/>
    <s v="Cenoura  Sushi"/>
    <s v="kg"/>
    <n v="0.36"/>
    <n v="1.8696581196581197"/>
    <n v="0.67307692307692302"/>
  </r>
  <r>
    <s v="Outubro"/>
    <s v="SEMANA 1"/>
    <n v="6"/>
    <x v="0"/>
    <s v="Mercearia Fuji"/>
    <s v="Misso Shiro"/>
    <s v="kg"/>
    <n v="5"/>
    <n v="22"/>
    <n v="110"/>
  </r>
  <r>
    <s v="Outubro"/>
    <s v="SEMANA 1"/>
    <n v="7"/>
    <x v="0"/>
    <s v="Planeta Gelo"/>
    <s v="Gelo em Escamas"/>
    <s v="saco"/>
    <n v="2"/>
    <n v="7.5"/>
    <n v="15"/>
  </r>
  <r>
    <s v="Outubro"/>
    <s v="SEMANA 1"/>
    <n v="7"/>
    <x v="0"/>
    <s v="Planeta Gelo"/>
    <s v="Gelo em Cubo"/>
    <s v="saco"/>
    <n v="2"/>
    <n v="7.5"/>
    <n v="15"/>
  </r>
  <r>
    <s v="Outubro"/>
    <s v="SEMANA 1"/>
    <n v="7"/>
    <x v="4"/>
    <s v="Frigorifico Jahu"/>
    <s v="Pescados - Salmão Inteiro Sushi"/>
    <s v="kg"/>
    <n v="28"/>
    <n v="25.9"/>
    <n v="725.19999999999993"/>
  </r>
  <r>
    <s v="Outubro"/>
    <s v="SEMANA 1"/>
    <n v="7"/>
    <x v="1"/>
    <s v="Batata, o Rei do Alho"/>
    <s v="Alho Descascado"/>
    <s v="kg"/>
    <n v="20"/>
    <n v="15.5"/>
    <n v="310"/>
  </r>
  <r>
    <s v="Outubro"/>
    <s v="SEMANA 1"/>
    <n v="7"/>
    <x v="1"/>
    <s v="Alcibiades G. Quintas"/>
    <s v="Pepino Japonês"/>
    <s v="kg"/>
    <n v="20.614000000000001"/>
    <n v="2.358490566037736"/>
    <n v="48.617924528301891"/>
  </r>
  <r>
    <s v="Outubro"/>
    <s v="SEMANA 1"/>
    <n v="7"/>
    <x v="1"/>
    <s v="Alcibiades G. Quintas"/>
    <s v="Pimentão Verde"/>
    <s v="kg"/>
    <n v="1"/>
    <n v="4"/>
    <n v="4"/>
  </r>
  <r>
    <s v="Outubro"/>
    <s v="SEMANA 1"/>
    <n v="7"/>
    <x v="1"/>
    <s v="Alcibiades G. Quintas"/>
    <s v="Pimentão Amarelo"/>
    <s v="kg"/>
    <n v="2"/>
    <n v="8"/>
    <n v="16"/>
  </r>
  <r>
    <s v="Outubro"/>
    <s v="SEMANA 1"/>
    <n v="7"/>
    <x v="1"/>
    <s v="Alcibiades G. Quintas"/>
    <s v="Pimentão Vermelho"/>
    <s v="kg"/>
    <n v="2"/>
    <n v="8"/>
    <n v="16"/>
  </r>
  <r>
    <s v="Outubro"/>
    <s v="SEMANA 1"/>
    <n v="7"/>
    <x v="1"/>
    <s v="Alcibiades G. Quintas"/>
    <s v="Brócolis Americano"/>
    <s v="kg"/>
    <n v="9"/>
    <n v="7"/>
    <n v="63"/>
  </r>
  <r>
    <s v="Outubro"/>
    <s v="SEMANA 1"/>
    <n v="7"/>
    <x v="1"/>
    <s v="Alcibiades G. Quintas"/>
    <s v="Capim Limão"/>
    <s v="kg"/>
    <n v="0.1"/>
    <n v="15"/>
    <n v="1.5"/>
  </r>
  <r>
    <s v="Outubro"/>
    <s v="SEMANA 1"/>
    <n v="7"/>
    <x v="1"/>
    <s v="Alcibiades G. Quintas"/>
    <s v="Abacate "/>
    <s v="kg"/>
    <n v="4"/>
    <n v="6.8"/>
    <n v="27.2"/>
  </r>
  <r>
    <s v="Outubro"/>
    <s v="SEMANA 1"/>
    <n v="7"/>
    <x v="1"/>
    <s v="Alcibiades G. Quintas"/>
    <s v="Abacaxi "/>
    <s v="kg"/>
    <n v="20"/>
    <n v="2.4"/>
    <n v="48"/>
  </r>
  <r>
    <s v="Outubro"/>
    <s v="SEMANA 1"/>
    <n v="7"/>
    <x v="1"/>
    <s v="Alcibiades G. Quintas"/>
    <s v="Limão"/>
    <s v="kg"/>
    <n v="24.28"/>
    <n v="5.5601317957166385"/>
    <n v="135"/>
  </r>
  <r>
    <s v="Outubro"/>
    <s v="SEMANA 1"/>
    <n v="7"/>
    <x v="1"/>
    <s v="Alcibiades G. Quintas"/>
    <s v="Melão de Rede "/>
    <s v="kg"/>
    <n v="2"/>
    <n v="5.9"/>
    <n v="11.8"/>
  </r>
  <r>
    <s v="Outubro"/>
    <s v="SEMANA 1"/>
    <n v="7"/>
    <x v="8"/>
    <s v="Rio de Janeiro"/>
    <s v="Coca Cola (lata)"/>
    <s v="unid"/>
    <n v="84"/>
    <n v="2.9033333333333333"/>
    <n v="243.88"/>
  </r>
  <r>
    <s v="Outubro"/>
    <s v="SEMANA 1"/>
    <n v="7"/>
    <x v="8"/>
    <s v="Rio de Janeiro"/>
    <s v="Coca Cola Zero (lata)"/>
    <s v="unid"/>
    <n v="96"/>
    <n v="2.89"/>
    <n v="277.44"/>
  </r>
  <r>
    <s v="Outubro"/>
    <s v="SEMANA 1"/>
    <n v="7"/>
    <x v="8"/>
    <s v="Rio de Janeiro"/>
    <s v="Schweppes Citrus"/>
    <s v="unid"/>
    <n v="12"/>
    <n v="2.8925000000000001"/>
    <n v="34.71"/>
  </r>
  <r>
    <s v="Outubro"/>
    <s v="SEMANA 1"/>
    <n v="7"/>
    <x v="0"/>
    <s v="Top Alto"/>
    <s v="Margarina Qualy 500 g"/>
    <s v="kg"/>
    <n v="6"/>
    <n v="8.64"/>
    <n v="51.84"/>
  </r>
  <r>
    <s v="Outubro"/>
    <s v="SEMANA 1"/>
    <n v="7"/>
    <x v="3"/>
    <s v="Top Alto"/>
    <s v="Carne Bovina - Alcatra Miolo"/>
    <s v="kg"/>
    <n v="55.92"/>
    <n v="21.98"/>
    <n v="1229.1216000000002"/>
  </r>
  <r>
    <s v="Outubro"/>
    <s v="SEMANA 1"/>
    <n v="7"/>
    <x v="0"/>
    <s v="Top Alto"/>
    <s v="Queijo Coalho"/>
    <s v="kg"/>
    <n v="6"/>
    <n v="24.13"/>
    <n v="144.78"/>
  </r>
  <r>
    <s v="Outubro"/>
    <s v="SEMANA 1"/>
    <n v="7"/>
    <x v="1"/>
    <s v="Umehara"/>
    <s v="Cebolinha Verde"/>
    <s v="kg"/>
    <n v="2"/>
    <n v="7.5"/>
    <n v="15"/>
  </r>
  <r>
    <s v="Outubro"/>
    <s v="SEMANA 1"/>
    <n v="7"/>
    <x v="1"/>
    <s v="Umehara"/>
    <s v="Hortelã"/>
    <s v="kg"/>
    <n v="0.5"/>
    <n v="4.5"/>
    <n v="2.25"/>
  </r>
  <r>
    <s v="Outubro"/>
    <s v="SEMANA 1"/>
    <n v="7"/>
    <x v="1"/>
    <s v="Umehara"/>
    <s v="Kiwi"/>
    <s v="kg"/>
    <n v="1"/>
    <n v="14"/>
    <n v="14"/>
  </r>
  <r>
    <s v="Outubro"/>
    <s v="SEMANA 1"/>
    <n v="7"/>
    <x v="1"/>
    <s v="Umehara"/>
    <s v="Manga Palmer"/>
    <s v="kg"/>
    <n v="12.56"/>
    <n v="3.8216560509554141"/>
    <n v="48"/>
  </r>
  <r>
    <s v="Outubro"/>
    <s v="SEMANA 1"/>
    <n v="7"/>
    <x v="1"/>
    <s v="Umehara"/>
    <s v="Salsa"/>
    <s v="kg"/>
    <n v="1.5"/>
    <n v="7.5"/>
    <n v="11.25"/>
  </r>
  <r>
    <s v="Outubro"/>
    <s v="SEMANA 1"/>
    <n v="7"/>
    <x v="1"/>
    <s v="Umehara"/>
    <s v="Tomate Salada"/>
    <s v="kg"/>
    <n v="1"/>
    <n v="5.99"/>
    <n v="5.99"/>
  </r>
  <r>
    <s v="Outubro"/>
    <s v="SEMANA 1"/>
    <n v="7"/>
    <x v="1"/>
    <s v="Umehara"/>
    <s v="Batata HBT"/>
    <s v="kg"/>
    <n v="25"/>
    <n v="2.25"/>
    <n v="56.25"/>
  </r>
  <r>
    <s v="Outubro"/>
    <s v="SEMANA 1"/>
    <n v="7"/>
    <x v="1"/>
    <s v="Umehara"/>
    <s v="Berinjela"/>
    <s v="kg"/>
    <n v="12.18"/>
    <n v="2.8325123152709359"/>
    <n v="34.5"/>
  </r>
  <r>
    <s v="Outubro"/>
    <s v="SEMANA 1"/>
    <n v="7"/>
    <x v="1"/>
    <s v="Umehara"/>
    <s v="Beterraba"/>
    <s v="kg"/>
    <n v="4"/>
    <n v="1.47"/>
    <n v="5.88"/>
  </r>
  <r>
    <s v="Outubro"/>
    <s v="SEMANA 1"/>
    <n v="7"/>
    <x v="1"/>
    <s v="Umehara"/>
    <s v="Côco Verde"/>
    <s v="unid"/>
    <n v="30"/>
    <n v="1.8"/>
    <n v="54"/>
  </r>
  <r>
    <s v="Outubro"/>
    <s v="SEMANA 1"/>
    <n v="7"/>
    <x v="1"/>
    <s v="Umehara"/>
    <s v="Laranja Pera"/>
    <s v="kg"/>
    <n v="41.46"/>
    <n v="1.3024602026049203"/>
    <n v="54"/>
  </r>
  <r>
    <s v="Outubro"/>
    <s v="SEMANA 1"/>
    <n v="7"/>
    <x v="1"/>
    <s v="Umehara"/>
    <s v="Limão Siciliano"/>
    <s v="kg"/>
    <n v="1"/>
    <n v="6.66"/>
    <n v="6.66"/>
  </r>
  <r>
    <s v="Outubro"/>
    <s v="SEMANA 1"/>
    <n v="7"/>
    <x v="1"/>
    <s v="Umehara"/>
    <s v="Mamão Bahia"/>
    <s v="kg"/>
    <n v="3.9"/>
    <n v="3.26"/>
    <n v="12.713999999999999"/>
  </r>
  <r>
    <s v="Outubro"/>
    <s v="SEMANA 1"/>
    <n v="7"/>
    <x v="1"/>
    <s v="Umehara"/>
    <s v="Tomate Cereja"/>
    <s v="kg"/>
    <n v="2"/>
    <n v="7.85"/>
    <n v="15.7"/>
  </r>
  <r>
    <s v="Outubro"/>
    <s v="SEMANA 1"/>
    <n v="7"/>
    <x v="1"/>
    <s v="Umehara"/>
    <s v="Cebola"/>
    <s v="kg"/>
    <n v="18.440000000000001"/>
    <n v="1.3557483731019522"/>
    <n v="25"/>
  </r>
  <r>
    <s v="Outubro"/>
    <s v="SEMANA 1"/>
    <n v="7"/>
    <x v="1"/>
    <s v="Cheiro Verde"/>
    <s v="Banana D'Água"/>
    <s v="kg"/>
    <n v="3"/>
    <n v="1.88"/>
    <n v="5.64"/>
  </r>
  <r>
    <s v="Outubro"/>
    <s v="SEMANA 1"/>
    <n v="7"/>
    <x v="1"/>
    <s v="Cheiro Verde"/>
    <s v="Abobora Japonesa"/>
    <s v="kg"/>
    <n v="10"/>
    <n v="2.5099999999999998"/>
    <n v="25.099999999999998"/>
  </r>
  <r>
    <s v="Outubro"/>
    <s v="SEMANA 1"/>
    <n v="7"/>
    <x v="1"/>
    <s v="Cheiro Verde"/>
    <s v="Aipo"/>
    <s v="kg"/>
    <n v="1"/>
    <n v="3.9"/>
    <n v="3.9"/>
  </r>
  <r>
    <s v="Outubro"/>
    <s v="SEMANA 1"/>
    <n v="7"/>
    <x v="1"/>
    <s v="Cheiro Verde"/>
    <s v="Banana da Terra"/>
    <s v="kg"/>
    <m/>
    <m/>
    <n v="0"/>
  </r>
  <r>
    <s v="Outubro"/>
    <s v="SEMANA 1"/>
    <n v="7"/>
    <x v="1"/>
    <s v="Cheiro Verde"/>
    <s v="Coentro"/>
    <s v="kg"/>
    <n v="1"/>
    <n v="11.25"/>
    <n v="11.25"/>
  </r>
  <r>
    <s v="Outubro"/>
    <s v="SEMANA 1"/>
    <n v="7"/>
    <x v="4"/>
    <s v="Cheiro Verde"/>
    <s v="Manga Tommy Sushi"/>
    <s v="kg"/>
    <n v="1"/>
    <n v="3.25"/>
    <n v="3.25"/>
  </r>
  <r>
    <s v="Outubro"/>
    <s v="SEMANA 1"/>
    <n v="7"/>
    <x v="1"/>
    <s v="Cheiro Verde"/>
    <s v="Vagem Macarrão"/>
    <s v="kg"/>
    <n v="1.5"/>
    <n v="3.75"/>
    <n v="5.625"/>
  </r>
  <r>
    <s v="Outubro"/>
    <s v="SEMANA 1"/>
    <n v="7"/>
    <x v="4"/>
    <s v="DM Com. Pescados"/>
    <s v="Pescados - Atum Fresco Sushi"/>
    <s v="kg"/>
    <n v="13"/>
    <n v="14.9"/>
    <n v="193.70000000000002"/>
  </r>
  <r>
    <s v="Outubro"/>
    <s v="SEMANA 1"/>
    <n v="7"/>
    <x v="4"/>
    <s v="DM Com. Pescados"/>
    <s v="Pescados - Namorado Fresco Sushi"/>
    <s v="kg"/>
    <n v="7.5"/>
    <n v="22.9"/>
    <n v="171.75"/>
  </r>
  <r>
    <s v="Outubro"/>
    <s v="SEMANA 1"/>
    <n v="4"/>
    <x v="4"/>
    <s v="J. Araujo (Arcofood)"/>
    <s v="Sal Sushi"/>
    <s v="kg"/>
    <n v="1"/>
    <n v="0.8"/>
    <n v="0.8"/>
  </r>
  <r>
    <s v="Outubro"/>
    <s v="SEMANA 1"/>
    <n v="6"/>
    <x v="4"/>
    <s v="Umehara"/>
    <s v="Ovos Extra Sushi"/>
    <s v="unid"/>
    <n v="14"/>
    <n v="0.28055555555555556"/>
    <n v="3.927777777777778"/>
  </r>
  <r>
    <s v="Outubro"/>
    <s v="SEMANA 1"/>
    <n v="7"/>
    <x v="0"/>
    <s v="Mercadinho Bambina"/>
    <s v="Pão Árabe"/>
    <s v="pcte"/>
    <n v="5"/>
    <n v="6.7"/>
    <n v="33.5"/>
  </r>
  <r>
    <s v="Outubro"/>
    <s v="SEMANA 1"/>
    <n v="7"/>
    <x v="4"/>
    <s v="Alcibiades G. Quintas"/>
    <s v="Pepino Japonês Sushi"/>
    <s v="kg"/>
    <n v="0.58599999999999997"/>
    <n v="2.358490566037736"/>
    <n v="1.3820754716981132"/>
  </r>
  <r>
    <s v="Outubro"/>
    <s v="SEMANA 1"/>
    <n v="6"/>
    <x v="4"/>
    <s v="Cheiro Verde"/>
    <s v="Cenoura  Sushi"/>
    <s v="kg"/>
    <n v="0.31"/>
    <n v="1.8696581196581197"/>
    <n v="0.57959401709401714"/>
  </r>
  <r>
    <s v="Outubro"/>
    <s v="SEMANA 2"/>
    <n v="8"/>
    <x v="0"/>
    <s v="Planeta Gelo"/>
    <s v="Gelo em Escamas"/>
    <s v="saco"/>
    <n v="1"/>
    <n v="7.5"/>
    <n v="7.5"/>
  </r>
  <r>
    <s v="Outubro"/>
    <s v="SEMANA 2"/>
    <n v="8"/>
    <x v="0"/>
    <s v="Planeta Gelo"/>
    <s v="Gelo em Cubo"/>
    <s v="saco"/>
    <n v="2"/>
    <n v="7.5"/>
    <n v="15"/>
  </r>
  <r>
    <s v="Outubro"/>
    <s v="SEMANA 2"/>
    <n v="9"/>
    <x v="0"/>
    <s v="Planeta Gelo"/>
    <s v="Gelo em Escamas"/>
    <s v="saco"/>
    <n v="1"/>
    <n v="7.5"/>
    <n v="7.5"/>
  </r>
  <r>
    <s v="Outubro"/>
    <s v="SEMANA 2"/>
    <n v="9"/>
    <x v="0"/>
    <s v="Planeta Gelo"/>
    <s v="Gelo em Cubo"/>
    <s v="saco"/>
    <n v="3"/>
    <n v="7.5"/>
    <n v="22.5"/>
  </r>
  <r>
    <s v="Outubro"/>
    <s v="SEMANA 2"/>
    <n v="8"/>
    <x v="0"/>
    <s v="Mercadinho Bambina"/>
    <s v="Tapioca Granulada "/>
    <s v="kg"/>
    <n v="1.5"/>
    <n v="11"/>
    <n v="16.5"/>
  </r>
  <r>
    <s v="Outubro"/>
    <s v="SEMANA 2"/>
    <n v="8"/>
    <x v="0"/>
    <s v="Mercadinho Bambina"/>
    <s v="Aveia Quaker Flocos cx 200g"/>
    <s v="unid"/>
    <n v="1"/>
    <n v="3.3"/>
    <n v="3.3"/>
  </r>
  <r>
    <s v="Outubro"/>
    <s v="SEMANA 2"/>
    <n v="8"/>
    <x v="1"/>
    <s v="Mercadinho Bambina"/>
    <s v="Banana da Terra"/>
    <s v="kg"/>
    <n v="4.4649999999999999"/>
    <n v="6.98"/>
    <n v="31.165700000000001"/>
  </r>
  <r>
    <s v="Outubro"/>
    <s v="SEMANA 2"/>
    <n v="9"/>
    <x v="0"/>
    <s v="Mercadinho Bambina"/>
    <s v="Pão de Forma"/>
    <s v="unid"/>
    <n v="2"/>
    <n v="3.89"/>
    <n v="7.78"/>
  </r>
  <r>
    <s v="Outubro"/>
    <s v="SEMANA 2"/>
    <n v="9"/>
    <x v="0"/>
    <s v="Mercadinho Bambina"/>
    <s v="Creme de Leite Chantily"/>
    <s v="kg"/>
    <n v="0.5"/>
    <n v="35"/>
    <n v="17.5"/>
  </r>
  <r>
    <s v="Outubro"/>
    <s v="SEMANA 2"/>
    <n v="9"/>
    <x v="1"/>
    <s v="Mercadinho Bambina"/>
    <s v="Manga Tommy"/>
    <s v="kg"/>
    <n v="2.78"/>
    <n v="3.98"/>
    <n v="11.064399999999999"/>
  </r>
  <r>
    <s v="Outubro"/>
    <s v="SEMANA 2"/>
    <n v="9"/>
    <x v="1"/>
    <s v="Feira"/>
    <s v="Aipim"/>
    <s v="kg"/>
    <n v="30"/>
    <n v="5"/>
    <n v="150"/>
  </r>
  <r>
    <s v="Outubro"/>
    <s v="SEMANA 2"/>
    <n v="9"/>
    <x v="1"/>
    <s v="Feira"/>
    <s v="Mamão Papaya"/>
    <s v="kg"/>
    <n v="3.24"/>
    <n v="3.0864197530864197"/>
    <n v="10"/>
  </r>
  <r>
    <s v="Outubro"/>
    <s v="SEMANA 2"/>
    <n v="9"/>
    <x v="4"/>
    <s v="Feira"/>
    <s v="Abacate Sushi"/>
    <s v="kg"/>
    <n v="0.996"/>
    <n v="6.024096385542169"/>
    <n v="6"/>
  </r>
  <r>
    <s v="Outubro"/>
    <s v="SEMANA 2"/>
    <n v="9"/>
    <x v="1"/>
    <s v="Feira"/>
    <s v="Salsa"/>
    <s v="kg"/>
    <n v="0.3"/>
    <n v="20"/>
    <n v="6"/>
  </r>
  <r>
    <s v="Outubro"/>
    <s v="SEMANA 2"/>
    <n v="9"/>
    <x v="0"/>
    <s v="Feira"/>
    <s v="Massa de Pastel"/>
    <s v="kg"/>
    <n v="28.36"/>
    <n v="7.4047954866008467"/>
    <n v="210"/>
  </r>
  <r>
    <s v="Outubro"/>
    <s v="SEMANA 2"/>
    <n v="9"/>
    <x v="1"/>
    <s v="Alcibiades G. Quintas"/>
    <s v="Batata Doce"/>
    <s v="kg"/>
    <n v="35.5"/>
    <n v="1.6901408450704225"/>
    <n v="60"/>
  </r>
  <r>
    <s v="Outubro"/>
    <s v="SEMANA 2"/>
    <n v="9"/>
    <x v="1"/>
    <s v="Alcibiades G. Quintas"/>
    <s v="Batata Yacon"/>
    <s v="kg"/>
    <n v="0.5"/>
    <n v="8"/>
    <n v="4"/>
  </r>
  <r>
    <s v="Outubro"/>
    <s v="SEMANA 2"/>
    <n v="9"/>
    <x v="1"/>
    <s v="Alcibiades G. Quintas"/>
    <s v="Jiló"/>
    <s v="kg"/>
    <n v="5"/>
    <n v="5"/>
    <n v="25"/>
  </r>
  <r>
    <s v="Outubro"/>
    <s v="SEMANA 2"/>
    <n v="9"/>
    <x v="1"/>
    <s v="Alcibiades G. Quintas"/>
    <s v="Pimentão Verde"/>
    <s v="kg"/>
    <n v="1"/>
    <n v="5"/>
    <n v="5"/>
  </r>
  <r>
    <s v="Outubro"/>
    <s v="SEMANA 2"/>
    <n v="9"/>
    <x v="1"/>
    <s v="Alcibiades G. Quintas"/>
    <s v="Brócolis Americano"/>
    <s v="kg"/>
    <n v="3"/>
    <n v="7"/>
    <n v="21"/>
  </r>
  <r>
    <s v="Outubro"/>
    <s v="SEMANA 2"/>
    <n v="9"/>
    <x v="1"/>
    <s v="Alcibiades G. Quintas"/>
    <s v="Funcho"/>
    <s v="kg"/>
    <n v="1"/>
    <n v="10"/>
    <n v="10"/>
  </r>
  <r>
    <s v="Outubro"/>
    <s v="SEMANA 2"/>
    <n v="9"/>
    <x v="1"/>
    <s v="Alcibiades G. Quintas"/>
    <s v="Pimenta Dedo de Moça"/>
    <s v="kg"/>
    <n v="0.2"/>
    <n v="20"/>
    <n v="4"/>
  </r>
  <r>
    <s v="Outubro"/>
    <s v="SEMANA 2"/>
    <n v="9"/>
    <x v="1"/>
    <s v="Alcibiades G. Quintas"/>
    <s v="Pimenta de Cheiro"/>
    <s v="kg"/>
    <n v="0.2"/>
    <n v="25"/>
    <n v="5"/>
  </r>
  <r>
    <s v="Outubro"/>
    <s v="SEMANA 2"/>
    <n v="9"/>
    <x v="1"/>
    <s v="Alcibiades G. Quintas"/>
    <s v="Pimenta Biquinho"/>
    <s v="kg"/>
    <n v="0.2"/>
    <n v="50"/>
    <n v="10"/>
  </r>
  <r>
    <s v="Outubro"/>
    <s v="SEMANA 2"/>
    <n v="9"/>
    <x v="1"/>
    <s v="Alcibiades G. Quintas"/>
    <s v="Pimenta Malagueta"/>
    <s v="kg"/>
    <n v="0.2"/>
    <n v="60"/>
    <n v="12"/>
  </r>
  <r>
    <s v="Outubro"/>
    <s v="SEMANA 2"/>
    <n v="9"/>
    <x v="1"/>
    <s v="Alcibiades G. Quintas"/>
    <s v="Abacaxi "/>
    <s v="kg"/>
    <n v="10"/>
    <n v="2.4"/>
    <n v="24"/>
  </r>
  <r>
    <s v="Outubro"/>
    <s v="SEMANA 2"/>
    <n v="9"/>
    <x v="1"/>
    <s v="Alcibiades G. Quintas"/>
    <s v="Melão de Rede "/>
    <s v="kg"/>
    <n v="2.5"/>
    <n v="5.9"/>
    <n v="14.75"/>
  </r>
  <r>
    <s v="Outubro"/>
    <s v="SEMANA 2"/>
    <n v="9"/>
    <x v="3"/>
    <s v="Barrinhas"/>
    <s v="Pescados - Bacalhau Salgado"/>
    <s v="kg"/>
    <n v="25"/>
    <n v="43.921599999999998"/>
    <n v="1098.04"/>
  </r>
  <r>
    <s v="Outubro"/>
    <s v="SEMANA 2"/>
    <n v="9"/>
    <x v="0"/>
    <s v="Laticinios Alhambra"/>
    <s v="Creme de Leite Culinário 20% Bd 10 Lt"/>
    <s v="bd"/>
    <n v="2"/>
    <n v="142.44999999999999"/>
    <n v="284.89999999999998"/>
  </r>
  <r>
    <s v="Outubro"/>
    <s v="SEMANA 2"/>
    <n v="9"/>
    <x v="0"/>
    <s v="Laticinios Alhambra"/>
    <s v="Queijo Mussarela"/>
    <s v="kg"/>
    <n v="3.5"/>
    <n v="26"/>
    <n v="91"/>
  </r>
  <r>
    <s v="Outubro"/>
    <s v="SEMANA 2"/>
    <n v="9"/>
    <x v="0"/>
    <s v="Laticinios Alhambra"/>
    <s v="Queijo Minas"/>
    <s v="kg"/>
    <n v="4.7"/>
    <n v="20.8"/>
    <n v="97.76"/>
  </r>
  <r>
    <s v="Outubro"/>
    <s v="SEMANA 2"/>
    <n v="9"/>
    <x v="0"/>
    <s v="Laticinios Alhambra"/>
    <s v="Queijo Ricota"/>
    <s v="kg"/>
    <n v="2.9"/>
    <n v="10.6"/>
    <n v="30.74"/>
  </r>
  <r>
    <s v="Outubro"/>
    <s v="SEMANA 2"/>
    <n v="9"/>
    <x v="1"/>
    <s v="Umehara"/>
    <s v="Batata Baroa"/>
    <s v="kg"/>
    <n v="10"/>
    <n v="4.4000000000000004"/>
    <n v="44"/>
  </r>
  <r>
    <s v="Outubro"/>
    <s v="SEMANA 2"/>
    <n v="9"/>
    <x v="1"/>
    <s v="Umehara"/>
    <s v="Cebolinha Verde"/>
    <s v="kg"/>
    <n v="1"/>
    <n v="7.5"/>
    <n v="7.5"/>
  </r>
  <r>
    <s v="Outubro"/>
    <s v="SEMANA 2"/>
    <n v="9"/>
    <x v="1"/>
    <s v="Umehara"/>
    <s v="Couve Flor"/>
    <s v="kg"/>
    <n v="4"/>
    <n v="4.25"/>
    <n v="17"/>
  </r>
  <r>
    <s v="Outubro"/>
    <s v="SEMANA 2"/>
    <n v="9"/>
    <x v="1"/>
    <s v="Umehara"/>
    <s v="Manga Palmer"/>
    <s v="kg"/>
    <n v="5"/>
    <n v="4.8"/>
    <n v="24"/>
  </r>
  <r>
    <s v="Outubro"/>
    <s v="SEMANA 2"/>
    <n v="9"/>
    <x v="1"/>
    <s v="Umehara"/>
    <s v="Melância"/>
    <s v="kg"/>
    <n v="10"/>
    <n v="1.64"/>
    <n v="16.399999999999999"/>
  </r>
  <r>
    <s v="Outubro"/>
    <s v="SEMANA 2"/>
    <n v="9"/>
    <x v="1"/>
    <s v="Umehara"/>
    <s v="Ovos Extra"/>
    <s v="unid"/>
    <n v="350"/>
    <n v="0.28055555555555556"/>
    <n v="98.194444444444443"/>
  </r>
  <r>
    <s v="Outubro"/>
    <s v="SEMANA 2"/>
    <n v="9"/>
    <x v="1"/>
    <s v="Umehara"/>
    <s v="Salsa"/>
    <s v="kg"/>
    <n v="1"/>
    <n v="7.5"/>
    <n v="7.5"/>
  </r>
  <r>
    <s v="Outubro"/>
    <s v="SEMANA 2"/>
    <n v="9"/>
    <x v="1"/>
    <s v="Umehara"/>
    <s v="Tomate Salada"/>
    <s v="kg"/>
    <n v="17.940000000000001"/>
    <n v="5.0167224080267552"/>
    <n v="90"/>
  </r>
  <r>
    <s v="Outubro"/>
    <s v="SEMANA 2"/>
    <n v="9"/>
    <x v="1"/>
    <s v="Umehara"/>
    <s v="Cebola"/>
    <s v="kg"/>
    <n v="20.260000000000002"/>
    <n v="1.2339585389930898"/>
    <n v="25.000000000000004"/>
  </r>
  <r>
    <s v="Outubro"/>
    <s v="SEMANA 2"/>
    <n v="9"/>
    <x v="1"/>
    <s v="Umehara"/>
    <s v="Côco Verde"/>
    <s v="unid"/>
    <n v="20"/>
    <n v="1.8"/>
    <n v="36"/>
  </r>
  <r>
    <s v="Outubro"/>
    <s v="SEMANA 2"/>
    <n v="9"/>
    <x v="1"/>
    <s v="Umehara"/>
    <s v="Laranja Pera"/>
    <s v="kg"/>
    <n v="21.02"/>
    <n v="1.2844909609895339"/>
    <n v="27"/>
  </r>
  <r>
    <s v="Outubro"/>
    <s v="SEMANA 2"/>
    <n v="9"/>
    <x v="1"/>
    <s v="Umehara"/>
    <s v="Mamão Bahia"/>
    <s v="kg"/>
    <n v="2"/>
    <n v="3.26"/>
    <n v="6.52"/>
  </r>
  <r>
    <s v="Outubro"/>
    <s v="SEMANA 2"/>
    <n v="9"/>
    <x v="1"/>
    <s v="Umehara"/>
    <s v="Agrião"/>
    <s v="kg"/>
    <n v="3"/>
    <n v="3.25"/>
    <n v="9.75"/>
  </r>
  <r>
    <s v="Outubro"/>
    <s v="SEMANA 2"/>
    <n v="9"/>
    <x v="1"/>
    <s v="Umehara"/>
    <s v="Couve Manteiga"/>
    <s v="kg"/>
    <n v="3"/>
    <n v="3"/>
    <n v="9"/>
  </r>
  <r>
    <s v="Outubro"/>
    <s v="SEMANA 2"/>
    <n v="9"/>
    <x v="1"/>
    <s v="Sitio do Moinho"/>
    <s v="Alface Americana Orgânica"/>
    <s v="kg"/>
    <n v="10"/>
    <n v="7.25"/>
    <n v="72.5"/>
  </r>
  <r>
    <s v="Outubro"/>
    <s v="SEMANA 2"/>
    <n v="9"/>
    <x v="1"/>
    <s v="Sitio do Moinho"/>
    <s v="Alface crespa Orgânica"/>
    <s v="kg"/>
    <n v="2.64"/>
    <n v="9.4696969696969688"/>
    <n v="25"/>
  </r>
  <r>
    <s v="Outubro"/>
    <s v="SEMANA 2"/>
    <n v="9"/>
    <x v="1"/>
    <s v="Sitio do Moinho"/>
    <s v="Alface Roxa Orgânica"/>
    <s v="kg"/>
    <n v="1.8"/>
    <n v="8.3333333333333339"/>
    <n v="15.000000000000002"/>
  </r>
  <r>
    <s v="Outubro"/>
    <s v="SEMANA 2"/>
    <n v="9"/>
    <x v="1"/>
    <s v="Sitio do Moinho"/>
    <s v="Beterraba Orgânica"/>
    <s v="kg"/>
    <n v="3.0049999999999999"/>
    <n v="7.7"/>
    <n v="23.138500000000001"/>
  </r>
  <r>
    <s v="Outubro"/>
    <s v="SEMANA 2"/>
    <n v="9"/>
    <x v="1"/>
    <s v="Sitio do Moinho"/>
    <s v="Cenoura Orgânica"/>
    <s v="kg"/>
    <n v="3.0550000000000002"/>
    <n v="7.75"/>
    <n v="23.67625"/>
  </r>
  <r>
    <s v="Outubro"/>
    <s v="SEMANA 2"/>
    <n v="9"/>
    <x v="1"/>
    <s v="Sitio do Moinho"/>
    <s v="Rúcula Orgânica"/>
    <s v="kg"/>
    <n v="3"/>
    <n v="21.333333333333332"/>
    <n v="64"/>
  </r>
  <r>
    <s v="Outubro"/>
    <s v="SEMANA 2"/>
    <n v="9"/>
    <x v="3"/>
    <s v="Pescarimarcar"/>
    <s v="Pescados - Lula Calamares"/>
    <s v="kg"/>
    <n v="20"/>
    <n v="27"/>
    <n v="540"/>
  </r>
  <r>
    <s v="Outubro"/>
    <s v="SEMANA 2"/>
    <n v="9"/>
    <x v="3"/>
    <s v="Pescarimarcar"/>
    <s v="Pescados - Filé Linguado Cong. G"/>
    <s v="kg"/>
    <n v="20"/>
    <n v="42"/>
    <n v="840"/>
  </r>
  <r>
    <s v="Outubro"/>
    <s v="SEMANA 2"/>
    <n v="9"/>
    <x v="0"/>
    <s v="Marfrig"/>
    <s v="Batata Palito 9M"/>
    <s v="kg"/>
    <n v="30"/>
    <n v="6.0204000000000004"/>
    <n v="180.61200000000002"/>
  </r>
  <r>
    <s v="Outubro"/>
    <s v="SEMANA 2"/>
    <n v="9"/>
    <x v="3"/>
    <s v="Frisa"/>
    <s v="Carne Bovina - Picanha Grill/Churrascaria"/>
    <s v="kg"/>
    <n v="20.86"/>
    <n v="36"/>
    <n v="750.96"/>
  </r>
  <r>
    <s v="Outubro"/>
    <s v="SEMANA 2"/>
    <n v="9"/>
    <x v="3"/>
    <s v="Frisa"/>
    <s v="Carne Bovina - Filé Mignon 3/4"/>
    <s v="kg"/>
    <n v="22.6"/>
    <n v="32"/>
    <n v="723.2"/>
  </r>
  <r>
    <s v="Outubro"/>
    <s v="SEMANA 2"/>
    <n v="9"/>
    <x v="3"/>
    <s v="Reginaves"/>
    <s v="Aves - Galeto"/>
    <s v="kg"/>
    <n v="25.2"/>
    <n v="8.4"/>
    <n v="211.68"/>
  </r>
  <r>
    <s v="Outubro"/>
    <s v="SEMANA 2"/>
    <n v="9"/>
    <x v="3"/>
    <s v="Reginaves"/>
    <s v="Aves - Filé de Peito de Frango"/>
    <s v="kg"/>
    <n v="48"/>
    <n v="7.8"/>
    <n v="374.4"/>
  </r>
  <r>
    <s v="Outubro"/>
    <s v="SEMANA 2"/>
    <n v="9"/>
    <x v="3"/>
    <s v="Reginaves"/>
    <s v="Aves - Filé de Coxa"/>
    <s v="kg"/>
    <n v="16.799999999999997"/>
    <n v="8.6999999999999993"/>
    <n v="146.15999999999997"/>
  </r>
  <r>
    <s v="Outubro"/>
    <s v="SEMANA 2"/>
    <n v="9"/>
    <x v="10"/>
    <s v="Papelex"/>
    <s v="Etiqueta Pimaco"/>
    <s v="cx"/>
    <n v="1"/>
    <n v="55.54"/>
    <n v="55.54"/>
  </r>
  <r>
    <s v="Outubro"/>
    <s v="SEMANA 2"/>
    <n v="9"/>
    <x v="10"/>
    <s v="Papelex"/>
    <s v="Papel Chamex A4 Office"/>
    <s v="pcte"/>
    <n v="10"/>
    <n v="17.5"/>
    <n v="175"/>
  </r>
  <r>
    <s v="Outubro"/>
    <s v="SEMANA 2"/>
    <n v="9"/>
    <x v="9"/>
    <s v="Papelex"/>
    <s v="Esponja Dupla Face"/>
    <s v="unid"/>
    <n v="10"/>
    <n v="0.42699999999999994"/>
    <n v="4.2699999999999996"/>
  </r>
  <r>
    <s v="Outubro"/>
    <s v="SEMANA 2"/>
    <n v="9"/>
    <x v="10"/>
    <s v="Papelex"/>
    <s v="Grampo 26/6"/>
    <s v="cx"/>
    <n v="1"/>
    <n v="4.51"/>
    <n v="4.51"/>
  </r>
  <r>
    <s v="Outubro"/>
    <s v="SEMANA 2"/>
    <n v="9"/>
    <x v="10"/>
    <s v="Papelex"/>
    <s v="Fita Durex 12x30"/>
    <s v="unid"/>
    <n v="5"/>
    <n v="0.66"/>
    <n v="3.3000000000000003"/>
  </r>
  <r>
    <s v="Outubro"/>
    <s v="SEMANA 2"/>
    <n v="9"/>
    <x v="10"/>
    <s v="Papelex"/>
    <s v="Lápis"/>
    <s v="unid"/>
    <n v="12"/>
    <n v="0.67"/>
    <n v="8.0400000000000009"/>
  </r>
  <r>
    <s v="Outubro"/>
    <s v="SEMANA 2"/>
    <n v="9"/>
    <x v="10"/>
    <s v="Papelex"/>
    <s v="Cartão Ponto Mensal"/>
    <s v="pcte"/>
    <n v="2"/>
    <n v="11.5"/>
    <n v="23"/>
  </r>
  <r>
    <s v="Outubro"/>
    <s v="SEMANA 2"/>
    <n v="9"/>
    <x v="10"/>
    <s v="Papelex"/>
    <s v="Toner HP Preto"/>
    <s v="unid"/>
    <n v="2"/>
    <n v="392.87"/>
    <n v="785.74"/>
  </r>
  <r>
    <s v="Outubro"/>
    <s v="SEMANA 2"/>
    <n v="9"/>
    <x v="10"/>
    <s v="Papelex"/>
    <s v="Bloco Mov. Caixa Saída/ Entrada"/>
    <s v="unid"/>
    <n v="3"/>
    <n v="1.21"/>
    <n v="3.63"/>
  </r>
  <r>
    <s v="Outubro"/>
    <s v="SEMANA 2"/>
    <n v="9"/>
    <x v="10"/>
    <s v="Papelex"/>
    <s v="Bloco Mov. Caixa Saída/ Entrada"/>
    <s v="unid"/>
    <n v="6"/>
    <n v="1.21"/>
    <n v="7.26"/>
  </r>
  <r>
    <s v="Outubro"/>
    <s v="SEMANA 2"/>
    <n v="10"/>
    <x v="0"/>
    <s v="Planeta Gelo"/>
    <s v="Gelo em Escamas"/>
    <s v="saco"/>
    <n v="2"/>
    <n v="7.5"/>
    <n v="15"/>
  </r>
  <r>
    <s v="Outubro"/>
    <s v="SEMANA 2"/>
    <n v="10"/>
    <x v="0"/>
    <s v="Planeta Gelo"/>
    <s v="Gelo em Cubo"/>
    <s v="saco"/>
    <n v="2"/>
    <n v="7.5"/>
    <n v="15"/>
  </r>
  <r>
    <s v="Outubro"/>
    <s v="SEMANA 2"/>
    <n v="10"/>
    <x v="8"/>
    <s v="Ceni"/>
    <s v="Mate Orgânico Limão"/>
    <s v="unid"/>
    <n v="300"/>
    <n v="4.7608100000000002"/>
    <n v="1428.2430000000002"/>
  </r>
  <r>
    <s v="Outubro"/>
    <s v="SEMANA 2"/>
    <n v="10"/>
    <x v="8"/>
    <s v="Ceni"/>
    <s v="Mate Orgânico Natural"/>
    <s v="unid"/>
    <n v="240"/>
    <n v="4.7608100000000002"/>
    <n v="1142.5944"/>
  </r>
  <r>
    <s v="Outubro"/>
    <s v="SEMANA 2"/>
    <n v="10"/>
    <x v="3"/>
    <s v="Mar e Terra"/>
    <s v="Pescados - Filé Tilápia Cong."/>
    <s v="kg"/>
    <n v="48"/>
    <n v="26.3"/>
    <n v="1262.4000000000001"/>
  </r>
  <r>
    <s v="Outubro"/>
    <s v="SEMANA 2"/>
    <n v="10"/>
    <x v="3"/>
    <s v="Pescarimarcar"/>
    <s v="Pescados - Camarão IQF Evisc. 51/60"/>
    <s v="kg"/>
    <n v="14"/>
    <n v="45"/>
    <n v="630"/>
  </r>
  <r>
    <s v="Outubro"/>
    <s v="SEMANA 2"/>
    <n v="10"/>
    <x v="3"/>
    <s v="Pescarimarcar"/>
    <s v="Pescados - Filé Linguado Cong. G"/>
    <s v="kg"/>
    <n v="10"/>
    <n v="42"/>
    <n v="420"/>
  </r>
  <r>
    <s v="Outubro"/>
    <s v="SEMANA 2"/>
    <n v="10"/>
    <x v="1"/>
    <s v="Umehara"/>
    <s v="Abobora"/>
    <s v="kg"/>
    <n v="6"/>
    <n v="2.2000000000000002"/>
    <n v="13.200000000000001"/>
  </r>
  <r>
    <s v="Outubro"/>
    <s v="SEMANA 2"/>
    <n v="10"/>
    <x v="1"/>
    <s v="Umehara"/>
    <s v="Batata Baroa"/>
    <s v="kg"/>
    <n v="2"/>
    <n v="4.4000000000000004"/>
    <n v="8.8000000000000007"/>
  </r>
  <r>
    <s v="Outubro"/>
    <s v="SEMANA 2"/>
    <n v="10"/>
    <x v="1"/>
    <s v="Umehara"/>
    <s v="Berinjela"/>
    <s v="kg"/>
    <n v="10.06"/>
    <n v="4.7713717693836974"/>
    <n v="48"/>
  </r>
  <r>
    <s v="Outubro"/>
    <s v="SEMANA 2"/>
    <n v="10"/>
    <x v="1"/>
    <s v="Umehara"/>
    <s v="Côco Verde"/>
    <s v="unid"/>
    <n v="15"/>
    <n v="1.91"/>
    <n v="28.65"/>
  </r>
  <r>
    <s v="Outubro"/>
    <s v="SEMANA 2"/>
    <n v="10"/>
    <x v="1"/>
    <s v="Umehara"/>
    <s v="Laranja Pera"/>
    <s v="kg"/>
    <n v="21.02"/>
    <n v="1.2844909609895339"/>
    <n v="27"/>
  </r>
  <r>
    <s v="Outubro"/>
    <s v="SEMANA 2"/>
    <n v="10"/>
    <x v="1"/>
    <s v="Umehara"/>
    <s v="Manga Palmer"/>
    <s v="kg"/>
    <n v="6"/>
    <n v="4"/>
    <n v="24"/>
  </r>
  <r>
    <s v="Outubro"/>
    <s v="SEMANA 2"/>
    <n v="10"/>
    <x v="1"/>
    <s v="Umehara"/>
    <s v="Pera"/>
    <s v="kg"/>
    <n v="1"/>
    <n v="7.5"/>
    <n v="7.5"/>
  </r>
  <r>
    <s v="Outubro"/>
    <s v="SEMANA 2"/>
    <n v="10"/>
    <x v="1"/>
    <s v="Umehara"/>
    <s v="Acelga"/>
    <s v="kg"/>
    <n v="4"/>
    <n v="2.2000000000000002"/>
    <n v="8.8000000000000007"/>
  </r>
  <r>
    <s v="Outubro"/>
    <s v="SEMANA 2"/>
    <n v="10"/>
    <x v="1"/>
    <s v="Umehara"/>
    <s v="Alecrim"/>
    <s v="kg"/>
    <n v="0.2"/>
    <n v="18.5"/>
    <n v="3.7"/>
  </r>
  <r>
    <s v="Outubro"/>
    <s v="SEMANA 2"/>
    <n v="10"/>
    <x v="1"/>
    <s v="Umehara"/>
    <s v="Alfafa"/>
    <s v="kg"/>
    <n v="0.3"/>
    <n v="39.333333333333336"/>
    <n v="11.8"/>
  </r>
  <r>
    <s v="Outubro"/>
    <s v="SEMANA 2"/>
    <n v="10"/>
    <x v="1"/>
    <s v="Umehara"/>
    <s v="Cebolinha Verde"/>
    <s v="kg"/>
    <n v="1.5"/>
    <n v="7.5"/>
    <n v="11.25"/>
  </r>
  <r>
    <s v="Outubro"/>
    <s v="SEMANA 2"/>
    <n v="10"/>
    <x v="1"/>
    <s v="Umehara"/>
    <s v="Hortelã"/>
    <s v="kg"/>
    <n v="0.5"/>
    <n v="4.5"/>
    <n v="2.25"/>
  </r>
  <r>
    <s v="Outubro"/>
    <s v="SEMANA 2"/>
    <n v="10"/>
    <x v="1"/>
    <s v="Umehara"/>
    <s v="Manjericão"/>
    <s v="kg"/>
    <n v="0.3"/>
    <n v="12.5"/>
    <n v="3.75"/>
  </r>
  <r>
    <s v="Outubro"/>
    <s v="SEMANA 2"/>
    <n v="10"/>
    <x v="1"/>
    <s v="Umehara"/>
    <s v="Rúcula"/>
    <s v="kg"/>
    <n v="2"/>
    <n v="4.9000000000000004"/>
    <n v="9.8000000000000007"/>
  </r>
  <r>
    <s v="Outubro"/>
    <s v="SEMANA 2"/>
    <n v="10"/>
    <x v="1"/>
    <s v="Umehara"/>
    <s v="Salsa"/>
    <s v="kg"/>
    <n v="1"/>
    <n v="7.5"/>
    <n v="7.5"/>
  </r>
  <r>
    <s v="Outubro"/>
    <s v="SEMANA 2"/>
    <n v="10"/>
    <x v="1"/>
    <s v="Alcibiades G. Quintas"/>
    <s v="Abobrinha "/>
    <s v="kg"/>
    <n v="17.22"/>
    <n v="1.1614401858304297"/>
    <n v="20"/>
  </r>
  <r>
    <s v="Outubro"/>
    <s v="SEMANA 2"/>
    <n v="10"/>
    <x v="1"/>
    <s v="Alcibiades G. Quintas"/>
    <s v="Batata HBT"/>
    <s v="kg"/>
    <n v="25"/>
    <n v="1.8"/>
    <n v="45"/>
  </r>
  <r>
    <s v="Outubro"/>
    <s v="SEMANA 2"/>
    <n v="10"/>
    <x v="1"/>
    <s v="Alcibiades G. Quintas"/>
    <s v="Cará"/>
    <s v="kg"/>
    <n v="2"/>
    <n v="6.8"/>
    <n v="13.6"/>
  </r>
  <r>
    <s v="Outubro"/>
    <s v="SEMANA 2"/>
    <n v="10"/>
    <x v="1"/>
    <s v="Alcibiades G. Quintas"/>
    <s v="Maxixe"/>
    <s v="kg"/>
    <n v="2.5"/>
    <n v="4"/>
    <n v="10"/>
  </r>
  <r>
    <s v="Outubro"/>
    <s v="SEMANA 2"/>
    <n v="10"/>
    <x v="1"/>
    <s v="Alcibiades G. Quintas"/>
    <s v="Pepino Japonês"/>
    <s v="kg"/>
    <n v="16.28"/>
    <n v="3.071253071253071"/>
    <n v="50"/>
  </r>
  <r>
    <s v="Outubro"/>
    <s v="SEMANA 2"/>
    <n v="10"/>
    <x v="1"/>
    <s v="Alcibiades G. Quintas"/>
    <s v="Tomate Molho"/>
    <s v="kg"/>
    <n v="20.5"/>
    <n v="3.4146341463414633"/>
    <n v="70"/>
  </r>
  <r>
    <s v="Outubro"/>
    <s v="SEMANA 2"/>
    <n v="10"/>
    <x v="1"/>
    <s v="Alcibiades G. Quintas"/>
    <s v="Tomate Salada"/>
    <s v="kg"/>
    <n v="21.06"/>
    <n v="3.3238366571699909"/>
    <n v="70"/>
  </r>
  <r>
    <s v="Outubro"/>
    <s v="SEMANA 2"/>
    <n v="10"/>
    <x v="1"/>
    <s v="Alcibiades G. Quintas"/>
    <s v="Espinafre"/>
    <s v="kg"/>
    <n v="6"/>
    <n v="4.8"/>
    <n v="28.799999999999997"/>
  </r>
  <r>
    <s v="Outubro"/>
    <s v="SEMANA 2"/>
    <n v="10"/>
    <x v="1"/>
    <s v="Alcibiades G. Quintas"/>
    <s v="Nabo Japonês"/>
    <s v="kg"/>
    <n v="0.5"/>
    <n v="7"/>
    <n v="3.5"/>
  </r>
  <r>
    <s v="Outubro"/>
    <s v="SEMANA 2"/>
    <n v="10"/>
    <x v="1"/>
    <s v="Alcibiades G. Quintas"/>
    <s v="Rabanete"/>
    <s v="kg"/>
    <n v="0.5"/>
    <n v="6.8"/>
    <n v="3.4"/>
  </r>
  <r>
    <s v="Outubro"/>
    <s v="SEMANA 2"/>
    <n v="10"/>
    <x v="1"/>
    <s v="Alcibiades G. Quintas"/>
    <s v="Tomilho"/>
    <s v="kg"/>
    <n v="0.2"/>
    <n v="30"/>
    <n v="6"/>
  </r>
  <r>
    <s v="Outubro"/>
    <s v="SEMANA 2"/>
    <n v="10"/>
    <x v="1"/>
    <s v="Alcibiades G. Quintas"/>
    <s v="Tofu Kilo"/>
    <s v="kg"/>
    <n v="2"/>
    <n v="14"/>
    <n v="28"/>
  </r>
  <r>
    <s v="Outubro"/>
    <s v="SEMANA 2"/>
    <n v="10"/>
    <x v="4"/>
    <s v="Alcibiades G. Quintas"/>
    <s v="Abacate Sushi"/>
    <s v="kg"/>
    <n v="1"/>
    <n v="6.8"/>
    <n v="6.8"/>
  </r>
  <r>
    <s v="Outubro"/>
    <s v="SEMANA 2"/>
    <n v="10"/>
    <x v="1"/>
    <s v="Alcibiades G. Quintas"/>
    <s v="Abacaxi "/>
    <s v="kg"/>
    <n v="6"/>
    <n v="2.4"/>
    <n v="14.399999999999999"/>
  </r>
  <r>
    <s v="Outubro"/>
    <s v="SEMANA 2"/>
    <n v="10"/>
    <x v="1"/>
    <s v="Alcibiades G. Quintas"/>
    <s v="Banana da Terra"/>
    <s v="kg"/>
    <n v="2"/>
    <n v="4.5"/>
    <n v="9"/>
  </r>
  <r>
    <s v="Outubro"/>
    <s v="SEMANA 2"/>
    <n v="10"/>
    <x v="4"/>
    <s v="LKAP"/>
    <s v="Cream Cheese Sushi"/>
    <s v="kg"/>
    <n v="12"/>
    <n v="24.5"/>
    <n v="294"/>
  </r>
  <r>
    <s v="Outubro"/>
    <s v="SEMANA 2"/>
    <n v="10"/>
    <x v="4"/>
    <s v="DM Com. Pescados"/>
    <s v="Pescados - Atum Fresco Sushi"/>
    <s v="kg"/>
    <n v="14"/>
    <n v="14.9"/>
    <n v="208.6"/>
  </r>
  <r>
    <s v="Outubro"/>
    <s v="SEMANA 2"/>
    <n v="10"/>
    <x v="3"/>
    <s v="Truticultura da Serra"/>
    <s v="Pescados - Filé Truta Cong."/>
    <s v="kg"/>
    <n v="36"/>
    <n v="26"/>
    <n v="936"/>
  </r>
  <r>
    <s v="Outubro"/>
    <s v="SEMANA 2"/>
    <n v="10"/>
    <x v="0"/>
    <s v="Truticultura da Serra"/>
    <s v="Cogumelo Paris"/>
    <s v="kg"/>
    <n v="5"/>
    <n v="15.5"/>
    <n v="77.5"/>
  </r>
  <r>
    <s v="Outubro"/>
    <s v="SEMANA 2"/>
    <n v="10"/>
    <x v="0"/>
    <s v="Truticultura da Serra"/>
    <s v="Cogumelo Fatiado Bd 2 Kg"/>
    <s v="bd"/>
    <n v="1"/>
    <n v="37"/>
    <n v="37"/>
  </r>
  <r>
    <s v="Outubro"/>
    <s v="SEMANA 2"/>
    <n v="10"/>
    <x v="0"/>
    <s v="Laticinios Alhambra"/>
    <s v="Queijo Minas Padrão"/>
    <s v="kg"/>
    <n v="4.8"/>
    <n v="41.6"/>
    <n v="199.68"/>
  </r>
  <r>
    <s v="Outubro"/>
    <s v="SEMANA 2"/>
    <n v="10"/>
    <x v="9"/>
    <s v="Ecolab"/>
    <s v="Antibacterial Detergentye p/ mãos Bb 5lt"/>
    <s v="bb"/>
    <n v="1"/>
    <n v="147.84"/>
    <n v="147.84"/>
  </r>
  <r>
    <s v="Outubro"/>
    <s v="SEMANA 2"/>
    <n v="10"/>
    <x v="9"/>
    <s v="Ecolab"/>
    <s v="AFVT - Antimicrobial Bb 10,4 KG "/>
    <s v="bb"/>
    <n v="1"/>
    <n v="789.87"/>
    <n v="789.87"/>
  </r>
  <r>
    <s v="Outubro"/>
    <s v="SEMANA 2"/>
    <n v="10"/>
    <x v="9"/>
    <s v="Ecolab"/>
    <s v="Solid Power (Lava Louça) 4 Kg"/>
    <s v="bb"/>
    <n v="2"/>
    <n v="529.07500000000005"/>
    <n v="1058.1500000000001"/>
  </r>
  <r>
    <s v="Outubro"/>
    <s v="SEMANA 2"/>
    <n v="10"/>
    <x v="9"/>
    <s v="Ecolab"/>
    <s v="Ammoniated Glas Cln (Limpa vidro) BB 5L"/>
    <s v="bb"/>
    <n v="2"/>
    <n v="469.92500000000001"/>
    <n v="939.85"/>
  </r>
  <r>
    <s v="Outubro"/>
    <s v="SEMANA 2"/>
    <n v="10"/>
    <x v="9"/>
    <s v="Ecolab"/>
    <s v="Greasestrip Plus Bb 5 L"/>
    <s v="bb"/>
    <n v="1"/>
    <n v="265.74"/>
    <n v="265.74"/>
  </r>
  <r>
    <s v="Outubro"/>
    <s v="SEMANA 2"/>
    <n v="10"/>
    <x v="9"/>
    <s v="Ecolab"/>
    <s v="Vercom Detergente Bb 5 Lt"/>
    <s v="bb"/>
    <n v="2"/>
    <n v="117.36499999999999"/>
    <n v="234.73"/>
  </r>
  <r>
    <s v="Outubro"/>
    <s v="SEMANA 2"/>
    <n v="10"/>
    <x v="7"/>
    <s v="Mamy"/>
    <s v="Bala de Alga 500 g"/>
    <s v="pcte"/>
    <n v="2"/>
    <n v="17.16"/>
    <n v="34.32"/>
  </r>
  <r>
    <s v="Outubro"/>
    <s v="SEMANA 2"/>
    <n v="10"/>
    <x v="0"/>
    <s v="Mamy"/>
    <s v="Farinha Panco"/>
    <s v="kg"/>
    <n v="6"/>
    <n v="17.7"/>
    <n v="106.19999999999999"/>
  </r>
  <r>
    <s v="Outubro"/>
    <s v="SEMANA 2"/>
    <n v="10"/>
    <x v="4"/>
    <s v="Mamy"/>
    <s v="Gergelim Branco Sushi"/>
    <s v="kg"/>
    <n v="1"/>
    <n v="16.850000000000001"/>
    <n v="16.850000000000001"/>
  </r>
  <r>
    <s v="Outubro"/>
    <s v="SEMANA 2"/>
    <n v="10"/>
    <x v="0"/>
    <s v="Mamy"/>
    <s v="Gergelim Preto"/>
    <s v="kg"/>
    <n v="1"/>
    <n v="30.59"/>
    <n v="30.59"/>
  </r>
  <r>
    <s v="Outubro"/>
    <s v="SEMANA 2"/>
    <n v="10"/>
    <x v="0"/>
    <s v="Mamy"/>
    <s v="Macarrão de Feijão (Harusame) 200g"/>
    <s v="pcte"/>
    <n v="4"/>
    <n v="8.48"/>
    <n v="33.92"/>
  </r>
  <r>
    <s v="Outubro"/>
    <s v="SEMANA 2"/>
    <n v="10"/>
    <x v="0"/>
    <s v="Mamy"/>
    <s v="Massa de Harumaki"/>
    <s v="folha"/>
    <n v="150"/>
    <n v="0.53366666666666662"/>
    <n v="80.05"/>
  </r>
  <r>
    <s v="Outubro"/>
    <s v="SEMANA 2"/>
    <n v="10"/>
    <x v="1"/>
    <s v="Rioaves"/>
    <s v="Ovo de Codorna"/>
    <s v="pcte"/>
    <n v="16"/>
    <n v="10.4"/>
    <n v="166.4"/>
  </r>
  <r>
    <s v="Outubro"/>
    <s v="SEMANA 2"/>
    <n v="10"/>
    <x v="0"/>
    <s v="Rioaves"/>
    <s v="Farinha de Rosca"/>
    <s v="kg"/>
    <n v="10"/>
    <n v="9"/>
    <n v="90"/>
  </r>
  <r>
    <s v="Outubro"/>
    <s v="SEMANA 2"/>
    <n v="11"/>
    <x v="3"/>
    <s v="Reginaves"/>
    <s v="Aves - Filé de Peito de Frango"/>
    <s v="kg"/>
    <n v="48"/>
    <n v="7.8"/>
    <n v="374.4"/>
  </r>
  <r>
    <s v="Outubro"/>
    <s v="SEMANA 2"/>
    <n v="11"/>
    <x v="0"/>
    <s v="J. Araujo (Arcofood)"/>
    <s v="Farinha de Trigo"/>
    <s v="kg"/>
    <n v="30"/>
    <n v="1.679"/>
    <n v="50.370000000000005"/>
  </r>
  <r>
    <s v="Outubro"/>
    <s v="SEMANA 2"/>
    <n v="11"/>
    <x v="0"/>
    <s v="J. Araujo (Arcofood)"/>
    <s v="Feijão Preto"/>
    <s v="kg"/>
    <n v="20"/>
    <n v="4.4000000000000004"/>
    <n v="88"/>
  </r>
  <r>
    <s v="Outubro"/>
    <s v="SEMANA 2"/>
    <n v="11"/>
    <x v="0"/>
    <s v="J. Araujo (Arcofood)"/>
    <s v="Farinha de Mandioca"/>
    <s v="kg"/>
    <n v="20"/>
    <n v="4.1304999999999996"/>
    <n v="82.609999999999985"/>
  </r>
  <r>
    <s v="Outubro"/>
    <s v="SEMANA 2"/>
    <n v="11"/>
    <x v="0"/>
    <s v="J. Araujo (Arcofood)"/>
    <s v="Azeitona Verde Fatiada Bd 2 kg"/>
    <s v="bd"/>
    <n v="1"/>
    <n v="22.49"/>
    <n v="22.49"/>
  </r>
  <r>
    <s v="Outubro"/>
    <s v="SEMANA 2"/>
    <n v="11"/>
    <x v="0"/>
    <s v="Zamboni"/>
    <s v="Maionese Hellmanns Bd 3 Kg"/>
    <s v="bd"/>
    <n v="1"/>
    <m/>
    <n v="0"/>
  </r>
  <r>
    <s v="Outubro"/>
    <s v="SEMANA 2"/>
    <n v="11"/>
    <x v="0"/>
    <s v="Zamboni"/>
    <s v="Lentilha"/>
    <s v="kg"/>
    <n v="10"/>
    <n v="12.72"/>
    <n v="127.2"/>
  </r>
  <r>
    <s v="Outubro"/>
    <s v="SEMANA 2"/>
    <n v="11"/>
    <x v="0"/>
    <s v="Zamboni"/>
    <s v="Maionese Hellmanns Bd 3 Kg"/>
    <s v="bd"/>
    <n v="5"/>
    <n v="24.36"/>
    <n v="121.8"/>
  </r>
  <r>
    <s v="Outubro"/>
    <s v="SEMANA 2"/>
    <n v="11"/>
    <x v="0"/>
    <s v="Zamboni"/>
    <s v="Margarina Bd 15 Kg"/>
    <s v="bd"/>
    <n v="1"/>
    <n v="73.37"/>
    <n v="73.37"/>
  </r>
  <r>
    <s v="Outubro"/>
    <s v="SEMANA 2"/>
    <n v="11"/>
    <x v="0"/>
    <s v="Zamboni"/>
    <s v="Shoyu Premium (Mesa) Bb 5 Lt"/>
    <s v="bb"/>
    <n v="1"/>
    <n v="53.42"/>
    <n v="53.42"/>
  </r>
  <r>
    <s v="Outubro"/>
    <s v="SEMANA 2"/>
    <n v="11"/>
    <x v="0"/>
    <s v="Zamboni"/>
    <s v="Shoyu Tradicional (Cozinha) Bb 5 Lt"/>
    <s v="bb"/>
    <n v="1"/>
    <n v="45.17"/>
    <n v="45.17"/>
  </r>
  <r>
    <s v="Outubro"/>
    <s v="SEMANA 2"/>
    <n v="11"/>
    <x v="0"/>
    <s v="Zamboni"/>
    <s v="Mostarda Bb 3,3, Kg"/>
    <s v="bb"/>
    <n v="1"/>
    <n v="11.39"/>
    <n v="11.39"/>
  </r>
  <r>
    <s v="Outubro"/>
    <s v="SEMANA 2"/>
    <n v="11"/>
    <x v="0"/>
    <s v="Estrela Real"/>
    <s v="Palmito lata 500gr"/>
    <s v="unid"/>
    <n v="36"/>
    <n v="17.666666666666668"/>
    <n v="636"/>
  </r>
  <r>
    <s v="Outubro"/>
    <s v="SEMANA 2"/>
    <n v="11"/>
    <x v="3"/>
    <s v="Pescarimarcar"/>
    <s v="Pescados - Camarão IQF Evisc. 51/60"/>
    <s v="kg"/>
    <n v="14"/>
    <n v="45"/>
    <n v="630"/>
  </r>
  <r>
    <s v="Outubro"/>
    <s v="SEMANA 2"/>
    <n v="11"/>
    <x v="0"/>
    <s v="Rio Quality"/>
    <s v="Açucar Refinado"/>
    <s v="kg"/>
    <n v="16"/>
    <n v="2.25"/>
    <n v="36"/>
  </r>
  <r>
    <s v="Outubro"/>
    <s v="SEMANA 2"/>
    <n v="11"/>
    <x v="0"/>
    <s v="Rio Quality"/>
    <s v="Leite Integral"/>
    <s v="lt"/>
    <n v="72"/>
    <n v="2.939861111111111"/>
    <n v="211.67"/>
  </r>
  <r>
    <s v="Outubro"/>
    <s v="SEMANA 2"/>
    <n v="11"/>
    <x v="0"/>
    <s v="Rio Quality"/>
    <s v="Óleo de Soja 18 Lt"/>
    <s v="bag"/>
    <n v="3"/>
    <n v="61.98"/>
    <n v="185.94"/>
  </r>
  <r>
    <s v="Outubro"/>
    <s v="SEMANA 2"/>
    <n v="11"/>
    <x v="0"/>
    <s v="Rio Quality"/>
    <s v="Maisena Amido de Milho 1 Kg"/>
    <s v="kg"/>
    <n v="10"/>
    <n v="10.8"/>
    <n v="108"/>
  </r>
  <r>
    <s v="Outubro"/>
    <s v="SEMANA 2"/>
    <n v="11"/>
    <x v="0"/>
    <s v="Mercadinho Bambina"/>
    <s v="Pão Francês"/>
    <s v="kg"/>
    <n v="0.23"/>
    <n v="13.98"/>
    <n v="3.2154000000000003"/>
  </r>
  <r>
    <s v="Outubro"/>
    <s v="SEMANA 2"/>
    <n v="11"/>
    <x v="0"/>
    <s v="Mercadinho Bambina"/>
    <s v="Gelatina em pó s/ sabor (incolor)"/>
    <s v="pcte"/>
    <n v="2"/>
    <n v="5.45"/>
    <n v="10.9"/>
  </r>
  <r>
    <s v="Outubro"/>
    <s v="SEMANA 2"/>
    <n v="11"/>
    <x v="0"/>
    <s v="Laticinios Alhambra"/>
    <s v="Creme de Leite Chantily"/>
    <s v="kg"/>
    <n v="0.5"/>
    <n v="22.28"/>
    <n v="11.14"/>
  </r>
  <r>
    <s v="Outubro"/>
    <s v="SEMANA 2"/>
    <n v="11"/>
    <x v="0"/>
    <s v="Laticinios Alhambra"/>
    <s v="Creme de Leite Culinário 20% Bd 10 Lt"/>
    <s v="bd"/>
    <n v="2"/>
    <n v="142.44999999999999"/>
    <n v="284.89999999999998"/>
  </r>
  <r>
    <s v="Outubro"/>
    <s v="SEMANA 2"/>
    <n v="11"/>
    <x v="0"/>
    <s v="Laticinios Alhambra"/>
    <s v="Queijo Mussarela"/>
    <s v="kg"/>
    <n v="3.5"/>
    <n v="26"/>
    <n v="91"/>
  </r>
  <r>
    <s v="Outubro"/>
    <s v="SEMANA 2"/>
    <n v="11"/>
    <x v="0"/>
    <s v="Laticinios Alhambra"/>
    <s v="Queijo Provolone Curado"/>
    <s v="kg"/>
    <n v="4.4400000000000004"/>
    <n v="40.700000000000003"/>
    <n v="180.70800000000003"/>
  </r>
  <r>
    <s v="Outubro"/>
    <s v="SEMANA 2"/>
    <n v="11"/>
    <x v="0"/>
    <s v="Laticinios Alhambra"/>
    <s v="Queijo Requeijão BD 3,6 Kg"/>
    <s v="bd"/>
    <n v="2"/>
    <n v="74.400000000000006"/>
    <n v="148.80000000000001"/>
  </r>
  <r>
    <s v="Outubro"/>
    <s v="SEMANA 2"/>
    <n v="11"/>
    <x v="0"/>
    <s v="Nova Geração (Casa Pedro)"/>
    <s v="Amendoa Fatiada"/>
    <s v="kg"/>
    <n v="0.51200000000000001"/>
    <n v="70.644499999999994"/>
    <n v="36.169983999999999"/>
  </r>
  <r>
    <s v="Outubro"/>
    <s v="SEMANA 2"/>
    <n v="11"/>
    <x v="0"/>
    <s v="Nova Geração (Casa Pedro)"/>
    <s v="Castanha de Caju Crua"/>
    <s v="kg"/>
    <n v="1.014"/>
    <n v="79.378699999999995"/>
    <n v="80.490001800000002"/>
  </r>
  <r>
    <s v="Outubro"/>
    <s v="SEMANA 2"/>
    <n v="11"/>
    <x v="0"/>
    <s v="Nova Geração (Casa Pedro)"/>
    <s v="Funghi Seco"/>
    <s v="kg"/>
    <n v="0.50800000000000001"/>
    <n v="79.822800000000001"/>
    <n v="40.549982399999998"/>
  </r>
  <r>
    <s v="Outubro"/>
    <s v="SEMANA 2"/>
    <n v="11"/>
    <x v="0"/>
    <s v="Nova Geração (Casa Pedro)"/>
    <s v="Manteiga de Garrafa"/>
    <s v="unid"/>
    <n v="1"/>
    <n v="22.05"/>
    <n v="22.05"/>
  </r>
  <r>
    <s v="Outubro"/>
    <s v="SEMANA 2"/>
    <n v="11"/>
    <x v="0"/>
    <s v="Nova Geração (Casa Pedro)"/>
    <s v="Tapioca Fina"/>
    <s v="kg"/>
    <n v="1.006"/>
    <n v="7.6540999999999997"/>
    <n v="7.7000245999999999"/>
  </r>
  <r>
    <s v="Outubro"/>
    <s v="SEMANA 2"/>
    <n v="11"/>
    <x v="0"/>
    <s v="Nova Geração (Casa Pedro)"/>
    <s v="Vinagrete de Ervas"/>
    <s v="kg"/>
    <n v="1.012"/>
    <n v="43.201599999999999"/>
    <n v="43.720019200000003"/>
  </r>
  <r>
    <s v="Outubro"/>
    <s v="SEMANA 2"/>
    <n v="11"/>
    <x v="1"/>
    <s v="Sitio do Moinho"/>
    <s v="Alface Americana Orgânica"/>
    <s v="kg"/>
    <m/>
    <m/>
    <n v="0"/>
  </r>
  <r>
    <s v="Outubro"/>
    <s v="SEMANA 2"/>
    <n v="11"/>
    <x v="1"/>
    <s v="Sitio do Moinho"/>
    <s v="Alface crespa Orgânica"/>
    <s v="kg"/>
    <n v="1.44"/>
    <n v="10.416666666666668"/>
    <n v="15.000000000000002"/>
  </r>
  <r>
    <s v="Outubro"/>
    <s v="SEMANA 2"/>
    <n v="11"/>
    <x v="1"/>
    <s v="Sitio do Moinho"/>
    <s v="Alface Roxa Orgânica"/>
    <s v="kg"/>
    <n v="2.1"/>
    <n v="7.1428571428571423"/>
    <n v="15"/>
  </r>
  <r>
    <s v="Outubro"/>
    <s v="SEMANA 2"/>
    <n v="11"/>
    <x v="1"/>
    <s v="Sitio do Moinho"/>
    <s v="Cenoura Orgânica"/>
    <s v="kg"/>
    <n v="6"/>
    <n v="7.75"/>
    <n v="46.5"/>
  </r>
  <r>
    <s v="Outubro"/>
    <s v="SEMANA 2"/>
    <n v="11"/>
    <x v="1"/>
    <s v="Sitio do Moinho"/>
    <s v="Rúcula Orgânica"/>
    <s v="kg"/>
    <n v="4.5"/>
    <n v="21.333333333333332"/>
    <n v="96"/>
  </r>
  <r>
    <s v="Outubro"/>
    <s v="SEMANA 2"/>
    <n v="11"/>
    <x v="8"/>
    <s v="Minalba"/>
    <s v="Água Mineral com Gás"/>
    <s v="unid"/>
    <n v="132"/>
    <n v="1.2540151515151514"/>
    <n v="165.52999999999997"/>
  </r>
  <r>
    <s v="Outubro"/>
    <s v="SEMANA 2"/>
    <n v="11"/>
    <x v="8"/>
    <s v="Minalba"/>
    <s v="Água Mineral sem Gás"/>
    <s v="unid"/>
    <n v="120"/>
    <n v="1.254"/>
    <n v="150.47999999999999"/>
  </r>
  <r>
    <s v="Outubro"/>
    <s v="SEMANA 2"/>
    <n v="11"/>
    <x v="7"/>
    <s v="Chez Bonbon"/>
    <s v="Bombom Trufado"/>
    <s v="unid"/>
    <n v="180"/>
    <n v="1.6625000000000001"/>
    <n v="299.25"/>
  </r>
  <r>
    <s v="Outubro"/>
    <s v="SEMANA 2"/>
    <n v="11"/>
    <x v="7"/>
    <s v="Chez Bonbon"/>
    <s v="Tablet Diet"/>
    <s v="unid"/>
    <n v="30"/>
    <n v="2.1375000000000002"/>
    <n v="64.125"/>
  </r>
  <r>
    <s v="Outubro"/>
    <s v="SEMANA 2"/>
    <n v="11"/>
    <x v="7"/>
    <s v="Chez Bonbon"/>
    <s v="Casquinha de Laranja com chocolate"/>
    <s v="unid"/>
    <n v="30"/>
    <n v="6.1749999999999998"/>
    <n v="185.25"/>
  </r>
  <r>
    <s v="Outubro"/>
    <s v="SEMANA 2"/>
    <n v="11"/>
    <x v="8"/>
    <s v="Top Alto"/>
    <s v="Aguardente 51"/>
    <s v="unid"/>
    <n v="1"/>
    <n v="7.68"/>
    <n v="7.68"/>
  </r>
  <r>
    <s v="Outubro"/>
    <s v="SEMANA 2"/>
    <n v="11"/>
    <x v="0"/>
    <s v="Top Alto"/>
    <s v="Arroz Branco"/>
    <s v="kg"/>
    <n v="30"/>
    <n v="3.5296666666666665"/>
    <n v="105.89"/>
  </r>
  <r>
    <s v="Outubro"/>
    <s v="SEMANA 2"/>
    <n v="11"/>
    <x v="3"/>
    <s v="Top Alto"/>
    <s v="Carne Bovina - Carne Seca"/>
    <s v="kg"/>
    <n v="10"/>
    <n v="19"/>
    <n v="190"/>
  </r>
  <r>
    <s v="Outubro"/>
    <s v="SEMANA 2"/>
    <n v="11"/>
    <x v="0"/>
    <s v="Top Alto"/>
    <s v="Óleo Composto 500ml"/>
    <s v="unid"/>
    <n v="12"/>
    <n v="3.25"/>
    <n v="39"/>
  </r>
  <r>
    <s v="Outubro"/>
    <s v="SEMANA 2"/>
    <n v="11"/>
    <x v="0"/>
    <s v="Top Alto"/>
    <s v="Queijo Parmezon"/>
    <s v="kg"/>
    <n v="6"/>
    <n v="23.56"/>
    <n v="141.35999999999999"/>
  </r>
  <r>
    <s v="Outubro"/>
    <s v="SEMANA 2"/>
    <n v="11"/>
    <x v="8"/>
    <s v="Top Alto"/>
    <s v="Vodka Smirnoff"/>
    <s v="unid"/>
    <n v="1"/>
    <n v="30.99"/>
    <n v="30.99"/>
  </r>
  <r>
    <s v="Outubro"/>
    <s v="SEMANA 2"/>
    <n v="11"/>
    <x v="4"/>
    <s v="Frigorifico Jahu"/>
    <s v="Pescados - Salmão Inteiro Sushi"/>
    <s v="kg"/>
    <n v="29.68"/>
    <n v="27.899899999999999"/>
    <n v="828.06903199999999"/>
  </r>
  <r>
    <s v="Outubro"/>
    <s v="SEMANA 2"/>
    <n v="11"/>
    <x v="3"/>
    <s v="Frigorifico Jahu"/>
    <s v="Pescados - Salmão Inteiro"/>
    <s v="kg"/>
    <n v="28.49"/>
    <n v="25.9"/>
    <n v="737.89099999999996"/>
  </r>
  <r>
    <s v="Outubro"/>
    <s v="SEMANA 2"/>
    <n v="11"/>
    <x v="3"/>
    <s v="Frigorifico Jahu"/>
    <s v="Pescados - Lula Calamares"/>
    <s v="kg"/>
    <n v="10"/>
    <n v="27"/>
    <n v="270"/>
  </r>
  <r>
    <s v="Outubro"/>
    <s v="SEMANA 2"/>
    <n v="11"/>
    <x v="0"/>
    <s v="Planeta Gelo"/>
    <s v="Gelo em Escamas"/>
    <s v="saco"/>
    <n v="2"/>
    <n v="7.5"/>
    <n v="15"/>
  </r>
  <r>
    <s v="Outubro"/>
    <s v="SEMANA 2"/>
    <n v="11"/>
    <x v="0"/>
    <s v="Planeta Gelo"/>
    <s v="Gelo em Cubo"/>
    <s v="saco"/>
    <n v="2"/>
    <n v="7.5"/>
    <n v="15"/>
  </r>
  <r>
    <s v="Outubro"/>
    <s v="SEMANA 2"/>
    <n v="11"/>
    <x v="1"/>
    <s v="Alcibiades G. Quintas"/>
    <s v="Batata Doce"/>
    <s v="kg"/>
    <n v="1"/>
    <n v="1.8"/>
    <n v="1.8"/>
  </r>
  <r>
    <s v="Outubro"/>
    <s v="SEMANA 2"/>
    <n v="11"/>
    <x v="1"/>
    <s v="Alcibiades G. Quintas"/>
    <s v="Cenoura"/>
    <s v="kg"/>
    <n v="18.48"/>
    <n v="2.1645021645021645"/>
    <n v="40"/>
  </r>
  <r>
    <s v="Outubro"/>
    <s v="SEMANA 2"/>
    <n v="11"/>
    <x v="1"/>
    <s v="Alcibiades G. Quintas"/>
    <s v="Tomate Salada"/>
    <s v="kg"/>
    <n v="22.22"/>
    <n v="3.1503150315031503"/>
    <n v="70"/>
  </r>
  <r>
    <s v="Outubro"/>
    <s v="SEMANA 2"/>
    <n v="11"/>
    <x v="1"/>
    <s v="Alcibiades G. Quintas"/>
    <s v="Alho Poró "/>
    <s v="kg"/>
    <n v="1"/>
    <n v="8"/>
    <n v="8"/>
  </r>
  <r>
    <s v="Outubro"/>
    <s v="SEMANA 2"/>
    <n v="11"/>
    <x v="1"/>
    <s v="Alcibiades G. Quintas"/>
    <s v="Brócolis Americano"/>
    <s v="kg"/>
    <n v="10"/>
    <n v="7"/>
    <n v="70"/>
  </r>
  <r>
    <s v="Outubro"/>
    <s v="SEMANA 2"/>
    <n v="11"/>
    <x v="1"/>
    <s v="Alcibiades G. Quintas"/>
    <s v="Broto de Feijão"/>
    <s v="kg"/>
    <n v="1"/>
    <n v="14"/>
    <n v="14"/>
  </r>
  <r>
    <s v="Outubro"/>
    <s v="SEMANA 2"/>
    <n v="11"/>
    <x v="1"/>
    <s v="Alcibiades G. Quintas"/>
    <s v="Capim Limão"/>
    <s v="kg"/>
    <n v="0.1"/>
    <n v="15"/>
    <n v="1.5"/>
  </r>
  <r>
    <s v="Outubro"/>
    <s v="SEMANA 2"/>
    <n v="11"/>
    <x v="1"/>
    <s v="Alcibiades G. Quintas"/>
    <s v="Abacaxi "/>
    <s v="kg"/>
    <n v="6"/>
    <n v="2.4"/>
    <n v="14.399999999999999"/>
  </r>
  <r>
    <s v="Outubro"/>
    <s v="SEMANA 2"/>
    <n v="11"/>
    <x v="1"/>
    <s v="Umehara"/>
    <s v="Côco Verde"/>
    <s v="unid"/>
    <n v="10"/>
    <n v="1.91"/>
    <n v="19.099999999999998"/>
  </r>
  <r>
    <s v="Outubro"/>
    <s v="SEMANA 2"/>
    <n v="11"/>
    <x v="1"/>
    <s v="Umehara"/>
    <s v="Manga Palmer"/>
    <s v="kg"/>
    <n v="5.5"/>
    <n v="4.3636363636363633"/>
    <n v="24"/>
  </r>
  <r>
    <s v="Outubro"/>
    <s v="SEMANA 2"/>
    <n v="11"/>
    <x v="1"/>
    <s v="Umehara"/>
    <s v="Manjericão"/>
    <s v="kg"/>
    <n v="0.5"/>
    <n v="12.5"/>
    <n v="6.25"/>
  </r>
  <r>
    <s v="Outubro"/>
    <s v="SEMANA 2"/>
    <n v="11"/>
    <x v="1"/>
    <s v="Umehara"/>
    <s v="Salsa"/>
    <s v="kg"/>
    <n v="1"/>
    <n v="7.5"/>
    <n v="7.5"/>
  </r>
  <r>
    <s v="Outubro"/>
    <s v="SEMANA 2"/>
    <n v="11"/>
    <x v="0"/>
    <s v="Umehara"/>
    <s v="Côco Seco"/>
    <s v="kg"/>
    <n v="3"/>
    <n v="6.9"/>
    <n v="20.700000000000003"/>
  </r>
  <r>
    <s v="Outubro"/>
    <s v="SEMANA 2"/>
    <n v="11"/>
    <x v="1"/>
    <s v="Umehara"/>
    <s v="Kiwi"/>
    <s v="kg"/>
    <n v="1"/>
    <n v="13.7"/>
    <n v="13.7"/>
  </r>
  <r>
    <s v="Outubro"/>
    <s v="SEMANA 2"/>
    <n v="11"/>
    <x v="1"/>
    <s v="Umehara"/>
    <s v="Maçã Nacional"/>
    <s v="kg"/>
    <n v="18.420000000000002"/>
    <n v="3.3387622149837131"/>
    <n v="61.5"/>
  </r>
  <r>
    <s v="Outubro"/>
    <s v="SEMANA 2"/>
    <n v="11"/>
    <x v="1"/>
    <s v="Umehara"/>
    <s v="Mamão Bahia"/>
    <s v="kg"/>
    <m/>
    <m/>
    <n v="0"/>
  </r>
  <r>
    <s v="Outubro"/>
    <s v="SEMANA 2"/>
    <n v="11"/>
    <x v="1"/>
    <s v="Umehara"/>
    <s v="Melância"/>
    <s v="kg"/>
    <n v="10"/>
    <n v="1.64"/>
    <n v="16.399999999999999"/>
  </r>
  <r>
    <s v="Outubro"/>
    <s v="SEMANA 2"/>
    <n v="11"/>
    <x v="1"/>
    <s v="Umehara"/>
    <s v="Tomate Cereja"/>
    <s v="kg"/>
    <n v="5"/>
    <n v="7.85"/>
    <n v="39.25"/>
  </r>
  <r>
    <s v="Outubro"/>
    <s v="SEMANA 2"/>
    <n v="11"/>
    <x v="1"/>
    <s v="Umehara"/>
    <s v="Repolho"/>
    <s v="kg"/>
    <n v="3.8"/>
    <n v="1.21"/>
    <n v="4.5979999999999999"/>
  </r>
  <r>
    <s v="Outubro"/>
    <s v="SEMANA 2"/>
    <n v="11"/>
    <x v="1"/>
    <s v="Cheiro Verde"/>
    <s v="Laranja Pera"/>
    <s v="kg"/>
    <n v="18.75"/>
    <n v="1.6"/>
    <n v="30"/>
  </r>
  <r>
    <s v="Outubro"/>
    <s v="SEMANA 2"/>
    <n v="11"/>
    <x v="1"/>
    <s v="Cheiro Verde"/>
    <s v="Beterraba"/>
    <s v="kg"/>
    <n v="4"/>
    <n v="1.4"/>
    <n v="5.6"/>
  </r>
  <r>
    <s v="Outubro"/>
    <s v="SEMANA 2"/>
    <n v="11"/>
    <x v="1"/>
    <s v="Cheiro Verde"/>
    <s v="Cebola"/>
    <s v="kg"/>
    <n v="20.440000000000001"/>
    <n v="1.4065557729941291"/>
    <n v="28.75"/>
  </r>
  <r>
    <s v="Outubro"/>
    <s v="SEMANA 2"/>
    <n v="11"/>
    <x v="1"/>
    <s v="Cheiro Verde"/>
    <s v="Coentro"/>
    <s v="kg"/>
    <n v="0.5"/>
    <n v="11.25"/>
    <n v="5.625"/>
  </r>
  <r>
    <s v="Outubro"/>
    <s v="SEMANA 2"/>
    <n v="11"/>
    <x v="1"/>
    <s v="Cheiro Verde"/>
    <s v="Goiaba"/>
    <s v="kg"/>
    <n v="2.5"/>
    <n v="6"/>
    <n v="15"/>
  </r>
  <r>
    <s v="Outubro"/>
    <s v="SEMANA 2"/>
    <n v="11"/>
    <x v="1"/>
    <s v="Cheiro Verde"/>
    <s v="Melão de Rede "/>
    <s v="kg"/>
    <n v="2"/>
    <n v="5"/>
    <n v="10"/>
  </r>
  <r>
    <s v="Outubro"/>
    <s v="SEMANA 2"/>
    <n v="11"/>
    <x v="1"/>
    <s v="Cheiro Verde"/>
    <s v="Vagem Macarrão"/>
    <s v="kg"/>
    <n v="0.5"/>
    <n v="5"/>
    <n v="2.5"/>
  </r>
  <r>
    <s v="Outubro"/>
    <s v="SEMANA 2"/>
    <n v="11"/>
    <x v="0"/>
    <s v="Agropart"/>
    <s v="Queijo Mozzarela Italiana pcte 880 gr"/>
    <s v="kg"/>
    <n v="6.16"/>
    <n v="41.727272727272727"/>
    <n v="257.04000000000002"/>
  </r>
  <r>
    <s v="Outubro"/>
    <s v="SEMANA 2"/>
    <n v="11"/>
    <x v="5"/>
    <s v="M2HP"/>
    <s v="Torta Capuccino Diet"/>
    <s v="fatia"/>
    <n v="10"/>
    <n v="5.891"/>
    <n v="58.91"/>
  </r>
  <r>
    <s v="Outubro"/>
    <s v="SEMANA 2"/>
    <n v="11"/>
    <x v="5"/>
    <s v="M2HP"/>
    <s v="Torta Mousse de Chocolate "/>
    <s v="fatia"/>
    <n v="24"/>
    <n v="4.1383333333333328"/>
    <n v="99.32"/>
  </r>
  <r>
    <s v="Outubro"/>
    <s v="SEMANA 2"/>
    <n v="11"/>
    <x v="5"/>
    <s v="Nossos Sabores"/>
    <s v="Torta Brownie com Nozes"/>
    <s v="unid"/>
    <n v="8"/>
    <n v="5.9124999999999996"/>
    <n v="47.3"/>
  </r>
  <r>
    <s v="Outubro"/>
    <s v="SEMANA 2"/>
    <n v="11"/>
    <x v="5"/>
    <s v="Atelier dos Sabores"/>
    <s v="Torta Alemã"/>
    <s v="fatia"/>
    <n v="12"/>
    <n v="5.5691666666666668"/>
    <n v="66.83"/>
  </r>
  <r>
    <s v="Outubro"/>
    <s v="SEMANA 2"/>
    <n v="11"/>
    <x v="5"/>
    <s v="Atelier dos Sabores"/>
    <s v="Torta Bem Casado de Damasco"/>
    <s v="fatia"/>
    <n v="36"/>
    <n v="5.7458333333333336"/>
    <n v="206.85000000000002"/>
  </r>
  <r>
    <s v="Outubro"/>
    <s v="SEMANA 2"/>
    <n v="11"/>
    <x v="5"/>
    <s v="Atelier dos Sabores"/>
    <s v="Torta de Brigadeiro c/ Raspas"/>
    <s v="fatia"/>
    <n v="24"/>
    <n v="5.5687500000000005"/>
    <n v="133.65"/>
  </r>
  <r>
    <s v="Outubro"/>
    <s v="SEMANA 2"/>
    <n v="11"/>
    <x v="5"/>
    <s v="Atelier dos Sabores"/>
    <s v="Torta de Limão"/>
    <s v="fatia"/>
    <n v="24"/>
    <n v="5.3033333333333337"/>
    <n v="127.28"/>
  </r>
  <r>
    <s v="Outubro"/>
    <s v="SEMANA 2"/>
    <n v="11"/>
    <x v="5"/>
    <s v="Atelier dos Sabores"/>
    <s v="Quindão com Damasco"/>
    <s v="fatia"/>
    <n v="12"/>
    <n v="5.5683333333333325"/>
    <n v="66.819999999999993"/>
  </r>
  <r>
    <s v="Outubro"/>
    <s v="SEMANA 2"/>
    <n v="11"/>
    <x v="5"/>
    <s v="Atelier dos Sabores"/>
    <s v="Torta Bem Casado de Doce de Leite"/>
    <s v="fatia"/>
    <n v="24"/>
    <n v="5.7458333333333336"/>
    <n v="137.9"/>
  </r>
  <r>
    <s v="Outubro"/>
    <s v="SEMANA 2"/>
    <n v="11"/>
    <x v="5"/>
    <s v="Atelier dos Sabores"/>
    <s v="Torta Banana Crock"/>
    <s v="fatia"/>
    <n v="24"/>
    <n v="5.7458333333333336"/>
    <n v="137.9"/>
  </r>
  <r>
    <s v="Outubro"/>
    <s v="SEMANA 2"/>
    <n v="11"/>
    <x v="5"/>
    <s v="Atelier dos Sabores"/>
    <s v="Torta de Cenoura c/ Chocolate"/>
    <s v="fatia"/>
    <n v="12"/>
    <n v="5.7108333333333334"/>
    <n v="68.53"/>
  </r>
  <r>
    <s v="Outubro"/>
    <s v="SEMANA 2"/>
    <n v="11"/>
    <x v="5"/>
    <s v="Artesanal Produtos"/>
    <s v="Torta de Maça Integral"/>
    <s v="fatia"/>
    <n v="20"/>
    <n v="4.8"/>
    <n v="96"/>
  </r>
  <r>
    <s v="Outubro"/>
    <s v="SEMANA 2"/>
    <n v="9"/>
    <x v="4"/>
    <s v="Umehara"/>
    <s v="Ovos Extra Sushi"/>
    <s v="unid"/>
    <n v="10"/>
    <n v="0.28055555555555556"/>
    <n v="2.8055555555555554"/>
  </r>
  <r>
    <s v="Outubro"/>
    <s v="SEMANA 2"/>
    <n v="11"/>
    <x v="0"/>
    <s v="Mercearia Fuji"/>
    <s v="Misso Shiro"/>
    <s v="kg"/>
    <n v="10"/>
    <n v="22"/>
    <n v="220"/>
  </r>
  <r>
    <s v="Outubro"/>
    <s v="SEMANA 2"/>
    <n v="11"/>
    <x v="0"/>
    <s v="Luisa"/>
    <s v="Clara de Ovo"/>
    <s v="kg"/>
    <n v="7.57"/>
    <n v="6.6050198150594452"/>
    <n v="50"/>
  </r>
  <r>
    <s v="Outubro"/>
    <s v="SEMANA 2"/>
    <n v="12"/>
    <x v="0"/>
    <s v="Planeta Gelo"/>
    <s v="Gelo em Escamas"/>
    <s v="saco"/>
    <n v="1"/>
    <n v="7.5"/>
    <n v="7.5"/>
  </r>
  <r>
    <s v="Outubro"/>
    <s v="SEMANA 2"/>
    <n v="12"/>
    <x v="0"/>
    <s v="Planeta Gelo"/>
    <s v="Gelo em Cubo"/>
    <s v="saco"/>
    <n v="3"/>
    <n v="7.5"/>
    <n v="22.5"/>
  </r>
  <r>
    <s v="Outubro"/>
    <s v="SEMANA 2"/>
    <n v="12"/>
    <x v="0"/>
    <s v="Tempero Carioca"/>
    <s v="Amendoim Torrado"/>
    <s v="kg"/>
    <n v="1"/>
    <n v="15.5"/>
    <n v="15.5"/>
  </r>
  <r>
    <s v="Outubro"/>
    <s v="SEMANA 2"/>
    <n v="12"/>
    <x v="0"/>
    <s v="Tempero Carioca"/>
    <s v="Cevadinha"/>
    <s v="kg"/>
    <n v="2"/>
    <n v="5.9"/>
    <n v="11.8"/>
  </r>
  <r>
    <s v="Outubro"/>
    <s v="SEMANA 2"/>
    <n v="12"/>
    <x v="0"/>
    <s v="Tempero Carioca"/>
    <s v="Coloral"/>
    <s v="kg"/>
    <n v="0.3"/>
    <n v="5.5"/>
    <n v="1.65"/>
  </r>
  <r>
    <s v="Outubro"/>
    <s v="SEMANA 2"/>
    <n v="12"/>
    <x v="0"/>
    <s v="Tempero Carioca"/>
    <s v="Nozes sem casca"/>
    <s v="kg"/>
    <n v="1"/>
    <n v="59.9"/>
    <n v="59.9"/>
  </r>
  <r>
    <s v="Outubro"/>
    <s v="SEMANA 2"/>
    <n v="12"/>
    <x v="0"/>
    <s v="Tempero Carioca"/>
    <s v="Quinoa"/>
    <s v="kg"/>
    <n v="2"/>
    <n v="23.9"/>
    <n v="47.8"/>
  </r>
  <r>
    <s v="Outubro"/>
    <s v="SEMANA 2"/>
    <n v="12"/>
    <x v="0"/>
    <s v="Tempero Carioca"/>
    <s v="Trigo em Grão"/>
    <s v="kg"/>
    <n v="1"/>
    <n v="3.9"/>
    <n v="3.9"/>
  </r>
  <r>
    <s v="Outubro"/>
    <s v="SEMANA 2"/>
    <n v="12"/>
    <x v="0"/>
    <s v="Tempero Carioca"/>
    <s v="Damasco Seco"/>
    <s v="kg"/>
    <n v="1"/>
    <n v="22.9"/>
    <n v="22.9"/>
  </r>
  <r>
    <s v="Outubro"/>
    <s v="SEMANA 2"/>
    <n v="12"/>
    <x v="1"/>
    <s v="Alcibiades G. Quintas"/>
    <s v="Abobrinha "/>
    <s v="kg"/>
    <n v="15.08"/>
    <n v="1.3262599469496021"/>
    <n v="20"/>
  </r>
  <r>
    <s v="Outubro"/>
    <s v="SEMANA 2"/>
    <n v="12"/>
    <x v="1"/>
    <s v="Alcibiades G. Quintas"/>
    <s v="Batata Doce"/>
    <s v="kg"/>
    <n v="19.3"/>
    <n v="1.5544041450777202"/>
    <n v="30"/>
  </r>
  <r>
    <s v="Outubro"/>
    <s v="SEMANA 2"/>
    <n v="12"/>
    <x v="1"/>
    <s v="Alcibiades G. Quintas"/>
    <s v="Batata HBT"/>
    <s v="kg"/>
    <n v="25"/>
    <n v="1.8"/>
    <n v="45"/>
  </r>
  <r>
    <s v="Outubro"/>
    <s v="SEMANA 2"/>
    <n v="12"/>
    <x v="1"/>
    <s v="Alcibiades G. Quintas"/>
    <s v="Berinjela"/>
    <s v="kg"/>
    <n v="10.52"/>
    <n v="3.3269961977186315"/>
    <n v="35"/>
  </r>
  <r>
    <s v="Outubro"/>
    <s v="SEMANA 2"/>
    <n v="12"/>
    <x v="1"/>
    <s v="Alcibiades G. Quintas"/>
    <s v="Aipo"/>
    <s v="kg"/>
    <n v="1.4"/>
    <n v="4"/>
    <n v="5.6"/>
  </r>
  <r>
    <s v="Outubro"/>
    <s v="SEMANA 2"/>
    <n v="12"/>
    <x v="1"/>
    <s v="Alcibiades G. Quintas"/>
    <s v="Brócolis Americano"/>
    <s v="kg"/>
    <n v="3"/>
    <n v="7"/>
    <n v="21"/>
  </r>
  <r>
    <s v="Outubro"/>
    <s v="SEMANA 2"/>
    <n v="12"/>
    <x v="1"/>
    <s v="Alcibiades G. Quintas"/>
    <s v="Nabo Japonês"/>
    <s v="kg"/>
    <n v="2"/>
    <n v="7"/>
    <n v="14"/>
  </r>
  <r>
    <s v="Outubro"/>
    <s v="SEMANA 2"/>
    <n v="12"/>
    <x v="1"/>
    <s v="Alcibiades G. Quintas"/>
    <s v="Abacate "/>
    <s v="kg"/>
    <n v="7"/>
    <n v="6.8"/>
    <n v="47.6"/>
  </r>
  <r>
    <s v="Outubro"/>
    <s v="SEMANA 2"/>
    <n v="12"/>
    <x v="1"/>
    <s v="Alcibiades G. Quintas"/>
    <s v="Abacaxi "/>
    <s v="kg"/>
    <n v="6"/>
    <n v="2.4"/>
    <n v="14.399999999999999"/>
  </r>
  <r>
    <s v="Outubro"/>
    <s v="SEMANA 2"/>
    <n v="12"/>
    <x v="1"/>
    <s v="Alcibiades G. Quintas"/>
    <s v="Manga Tommy"/>
    <s v="kg"/>
    <n v="5"/>
    <n v="4"/>
    <n v="20"/>
  </r>
  <r>
    <s v="Outubro"/>
    <s v="SEMANA 2"/>
    <n v="12"/>
    <x v="0"/>
    <s v="Ind. Caseira de Doces Helena"/>
    <s v="Biscoito de Milho Café "/>
    <s v="kg"/>
    <n v="5.6"/>
    <n v="22.19464285714286"/>
    <n v="124.29"/>
  </r>
  <r>
    <s v="Outubro"/>
    <s v="SEMANA 2"/>
    <n v="12"/>
    <x v="7"/>
    <s v="Ind. Caseira de Doces Helena"/>
    <s v="Biscoito de Milho Venda "/>
    <s v="kg"/>
    <n v="5.6"/>
    <n v="22.19464285714286"/>
    <n v="124.29"/>
  </r>
  <r>
    <s v="Outubro"/>
    <s v="SEMANA 2"/>
    <n v="12"/>
    <x v="1"/>
    <s v="Umehara"/>
    <s v="Abobora"/>
    <s v="kg"/>
    <n v="10"/>
    <n v="2.2000000000000002"/>
    <n v="22"/>
  </r>
  <r>
    <s v="Outubro"/>
    <s v="SEMANA 2"/>
    <n v="12"/>
    <x v="1"/>
    <s v="Umehara"/>
    <s v="Côco Verde"/>
    <s v="unid"/>
    <n v="20"/>
    <n v="1.91"/>
    <n v="38.199999999999996"/>
  </r>
  <r>
    <s v="Outubro"/>
    <s v="SEMANA 2"/>
    <n v="12"/>
    <x v="1"/>
    <s v="Umehara"/>
    <s v="Laranja Pera"/>
    <s v="kg"/>
    <n v="21.06"/>
    <n v="1.2820512820512822"/>
    <n v="27"/>
  </r>
  <r>
    <s v="Outubro"/>
    <s v="SEMANA 2"/>
    <n v="12"/>
    <x v="1"/>
    <s v="Umehara"/>
    <s v="Manga Palmer"/>
    <s v="kg"/>
    <n v="6"/>
    <n v="4"/>
    <n v="24"/>
  </r>
  <r>
    <s v="Outubro"/>
    <s v="SEMANA 2"/>
    <n v="12"/>
    <x v="1"/>
    <s v="Umehara"/>
    <s v="Banana D'Água"/>
    <s v="kg"/>
    <n v="2"/>
    <n v="2.2000000000000002"/>
    <n v="4.4000000000000004"/>
  </r>
  <r>
    <s v="Outubro"/>
    <s v="SEMANA 2"/>
    <n v="12"/>
    <x v="1"/>
    <s v="Umehara"/>
    <s v="Batata Calabresa"/>
    <s v="kg"/>
    <n v="2.5"/>
    <n v="1.75"/>
    <n v="4.375"/>
  </r>
  <r>
    <s v="Outubro"/>
    <s v="SEMANA 2"/>
    <n v="12"/>
    <x v="1"/>
    <s v="Umehara"/>
    <s v="Cebola Roxa"/>
    <s v="kg"/>
    <n v="1.5"/>
    <n v="4.1500000000000004"/>
    <n v="6.2250000000000005"/>
  </r>
  <r>
    <s v="Outubro"/>
    <s v="SEMANA 2"/>
    <n v="12"/>
    <x v="1"/>
    <s v="Umehara"/>
    <s v="Couve Manteiga"/>
    <s v="kg"/>
    <n v="8"/>
    <n v="3"/>
    <n v="24"/>
  </r>
  <r>
    <s v="Outubro"/>
    <s v="SEMANA 2"/>
    <n v="12"/>
    <x v="1"/>
    <s v="Umehara"/>
    <s v="Inhame"/>
    <s v="kg"/>
    <n v="2"/>
    <n v="1.9"/>
    <n v="3.8"/>
  </r>
  <r>
    <s v="Outubro"/>
    <s v="SEMANA 2"/>
    <n v="12"/>
    <x v="1"/>
    <s v="Umehara"/>
    <s v="Limão Siciliano"/>
    <s v="kg"/>
    <n v="1"/>
    <n v="6.66"/>
    <n v="6.66"/>
  </r>
  <r>
    <s v="Outubro"/>
    <s v="SEMANA 2"/>
    <n v="12"/>
    <x v="1"/>
    <s v="Umehara"/>
    <s v="Mamão Bahia"/>
    <s v="kg"/>
    <n v="4.5999999999999996"/>
    <n v="2.65"/>
    <n v="12.19"/>
  </r>
  <r>
    <s v="Outubro"/>
    <s v="SEMANA 2"/>
    <n v="12"/>
    <x v="1"/>
    <s v="Umehara"/>
    <s v="Ovos Extra"/>
    <s v="unid"/>
    <n v="360"/>
    <n v="0.28055555555555556"/>
    <n v="101"/>
  </r>
  <r>
    <s v="Outubro"/>
    <s v="SEMANA 2"/>
    <n v="12"/>
    <x v="1"/>
    <s v="Umehara"/>
    <s v="Repolho"/>
    <s v="kg"/>
    <n v="2"/>
    <n v="1.21"/>
    <n v="2.42"/>
  </r>
  <r>
    <s v="Outubro"/>
    <s v="SEMANA 2"/>
    <n v="12"/>
    <x v="1"/>
    <s v="Umehara"/>
    <s v="Tangerina"/>
    <s v="kg"/>
    <n v="2.2000000000000002"/>
    <n v="3.7"/>
    <n v="8.14"/>
  </r>
  <r>
    <s v="Outubro"/>
    <s v="SEMANA 2"/>
    <n v="12"/>
    <x v="1"/>
    <s v="Umehara"/>
    <s v="Vagem Macarrão"/>
    <s v="kg"/>
    <n v="3"/>
    <n v="6.9"/>
    <n v="20.700000000000003"/>
  </r>
  <r>
    <s v="Outubro"/>
    <s v="SEMANA 2"/>
    <n v="12"/>
    <x v="1"/>
    <s v="Mercadinho Bambina"/>
    <s v="Ervilha Torta"/>
    <s v="kg"/>
    <n v="0.34399999999999997"/>
    <n v="6.98"/>
    <n v="2.4011200000000001"/>
  </r>
  <r>
    <s v="Outubro"/>
    <s v="SEMANA 2"/>
    <n v="12"/>
    <x v="0"/>
    <s v="Mercadinho Bambina"/>
    <s v="Batata Palha 140 g"/>
    <s v="pcte"/>
    <n v="4"/>
    <n v="7.8"/>
    <n v="31.2"/>
  </r>
  <r>
    <s v="Outubro"/>
    <s v="SEMANA 2"/>
    <n v="13"/>
    <x v="0"/>
    <s v="CDI"/>
    <s v="Feijão Mulatinho"/>
    <s v="kg"/>
    <n v="15"/>
    <n v="11.2"/>
    <n v="168"/>
  </r>
  <r>
    <s v="Outubro"/>
    <s v="SEMANA 2"/>
    <n v="13"/>
    <x v="0"/>
    <s v="CDI"/>
    <s v="Macarrão Espaghetti Nissim"/>
    <s v="kg"/>
    <n v="2.5"/>
    <n v="10.956"/>
    <n v="27.39"/>
  </r>
  <r>
    <s v="Outubro"/>
    <s v="SEMANA 2"/>
    <n v="13"/>
    <x v="0"/>
    <s v="CDI"/>
    <s v="Sal Refinado"/>
    <s v="kg"/>
    <n v="10"/>
    <n v="0.89"/>
    <n v="8.9"/>
  </r>
  <r>
    <s v="Outubro"/>
    <s v="SEMANA 2"/>
    <n v="13"/>
    <x v="4"/>
    <s v="Frigorifico Jahu"/>
    <s v="Pescados - Salmão Inteiro Sushi"/>
    <s v="kg"/>
    <n v="22.84"/>
    <n v="27.900200000000002"/>
    <n v="637.24056800000005"/>
  </r>
  <r>
    <s v="Outubro"/>
    <s v="SEMANA 2"/>
    <n v="13"/>
    <x v="3"/>
    <s v="Frigorifico Jahu"/>
    <s v="Pescados - Salmão Inteiro"/>
    <s v="kg"/>
    <n v="26.48"/>
    <n v="25.899899999999999"/>
    <n v="685.82935199999997"/>
  </r>
  <r>
    <s v="Outubro"/>
    <s v="SEMANA 2"/>
    <n v="13"/>
    <x v="4"/>
    <s v="Satiro's"/>
    <s v="Pescados - Atum Fresco Sushi"/>
    <s v="kg"/>
    <n v="24"/>
    <n v="17"/>
    <n v="408"/>
  </r>
  <r>
    <s v="Outubro"/>
    <s v="SEMANA 2"/>
    <n v="13"/>
    <x v="4"/>
    <s v="Satiro's"/>
    <s v="Pescados - Olho de Cão Sushi"/>
    <s v="kg"/>
    <n v="3"/>
    <n v="15"/>
    <n v="45"/>
  </r>
  <r>
    <s v="Outubro"/>
    <s v="SEMANA 2"/>
    <n v="13"/>
    <x v="8"/>
    <s v="CRBS"/>
    <s v="Cerveja Bohemia 600 ml"/>
    <s v="unid"/>
    <n v="24"/>
    <n v="4.8070833333333338"/>
    <n v="115.37"/>
  </r>
  <r>
    <s v="Outubro"/>
    <s v="SEMANA 2"/>
    <n v="13"/>
    <x v="8"/>
    <s v="CRBS"/>
    <s v="Água Tonica"/>
    <s v="unid"/>
    <n v="12"/>
    <n v="1.8608333333333331"/>
    <n v="22.33"/>
  </r>
  <r>
    <s v="Outubro"/>
    <s v="SEMANA 2"/>
    <n v="13"/>
    <x v="8"/>
    <s v="CRBS"/>
    <s v="Guaraná Antarctica (lata)"/>
    <s v="unid"/>
    <n v="60"/>
    <n v="1.8288333333333333"/>
    <n v="109.73"/>
  </r>
  <r>
    <s v="Outubro"/>
    <s v="SEMANA 2"/>
    <n v="13"/>
    <x v="8"/>
    <s v="CRBS"/>
    <s v="Guaraná Antarctica Zero (lata)"/>
    <s v="unid"/>
    <n v="24"/>
    <n v="1.8287500000000001"/>
    <n v="43.89"/>
  </r>
  <r>
    <s v="Outubro"/>
    <s v="SEMANA 2"/>
    <n v="13"/>
    <x v="3"/>
    <s v="Barrinhas"/>
    <s v="Pescados - Bacalhau Salgado"/>
    <s v="kg"/>
    <n v="25"/>
    <n v="43.921599999999998"/>
    <n v="1098.04"/>
  </r>
  <r>
    <s v="Outubro"/>
    <s v="SEMANA 2"/>
    <n v="13"/>
    <x v="3"/>
    <s v="Frisa"/>
    <s v="Carne Bovina - Filé Mignon 3/4"/>
    <s v="kg"/>
    <n v="49.1"/>
    <n v="32"/>
    <n v="1571.2"/>
  </r>
  <r>
    <s v="Outubro"/>
    <s v="SEMANA 2"/>
    <n v="13"/>
    <x v="3"/>
    <s v="Frisa"/>
    <s v="Carne Bovina - Picanha Grill/Churrascaria"/>
    <s v="kg"/>
    <n v="19.940000000000001"/>
    <n v="38"/>
    <n v="757.72"/>
  </r>
  <r>
    <s v="Outubro"/>
    <s v="SEMANA 2"/>
    <n v="13"/>
    <x v="3"/>
    <s v="Frisa"/>
    <s v="Carne Bovina - Picanha Grill/Churrascaria"/>
    <s v="kg"/>
    <n v="20.190000000000001"/>
    <n v="38"/>
    <n v="767.22"/>
  </r>
  <r>
    <s v="Outubro"/>
    <s v="SEMANA 2"/>
    <n v="13"/>
    <x v="3"/>
    <s v="Frisa"/>
    <s v="Carne Bovina - Perinha da Chã"/>
    <s v="kg"/>
    <n v="22.32"/>
    <n v="13.8"/>
    <n v="308.01600000000002"/>
  </r>
  <r>
    <s v="Outubro"/>
    <s v="SEMANA 2"/>
    <n v="13"/>
    <x v="3"/>
    <s v="Pescarimarcar"/>
    <s v="Pescados - Filé Linguado Cong. G"/>
    <s v="kg"/>
    <n v="60"/>
    <n v="41"/>
    <n v="2460"/>
  </r>
  <r>
    <s v="Outubro"/>
    <s v="SEMANA 2"/>
    <n v="13"/>
    <x v="3"/>
    <s v="Pescarimarcar"/>
    <s v="Pescados - Filé Linguado Cong. M"/>
    <s v="kg"/>
    <n v="20"/>
    <n v="29"/>
    <n v="580"/>
  </r>
  <r>
    <s v="Outubro"/>
    <s v="SEMANA 2"/>
    <n v="13"/>
    <x v="0"/>
    <s v="Laticinios Alhambra"/>
    <s v="Creme de Leite Culinário 20% Bd 10 Lt"/>
    <s v="bd"/>
    <n v="2"/>
    <n v="142.44999999999999"/>
    <n v="284.89999999999998"/>
  </r>
  <r>
    <s v="Outubro"/>
    <s v="SEMANA 2"/>
    <n v="13"/>
    <x v="0"/>
    <s v="Laticinios Alhambra"/>
    <s v="Queijo Gorgonzola"/>
    <s v="kg"/>
    <n v="3.24"/>
    <n v="47.5"/>
    <n v="153.9"/>
  </r>
  <r>
    <s v="Outubro"/>
    <s v="SEMANA 2"/>
    <n v="13"/>
    <x v="0"/>
    <s v="Laticinios Alhambra"/>
    <s v="Queijo Mussarela"/>
    <s v="kg"/>
    <n v="3.46"/>
    <n v="26"/>
    <n v="89.96"/>
  </r>
  <r>
    <s v="Outubro"/>
    <s v="SEMANA 2"/>
    <n v="13"/>
    <x v="0"/>
    <s v="Laticinios Alhambra"/>
    <s v="Queijo Minas"/>
    <s v="kg"/>
    <n v="3"/>
    <n v="20.8"/>
    <n v="62.400000000000006"/>
  </r>
  <r>
    <s v="Outubro"/>
    <s v="SEMANA 2"/>
    <n v="13"/>
    <x v="0"/>
    <s v="Laticinios Alhambra"/>
    <s v="Queijo Requeijão BD 3,6 Kg"/>
    <s v="kg"/>
    <n v="2"/>
    <n v="74.400000000000006"/>
    <n v="148.80000000000001"/>
  </r>
  <r>
    <s v="Outubro"/>
    <s v="SEMANA 2"/>
    <n v="13"/>
    <x v="0"/>
    <s v="Zamboni"/>
    <s v="Azeite Extra Virgem (Santiago) 500 ml"/>
    <s v="unid"/>
    <n v="12"/>
    <n v="16.349166666666665"/>
    <n v="196.19"/>
  </r>
  <r>
    <s v="Outubro"/>
    <s v="SEMANA 2"/>
    <n v="13"/>
    <x v="1"/>
    <s v="Alcibiades G. Quintas"/>
    <s v="Abobora"/>
    <s v="kg"/>
    <n v="4.5"/>
    <n v="3.2"/>
    <n v="14.4"/>
  </r>
  <r>
    <s v="Outubro"/>
    <s v="SEMANA 2"/>
    <n v="13"/>
    <x v="1"/>
    <s v="Alcibiades G. Quintas"/>
    <s v="Cenoura"/>
    <s v="kg"/>
    <n v="19.16"/>
    <n v="2.0876826722338206"/>
    <n v="40.000000000000007"/>
  </r>
  <r>
    <s v="Outubro"/>
    <s v="SEMANA 2"/>
    <n v="13"/>
    <x v="4"/>
    <s v="Alcibiades G. Quintas"/>
    <s v="Gengibre Sushi"/>
    <s v="kg"/>
    <n v="11.88"/>
    <n v="6.7340067340067336"/>
    <n v="80"/>
  </r>
  <r>
    <s v="Outubro"/>
    <s v="SEMANA 2"/>
    <n v="13"/>
    <x v="1"/>
    <s v="Alcibiades G. Quintas"/>
    <s v="Pimentão Verde"/>
    <s v="kg"/>
    <n v="1"/>
    <n v="5"/>
    <n v="5"/>
  </r>
  <r>
    <s v="Outubro"/>
    <s v="SEMANA 2"/>
    <n v="13"/>
    <x v="1"/>
    <s v="Alcibiades G. Quintas"/>
    <s v="Pimentão Amarelo"/>
    <s v="kg"/>
    <n v="1"/>
    <n v="10"/>
    <n v="10"/>
  </r>
  <r>
    <s v="Outubro"/>
    <s v="SEMANA 2"/>
    <n v="13"/>
    <x v="1"/>
    <s v="Alcibiades G. Quintas"/>
    <s v="Pimentão Vermelho"/>
    <s v="kg"/>
    <n v="1"/>
    <n v="10"/>
    <n v="10"/>
  </r>
  <r>
    <s v="Outubro"/>
    <s v="SEMANA 2"/>
    <n v="13"/>
    <x v="1"/>
    <s v="Alcibiades G. Quintas"/>
    <s v="Repolho"/>
    <s v="kg"/>
    <n v="2"/>
    <n v="3"/>
    <n v="6"/>
  </r>
  <r>
    <s v="Outubro"/>
    <s v="SEMANA 2"/>
    <n v="13"/>
    <x v="1"/>
    <s v="Alcibiades G. Quintas"/>
    <s v="Repolho Roxo"/>
    <s v="kg"/>
    <n v="3"/>
    <n v="4"/>
    <n v="12"/>
  </r>
  <r>
    <s v="Outubro"/>
    <s v="SEMANA 2"/>
    <n v="13"/>
    <x v="1"/>
    <s v="Alcibiades G. Quintas"/>
    <s v="Tomate Salada"/>
    <s v="kg"/>
    <n v="21.1"/>
    <n v="3.3175355450236963"/>
    <n v="70"/>
  </r>
  <r>
    <s v="Outubro"/>
    <s v="SEMANA 2"/>
    <n v="13"/>
    <x v="1"/>
    <s v="Alcibiades G. Quintas"/>
    <s v="Brócolis Americano"/>
    <s v="kg"/>
    <n v="3"/>
    <n v="7"/>
    <n v="21"/>
  </r>
  <r>
    <s v="Outubro"/>
    <s v="SEMANA 2"/>
    <n v="13"/>
    <x v="1"/>
    <s v="Alcibiades G. Quintas"/>
    <s v="Coentro"/>
    <s v="kg"/>
    <n v="0.5"/>
    <n v="14"/>
    <n v="7"/>
  </r>
  <r>
    <s v="Outubro"/>
    <s v="SEMANA 2"/>
    <n v="13"/>
    <x v="1"/>
    <s v="Alcibiades G. Quintas"/>
    <s v="Espinafre"/>
    <s v="kg"/>
    <n v="2"/>
    <n v="4.8"/>
    <n v="9.6"/>
  </r>
  <r>
    <s v="Outubro"/>
    <s v="SEMANA 2"/>
    <n v="13"/>
    <x v="1"/>
    <s v="Alcibiades G. Quintas"/>
    <s v="Funcho"/>
    <s v="kg"/>
    <n v="1"/>
    <n v="10"/>
    <n v="10"/>
  </r>
  <r>
    <s v="Outubro"/>
    <s v="SEMANA 2"/>
    <n v="13"/>
    <x v="1"/>
    <s v="Alcibiades G. Quintas"/>
    <s v="Rabanete"/>
    <s v="kg"/>
    <n v="2"/>
    <n v="6.8"/>
    <n v="13.6"/>
  </r>
  <r>
    <s v="Outubro"/>
    <s v="SEMANA 2"/>
    <n v="13"/>
    <x v="1"/>
    <s v="Alcibiades G. Quintas"/>
    <s v="Alfafa"/>
    <s v="kg"/>
    <n v="0.15"/>
    <n v="40"/>
    <n v="6"/>
  </r>
  <r>
    <s v="Outubro"/>
    <s v="SEMANA 2"/>
    <n v="13"/>
    <x v="1"/>
    <s v="Alcibiades G. Quintas"/>
    <s v="Abacaxi "/>
    <s v="kg"/>
    <n v="10"/>
    <n v="2.4"/>
    <n v="24"/>
  </r>
  <r>
    <s v="Outubro"/>
    <s v="SEMANA 2"/>
    <n v="13"/>
    <x v="8"/>
    <s v="Rio de Janeiro"/>
    <s v="Coca Cola (lata)"/>
    <s v="unid"/>
    <n v="84"/>
    <n v="2.9033333333333333"/>
    <n v="243.88"/>
  </r>
  <r>
    <s v="Outubro"/>
    <s v="SEMANA 2"/>
    <n v="13"/>
    <x v="8"/>
    <s v="Rio de Janeiro"/>
    <s v="Coca Cola Zero (lata)"/>
    <s v="unid"/>
    <n v="84"/>
    <n v="2.8899999999999997"/>
    <n v="242.75999999999996"/>
  </r>
  <r>
    <s v="Outubro"/>
    <s v="SEMANA 2"/>
    <n v="13"/>
    <x v="8"/>
    <s v="Rio de Janeiro"/>
    <s v="Cerveja Heineken Long Neck 330 ml"/>
    <s v="unid"/>
    <n v="24"/>
    <n v="4"/>
    <n v="96"/>
  </r>
  <r>
    <s v="Outubro"/>
    <s v="SEMANA 2"/>
    <n v="13"/>
    <x v="3"/>
    <s v="Marfrig"/>
    <s v="Carne Bovina - Coração Alcatra"/>
    <s v="kg"/>
    <n v="41.281999999999996"/>
    <n v="18.6633"/>
    <n v="770.4583505999999"/>
  </r>
  <r>
    <s v="Outubro"/>
    <s v="SEMANA 2"/>
    <n v="13"/>
    <x v="3"/>
    <s v="Reginaves"/>
    <s v="Aves - Filé de Peito de Frango"/>
    <s v="kg"/>
    <n v="48"/>
    <n v="7.8"/>
    <n v="374.4"/>
  </r>
  <r>
    <s v="Outubro"/>
    <s v="SEMANA 2"/>
    <n v="13"/>
    <x v="0"/>
    <s v="Bonduelle"/>
    <s v="Favas"/>
    <s v="kg"/>
    <n v="6.4"/>
    <n v="14.996874999999999"/>
    <n v="95.98"/>
  </r>
  <r>
    <s v="Outubro"/>
    <s v="SEMANA 2"/>
    <n v="13"/>
    <x v="1"/>
    <s v="Bonduelle"/>
    <s v="Fundo de Alcachofra"/>
    <s v="kg"/>
    <n v="6.4"/>
    <n v="22.340624999999996"/>
    <n v="142.97999999999999"/>
  </r>
  <r>
    <s v="Outubro"/>
    <s v="SEMANA 2"/>
    <n v="13"/>
    <x v="0"/>
    <s v="Bonduelle"/>
    <s v="Ervilha congelada"/>
    <s v="kg"/>
    <n v="12"/>
    <n v="9.1950000000000003"/>
    <n v="110.34"/>
  </r>
  <r>
    <s v="Outubro"/>
    <s v="SEMANA 2"/>
    <n v="13"/>
    <x v="6"/>
    <s v="Sitio do Moinho"/>
    <s v="Abobrinha Org. Feirinha"/>
    <s v="kg"/>
    <n v="1.696"/>
    <n v="7.85"/>
    <n v="13.313599999999999"/>
  </r>
  <r>
    <s v="Outubro"/>
    <s v="SEMANA 2"/>
    <n v="13"/>
    <x v="1"/>
    <s v="Sitio do Moinho"/>
    <s v="Alface Americana Orgânica"/>
    <s v="kg"/>
    <n v="8.84"/>
    <n v="7.0998116760828633"/>
    <n v="62.762335216572509"/>
  </r>
  <r>
    <s v="Outubro"/>
    <s v="SEMANA 2"/>
    <n v="13"/>
    <x v="6"/>
    <s v="Sitio do Moinho"/>
    <s v="Alface Americana Org. Feirinha"/>
    <s v="kg"/>
    <n v="1.78"/>
    <n v="7.0998116760828633"/>
    <n v="12.637664783427496"/>
  </r>
  <r>
    <s v="Outubro"/>
    <s v="SEMANA 2"/>
    <n v="13"/>
    <x v="1"/>
    <s v="Sitio do Moinho"/>
    <s v="Alface crespa Orgânica"/>
    <s v="kg"/>
    <n v="2.0599999999999996"/>
    <n v="10.479041916167665"/>
    <n v="21.586826347305387"/>
  </r>
  <r>
    <s v="Outubro"/>
    <s v="SEMANA 2"/>
    <n v="13"/>
    <x v="6"/>
    <s v="Sitio do Moinho"/>
    <s v="Alface Crespa Org. Feirinha"/>
    <s v="kg"/>
    <n v="1.28"/>
    <n v="10.479041916167665"/>
    <n v="13.413173652694612"/>
  </r>
  <r>
    <s v="Outubro"/>
    <s v="SEMANA 2"/>
    <n v="13"/>
    <x v="1"/>
    <s v="Sitio do Moinho"/>
    <s v="Alface Roxa Orgânica"/>
    <s v="kg"/>
    <n v="2.88"/>
    <n v="8.3762886597938149"/>
    <n v="24.123711340206185"/>
  </r>
  <r>
    <s v="Outubro"/>
    <s v="SEMANA 2"/>
    <n v="13"/>
    <x v="6"/>
    <s v="Sitio do Moinho"/>
    <s v="Alface Roxa Org. Feirinha"/>
    <s v="kg"/>
    <n v="1"/>
    <n v="8.3762886597938149"/>
    <n v="8.3762886597938149"/>
  </r>
  <r>
    <s v="Outubro"/>
    <s v="SEMANA 2"/>
    <n v="13"/>
    <x v="6"/>
    <s v="Sitio do Moinho"/>
    <s v="Banana Prata Org. Feirinha"/>
    <s v="kg"/>
    <n v="2.4060000000000001"/>
    <n v="6.55"/>
    <n v="15.7593"/>
  </r>
  <r>
    <s v="Outubro"/>
    <s v="SEMANA 2"/>
    <n v="13"/>
    <x v="6"/>
    <s v="Sitio do Moinho"/>
    <s v="Berinjela Org. Feirinha"/>
    <s v="kg"/>
    <n v="1.74"/>
    <n v="8.1999999999999993"/>
    <n v="14.267999999999999"/>
  </r>
  <r>
    <s v="Outubro"/>
    <s v="SEMANA 2"/>
    <n v="13"/>
    <x v="1"/>
    <s v="Sitio do Moinho"/>
    <s v="Beterraba Orgânica"/>
    <s v="kg"/>
    <n v="6.1449999999999996"/>
    <n v="7.7"/>
    <n v="47.316499999999998"/>
  </r>
  <r>
    <s v="Outubro"/>
    <s v="SEMANA 2"/>
    <n v="13"/>
    <x v="6"/>
    <s v="Sitio do Moinho"/>
    <s v="Beterraba Orgânica Feirinha"/>
    <s v="kg"/>
    <n v="2"/>
    <n v="7.7"/>
    <n v="15.4"/>
  </r>
  <r>
    <s v="Outubro"/>
    <s v="SEMANA 2"/>
    <n v="13"/>
    <x v="1"/>
    <s v="Sitio do Moinho"/>
    <s v="Cenoura Orgânica"/>
    <s v="kg"/>
    <n v="6"/>
    <n v="7.75"/>
    <n v="46.5"/>
  </r>
  <r>
    <s v="Outubro"/>
    <s v="SEMANA 2"/>
    <n v="13"/>
    <x v="6"/>
    <s v="Sitio do Moinho"/>
    <s v="Cenoura Org. Feirinha"/>
    <s v="kg"/>
    <n v="2"/>
    <n v="7.75"/>
    <n v="15.5"/>
  </r>
  <r>
    <s v="Outubro"/>
    <s v="SEMANA 2"/>
    <n v="13"/>
    <x v="6"/>
    <s v="Sitio do Moinho"/>
    <s v="Couve Orgânica Feirinha"/>
    <s v="kg"/>
    <n v="0.9"/>
    <n v="9.3333333333333339"/>
    <n v="8.4"/>
  </r>
  <r>
    <s v="Outubro"/>
    <s v="SEMANA 2"/>
    <n v="13"/>
    <x v="6"/>
    <s v="Sitio do Moinho"/>
    <s v="Pepino Japonês Org. Feirinha"/>
    <s v="kg"/>
    <n v="1.5"/>
    <n v="14"/>
    <n v="21"/>
  </r>
  <r>
    <s v="Outubro"/>
    <s v="SEMANA 2"/>
    <n v="13"/>
    <x v="1"/>
    <s v="Sitio do Moinho"/>
    <s v="Rúcula Orgânica"/>
    <s v="kg"/>
    <n v="3.8999999999999995"/>
    <n v="21.333333333333336"/>
    <n v="83.2"/>
  </r>
  <r>
    <s v="Outubro"/>
    <s v="SEMANA 2"/>
    <n v="13"/>
    <x v="6"/>
    <s v="Sitio do Moinho"/>
    <s v="Rucula Org. Feirinha"/>
    <s v="kg"/>
    <n v="0.45"/>
    <n v="21.333333333333336"/>
    <n v="9.6000000000000014"/>
  </r>
  <r>
    <s v="Outubro"/>
    <s v="SEMANA 2"/>
    <n v="13"/>
    <x v="1"/>
    <s v="Umehara"/>
    <s v="Acelga"/>
    <s v="kg"/>
    <n v="2"/>
    <n v="2.2000000000000002"/>
    <n v="4.4000000000000004"/>
  </r>
  <r>
    <s v="Outubro"/>
    <s v="SEMANA 2"/>
    <n v="13"/>
    <x v="1"/>
    <s v="Umehara"/>
    <s v="Berinjela"/>
    <s v="kg"/>
    <n v="10.199999999999999"/>
    <n v="4.7058823529411766"/>
    <n v="48"/>
  </r>
  <r>
    <s v="Outubro"/>
    <s v="SEMANA 2"/>
    <n v="13"/>
    <x v="1"/>
    <s v="Umehara"/>
    <s v="Cebolinha Verde"/>
    <s v="kg"/>
    <n v="1"/>
    <n v="7.5"/>
    <n v="7.5"/>
  </r>
  <r>
    <s v="Outubro"/>
    <s v="SEMANA 2"/>
    <n v="13"/>
    <x v="1"/>
    <s v="Umehara"/>
    <s v="Côco Verde"/>
    <s v="kg"/>
    <n v="10"/>
    <n v="1.91"/>
    <n v="19.099999999999998"/>
  </r>
  <r>
    <s v="Outubro"/>
    <s v="SEMANA 2"/>
    <n v="13"/>
    <x v="1"/>
    <s v="Umehara"/>
    <s v="Hortelã"/>
    <s v="unid"/>
    <n v="0.5"/>
    <n v="4.5"/>
    <n v="2.25"/>
  </r>
  <r>
    <s v="Outubro"/>
    <s v="SEMANA 2"/>
    <n v="13"/>
    <x v="1"/>
    <s v="Umehara"/>
    <s v="Laranja Pera"/>
    <s v="kg"/>
    <n v="21.3"/>
    <n v="1.2676056338028168"/>
    <n v="26.999999999999996"/>
  </r>
  <r>
    <s v="Outubro"/>
    <s v="SEMANA 2"/>
    <n v="13"/>
    <x v="1"/>
    <s v="Umehara"/>
    <s v="Manga Palmer"/>
    <s v="kg"/>
    <n v="6"/>
    <n v="4"/>
    <n v="24"/>
  </r>
  <r>
    <s v="Outubro"/>
    <s v="SEMANA 2"/>
    <n v="13"/>
    <x v="11"/>
    <s v="Umehara"/>
    <s v="Salsa"/>
    <s v="kg"/>
    <n v="1"/>
    <n v="7.5"/>
    <n v="7.5"/>
  </r>
  <r>
    <s v="Outubro"/>
    <s v="SEMANA 2"/>
    <n v="13"/>
    <x v="1"/>
    <s v="Umehara"/>
    <s v="Banana D'Água"/>
    <s v="kg"/>
    <n v="3"/>
    <n v="2.2000000000000002"/>
    <n v="6.6000000000000005"/>
  </r>
  <r>
    <s v="Outubro"/>
    <s v="SEMANA 2"/>
    <n v="13"/>
    <x v="1"/>
    <s v="Umehara"/>
    <s v="Cebola"/>
    <s v="kg"/>
    <n v="18.440000000000001"/>
    <n v="1.4636659436008674"/>
    <n v="26.99"/>
  </r>
  <r>
    <s v="Outubro"/>
    <s v="SEMANA 2"/>
    <n v="13"/>
    <x v="0"/>
    <s v="Umehara"/>
    <s v="Côco Seco"/>
    <s v="kg"/>
    <n v="1"/>
    <n v="6.9"/>
    <n v="6.9"/>
  </r>
  <r>
    <s v="Outubro"/>
    <s v="SEMANA 2"/>
    <n v="13"/>
    <x v="1"/>
    <s v="Umehara"/>
    <s v="Endivia"/>
    <s v="kg"/>
    <m/>
    <m/>
    <n v="0"/>
  </r>
  <r>
    <s v="Outubro"/>
    <s v="SEMANA 2"/>
    <n v="13"/>
    <x v="1"/>
    <s v="Umehara"/>
    <s v="Kiwi"/>
    <s v="kg"/>
    <n v="1"/>
    <n v="13.7"/>
    <n v="13.7"/>
  </r>
  <r>
    <s v="Outubro"/>
    <s v="SEMANA 2"/>
    <n v="13"/>
    <x v="1"/>
    <s v="Umehara"/>
    <s v="Mamão Bahia"/>
    <s v="kg"/>
    <n v="2.9"/>
    <n v="2.65"/>
    <n v="7.6849999999999996"/>
  </r>
  <r>
    <s v="Outubro"/>
    <s v="SEMANA 2"/>
    <n v="13"/>
    <x v="1"/>
    <s v="Umehara"/>
    <s v="Melância"/>
    <s v="kg"/>
    <n v="10"/>
    <n v="1.64"/>
    <n v="16.399999999999999"/>
  </r>
  <r>
    <s v="Outubro"/>
    <s v="SEMANA 2"/>
    <n v="13"/>
    <x v="1"/>
    <s v="Umehara"/>
    <s v="Repolho"/>
    <s v="kg"/>
    <n v="2"/>
    <n v="1.21"/>
    <n v="2.42"/>
  </r>
  <r>
    <s v="Outubro"/>
    <s v="SEMANA 2"/>
    <n v="13"/>
    <x v="1"/>
    <s v="Umehara"/>
    <s v="Vagem Macarrão"/>
    <s v="kg"/>
    <n v="2.5"/>
    <n v="6.9"/>
    <n v="17.25"/>
  </r>
  <r>
    <s v="Outubro"/>
    <s v="SEMANA 2"/>
    <n v="14"/>
    <x v="0"/>
    <s v="Planeta Gelo"/>
    <s v="Gelo em Escamas"/>
    <s v="saco"/>
    <n v="2"/>
    <n v="7.5"/>
    <n v="15"/>
  </r>
  <r>
    <s v="Outubro"/>
    <s v="SEMANA 2"/>
    <n v="14"/>
    <x v="0"/>
    <s v="Planeta Gelo"/>
    <s v="Gelo em Cubo"/>
    <s v="saco"/>
    <n v="3"/>
    <n v="7.5"/>
    <n v="22.5"/>
  </r>
  <r>
    <s v="Outubro"/>
    <s v="SEMANA 2"/>
    <n v="14"/>
    <x v="0"/>
    <s v="Mercadinho Bambina"/>
    <s v="Batata Palha 140 g"/>
    <s v="pacte"/>
    <n v="1"/>
    <n v="7.8"/>
    <n v="7.8"/>
  </r>
  <r>
    <s v="Outubro"/>
    <s v="SEMANA 2"/>
    <n v="14"/>
    <x v="0"/>
    <s v="Mercadinho Bambina"/>
    <s v="Salame Italiano"/>
    <s v="kg"/>
    <n v="0.22800000000000001"/>
    <n v="59.98"/>
    <n v="13.67544"/>
  </r>
  <r>
    <s v="Outubro"/>
    <s v="SEMANA 2"/>
    <n v="14"/>
    <x v="0"/>
    <s v="Mercadinho Bambina"/>
    <s v="Pão Árabe"/>
    <s v="pacte"/>
    <n v="1"/>
    <n v="6.7"/>
    <n v="6.7"/>
  </r>
  <r>
    <s v="Outubro"/>
    <s v="SEMANA 2"/>
    <n v="14"/>
    <x v="0"/>
    <s v="Mercadinho Bambina"/>
    <s v="Pão Francês"/>
    <s v="kg"/>
    <n v="0.23499999999999999"/>
    <n v="13.98"/>
    <n v="3.2852999999999999"/>
  </r>
  <r>
    <s v="Outubro"/>
    <s v="SEMANA 2"/>
    <n v="14"/>
    <x v="1"/>
    <s v="Mercadinho Bambina"/>
    <s v="Couve Manteiga"/>
    <s v="kg"/>
    <n v="0.3"/>
    <n v="5.5"/>
    <n v="1.65"/>
  </r>
  <r>
    <s v="Outubro"/>
    <s v="SEMANA 2"/>
    <n v="13"/>
    <x v="0"/>
    <s v="Planeta Gelo"/>
    <s v="Gelo em Escamas"/>
    <s v="saco"/>
    <n v="2"/>
    <n v="7.5"/>
    <n v="15"/>
  </r>
  <r>
    <s v="Outubro"/>
    <s v="SEMANA 2"/>
    <n v="13"/>
    <x v="0"/>
    <s v="Planeta Gelo"/>
    <s v="Gelo em Cubo"/>
    <s v="saco"/>
    <n v="3"/>
    <n v="7.5"/>
    <n v="22.5"/>
  </r>
  <r>
    <s v="Outubro"/>
    <s v="SEMANA 2"/>
    <n v="13"/>
    <x v="0"/>
    <s v="Mercadinho Bambina"/>
    <s v="Batata Palha 140 g"/>
    <s v="pacte"/>
    <n v="2"/>
    <n v="7.8"/>
    <n v="15.6"/>
  </r>
  <r>
    <s v="Outubro"/>
    <s v="SEMANA 2"/>
    <n v="13"/>
    <x v="0"/>
    <s v="Mercadinho Bambina"/>
    <s v="Gelatina em pó s/ sabor (incolor)"/>
    <s v="pacte"/>
    <n v="2"/>
    <n v="5.45"/>
    <n v="10.9"/>
  </r>
  <r>
    <s v="Outubro"/>
    <s v="SEMANA 2"/>
    <n v="13"/>
    <x v="0"/>
    <s v="Mercadinho Bambina"/>
    <s v="Tapioca Granulada "/>
    <s v="kg"/>
    <n v="1.5"/>
    <n v="11"/>
    <n v="16.5"/>
  </r>
  <r>
    <s v="Outubro"/>
    <s v="SEMANA 2"/>
    <n v="13"/>
    <x v="0"/>
    <s v="Mercadinho Bambina"/>
    <s v="Suco de Maracujá"/>
    <s v="unid"/>
    <n v="2"/>
    <n v="8.75"/>
    <n v="17.5"/>
  </r>
  <r>
    <s v="Outubro"/>
    <s v="SEMANA 2"/>
    <n v="13"/>
    <x v="0"/>
    <s v="Mercadinho Bambina"/>
    <s v="Aveia Quaker Flocos cx 200g"/>
    <s v="unid"/>
    <n v="6"/>
    <n v="3.5"/>
    <n v="21"/>
  </r>
  <r>
    <s v="Outubro"/>
    <s v="SEMANA 2"/>
    <n v="13"/>
    <x v="0"/>
    <s v="Mercadinho Bambina"/>
    <s v="Chá diversos sache"/>
    <s v="pcte"/>
    <n v="1"/>
    <n v="4.9800000000000004"/>
    <n v="4.9800000000000004"/>
  </r>
  <r>
    <s v="Outubro"/>
    <s v="SEMANA 2"/>
    <n v="14"/>
    <x v="3"/>
    <s v="Top Alto"/>
    <s v="Suíno - Linguiça Calabresa"/>
    <s v="kg"/>
    <n v="2.5"/>
    <n v="10.48"/>
    <n v="26.200000000000003"/>
  </r>
  <r>
    <s v="Outubro"/>
    <s v="SEMANA 2"/>
    <n v="14"/>
    <x v="3"/>
    <s v="Top Alto"/>
    <s v="Carne Bovina - Peito"/>
    <s v="kg"/>
    <n v="14.8"/>
    <n v="11.98"/>
    <n v="177.304"/>
  </r>
  <r>
    <s v="Outubro"/>
    <s v="SEMANA 2"/>
    <n v="14"/>
    <x v="3"/>
    <s v="Top Alto"/>
    <s v="Presunto Cozido"/>
    <s v="kg"/>
    <n v="6.8"/>
    <n v="13.91029411764706"/>
    <n v="94.59"/>
  </r>
  <r>
    <s v="Outubro"/>
    <s v="SEMANA 2"/>
    <n v="14"/>
    <x v="3"/>
    <s v="Top Alto"/>
    <s v="Aves - Sobrecoxa"/>
    <s v="kg"/>
    <n v="18"/>
    <n v="5.98"/>
    <n v="107.64000000000001"/>
  </r>
  <r>
    <s v="Outubro"/>
    <s v="SEMANA 2"/>
    <n v="14"/>
    <x v="3"/>
    <s v="Frigorifico Jahu"/>
    <s v="Pescados - Camarão IQF Evisc. 51/60"/>
    <s v="kg"/>
    <n v="12"/>
    <n v="66.900000000000006"/>
    <n v="802.80000000000007"/>
  </r>
  <r>
    <s v="Outubro"/>
    <s v="SEMANA 2"/>
    <n v="14"/>
    <x v="3"/>
    <s v="Peixaria Só Peixe"/>
    <s v="Pescados - Kani"/>
    <s v="kg"/>
    <n v="8"/>
    <n v="21.99"/>
    <n v="175.92"/>
  </r>
  <r>
    <s v="Outubro"/>
    <s v="SEMANA 2"/>
    <n v="14"/>
    <x v="4"/>
    <s v="Peixaria Só Peixe"/>
    <s v="Pescados - Kani Sushi"/>
    <s v="kg"/>
    <n v="2"/>
    <n v="21.99"/>
    <n v="43.98"/>
  </r>
  <r>
    <s v="Outubro"/>
    <s v="SEMANA 2"/>
    <n v="14"/>
    <x v="1"/>
    <s v="Batata, o Rei do Alho"/>
    <s v="Alho Descascado"/>
    <s v="kg"/>
    <n v="20"/>
    <n v="15.5"/>
    <n v="310"/>
  </r>
  <r>
    <s v="Outubro"/>
    <s v="SEMANA 2"/>
    <n v="14"/>
    <x v="1"/>
    <s v="Alcibiades G. Quintas"/>
    <s v="Abobrinha "/>
    <s v="kg"/>
    <n v="17.399999999999999"/>
    <n v="1.149425287356322"/>
    <n v="20"/>
  </r>
  <r>
    <s v="Outubro"/>
    <s v="SEMANA 2"/>
    <n v="14"/>
    <x v="1"/>
    <s v="Alcibiades G. Quintas"/>
    <s v="Batata Inglesa"/>
    <s v="kg"/>
    <n v="7"/>
    <n v="1.8"/>
    <n v="12.6"/>
  </r>
  <r>
    <s v="Outubro"/>
    <s v="SEMANA 2"/>
    <n v="14"/>
    <x v="1"/>
    <s v="Alcibiades G. Quintas"/>
    <s v="Batata HBT"/>
    <s v="kg"/>
    <n v="25"/>
    <n v="1.8"/>
    <n v="45"/>
  </r>
  <r>
    <s v="Outubro"/>
    <s v="SEMANA 2"/>
    <n v="14"/>
    <x v="1"/>
    <s v="Alcibiades G. Quintas"/>
    <s v="Batata Yacon"/>
    <s v="kg"/>
    <n v="0.5"/>
    <n v="8"/>
    <n v="4"/>
  </r>
  <r>
    <s v="Outubro"/>
    <s v="SEMANA 2"/>
    <n v="14"/>
    <x v="1"/>
    <s v="Alcibiades G. Quintas"/>
    <s v="Pepino Japonês"/>
    <s v="kg"/>
    <n v="16.11"/>
    <n v="2.7716186252771622"/>
    <n v="44.650776053215083"/>
  </r>
  <r>
    <s v="Outubro"/>
    <s v="SEMANA 2"/>
    <n v="14"/>
    <x v="1"/>
    <s v="Alcibiades G. Quintas"/>
    <s v="Pimentão Amarelo"/>
    <s v="kg"/>
    <n v="1.5"/>
    <n v="10"/>
    <n v="15"/>
  </r>
  <r>
    <s v="Outubro"/>
    <s v="SEMANA 2"/>
    <n v="14"/>
    <x v="1"/>
    <s v="Alcibiades G. Quintas"/>
    <s v="Pimentão Vermelho"/>
    <s v="kg"/>
    <n v="1.5"/>
    <n v="10"/>
    <n v="15"/>
  </r>
  <r>
    <s v="Outubro"/>
    <s v="SEMANA 2"/>
    <n v="14"/>
    <x v="1"/>
    <s v="Alcibiades G. Quintas"/>
    <s v="Tomate Salada"/>
    <s v="kg"/>
    <n v="19.88"/>
    <n v="3.5211267605633805"/>
    <n v="70"/>
  </r>
  <r>
    <s v="Outubro"/>
    <s v="SEMANA 2"/>
    <n v="14"/>
    <x v="1"/>
    <s v="Alcibiades G. Quintas"/>
    <s v="Alho Poró "/>
    <s v="kg"/>
    <n v="2"/>
    <n v="8"/>
    <n v="16"/>
  </r>
  <r>
    <s v="Outubro"/>
    <s v="SEMANA 2"/>
    <n v="14"/>
    <x v="1"/>
    <s v="Alcibiades G. Quintas"/>
    <s v="Broto de Feijão"/>
    <s v="kg"/>
    <n v="1"/>
    <n v="14"/>
    <n v="14"/>
  </r>
  <r>
    <s v="Outubro"/>
    <s v="SEMANA 2"/>
    <n v="14"/>
    <x v="1"/>
    <s v="Alcibiades G. Quintas"/>
    <s v="Capim Limão"/>
    <s v="kg"/>
    <n v="0.1"/>
    <n v="15"/>
    <n v="1.5"/>
  </r>
  <r>
    <s v="Outubro"/>
    <s v="SEMANA 2"/>
    <n v="14"/>
    <x v="4"/>
    <s v="Alcibiades G. Quintas"/>
    <s v="Abacate Sushi"/>
    <s v="kg"/>
    <n v="1"/>
    <n v="6.8"/>
    <n v="6.8"/>
  </r>
  <r>
    <s v="Outubro"/>
    <s v="SEMANA 2"/>
    <n v="14"/>
    <x v="1"/>
    <s v="Alcibiades G. Quintas"/>
    <s v="Abacaxi "/>
    <s v="kg"/>
    <n v="20"/>
    <n v="2.4"/>
    <n v="48"/>
  </r>
  <r>
    <s v="Outubro"/>
    <s v="SEMANA 2"/>
    <n v="14"/>
    <x v="1"/>
    <s v="Alcibiades G. Quintas"/>
    <s v="Limão"/>
    <s v="kg"/>
    <n v="23.88"/>
    <n v="5.6532663316582914"/>
    <n v="135"/>
  </r>
  <r>
    <s v="Outubro"/>
    <s v="SEMANA 2"/>
    <n v="14"/>
    <x v="1"/>
    <s v="Cheiro Verde"/>
    <s v="Cará"/>
    <s v="kg"/>
    <n v="2"/>
    <n v="3.75"/>
    <n v="7.5"/>
  </r>
  <r>
    <s v="Outubro"/>
    <s v="SEMANA 2"/>
    <n v="14"/>
    <x v="1"/>
    <s v="Cheiro Verde"/>
    <s v="Nabo Japonês"/>
    <s v="kg"/>
    <n v="1"/>
    <n v="5"/>
    <n v="5"/>
  </r>
  <r>
    <s v="Outubro"/>
    <s v="SEMANA 2"/>
    <n v="14"/>
    <x v="1"/>
    <s v="Cheiro Verde"/>
    <s v="Rabanete"/>
    <s v="kg"/>
    <n v="4"/>
    <n v="6.5"/>
    <n v="26"/>
  </r>
  <r>
    <s v="Outubro"/>
    <s v="SEMANA 2"/>
    <n v="14"/>
    <x v="1"/>
    <s v="Cheiro Verde"/>
    <s v="Abobora"/>
    <s v="kg"/>
    <n v="5"/>
    <n v="2.5099999999999998"/>
    <n v="12.549999999999999"/>
  </r>
  <r>
    <s v="Outubro"/>
    <s v="SEMANA 2"/>
    <n v="14"/>
    <x v="1"/>
    <s v="Cheiro Verde"/>
    <s v="Aipo"/>
    <s v="kg"/>
    <n v="1"/>
    <n v="3.9"/>
    <n v="3.9"/>
  </r>
  <r>
    <s v="Outubro"/>
    <s v="SEMANA 2"/>
    <n v="14"/>
    <x v="1"/>
    <s v="Cheiro Verde"/>
    <s v="Banana D'Água"/>
    <s v="kg"/>
    <n v="3"/>
    <n v="1.88"/>
    <n v="5.64"/>
  </r>
  <r>
    <s v="Outubro"/>
    <s v="SEMANA 2"/>
    <n v="14"/>
    <x v="1"/>
    <s v="Cheiro Verde"/>
    <s v="Beterraba"/>
    <s v="kg"/>
    <n v="12"/>
    <n v="1.4"/>
    <n v="16.799999999999997"/>
  </r>
  <r>
    <s v="Outubro"/>
    <s v="SEMANA 2"/>
    <n v="14"/>
    <x v="1"/>
    <s v="Cheiro Verde"/>
    <s v="Coentro"/>
    <s v="kg"/>
    <n v="0.5"/>
    <n v="11.25"/>
    <n v="5.625"/>
  </r>
  <r>
    <s v="Outubro"/>
    <s v="SEMANA 2"/>
    <n v="14"/>
    <x v="1"/>
    <s v="Cheiro Verde"/>
    <s v="Melão de Rede "/>
    <s v="kg"/>
    <n v="2"/>
    <n v="5"/>
    <n v="10"/>
  </r>
  <r>
    <s v="Outubro"/>
    <s v="SEMANA 2"/>
    <n v="14"/>
    <x v="1"/>
    <s v="Cheiro Verde"/>
    <s v="Pimentão Verde"/>
    <s v="kg"/>
    <n v="1"/>
    <n v="3.48"/>
    <n v="3.48"/>
  </r>
  <r>
    <s v="Outubro"/>
    <s v="SEMANA 2"/>
    <n v="14"/>
    <x v="1"/>
    <s v="Umehara"/>
    <s v="Cebolinha Verde"/>
    <s v="kg"/>
    <n v="0.55000000000000004"/>
    <n v="7.5"/>
    <n v="4.125"/>
  </r>
  <r>
    <s v="Outubro"/>
    <s v="SEMANA 2"/>
    <n v="14"/>
    <x v="1"/>
    <s v="Umehara"/>
    <s v="Côco Verde"/>
    <s v="unid"/>
    <n v="30"/>
    <n v="1.91"/>
    <n v="57.3"/>
  </r>
  <r>
    <s v="Outubro"/>
    <s v="SEMANA 2"/>
    <n v="14"/>
    <x v="1"/>
    <s v="Umehara"/>
    <s v="Laranja Pera"/>
    <s v="kg"/>
    <n v="42"/>
    <n v="1.2857142857142858"/>
    <n v="54.000000000000007"/>
  </r>
  <r>
    <s v="Outubro"/>
    <s v="SEMANA 2"/>
    <n v="14"/>
    <x v="1"/>
    <s v="Umehara"/>
    <s v="Manga Palmer"/>
    <s v="kg"/>
    <n v="6"/>
    <n v="4"/>
    <n v="24"/>
  </r>
  <r>
    <s v="Outubro"/>
    <s v="SEMANA 2"/>
    <n v="14"/>
    <x v="1"/>
    <s v="Umehara"/>
    <s v="Salsa"/>
    <s v="kg"/>
    <n v="1"/>
    <n v="7.5"/>
    <n v="7.5"/>
  </r>
  <r>
    <s v="Outubro"/>
    <s v="SEMANA 2"/>
    <n v="14"/>
    <x v="1"/>
    <s v="Umehara"/>
    <s v="Aspargos Frescos"/>
    <s v="kg"/>
    <n v="1.5"/>
    <n v="32"/>
    <n v="48"/>
  </r>
  <r>
    <s v="Outubro"/>
    <s v="SEMANA 2"/>
    <n v="14"/>
    <x v="1"/>
    <s v="Umehara"/>
    <s v="Cebola"/>
    <s v="kg"/>
    <n v="18.34"/>
    <n v="1.4716466739367502"/>
    <n v="26.99"/>
  </r>
  <r>
    <s v="Outubro"/>
    <s v="SEMANA 2"/>
    <n v="14"/>
    <x v="1"/>
    <s v="Umehara"/>
    <s v="Couve Flor"/>
    <s v="kg"/>
    <n v="3.5"/>
    <n v="4.25"/>
    <n v="14.875"/>
  </r>
  <r>
    <s v="Outubro"/>
    <s v="SEMANA 2"/>
    <n v="14"/>
    <x v="1"/>
    <s v="Umehara"/>
    <s v="Goiaba"/>
    <s v="kg"/>
    <n v="2.5"/>
    <n v="6"/>
    <n v="15"/>
  </r>
  <r>
    <s v="Outubro"/>
    <s v="SEMANA 2"/>
    <n v="14"/>
    <x v="4"/>
    <s v="Umehara"/>
    <s v="Salsa Crespa Sushi"/>
    <s v="kg"/>
    <n v="0.1"/>
    <n v="17.5"/>
    <n v="1.75"/>
  </r>
  <r>
    <s v="Outubro"/>
    <s v="SEMANA 2"/>
    <n v="14"/>
    <x v="1"/>
    <s v="Super Mercado Zonasul"/>
    <s v="Limão Siciliano"/>
    <s v="kg"/>
    <n v="0.72499999999999998"/>
    <n v="9.49"/>
    <n v="6.8802500000000002"/>
  </r>
  <r>
    <s v="Outubro"/>
    <s v="SEMANA 2"/>
    <n v="14"/>
    <x v="4"/>
    <s v="Umehara"/>
    <s v="Cebolinha Verde Sushi"/>
    <s v="kg"/>
    <n v="0.45"/>
    <n v="7.5"/>
    <n v="3.375"/>
  </r>
  <r>
    <s v="Outubro"/>
    <s v="SEMANA 2"/>
    <n v="14"/>
    <x v="4"/>
    <s v="Alcibiades G. Quintas"/>
    <s v="Pepino Japonês Sushi"/>
    <s v="kg"/>
    <n v="1.9300000000000002"/>
    <n v="2.7716186252771622"/>
    <n v="5.3492239467849236"/>
  </r>
  <r>
    <s v="Outubro"/>
    <s v="SEMANA 2"/>
    <n v="11"/>
    <x v="4"/>
    <s v="Rio Quality"/>
    <s v="Açucar Refinado Sushi"/>
    <s v="kg"/>
    <n v="14"/>
    <n v="2.25"/>
    <n v="31.5"/>
  </r>
  <r>
    <s v="Outubro"/>
    <s v="SEMANA 3"/>
    <n v="15"/>
    <x v="0"/>
    <s v="Planeta Gelo"/>
    <s v="Gelo em Escamas"/>
    <s v="saco"/>
    <n v="2"/>
    <n v="7.5"/>
    <n v="15"/>
  </r>
  <r>
    <s v="Outubro"/>
    <s v="SEMANA 3"/>
    <n v="15"/>
    <x v="0"/>
    <s v="Planeta Gelo"/>
    <s v="Gelo em Cubo"/>
    <s v="saco"/>
    <n v="2"/>
    <n v="7.5"/>
    <n v="15"/>
  </r>
  <r>
    <s v="Outubro"/>
    <s v="SEMANA 3"/>
    <n v="16"/>
    <x v="1"/>
    <s v="Alcibiades G. Quintas"/>
    <s v="Batata Doce"/>
    <s v="kg"/>
    <n v="20.36"/>
    <n v="1.7190569744597251"/>
    <n v="35"/>
  </r>
  <r>
    <s v="Outubro"/>
    <s v="SEMANA 3"/>
    <n v="16"/>
    <x v="1"/>
    <s v="Alcibiades G. Quintas"/>
    <s v="Cenoura"/>
    <s v="kg"/>
    <n v="19.78"/>
    <n v="2.2750252780586449"/>
    <n v="45"/>
  </r>
  <r>
    <s v="Outubro"/>
    <s v="SEMANA 3"/>
    <n v="16"/>
    <x v="1"/>
    <s v="Alcibiades G. Quintas"/>
    <s v="Chuchu"/>
    <s v="kg"/>
    <n v="16.239999999999998"/>
    <n v="1.8472906403940887"/>
    <n v="30"/>
  </r>
  <r>
    <s v="Outubro"/>
    <s v="SEMANA 3"/>
    <n v="16"/>
    <x v="1"/>
    <s v="Alcibiades G. Quintas"/>
    <s v="Pimentão Amarelo"/>
    <s v="kg"/>
    <n v="2"/>
    <n v="15"/>
    <n v="30"/>
  </r>
  <r>
    <s v="Outubro"/>
    <s v="SEMANA 3"/>
    <n v="16"/>
    <x v="1"/>
    <s v="Alcibiades G. Quintas"/>
    <s v="Tomate Salada"/>
    <s v="kg"/>
    <n v="21.7"/>
    <n v="3.2258064516129035"/>
    <n v="70"/>
  </r>
  <r>
    <s v="Outubro"/>
    <s v="SEMANA 3"/>
    <n v="16"/>
    <x v="1"/>
    <s v="Alcibiades G. Quintas"/>
    <s v="Coentro"/>
    <s v="kg"/>
    <n v="0.5"/>
    <n v="14"/>
    <n v="7"/>
  </r>
  <r>
    <s v="Outubro"/>
    <s v="SEMANA 3"/>
    <n v="16"/>
    <x v="1"/>
    <s v="Alcibiades G. Quintas"/>
    <s v="Tomilho"/>
    <s v="kg"/>
    <n v="0.2"/>
    <n v="25"/>
    <n v="5"/>
  </r>
  <r>
    <s v="Outubro"/>
    <s v="SEMANA 3"/>
    <n v="16"/>
    <x v="1"/>
    <s v="Alcibiades G. Quintas"/>
    <s v="Pimenta Dedo de Moça"/>
    <s v="kg"/>
    <n v="1"/>
    <n v="20"/>
    <n v="20"/>
  </r>
  <r>
    <s v="Outubro"/>
    <s v="SEMANA 3"/>
    <n v="16"/>
    <x v="4"/>
    <s v="Alcibiades G. Quintas"/>
    <s v="Abacate Sushi"/>
    <s v="kg"/>
    <n v="1"/>
    <n v="6.8"/>
    <n v="6.8"/>
  </r>
  <r>
    <s v="Outubro"/>
    <s v="SEMANA 3"/>
    <n v="16"/>
    <x v="1"/>
    <s v="Alcibiades G. Quintas"/>
    <s v="Abacaxi "/>
    <s v="kg"/>
    <n v="6"/>
    <n v="2.4"/>
    <n v="14.399999999999999"/>
  </r>
  <r>
    <s v="Outubro"/>
    <s v="SEMANA 3"/>
    <n v="16"/>
    <x v="1"/>
    <s v="Alcibiades G. Quintas"/>
    <s v="Melão de Rede "/>
    <s v="kg"/>
    <n v="2"/>
    <n v="5.9"/>
    <n v="11.8"/>
  </r>
  <r>
    <s v="Outubro"/>
    <s v="SEMANA 3"/>
    <n v="16"/>
    <x v="1"/>
    <s v="Umehara"/>
    <s v="Berinjela"/>
    <s v="kg"/>
    <n v="11.28"/>
    <n v="4.2553191489361701"/>
    <n v="47.999999999999993"/>
  </r>
  <r>
    <s v="Outubro"/>
    <s v="SEMANA 3"/>
    <n v="16"/>
    <x v="1"/>
    <s v="Umehara"/>
    <s v="Cebolinha Verde"/>
    <s v="kg"/>
    <n v="1"/>
    <n v="7.5"/>
    <n v="7.5"/>
  </r>
  <r>
    <s v="Outubro"/>
    <s v="SEMANA 3"/>
    <n v="16"/>
    <x v="1"/>
    <s v="Umehara"/>
    <s v="Côco Verde"/>
    <s v="unid"/>
    <n v="10"/>
    <n v="1.91"/>
    <n v="19.099999999999998"/>
  </r>
  <r>
    <s v="Outubro"/>
    <s v="SEMANA 3"/>
    <n v="16"/>
    <x v="1"/>
    <s v="Umehara"/>
    <s v="Hortelã"/>
    <s v="kg"/>
    <n v="0.5"/>
    <n v="4.5"/>
    <n v="2.25"/>
  </r>
  <r>
    <s v="Outubro"/>
    <s v="SEMANA 3"/>
    <n v="16"/>
    <x v="1"/>
    <s v="Umehara"/>
    <s v="Laranja Pera"/>
    <s v="kg"/>
    <n v="22.28"/>
    <n v="1.2118491921005385"/>
    <n v="27"/>
  </r>
  <r>
    <s v="Outubro"/>
    <s v="SEMANA 3"/>
    <n v="16"/>
    <x v="1"/>
    <s v="Umehara"/>
    <s v="Manga Palmer"/>
    <s v="kg"/>
    <n v="5.6"/>
    <n v="4.2857142857142856"/>
    <n v="23.999999999999996"/>
  </r>
  <r>
    <s v="Outubro"/>
    <s v="SEMANA 3"/>
    <n v="16"/>
    <x v="1"/>
    <s v="Umehara"/>
    <s v="Salsa"/>
    <s v="kg"/>
    <n v="1"/>
    <n v="7.5"/>
    <n v="7.5"/>
  </r>
  <r>
    <s v="Outubro"/>
    <s v="SEMANA 3"/>
    <n v="16"/>
    <x v="1"/>
    <s v="Umehara"/>
    <s v="Cebola"/>
    <s v="kg"/>
    <n v="18.78"/>
    <n v="1.4371671991480297"/>
    <n v="26.99"/>
  </r>
  <r>
    <s v="Outubro"/>
    <s v="SEMANA 3"/>
    <n v="16"/>
    <x v="1"/>
    <s v="Umehara"/>
    <s v="Inhame"/>
    <s v="kg"/>
    <n v="10"/>
    <n v="1.9"/>
    <n v="19"/>
  </r>
  <r>
    <s v="Outubro"/>
    <s v="SEMANA 3"/>
    <n v="16"/>
    <x v="1"/>
    <s v="Umehara"/>
    <s v="Kiwi"/>
    <s v="kg"/>
    <n v="1"/>
    <n v="13.7"/>
    <n v="13.7"/>
  </r>
  <r>
    <s v="Outubro"/>
    <s v="SEMANA 3"/>
    <n v="16"/>
    <x v="1"/>
    <s v="Umehara"/>
    <s v="Limão Siciliano"/>
    <s v="kg"/>
    <n v="1"/>
    <n v="6.66"/>
    <n v="6.66"/>
  </r>
  <r>
    <s v="Outubro"/>
    <s v="SEMANA 3"/>
    <n v="16"/>
    <x v="1"/>
    <s v="Umehara"/>
    <s v="Melância"/>
    <s v="kg"/>
    <n v="10"/>
    <n v="1.64"/>
    <n v="16.399999999999999"/>
  </r>
  <r>
    <s v="Outubro"/>
    <s v="SEMANA 3"/>
    <n v="16"/>
    <x v="1"/>
    <s v="Umehara"/>
    <s v="Ovos Extra"/>
    <s v="unid"/>
    <n v="325"/>
    <n v="0.28055555555555556"/>
    <n v="91.180555555555557"/>
  </r>
  <r>
    <s v="Outubro"/>
    <s v="SEMANA 3"/>
    <n v="16"/>
    <x v="4"/>
    <s v="Umehara"/>
    <s v="Salsa Crespa Sushi"/>
    <s v="kg"/>
    <n v="0.1"/>
    <n v="17.5"/>
    <n v="1.75"/>
  </r>
  <r>
    <s v="Outubro"/>
    <s v="SEMANA 3"/>
    <n v="16"/>
    <x v="1"/>
    <s v="Sitio do Moinho"/>
    <s v="Alface Americana Orgânica"/>
    <s v="kg"/>
    <n v="7.58"/>
    <n v="7.6517150395778364"/>
    <n v="58"/>
  </r>
  <r>
    <s v="Outubro"/>
    <s v="SEMANA 3"/>
    <n v="16"/>
    <x v="1"/>
    <s v="Sitio do Moinho"/>
    <s v="Alface crespa Orgânica"/>
    <s v="kg"/>
    <n v="3.98"/>
    <n v="6.2814070351758797"/>
    <n v="25"/>
  </r>
  <r>
    <s v="Outubro"/>
    <s v="SEMANA 3"/>
    <n v="16"/>
    <x v="1"/>
    <s v="Sitio do Moinho"/>
    <s v="Alface Roxa Orgânica"/>
    <s v="kg"/>
    <n v="1.66"/>
    <n v="9.0361445783132535"/>
    <n v="15"/>
  </r>
  <r>
    <s v="Outubro"/>
    <s v="SEMANA 3"/>
    <n v="16"/>
    <x v="1"/>
    <s v="Sitio do Moinho"/>
    <s v="Beterraba Orgânica"/>
    <s v="kg"/>
    <n v="3.1"/>
    <n v="7.7"/>
    <n v="23.87"/>
  </r>
  <r>
    <s v="Outubro"/>
    <s v="SEMANA 3"/>
    <n v="16"/>
    <x v="1"/>
    <s v="Sitio do Moinho"/>
    <s v="Cenoura Orgânica"/>
    <s v="kg"/>
    <n v="3.15"/>
    <n v="7.75"/>
    <n v="24.412499999999998"/>
  </r>
  <r>
    <s v="Outubro"/>
    <s v="SEMANA 3"/>
    <n v="16"/>
    <x v="1"/>
    <s v="Sitio do Moinho"/>
    <s v="Rúcula Orgânica"/>
    <s v="kg"/>
    <n v="4.5"/>
    <n v="21.333333333333332"/>
    <n v="96"/>
  </r>
  <r>
    <s v="Outubro"/>
    <s v="SEMANA 3"/>
    <n v="16"/>
    <x v="4"/>
    <s v="DM Com. Pescados"/>
    <s v="Pescados - Salmão Inteiro Sushi"/>
    <s v="kg"/>
    <n v="26.64"/>
    <n v="26.5"/>
    <n v="705.96"/>
  </r>
  <r>
    <s v="Outubro"/>
    <s v="SEMANA 3"/>
    <n v="16"/>
    <x v="0"/>
    <s v="Planeta Gelo"/>
    <s v="Gelo em Cubo"/>
    <s v="saco"/>
    <n v="5"/>
    <n v="7.5"/>
    <n v="37.5"/>
  </r>
  <r>
    <s v="Outubro"/>
    <s v="SEMANA 2"/>
    <n v="10"/>
    <x v="2"/>
    <s v="Suprimix"/>
    <s v="Etiqueta Toledo 40 X 40"/>
    <s v="unid"/>
    <n v="80"/>
    <n v="8"/>
    <n v="640"/>
  </r>
  <r>
    <s v="Outubro"/>
    <s v="SEMANA 3"/>
    <n v="17"/>
    <x v="0"/>
    <s v="Planeta Gelo"/>
    <s v="Gelo em Escamas"/>
    <s v="saco"/>
    <n v="2"/>
    <n v="7.5"/>
    <n v="15"/>
  </r>
  <r>
    <s v="Outubro"/>
    <s v="SEMANA 3"/>
    <n v="17"/>
    <x v="0"/>
    <s v="Planeta Gelo"/>
    <s v="Gelo em Cubo"/>
    <s v="saco"/>
    <n v="2"/>
    <n v="7.5"/>
    <n v="15"/>
  </r>
  <r>
    <s v="Outubro"/>
    <s v="SEMANA 3"/>
    <n v="17"/>
    <x v="3"/>
    <s v="Top Alto"/>
    <s v="Carne Bovina - Carne Seca"/>
    <s v="kg"/>
    <n v="20"/>
    <n v="18.920000000000002"/>
    <n v="378.40000000000003"/>
  </r>
  <r>
    <s v="Outubro"/>
    <s v="SEMANA 3"/>
    <n v="17"/>
    <x v="3"/>
    <s v="Top Alto"/>
    <s v="Suíno - Costelinha Salgada"/>
    <s v="kg"/>
    <n v="20"/>
    <n v="10.97"/>
    <n v="219.4"/>
  </r>
  <r>
    <s v="Outubro"/>
    <s v="SEMANA 3"/>
    <n v="17"/>
    <x v="3"/>
    <s v="Reginaves"/>
    <s v="Aves - Filé de Peito de Frango"/>
    <s v="kg"/>
    <n v="48"/>
    <n v="7.8"/>
    <n v="374.4"/>
  </r>
  <r>
    <s v="Outubro"/>
    <s v="SEMANA 3"/>
    <n v="17"/>
    <x v="0"/>
    <s v="Laticinios Alhambra"/>
    <s v="Creme de Leite Culinário 20% Bd 10 Lt"/>
    <s v="bd"/>
    <n v="2"/>
    <n v="142.44999999999999"/>
    <n v="284.89999999999998"/>
  </r>
  <r>
    <s v="Outubro"/>
    <s v="SEMANA 3"/>
    <n v="17"/>
    <x v="0"/>
    <s v="Laticinios Alhambra"/>
    <s v="Queijo Ricota"/>
    <s v="kg"/>
    <n v="1.4"/>
    <n v="10.6"/>
    <n v="14.839999999999998"/>
  </r>
  <r>
    <s v="Outubro"/>
    <s v="SEMANA 3"/>
    <n v="17"/>
    <x v="0"/>
    <s v="Laticinios Alhambra"/>
    <s v="Queijo Requeijão BD 3,6 Kg"/>
    <s v="bd"/>
    <n v="2"/>
    <n v="74.400000000000006"/>
    <n v="148.80000000000001"/>
  </r>
  <r>
    <s v="Outubro"/>
    <s v="SEMANA 3"/>
    <n v="17"/>
    <x v="0"/>
    <s v="Laticinios Alhambra"/>
    <s v="Queijo Minas Padrão"/>
    <s v="kg"/>
    <n v="4.8"/>
    <n v="41.6"/>
    <n v="199.68"/>
  </r>
  <r>
    <s v="Outubro"/>
    <s v="SEMANA 3"/>
    <n v="17"/>
    <x v="1"/>
    <s v="Alcibiades G. Quintas"/>
    <s v="Batata Yacon"/>
    <s v="kg"/>
    <n v="0.5"/>
    <n v="8"/>
    <n v="4"/>
  </r>
  <r>
    <s v="Outubro"/>
    <s v="SEMANA 3"/>
    <n v="17"/>
    <x v="1"/>
    <s v="Alcibiades G. Quintas"/>
    <s v="Aipo"/>
    <s v="kg"/>
    <n v="1.4"/>
    <n v="4"/>
    <n v="5.6"/>
  </r>
  <r>
    <s v="Outubro"/>
    <s v="SEMANA 3"/>
    <n v="17"/>
    <x v="1"/>
    <s v="Alcibiades G. Quintas"/>
    <s v="Alho Poró "/>
    <s v="kg"/>
    <n v="1"/>
    <n v="8"/>
    <n v="8"/>
  </r>
  <r>
    <s v="Outubro"/>
    <s v="SEMANA 3"/>
    <n v="17"/>
    <x v="1"/>
    <s v="Alcibiades G. Quintas"/>
    <s v="Brócolis Americano"/>
    <s v="kg"/>
    <n v="8"/>
    <n v="7"/>
    <n v="56"/>
  </r>
  <r>
    <s v="Outubro"/>
    <s v="SEMANA 3"/>
    <n v="17"/>
    <x v="1"/>
    <s v="Alcibiades G. Quintas"/>
    <s v="Cebolinha Verde"/>
    <s v="kg"/>
    <n v="0.56800000000000006"/>
    <n v="7"/>
    <n v="3.9760000000000004"/>
  </r>
  <r>
    <s v="Outubro"/>
    <s v="SEMANA 3"/>
    <n v="17"/>
    <x v="1"/>
    <s v="Alcibiades G. Quintas"/>
    <s v="Manjericão"/>
    <s v="kg"/>
    <n v="0.3"/>
    <n v="12"/>
    <n v="3.5999999999999996"/>
  </r>
  <r>
    <s v="Outubro"/>
    <s v="SEMANA 3"/>
    <n v="17"/>
    <x v="1"/>
    <s v="Alcibiades G. Quintas"/>
    <s v="Tofu Kilo"/>
    <s v="kg"/>
    <n v="3"/>
    <n v="14"/>
    <n v="42"/>
  </r>
  <r>
    <s v="Outubro"/>
    <s v="SEMANA 3"/>
    <n v="17"/>
    <x v="1"/>
    <s v="Alcibiades G. Quintas"/>
    <s v="Limão Siciliano"/>
    <s v="kg"/>
    <n v="1"/>
    <n v="10"/>
    <n v="10"/>
  </r>
  <r>
    <s v="Outubro"/>
    <s v="SEMANA 3"/>
    <n v="17"/>
    <x v="1"/>
    <s v="Alcibiades G. Quintas"/>
    <s v="Banana da Terra"/>
    <s v="kg"/>
    <n v="2.5"/>
    <n v="4.5"/>
    <n v="11.25"/>
  </r>
  <r>
    <s v="Outubro"/>
    <s v="SEMANA 3"/>
    <n v="17"/>
    <x v="4"/>
    <s v="Alcibiades G. Quintas"/>
    <s v="Manga Tommy Sushi"/>
    <s v="kg"/>
    <n v="1"/>
    <n v="4"/>
    <n v="4"/>
  </r>
  <r>
    <s v="Outubro"/>
    <s v="SEMANA 3"/>
    <n v="17"/>
    <x v="1"/>
    <s v="Alcibiades G. Quintas"/>
    <s v="Pera"/>
    <s v="kg"/>
    <n v="3"/>
    <n v="8"/>
    <n v="24"/>
  </r>
  <r>
    <s v="Outubro"/>
    <s v="SEMANA 3"/>
    <n v="17"/>
    <x v="1"/>
    <s v="Alcibiades G. Quintas"/>
    <s v="Endivia"/>
    <s v="kg"/>
    <n v="2.5"/>
    <n v="20"/>
    <n v="50"/>
  </r>
  <r>
    <s v="Outubro"/>
    <s v="SEMANA 3"/>
    <n v="17"/>
    <x v="1"/>
    <s v="Umehara"/>
    <s v="Abobora"/>
    <s v="kg"/>
    <n v="5"/>
    <n v="2.2000000000000002"/>
    <n v="11"/>
  </r>
  <r>
    <s v="Outubro"/>
    <s v="SEMANA 3"/>
    <n v="17"/>
    <x v="1"/>
    <s v="Umehara"/>
    <s v="Acelga"/>
    <s v="kg"/>
    <n v="4"/>
    <n v="2.2000000000000002"/>
    <n v="8.8000000000000007"/>
  </r>
  <r>
    <s v="Outubro"/>
    <s v="SEMANA 3"/>
    <n v="17"/>
    <x v="1"/>
    <s v="Umehara"/>
    <s v="Banana D'Água"/>
    <s v="kg"/>
    <n v="7"/>
    <n v="2.2000000000000002"/>
    <n v="15.400000000000002"/>
  </r>
  <r>
    <s v="Outubro"/>
    <s v="SEMANA 3"/>
    <n v="17"/>
    <x v="1"/>
    <s v="Umehara"/>
    <s v="Batata Baroa"/>
    <s v="kg"/>
    <n v="14.92"/>
    <n v="4.423592493297587"/>
    <n v="66"/>
  </r>
  <r>
    <s v="Outubro"/>
    <s v="SEMANA 3"/>
    <n v="17"/>
    <x v="1"/>
    <s v="Umehara"/>
    <s v="Berinjela"/>
    <s v="kg"/>
    <n v="11.98"/>
    <n v="3.9148580968280466"/>
    <n v="46.9"/>
  </r>
  <r>
    <s v="Outubro"/>
    <s v="SEMANA 3"/>
    <n v="17"/>
    <x v="0"/>
    <s v="Umehara"/>
    <s v="Côco Seco"/>
    <s v="kg"/>
    <n v="3"/>
    <n v="6.9"/>
    <n v="20.700000000000003"/>
  </r>
  <r>
    <s v="Outubro"/>
    <s v="SEMANA 3"/>
    <n v="17"/>
    <x v="1"/>
    <s v="Umehara"/>
    <s v="Jiló"/>
    <s v="kg"/>
    <n v="2"/>
    <n v="4.9000000000000004"/>
    <n v="9.8000000000000007"/>
  </r>
  <r>
    <s v="Outubro"/>
    <s v="SEMANA 3"/>
    <n v="17"/>
    <x v="1"/>
    <s v="Umehara"/>
    <s v="Melância"/>
    <s v="kg"/>
    <n v="10"/>
    <n v="1.32"/>
    <n v="13.200000000000001"/>
  </r>
  <r>
    <s v="Outubro"/>
    <s v="SEMANA 3"/>
    <n v="17"/>
    <x v="0"/>
    <s v="Café Fazenta (Orfeu)"/>
    <s v="Café em Grão "/>
    <s v="kg"/>
    <n v="3"/>
    <m/>
    <n v="0"/>
  </r>
  <r>
    <s v="Outubro"/>
    <s v="SEMANA 3"/>
    <n v="17"/>
    <x v="1"/>
    <s v="Rioaves"/>
    <s v="Ovo de Codorna"/>
    <s v="pcte"/>
    <n v="16"/>
    <n v="10.4"/>
    <n v="166.4"/>
  </r>
  <r>
    <s v="Outubro"/>
    <s v="SEMANA 3"/>
    <n v="17"/>
    <x v="0"/>
    <s v="Mercadinho Bambina"/>
    <s v="Tapioca Fina"/>
    <s v="kg"/>
    <n v="0.5"/>
    <n v="11"/>
    <n v="5.5"/>
  </r>
  <r>
    <s v="Outubro"/>
    <s v="SEMANA 3"/>
    <n v="17"/>
    <x v="0"/>
    <s v="Mercadinho Bambina"/>
    <s v="Yogurt de Pessego"/>
    <s v="unid"/>
    <n v="2"/>
    <n v="7.98"/>
    <n v="15.96"/>
  </r>
  <r>
    <s v="Outubro"/>
    <s v="SEMANA 3"/>
    <n v="17"/>
    <x v="1"/>
    <s v="Mercadinho Bambina"/>
    <s v="Manga Tommy"/>
    <s v="kg"/>
    <n v="1.55"/>
    <n v="3.98"/>
    <n v="6.1690000000000005"/>
  </r>
  <r>
    <s v="Outubro"/>
    <s v="SEMANA 3"/>
    <n v="17"/>
    <x v="4"/>
    <s v="Alcibiades G. Quintas"/>
    <s v="Cebolinha Verde Sushi"/>
    <s v="kg"/>
    <n v="0.432"/>
    <n v="7"/>
    <n v="3.024"/>
  </r>
  <r>
    <s v="Outubro"/>
    <s v="SEMANA 3"/>
    <n v="16"/>
    <x v="4"/>
    <s v="Umehara"/>
    <s v="Ovos Extra Sushi"/>
    <s v="unid"/>
    <n v="35"/>
    <n v="0.28055555555555556"/>
    <n v="9.8194444444444446"/>
  </r>
  <r>
    <s v="Outubro"/>
    <s v="SEMANA 3"/>
    <n v="18"/>
    <x v="0"/>
    <s v="J. Araujo (Arcofood)"/>
    <s v="Feijão Preto"/>
    <s v="kg"/>
    <n v="30"/>
    <n v="4.0999999999999996"/>
    <n v="122.99999999999999"/>
  </r>
  <r>
    <s v="Outubro"/>
    <s v="SEMANA 3"/>
    <n v="18"/>
    <x v="0"/>
    <s v="J. Araujo (Arcofood)"/>
    <s v="Farinha de Mandioca"/>
    <s v="kg"/>
    <n v="20"/>
    <n v="3.75"/>
    <n v="75"/>
  </r>
  <r>
    <s v="Outubro"/>
    <s v="SEMANA 3"/>
    <n v="18"/>
    <x v="0"/>
    <s v="J. Araujo (Arcofood)"/>
    <s v="Café Moído 1 Kg"/>
    <s v="kg"/>
    <n v="5"/>
    <n v="14.6"/>
    <n v="73"/>
  </r>
  <r>
    <s v="Outubro"/>
    <s v="SEMANA 3"/>
    <n v="18"/>
    <x v="0"/>
    <s v="J. Araujo (Arcofood)"/>
    <s v="Milho Mini Conserva lata 1,5 Kg"/>
    <s v="unid"/>
    <n v="1"/>
    <n v="28"/>
    <n v="28"/>
  </r>
  <r>
    <s v="Outubro"/>
    <s v="SEMANA 3"/>
    <n v="18"/>
    <x v="0"/>
    <s v="J. Araujo (Arcofood)"/>
    <s v="Óleo Composto 500ml"/>
    <s v="unid"/>
    <n v="12"/>
    <n v="2.9166666666666665"/>
    <n v="35"/>
  </r>
  <r>
    <s v="Outubro"/>
    <s v="SEMANA 3"/>
    <n v="18"/>
    <x v="0"/>
    <s v="J. Araujo (Arcofood)"/>
    <s v="Sal Refinado"/>
    <s v="kg"/>
    <n v="20"/>
    <n v="1.099"/>
    <n v="21.98"/>
  </r>
  <r>
    <s v="Outubro"/>
    <s v="SEMANA 3"/>
    <n v="18"/>
    <x v="0"/>
    <s v="Zamboni"/>
    <s v="Vinagre Aceto Balsamico"/>
    <s v="unid"/>
    <n v="1"/>
    <n v="8.0299999999999994"/>
    <n v="8.0299999999999994"/>
  </r>
  <r>
    <s v="Outubro"/>
    <s v="SEMANA 3"/>
    <n v="18"/>
    <x v="4"/>
    <s v="Zamboni"/>
    <s v="Vinagre de Arroz Sushi"/>
    <s v="lt"/>
    <n v="12.75"/>
    <n v="5.2622222222222224"/>
    <n v="67.093333333333334"/>
  </r>
  <r>
    <s v="Outubro"/>
    <s v="SEMANA 3"/>
    <n v="18"/>
    <x v="0"/>
    <s v="Zamboni"/>
    <s v="Azeitona Verde Fatiada Bd 2 kg"/>
    <s v="bd"/>
    <n v="1"/>
    <n v="26.22"/>
    <n v="26.22"/>
  </r>
  <r>
    <s v="Outubro"/>
    <s v="SEMANA 3"/>
    <n v="18"/>
    <x v="0"/>
    <s v="Zamboni"/>
    <s v="Grão de Bico"/>
    <s v="kg"/>
    <n v="10"/>
    <n v="13.812999999999999"/>
    <n v="138.13"/>
  </r>
  <r>
    <s v="Outubro"/>
    <s v="SEMANA 3"/>
    <n v="18"/>
    <x v="0"/>
    <s v="Zamboni"/>
    <s v="Margarina Bd 15 Kg"/>
    <s v="bd"/>
    <n v="1"/>
    <n v="73.37"/>
    <n v="73.37"/>
  </r>
  <r>
    <s v="Outubro"/>
    <s v="SEMANA 3"/>
    <n v="18"/>
    <x v="0"/>
    <s v="Zamboni"/>
    <s v="Milho Verde 2 Kg"/>
    <s v="unid"/>
    <n v="6"/>
    <n v="7.87"/>
    <n v="47.22"/>
  </r>
  <r>
    <s v="Outubro"/>
    <s v="SEMANA 3"/>
    <n v="18"/>
    <x v="0"/>
    <s v="Zamboni"/>
    <s v="Shoyu Light Bb 5 Lt"/>
    <s v="bb"/>
    <n v="1"/>
    <n v="54.57"/>
    <n v="54.57"/>
  </r>
  <r>
    <s v="Outubro"/>
    <s v="SEMANA 3"/>
    <n v="18"/>
    <x v="0"/>
    <s v="Zamboni"/>
    <s v="Shoyu Premium (Mesa) Bb 5 Lt"/>
    <s v="bb"/>
    <n v="1"/>
    <n v="53.42"/>
    <n v="53.42"/>
  </r>
  <r>
    <s v="Outubro"/>
    <s v="SEMANA 3"/>
    <n v="18"/>
    <x v="4"/>
    <s v="Wah Sin"/>
    <s v="Folha de Alga 50F"/>
    <s v="pcte"/>
    <n v="5"/>
    <n v="33"/>
    <n v="165"/>
  </r>
  <r>
    <s v="Outubro"/>
    <s v="SEMANA 3"/>
    <n v="18"/>
    <x v="0"/>
    <s v="CDI"/>
    <s v="Açucar Refinado"/>
    <s v="kg"/>
    <n v="30"/>
    <n v="2.165"/>
    <n v="64.95"/>
  </r>
  <r>
    <s v="Outubro"/>
    <s v="SEMANA 3"/>
    <n v="18"/>
    <x v="0"/>
    <s v="CDI"/>
    <s v="Arroz Branco"/>
    <s v="kg"/>
    <n v="30"/>
    <n v="3.32"/>
    <n v="99.6"/>
  </r>
  <r>
    <s v="Outubro"/>
    <s v="SEMANA 3"/>
    <n v="18"/>
    <x v="0"/>
    <s v="CDI"/>
    <s v="Farinha de Trigo"/>
    <s v="kg"/>
    <n v="30"/>
    <n v="1.607"/>
    <n v="48.21"/>
  </r>
  <r>
    <s v="Outubro"/>
    <s v="SEMANA 3"/>
    <n v="18"/>
    <x v="0"/>
    <s v="CDI"/>
    <s v="Karo Mel"/>
    <s v="unid"/>
    <n v="12"/>
    <n v="6.35"/>
    <n v="76.199999999999989"/>
  </r>
  <r>
    <s v="Outubro"/>
    <s v="SEMANA 3"/>
    <n v="18"/>
    <x v="0"/>
    <s v="CDI"/>
    <s v="Vinagre de Vinho Tinto 750 ml"/>
    <s v="unid"/>
    <n v="12"/>
    <n v="2.7483333333333331"/>
    <n v="32.979999999999997"/>
  </r>
  <r>
    <s v="Outubro"/>
    <s v="SEMANA 3"/>
    <n v="18"/>
    <x v="0"/>
    <s v="Zamboni"/>
    <s v="Nescau (Nestle)"/>
    <s v="kg"/>
    <n v="2"/>
    <n v="16.655000000000001"/>
    <n v="33.31"/>
  </r>
  <r>
    <s v="Outubro"/>
    <s v="SEMANA 3"/>
    <n v="18"/>
    <x v="0"/>
    <s v="Zamboni"/>
    <s v="Azeite Extra Virgem (Santiago) 500 ml"/>
    <s v="unid"/>
    <n v="24"/>
    <n v="16.349166666666665"/>
    <n v="392.38"/>
  </r>
  <r>
    <s v="Outubro"/>
    <s v="SEMANA 3"/>
    <n v="18"/>
    <x v="0"/>
    <s v="Mercadinho Bambina"/>
    <s v="Tapioca Fina"/>
    <s v="kg"/>
    <n v="1.5"/>
    <n v="11"/>
    <n v="16.5"/>
  </r>
  <r>
    <s v="Outubro"/>
    <s v="SEMANA 3"/>
    <n v="18"/>
    <x v="0"/>
    <s v="Mercadinho Bambina"/>
    <s v="Suco de Maracujá"/>
    <s v="unid"/>
    <n v="2"/>
    <n v="8.75"/>
    <n v="17.5"/>
  </r>
  <r>
    <s v="Outubro"/>
    <s v="SEMANA 3"/>
    <n v="16"/>
    <x v="1"/>
    <s v="Umehara"/>
    <s v="Acelga"/>
    <s v="kg"/>
    <m/>
    <m/>
    <n v="0"/>
  </r>
  <r>
    <s v="Outubro"/>
    <s v="SEMANA 3"/>
    <n v="16"/>
    <x v="1"/>
    <s v="Umehara"/>
    <s v="Banana D'Água"/>
    <s v="kg"/>
    <m/>
    <m/>
    <n v="0"/>
  </r>
  <r>
    <s v="Outubro"/>
    <s v="SEMANA 3"/>
    <n v="18"/>
    <x v="1"/>
    <s v="Umehara"/>
    <s v="Batata HBT"/>
    <s v="kg"/>
    <n v="25"/>
    <n v="1.5"/>
    <n v="37.5"/>
  </r>
  <r>
    <s v="Outubro"/>
    <s v="SEMANA 3"/>
    <n v="18"/>
    <x v="1"/>
    <s v="Umehara"/>
    <s v="Cebola"/>
    <s v="kg"/>
    <n v="19.72"/>
    <n v="1.5111561866125762"/>
    <n v="29.8"/>
  </r>
  <r>
    <s v="Outubro"/>
    <s v="SEMANA 3"/>
    <n v="18"/>
    <x v="1"/>
    <s v="Umehara"/>
    <s v="Cebola Roxa"/>
    <s v="kg"/>
    <n v="1"/>
    <n v="4.0999999999999996"/>
    <n v="4.0999999999999996"/>
  </r>
  <r>
    <s v="Outubro"/>
    <s v="SEMANA 3"/>
    <n v="18"/>
    <x v="1"/>
    <s v="Umehara"/>
    <s v="Couve Flor"/>
    <s v="kg"/>
    <n v="4.5"/>
    <n v="4.25"/>
    <n v="19.125"/>
  </r>
  <r>
    <s v="Outubro"/>
    <s v="SEMANA 3"/>
    <n v="18"/>
    <x v="1"/>
    <s v="Umehara"/>
    <s v="Hortelã"/>
    <s v="kg"/>
    <n v="0.5"/>
    <n v="4.5"/>
    <n v="2.25"/>
  </r>
  <r>
    <s v="Outubro"/>
    <s v="SEMANA 3"/>
    <n v="18"/>
    <x v="1"/>
    <s v="Umehara"/>
    <s v="Kiwi"/>
    <s v="kg"/>
    <n v="1"/>
    <n v="13.7"/>
    <n v="13.7"/>
  </r>
  <r>
    <s v="Outubro"/>
    <s v="SEMANA 3"/>
    <n v="18"/>
    <x v="1"/>
    <s v="Umehara"/>
    <s v="Laranja Pera"/>
    <s v="kg"/>
    <n v="21.66"/>
    <n v="1.2927054478301017"/>
    <n v="28.000000000000004"/>
  </r>
  <r>
    <s v="Outubro"/>
    <s v="SEMANA 3"/>
    <n v="18"/>
    <x v="1"/>
    <s v="Umehara"/>
    <s v="Mamão Bahia"/>
    <s v="kg"/>
    <n v="2"/>
    <n v="2.4"/>
    <n v="4.8"/>
  </r>
  <r>
    <s v="Outubro"/>
    <s v="SEMANA 3"/>
    <n v="18"/>
    <x v="1"/>
    <s v="Umehara"/>
    <s v="Manga Palmer"/>
    <s v="kg"/>
    <n v="6"/>
    <n v="4"/>
    <n v="24"/>
  </r>
  <r>
    <s v="Outubro"/>
    <s v="SEMANA 3"/>
    <n v="18"/>
    <x v="1"/>
    <s v="Umehara"/>
    <s v="Quiabo"/>
    <s v="kg"/>
    <n v="10.94"/>
    <n v="5.7586837294332724"/>
    <n v="63"/>
  </r>
  <r>
    <s v="Outubro"/>
    <s v="SEMANA 3"/>
    <n v="18"/>
    <x v="1"/>
    <s v="Umehara"/>
    <s v="Repolho"/>
    <s v="kg"/>
    <n v="3"/>
    <n v="1.21"/>
    <n v="3.63"/>
  </r>
  <r>
    <s v="Outubro"/>
    <s v="SEMANA 3"/>
    <n v="18"/>
    <x v="1"/>
    <s v="Umehara"/>
    <s v="Repolho Roxo"/>
    <s v="kg"/>
    <n v="3"/>
    <n v="2.2000000000000002"/>
    <n v="6.6000000000000005"/>
  </r>
  <r>
    <s v="Outubro"/>
    <s v="SEMANA 3"/>
    <n v="18"/>
    <x v="1"/>
    <s v="Umehara"/>
    <s v="Uva s/ Caroço"/>
    <s v="kg"/>
    <n v="1.5"/>
    <n v="11.8"/>
    <n v="17.700000000000003"/>
  </r>
  <r>
    <s v="Outubro"/>
    <s v="SEMANA 3"/>
    <n v="18"/>
    <x v="0"/>
    <s v="Planeta Gelo"/>
    <s v="Gelo em Escamas"/>
    <s v="saco"/>
    <n v="1"/>
    <n v="7.5"/>
    <n v="7.5"/>
  </r>
  <r>
    <s v="Outubro"/>
    <s v="SEMANA 3"/>
    <n v="18"/>
    <x v="0"/>
    <s v="Planeta Gelo"/>
    <s v="Gelo em Cubo"/>
    <s v="saco"/>
    <n v="2"/>
    <n v="7.5"/>
    <n v="15"/>
  </r>
  <r>
    <s v="Outubro"/>
    <s v="SEMANA 3"/>
    <n v="18"/>
    <x v="1"/>
    <s v="Alcibiades G. Quintas"/>
    <s v="Batata Doce"/>
    <s v="kg"/>
    <n v="20.48"/>
    <n v="1.708984375"/>
    <n v="35"/>
  </r>
  <r>
    <s v="Outubro"/>
    <s v="SEMANA 3"/>
    <n v="18"/>
    <x v="1"/>
    <s v="Alcibiades G. Quintas"/>
    <s v="Batata Inglesa"/>
    <s v="kg"/>
    <n v="8"/>
    <n v="1.8"/>
    <n v="14.4"/>
  </r>
  <r>
    <s v="Outubro"/>
    <s v="SEMANA 3"/>
    <n v="18"/>
    <x v="1"/>
    <s v="Alcibiades G. Quintas"/>
    <s v="Pepino Japonês"/>
    <s v="kg"/>
    <n v="17.28"/>
    <n v="2.8935185185185182"/>
    <n v="50"/>
  </r>
  <r>
    <s v="Outubro"/>
    <s v="SEMANA 3"/>
    <n v="18"/>
    <x v="1"/>
    <s v="Alcibiades G. Quintas"/>
    <s v="Pimentão Vermelho"/>
    <s v="kg"/>
    <n v="3"/>
    <n v="15"/>
    <n v="45"/>
  </r>
  <r>
    <s v="Outubro"/>
    <s v="SEMANA 3"/>
    <n v="18"/>
    <x v="1"/>
    <s v="Alcibiades G. Quintas"/>
    <s v="Tomate Molho"/>
    <s v="kg"/>
    <n v="21.26"/>
    <n v="3.2925682031984946"/>
    <n v="70"/>
  </r>
  <r>
    <s v="Outubro"/>
    <s v="SEMANA 3"/>
    <n v="18"/>
    <x v="1"/>
    <s v="Alcibiades G. Quintas"/>
    <s v="Tomate Salada"/>
    <s v="kg"/>
    <n v="21.62"/>
    <n v="3.2377428307123033"/>
    <n v="70"/>
  </r>
  <r>
    <s v="Outubro"/>
    <s v="SEMANA 3"/>
    <n v="18"/>
    <x v="1"/>
    <s v="Alcibiades G. Quintas"/>
    <s v="Aipo"/>
    <s v="kg"/>
    <n v="1"/>
    <n v="4"/>
    <n v="4"/>
  </r>
  <r>
    <s v="Outubro"/>
    <s v="SEMANA 3"/>
    <n v="18"/>
    <x v="1"/>
    <s v="Alcibiades G. Quintas"/>
    <s v="Cebolinha Verde"/>
    <s v="kg"/>
    <n v="1"/>
    <n v="7"/>
    <n v="7"/>
  </r>
  <r>
    <s v="Outubro"/>
    <s v="SEMANA 3"/>
    <n v="18"/>
    <x v="1"/>
    <s v="Alcibiades G. Quintas"/>
    <s v="Espinafre"/>
    <s v="kg"/>
    <n v="3"/>
    <n v="4.8"/>
    <n v="14.399999999999999"/>
  </r>
  <r>
    <s v="Outubro"/>
    <s v="SEMANA 3"/>
    <n v="18"/>
    <x v="1"/>
    <s v="Alcibiades G. Quintas"/>
    <s v="Manjericão"/>
    <s v="kg"/>
    <n v="0.5"/>
    <n v="12"/>
    <n v="6"/>
  </r>
  <r>
    <s v="Outubro"/>
    <s v="SEMANA 3"/>
    <n v="18"/>
    <x v="1"/>
    <s v="Alcibiades G. Quintas"/>
    <s v="Rabanete"/>
    <s v="kg"/>
    <n v="1"/>
    <n v="6.8"/>
    <n v="6.8"/>
  </r>
  <r>
    <s v="Outubro"/>
    <s v="SEMANA 3"/>
    <n v="18"/>
    <x v="1"/>
    <s v="Alcibiades G. Quintas"/>
    <s v="Salsa"/>
    <s v="kg"/>
    <n v="1"/>
    <n v="7"/>
    <n v="7"/>
  </r>
  <r>
    <s v="Outubro"/>
    <s v="SEMANA 3"/>
    <n v="18"/>
    <x v="1"/>
    <s v="Alcibiades G. Quintas"/>
    <s v="Broto de Feijão"/>
    <s v="kg"/>
    <n v="3"/>
    <n v="14"/>
    <n v="42"/>
  </r>
  <r>
    <s v="Outubro"/>
    <s v="SEMANA 3"/>
    <n v="18"/>
    <x v="1"/>
    <s v="Alcibiades G. Quintas"/>
    <s v="Tofu Kilo"/>
    <s v="kg"/>
    <n v="1"/>
    <n v="14"/>
    <n v="14"/>
  </r>
  <r>
    <s v="Outubro"/>
    <s v="SEMANA 3"/>
    <n v="18"/>
    <x v="1"/>
    <s v="Alcibiades G. Quintas"/>
    <s v="Abacate "/>
    <s v="kg"/>
    <n v="7"/>
    <n v="6.8"/>
    <n v="47.6"/>
  </r>
  <r>
    <s v="Outubro"/>
    <s v="SEMANA 3"/>
    <n v="18"/>
    <x v="1"/>
    <s v="Alcibiades G. Quintas"/>
    <s v="Abacaxi "/>
    <s v="kg"/>
    <n v="6"/>
    <n v="2.4"/>
    <n v="14.399999999999999"/>
  </r>
  <r>
    <s v="Outubro"/>
    <s v="SEMANA 3"/>
    <n v="18"/>
    <x v="3"/>
    <s v="Mar e Terra"/>
    <s v="Pescados - Filé Tilápia Cong."/>
    <s v="kg"/>
    <n v="40"/>
    <n v="26.3"/>
    <n v="1052"/>
  </r>
  <r>
    <s v="Outubro"/>
    <s v="SEMANA 3"/>
    <n v="18"/>
    <x v="3"/>
    <s v="Peixaria Só Peixe"/>
    <s v="Pescados - Carne de siri"/>
    <s v="kg"/>
    <n v="10"/>
    <n v="22.9"/>
    <n v="229"/>
  </r>
  <r>
    <s v="Outubro"/>
    <s v="SEMANA 3"/>
    <n v="18"/>
    <x v="3"/>
    <s v="Barrinhas"/>
    <s v="Pescados - Bacalhau Salgado"/>
    <s v="kg"/>
    <n v="25"/>
    <n v="43.921599999999998"/>
    <n v="1098.04"/>
  </r>
  <r>
    <s v="Outubro"/>
    <s v="SEMANA 3"/>
    <n v="18"/>
    <x v="8"/>
    <s v="Top Alto"/>
    <s v="Aguardente 51"/>
    <s v="unid"/>
    <n v="1"/>
    <n v="7.68"/>
    <n v="7.68"/>
  </r>
  <r>
    <s v="Outubro"/>
    <s v="SEMANA 3"/>
    <n v="18"/>
    <x v="0"/>
    <s v="Top Alto"/>
    <s v="Queijo Parmezon"/>
    <s v="kg"/>
    <n v="5.6"/>
    <n v="23.58"/>
    <n v="132.04799999999997"/>
  </r>
  <r>
    <s v="Outubro"/>
    <s v="SEMANA 3"/>
    <n v="18"/>
    <x v="0"/>
    <s v="Top Alto"/>
    <s v="Queijo Coalho"/>
    <s v="kg"/>
    <n v="6"/>
    <n v="24.13"/>
    <n v="144.78"/>
  </r>
  <r>
    <s v="Outubro"/>
    <s v="SEMANA 3"/>
    <n v="18"/>
    <x v="8"/>
    <s v="Top Alto"/>
    <s v="Vodka Smirnoff"/>
    <s v="unid"/>
    <n v="1"/>
    <n v="30.99"/>
    <n v="30.99"/>
  </r>
  <r>
    <s v="Outubro"/>
    <s v="SEMANA 3"/>
    <n v="18"/>
    <x v="1"/>
    <s v="Sitio do Moinho"/>
    <s v="Alface Americana Orgânica"/>
    <s v="kg"/>
    <n v="6.86"/>
    <n v="6.3411078717201166"/>
    <n v="43.5"/>
  </r>
  <r>
    <s v="Outubro"/>
    <s v="SEMANA 3"/>
    <n v="18"/>
    <x v="1"/>
    <s v="Sitio do Moinho"/>
    <s v="Alface crespa Orgânica"/>
    <s v="kg"/>
    <n v="2.16"/>
    <n v="6.9444444444444438"/>
    <n v="15"/>
  </r>
  <r>
    <s v="Outubro"/>
    <s v="SEMANA 3"/>
    <n v="18"/>
    <x v="1"/>
    <s v="Sitio do Moinho"/>
    <s v="Beterraba Orgânica"/>
    <s v="kg"/>
    <n v="3.2"/>
    <n v="7.7"/>
    <n v="24.64"/>
  </r>
  <r>
    <s v="Outubro"/>
    <s v="SEMANA 3"/>
    <n v="18"/>
    <x v="1"/>
    <s v="Sitio do Moinho"/>
    <s v="Cenoura Orgânica"/>
    <s v="kg"/>
    <n v="3.11"/>
    <n v="7.75"/>
    <n v="24.102499999999999"/>
  </r>
  <r>
    <s v="Outubro"/>
    <s v="SEMANA 3"/>
    <n v="18"/>
    <x v="1"/>
    <s v="Sitio do Moinho"/>
    <s v="Rúcula Orgânica"/>
    <s v="kg"/>
    <n v="4.5"/>
    <n v="21.333333333333332"/>
    <n v="96"/>
  </r>
  <r>
    <s v="Outubro"/>
    <s v="SEMANA 3"/>
    <n v="18"/>
    <x v="3"/>
    <s v="Reginaves"/>
    <s v="Aves - Sobrecoxa"/>
    <s v="kg"/>
    <n v="24"/>
    <n v="5.55"/>
    <n v="133.19999999999999"/>
  </r>
  <r>
    <s v="Outubro"/>
    <s v="SEMANA 3"/>
    <n v="18"/>
    <x v="3"/>
    <s v="Reginaves"/>
    <s v="Aves - Filé de Coxa"/>
    <s v="kg"/>
    <n v="16.799999999999997"/>
    <n v="8.6999999999999993"/>
    <n v="146.15999999999997"/>
  </r>
  <r>
    <s v="Outubro"/>
    <s v="SEMANA 3"/>
    <n v="18"/>
    <x v="3"/>
    <s v="Reginaves"/>
    <s v="Aves - Filé de Peito de Frango"/>
    <s v="kg"/>
    <n v="48"/>
    <n v="7.8"/>
    <n v="374.4"/>
  </r>
  <r>
    <s v="Outubro"/>
    <s v="SEMANA 3"/>
    <n v="18"/>
    <x v="0"/>
    <s v="Casa Flora"/>
    <s v="Azeite Deleyda 500 ml"/>
    <s v="unid"/>
    <n v="24"/>
    <n v="23.815833333333334"/>
    <n v="571.58000000000004"/>
  </r>
  <r>
    <s v="Outubro"/>
    <s v="SEMANA 3"/>
    <n v="18"/>
    <x v="0"/>
    <s v="Mercadinho Bambina"/>
    <s v="Chocolate em Pó Solúvel 200g"/>
    <s v="unid"/>
    <n v="1"/>
    <n v="13.5"/>
    <n v="13.5"/>
  </r>
  <r>
    <s v="Outubro"/>
    <s v="SEMANA 3"/>
    <n v="18"/>
    <x v="0"/>
    <s v="Mercadinho Bambina"/>
    <s v="Pão Rabanada"/>
    <s v="unid"/>
    <n v="10"/>
    <n v="5.5839999999999996"/>
    <n v="55.839999999999996"/>
  </r>
  <r>
    <s v="Outubro"/>
    <s v="SEMANA 3"/>
    <n v="18"/>
    <x v="0"/>
    <s v="Café Fazenta (Orfeu)"/>
    <s v="Café em Grão "/>
    <s v="kg"/>
    <n v="30"/>
    <n v="48.342999999999996"/>
    <n v="1450.29"/>
  </r>
  <r>
    <s v="Outubro"/>
    <s v="SEMANA 3"/>
    <n v="18"/>
    <x v="7"/>
    <s v="Damy"/>
    <s v="Bala de Alga 500 g"/>
    <s v="pcte"/>
    <n v="1"/>
    <n v="17.16"/>
    <n v="17.16"/>
  </r>
  <r>
    <s v="Outubro"/>
    <s v="SEMANA 3"/>
    <n v="18"/>
    <x v="0"/>
    <s v="Damy"/>
    <s v="Chá verde 200gr"/>
    <s v="pcte"/>
    <n v="1"/>
    <n v="13.92"/>
    <n v="13.92"/>
  </r>
  <r>
    <s v="Outubro"/>
    <s v="SEMANA 3"/>
    <n v="18"/>
    <x v="0"/>
    <s v="Damy"/>
    <s v="Farinha Panco"/>
    <s v="kg"/>
    <n v="3"/>
    <n v="17.7"/>
    <n v="53.099999999999994"/>
  </r>
  <r>
    <s v="Outubro"/>
    <s v="SEMANA 3"/>
    <n v="18"/>
    <x v="0"/>
    <s v="Damy"/>
    <s v="Gergelim Branco"/>
    <s v="kg"/>
    <n v="1"/>
    <n v="16.850000000000001"/>
    <n v="16.850000000000001"/>
  </r>
  <r>
    <s v="Outubro"/>
    <s v="SEMANA 3"/>
    <n v="18"/>
    <x v="0"/>
    <s v="Damy"/>
    <s v="Macarrão de Feijão (Harusame) 200g"/>
    <s v="pcte"/>
    <n v="10"/>
    <n v="8.48"/>
    <n v="84.800000000000011"/>
  </r>
  <r>
    <s v="Outubro"/>
    <s v="SEMANA 3"/>
    <n v="18"/>
    <x v="0"/>
    <s v="Damy"/>
    <s v="Massa de Harumaki"/>
    <s v="folha"/>
    <n v="120"/>
    <n v="0.57583333333333331"/>
    <n v="69.099999999999994"/>
  </r>
  <r>
    <s v="Outubro"/>
    <s v="SEMANA 3"/>
    <n v="18"/>
    <x v="0"/>
    <s v="Damy"/>
    <s v="Óleo de Gergelim"/>
    <s v="unid"/>
    <n v="1"/>
    <n v="54"/>
    <n v="54"/>
  </r>
  <r>
    <s v="Outubro"/>
    <s v="SEMANA 3"/>
    <n v="17"/>
    <x v="4"/>
    <s v="DM Com. Pescados"/>
    <s v="Pescados - Atum Fresco Sushi"/>
    <s v="kg"/>
    <n v="17.12"/>
    <n v="14.9"/>
    <n v="255.08800000000002"/>
  </r>
  <r>
    <s v="Outubro"/>
    <s v="SEMANA 3"/>
    <n v="18"/>
    <x v="0"/>
    <s v="Luisa"/>
    <s v="Clara de Ovo"/>
    <s v="kg"/>
    <n v="13.9"/>
    <n v="7.1942446043165464"/>
    <n v="100"/>
  </r>
  <r>
    <s v="Outubro"/>
    <s v="SEMANA 3"/>
    <n v="18"/>
    <x v="0"/>
    <s v="Nova Geração (Casa Pedro)"/>
    <s v="Arroz Integral Curto"/>
    <s v="kg"/>
    <n v="24.14"/>
    <n v="8.42"/>
    <n v="203.25880000000001"/>
  </r>
  <r>
    <s v="Outubro"/>
    <s v="SEMANA 3"/>
    <n v="18"/>
    <x v="0"/>
    <s v="Nova Geração (Casa Pedro)"/>
    <s v="Castanha de Caju Crua"/>
    <s v="kg"/>
    <n v="1.014"/>
    <n v="79.378699999999995"/>
    <n v="80.490001800000002"/>
  </r>
  <r>
    <s v="Outubro"/>
    <s v="SEMANA 3"/>
    <n v="18"/>
    <x v="0"/>
    <s v="Nova Geração (Casa Pedro)"/>
    <s v="Flocos de Arroz (cozinha)"/>
    <s v="kg"/>
    <n v="1"/>
    <n v="17.82"/>
    <n v="17.82"/>
  </r>
  <r>
    <s v="Outubro"/>
    <s v="SEMANA 3"/>
    <n v="18"/>
    <x v="0"/>
    <s v="Nova Geração (Casa Pedro)"/>
    <s v="Tapioca Fina"/>
    <s v="kg"/>
    <n v="2.012"/>
    <n v="7.6490999999999998"/>
    <n v="15.3899892"/>
  </r>
  <r>
    <s v="Outubro"/>
    <s v="SEMANA 3"/>
    <n v="18"/>
    <x v="0"/>
    <s v="Tempero Carioca"/>
    <s v="Amendoim Torrado"/>
    <s v="kg"/>
    <n v="1"/>
    <n v="15.5"/>
    <n v="15.5"/>
  </r>
  <r>
    <s v="Outubro"/>
    <s v="SEMANA 3"/>
    <n v="18"/>
    <x v="0"/>
    <s v="Tempero Carioca"/>
    <s v="Castanha de Caju Picada"/>
    <s v="kg"/>
    <n v="1"/>
    <n v="42.65"/>
    <n v="42.65"/>
  </r>
  <r>
    <s v="Outubro"/>
    <s v="SEMANA 3"/>
    <n v="18"/>
    <x v="0"/>
    <s v="Tempero Carioca"/>
    <s v="Cevadinha"/>
    <s v="kg"/>
    <n v="2"/>
    <n v="5.9"/>
    <n v="11.8"/>
  </r>
  <r>
    <s v="Outubro"/>
    <s v="SEMANA 3"/>
    <n v="18"/>
    <x v="0"/>
    <s v="Tempero Carioca"/>
    <s v="Coloral"/>
    <s v="kg"/>
    <n v="0.3"/>
    <n v="5.5"/>
    <n v="1.65"/>
  </r>
  <r>
    <s v="Outubro"/>
    <s v="SEMANA 3"/>
    <n v="18"/>
    <x v="0"/>
    <s v="Tempero Carioca"/>
    <s v="Cuscus"/>
    <s v="kg"/>
    <n v="2"/>
    <n v="26.5"/>
    <n v="53"/>
  </r>
  <r>
    <s v="Outubro"/>
    <s v="SEMANA 3"/>
    <n v="18"/>
    <x v="0"/>
    <s v="Tempero Carioca"/>
    <s v="Feijão Azuki"/>
    <s v="kg"/>
    <n v="2"/>
    <n v="11.5"/>
    <n v="23"/>
  </r>
  <r>
    <s v="Outubro"/>
    <s v="SEMANA 3"/>
    <n v="18"/>
    <x v="0"/>
    <s v="Tempero Carioca"/>
    <s v="Mostarda Dijom em Grão"/>
    <s v="unid"/>
    <n v="1"/>
    <n v="21.9"/>
    <n v="21.9"/>
  </r>
  <r>
    <s v="Outubro"/>
    <s v="SEMANA 3"/>
    <n v="18"/>
    <x v="0"/>
    <s v="Tempero Carioca"/>
    <s v="Nozes sem casca"/>
    <s v="kg"/>
    <n v="1"/>
    <n v="59.9"/>
    <n v="59.9"/>
  </r>
  <r>
    <s v="Outubro"/>
    <s v="SEMANA 3"/>
    <n v="18"/>
    <x v="0"/>
    <s v="Tempero Carioca"/>
    <s v="Passas Preta"/>
    <s v="kg"/>
    <n v="2"/>
    <n v="13.5"/>
    <n v="27"/>
  </r>
  <r>
    <s v="Outubro"/>
    <s v="SEMANA 3"/>
    <n v="18"/>
    <x v="0"/>
    <s v="Tempero Carioca"/>
    <s v="Quinoa"/>
    <s v="kg"/>
    <n v="2"/>
    <n v="23.9"/>
    <n v="47.8"/>
  </r>
  <r>
    <s v="Outubro"/>
    <s v="SEMANA 3"/>
    <n v="19"/>
    <x v="0"/>
    <s v="Super Mercado Zonasul"/>
    <s v="Flocos de Milho"/>
    <s v="kg"/>
    <n v="2.5"/>
    <n v="10.26"/>
    <n v="25.65"/>
  </r>
  <r>
    <s v="Outubro"/>
    <s v="SEMANA 3"/>
    <n v="17"/>
    <x v="3"/>
    <s v="DM Com. Pescados"/>
    <s v="Pescados - Salmão Inteiro"/>
    <s v="kg"/>
    <n v="30.38"/>
    <n v="26.5"/>
    <n v="805.06999999999994"/>
  </r>
  <r>
    <s v="Outubro"/>
    <s v="SEMANA 3"/>
    <n v="19"/>
    <x v="4"/>
    <s v="Toca da Lagosta"/>
    <s v="Pescados - Atum Fresco Sushi"/>
    <s v="kg"/>
    <n v="11"/>
    <n v="15"/>
    <n v="165"/>
  </r>
  <r>
    <s v="Outubro"/>
    <s v="SEMANA 3"/>
    <n v="19"/>
    <x v="3"/>
    <s v="Toca da Lagosta"/>
    <s v="Pescados - Atum Fresco"/>
    <s v="kg"/>
    <n v="41.08"/>
    <n v="15"/>
    <n v="616.19999999999993"/>
  </r>
  <r>
    <s v="Outubro"/>
    <s v="SEMANA 3"/>
    <n v="19"/>
    <x v="4"/>
    <s v="Toca da Lagosta"/>
    <s v="Pescados - Dourado Fresco Sushi"/>
    <s v="kg"/>
    <n v="5.9"/>
    <n v="19"/>
    <n v="112.10000000000001"/>
  </r>
  <r>
    <s v="Outubro"/>
    <s v="SEMANA 3"/>
    <n v="19"/>
    <x v="8"/>
    <s v="Minalba"/>
    <s v="Água Mineral com Gás"/>
    <s v="unid"/>
    <n v="126"/>
    <n v="1.2540476190476191"/>
    <n v="158.01"/>
  </r>
  <r>
    <s v="Outubro"/>
    <s v="SEMANA 3"/>
    <n v="19"/>
    <x v="8"/>
    <s v="Minalba"/>
    <s v="Água Mineral sem Gás"/>
    <s v="unid"/>
    <n v="180"/>
    <n v="1.254"/>
    <n v="225.72"/>
  </r>
  <r>
    <s v="Outubro"/>
    <s v="SEMANA 3"/>
    <n v="19"/>
    <x v="4"/>
    <s v="Frigorifico Jahu"/>
    <s v="Pescados - Salmão Inteiro Sushi"/>
    <s v="kg"/>
    <n v="32.14"/>
    <n v="26.5"/>
    <n v="851.71"/>
  </r>
  <r>
    <s v="Outubro"/>
    <s v="SEMANA 3"/>
    <n v="19"/>
    <x v="3"/>
    <s v="Frigorifico Jahu"/>
    <s v="Pescados - Camarão IQF Evisc. 51/60"/>
    <s v="kg"/>
    <n v="6"/>
    <n v="66.5"/>
    <n v="399"/>
  </r>
  <r>
    <s v="Outubro"/>
    <s v="SEMANA 3"/>
    <n v="19"/>
    <x v="0"/>
    <s v="Planeta Gelo"/>
    <s v="Gelo em Escamas"/>
    <s v="saco"/>
    <n v="2"/>
    <n v="7.5"/>
    <n v="15"/>
  </r>
  <r>
    <s v="Outubro"/>
    <s v="SEMANA 3"/>
    <n v="19"/>
    <x v="0"/>
    <s v="Planeta Gelo"/>
    <s v="Gelo em Cubo"/>
    <s v="saco"/>
    <n v="1"/>
    <n v="7.5"/>
    <n v="7.5"/>
  </r>
  <r>
    <s v="Outubro"/>
    <s v="SEMANA 3"/>
    <n v="19"/>
    <x v="3"/>
    <s v="Nutry Max"/>
    <s v="Suíno - Lombo Salgado"/>
    <s v="kg"/>
    <n v="20"/>
    <n v="10.97"/>
    <n v="219.4"/>
  </r>
  <r>
    <s v="Outubro"/>
    <s v="SEMANA 3"/>
    <n v="19"/>
    <x v="3"/>
    <s v="Nutry Max"/>
    <s v="Suíno - Linguiça de Pernil"/>
    <s v="kg"/>
    <n v="10"/>
    <n v="9.93"/>
    <n v="99.3"/>
  </r>
  <r>
    <s v="Outubro"/>
    <s v="SEMANA 3"/>
    <n v="19"/>
    <x v="3"/>
    <s v="Nutry Max"/>
    <s v="Suíno - Linguiça Paio"/>
    <s v="kg"/>
    <n v="5"/>
    <n v="14.68"/>
    <n v="73.400000000000006"/>
  </r>
  <r>
    <s v="Outubro"/>
    <s v="SEMANA 3"/>
    <n v="17"/>
    <x v="2"/>
    <s v="Ding Show"/>
    <s v="Sacola Camiseta Branca Doce"/>
    <s v="unid"/>
    <n v="300"/>
    <n v="1.7333333333333333E-2"/>
    <n v="5.2"/>
  </r>
  <r>
    <s v="Outubro"/>
    <s v="SEMANA 3"/>
    <n v="17"/>
    <x v="2"/>
    <s v="Ding Show"/>
    <s v="Sacola Camiseta Branca Sobremesa"/>
    <s v="unid"/>
    <n v="200"/>
    <n v="2.6000000000000002E-2"/>
    <n v="5.2"/>
  </r>
  <r>
    <s v="Outubro"/>
    <s v="SEMANA 3"/>
    <n v="19"/>
    <x v="1"/>
    <s v="Mercadinho Bambina"/>
    <s v="Melão de Rede "/>
    <s v="kg"/>
    <n v="2.4550000000000001"/>
    <n v="6.98"/>
    <n v="17.135900000000003"/>
  </r>
  <r>
    <s v="Outubro"/>
    <s v="SEMANA 3"/>
    <n v="19"/>
    <x v="8"/>
    <s v="Rio de Janeiro"/>
    <s v="Coca Cola (lata)"/>
    <s v="unid"/>
    <n v="96"/>
    <n v="2.9033333333333338"/>
    <n v="278.72000000000003"/>
  </r>
  <r>
    <s v="Outubro"/>
    <s v="SEMANA 3"/>
    <n v="19"/>
    <x v="8"/>
    <s v="Rio de Janeiro"/>
    <s v="Coca Cola Zero (lata)"/>
    <s v="unid"/>
    <n v="168"/>
    <n v="2.8899999999999997"/>
    <n v="485.51999999999992"/>
  </r>
  <r>
    <s v="Outubro"/>
    <s v="SEMANA 3"/>
    <n v="19"/>
    <x v="8"/>
    <s v="Rio de Janeiro"/>
    <s v="Schweppes Citrus"/>
    <s v="unid"/>
    <n v="36"/>
    <n v="2.8925000000000001"/>
    <n v="104.13"/>
  </r>
  <r>
    <s v="Outubro"/>
    <s v="SEMANA 3"/>
    <n v="19"/>
    <x v="8"/>
    <s v="Rio de Janeiro"/>
    <s v="Cerveja Heineken Long Neck 330 ml"/>
    <s v="unid"/>
    <n v="48"/>
    <n v="4"/>
    <n v="192"/>
  </r>
  <r>
    <s v="Outubro"/>
    <s v="SEMANA 3"/>
    <n v="19"/>
    <x v="0"/>
    <s v="Ind. Caseira de Doces Helena"/>
    <s v="Biscoito de Milho Café "/>
    <s v="kg"/>
    <n v="8.3999999999999986"/>
    <n v="22.19464285714286"/>
    <n v="186.435"/>
  </r>
  <r>
    <s v="Outubro"/>
    <s v="SEMANA 3"/>
    <n v="19"/>
    <x v="7"/>
    <s v="Ind. Caseira de Doces Helena"/>
    <s v="Biscoito de Milho Venda "/>
    <s v="kg"/>
    <n v="2.8"/>
    <n v="22.19464285714286"/>
    <n v="62.145000000000003"/>
  </r>
  <r>
    <s v="Outubro"/>
    <s v="SEMANA 3"/>
    <n v="19"/>
    <x v="3"/>
    <s v="Truticultua da Serra"/>
    <s v="Pescados - Filé Truta Cong."/>
    <s v="kg"/>
    <n v="24"/>
    <n v="26"/>
    <n v="624"/>
  </r>
  <r>
    <s v="Outubro"/>
    <s v="SEMANA 3"/>
    <n v="19"/>
    <x v="0"/>
    <s v="Truticultua da Serra"/>
    <s v="Cogumelo Paris"/>
    <s v="kg"/>
    <n v="6"/>
    <n v="15.5"/>
    <n v="93"/>
  </r>
  <r>
    <s v="Outubro"/>
    <s v="SEMANA 3"/>
    <n v="19"/>
    <x v="5"/>
    <s v="M2HP"/>
    <s v="Torta Capuccino Diet"/>
    <s v="fatia"/>
    <n v="10"/>
    <n v="5.891"/>
    <n v="58.91"/>
  </r>
  <r>
    <s v="Outubro"/>
    <s v="SEMANA 3"/>
    <n v="19"/>
    <x v="5"/>
    <s v="M2HP"/>
    <s v="Torta Mousse de Chocolate Diet"/>
    <s v="fatia"/>
    <n v="24"/>
    <n v="4.9091666666666667"/>
    <n v="117.82"/>
  </r>
  <r>
    <s v="Outubro"/>
    <s v="SEMANA 3"/>
    <n v="19"/>
    <x v="5"/>
    <s v="M2HP"/>
    <s v="Torta Mousse de Chocolate "/>
    <s v="fatia"/>
    <n v="12"/>
    <n v="4.1383333333333328"/>
    <n v="49.66"/>
  </r>
  <r>
    <s v="Outubro"/>
    <s v="SEMANA 3"/>
    <n v="19"/>
    <x v="0"/>
    <s v="Rio Quality"/>
    <s v="Leite de Côco"/>
    <s v="lt"/>
    <n v="12"/>
    <n v="15.11"/>
    <n v="181.32"/>
  </r>
  <r>
    <s v="Outubro"/>
    <s v="SEMANA 3"/>
    <n v="19"/>
    <x v="0"/>
    <s v="Rio Quality"/>
    <s v="Leite Integral"/>
    <s v="lt"/>
    <n v="108"/>
    <n v="2.9212962962962963"/>
    <n v="315.5"/>
  </r>
  <r>
    <s v="Outubro"/>
    <s v="SEMANA 3"/>
    <n v="19"/>
    <x v="0"/>
    <s v="Rio Quality"/>
    <s v="Óleo de Soja 18 Lt"/>
    <s v="bag"/>
    <n v="5"/>
    <n v="61.98"/>
    <n v="309.89999999999998"/>
  </r>
  <r>
    <s v="Outubro"/>
    <s v="SEMANA 3"/>
    <n v="19"/>
    <x v="0"/>
    <s v="Rio Quality"/>
    <s v="Mostarda Bb 3,3, Kg"/>
    <s v="bb"/>
    <n v="1"/>
    <n v="12.65"/>
    <n v="12.65"/>
  </r>
  <r>
    <s v="Outubro"/>
    <s v="SEMANA 3"/>
    <n v="19"/>
    <x v="0"/>
    <s v="Rio Quality"/>
    <s v="Trigo para Kibe"/>
    <s v="kg"/>
    <n v="5"/>
    <n v="3.3899999999999997"/>
    <n v="16.95"/>
  </r>
  <r>
    <s v="Outubro"/>
    <s v="SEMANA 3"/>
    <n v="19"/>
    <x v="0"/>
    <s v="Rio Quality"/>
    <s v="Xarope de Groselha"/>
    <s v="unid"/>
    <n v="1"/>
    <n v="4.8499999999999996"/>
    <n v="4.8499999999999996"/>
  </r>
  <r>
    <s v="Outubro"/>
    <s v="SEMANA 3"/>
    <n v="19"/>
    <x v="2"/>
    <s v="Central RJ"/>
    <s v="Toalha Bobina"/>
    <s v="unid"/>
    <n v="36"/>
    <n v="12"/>
    <n v="432"/>
  </r>
  <r>
    <s v="Outubro"/>
    <s v="SEMANA 3"/>
    <n v="19"/>
    <x v="0"/>
    <s v="Laticinios Alhambra"/>
    <s v="Creme de Leite Culinário 20% Bd 10 Lt"/>
    <s v="bd"/>
    <n v="1"/>
    <n v="142.44999999999999"/>
    <n v="142.44999999999999"/>
  </r>
  <r>
    <s v="Outubro"/>
    <s v="SEMANA 3"/>
    <n v="19"/>
    <x v="0"/>
    <s v="Laticinios Alhambra"/>
    <s v="Queijo Mussarela"/>
    <s v="kg"/>
    <n v="3.5"/>
    <n v="26"/>
    <n v="91"/>
  </r>
  <r>
    <s v="Outubro"/>
    <s v="SEMANA 3"/>
    <n v="19"/>
    <x v="0"/>
    <s v="Laticinios Alhambra"/>
    <s v="Queijo Minas"/>
    <s v="kg"/>
    <n v="2.8"/>
    <n v="20.8"/>
    <n v="58.239999999999995"/>
  </r>
  <r>
    <s v="Outubro"/>
    <s v="SEMANA 3"/>
    <n v="19"/>
    <x v="0"/>
    <s v="Laticinios Alhambra"/>
    <s v="Queijo Prato"/>
    <s v="kg"/>
    <n v="3.5"/>
    <n v="26"/>
    <n v="91"/>
  </r>
  <r>
    <s v="Outubro"/>
    <s v="SEMANA 3"/>
    <n v="19"/>
    <x v="0"/>
    <s v="Laticinios Alhambra"/>
    <s v="Queijo Ricota"/>
    <s v="kg"/>
    <n v="3"/>
    <n v="10.6"/>
    <n v="31.799999999999997"/>
  </r>
  <r>
    <s v="Outubro"/>
    <s v="SEMANA 3"/>
    <n v="19"/>
    <x v="1"/>
    <s v="Alcibiades G. Quintas"/>
    <s v="Cenoura"/>
    <s v="kg"/>
    <n v="19.883999999999997"/>
    <n v="2.2102161100196462"/>
    <n v="43.947937131630638"/>
  </r>
  <r>
    <s v="Outubro"/>
    <s v="SEMANA 3"/>
    <n v="19"/>
    <x v="1"/>
    <s v="Alcibiades G. Quintas"/>
    <s v="Pimentão Vermelho"/>
    <s v="kg"/>
    <n v="2"/>
    <n v="15"/>
    <n v="30"/>
  </r>
  <r>
    <s v="Outubro"/>
    <s v="SEMANA 3"/>
    <n v="19"/>
    <x v="1"/>
    <s v="Alcibiades G. Quintas"/>
    <s v="Vagem Macarrão"/>
    <s v="kg"/>
    <n v="4"/>
    <n v="6"/>
    <n v="24"/>
  </r>
  <r>
    <s v="Outubro"/>
    <s v="SEMANA 3"/>
    <n v="19"/>
    <x v="1"/>
    <s v="Alcibiades G. Quintas"/>
    <s v="Cebolinha Verde"/>
    <s v="kg"/>
    <n v="0.59000000000000008"/>
    <n v="7"/>
    <n v="4.1300000000000008"/>
  </r>
  <r>
    <s v="Outubro"/>
    <s v="SEMANA 3"/>
    <n v="19"/>
    <x v="1"/>
    <s v="Alcibiades G. Quintas"/>
    <s v="Coentro"/>
    <s v="kg"/>
    <n v="1"/>
    <n v="14"/>
    <n v="14"/>
  </r>
  <r>
    <s v="Outubro"/>
    <s v="SEMANA 3"/>
    <n v="19"/>
    <x v="1"/>
    <s v="Alcibiades G. Quintas"/>
    <s v="Abacaxi "/>
    <s v="kg"/>
    <n v="6"/>
    <n v="2.4"/>
    <n v="14.399999999999999"/>
  </r>
  <r>
    <s v="Outubro"/>
    <s v="SEMANA 3"/>
    <n v="19"/>
    <x v="1"/>
    <s v="Alcibiades G. Quintas"/>
    <s v="Manga Palmer"/>
    <s v="kg"/>
    <n v="5.5"/>
    <n v="5.0909090909090908"/>
    <n v="28"/>
  </r>
  <r>
    <s v="Outubro"/>
    <s v="SEMANA 3"/>
    <n v="19"/>
    <x v="1"/>
    <s v="Umehara"/>
    <s v="Banana D'Água"/>
    <s v="kg"/>
    <n v="2"/>
    <n v="2.2000000000000002"/>
    <n v="4.4000000000000004"/>
  </r>
  <r>
    <s v="Outubro"/>
    <s v="SEMANA 3"/>
    <n v="19"/>
    <x v="1"/>
    <s v="Umehara"/>
    <s v="Côco Verde"/>
    <s v="unid"/>
    <n v="10"/>
    <n v="1.98"/>
    <n v="19.8"/>
  </r>
  <r>
    <s v="Outubro"/>
    <s v="SEMANA 3"/>
    <n v="19"/>
    <x v="1"/>
    <s v="Umehara"/>
    <s v="Couve Manteiga"/>
    <s v="kg"/>
    <n v="12"/>
    <n v="3"/>
    <n v="36"/>
  </r>
  <r>
    <s v="Outubro"/>
    <s v="SEMANA 3"/>
    <n v="19"/>
    <x v="1"/>
    <s v="Umehara"/>
    <s v="Goiaba"/>
    <s v="kg"/>
    <n v="2.5"/>
    <n v="4"/>
    <n v="10"/>
  </r>
  <r>
    <s v="Outubro"/>
    <s v="SEMANA 3"/>
    <n v="19"/>
    <x v="1"/>
    <s v="Umehara"/>
    <s v="Ovos Extra"/>
    <s v="unid"/>
    <n v="360"/>
    <n v="0.27500000000000002"/>
    <n v="99.000000000000014"/>
  </r>
  <r>
    <s v="Outubro"/>
    <s v="SEMANA 3"/>
    <n v="19"/>
    <x v="1"/>
    <s v="Umehara"/>
    <s v="Rúcula"/>
    <s v="kg"/>
    <n v="2"/>
    <n v="4.9000000000000004"/>
    <n v="9.8000000000000007"/>
  </r>
  <r>
    <s v="Outubro"/>
    <s v="SEMANA 3"/>
    <n v="19"/>
    <x v="1"/>
    <s v="Umehara"/>
    <s v="Tomate Cereja"/>
    <s v="kg"/>
    <n v="7"/>
    <n v="7.85"/>
    <n v="54.949999999999996"/>
  </r>
  <r>
    <s v="Outubro"/>
    <s v="SEMANA 3"/>
    <n v="19"/>
    <x v="9"/>
    <s v="Italimp"/>
    <s v="Álcool 70"/>
    <s v="unid"/>
    <n v="12"/>
    <n v="4.9000000000000004"/>
    <n v="58.800000000000004"/>
  </r>
  <r>
    <s v="Outubro"/>
    <s v="SEMANA 3"/>
    <n v="19"/>
    <x v="9"/>
    <s v="Italimp"/>
    <s v="Hipoclorito de Sódio Bb 5 Lt"/>
    <s v="bb"/>
    <n v="5"/>
    <n v="17.75"/>
    <n v="88.75"/>
  </r>
  <r>
    <s v="Outubro"/>
    <s v="SEMANA 3"/>
    <n v="19"/>
    <x v="2"/>
    <s v="Italimp"/>
    <s v="Bandeja Alumínio 3 Div. Cx 100"/>
    <s v="unid"/>
    <n v="100"/>
    <n v="0.621"/>
    <n v="62.1"/>
  </r>
  <r>
    <s v="Outubro"/>
    <s v="SEMANA 3"/>
    <n v="19"/>
    <x v="2"/>
    <s v="Italimp"/>
    <s v="Luva Descartável c/ 100"/>
    <s v="pcte"/>
    <n v="3"/>
    <n v="1.68"/>
    <n v="5.04"/>
  </r>
  <r>
    <s v="Outubro"/>
    <s v="SEMANA 3"/>
    <n v="19"/>
    <x v="2"/>
    <s v="Italimp"/>
    <s v="Papel Higiênico Rolo"/>
    <s v="unid"/>
    <n v="128"/>
    <n v="0.99843749999999998"/>
    <n v="127.8"/>
  </r>
  <r>
    <s v="Outubro"/>
    <s v="SEMANA 3"/>
    <n v="19"/>
    <x v="9"/>
    <s v="Italimp"/>
    <s v="Saco de Lixo 100 Lt"/>
    <s v="pcte"/>
    <n v="1"/>
    <n v="36"/>
    <n v="36"/>
  </r>
  <r>
    <s v="Outubro"/>
    <s v="SEMANA 3"/>
    <n v="19"/>
    <x v="5"/>
    <s v="Nossos Sabores"/>
    <s v="Torta Brownie com Nozes"/>
    <s v="unid"/>
    <n v="8"/>
    <n v="5.9124999999999996"/>
    <n v="47.3"/>
  </r>
  <r>
    <s v="Outubro"/>
    <s v="SEMANA 3"/>
    <n v="19"/>
    <x v="5"/>
    <s v="Atelier dos Sabores"/>
    <s v="Torta Alemã"/>
    <s v="fatia"/>
    <n v="12"/>
    <n v="5.57"/>
    <n v="66.84"/>
  </r>
  <r>
    <s v="Outubro"/>
    <s v="SEMANA 3"/>
    <n v="19"/>
    <x v="5"/>
    <s v="Atelier dos Sabores"/>
    <s v="Torta de Brigadeiro c/ Raspas"/>
    <s v="fatia"/>
    <n v="12"/>
    <n v="5.57"/>
    <n v="66.84"/>
  </r>
  <r>
    <s v="Outubro"/>
    <s v="SEMANA 3"/>
    <n v="19"/>
    <x v="5"/>
    <s v="Atelier dos Sabores"/>
    <s v="Torta de Limão"/>
    <s v="fatia"/>
    <n v="12"/>
    <n v="5.3041666666666663"/>
    <n v="63.649999999999991"/>
  </r>
  <r>
    <s v="Outubro"/>
    <s v="SEMANA 3"/>
    <n v="19"/>
    <x v="5"/>
    <s v="Atelier dos Sabores"/>
    <s v="Torta Bem Casado de Doce de Leite"/>
    <s v="fatia"/>
    <n v="24"/>
    <n v="5.7470833333333333"/>
    <n v="137.93"/>
  </r>
  <r>
    <s v="Outubro"/>
    <s v="SEMANA 3"/>
    <n v="19"/>
    <x v="5"/>
    <s v="Atelier dos Sabores"/>
    <s v="Torta Bem Casado de Chocolate c/ Avelã"/>
    <s v="fatia"/>
    <n v="12"/>
    <n v="5.7466666666666661"/>
    <n v="68.959999999999994"/>
  </r>
  <r>
    <s v="Outubro"/>
    <s v="SEMANA 3"/>
    <n v="19"/>
    <x v="5"/>
    <s v="Atelier dos Sabores"/>
    <s v="Torta Banana Crock"/>
    <s v="fatia"/>
    <n v="24"/>
    <n v="5.7470833333333333"/>
    <n v="137.93"/>
  </r>
  <r>
    <s v="Outubro"/>
    <s v="SEMANA 3"/>
    <n v="19"/>
    <x v="5"/>
    <s v="Atelier dos Sabores"/>
    <s v="Torta Financier com Quindim"/>
    <s v="fatia"/>
    <n v="12"/>
    <n v="5.9241666666666672"/>
    <n v="71.09"/>
  </r>
  <r>
    <s v="Outubro"/>
    <s v="SEMANA 3"/>
    <n v="19"/>
    <x v="5"/>
    <s v="Atelier dos Sabores"/>
    <s v="Torta de Cenoura c/ Chocolate"/>
    <s v="fatia"/>
    <n v="12"/>
    <n v="5.7116666666666669"/>
    <n v="68.540000000000006"/>
  </r>
  <r>
    <s v="Outubro"/>
    <s v="SEMANA 3"/>
    <n v="19"/>
    <x v="8"/>
    <s v="Casa Flora"/>
    <s v="Vinho  Espumante Veuve Du Vernay 187 ml"/>
    <s v="unid"/>
    <n v="12"/>
    <n v="14.08"/>
    <n v="168.96"/>
  </r>
  <r>
    <s v="Outubro"/>
    <s v="SEMANA 3"/>
    <n v="19"/>
    <x v="8"/>
    <s v="Casa Flora"/>
    <s v="Vinho Alfredo Roca Malbec 375 ml"/>
    <s v="unid"/>
    <n v="12"/>
    <n v="23.658333333333331"/>
    <n v="283.89999999999998"/>
  </r>
  <r>
    <s v="Outubro"/>
    <s v="SEMANA 3"/>
    <n v="19"/>
    <x v="8"/>
    <s v="Casa Flora"/>
    <s v="Vinho Benjamin Chardonnay 750 ml"/>
    <s v="unid"/>
    <n v="6"/>
    <n v="25.564999999999998"/>
    <n v="153.38999999999999"/>
  </r>
  <r>
    <s v="Outubro"/>
    <s v="SEMANA 3"/>
    <n v="19"/>
    <x v="8"/>
    <s v="Casa Flora"/>
    <s v="Vinho Benjamin Malbec 375 ml"/>
    <s v="unid"/>
    <n v="12"/>
    <n v="15.637500000000001"/>
    <n v="187.65"/>
  </r>
  <r>
    <s v="Outubro"/>
    <s v="SEMANA 3"/>
    <n v="19"/>
    <x v="8"/>
    <s v="Casa Flora"/>
    <s v="Vinho Nieto Senet D.O.C. Malbec 750 ml"/>
    <s v="unid"/>
    <n v="3"/>
    <n v="52.04666666666666"/>
    <n v="156.13999999999999"/>
  </r>
  <r>
    <s v="Outubro"/>
    <s v="SEMANA 3"/>
    <n v="19"/>
    <x v="8"/>
    <s v="Casa Flora"/>
    <s v="Vinho Cefiro Cab. Sauvignon 375 ml"/>
    <s v="unid"/>
    <n v="12"/>
    <n v="26.906666666666666"/>
    <n v="322.88"/>
  </r>
  <r>
    <s v="Outubro"/>
    <s v="SEMANA 3"/>
    <n v="19"/>
    <x v="8"/>
    <s v="Casa Flora"/>
    <s v="Vinho Cefiro Sauv. Blanc 750 ml"/>
    <s v="unid"/>
    <n v="4"/>
    <n v="44.542499999999997"/>
    <n v="178.17"/>
  </r>
  <r>
    <s v="Outubro"/>
    <s v="SEMANA 3"/>
    <n v="19"/>
    <x v="8"/>
    <s v="Casa Flora"/>
    <s v="Vinho Sta Carolina Estrellas Cab. Sauv. 187ml"/>
    <s v="unid"/>
    <n v="24"/>
    <n v="12.747916666666667"/>
    <n v="305.95"/>
  </r>
  <r>
    <s v="Outubro"/>
    <s v="SEMANA 3"/>
    <n v="19"/>
    <x v="4"/>
    <s v="Alcibiades G. Quintas"/>
    <s v="Cenoura  Sushi"/>
    <s v="kg"/>
    <n v="0.47599999999999998"/>
    <n v="2.2102161100196462"/>
    <n v="1.0520628683693516"/>
  </r>
  <r>
    <s v="Outubro"/>
    <s v="SEMANA 3"/>
    <n v="19"/>
    <x v="5"/>
    <s v="Artesanal Produtos"/>
    <s v="Torta de Maça Integral"/>
    <s v="fatia"/>
    <n v="20"/>
    <n v="4.9000000000000004"/>
    <n v="98"/>
  </r>
  <r>
    <s v="Outubro"/>
    <s v="SEMANA 3"/>
    <n v="19"/>
    <x v="2"/>
    <s v="Rio Pak"/>
    <s v="Copo de Sobremesa Cristal 180 ml"/>
    <s v="unid"/>
    <n v="1000"/>
    <n v="0.30689999999999995"/>
    <n v="306.89999999999998"/>
  </r>
  <r>
    <s v="Outubro"/>
    <s v="SEMANA 3"/>
    <n v="19"/>
    <x v="1"/>
    <s v="Feira"/>
    <s v="Aipim"/>
    <s v="kg"/>
    <n v="20"/>
    <n v="5"/>
    <n v="100"/>
  </r>
  <r>
    <s v="Outubro"/>
    <s v="SEMANA 3"/>
    <n v="19"/>
    <x v="8"/>
    <s v="CRBS"/>
    <s v="Cerveja Malzbier Brahma Long Neck"/>
    <s v="unid"/>
    <n v="24"/>
    <n v="3.1091666666666669"/>
    <n v="74.62"/>
  </r>
  <r>
    <s v="Outubro"/>
    <s v="SEMANA 3"/>
    <n v="19"/>
    <x v="8"/>
    <s v="CRBS"/>
    <s v="Água Tonica Diet"/>
    <s v="unid"/>
    <n v="24"/>
    <n v="1.8608333333333331"/>
    <n v="44.66"/>
  </r>
  <r>
    <s v="Outubro"/>
    <s v="SEMANA 3"/>
    <n v="19"/>
    <x v="8"/>
    <s v="CRBS"/>
    <s v="Guaraná Antarctica Zero (lata)"/>
    <s v="unid"/>
    <n v="36"/>
    <n v="1.828888888888889"/>
    <n v="65.84"/>
  </r>
  <r>
    <s v="Outubro"/>
    <s v="SEMANA 3"/>
    <n v="19"/>
    <x v="8"/>
    <s v="CRBS"/>
    <s v="H2O Limão"/>
    <s v="unid"/>
    <n v="24"/>
    <n v="2.1437500000000003"/>
    <n v="51.45"/>
  </r>
  <r>
    <s v="Outubro"/>
    <s v="SEMANA 3"/>
    <n v="19"/>
    <x v="8"/>
    <s v="CRBS"/>
    <s v="Ice Tea Pêssego"/>
    <s v="unid"/>
    <n v="12"/>
    <n v="2.0124999999999997"/>
    <n v="24.15"/>
  </r>
  <r>
    <s v="Outubro"/>
    <s v="SEMANA 3"/>
    <n v="19"/>
    <x v="8"/>
    <s v="CRBS"/>
    <s v="Cerveja Bohemia Long Neck 355 ml"/>
    <s v="unid"/>
    <n v="48"/>
    <n v="2.6570833333333335"/>
    <n v="127.54"/>
  </r>
  <r>
    <s v="Outubro"/>
    <s v="SEMANA 3"/>
    <n v="19"/>
    <x v="8"/>
    <s v="CRBS"/>
    <s v="Cerveja Bohemia 600 ml"/>
    <s v="unid"/>
    <n v="24"/>
    <n v="4.8070833333333338"/>
    <n v="115.37"/>
  </r>
  <r>
    <s v="Outubro"/>
    <s v="SEMANA 3"/>
    <n v="20"/>
    <x v="1"/>
    <s v="Cheiro Verde"/>
    <s v="Abobora"/>
    <s v="kg"/>
    <n v="13.7"/>
    <n v="1.88"/>
    <n v="25.755999999999997"/>
  </r>
  <r>
    <s v="Outubro"/>
    <s v="SEMANA 3"/>
    <n v="20"/>
    <x v="1"/>
    <s v="Cheiro Verde"/>
    <s v="Banana D'Água"/>
    <s v="kg"/>
    <n v="5"/>
    <n v="1.88"/>
    <n v="9.3999999999999986"/>
  </r>
  <r>
    <s v="Outubro"/>
    <s v="SEMANA 3"/>
    <n v="20"/>
    <x v="1"/>
    <s v="Cheiro Verde"/>
    <s v="Batata Calabresa"/>
    <s v="kg"/>
    <m/>
    <m/>
    <n v="0"/>
  </r>
  <r>
    <s v="Outubro"/>
    <s v="SEMANA 3"/>
    <n v="20"/>
    <x v="1"/>
    <s v="Cheiro Verde"/>
    <s v="Bertalha"/>
    <s v="kg"/>
    <n v="5.72"/>
    <n v="3.75"/>
    <n v="21.45"/>
  </r>
  <r>
    <s v="Outubro"/>
    <s v="SEMANA 3"/>
    <n v="20"/>
    <x v="1"/>
    <s v="Cheiro Verde"/>
    <s v="Inhame"/>
    <s v="kg"/>
    <n v="2"/>
    <n v="1.74"/>
    <n v="3.48"/>
  </r>
  <r>
    <s v="Outubro"/>
    <s v="SEMANA 3"/>
    <n v="20"/>
    <x v="1"/>
    <s v="Cheiro Verde"/>
    <s v="Laranja Pera"/>
    <s v="kg"/>
    <n v="19.260000000000002"/>
    <n v="1.557632398753894"/>
    <n v="30"/>
  </r>
  <r>
    <s v="Outubro"/>
    <s v="SEMANA 3"/>
    <n v="20"/>
    <x v="1"/>
    <s v="Cheiro Verde"/>
    <s v="Melão de Rede "/>
    <s v="kg"/>
    <n v="1.84"/>
    <n v="5"/>
    <n v="9.2000000000000011"/>
  </r>
  <r>
    <s v="Outubro"/>
    <s v="SEMANA 3"/>
    <n v="20"/>
    <x v="1"/>
    <s v="Alcibiades G. Quintas"/>
    <s v="Pimentão Vermelho"/>
    <s v="kg"/>
    <n v="1"/>
    <n v="15"/>
    <n v="15"/>
  </r>
  <r>
    <s v="Outubro"/>
    <s v="SEMANA 3"/>
    <n v="20"/>
    <x v="1"/>
    <s v="Alcibiades G. Quintas"/>
    <s v="Tomate Molho"/>
    <s v="kg"/>
    <n v="17.98"/>
    <n v="3.8932146829810899"/>
    <n v="70"/>
  </r>
  <r>
    <s v="Outubro"/>
    <s v="SEMANA 3"/>
    <n v="20"/>
    <x v="1"/>
    <s v="Alcibiades G. Quintas"/>
    <s v="Manjericão"/>
    <s v="kg"/>
    <n v="0.5"/>
    <n v="12"/>
    <n v="6"/>
  </r>
  <r>
    <s v="Outubro"/>
    <s v="SEMANA 3"/>
    <n v="20"/>
    <x v="1"/>
    <s v="Alcibiades G. Quintas"/>
    <s v="Salsa"/>
    <s v="kg"/>
    <n v="1.5"/>
    <n v="7"/>
    <n v="10.5"/>
  </r>
  <r>
    <s v="Outubro"/>
    <s v="SEMANA 3"/>
    <n v="20"/>
    <x v="1"/>
    <s v="Alcibiades G. Quintas"/>
    <s v="Limão Siciliano"/>
    <s v="kg"/>
    <n v="1"/>
    <n v="10"/>
    <n v="10"/>
  </r>
  <r>
    <s v="Outubro"/>
    <s v="SEMANA 3"/>
    <n v="20"/>
    <x v="1"/>
    <s v="Alcibiades G. Quintas"/>
    <s v="Abacate "/>
    <s v="kg"/>
    <n v="3"/>
    <n v="6.8"/>
    <n v="20.399999999999999"/>
  </r>
  <r>
    <s v="Outubro"/>
    <s v="SEMANA 3"/>
    <n v="20"/>
    <x v="1"/>
    <s v="Alcibiades G. Quintas"/>
    <s v="Abacaxi "/>
    <s v="kg"/>
    <n v="10"/>
    <n v="2.4"/>
    <n v="24"/>
  </r>
  <r>
    <s v="Outubro"/>
    <s v="SEMANA 3"/>
    <n v="20"/>
    <x v="1"/>
    <s v="Alcibiades G. Quintas"/>
    <s v="Limão"/>
    <s v="kg"/>
    <n v="24.98"/>
    <n v="5.4043234587670135"/>
    <n v="135"/>
  </r>
  <r>
    <s v="Outubro"/>
    <s v="SEMANA 3"/>
    <n v="20"/>
    <x v="1"/>
    <s v="Umehara"/>
    <s v="Alecrim"/>
    <s v="kg"/>
    <n v="0.2"/>
    <n v="18.5"/>
    <n v="3.7"/>
  </r>
  <r>
    <s v="Outubro"/>
    <s v="SEMANA 3"/>
    <n v="20"/>
    <x v="1"/>
    <s v="Umehara"/>
    <s v="Côco Verde"/>
    <s v="unid"/>
    <n v="20"/>
    <n v="1.98"/>
    <n v="39.6"/>
  </r>
  <r>
    <s v="Outubro"/>
    <s v="SEMANA 3"/>
    <n v="20"/>
    <x v="1"/>
    <s v="Umehara"/>
    <s v="Couve Flor"/>
    <s v="kg"/>
    <n v="3"/>
    <n v="4.25"/>
    <n v="12.75"/>
  </r>
  <r>
    <s v="Outubro"/>
    <s v="SEMANA 3"/>
    <n v="20"/>
    <x v="1"/>
    <s v="Umehara"/>
    <s v="Hortelã"/>
    <s v="kg"/>
    <n v="1"/>
    <n v="4.5"/>
    <n v="4.5"/>
  </r>
  <r>
    <s v="Outubro"/>
    <s v="SEMANA 3"/>
    <n v="20"/>
    <x v="1"/>
    <s v="Umehara"/>
    <s v="Kiwi"/>
    <s v="kg"/>
    <n v="1"/>
    <n v="13.7"/>
    <n v="13.7"/>
  </r>
  <r>
    <s v="Outubro"/>
    <s v="SEMANA 3"/>
    <n v="20"/>
    <x v="1"/>
    <s v="Umehara"/>
    <s v="Mamão Bahia"/>
    <s v="kg"/>
    <n v="4"/>
    <n v="2.4"/>
    <n v="9.6"/>
  </r>
  <r>
    <s v="Outubro"/>
    <s v="SEMANA 3"/>
    <n v="20"/>
    <x v="1"/>
    <s v="Umehara"/>
    <s v="Manga Palmer"/>
    <s v="kg"/>
    <n v="5.5"/>
    <n v="4.3636363636363633"/>
    <n v="24"/>
  </r>
  <r>
    <s v="Outubro"/>
    <s v="SEMANA 3"/>
    <n v="20"/>
    <x v="1"/>
    <s v="Umehara"/>
    <s v="Manga Tommy"/>
    <s v="kg"/>
    <n v="5.7"/>
    <n v="3.4912280701754383"/>
    <n v="19.899999999999999"/>
  </r>
  <r>
    <s v="Outubro"/>
    <s v="SEMANA 3"/>
    <n v="20"/>
    <x v="1"/>
    <s v="Umehara"/>
    <s v="Tomate Cereja"/>
    <s v="kg"/>
    <n v="5"/>
    <n v="7.85"/>
    <n v="39.25"/>
  </r>
  <r>
    <s v="Outubro"/>
    <s v="SEMANA 3"/>
    <n v="20"/>
    <x v="1"/>
    <s v="Umehara"/>
    <s v="Vagem Francesa"/>
    <s v="kg"/>
    <n v="0.5"/>
    <n v="9.5"/>
    <n v="4.75"/>
  </r>
  <r>
    <s v="Outubro"/>
    <s v="SEMANA 3"/>
    <n v="20"/>
    <x v="3"/>
    <s v="Top Alto"/>
    <s v="Suíno - Bacon"/>
    <s v="kg"/>
    <n v="10"/>
    <n v="14.54"/>
    <n v="145.39999999999998"/>
  </r>
  <r>
    <s v="Outubro"/>
    <s v="SEMANA 3"/>
    <n v="20"/>
    <x v="0"/>
    <s v="Top Alto"/>
    <s v="Queijo Parmezon"/>
    <s v="kg"/>
    <n v="5.8"/>
    <n v="23.58"/>
    <n v="136.76399999999998"/>
  </r>
  <r>
    <s v="Outubro"/>
    <s v="SEMANA 3"/>
    <n v="20"/>
    <x v="0"/>
    <s v="Top Alto"/>
    <s v="Queijo Coalho"/>
    <s v="kg"/>
    <n v="6"/>
    <n v="24.13"/>
    <n v="144.78"/>
  </r>
  <r>
    <s v="Outubro"/>
    <s v="SEMANA 3"/>
    <n v="20"/>
    <x v="3"/>
    <s v="Aurora"/>
    <s v="Suíno - Barriga Suína"/>
    <s v="kg"/>
    <n v="20"/>
    <n v="10.17"/>
    <n v="203.4"/>
  </r>
  <r>
    <s v="Outubro"/>
    <s v="SEMANA 3"/>
    <n v="20"/>
    <x v="3"/>
    <s v="Frigorifico Jahu"/>
    <s v="Pescados - Camarão IQF Evisc. 51/60"/>
    <s v="kg"/>
    <n v="6"/>
    <n v="66.5"/>
    <n v="399"/>
  </r>
  <r>
    <s v="Outubro"/>
    <s v="SEMANA 3"/>
    <n v="20"/>
    <x v="3"/>
    <s v="Frigorifico Jahu"/>
    <s v="Pescados - Salmão Inteiro"/>
    <s v="kg"/>
    <n v="32.28"/>
    <n v="26.5"/>
    <n v="855.42000000000007"/>
  </r>
  <r>
    <s v="Outubro"/>
    <s v="SEMANA 3"/>
    <n v="20"/>
    <x v="4"/>
    <s v="Frigorifico Jahu"/>
    <s v="Pescados - Salmão Inteiro Sushi"/>
    <s v="kg"/>
    <n v="31.06"/>
    <n v="26.5"/>
    <n v="823.08999999999992"/>
  </r>
  <r>
    <s v="Outubro"/>
    <s v="SEMANA 3"/>
    <n v="20"/>
    <x v="6"/>
    <s v="Lenira Brandão (Suzanne)"/>
    <s v="Bolo de Cacau Belga"/>
    <s v="unid"/>
    <n v="2"/>
    <n v="9.5"/>
    <n v="19"/>
  </r>
  <r>
    <s v="Outubro"/>
    <s v="SEMANA 3"/>
    <n v="20"/>
    <x v="6"/>
    <s v="Lenira Brandão (Suzanne)"/>
    <s v="Bolo de Banana (com Amendoas)"/>
    <s v="unid"/>
    <n v="2"/>
    <n v="9.5"/>
    <n v="19"/>
  </r>
  <r>
    <s v="Outubro"/>
    <s v="SEMANA 3"/>
    <n v="20"/>
    <x v="6"/>
    <s v="Lenira Brandão (Suzanne)"/>
    <s v="Bolo de Cenoura (com cobertura de chocolate)"/>
    <s v="unid"/>
    <n v="2"/>
    <n v="9.5"/>
    <n v="19"/>
  </r>
  <r>
    <s v="Outubro"/>
    <s v="SEMANA 3"/>
    <n v="20"/>
    <x v="6"/>
    <s v="Lenira Brandão (Suzanne)"/>
    <s v="Bolo de Fuba (com cobertura de goiaba)"/>
    <s v="unid"/>
    <n v="1"/>
    <n v="9.5"/>
    <n v="9.5"/>
  </r>
  <r>
    <s v="Outubro"/>
    <s v="SEMANA 3"/>
    <n v="20"/>
    <x v="6"/>
    <s v="Lenira Brandão (Suzanne)"/>
    <s v="Mini Bolo de Cacau Belga"/>
    <s v="unid"/>
    <n v="3"/>
    <n v="4.5"/>
    <n v="13.5"/>
  </r>
  <r>
    <s v="Outubro"/>
    <s v="SEMANA 3"/>
    <n v="20"/>
    <x v="6"/>
    <s v="Lenira Brandão (Suzanne)"/>
    <s v="Mini Bolo de Banana (com amendoas)"/>
    <s v="unid"/>
    <n v="3"/>
    <n v="4.5"/>
    <n v="13.5"/>
  </r>
  <r>
    <s v="Outubro"/>
    <s v="SEMANA 3"/>
    <n v="20"/>
    <x v="6"/>
    <s v="Lenira Brandão (Suzanne)"/>
    <s v="Mini Bolo de Cenoura (com cobertura de chocolate)"/>
    <s v="unid"/>
    <n v="2"/>
    <n v="4.5"/>
    <n v="9"/>
  </r>
  <r>
    <s v="Outubro"/>
    <s v="SEMANA 3"/>
    <n v="20"/>
    <x v="6"/>
    <s v="Lenira Brandão (Suzanne)"/>
    <s v="Mini Bolo de Fuba (com cobertura goiaba)"/>
    <s v="unid"/>
    <n v="2"/>
    <n v="4.5"/>
    <n v="9"/>
  </r>
  <r>
    <s v="Outubro"/>
    <s v="SEMANA 3"/>
    <n v="20"/>
    <x v="6"/>
    <s v="Lenira Brandão (Suzanne)"/>
    <s v="Petit Four de Cacau Belga"/>
    <s v="unid"/>
    <n v="8"/>
    <n v="9.5"/>
    <n v="76"/>
  </r>
  <r>
    <s v="Outubro"/>
    <s v="SEMANA 3"/>
    <n v="20"/>
    <x v="6"/>
    <s v="Lenira Brandão (Suzanne)"/>
    <s v="Petit Four de Queijo"/>
    <s v="unid"/>
    <n v="1"/>
    <n v="9.5"/>
    <n v="9.5"/>
  </r>
  <r>
    <s v="Outubro"/>
    <s v="SEMANA 3"/>
    <n v="20"/>
    <x v="6"/>
    <s v="Lenira Brandão (Suzanne)"/>
    <s v="Petit Four de Amendoas"/>
    <s v="unid"/>
    <n v="1"/>
    <n v="9.5"/>
    <n v="9.5"/>
  </r>
  <r>
    <s v="Outubro"/>
    <s v="SEMANA 3"/>
    <n v="20"/>
    <x v="6"/>
    <s v="Sitio do Moinho"/>
    <s v="Abobrinha Org. Feirinha"/>
    <s v="kg"/>
    <n v="1.7"/>
    <n v="7.85"/>
    <n v="13.344999999999999"/>
  </r>
  <r>
    <s v="Outubro"/>
    <s v="SEMANA 3"/>
    <n v="20"/>
    <x v="1"/>
    <s v="Sitio do Moinho"/>
    <s v="Alface Americana Orgânica"/>
    <s v="kg"/>
    <n v="8.7799999999999994"/>
    <n v="6.6285714285714281"/>
    <n v="58.198857142857136"/>
  </r>
  <r>
    <s v="Outubro"/>
    <s v="SEMANA 3"/>
    <n v="20"/>
    <x v="6"/>
    <s v="Sitio do Moinho"/>
    <s v="Alface Americana Org. Feirinha"/>
    <s v="kg"/>
    <n v="1.72"/>
    <n v="6.6285714285714281"/>
    <n v="11.401142857142856"/>
  </r>
  <r>
    <s v="Outubro"/>
    <s v="SEMANA 3"/>
    <n v="20"/>
    <x v="1"/>
    <s v="Sitio do Moinho"/>
    <s v="Alface crespa Orgânica"/>
    <s v="kg"/>
    <n v="2.66"/>
    <n v="8.125"/>
    <n v="21.612500000000001"/>
  </r>
  <r>
    <s v="Outubro"/>
    <s v="SEMANA 3"/>
    <n v="20"/>
    <x v="6"/>
    <s v="Sitio do Moinho"/>
    <s v="Alface Crespa Org. Feirinha"/>
    <s v="kg"/>
    <n v="1.34"/>
    <n v="8.125"/>
    <n v="10.887500000000001"/>
  </r>
  <r>
    <s v="Outubro"/>
    <s v="SEMANA 3"/>
    <n v="20"/>
    <x v="1"/>
    <s v="Sitio do Moinho"/>
    <s v="Alface Roxa Orgânica"/>
    <s v="kg"/>
    <n v="1.7600000000000002"/>
    <n v="8.3955223880597014"/>
    <n v="14.776119402985076"/>
  </r>
  <r>
    <s v="Outubro"/>
    <s v="SEMANA 3"/>
    <n v="20"/>
    <x v="6"/>
    <s v="Sitio do Moinho"/>
    <s v="Alface Roxa Org. Feirinha"/>
    <s v="kg"/>
    <n v="0.92"/>
    <n v="8.3955223880597014"/>
    <n v="7.7238805970149258"/>
  </r>
  <r>
    <s v="Outubro"/>
    <s v="SEMANA 3"/>
    <n v="20"/>
    <x v="6"/>
    <s v="Sitio do Moinho"/>
    <s v="Banana Prata Org. Feirinha"/>
    <s v="kg"/>
    <n v="1"/>
    <n v="6.55"/>
    <n v="6.55"/>
  </r>
  <r>
    <s v="Outubro"/>
    <s v="SEMANA 3"/>
    <n v="20"/>
    <x v="6"/>
    <s v="Sitio do Moinho"/>
    <s v="Berinjela Org. Feirinha"/>
    <s v="kg"/>
    <n v="1.58"/>
    <n v="8.1999999999999993"/>
    <n v="12.956"/>
  </r>
  <r>
    <s v="Outubro"/>
    <s v="SEMANA 3"/>
    <n v="20"/>
    <x v="1"/>
    <s v="Sitio do Moinho"/>
    <s v="Beterraba Orgânica"/>
    <s v="kg"/>
    <n v="4"/>
    <n v="7.7"/>
    <n v="30.8"/>
  </r>
  <r>
    <s v="Outubro"/>
    <s v="SEMANA 3"/>
    <n v="20"/>
    <x v="6"/>
    <s v="Sitio do Moinho"/>
    <s v="Beterraba Orgânica Feirinha"/>
    <s v="kg"/>
    <n v="2"/>
    <n v="7.7"/>
    <n v="15.4"/>
  </r>
  <r>
    <s v="Outubro"/>
    <s v="SEMANA 3"/>
    <n v="20"/>
    <x v="1"/>
    <s v="Sitio do Moinho"/>
    <s v="Cenoura Orgânica"/>
    <s v="kg"/>
    <n v="4"/>
    <n v="7.75"/>
    <n v="31"/>
  </r>
  <r>
    <s v="Outubro"/>
    <s v="SEMANA 3"/>
    <n v="20"/>
    <x v="6"/>
    <s v="Sitio do Moinho"/>
    <s v="Cenoura Org. Feirinha"/>
    <s v="kg"/>
    <n v="2"/>
    <n v="7.75"/>
    <n v="15.5"/>
  </r>
  <r>
    <s v="Outubro"/>
    <s v="SEMANA 3"/>
    <n v="20"/>
    <x v="1"/>
    <s v="Sitio do Moinho"/>
    <s v="Rúcula Orgânica"/>
    <s v="kg"/>
    <n v="4.5"/>
    <n v="21.333333333333332"/>
    <n v="96"/>
  </r>
  <r>
    <s v="Outubro"/>
    <s v="SEMANA 3"/>
    <n v="20"/>
    <x v="6"/>
    <s v="Sitio do Moinho"/>
    <s v="Rucula Org. Feirinha"/>
    <s v="kg"/>
    <n v="0.45"/>
    <n v="21.333333333333332"/>
    <n v="9.6"/>
  </r>
  <r>
    <s v="Outubro"/>
    <s v="SEMANA 3"/>
    <n v="20"/>
    <x v="0"/>
    <s v="Planeta Gelo"/>
    <s v="Gelo em Escamas"/>
    <s v="saco"/>
    <n v="2"/>
    <n v="7.5"/>
    <n v="15"/>
  </r>
  <r>
    <s v="Outubro"/>
    <s v="SEMANA 3"/>
    <n v="20"/>
    <x v="0"/>
    <s v="Planeta Gelo"/>
    <s v="Gelo em Cubo"/>
    <s v="saco"/>
    <n v="3"/>
    <n v="7.5"/>
    <n v="22.5"/>
  </r>
  <r>
    <s v="Outubro"/>
    <s v="SEMANA 3"/>
    <n v="20"/>
    <x v="0"/>
    <s v="Mercadinho Bambina"/>
    <s v="Pão Árabe"/>
    <s v="pcte"/>
    <n v="5"/>
    <n v="6.7"/>
    <n v="33.5"/>
  </r>
  <r>
    <s v="Outubro"/>
    <s v="SEMANA 3"/>
    <n v="20"/>
    <x v="0"/>
    <s v="Mercadinho Bambina"/>
    <s v="Pão Francês"/>
    <s v="kg"/>
    <n v="0.18"/>
    <n v="13.98"/>
    <n v="2.5164"/>
  </r>
  <r>
    <s v="Outubro"/>
    <s v="SEMANA 3"/>
    <n v="16"/>
    <x v="0"/>
    <s v="Feira"/>
    <s v="Massa de Pastel"/>
    <s v="kg"/>
    <n v="27.45"/>
    <n v="7.6502732240437163"/>
    <n v="210"/>
  </r>
  <r>
    <s v="Outubro"/>
    <s v="SEMANA 3"/>
    <n v="20"/>
    <x v="3"/>
    <s v="Frisa"/>
    <s v="Carne Bovina - Picanha Grill/Churrascaria"/>
    <s v="kg"/>
    <n v="18.57"/>
    <n v="38"/>
    <n v="705.66"/>
  </r>
  <r>
    <s v="Outubro"/>
    <s v="SEMANA 3"/>
    <n v="20"/>
    <x v="3"/>
    <s v="Frisa"/>
    <s v="Carne Bovina - Patinho"/>
    <s v="kg"/>
    <n v="20.77"/>
    <n v="14.6"/>
    <n v="303.24199999999996"/>
  </r>
  <r>
    <s v="Outubro"/>
    <s v="SEMANA 3"/>
    <n v="20"/>
    <x v="3"/>
    <s v="Frisa"/>
    <s v="Carne Bovina - Alcatra Miolo"/>
    <s v="kg"/>
    <n v="21.45"/>
    <n v="18.4997668997669"/>
    <n v="396.82"/>
  </r>
  <r>
    <s v="Outubro"/>
    <s v="SEMANA 3"/>
    <n v="20"/>
    <x v="2"/>
    <s v="Sanda"/>
    <s v="Bobina Picotada 30X40"/>
    <s v="unid"/>
    <n v="3"/>
    <n v="11.94"/>
    <n v="35.82"/>
  </r>
  <r>
    <s v="Outubro"/>
    <s v="SEMANA 3"/>
    <n v="20"/>
    <x v="2"/>
    <s v="Sanda"/>
    <s v="Bobina Picotada 40X50"/>
    <s v="unid"/>
    <n v="4"/>
    <n v="19.38"/>
    <n v="77.52"/>
  </r>
  <r>
    <s v="Outubro"/>
    <s v="SEMANA 3"/>
    <n v="20"/>
    <x v="9"/>
    <s v="Sanda"/>
    <s v="Esponja Dupla Face"/>
    <s v="unid"/>
    <n v="4"/>
    <n v="1.25"/>
    <n v="5"/>
  </r>
  <r>
    <s v="Outubro"/>
    <s v="SEMANA 3"/>
    <n v="20"/>
    <x v="9"/>
    <s v="Sanda"/>
    <s v="Fibraço"/>
    <s v="unid"/>
    <n v="3"/>
    <n v="1.64"/>
    <n v="4.92"/>
  </r>
  <r>
    <s v="Outubro"/>
    <s v="SEMANA 3"/>
    <n v="20"/>
    <x v="2"/>
    <s v="Sanda"/>
    <s v="Luva de Borraca Forrada"/>
    <s v="unid"/>
    <n v="5"/>
    <n v="4.7699999999999996"/>
    <n v="23.849999999999998"/>
  </r>
  <r>
    <s v="Outubro"/>
    <s v="SEMANA 3"/>
    <n v="20"/>
    <x v="2"/>
    <s v="Sanda"/>
    <s v="Pano Multiuso Cross Hatch Laranja 300 M"/>
    <s v="unid"/>
    <n v="1"/>
    <n v="212.4"/>
    <n v="212.4"/>
  </r>
  <r>
    <s v="Outubro"/>
    <s v="SEMANA 3"/>
    <n v="20"/>
    <x v="9"/>
    <s v="Sanda"/>
    <s v="Saco de Lixo 200 Lt"/>
    <s v="pcte"/>
    <n v="3"/>
    <n v="48.19"/>
    <n v="144.57"/>
  </r>
  <r>
    <s v="Outubro"/>
    <s v="SEMANA 3"/>
    <n v="20"/>
    <x v="2"/>
    <s v="Sanda"/>
    <s v="Saco Plástico 50x70"/>
    <s v="pcte"/>
    <n v="2"/>
    <n v="48.8"/>
    <n v="97.6"/>
  </r>
  <r>
    <s v="Outubro"/>
    <s v="SEMANA 3"/>
    <n v="20"/>
    <x v="9"/>
    <s v="Sanda"/>
    <s v="Saco de Lixo 300 Lt"/>
    <s v="pcte"/>
    <n v="1"/>
    <n v="123.98"/>
    <n v="123.98"/>
  </r>
  <r>
    <s v="Outubro"/>
    <s v="SEMANA 3"/>
    <n v="20"/>
    <x v="2"/>
    <s v="Sanda"/>
    <s v="Bandeja Alumínio 220 ml cx 200 (Bolo)"/>
    <s v="unid"/>
    <n v="200"/>
    <n v="0.1981"/>
    <n v="39.619999999999997"/>
  </r>
  <r>
    <s v="Outubro"/>
    <s v="SEMANA 3"/>
    <n v="19"/>
    <x v="4"/>
    <s v="Alcibiades G. Quintas"/>
    <s v="Cebolinha Verde Sushi"/>
    <s v="kg"/>
    <n v="0.41"/>
    <n v="7"/>
    <n v="2.8699999999999997"/>
  </r>
  <r>
    <s v="Outubro"/>
    <s v="SEMANA 3"/>
    <n v="20"/>
    <x v="0"/>
    <s v="Laticinios Alhambra"/>
    <s v="Creme de Leite Culinário 20% Bd 10 Lt"/>
    <s v="bd"/>
    <n v="3"/>
    <n v="142.44999999999999"/>
    <n v="427.34999999999997"/>
  </r>
  <r>
    <s v="Outubro"/>
    <s v="SEMANA 3"/>
    <n v="20"/>
    <x v="0"/>
    <s v="Laticinios Alhambra"/>
    <s v="Queijo Ricota"/>
    <s v="kg"/>
    <n v="1.42"/>
    <n v="10.6"/>
    <n v="15.052"/>
  </r>
  <r>
    <s v="Outubro"/>
    <s v="SEMANA 3"/>
    <n v="20"/>
    <x v="0"/>
    <s v="Laticinios Alhambra"/>
    <s v="Queijo Requeijão BD 3,6 Kg"/>
    <s v="bd"/>
    <n v="1"/>
    <n v="74.400000000000006"/>
    <n v="74.400000000000006"/>
  </r>
  <r>
    <s v="Outubro"/>
    <s v="SEMANA 3"/>
    <n v="20"/>
    <x v="0"/>
    <s v="Horn (Arosa)"/>
    <s v="Tortinha Arosa  81 unid"/>
    <s v="pcte"/>
    <n v="3"/>
    <n v="31"/>
    <n v="93"/>
  </r>
  <r>
    <s v="Outubro"/>
    <s v="SEMANA 3"/>
    <n v="20"/>
    <x v="0"/>
    <s v="Horn (Arosa)"/>
    <s v="Tortinha Arosa  64 unid"/>
    <s v="pcte"/>
    <n v="3"/>
    <n v="34"/>
    <n v="102"/>
  </r>
  <r>
    <s v="Outubro"/>
    <s v="SEMANA 3"/>
    <n v="20"/>
    <x v="0"/>
    <s v="Horn (Arosa)"/>
    <s v="Tortinha Arosa  72 unid"/>
    <s v="pcte"/>
    <n v="3"/>
    <n v="34"/>
    <n v="102"/>
  </r>
  <r>
    <s v="Outubro"/>
    <s v="SEMANA 3"/>
    <n v="20"/>
    <x v="0"/>
    <s v="Comercial Tanabata"/>
    <s v="Misso Shiro"/>
    <s v="kg"/>
    <n v="12"/>
    <n v="20.843333333333334"/>
    <n v="250.12"/>
  </r>
  <r>
    <s v="Outubro"/>
    <s v="SEMANA 3"/>
    <n v="18"/>
    <x v="0"/>
    <s v="Zamboni"/>
    <s v="Vinagre de Arroz (cozinha)"/>
    <s v="lt"/>
    <n v="5.25"/>
    <n v="5.2622222222222224"/>
    <n v="27.626666666666669"/>
  </r>
  <r>
    <s v="Outubro"/>
    <s v="SEMANA 3"/>
    <n v="21"/>
    <x v="1"/>
    <s v="Cheiro Verde"/>
    <s v="Abobora"/>
    <s v="kg"/>
    <n v="15"/>
    <n v="1.88"/>
    <n v="28.2"/>
  </r>
  <r>
    <s v="Outubro"/>
    <s v="SEMANA 3"/>
    <n v="21"/>
    <x v="1"/>
    <s v="Cheiro Verde"/>
    <s v="Aipo"/>
    <s v="kg"/>
    <n v="1"/>
    <n v="3.9"/>
    <n v="3.9"/>
  </r>
  <r>
    <s v="Outubro"/>
    <s v="SEMANA 3"/>
    <n v="21"/>
    <x v="1"/>
    <s v="Cheiro Verde"/>
    <s v="Banana da Terra"/>
    <s v="kg"/>
    <n v="12"/>
    <n v="3.44"/>
    <n v="41.28"/>
  </r>
  <r>
    <s v="Outubro"/>
    <s v="SEMANA 3"/>
    <n v="21"/>
    <x v="1"/>
    <s v="Cheiro Verde"/>
    <s v="Batata Calabresa"/>
    <s v="kg"/>
    <n v="12"/>
    <n v="2.23"/>
    <n v="26.759999999999998"/>
  </r>
  <r>
    <s v="Outubro"/>
    <s v="SEMANA 3"/>
    <n v="21"/>
    <x v="1"/>
    <s v="Cheiro Verde"/>
    <s v="Batata Doce"/>
    <s v="kg"/>
    <n v="18.2"/>
    <n v="1.5796703296703298"/>
    <n v="28.750000000000004"/>
  </r>
  <r>
    <s v="Outubro"/>
    <s v="SEMANA 3"/>
    <n v="21"/>
    <x v="1"/>
    <s v="Cheiro Verde"/>
    <s v="Melão de Rede "/>
    <s v="kg"/>
    <n v="2"/>
    <n v="5"/>
    <n v="10"/>
  </r>
  <r>
    <s v="Outubro"/>
    <s v="SEMANA 3"/>
    <n v="21"/>
    <x v="4"/>
    <s v="Cheiro Verde"/>
    <s v="Nabo Japonês Sushi"/>
    <s v="kg"/>
    <n v="1"/>
    <n v="5"/>
    <n v="5"/>
  </r>
  <r>
    <s v="Outubro"/>
    <s v="SEMANA 3"/>
    <n v="21"/>
    <x v="1"/>
    <s v="Cheiro Verde"/>
    <s v="Pimentão Verde"/>
    <s v="kg"/>
    <n v="1"/>
    <n v="3.48"/>
    <n v="3.48"/>
  </r>
  <r>
    <s v="Outubro"/>
    <s v="SEMANA 3"/>
    <n v="21"/>
    <x v="0"/>
    <s v="Mercadinho Bambina"/>
    <s v="Batata Palha 140 g"/>
    <s v="pcte"/>
    <n v="4"/>
    <n v="7.8"/>
    <n v="31.2"/>
  </r>
  <r>
    <s v="Outubro"/>
    <s v="SEMANA 3"/>
    <n v="21"/>
    <x v="0"/>
    <s v="Planeta Gelo"/>
    <s v="Gelo em Escamas"/>
    <s v="saco"/>
    <n v="2"/>
    <n v="7.5"/>
    <n v="15"/>
  </r>
  <r>
    <s v="Outubro"/>
    <s v="SEMANA 3"/>
    <n v="21"/>
    <x v="0"/>
    <s v="Planeta Gelo"/>
    <s v="Gelo em Cubo"/>
    <s v="saco"/>
    <n v="2"/>
    <n v="7.5"/>
    <n v="15"/>
  </r>
  <r>
    <s v="Outubro"/>
    <s v="SEMANA 3"/>
    <n v="21"/>
    <x v="1"/>
    <s v="Umehara"/>
    <s v="Acelga"/>
    <s v="kg"/>
    <n v="3"/>
    <n v="2.2000000000000002"/>
    <n v="6.6000000000000005"/>
  </r>
  <r>
    <s v="Outubro"/>
    <s v="SEMANA 3"/>
    <n v="21"/>
    <x v="1"/>
    <s v="Umehara"/>
    <s v="Melância"/>
    <s v="kg"/>
    <n v="9"/>
    <n v="1.32"/>
    <n v="11.88"/>
  </r>
  <r>
    <s v="Outubro"/>
    <s v="SEMANA 3"/>
    <n v="21"/>
    <x v="1"/>
    <s v="Umehara"/>
    <s v="Batata HBT"/>
    <s v="kg"/>
    <n v="25"/>
    <n v="1.5"/>
    <n v="37.5"/>
  </r>
  <r>
    <s v="Outubro"/>
    <s v="SEMANA 3"/>
    <n v="21"/>
    <x v="1"/>
    <s v="Umehara"/>
    <s v="Cebola"/>
    <s v="kg"/>
    <n v="20.12"/>
    <n v="1.4811133200795228"/>
    <n v="29.8"/>
  </r>
  <r>
    <s v="Outubro"/>
    <s v="SEMANA 3"/>
    <n v="21"/>
    <x v="1"/>
    <s v="Umehara"/>
    <s v="Côco Verde"/>
    <s v="unid"/>
    <n v="30"/>
    <n v="1.98"/>
    <n v="59.4"/>
  </r>
  <r>
    <s v="Outubro"/>
    <s v="SEMANA 3"/>
    <n v="21"/>
    <x v="1"/>
    <s v="Umehara"/>
    <s v="Kiwi"/>
    <s v="kg"/>
    <n v="1"/>
    <n v="13.7"/>
    <n v="13.7"/>
  </r>
  <r>
    <s v="Outubro"/>
    <s v="SEMANA 3"/>
    <n v="21"/>
    <x v="1"/>
    <s v="Umehara"/>
    <s v="Laranja Pera"/>
    <s v="kg"/>
    <n v="21.7"/>
    <n v="1.2903225806451613"/>
    <n v="28"/>
  </r>
  <r>
    <s v="Outubro"/>
    <s v="SEMANA 3"/>
    <n v="21"/>
    <x v="1"/>
    <s v="Umehara"/>
    <s v="Maçã Nacional"/>
    <s v="kg"/>
    <n v="17.86"/>
    <n v="3.5778275475923853"/>
    <n v="63.9"/>
  </r>
  <r>
    <s v="Outubro"/>
    <s v="SEMANA 3"/>
    <n v="21"/>
    <x v="1"/>
    <s v="Umehara"/>
    <s v="Mamão Bahia"/>
    <s v="kg"/>
    <n v="2"/>
    <n v="2.4"/>
    <n v="4.8"/>
  </r>
  <r>
    <s v="Outubro"/>
    <s v="SEMANA 3"/>
    <n v="21"/>
    <x v="1"/>
    <s v="Umehara"/>
    <s v="Manga Palmer"/>
    <s v="kg"/>
    <n v="12"/>
    <n v="4"/>
    <n v="48"/>
  </r>
  <r>
    <s v="Outubro"/>
    <s v="SEMANA 3"/>
    <n v="21"/>
    <x v="1"/>
    <s v="Umehara"/>
    <s v="Repolho"/>
    <s v="kg"/>
    <n v="6"/>
    <n v="1.21"/>
    <n v="7.26"/>
  </r>
  <r>
    <s v="Outubro"/>
    <s v="SEMANA 3"/>
    <n v="21"/>
    <x v="1"/>
    <s v="Umehara"/>
    <s v="Repolho Roxo"/>
    <s v="kg"/>
    <n v="3.6"/>
    <n v="2.2000000000000002"/>
    <n v="7.9200000000000008"/>
  </r>
  <r>
    <s v="Outubro"/>
    <s v="SEMANA 3"/>
    <n v="21"/>
    <x v="4"/>
    <s v="Umehara"/>
    <s v="Salsa Crespa Sushi"/>
    <s v="kg"/>
    <n v="0.2"/>
    <n v="12.5"/>
    <n v="2.5"/>
  </r>
  <r>
    <s v="Outubro"/>
    <s v="SEMANA 3"/>
    <n v="21"/>
    <x v="1"/>
    <s v="Umehara"/>
    <s v="Tomate Cereja"/>
    <s v="kg"/>
    <n v="2"/>
    <n v="7.85"/>
    <n v="15.7"/>
  </r>
  <r>
    <s v="Outubro"/>
    <s v="SEMANA 3"/>
    <n v="21"/>
    <x v="1"/>
    <s v="Batata, o Rei do Alho"/>
    <s v="Alho Descascado"/>
    <s v="kg"/>
    <n v="20"/>
    <n v="15.5"/>
    <n v="310"/>
  </r>
  <r>
    <s v="Outubro"/>
    <s v="SEMANA 3"/>
    <n v="21"/>
    <x v="1"/>
    <s v="Alcibiades G. Quintas"/>
    <s v="Batata Yacon"/>
    <s v="kg"/>
    <n v="0.5"/>
    <n v="8"/>
    <n v="4"/>
  </r>
  <r>
    <s v="Outubro"/>
    <s v="SEMANA 3"/>
    <n v="21"/>
    <x v="1"/>
    <s v="Alcibiades G. Quintas"/>
    <s v="Cenoura"/>
    <s v="kg"/>
    <n v="19.48"/>
    <n v="2.3100616016427105"/>
    <n v="45"/>
  </r>
  <r>
    <s v="Outubro"/>
    <s v="SEMANA 3"/>
    <n v="21"/>
    <x v="1"/>
    <s v="Alcibiades G. Quintas"/>
    <s v="Pepino Japonês"/>
    <s v="kg"/>
    <n v="17.100000000000001"/>
    <n v="2.9239766081871341"/>
    <n v="50"/>
  </r>
  <r>
    <s v="Outubro"/>
    <s v="SEMANA 3"/>
    <n v="21"/>
    <x v="1"/>
    <s v="Alcibiades G. Quintas"/>
    <s v="Pimentão Amarelo"/>
    <s v="kg"/>
    <n v="1"/>
    <n v="15"/>
    <n v="15"/>
  </r>
  <r>
    <s v="Outubro"/>
    <s v="SEMANA 3"/>
    <n v="21"/>
    <x v="1"/>
    <s v="Alcibiades G. Quintas"/>
    <s v="Tomate Salada"/>
    <s v="kg"/>
    <n v="19.14"/>
    <n v="3.6572622779519328"/>
    <n v="70"/>
  </r>
  <r>
    <s v="Outubro"/>
    <s v="SEMANA 3"/>
    <n v="21"/>
    <x v="1"/>
    <s v="Alcibiades G. Quintas"/>
    <s v="Alho Poró "/>
    <s v="kg"/>
    <n v="1"/>
    <n v="8"/>
    <n v="8"/>
  </r>
  <r>
    <s v="Outubro"/>
    <s v="SEMANA 3"/>
    <n v="21"/>
    <x v="1"/>
    <s v="Alcibiades G. Quintas"/>
    <s v="Brócolis Americano"/>
    <s v="kg"/>
    <n v="11"/>
    <n v="7"/>
    <n v="77"/>
  </r>
  <r>
    <s v="Outubro"/>
    <s v="SEMANA 3"/>
    <n v="21"/>
    <x v="1"/>
    <s v="Alcibiades G. Quintas"/>
    <s v="Cebolinha Verde"/>
    <s v="kg"/>
    <n v="3.5999999999999976E-2"/>
    <n v="7"/>
    <n v="0.25199999999999984"/>
  </r>
  <r>
    <s v="Outubro"/>
    <s v="SEMANA 3"/>
    <n v="21"/>
    <x v="4"/>
    <s v="Alcibiades G. Quintas"/>
    <s v="Cebolinha Verde Sushi"/>
    <s v="kg"/>
    <n v="0.46400000000000002"/>
    <n v="7"/>
    <n v="3.2480000000000002"/>
  </r>
  <r>
    <s v="Outubro"/>
    <s v="SEMANA 3"/>
    <n v="21"/>
    <x v="1"/>
    <s v="Alcibiades G. Quintas"/>
    <s v="Manjericão"/>
    <s v="kg"/>
    <n v="0.3"/>
    <n v="12"/>
    <n v="3.5999999999999996"/>
  </r>
  <r>
    <s v="Outubro"/>
    <s v="SEMANA 3"/>
    <n v="21"/>
    <x v="1"/>
    <s v="Alcibiades G. Quintas"/>
    <s v="Salsa"/>
    <s v="kg"/>
    <n v="1"/>
    <n v="7"/>
    <n v="7"/>
  </r>
  <r>
    <s v="Outubro"/>
    <s v="SEMANA 3"/>
    <n v="21"/>
    <x v="1"/>
    <s v="Alcibiades G. Quintas"/>
    <s v="Broto de Feijão"/>
    <s v="kg"/>
    <n v="1"/>
    <n v="14"/>
    <n v="14"/>
  </r>
  <r>
    <s v="Outubro"/>
    <s v="SEMANA 3"/>
    <n v="21"/>
    <x v="1"/>
    <s v="Alcibiades G. Quintas"/>
    <s v="Tofu Kilo"/>
    <s v="kg"/>
    <n v="1"/>
    <n v="14"/>
    <n v="14"/>
  </r>
  <r>
    <s v="Outubro"/>
    <s v="SEMANA 3"/>
    <n v="21"/>
    <x v="1"/>
    <s v="Alcibiades G. Quintas"/>
    <s v="Capim Limão"/>
    <s v="kg"/>
    <n v="0.1"/>
    <n v="15"/>
    <n v="1.5"/>
  </r>
  <r>
    <s v="Outubro"/>
    <s v="SEMANA 3"/>
    <n v="21"/>
    <x v="4"/>
    <s v="Alcibiades G. Quintas"/>
    <s v="Abacate Sushi"/>
    <s v="kg"/>
    <n v="2"/>
    <n v="6.8"/>
    <n v="13.6"/>
  </r>
  <r>
    <s v="Outubro"/>
    <s v="SEMANA 3"/>
    <n v="21"/>
    <x v="1"/>
    <s v="Alcibiades G. Quintas"/>
    <s v="Abacaxi "/>
    <s v="kg"/>
    <n v="20"/>
    <n v="2.4"/>
    <n v="48"/>
  </r>
  <r>
    <s v="Outubro"/>
    <s v="SEMANA 3"/>
    <n v="21"/>
    <x v="1"/>
    <s v="Alcibiades G. Quintas"/>
    <s v="Maracujá"/>
    <s v="kg"/>
    <n v="1"/>
    <n v="7.8"/>
    <n v="7.8"/>
  </r>
  <r>
    <s v="Outubro"/>
    <s v="SEMANA 3"/>
    <n v="21"/>
    <x v="0"/>
    <s v="Top Alto"/>
    <s v="Feijão Fradinho"/>
    <s v="kg"/>
    <n v="5"/>
    <n v="5.0979999999999999"/>
    <n v="25.49"/>
  </r>
  <r>
    <s v="Outubro"/>
    <s v="SEMANA 3"/>
    <n v="21"/>
    <x v="3"/>
    <s v="Top Alto"/>
    <s v="Carne Bovina - Maminha"/>
    <s v="kg"/>
    <n v="25.03"/>
    <n v="19.850000000000001"/>
    <n v="496.84550000000007"/>
  </r>
  <r>
    <s v="Outubro"/>
    <s v="SEMANA 3"/>
    <n v="21"/>
    <x v="0"/>
    <s v="Top Alto"/>
    <s v="Óleo Composto 500ml"/>
    <s v="unid"/>
    <n v="24"/>
    <n v="3.25"/>
    <n v="78"/>
  </r>
  <r>
    <s v="Outubro"/>
    <s v="SEMANA 3"/>
    <n v="21"/>
    <x v="3"/>
    <s v="Top Alto"/>
    <s v="Carne Bovina - Picanha Grill/Churrascaria"/>
    <s v="kg"/>
    <n v="13.53"/>
    <n v="38.979999999999997"/>
    <n v="527.3993999999999"/>
  </r>
  <r>
    <s v="Outubro"/>
    <s v="SEMANA 3"/>
    <n v="21"/>
    <x v="4"/>
    <s v="DM Com. Pescados"/>
    <s v="Pescados - Atum Fresco Sushi"/>
    <s v="kg"/>
    <n v="20"/>
    <n v="14.9"/>
    <n v="298"/>
  </r>
  <r>
    <s v="Outubro"/>
    <s v="SEMANA 4"/>
    <n v="22"/>
    <x v="0"/>
    <s v="Planeta Gelo"/>
    <s v="Gelo em Escamas"/>
    <s v="saco"/>
    <n v="2"/>
    <n v="7.5"/>
    <n v="15"/>
  </r>
  <r>
    <s v="Outubro"/>
    <s v="SEMANA 4"/>
    <n v="22"/>
    <x v="0"/>
    <s v="Planeta Gelo"/>
    <s v="Gelo em Cubo"/>
    <s v="saco"/>
    <n v="4"/>
    <n v="7.5"/>
    <n v="30"/>
  </r>
  <r>
    <s v="Outubro"/>
    <s v="SEMANA 4"/>
    <n v="23"/>
    <x v="3"/>
    <s v="Aurora"/>
    <s v="Suíno - Bacon Fatiado"/>
    <s v="kg"/>
    <n v="5"/>
    <n v="27.14"/>
    <n v="135.69999999999999"/>
  </r>
  <r>
    <s v="Outubro"/>
    <s v="SEMANA 4"/>
    <n v="23"/>
    <x v="1"/>
    <s v="Sitio do Moinho"/>
    <s v="Alface Americana Orgânica"/>
    <s v="kg"/>
    <n v="6.84"/>
    <n v="8.4795321637426895"/>
    <n v="57.999999999999993"/>
  </r>
  <r>
    <s v="Outubro"/>
    <s v="SEMANA 4"/>
    <n v="23"/>
    <x v="1"/>
    <s v="Sitio do Moinho"/>
    <s v="Alface crespa Orgânica"/>
    <s v="kg"/>
    <n v="1.1399999999999999"/>
    <n v="15.350877192982457"/>
    <n v="17.5"/>
  </r>
  <r>
    <s v="Outubro"/>
    <s v="SEMANA 4"/>
    <n v="23"/>
    <x v="1"/>
    <s v="Sitio do Moinho"/>
    <s v="Alface Roxa Orgânica"/>
    <s v="kg"/>
    <n v="1.08"/>
    <n v="11.574074074074073"/>
    <n v="12.5"/>
  </r>
  <r>
    <s v="Outubro"/>
    <s v="SEMANA 4"/>
    <n v="23"/>
    <x v="1"/>
    <s v="Sitio do Moinho"/>
    <s v="Beterraba Orgânica"/>
    <s v="kg"/>
    <n v="4.05"/>
    <n v="7.7"/>
    <n v="31.184999999999999"/>
  </r>
  <r>
    <s v="Outubro"/>
    <s v="SEMANA 4"/>
    <n v="23"/>
    <x v="1"/>
    <s v="Sitio do Moinho"/>
    <s v="Cenoura Orgânica"/>
    <s v="kg"/>
    <n v="4.07"/>
    <n v="7.75"/>
    <n v="31.542500000000004"/>
  </r>
  <r>
    <s v="Outubro"/>
    <s v="SEMANA 4"/>
    <n v="23"/>
    <x v="1"/>
    <s v="Sitio do Moinho"/>
    <s v="Rúcula Orgânica"/>
    <s v="kg"/>
    <n v="3.75"/>
    <n v="21.333333333333332"/>
    <n v="80"/>
  </r>
  <r>
    <s v="Outubro"/>
    <s v="SEMANA 4"/>
    <n v="23"/>
    <x v="3"/>
    <s v="Pescarimarcar"/>
    <s v="Pescados - Filé Linguado Cong. M"/>
    <s v="kg"/>
    <n v="10"/>
    <n v="29"/>
    <n v="290"/>
  </r>
  <r>
    <s v="Outubro"/>
    <s v="SEMANA 4"/>
    <n v="23"/>
    <x v="0"/>
    <s v="Nova Geração (Casa Pedro)"/>
    <s v="Girassol s/ Casca"/>
    <s v="kg"/>
    <n v="2.008"/>
    <n v="16.738"/>
    <n v="33.609904"/>
  </r>
  <r>
    <s v="Outubro"/>
    <s v="SEMANA 4"/>
    <n v="23"/>
    <x v="0"/>
    <s v="Nova Geração (Casa Pedro)"/>
    <s v="Abacaxi Cristalizado"/>
    <s v="kg"/>
    <n v="0.318"/>
    <n v="32.924500000000002"/>
    <n v="10.469991"/>
  </r>
  <r>
    <s v="Outubro"/>
    <s v="SEMANA 4"/>
    <n v="23"/>
    <x v="0"/>
    <s v="Nova Geração (Casa Pedro)"/>
    <s v="Kiwi Desidratado"/>
    <s v="kg"/>
    <n v="0.3"/>
    <n v="44.9"/>
    <n v="13.469999999999999"/>
  </r>
  <r>
    <s v="Outubro"/>
    <s v="SEMANA 4"/>
    <n v="23"/>
    <x v="0"/>
    <s v="Nova Geração (Casa Pedro)"/>
    <s v="Maçã Desidratada"/>
    <s v="kg"/>
    <n v="0.30399999999999999"/>
    <n v="48.947400000000002"/>
    <n v="14.880009600000001"/>
  </r>
  <r>
    <s v="Outubro"/>
    <s v="SEMANA 4"/>
    <n v="23"/>
    <x v="0"/>
    <s v="Nova Geração (Casa Pedro)"/>
    <s v="Pera Seca"/>
    <s v="kg"/>
    <n v="0.318"/>
    <n v="53.018900000000002"/>
    <n v="16.860010200000001"/>
  </r>
  <r>
    <s v="Outubro"/>
    <s v="SEMANA 4"/>
    <n v="23"/>
    <x v="0"/>
    <s v="Nova Geração (Casa Pedro)"/>
    <s v="Arroz Integral Curto"/>
    <s v="kg"/>
    <n v="15.086"/>
    <n v="8.4197000000000006"/>
    <n v="127.01959420000001"/>
  </r>
  <r>
    <s v="Outubro"/>
    <s v="SEMANA 4"/>
    <n v="23"/>
    <x v="0"/>
    <s v="Planeta Gelo"/>
    <s v="Gelo em Cubo"/>
    <s v="saco"/>
    <n v="3"/>
    <n v="7.5"/>
    <n v="22.5"/>
  </r>
  <r>
    <s v="Outubro"/>
    <s v="SEMANA 4"/>
    <n v="23"/>
    <x v="0"/>
    <s v="Laticinios Alhambra"/>
    <s v="Creme de Leite Culinário 20% Bd 10 Lt"/>
    <s v="bd"/>
    <n v="2"/>
    <n v="142.44999999999999"/>
    <n v="284.89999999999998"/>
  </r>
  <r>
    <s v="Outubro"/>
    <s v="SEMANA 4"/>
    <n v="23"/>
    <x v="0"/>
    <s v="Laticinios Alhambra"/>
    <s v="Queijo Mascarpone Ecila Bd 3,6 Kg"/>
    <s v="bd"/>
    <n v="1"/>
    <n v="84.8"/>
    <n v="84.8"/>
  </r>
  <r>
    <s v="Outubro"/>
    <s v="SEMANA 4"/>
    <n v="23"/>
    <x v="0"/>
    <s v="Laticinios Alhambra"/>
    <s v="Queijo Mussarela"/>
    <s v="kg"/>
    <n v="3.96"/>
    <n v="26"/>
    <n v="102.96"/>
  </r>
  <r>
    <s v="Outubro"/>
    <s v="SEMANA 4"/>
    <n v="23"/>
    <x v="0"/>
    <s v="Laticinios Alhambra"/>
    <s v="Queijo Requeijão BD 3,6 Kg"/>
    <s v="kg"/>
    <n v="1"/>
    <n v="74.400000000000006"/>
    <n v="74.400000000000006"/>
  </r>
  <r>
    <s v="Outubro"/>
    <s v="SEMANA 4"/>
    <n v="23"/>
    <x v="0"/>
    <s v="Laticinios Alhambra"/>
    <s v="Tomate Seco Conserva Bd 3 Kg"/>
    <s v="bd"/>
    <n v="1"/>
    <n v="78.099999999999994"/>
    <n v="78.099999999999994"/>
  </r>
  <r>
    <s v="Outubro"/>
    <s v="SEMANA 4"/>
    <n v="23"/>
    <x v="3"/>
    <s v="Nutry Max"/>
    <s v="Aves - Sobrecoxa"/>
    <s v="kg"/>
    <n v="18"/>
    <n v="5.29"/>
    <n v="95.22"/>
  </r>
  <r>
    <s v="Outubro"/>
    <s v="SEMANA 4"/>
    <n v="23"/>
    <x v="3"/>
    <s v="Nutry Max"/>
    <s v="Aves - Coração de Frango"/>
    <s v="kg"/>
    <n v="18"/>
    <n v="11.39"/>
    <n v="205.02"/>
  </r>
  <r>
    <s v="Outubro"/>
    <s v="SEMANA 4"/>
    <n v="23"/>
    <x v="3"/>
    <s v="Nutry Max"/>
    <s v="Carne Bovina - Coração Alcatra"/>
    <s v="kg"/>
    <n v="22.94"/>
    <n v="20.29"/>
    <n v="465.45260000000002"/>
  </r>
  <r>
    <s v="Outubro"/>
    <s v="SEMANA 4"/>
    <n v="23"/>
    <x v="3"/>
    <s v="Nutry Max"/>
    <s v="Carne Bovina - Carne Seca"/>
    <s v="kg"/>
    <n v="30"/>
    <n v="16.059999999999999"/>
    <n v="481.79999999999995"/>
  </r>
  <r>
    <s v="Outubro"/>
    <s v="SEMANA 4"/>
    <n v="23"/>
    <x v="3"/>
    <s v="Reginaves"/>
    <s v="Aves - Filé de Peito de Frango"/>
    <s v="kg"/>
    <n v="48"/>
    <n v="7.8"/>
    <n v="374.4"/>
  </r>
  <r>
    <s v="Outubro"/>
    <s v="SEMANA 4"/>
    <n v="23"/>
    <x v="3"/>
    <s v="Reginaves"/>
    <s v="Aves - Filé de Coxa"/>
    <s v="kg"/>
    <n v="16.799999999999997"/>
    <n v="8.6999999999999993"/>
    <n v="146.15999999999997"/>
  </r>
  <r>
    <s v="Outubro"/>
    <s v="SEMANA 4"/>
    <n v="23"/>
    <x v="9"/>
    <s v="Ecolab"/>
    <s v="AFVT - Antimicrobial Bb 10,4 KG "/>
    <s v="bb"/>
    <n v="1"/>
    <n v="789.87"/>
    <n v="789.87"/>
  </r>
  <r>
    <s v="Outubro"/>
    <s v="SEMANA 4"/>
    <n v="23"/>
    <x v="9"/>
    <s v="Ecolab"/>
    <s v="Zix 40"/>
    <s v="bb"/>
    <n v="1"/>
    <n v="147"/>
    <n v="147"/>
  </r>
  <r>
    <s v="Outubro"/>
    <s v="SEMANA 4"/>
    <n v="23"/>
    <x v="1"/>
    <s v="Cheiro Verde"/>
    <s v="Pera"/>
    <s v="kg"/>
    <n v="2"/>
    <n v="7.66"/>
    <n v="15.32"/>
  </r>
  <r>
    <s v="Outubro"/>
    <s v="SEMANA 4"/>
    <n v="23"/>
    <x v="1"/>
    <s v="Cheiro Verde"/>
    <s v="Batata Doce"/>
    <s v="kg"/>
    <n v="15.34"/>
    <n v="1.8741851368970013"/>
    <n v="28.75"/>
  </r>
  <r>
    <s v="Outubro"/>
    <s v="SEMANA 4"/>
    <n v="23"/>
    <x v="1"/>
    <s v="Cheiro Verde"/>
    <s v="Coentro"/>
    <s v="kg"/>
    <n v="0.5"/>
    <n v="11.25"/>
    <n v="5.625"/>
  </r>
  <r>
    <s v="Outubro"/>
    <s v="SEMANA 4"/>
    <n v="23"/>
    <x v="1"/>
    <s v="Cheiro Verde"/>
    <s v="Melão de Rede "/>
    <s v="kg"/>
    <n v="1.86"/>
    <n v="5"/>
    <n v="9.3000000000000007"/>
  </r>
  <r>
    <s v="Outubro"/>
    <s v="SEMANA 4"/>
    <n v="23"/>
    <x v="1"/>
    <s v="Cheiro Verde"/>
    <s v="Vagem Macarrão"/>
    <s v="kg"/>
    <n v="2.5"/>
    <n v="5.63"/>
    <n v="14.074999999999999"/>
  </r>
  <r>
    <s v="Outubro"/>
    <s v="SEMANA 4"/>
    <n v="23"/>
    <x v="1"/>
    <s v="Cheiro Verde"/>
    <s v="Inhame"/>
    <s v="kg"/>
    <n v="6"/>
    <n v="1.74"/>
    <n v="10.44"/>
  </r>
  <r>
    <s v="Outubro"/>
    <s v="SEMANA 4"/>
    <n v="23"/>
    <x v="1"/>
    <s v="Alcibiades G. Quintas"/>
    <s v="Pimentão Amarelo"/>
    <s v="kg"/>
    <n v="1"/>
    <n v="15"/>
    <n v="15"/>
  </r>
  <r>
    <s v="Outubro"/>
    <s v="SEMANA 4"/>
    <n v="23"/>
    <x v="1"/>
    <s v="Alcibiades G. Quintas"/>
    <s v="Pimentão Vermelho"/>
    <s v="kg"/>
    <n v="2"/>
    <n v="15"/>
    <n v="30"/>
  </r>
  <r>
    <s v="Outubro"/>
    <s v="SEMANA 4"/>
    <n v="23"/>
    <x v="1"/>
    <s v="Alcibiades G. Quintas"/>
    <s v="Tomate Salada"/>
    <s v="kg"/>
    <n v="22.18"/>
    <n v="2.254283137962128"/>
    <n v="50"/>
  </r>
  <r>
    <s v="Outubro"/>
    <s v="SEMANA 4"/>
    <n v="23"/>
    <x v="1"/>
    <s v="Alcibiades G. Quintas"/>
    <s v="Cebolinha Verde"/>
    <s v="kg"/>
    <n v="1"/>
    <n v="7"/>
    <n v="7"/>
  </r>
  <r>
    <s v="Outubro"/>
    <s v="SEMANA 4"/>
    <n v="23"/>
    <x v="1"/>
    <s v="Alcibiades G. Quintas"/>
    <s v="Salsa"/>
    <s v="kg"/>
    <n v="1.5"/>
    <n v="7"/>
    <n v="10.5"/>
  </r>
  <r>
    <s v="Outubro"/>
    <s v="SEMANA 4"/>
    <n v="23"/>
    <x v="1"/>
    <s v="Alcibiades G. Quintas"/>
    <s v="Abacate "/>
    <s v="kg"/>
    <n v="9"/>
    <n v="8"/>
    <n v="72"/>
  </r>
  <r>
    <s v="Outubro"/>
    <s v="SEMANA 4"/>
    <n v="23"/>
    <x v="1"/>
    <s v="Alcibiades G. Quintas"/>
    <s v="Banana D'Água"/>
    <s v="kg"/>
    <n v="6"/>
    <n v="3.4"/>
    <n v="20.399999999999999"/>
  </r>
  <r>
    <s v="Outubro"/>
    <s v="SEMANA 4"/>
    <n v="23"/>
    <x v="1"/>
    <s v="Alcibiades G. Quintas"/>
    <s v="Mamão Bahia"/>
    <s v="kg"/>
    <n v="2.2000000000000002"/>
    <n v="3.4"/>
    <n v="7.48"/>
  </r>
  <r>
    <s v="Outubro"/>
    <s v="SEMANA 4"/>
    <n v="23"/>
    <x v="1"/>
    <s v="Alcibiades G. Quintas"/>
    <s v="Mamão Papaya"/>
    <s v="kg"/>
    <n v="3.5"/>
    <n v="4"/>
    <n v="14"/>
  </r>
  <r>
    <s v="Outubro"/>
    <s v="SEMANA 4"/>
    <n v="23"/>
    <x v="1"/>
    <s v="Alcibiades G. Quintas"/>
    <s v="Endivia"/>
    <s v="kg"/>
    <n v="2.5"/>
    <n v="20"/>
    <n v="50"/>
  </r>
  <r>
    <s v="Outubro"/>
    <s v="SEMANA 4"/>
    <n v="23"/>
    <x v="1"/>
    <s v="Umehara"/>
    <s v="Melância"/>
    <s v="kg"/>
    <n v="10"/>
    <n v="1.32"/>
    <n v="13.200000000000001"/>
  </r>
  <r>
    <s v="Outubro"/>
    <s v="SEMANA 4"/>
    <n v="23"/>
    <x v="1"/>
    <s v="Umehara"/>
    <s v="Cebola"/>
    <s v="kg"/>
    <n v="19.899999999999999"/>
    <n v="1.4974874371859297"/>
    <n v="29.799999999999997"/>
  </r>
  <r>
    <s v="Outubro"/>
    <s v="SEMANA 4"/>
    <n v="23"/>
    <x v="1"/>
    <s v="Umehara"/>
    <s v="Côco Verde"/>
    <s v="unid"/>
    <n v="15"/>
    <n v="1.98"/>
    <n v="29.7"/>
  </r>
  <r>
    <s v="Outubro"/>
    <s v="SEMANA 4"/>
    <n v="23"/>
    <x v="1"/>
    <s v="Umehara"/>
    <s v="Chicória"/>
    <s v="kg"/>
    <n v="8"/>
    <n v="3.5"/>
    <n v="28"/>
  </r>
  <r>
    <s v="Outubro"/>
    <s v="SEMANA 4"/>
    <n v="23"/>
    <x v="1"/>
    <s v="Umehara"/>
    <s v="Goiaba"/>
    <s v="kg"/>
    <m/>
    <m/>
    <n v="0"/>
  </r>
  <r>
    <s v="Outubro"/>
    <s v="SEMANA 4"/>
    <n v="23"/>
    <x v="1"/>
    <s v="Umehara"/>
    <s v="Hortelã"/>
    <s v="kg"/>
    <n v="1"/>
    <n v="4.5"/>
    <n v="4.5"/>
  </r>
  <r>
    <s v="Outubro"/>
    <s v="SEMANA 4"/>
    <n v="23"/>
    <x v="1"/>
    <s v="Umehara"/>
    <s v="Laranja Pera"/>
    <s v="kg"/>
    <n v="41.7"/>
    <n v="1.3429256594724219"/>
    <n v="56"/>
  </r>
  <r>
    <s v="Outubro"/>
    <s v="SEMANA 4"/>
    <n v="23"/>
    <x v="1"/>
    <s v="Umehara"/>
    <s v="Manga Palmer"/>
    <s v="kg"/>
    <n v="5.9"/>
    <n v="4.0677966101694913"/>
    <n v="24"/>
  </r>
  <r>
    <s v="Outubro"/>
    <s v="SEMANA 4"/>
    <n v="23"/>
    <x v="1"/>
    <s v="Umehara"/>
    <s v="Ovos Extra"/>
    <s v="unid"/>
    <n v="360"/>
    <n v="0.27500000000000002"/>
    <n v="99.000000000000014"/>
  </r>
  <r>
    <s v="Outubro"/>
    <s v="SEMANA 4"/>
    <n v="23"/>
    <x v="1"/>
    <s v="Umehara"/>
    <s v="Repolho"/>
    <s v="kg"/>
    <n v="2"/>
    <n v="1.21"/>
    <n v="2.42"/>
  </r>
  <r>
    <s v="Outubro"/>
    <s v="SEMANA 4"/>
    <n v="23"/>
    <x v="1"/>
    <s v="Umehara"/>
    <s v="Repolho Roxo"/>
    <s v="kg"/>
    <n v="1"/>
    <n v="2.2000000000000002"/>
    <n v="2.2000000000000002"/>
  </r>
  <r>
    <s v="Outubro"/>
    <s v="SEMANA 4"/>
    <n v="23"/>
    <x v="1"/>
    <s v="Umehara"/>
    <s v="Couve Manteiga"/>
    <s v="kg"/>
    <n v="2"/>
    <n v="3"/>
    <n v="6"/>
  </r>
  <r>
    <s v="Outubro"/>
    <s v="SEMANA 4"/>
    <n v="22"/>
    <x v="1"/>
    <s v="Super Mercado Zonasul"/>
    <s v="Cebolinha Verde"/>
    <s v="kg"/>
    <n v="0.78"/>
    <n v="10.205128205128204"/>
    <n v="7.96"/>
  </r>
  <r>
    <s v="Outubro"/>
    <s v="SEMANA 4"/>
    <n v="23"/>
    <x v="2"/>
    <s v="Melhoramentos"/>
    <s v="Guardanapo Pequeno"/>
    <s v="unid"/>
    <n v="192"/>
    <n v="1.7765625"/>
    <n v="341.1"/>
  </r>
  <r>
    <s v="Outubro"/>
    <s v="SEMANA 4"/>
    <n v="23"/>
    <x v="2"/>
    <s v="Melhoramentos"/>
    <s v="Papel Higiênico (P.H. Interf.) Cx 60"/>
    <s v="unid"/>
    <n v="60"/>
    <n v="2.2363333333333335"/>
    <n v="134.18"/>
  </r>
  <r>
    <s v="Outubro"/>
    <s v="SEMANA 4"/>
    <n v="23"/>
    <x v="2"/>
    <s v="Melhoramentos"/>
    <s v="T.P. Interfolhado Melpaper"/>
    <s v="unid"/>
    <n v="15"/>
    <n v="11.204666666666666"/>
    <n v="168.07"/>
  </r>
  <r>
    <s v="Outubro"/>
    <s v="SEMANA 4"/>
    <n v="23"/>
    <x v="9"/>
    <s v="Ecolab"/>
    <s v="Oásis enforce (limpador clorado) Bb5lt"/>
    <s v="bb"/>
    <n v="1"/>
    <n v="350.25"/>
    <n v="350.25"/>
  </r>
  <r>
    <s v="Outubro"/>
    <s v="SEMANA 4"/>
    <n v="23"/>
    <x v="9"/>
    <s v="Ecolab"/>
    <s v="Vercom Detergente Bb 5 Lt"/>
    <s v="bb"/>
    <n v="2"/>
    <n v="122.49"/>
    <n v="244.98"/>
  </r>
  <r>
    <s v="Outubro"/>
    <s v="SEMANA 4"/>
    <n v="23"/>
    <x v="9"/>
    <s v="Ecolab"/>
    <s v="Silver Power Talher"/>
    <s v="bb"/>
    <n v="2"/>
    <n v="426.85"/>
    <n v="853.7"/>
  </r>
  <r>
    <s v="Outubro"/>
    <s v="SEMANA 4"/>
    <n v="23"/>
    <x v="1"/>
    <s v="Feira"/>
    <s v="Aipim"/>
    <s v="kg"/>
    <n v="20"/>
    <n v="5"/>
    <n v="100"/>
  </r>
  <r>
    <s v="Outubro"/>
    <s v="SEMANA 4"/>
    <n v="23"/>
    <x v="0"/>
    <s v="Feira"/>
    <s v="Massa de Pastel"/>
    <s v="kg"/>
    <n v="28.5"/>
    <n v="7.3684210526315788"/>
    <n v="210"/>
  </r>
  <r>
    <s v="Outubro"/>
    <s v="SEMANA 4"/>
    <n v="23"/>
    <x v="1"/>
    <s v="Feira"/>
    <s v="Brócolis Americano"/>
    <s v="kg"/>
    <n v="4"/>
    <n v="3"/>
    <n v="12"/>
  </r>
  <r>
    <s v="Outubro"/>
    <s v="SEMANA 4"/>
    <n v="24"/>
    <x v="0"/>
    <s v="Planeta Gelo"/>
    <s v="Gelo em Escamas"/>
    <s v="saco"/>
    <n v="2"/>
    <n v="7.5"/>
    <n v="15"/>
  </r>
  <r>
    <s v="Outubro"/>
    <s v="SEMANA 4"/>
    <n v="24"/>
    <x v="0"/>
    <s v="Planeta Gelo"/>
    <s v="Gelo em Cubo"/>
    <s v="saco"/>
    <n v="1"/>
    <n v="7.5"/>
    <n v="7.5"/>
  </r>
  <r>
    <s v="Outubro"/>
    <s v="SEMANA 4"/>
    <n v="24"/>
    <x v="3"/>
    <s v="Mar e Terra"/>
    <s v="Pescados - Filé Tilápia Cong."/>
    <s v="kg"/>
    <n v="40"/>
    <n v="26.3"/>
    <n v="1052"/>
  </r>
  <r>
    <s v="Outubro"/>
    <s v="SEMANA 4"/>
    <n v="24"/>
    <x v="2"/>
    <s v="FNS"/>
    <s v="Bandeja 3 Div. Delivery Cx 150"/>
    <s v="unid"/>
    <n v="450"/>
    <n v="2.1575777777777776"/>
    <n v="970.91"/>
  </r>
  <r>
    <s v="Outubro"/>
    <s v="SEMANA 4"/>
    <n v="24"/>
    <x v="3"/>
    <s v="Pescarimarcar"/>
    <s v="Pescados - Filé Linguado Cong. G"/>
    <s v="kg"/>
    <n v="30"/>
    <n v="38"/>
    <n v="1140"/>
  </r>
  <r>
    <s v="Outubro"/>
    <s v="SEMANA 4"/>
    <n v="24"/>
    <x v="3"/>
    <s v="Top Alto"/>
    <s v="Suíno - Linguiça Fina Defumada"/>
    <s v="kg"/>
    <n v="7.5"/>
    <n v="10.65"/>
    <n v="79.875"/>
  </r>
  <r>
    <s v="Outubro"/>
    <s v="SEMANA 4"/>
    <n v="24"/>
    <x v="3"/>
    <s v="Top Alto"/>
    <s v="Suíno - Linguiça Paio"/>
    <s v="kg"/>
    <n v="5"/>
    <n v="12.14"/>
    <n v="60.7"/>
  </r>
  <r>
    <s v="Outubro"/>
    <s v="SEMANA 4"/>
    <n v="24"/>
    <x v="3"/>
    <s v="Top Alto"/>
    <s v="Suíno - Lombo Salgado"/>
    <s v="kg"/>
    <n v="10"/>
    <n v="10.97"/>
    <n v="109.7"/>
  </r>
  <r>
    <s v="Outubro"/>
    <s v="SEMANA 4"/>
    <n v="24"/>
    <x v="3"/>
    <s v="Top Alto"/>
    <s v="Suíno - Pernil s/ Osso"/>
    <s v="kg"/>
    <n v="21.89"/>
    <n v="8.77"/>
    <n v="191.9753"/>
  </r>
  <r>
    <s v="Outubro"/>
    <s v="SEMANA 4"/>
    <n v="24"/>
    <x v="3"/>
    <s v="Frigorifico Jahu"/>
    <s v="Pescados - Salmão Inteiro"/>
    <s v="kg"/>
    <n v="33.74"/>
    <n v="25.900099999999998"/>
    <n v="873.86937399999999"/>
  </r>
  <r>
    <s v="Outubro"/>
    <s v="SEMANA 4"/>
    <n v="24"/>
    <x v="3"/>
    <s v="Frigorifico Jahu"/>
    <s v="Pescados - Camarão IQF Evisc. 51/60"/>
    <s v="kg"/>
    <n v="6"/>
    <n v="66.5"/>
    <n v="399"/>
  </r>
  <r>
    <s v="Outubro"/>
    <s v="SEMANA 4"/>
    <n v="24"/>
    <x v="3"/>
    <s v="Barrinhas"/>
    <s v="Pescados - Bacalhau Salgado"/>
    <s v="kg"/>
    <n v="25"/>
    <n v="43.921599999999998"/>
    <n v="1098.04"/>
  </r>
  <r>
    <s v="Outubro"/>
    <s v="SEMANA 4"/>
    <n v="24"/>
    <x v="5"/>
    <s v="Atelier dos Sabores"/>
    <s v="Torta Alemã"/>
    <s v="fatia"/>
    <n v="24"/>
    <n v="5.5716666666666663"/>
    <n v="133.72"/>
  </r>
  <r>
    <s v="Outubro"/>
    <s v="SEMANA 4"/>
    <n v="24"/>
    <x v="5"/>
    <s v="Atelier dos Sabores"/>
    <s v="Torta Bem Casado de Damasco"/>
    <s v="fatia"/>
    <n v="12"/>
    <n v="5.7491666666666665"/>
    <n v="68.989999999999995"/>
  </r>
  <r>
    <s v="Outubro"/>
    <s v="SEMANA 4"/>
    <n v="24"/>
    <x v="5"/>
    <s v="Atelier dos Sabores"/>
    <s v="Torta de Brigadeiro c/ Raspas"/>
    <s v="fatia"/>
    <n v="12"/>
    <n v="5.5716666666666663"/>
    <n v="66.86"/>
  </r>
  <r>
    <s v="Outubro"/>
    <s v="SEMANA 4"/>
    <n v="24"/>
    <x v="5"/>
    <s v="Atelier dos Sabores"/>
    <s v="Quindão com Damasco"/>
    <s v="fatia"/>
    <n v="12"/>
    <n v="5.5716666666666663"/>
    <n v="66.86"/>
  </r>
  <r>
    <s v="Outubro"/>
    <s v="SEMANA 4"/>
    <n v="24"/>
    <x v="5"/>
    <s v="Atelier dos Sabores"/>
    <s v="Torta Bem Casado de Chocolate c/ Avelã"/>
    <s v="fatia"/>
    <n v="12"/>
    <n v="5.7491666666666665"/>
    <n v="68.989999999999995"/>
  </r>
  <r>
    <s v="Outubro"/>
    <s v="SEMANA 4"/>
    <n v="24"/>
    <x v="5"/>
    <s v="Atelier dos Sabores"/>
    <s v="Torta Financier com Quindim"/>
    <s v="fatia"/>
    <n v="12"/>
    <n v="5.9258333333333333"/>
    <n v="71.11"/>
  </r>
  <r>
    <s v="Outubro"/>
    <s v="SEMANA 4"/>
    <n v="24"/>
    <x v="1"/>
    <s v="Alcibiades G. Quintas"/>
    <s v="Pepino Japonês"/>
    <s v="kg"/>
    <n v="14.612"/>
    <n v="3.4034653465346536"/>
    <n v="49.73143564356436"/>
  </r>
  <r>
    <s v="Outubro"/>
    <s v="SEMANA 4"/>
    <n v="24"/>
    <x v="1"/>
    <s v="Alcibiades G. Quintas"/>
    <s v="Quiabo"/>
    <s v="kg"/>
    <n v="16"/>
    <n v="6.5"/>
    <n v="104"/>
  </r>
  <r>
    <s v="Outubro"/>
    <s v="SEMANA 4"/>
    <n v="24"/>
    <x v="1"/>
    <s v="Alcibiades G. Quintas"/>
    <s v="Aipo"/>
    <s v="kg"/>
    <n v="1.8"/>
    <n v="4"/>
    <n v="7.2"/>
  </r>
  <r>
    <s v="Outubro"/>
    <s v="SEMANA 4"/>
    <n v="24"/>
    <x v="1"/>
    <s v="Alcibiades G. Quintas"/>
    <s v="Brócolis Americano"/>
    <s v="kg"/>
    <n v="6"/>
    <n v="7"/>
    <n v="42"/>
  </r>
  <r>
    <s v="Outubro"/>
    <s v="SEMANA 4"/>
    <n v="24"/>
    <x v="1"/>
    <s v="Alcibiades G. Quintas"/>
    <s v="Coentro"/>
    <s v="kg"/>
    <n v="0.5"/>
    <n v="14"/>
    <n v="7"/>
  </r>
  <r>
    <s v="Outubro"/>
    <s v="SEMANA 4"/>
    <n v="24"/>
    <x v="1"/>
    <s v="Alcibiades G. Quintas"/>
    <s v="Espinafre"/>
    <s v="kg"/>
    <n v="4"/>
    <n v="4.8"/>
    <n v="19.2"/>
  </r>
  <r>
    <s v="Outubro"/>
    <s v="SEMANA 4"/>
    <n v="24"/>
    <x v="1"/>
    <s v="Alcibiades G. Quintas"/>
    <s v="Salsa"/>
    <s v="kg"/>
    <n v="1"/>
    <n v="7"/>
    <n v="7"/>
  </r>
  <r>
    <s v="Outubro"/>
    <s v="SEMANA 4"/>
    <n v="24"/>
    <x v="1"/>
    <s v="Alcibiades G. Quintas"/>
    <s v="Tofu Kilo"/>
    <s v="kg"/>
    <n v="2"/>
    <n v="14"/>
    <n v="28"/>
  </r>
  <r>
    <s v="Outubro"/>
    <s v="SEMANA 4"/>
    <n v="24"/>
    <x v="1"/>
    <s v="Alcibiades G. Quintas"/>
    <s v="Abacaxi "/>
    <s v="kg"/>
    <n v="6"/>
    <n v="2.4"/>
    <n v="14.399999999999999"/>
  </r>
  <r>
    <s v="Outubro"/>
    <s v="SEMANA 4"/>
    <n v="24"/>
    <x v="1"/>
    <s v="Alcibiades G. Quintas"/>
    <s v="Kiwi"/>
    <s v="kg"/>
    <n v="1"/>
    <n v="14"/>
    <n v="14"/>
  </r>
  <r>
    <s v="Outubro"/>
    <s v="SEMANA 4"/>
    <n v="24"/>
    <x v="1"/>
    <s v="Alcibiades G. Quintas"/>
    <s v="Melão de Rede "/>
    <s v="kg"/>
    <n v="2"/>
    <n v="5.9"/>
    <n v="11.8"/>
  </r>
  <r>
    <s v="Outubro"/>
    <s v="SEMANA 4"/>
    <n v="24"/>
    <x v="1"/>
    <s v="Alcibiades G. Quintas"/>
    <s v="Abobrinha "/>
    <s v="kg"/>
    <n v="16.059999999999999"/>
    <n v="1.2453300124533002"/>
    <n v="20"/>
  </r>
  <r>
    <s v="Outubro"/>
    <s v="SEMANA 4"/>
    <n v="24"/>
    <x v="1"/>
    <s v="Umehara"/>
    <s v="Abobora"/>
    <s v="kg"/>
    <n v="10"/>
    <n v="2.13"/>
    <n v="21.299999999999997"/>
  </r>
  <r>
    <s v="Outubro"/>
    <s v="SEMANA 4"/>
    <n v="24"/>
    <x v="1"/>
    <s v="Umehara"/>
    <s v="Alecrim"/>
    <s v="kg"/>
    <n v="0.2"/>
    <n v="18.5"/>
    <n v="3.7"/>
  </r>
  <r>
    <s v="Outubro"/>
    <s v="SEMANA 4"/>
    <n v="24"/>
    <x v="1"/>
    <s v="Umehara"/>
    <s v="Batata HBT"/>
    <s v="kg"/>
    <n v="25"/>
    <n v="1.69"/>
    <n v="42.25"/>
  </r>
  <r>
    <s v="Outubro"/>
    <s v="SEMANA 4"/>
    <n v="24"/>
    <x v="1"/>
    <s v="Umehara"/>
    <s v="Cebola"/>
    <s v="kg"/>
    <n v="18.559999999999999"/>
    <n v="1.427801724137931"/>
    <n v="26.5"/>
  </r>
  <r>
    <s v="Outubro"/>
    <s v="SEMANA 4"/>
    <n v="24"/>
    <x v="0"/>
    <s v="Umehara"/>
    <s v="Côco Seco"/>
    <s v="kg"/>
    <n v="1"/>
    <n v="6.9"/>
    <n v="6.9"/>
  </r>
  <r>
    <s v="Outubro"/>
    <s v="SEMANA 4"/>
    <n v="24"/>
    <x v="1"/>
    <s v="Umehara"/>
    <s v="Couve Flor"/>
    <s v="kg"/>
    <n v="4"/>
    <n v="4.25"/>
    <n v="17"/>
  </r>
  <r>
    <s v="Outubro"/>
    <s v="SEMANA 4"/>
    <n v="24"/>
    <x v="1"/>
    <s v="Umehara"/>
    <s v="Goiaba"/>
    <s v="kg"/>
    <n v="2.5"/>
    <n v="4"/>
    <n v="10"/>
  </r>
  <r>
    <s v="Outubro"/>
    <s v="SEMANA 4"/>
    <n v="24"/>
    <x v="1"/>
    <s v="Umehara"/>
    <s v="Laranja Pera"/>
    <s v="kg"/>
    <n v="21.24"/>
    <n v="1.3182674199623352"/>
    <n v="27.999999999999996"/>
  </r>
  <r>
    <s v="Outubro"/>
    <s v="SEMANA 4"/>
    <n v="24"/>
    <x v="1"/>
    <s v="Umehara"/>
    <s v="Melância"/>
    <s v="kg"/>
    <n v="10"/>
    <n v="1.32"/>
    <n v="13.200000000000001"/>
  </r>
  <r>
    <s v="Outubro"/>
    <s v="SEMANA 4"/>
    <n v="24"/>
    <x v="1"/>
    <s v="Umehara"/>
    <s v="Repolho"/>
    <s v="kg"/>
    <n v="2.5"/>
    <n v="1.2"/>
    <n v="3"/>
  </r>
  <r>
    <s v="Outubro"/>
    <s v="SEMANA 4"/>
    <n v="24"/>
    <x v="1"/>
    <s v="Umehara"/>
    <s v="Tomate Salada"/>
    <s v="kg"/>
    <n v="20.38"/>
    <n v="1.7909715407262023"/>
    <n v="36.5"/>
  </r>
  <r>
    <s v="Outubro"/>
    <s v="SEMANA 4"/>
    <n v="24"/>
    <x v="1"/>
    <s v="Umehara"/>
    <s v="Vagem Macarrão"/>
    <s v="kg"/>
    <n v="2"/>
    <n v="4.4000000000000004"/>
    <n v="8.8000000000000007"/>
  </r>
  <r>
    <s v="Outubro"/>
    <s v="SEMANA 4"/>
    <n v="24"/>
    <x v="0"/>
    <s v="Mamy"/>
    <s v="Farinha Panco"/>
    <s v="kg"/>
    <n v="5"/>
    <n v="17.7"/>
    <n v="88.5"/>
  </r>
  <r>
    <s v="Outubro"/>
    <s v="SEMANA 4"/>
    <n v="24"/>
    <x v="0"/>
    <s v="Mamy"/>
    <s v="Gergelim Branco"/>
    <s v="kg"/>
    <n v="2"/>
    <n v="16.850000000000001"/>
    <n v="33.700000000000003"/>
  </r>
  <r>
    <s v="Outubro"/>
    <s v="SEMANA 4"/>
    <n v="24"/>
    <x v="0"/>
    <s v="Mamy"/>
    <s v="Gergelim Preto"/>
    <s v="kg"/>
    <n v="1"/>
    <n v="30.59"/>
    <n v="30.59"/>
  </r>
  <r>
    <s v="Outubro"/>
    <s v="SEMANA 4"/>
    <n v="24"/>
    <x v="0"/>
    <s v="Mamy"/>
    <s v="Macarrão de Feijão (Harusame) 200g"/>
    <s v="pcte"/>
    <n v="3"/>
    <n v="8.48"/>
    <n v="25.44"/>
  </r>
  <r>
    <s v="Outubro"/>
    <s v="SEMANA 4"/>
    <n v="24"/>
    <x v="0"/>
    <s v="Mamy"/>
    <s v="Massa de Harumaki"/>
    <s v="folha"/>
    <n v="144"/>
    <n v="0.57583333333333331"/>
    <n v="82.92"/>
  </r>
  <r>
    <s v="Outubro"/>
    <s v="SEMANA 4"/>
    <n v="24"/>
    <x v="0"/>
    <s v="Mamy"/>
    <s v="Molho Ostra"/>
    <s v="unid"/>
    <n v="1"/>
    <n v="13.5"/>
    <n v="13.5"/>
  </r>
  <r>
    <s v="Outubro"/>
    <s v="SEMANA 4"/>
    <n v="24"/>
    <x v="5"/>
    <s v="Artesanal Produtos"/>
    <s v="Torta de Maça Integral"/>
    <s v="fatia"/>
    <n v="20"/>
    <n v="4.9000000000000004"/>
    <n v="98"/>
  </r>
  <r>
    <s v="Outubro"/>
    <s v="SEMANA 4"/>
    <n v="24"/>
    <x v="0"/>
    <s v="Mercadinho Bambina"/>
    <s v="Pão de Forma"/>
    <s v="pcte"/>
    <n v="3"/>
    <n v="3.8766666666666669"/>
    <n v="11.63"/>
  </r>
  <r>
    <s v="Outubro"/>
    <s v="SEMANA 4"/>
    <n v="24"/>
    <x v="0"/>
    <s v="Mercadinho Bambina"/>
    <s v="Suco de Maracujá"/>
    <s v="unid"/>
    <n v="1"/>
    <n v="8.75"/>
    <n v="8.75"/>
  </r>
  <r>
    <s v="Outubro"/>
    <s v="SEMANA 4"/>
    <n v="24"/>
    <x v="3"/>
    <s v="Cambuci"/>
    <s v="Pescados - Camarão Seco"/>
    <s v="kg"/>
    <n v="1"/>
    <n v="110"/>
    <n v="110"/>
  </r>
  <r>
    <s v="Outubro"/>
    <s v="SEMANA 4"/>
    <n v="24"/>
    <x v="1"/>
    <s v="Rioaves"/>
    <s v="Ovo de Codorna"/>
    <s v="pcte"/>
    <n v="16"/>
    <n v="10.4"/>
    <n v="166.4"/>
  </r>
  <r>
    <s v="Outubro"/>
    <s v="SEMANA 4"/>
    <n v="24"/>
    <x v="0"/>
    <s v="Rioaves"/>
    <s v="Farinha de Rosca"/>
    <s v="kg"/>
    <n v="10"/>
    <n v="9"/>
    <n v="90"/>
  </r>
  <r>
    <s v="Outubro"/>
    <s v="SEMANA 4"/>
    <n v="25"/>
    <x v="0"/>
    <s v="J. Araujo (Arcofood)"/>
    <s v="Feijão Preto"/>
    <s v="kg"/>
    <n v="20"/>
    <n v="4.4459999999999997"/>
    <n v="88.919999999999987"/>
  </r>
  <r>
    <s v="Outubro"/>
    <s v="SEMANA 4"/>
    <n v="25"/>
    <x v="0"/>
    <s v="J. Araujo (Arcofood)"/>
    <s v="Trigo para Kibe"/>
    <s v="kg"/>
    <n v="5"/>
    <n v="3.7600000000000002"/>
    <n v="18.8"/>
  </r>
  <r>
    <s v="Outubro"/>
    <s v="SEMANA 4"/>
    <n v="25"/>
    <x v="0"/>
    <s v="J. Araujo (Arcofood)"/>
    <s v="Margarina Bd 15 Kg"/>
    <s v="bd"/>
    <n v="1"/>
    <n v="74"/>
    <n v="74"/>
  </r>
  <r>
    <s v="Outubro"/>
    <s v="SEMANA 4"/>
    <n v="25"/>
    <x v="0"/>
    <s v="J. Araujo (Arcofood)"/>
    <s v="Óleo Composto 500ml"/>
    <s v="unid"/>
    <n v="12"/>
    <n v="3.2316666666666669"/>
    <n v="38.78"/>
  </r>
  <r>
    <s v="Outubro"/>
    <s v="SEMANA 4"/>
    <n v="25"/>
    <x v="0"/>
    <s v="J. Araujo (Arcofood)"/>
    <s v="Sal Refinado"/>
    <s v="kg"/>
    <n v="10"/>
    <n v="1.2210000000000001"/>
    <n v="12.21"/>
  </r>
  <r>
    <s v="Outubro"/>
    <s v="SEMANA 4"/>
    <n v="25"/>
    <x v="0"/>
    <s v="Rio Quality"/>
    <s v="Farinha de Mandioca"/>
    <s v="kg"/>
    <n v="20"/>
    <n v="4.8899999999999997"/>
    <n v="97.8"/>
  </r>
  <r>
    <s v="Outubro"/>
    <s v="SEMANA 4"/>
    <n v="25"/>
    <x v="0"/>
    <s v="Rio Quality"/>
    <s v="Leite de Côco"/>
    <s v="lt"/>
    <n v="12"/>
    <n v="14.983333333333334"/>
    <n v="179.8"/>
  </r>
  <r>
    <s v="Outubro"/>
    <s v="SEMANA 4"/>
    <n v="25"/>
    <x v="0"/>
    <s v="Rio Quality"/>
    <s v="Leite Integral"/>
    <n v="60"/>
    <n v="60"/>
    <n v="2.8890000000000002"/>
    <n v="173.34"/>
  </r>
  <r>
    <s v="Outubro"/>
    <s v="SEMANA 4"/>
    <n v="25"/>
    <x v="0"/>
    <s v="Rio Quality"/>
    <s v="Maionese Hellmanns Bd 3 Kg"/>
    <s v="bd"/>
    <n v="6"/>
    <n v="22.52"/>
    <n v="135.12"/>
  </r>
  <r>
    <s v="Outubro"/>
    <s v="SEMANA 4"/>
    <n v="25"/>
    <x v="0"/>
    <s v="Rio Quality"/>
    <s v="Óleo de Soja 18 Lt"/>
    <s v="bag"/>
    <n v="3"/>
    <n v="62.5"/>
    <n v="187.5"/>
  </r>
  <r>
    <s v="Outubro"/>
    <s v="SEMANA 4"/>
    <n v="25"/>
    <x v="0"/>
    <s v="Rio Quality"/>
    <s v="Catchup 3,6 Kg"/>
    <s v="bb"/>
    <n v="1"/>
    <n v="14.5"/>
    <n v="14.5"/>
  </r>
  <r>
    <s v="Outubro"/>
    <s v="SEMANA 4"/>
    <n v="25"/>
    <x v="0"/>
    <s v="Rio Quality"/>
    <s v="Feijão Fradinho"/>
    <s v="kg"/>
    <n v="5"/>
    <n v="3.84"/>
    <n v="19.2"/>
  </r>
  <r>
    <s v="Outubro"/>
    <s v="SEMANA 4"/>
    <n v="25"/>
    <x v="0"/>
    <s v="Rio Quality"/>
    <s v="Maisena Amido de Milho 1 Kg"/>
    <s v="kg"/>
    <n v="4"/>
    <n v="10.8"/>
    <n v="43.2"/>
  </r>
  <r>
    <s v="Outubro"/>
    <s v="SEMANA 4"/>
    <n v="25"/>
    <x v="0"/>
    <s v="Zamboni"/>
    <s v="Nescau (Nestle)"/>
    <s v="kg"/>
    <n v="1"/>
    <n v="16.649999999999999"/>
    <n v="16.649999999999999"/>
  </r>
  <r>
    <s v="Outubro"/>
    <s v="SEMANA 4"/>
    <n v="25"/>
    <x v="0"/>
    <s v="Zamboni"/>
    <s v="Azeite Extra Virgem (Santiago) 500 ml"/>
    <s v="unid"/>
    <n v="12"/>
    <n v="16.349166666666665"/>
    <n v="196.19"/>
  </r>
  <r>
    <s v="Outubro"/>
    <s v="SEMANA 4"/>
    <n v="25"/>
    <x v="4"/>
    <s v="Zamboni"/>
    <s v="Shoyu Tradicional (Sushi) Bb 5 Lt"/>
    <s v="bb"/>
    <n v="1"/>
    <n v="49.22"/>
    <n v="49.22"/>
  </r>
  <r>
    <s v="Outubro"/>
    <s v="SEMANA 4"/>
    <n v="25"/>
    <x v="0"/>
    <s v="Zamboni"/>
    <s v="Leite Condensado 395 g"/>
    <s v="unid"/>
    <n v="48"/>
    <n v="5.0475000000000003"/>
    <n v="242.28000000000003"/>
  </r>
  <r>
    <s v="Outubro"/>
    <s v="SEMANA 4"/>
    <n v="25"/>
    <x v="4"/>
    <s v="Zamboni"/>
    <s v="Vinagre de Arroz Sushi"/>
    <s v="lt"/>
    <n v="3.75"/>
    <n v="5.28"/>
    <n v="19.8"/>
  </r>
  <r>
    <s v="Outubro"/>
    <s v="SEMANA 4"/>
    <n v="25"/>
    <x v="4"/>
    <s v="Wah Sin"/>
    <s v="Arroz Japonês (sushi)"/>
    <s v="kg"/>
    <n v="30"/>
    <n v="5.666666666666667"/>
    <n v="170"/>
  </r>
  <r>
    <s v="Outubro"/>
    <s v="SEMANA 4"/>
    <n v="25"/>
    <x v="4"/>
    <s v="Wah Sin"/>
    <s v="Wasabi em Pó"/>
    <s v="kg"/>
    <n v="1"/>
    <n v="35"/>
    <n v="35"/>
  </r>
  <r>
    <s v="Outubro"/>
    <s v="SEMANA 4"/>
    <n v="25"/>
    <x v="4"/>
    <s v="Wah Sin"/>
    <s v="Folha de Alga 50F"/>
    <s v="pcte"/>
    <n v="3"/>
    <n v="33"/>
    <n v="99"/>
  </r>
  <r>
    <s v="Outubro"/>
    <s v="SEMANA 4"/>
    <n v="25"/>
    <x v="0"/>
    <s v="CDI"/>
    <s v="Açucar Refinado"/>
    <s v="kg"/>
    <n v="20"/>
    <n v="2.165"/>
    <n v="43.3"/>
  </r>
  <r>
    <s v="Outubro"/>
    <s v="SEMANA 4"/>
    <n v="25"/>
    <x v="0"/>
    <s v="CDI"/>
    <s v="Arroz Branco"/>
    <s v="kg"/>
    <n v="30"/>
    <n v="3.32"/>
    <n v="99.6"/>
  </r>
  <r>
    <s v="Outubro"/>
    <s v="SEMANA 4"/>
    <n v="25"/>
    <x v="0"/>
    <s v="CDI"/>
    <s v="Chocolate Granulado 1,01 Kg"/>
    <s v="kg"/>
    <n v="1"/>
    <n v="9.44"/>
    <n v="9.44"/>
  </r>
  <r>
    <s v="Outubro"/>
    <s v="SEMANA 4"/>
    <n v="25"/>
    <x v="0"/>
    <s v="CDI"/>
    <s v="Farinha de Trigo"/>
    <s v="kg"/>
    <n v="30"/>
    <n v="1.607"/>
    <n v="48.21"/>
  </r>
  <r>
    <s v="Outubro"/>
    <s v="SEMANA 4"/>
    <n v="25"/>
    <x v="0"/>
    <s v="CDI"/>
    <s v="Feijão Mulatinho"/>
    <s v="kg"/>
    <n v="5"/>
    <n v="11"/>
    <n v="55"/>
  </r>
  <r>
    <s v="Outubro"/>
    <s v="SEMANA 4"/>
    <n v="25"/>
    <x v="0"/>
    <s v="CDI"/>
    <s v="Karo Mel"/>
    <s v="unid"/>
    <n v="12"/>
    <n v="6.35"/>
    <n v="76.199999999999989"/>
  </r>
  <r>
    <s v="Outubro"/>
    <s v="SEMANA 4"/>
    <n v="25"/>
    <x v="8"/>
    <s v="Rio de Janeiro"/>
    <s v="Sukita Laranja Pet 2 Lt"/>
    <s v="unid"/>
    <n v="6"/>
    <m/>
    <n v="0"/>
  </r>
  <r>
    <s v="Outubro"/>
    <s v="SEMANA 4"/>
    <n v="25"/>
    <x v="8"/>
    <s v="Rio de Janeiro"/>
    <s v="Coca Cola (lata)"/>
    <s v="unid"/>
    <n v="108"/>
    <n v="2.9033333333333333"/>
    <n v="313.56"/>
  </r>
  <r>
    <s v="Outubro"/>
    <s v="SEMANA 4"/>
    <n v="25"/>
    <x v="8"/>
    <s v="Rio de Janeiro"/>
    <s v="Coca Cola Zero (lata)"/>
    <s v="unid"/>
    <n v="120"/>
    <n v="2.89"/>
    <n v="346.8"/>
  </r>
  <r>
    <s v="Outubro"/>
    <s v="SEMANA 4"/>
    <n v="25"/>
    <x v="8"/>
    <s v="Rio de Janeiro"/>
    <s v="Cerveja Heineken Long Neck 330 ml"/>
    <s v="unid"/>
    <n v="24"/>
    <n v="4"/>
    <n v="96"/>
  </r>
  <r>
    <s v="Outubro"/>
    <s v="SEMANA 4"/>
    <n v="25"/>
    <x v="8"/>
    <s v="CRBS"/>
    <s v="H2O Limão"/>
    <s v="unid"/>
    <n v="12"/>
    <n v="2.1433333333333331"/>
    <n v="25.72"/>
  </r>
  <r>
    <s v="Outubro"/>
    <s v="SEMANA 4"/>
    <n v="25"/>
    <x v="8"/>
    <s v="CRBS"/>
    <s v="Cerveja Bohemia Long Neck 355 ml"/>
    <s v="unid"/>
    <n v="48"/>
    <n v="2.6570833333333335"/>
    <n v="127.54"/>
  </r>
  <r>
    <s v="Outubro"/>
    <s v="SEMANA 4"/>
    <n v="25"/>
    <x v="8"/>
    <s v="CRBS"/>
    <s v="Ice Tea Limão"/>
    <s v="unid"/>
    <n v="24"/>
    <n v="2.0124999999999997"/>
    <n v="48.3"/>
  </r>
  <r>
    <s v="Outubro"/>
    <s v="SEMANA 4"/>
    <n v="25"/>
    <x v="8"/>
    <s v="CRBS"/>
    <s v="Guaraná Antarctica Zero (lata)"/>
    <s v="unid"/>
    <n v="36"/>
    <n v="1.828888888888889"/>
    <n v="65.84"/>
  </r>
  <r>
    <s v="Outubro"/>
    <s v="SEMANA 4"/>
    <n v="25"/>
    <x v="8"/>
    <s v="CRBS"/>
    <s v="Guaraná Antarctica (lata)"/>
    <s v="unid"/>
    <n v="24"/>
    <n v="1.8287500000000001"/>
    <n v="43.89"/>
  </r>
  <r>
    <s v="Outubro"/>
    <s v="SEMANA 4"/>
    <n v="25"/>
    <x v="4"/>
    <s v="Frigorifico Jahu"/>
    <s v="Pescados - Salmão Inteiro Sushi"/>
    <s v="kg"/>
    <n v="31.89"/>
    <n v="26.5002"/>
    <n v="845.09137799999996"/>
  </r>
  <r>
    <s v="Outubro"/>
    <s v="SEMANA 4"/>
    <n v="25"/>
    <x v="3"/>
    <s v="Frigorifico Jahu"/>
    <s v="Pescados - Camarão IQF Evisc. 51/60"/>
    <s v="kg"/>
    <n v="12"/>
    <n v="66.5"/>
    <n v="798"/>
  </r>
  <r>
    <s v="Outubro"/>
    <s v="SEMANA 4"/>
    <n v="25"/>
    <x v="8"/>
    <s v="Minalba"/>
    <s v="Água Mineral com Gás"/>
    <s v="unid"/>
    <n v="150"/>
    <n v="1.254"/>
    <n v="188.1"/>
  </r>
  <r>
    <s v="Outubro"/>
    <s v="SEMANA 4"/>
    <n v="25"/>
    <x v="8"/>
    <s v="Minalba"/>
    <s v="Água Mineral sem Gás"/>
    <s v="unid"/>
    <n v="192"/>
    <n v="1.2540104166666668"/>
    <n v="240.77000000000004"/>
  </r>
  <r>
    <s v="Outubro"/>
    <s v="SEMANA 4"/>
    <n v="25"/>
    <x v="0"/>
    <s v="Top Alto"/>
    <s v="Batata Palito 9M"/>
    <s v="kg"/>
    <n v="30"/>
    <n v="6.85"/>
    <n v="205.5"/>
  </r>
  <r>
    <s v="Outubro"/>
    <s v="SEMANA 4"/>
    <n v="25"/>
    <x v="3"/>
    <s v="Top Alto"/>
    <s v="Suíno - Costelinha Salgada"/>
    <s v="kg"/>
    <n v="9"/>
    <n v="10.54"/>
    <n v="94.859999999999985"/>
  </r>
  <r>
    <s v="Outubro"/>
    <s v="SEMANA 4"/>
    <n v="25"/>
    <x v="3"/>
    <s v="Top Alto"/>
    <s v="Suíno - Linguiça de Pernil"/>
    <s v="kg"/>
    <n v="5"/>
    <n v="10.14"/>
    <n v="50.7"/>
  </r>
  <r>
    <s v="Outubro"/>
    <s v="SEMANA 4"/>
    <n v="25"/>
    <x v="0"/>
    <s v="Top Alto"/>
    <s v="Queijo Minas Padrão"/>
    <s v="kg"/>
    <n v="11.3"/>
    <n v="30.5"/>
    <n v="344.65000000000003"/>
  </r>
  <r>
    <s v="Outubro"/>
    <s v="SEMANA 4"/>
    <n v="25"/>
    <x v="3"/>
    <s v="Reginaves"/>
    <s v="Aves - Filé de Peito de Frango"/>
    <s v="kg"/>
    <n v="48"/>
    <n v="7.8"/>
    <n v="374.4"/>
  </r>
  <r>
    <s v="Outubro"/>
    <s v="SEMANA 4"/>
    <n v="25"/>
    <x v="3"/>
    <s v="Reginaves"/>
    <s v="Aves - Filé de Coxa"/>
    <s v="kg"/>
    <n v="16.799999999999997"/>
    <n v="8.6999999999999993"/>
    <n v="146.15999999999997"/>
  </r>
  <r>
    <s v="Outubro"/>
    <s v="SEMANA 4"/>
    <n v="25"/>
    <x v="0"/>
    <s v="Planeta Gelo"/>
    <s v="Gelo em Escamas"/>
    <s v="saco"/>
    <n v="2"/>
    <n v="7.5"/>
    <n v="15"/>
  </r>
  <r>
    <s v="Outubro"/>
    <s v="SEMANA 4"/>
    <n v="25"/>
    <x v="0"/>
    <s v="Planeta Gelo"/>
    <s v="Gelo em Cubo"/>
    <s v="saco"/>
    <n v="1"/>
    <n v="7.5"/>
    <n v="7.5"/>
  </r>
  <r>
    <s v="Outubro"/>
    <s v="SEMANA 4"/>
    <n v="25"/>
    <x v="4"/>
    <s v="Toca da Lagosta"/>
    <s v="Pescados - Atum Fresco Sushi"/>
    <s v="kg"/>
    <n v="25.8"/>
    <n v="14.9"/>
    <n v="384.42"/>
  </r>
  <r>
    <s v="Outubro"/>
    <s v="SEMANA 4"/>
    <n v="25"/>
    <x v="4"/>
    <s v="Toca da Lagosta"/>
    <s v="Pescados - Olhete Fresco Sushi"/>
    <s v="kg"/>
    <n v="8.8000000000000007"/>
    <n v="19.899999999999999"/>
    <n v="175.12"/>
  </r>
  <r>
    <s v="Outubro"/>
    <s v="SEMANA 4"/>
    <n v="25"/>
    <x v="0"/>
    <s v="Fabene"/>
    <s v="Massa para Lasanha"/>
    <s v="kg"/>
    <n v="15.9"/>
    <n v="9.9"/>
    <n v="157.41"/>
  </r>
  <r>
    <s v="Outubro"/>
    <s v="SEMANA 4"/>
    <n v="25"/>
    <x v="1"/>
    <s v="Alcibiades G. Quintas"/>
    <s v="Cenoura"/>
    <s v="kg"/>
    <n v="17.66"/>
    <n v="2.6875699888017919"/>
    <n v="47.462486002239643"/>
  </r>
  <r>
    <s v="Outubro"/>
    <s v="SEMANA 4"/>
    <n v="25"/>
    <x v="1"/>
    <s v="Alcibiades G. Quintas"/>
    <s v="Pimentão Amarelo"/>
    <s v="kg"/>
    <n v="1"/>
    <n v="15"/>
    <n v="15"/>
  </r>
  <r>
    <s v="Outubro"/>
    <s v="SEMANA 4"/>
    <n v="25"/>
    <x v="1"/>
    <s v="Alcibiades G. Quintas"/>
    <s v="Brócolis Americano"/>
    <s v="kg"/>
    <n v="4"/>
    <n v="7"/>
    <n v="28"/>
  </r>
  <r>
    <s v="Outubro"/>
    <s v="SEMANA 4"/>
    <n v="25"/>
    <x v="1"/>
    <s v="Alcibiades G. Quintas"/>
    <s v="Cebolinha Verde"/>
    <s v="kg"/>
    <n v="1.1419999999999999"/>
    <n v="7"/>
    <n v="7.9939999999999998"/>
  </r>
  <r>
    <s v="Outubro"/>
    <s v="SEMANA 4"/>
    <n v="25"/>
    <x v="1"/>
    <s v="Alcibiades G. Quintas"/>
    <s v="Manjericão"/>
    <s v="kg"/>
    <n v="0.3"/>
    <n v="12"/>
    <n v="3.5999999999999996"/>
  </r>
  <r>
    <s v="Outubro"/>
    <s v="SEMANA 4"/>
    <n v="25"/>
    <x v="1"/>
    <s v="Alcibiades G. Quintas"/>
    <s v="Salsa"/>
    <s v="kg"/>
    <n v="1"/>
    <n v="7"/>
    <n v="7"/>
  </r>
  <r>
    <s v="Outubro"/>
    <s v="SEMANA 4"/>
    <n v="25"/>
    <x v="1"/>
    <s v="Alcibiades G. Quintas"/>
    <s v="Tomilho"/>
    <s v="kg"/>
    <n v="0.2"/>
    <n v="25"/>
    <n v="5"/>
  </r>
  <r>
    <s v="Outubro"/>
    <s v="SEMANA 4"/>
    <n v="25"/>
    <x v="1"/>
    <s v="Alcibiades G. Quintas"/>
    <s v="Abacaxi "/>
    <s v="kg"/>
    <n v="10"/>
    <n v="2.4"/>
    <n v="24"/>
  </r>
  <r>
    <s v="Outubro"/>
    <s v="SEMANA 4"/>
    <n v="25"/>
    <x v="1"/>
    <s v="Alcibiades G. Quintas"/>
    <s v="Manga Palmer"/>
    <s v="kg"/>
    <n v="6"/>
    <n v="4.166666666666667"/>
    <n v="25"/>
  </r>
  <r>
    <s v="Outubro"/>
    <s v="SEMANA 4"/>
    <n v="25"/>
    <x v="4"/>
    <s v="Alcibiades G. Quintas"/>
    <s v="Cebolinha Verde Sushi"/>
    <s v="kg"/>
    <n v="0.35799999999999998"/>
    <n v="7"/>
    <n v="2.5059999999999998"/>
  </r>
  <r>
    <s v="Outubro"/>
    <s v="SEMANA 4"/>
    <n v="24"/>
    <x v="4"/>
    <s v="Alcibiades G. Quintas"/>
    <s v="Pepino Japonês Sushi"/>
    <s v="kg"/>
    <n v="1.548"/>
    <n v="3.4034653465346536"/>
    <n v="5.2685643564356441"/>
  </r>
  <r>
    <s v="Outubro"/>
    <s v="SEMANA 4"/>
    <n v="25"/>
    <x v="0"/>
    <s v="Laticinios Alhambra"/>
    <s v="Creme de Leite Culinário 20% Bd 10 Lt"/>
    <s v="bd"/>
    <n v="1"/>
    <n v="142.44999999999999"/>
    <n v="142.44999999999999"/>
  </r>
  <r>
    <s v="Outubro"/>
    <s v="SEMANA 4"/>
    <n v="25"/>
    <x v="0"/>
    <s v="Laticinios Alhambra"/>
    <s v="Queijo Gorgonzola"/>
    <s v="kg"/>
    <n v="2.8"/>
    <n v="47.5"/>
    <n v="133"/>
  </r>
  <r>
    <s v="Outubro"/>
    <s v="SEMANA 4"/>
    <n v="25"/>
    <x v="0"/>
    <s v="Laticinios Alhambra"/>
    <s v="Queijo Mussarela"/>
    <s v="kg"/>
    <n v="3.5"/>
    <n v="26"/>
    <n v="91"/>
  </r>
  <r>
    <s v="Outubro"/>
    <s v="SEMANA 4"/>
    <n v="25"/>
    <x v="0"/>
    <s v="Laticinios Alhambra"/>
    <s v="Queijo Prato"/>
    <s v="kg"/>
    <n v="2.88"/>
    <n v="26"/>
    <n v="74.88"/>
  </r>
  <r>
    <s v="Outubro"/>
    <s v="SEMANA 4"/>
    <n v="25"/>
    <x v="0"/>
    <s v="Laticinios Alhambra"/>
    <s v="Queijo Requeijão BD 3,6 Kg"/>
    <s v="bd"/>
    <n v="1"/>
    <n v="74.400000000000006"/>
    <n v="74.400000000000006"/>
  </r>
  <r>
    <s v="Outubro"/>
    <s v="SEMANA 4"/>
    <n v="25"/>
    <x v="0"/>
    <s v="Umehara"/>
    <s v="Côco Seco"/>
    <s v="kg"/>
    <n v="3"/>
    <n v="6.9"/>
    <n v="20.700000000000003"/>
  </r>
  <r>
    <s v="Outubro"/>
    <s v="SEMANA 4"/>
    <n v="25"/>
    <x v="1"/>
    <s v="Umehara"/>
    <s v="Laranja Pera"/>
    <s v="kg"/>
    <n v="21.76"/>
    <n v="1.2867647058823528"/>
    <n v="28"/>
  </r>
  <r>
    <s v="Outubro"/>
    <s v="SEMANA 4"/>
    <n v="25"/>
    <x v="1"/>
    <s v="Umehara"/>
    <s v="Banana D'Água"/>
    <s v="kg"/>
    <n v="3"/>
    <n v="1.84"/>
    <n v="5.5200000000000005"/>
  </r>
  <r>
    <s v="Outubro"/>
    <s v="SEMANA 4"/>
    <n v="25"/>
    <x v="1"/>
    <s v="Umehara"/>
    <s v="Batata Baroa"/>
    <s v="kg"/>
    <n v="2"/>
    <n v="4.4000000000000004"/>
    <n v="8.8000000000000007"/>
  </r>
  <r>
    <s v="Outubro"/>
    <s v="SEMANA 4"/>
    <n v="25"/>
    <x v="1"/>
    <s v="Umehara"/>
    <s v="Hortelã"/>
    <s v="kg"/>
    <n v="1"/>
    <n v="4.5"/>
    <n v="4.5"/>
  </r>
  <r>
    <s v="Outubro"/>
    <s v="SEMANA 4"/>
    <n v="25"/>
    <x v="1"/>
    <s v="Umehara"/>
    <s v="Louro"/>
    <s v="kg"/>
    <n v="0.3"/>
    <n v="20"/>
    <n v="6"/>
  </r>
  <r>
    <s v="Outubro"/>
    <s v="SEMANA 4"/>
    <n v="25"/>
    <x v="1"/>
    <s v="Umehara"/>
    <s v="Ovos Extra"/>
    <s v="unid"/>
    <n v="360"/>
    <n v="0.26666666666666666"/>
    <n v="96"/>
  </r>
  <r>
    <s v="Outubro"/>
    <s v="SEMANA 4"/>
    <n v="25"/>
    <x v="4"/>
    <s v="Alcibiades G. Quintas"/>
    <s v="Cenoura  Sushi"/>
    <s v="kg"/>
    <n v="0.2"/>
    <n v="2.6875699888017919"/>
    <n v="0.53751399776035835"/>
  </r>
  <r>
    <s v="Outubro"/>
    <s v="SEMANA 4"/>
    <n v="26"/>
    <x v="1"/>
    <s v="Cheiro Verde"/>
    <s v="Abobora"/>
    <s v="kg"/>
    <n v="10"/>
    <n v="1.88"/>
    <n v="18.799999999999997"/>
  </r>
  <r>
    <s v="Outubro"/>
    <s v="SEMANA 4"/>
    <n v="26"/>
    <x v="1"/>
    <s v="Cheiro Verde"/>
    <s v="Aipo"/>
    <s v="kg"/>
    <n v="1"/>
    <n v="3.9"/>
    <n v="3.9"/>
  </r>
  <r>
    <s v="Outubro"/>
    <s v="SEMANA 4"/>
    <n v="26"/>
    <x v="1"/>
    <s v="Cheiro Verde"/>
    <s v="Coentro"/>
    <s v="kg"/>
    <n v="1"/>
    <n v="11.25"/>
    <n v="11.25"/>
  </r>
  <r>
    <s v="Outubro"/>
    <s v="SEMANA 4"/>
    <n v="26"/>
    <x v="1"/>
    <s v="Cheiro Verde"/>
    <s v="Melão de Rede "/>
    <s v="kg"/>
    <n v="4.1399999999999997"/>
    <n v="5"/>
    <n v="20.7"/>
  </r>
  <r>
    <s v="Outubro"/>
    <s v="SEMANA 4"/>
    <n v="26"/>
    <x v="1"/>
    <s v="Cheiro Verde"/>
    <s v="Pimentão Verde"/>
    <s v="kg"/>
    <n v="1"/>
    <n v="2.79"/>
    <n v="2.79"/>
  </r>
  <r>
    <s v="Outubro"/>
    <s v="SEMANA 4"/>
    <n v="26"/>
    <x v="0"/>
    <s v="Planeta Gelo"/>
    <s v="Gelo em Cubo"/>
    <s v="saco"/>
    <n v="2"/>
    <n v="7.5"/>
    <n v="15"/>
  </r>
  <r>
    <s v="Outubro"/>
    <s v="SEMANA 4"/>
    <n v="26"/>
    <x v="1"/>
    <s v="Alcibiades G. Quintas"/>
    <s v="Abobrinha "/>
    <s v="kg"/>
    <n v="16.739999999999998"/>
    <n v="1.1947431302270013"/>
    <n v="20"/>
  </r>
  <r>
    <s v="Outubro"/>
    <s v="SEMANA 4"/>
    <n v="26"/>
    <x v="1"/>
    <s v="Alcibiades G. Quintas"/>
    <s v="Batata Doce"/>
    <s v="kg"/>
    <n v="20.48"/>
    <n v="1.708984375"/>
    <n v="35"/>
  </r>
  <r>
    <s v="Outubro"/>
    <s v="SEMANA 4"/>
    <n v="26"/>
    <x v="1"/>
    <s v="Alcibiades G. Quintas"/>
    <s v="Berinjela"/>
    <s v="kg"/>
    <n v="10.32"/>
    <n v="2.9069767441860463"/>
    <n v="30"/>
  </r>
  <r>
    <s v="Outubro"/>
    <s v="SEMANA 4"/>
    <n v="26"/>
    <x v="1"/>
    <s v="Alcibiades G. Quintas"/>
    <s v="Cebola Roxa"/>
    <s v="kg"/>
    <n v="5"/>
    <n v="5"/>
    <n v="25"/>
  </r>
  <r>
    <s v="Outubro"/>
    <s v="SEMANA 4"/>
    <n v="26"/>
    <x v="1"/>
    <s v="Alcibiades G. Quintas"/>
    <s v="Gengibre"/>
    <s v="kg"/>
    <n v="11.78"/>
    <n v="6.7911714770797964"/>
    <n v="80"/>
  </r>
  <r>
    <s v="Outubro"/>
    <s v="SEMANA 4"/>
    <n v="26"/>
    <x v="1"/>
    <s v="Alcibiades G. Quintas"/>
    <s v="Cebolinha Verde"/>
    <s v="kg"/>
    <n v="1"/>
    <n v="7"/>
    <n v="7"/>
  </r>
  <r>
    <s v="Outubro"/>
    <s v="SEMANA 4"/>
    <n v="26"/>
    <x v="1"/>
    <s v="Alcibiades G. Quintas"/>
    <s v="Espinafre"/>
    <s v="kg"/>
    <n v="5"/>
    <n v="4.8"/>
    <n v="24"/>
  </r>
  <r>
    <s v="Outubro"/>
    <s v="SEMANA 4"/>
    <n v="26"/>
    <x v="1"/>
    <s v="Alcibiades G. Quintas"/>
    <s v="Nabo Japonês"/>
    <s v="kg"/>
    <n v="2.5"/>
    <n v="7"/>
    <n v="17.5"/>
  </r>
  <r>
    <s v="Outubro"/>
    <s v="SEMANA 4"/>
    <n v="26"/>
    <x v="1"/>
    <s v="Alcibiades G. Quintas"/>
    <s v="Pimenta Dedo de Moça"/>
    <s v="kg"/>
    <n v="0.1"/>
    <n v="20"/>
    <n v="2"/>
  </r>
  <r>
    <s v="Outubro"/>
    <s v="SEMANA 4"/>
    <n v="26"/>
    <x v="1"/>
    <s v="Alcibiades G. Quintas"/>
    <s v="Abacate "/>
    <s v="kg"/>
    <n v="8"/>
    <n v="8"/>
    <n v="64"/>
  </r>
  <r>
    <s v="Outubro"/>
    <s v="SEMANA 4"/>
    <n v="26"/>
    <x v="0"/>
    <s v="Ind. Caseira de Doces Helena"/>
    <s v="Biscoito de Milho Café "/>
    <s v="kg"/>
    <n v="8.3999999999999986"/>
    <n v="22.19464285714286"/>
    <n v="186.435"/>
  </r>
  <r>
    <s v="Outubro"/>
    <s v="SEMANA 4"/>
    <n v="26"/>
    <x v="7"/>
    <s v="Ind. Caseira de Doces Helena"/>
    <s v="Biscoito de Milho Venda "/>
    <s v="kg"/>
    <n v="2.8"/>
    <n v="22.19464285714286"/>
    <n v="62.145000000000003"/>
  </r>
  <r>
    <s v="Outubro"/>
    <s v="SEMANA 4"/>
    <n v="26"/>
    <x v="3"/>
    <s v="Top Alto"/>
    <s v="Carne Bovina - Picanha Grill/Churrascaria"/>
    <s v="kg"/>
    <n v="41.08"/>
    <n v="36.6"/>
    <n v="1503.528"/>
  </r>
  <r>
    <s v="Outubro"/>
    <s v="SEMANA 4"/>
    <n v="26"/>
    <x v="3"/>
    <s v="Truticultura da Serra"/>
    <s v="Pescados - Filé Truta Cong."/>
    <s v="kg"/>
    <n v="24"/>
    <n v="26"/>
    <n v="624"/>
  </r>
  <r>
    <s v="Outubro"/>
    <s v="SEMANA 4"/>
    <n v="26"/>
    <x v="0"/>
    <s v="Truticultura da Serra"/>
    <s v="Cogumelo Paris"/>
    <s v="kg"/>
    <n v="6"/>
    <n v="15.5"/>
    <n v="93"/>
  </r>
  <r>
    <s v="Outubro"/>
    <s v="SEMANA 4"/>
    <n v="26"/>
    <x v="0"/>
    <s v="Umehara"/>
    <s v="Côco Seco"/>
    <s v="kg"/>
    <n v="1"/>
    <n v="6.9"/>
    <n v="6.9"/>
  </r>
  <r>
    <s v="Outubro"/>
    <s v="SEMANA 4"/>
    <n v="26"/>
    <x v="1"/>
    <s v="Umehara"/>
    <s v="Repolho"/>
    <s v="kg"/>
    <n v="3"/>
    <n v="1.2"/>
    <n v="3.5999999999999996"/>
  </r>
  <r>
    <s v="Outubro"/>
    <s v="SEMANA 4"/>
    <n v="26"/>
    <x v="1"/>
    <s v="Umehara"/>
    <s v="Tomate Salada"/>
    <s v="kg"/>
    <n v="20.36"/>
    <n v="1.7927308447937131"/>
    <n v="36.5"/>
  </r>
  <r>
    <s v="Outubro"/>
    <s v="SEMANA 4"/>
    <n v="26"/>
    <x v="1"/>
    <s v="Umehara"/>
    <s v="Acelga"/>
    <s v="kg"/>
    <n v="3"/>
    <n v="2.2000000000000002"/>
    <n v="6.6000000000000005"/>
  </r>
  <r>
    <s v="Outubro"/>
    <s v="SEMANA 4"/>
    <n v="26"/>
    <x v="1"/>
    <s v="Umehara"/>
    <s v="Alface Americana    "/>
    <s v="kg"/>
    <n v="7.64"/>
    <n v="1.6361256544502618"/>
    <n v="12.5"/>
  </r>
  <r>
    <s v="Outubro"/>
    <s v="SEMANA 4"/>
    <n v="26"/>
    <x v="1"/>
    <s v="Umehara"/>
    <s v="Côco Verde"/>
    <s v="unid"/>
    <n v="10"/>
    <n v="1.98"/>
    <n v="19.8"/>
  </r>
  <r>
    <s v="Outubro"/>
    <s v="SEMANA 4"/>
    <n v="26"/>
    <x v="1"/>
    <s v="Umehara"/>
    <s v="Couve Manteiga"/>
    <s v="kg"/>
    <n v="12"/>
    <n v="3"/>
    <n v="36"/>
  </r>
  <r>
    <s v="Outubro"/>
    <s v="SEMANA 4"/>
    <n v="26"/>
    <x v="1"/>
    <s v="Umehara"/>
    <s v="Mamão Bahia"/>
    <s v="kg"/>
    <n v="4.9000000000000004"/>
    <n v="2.4"/>
    <n v="11.76"/>
  </r>
  <r>
    <s v="Outubro"/>
    <s v="SEMANA 4"/>
    <n v="26"/>
    <x v="1"/>
    <s v="Feira"/>
    <s v="Aipim"/>
    <s v="kg"/>
    <n v="20"/>
    <n v="5"/>
    <n v="100"/>
  </r>
  <r>
    <s v="Outubro"/>
    <s v="SEMANA 4"/>
    <n v="26"/>
    <x v="0"/>
    <s v="Mercearia Fuji"/>
    <s v="Óleo de Gergelim"/>
    <s v="unid"/>
    <n v="2"/>
    <n v="48.5"/>
    <n v="97"/>
  </r>
  <r>
    <s v="Outubro"/>
    <s v="SEMANA 4"/>
    <n v="26"/>
    <x v="4"/>
    <s v="Mercearia Fuji"/>
    <s v="Shitake Sushi"/>
    <s v="kg"/>
    <n v="0.5"/>
    <n v="140"/>
    <n v="70"/>
  </r>
  <r>
    <s v="Outubro"/>
    <s v="SEMANA 4"/>
    <n v="26"/>
    <x v="4"/>
    <s v="Mercearia Fuji"/>
    <s v="Pimenta Japonesa (Kimuchi)"/>
    <s v="unid"/>
    <n v="1"/>
    <n v="30"/>
    <n v="30"/>
  </r>
  <r>
    <s v="Outubro"/>
    <s v="SEMANA 4"/>
    <n v="26"/>
    <x v="4"/>
    <s v="Mercearia Fuji"/>
    <s v="Sweet Chilli Sauce 650 ml"/>
    <s v="unid"/>
    <n v="1"/>
    <n v="30"/>
    <n v="30"/>
  </r>
  <r>
    <s v="Outubro"/>
    <s v="SEMANA 4"/>
    <n v="27"/>
    <x v="3"/>
    <s v="Marechal"/>
    <s v="Carne Bovina - Peito"/>
    <s v="kg"/>
    <n v="9.4"/>
    <n v="11.68"/>
    <n v="109.792"/>
  </r>
  <r>
    <s v="Outubro"/>
    <s v="SEMANA 4"/>
    <n v="27"/>
    <x v="0"/>
    <s v="Marechal"/>
    <s v="Queijo Parmezon"/>
    <s v="kg"/>
    <n v="5.4"/>
    <n v="24.98"/>
    <n v="134.89200000000002"/>
  </r>
  <r>
    <s v="Outubro"/>
    <s v="SEMANA 4"/>
    <n v="27"/>
    <x v="3"/>
    <s v="Pescarimarcar"/>
    <s v="Pescados - Filé Linguado Cong. M"/>
    <s v="kg"/>
    <n v="20"/>
    <n v="28"/>
    <n v="560"/>
  </r>
  <r>
    <s v="Outubro"/>
    <s v="SEMANA 4"/>
    <n v="27"/>
    <x v="0"/>
    <s v="Tempero Carioca"/>
    <s v="Ameixa sem Caroço"/>
    <s v="kg"/>
    <n v="1"/>
    <n v="15.9"/>
    <n v="15.9"/>
  </r>
  <r>
    <s v="Outubro"/>
    <s v="SEMANA 4"/>
    <n v="27"/>
    <x v="0"/>
    <s v="Tempero Carioca"/>
    <s v="Amendoim Torrado"/>
    <s v="kg"/>
    <n v="1"/>
    <n v="15.5"/>
    <n v="15.5"/>
  </r>
  <r>
    <s v="Outubro"/>
    <s v="SEMANA 4"/>
    <n v="27"/>
    <x v="0"/>
    <s v="Tempero Carioca"/>
    <s v="Castanha de Caju Picada"/>
    <s v="kg"/>
    <n v="1"/>
    <n v="44.9"/>
    <n v="44.9"/>
  </r>
  <r>
    <s v="Outubro"/>
    <s v="SEMANA 4"/>
    <n v="27"/>
    <x v="0"/>
    <s v="Tempero Carioca"/>
    <s v="Coloral"/>
    <s v="kg"/>
    <n v="0.3"/>
    <n v="5.5"/>
    <n v="1.65"/>
  </r>
  <r>
    <s v="Outubro"/>
    <s v="SEMANA 4"/>
    <n v="27"/>
    <x v="0"/>
    <s v="Tempero Carioca"/>
    <s v="Cuscus"/>
    <s v="kg"/>
    <n v="1"/>
    <n v="26.9"/>
    <n v="26.9"/>
  </r>
  <r>
    <s v="Outubro"/>
    <s v="SEMANA 4"/>
    <n v="27"/>
    <x v="0"/>
    <s v="Tempero Carioca"/>
    <s v="Feijão de Soja"/>
    <s v="kg"/>
    <n v="1"/>
    <n v="5.7"/>
    <n v="5.7"/>
  </r>
  <r>
    <s v="Outubro"/>
    <s v="SEMANA 4"/>
    <n v="27"/>
    <x v="0"/>
    <s v="Tempero Carioca"/>
    <s v="Nozes sem casca"/>
    <s v="kg"/>
    <n v="1"/>
    <n v="59.9"/>
    <n v="59.9"/>
  </r>
  <r>
    <s v="Outubro"/>
    <s v="SEMANA 4"/>
    <n v="27"/>
    <x v="0"/>
    <s v="Tempero Carioca"/>
    <s v="Passas Preta"/>
    <s v="kg"/>
    <n v="1"/>
    <n v="13.5"/>
    <n v="13.5"/>
  </r>
  <r>
    <s v="Outubro"/>
    <s v="SEMANA 4"/>
    <n v="27"/>
    <x v="0"/>
    <s v="Tempero Carioca"/>
    <s v="Pimenta Calabresa"/>
    <s v="kg"/>
    <n v="0.2"/>
    <n v="18"/>
    <n v="3.6"/>
  </r>
  <r>
    <s v="Outubro"/>
    <s v="SEMANA 4"/>
    <n v="27"/>
    <x v="0"/>
    <s v="Tempero Carioca"/>
    <s v="Trigo em Grão"/>
    <s v="kg"/>
    <n v="2"/>
    <n v="3.9"/>
    <n v="7.8"/>
  </r>
  <r>
    <s v="Outubro"/>
    <s v="SEMANA 4"/>
    <n v="27"/>
    <x v="0"/>
    <s v="Planeta Gelo"/>
    <s v="Gelo em Escamas"/>
    <s v="saco"/>
    <n v="2"/>
    <n v="7.5"/>
    <n v="15"/>
  </r>
  <r>
    <s v="Outubro"/>
    <s v="SEMANA 4"/>
    <n v="27"/>
    <x v="0"/>
    <s v="Planeta Gelo"/>
    <s v="Gelo em Cubo"/>
    <s v="saco"/>
    <n v="2"/>
    <n v="7.5"/>
    <n v="15"/>
  </r>
  <r>
    <s v="Outubro"/>
    <s v="SEMANA 4"/>
    <n v="27"/>
    <x v="3"/>
    <s v="Frigorifico Jahu"/>
    <s v="Pescados - Salmão Inteiro"/>
    <s v="kg"/>
    <n v="29.12"/>
    <n v="25.900099999999998"/>
    <n v="754.21091200000001"/>
  </r>
  <r>
    <s v="Outubro"/>
    <s v="SEMANA 4"/>
    <n v="27"/>
    <x v="3"/>
    <s v="Frigorifico Jahu"/>
    <s v="Pescados - Lula Calamares"/>
    <s v="kg"/>
    <n v="10"/>
    <n v="26.9"/>
    <n v="269"/>
  </r>
  <r>
    <s v="Outubro"/>
    <s v="SEMANA 4"/>
    <n v="27"/>
    <x v="1"/>
    <s v="Cheiro Verde"/>
    <s v="Aipo"/>
    <s v="kg"/>
    <n v="1"/>
    <n v="3.9"/>
    <n v="3.9"/>
  </r>
  <r>
    <s v="Outubro"/>
    <s v="SEMANA 4"/>
    <n v="27"/>
    <x v="1"/>
    <s v="Cheiro Verde"/>
    <s v="Coentro"/>
    <s v="kg"/>
    <n v="0.5"/>
    <n v="11.25"/>
    <n v="5.625"/>
  </r>
  <r>
    <s v="Outubro"/>
    <s v="SEMANA 4"/>
    <n v="27"/>
    <x v="1"/>
    <s v="Cheiro Verde"/>
    <s v="Abobora Japonesa"/>
    <s v="kg"/>
    <n v="4"/>
    <n v="2.5099999999999998"/>
    <n v="10.039999999999999"/>
  </r>
  <r>
    <s v="Outubro"/>
    <s v="SEMANA 4"/>
    <n v="27"/>
    <x v="1"/>
    <s v="Cheiro Verde"/>
    <s v="Batata Calabresa"/>
    <s v="kg"/>
    <n v="7"/>
    <n v="2.23"/>
    <n v="15.61"/>
  </r>
  <r>
    <s v="Outubro"/>
    <s v="SEMANA 4"/>
    <n v="27"/>
    <x v="1"/>
    <s v="Cheiro Verde"/>
    <s v="Berinjela"/>
    <s v="kg"/>
    <n v="12.22"/>
    <n v="3.0687397708674302"/>
    <n v="37.5"/>
  </r>
  <r>
    <s v="Outubro"/>
    <s v="SEMANA 4"/>
    <n v="27"/>
    <x v="1"/>
    <s v="Cheiro Verde"/>
    <s v="Beterraba"/>
    <s v="kg"/>
    <n v="4"/>
    <n v="1.54"/>
    <n v="6.16"/>
  </r>
  <r>
    <s v="Outubro"/>
    <s v="SEMANA 4"/>
    <n v="27"/>
    <x v="1"/>
    <s v="Cheiro Verde"/>
    <s v="Cebola Roxa"/>
    <s v="kg"/>
    <n v="1"/>
    <n v="3.63"/>
    <n v="3.63"/>
  </r>
  <r>
    <s v="Outubro"/>
    <s v="SEMANA 4"/>
    <n v="27"/>
    <x v="1"/>
    <s v="Cheiro Verde"/>
    <s v="Maçã Ácida"/>
    <s v="kg"/>
    <n v="1.5"/>
    <n v="7.3"/>
    <n v="10.95"/>
  </r>
  <r>
    <s v="Outubro"/>
    <s v="SEMANA 4"/>
    <n v="27"/>
    <x v="1"/>
    <s v="Cheiro Verde"/>
    <s v="Rabanete"/>
    <s v="kg"/>
    <n v="2"/>
    <n v="6.5"/>
    <n v="13"/>
  </r>
  <r>
    <s v="Outubro"/>
    <s v="SEMANA 4"/>
    <n v="27"/>
    <x v="1"/>
    <s v="Cheiro Verde"/>
    <s v="Vagem Macarrão"/>
    <s v="kg"/>
    <n v="2"/>
    <n v="4.38"/>
    <n v="8.76"/>
  </r>
  <r>
    <s v="Outubro"/>
    <s v="SEMANA 4"/>
    <n v="27"/>
    <x v="1"/>
    <s v="Umehara"/>
    <s v="Cebola"/>
    <s v="kg"/>
    <n v="19.899999999999999"/>
    <n v="1.3316582914572865"/>
    <n v="26.5"/>
  </r>
  <r>
    <s v="Outubro"/>
    <s v="SEMANA 4"/>
    <n v="27"/>
    <x v="1"/>
    <s v="Umehara"/>
    <s v="Kiwi"/>
    <s v="kg"/>
    <n v="1"/>
    <n v="13.7"/>
    <n v="13.7"/>
  </r>
  <r>
    <s v="Outubro"/>
    <s v="SEMANA 4"/>
    <n v="27"/>
    <x v="1"/>
    <s v="Umehara"/>
    <s v="Laranja Pera"/>
    <s v="kg"/>
    <n v="20.04"/>
    <n v="1.3972055888223553"/>
    <n v="28"/>
  </r>
  <r>
    <s v="Outubro"/>
    <s v="SEMANA 4"/>
    <n v="27"/>
    <x v="1"/>
    <s v="Umehara"/>
    <s v="Melância"/>
    <s v="kg"/>
    <n v="11"/>
    <n v="1.32"/>
    <n v="14.520000000000001"/>
  </r>
  <r>
    <s v="Outubro"/>
    <s v="SEMANA 4"/>
    <n v="27"/>
    <x v="1"/>
    <s v="Umehara"/>
    <s v="Pepino Japonês"/>
    <s v="kg"/>
    <n v="17.319999999999997"/>
    <n v="2.7588168373151309"/>
    <n v="47.782707622298062"/>
  </r>
  <r>
    <s v="Outubro"/>
    <s v="SEMANA 4"/>
    <n v="27"/>
    <x v="1"/>
    <s v="Umehara"/>
    <s v="Tomate Salada"/>
    <s v="kg"/>
    <n v="20.52"/>
    <n v="1.7787524366471734"/>
    <n v="36.5"/>
  </r>
  <r>
    <s v="Outubro"/>
    <s v="SEMANA 4"/>
    <n v="27"/>
    <x v="1"/>
    <s v="Umehara"/>
    <s v="Batata Baroa"/>
    <s v="kg"/>
    <n v="8"/>
    <n v="4.4000000000000004"/>
    <n v="35.200000000000003"/>
  </r>
  <r>
    <s v="Outubro"/>
    <s v="SEMANA 4"/>
    <n v="27"/>
    <x v="1"/>
    <s v="Umehara"/>
    <s v="Brócolis Nacional"/>
    <s v="kg"/>
    <n v="4"/>
    <n v="3.5"/>
    <n v="14"/>
  </r>
  <r>
    <s v="Outubro"/>
    <s v="SEMANA 4"/>
    <n v="27"/>
    <x v="1"/>
    <s v="Umehara"/>
    <s v="Côco Verde"/>
    <s v="unid"/>
    <n v="10"/>
    <n v="1.98"/>
    <n v="19.8"/>
  </r>
  <r>
    <s v="Outubro"/>
    <s v="SEMANA 4"/>
    <n v="27"/>
    <x v="1"/>
    <s v="Umehara"/>
    <s v="Hortelã"/>
    <s v="kg"/>
    <n v="0.5"/>
    <n v="4.5"/>
    <n v="2.25"/>
  </r>
  <r>
    <s v="Outubro"/>
    <s v="SEMANA 4"/>
    <n v="27"/>
    <x v="1"/>
    <s v="Umehara"/>
    <s v="Limão"/>
    <s v="kg"/>
    <n v="23.08"/>
    <n v="4.9826689774696709"/>
    <n v="115"/>
  </r>
  <r>
    <s v="Outubro"/>
    <s v="SEMANA 4"/>
    <n v="27"/>
    <x v="1"/>
    <s v="Umehara"/>
    <s v="Limão Siciliano"/>
    <s v="kg"/>
    <n v="1"/>
    <n v="6.66"/>
    <n v="6.66"/>
  </r>
  <r>
    <s v="Outubro"/>
    <s v="SEMANA 4"/>
    <n v="27"/>
    <x v="1"/>
    <s v="Alcibiades G. Quintas"/>
    <s v="Chuchu"/>
    <s v="kg"/>
    <n v="16.739999999999998"/>
    <n v="2.0908004778972522"/>
    <n v="35"/>
  </r>
  <r>
    <s v="Outubro"/>
    <s v="SEMANA 4"/>
    <n v="27"/>
    <x v="1"/>
    <s v="Alcibiades G. Quintas"/>
    <s v="Quiabo"/>
    <s v="kg"/>
    <n v="2"/>
    <n v="6.5"/>
    <n v="13"/>
  </r>
  <r>
    <s v="Outubro"/>
    <s v="SEMANA 4"/>
    <n v="27"/>
    <x v="1"/>
    <s v="Alcibiades G. Quintas"/>
    <s v="Cebolinha Verde"/>
    <s v="kg"/>
    <n v="1"/>
    <n v="7"/>
    <n v="7"/>
  </r>
  <r>
    <s v="Outubro"/>
    <s v="SEMANA 4"/>
    <n v="27"/>
    <x v="1"/>
    <s v="Alcibiades G. Quintas"/>
    <s v="Manjericão"/>
    <s v="kg"/>
    <n v="0.3"/>
    <n v="12"/>
    <n v="3.5999999999999996"/>
  </r>
  <r>
    <s v="Outubro"/>
    <s v="SEMANA 4"/>
    <n v="27"/>
    <x v="1"/>
    <s v="Alcibiades G. Quintas"/>
    <s v="Salsa"/>
    <s v="kg"/>
    <n v="1"/>
    <n v="7"/>
    <n v="7"/>
  </r>
  <r>
    <s v="Outubro"/>
    <s v="SEMANA 4"/>
    <n v="27"/>
    <x v="1"/>
    <s v="Alcibiades G. Quintas"/>
    <s v="Tomilho"/>
    <s v="kg"/>
    <n v="0.2"/>
    <n v="25"/>
    <n v="5"/>
  </r>
  <r>
    <s v="Outubro"/>
    <s v="SEMANA 4"/>
    <n v="27"/>
    <x v="1"/>
    <s v="Alcibiades G. Quintas"/>
    <s v="Aneto"/>
    <s v="kg"/>
    <n v="0.1"/>
    <n v="30"/>
    <n v="3"/>
  </r>
  <r>
    <s v="Outubro"/>
    <s v="SEMANA 4"/>
    <n v="27"/>
    <x v="4"/>
    <s v="Alcibiades G. Quintas"/>
    <s v="Abacate Sushi"/>
    <s v="kg"/>
    <n v="1"/>
    <n v="8"/>
    <n v="8"/>
  </r>
  <r>
    <s v="Outubro"/>
    <s v="SEMANA 4"/>
    <n v="27"/>
    <x v="1"/>
    <s v="Alcibiades G. Quintas"/>
    <s v="Banana D'Água"/>
    <s v="kg"/>
    <n v="2"/>
    <n v="3.4"/>
    <n v="6.8"/>
  </r>
  <r>
    <s v="Outubro"/>
    <s v="SEMANA 4"/>
    <n v="27"/>
    <x v="1"/>
    <s v="Alcibiades G. Quintas"/>
    <s v="Manga Palmer"/>
    <s v="kg"/>
    <n v="5.7"/>
    <n v="4.3859649122807012"/>
    <n v="24.999999999999996"/>
  </r>
  <r>
    <s v="Outubro"/>
    <s v="SEMANA 4"/>
    <n v="27"/>
    <x v="6"/>
    <s v="Sitio do Moinho"/>
    <s v="Abobrinha Org. Feirinha"/>
    <s v="kg"/>
    <n v="1.5"/>
    <n v="7.85"/>
    <n v="11.774999999999999"/>
  </r>
  <r>
    <s v="Outubro"/>
    <s v="SEMANA 4"/>
    <n v="27"/>
    <x v="1"/>
    <s v="Sitio do Moinho"/>
    <s v="Alface crespa Orgânica"/>
    <s v="kg"/>
    <n v="1.42"/>
    <n v="10"/>
    <n v="14.2"/>
  </r>
  <r>
    <s v="Outubro"/>
    <s v="SEMANA 4"/>
    <n v="27"/>
    <x v="6"/>
    <s v="Sitio do Moinho"/>
    <s v="Alface Crespa Org. Feirinha"/>
    <s v="kg"/>
    <n v="1.08"/>
    <n v="10"/>
    <n v="10.8"/>
  </r>
  <r>
    <s v="Outubro"/>
    <s v="SEMANA 4"/>
    <n v="27"/>
    <x v="6"/>
    <s v="Sitio do Moinho"/>
    <s v="Alface Roxa Org. Feirinha"/>
    <s v="kg"/>
    <n v="0.74"/>
    <n v="10.135135135135135"/>
    <n v="7.5"/>
  </r>
  <r>
    <s v="Outubro"/>
    <s v="SEMANA 4"/>
    <n v="27"/>
    <x v="6"/>
    <s v="Sitio do Moinho"/>
    <s v="Berinjela Org. Feirinha"/>
    <s v="kg"/>
    <n v="1.5"/>
    <n v="8.1999999999999993"/>
    <n v="12.299999999999999"/>
  </r>
  <r>
    <s v="Outubro"/>
    <s v="SEMANA 4"/>
    <n v="27"/>
    <x v="1"/>
    <s v="Sitio do Moinho"/>
    <s v="Beterraba Orgânica"/>
    <s v="kg"/>
    <n v="2.1"/>
    <n v="7.7"/>
    <n v="16.170000000000002"/>
  </r>
  <r>
    <s v="Outubro"/>
    <s v="SEMANA 4"/>
    <n v="27"/>
    <x v="6"/>
    <s v="Sitio do Moinho"/>
    <s v="Beterraba Orgânica Feirinha"/>
    <s v="kg"/>
    <n v="2"/>
    <n v="7.7"/>
    <n v="15.4"/>
  </r>
  <r>
    <s v="Outubro"/>
    <s v="SEMANA 4"/>
    <n v="27"/>
    <x v="1"/>
    <s v="Sitio do Moinho"/>
    <s v="Cenoura Orgânica"/>
    <s v="kg"/>
    <n v="5"/>
    <n v="7.75"/>
    <n v="38.75"/>
  </r>
  <r>
    <s v="Outubro"/>
    <s v="SEMANA 4"/>
    <n v="27"/>
    <x v="6"/>
    <s v="Sitio do Moinho"/>
    <s v="Cenoura Org. Feirinha"/>
    <s v="kg"/>
    <n v="2"/>
    <n v="7.75"/>
    <n v="15.5"/>
  </r>
  <r>
    <s v="Outubro"/>
    <s v="SEMANA 4"/>
    <n v="27"/>
    <x v="6"/>
    <s v="Sitio do Moinho"/>
    <s v="Couve Orgânica Feirinha"/>
    <s v="kg"/>
    <n v="0.9"/>
    <n v="9.3333333333333339"/>
    <n v="8.4"/>
  </r>
  <r>
    <s v="Outubro"/>
    <s v="SEMANA 4"/>
    <n v="27"/>
    <x v="1"/>
    <s v="Sitio do Moinho"/>
    <s v="Rúcula Orgânica"/>
    <s v="kg"/>
    <n v="4.5"/>
    <n v="21.333333333333332"/>
    <n v="96"/>
  </r>
  <r>
    <s v="Outubro"/>
    <s v="SEMANA 4"/>
    <n v="27"/>
    <x v="6"/>
    <s v="Sitio do Moinho"/>
    <s v="Rucula Org. Feirinha"/>
    <s v="kg"/>
    <n v="0.45"/>
    <n v="21.333333333333332"/>
    <n v="9.6"/>
  </r>
  <r>
    <s v="Outubro"/>
    <s v="SEMANA 4"/>
    <n v="27"/>
    <x v="1"/>
    <s v="Horitufruti São Clemente"/>
    <s v="Alface Americana    "/>
    <s v="kg"/>
    <n v="3.14"/>
    <n v="5.3503184713375793"/>
    <n v="16.8"/>
  </r>
  <r>
    <s v="Outubro"/>
    <s v="SEMANA 4"/>
    <n v="27"/>
    <x v="0"/>
    <s v="Laticinios Alhambra"/>
    <s v="Creme de Leite Chantily"/>
    <s v="kg"/>
    <n v="0.5"/>
    <n v="22.28"/>
    <n v="11.14"/>
  </r>
  <r>
    <s v="Outubro"/>
    <s v="SEMANA 4"/>
    <n v="27"/>
    <x v="0"/>
    <s v="Laticinios Alhambra"/>
    <s v="Creme de Leite Culinário 20% Bd 10 Lt"/>
    <s v="bd"/>
    <n v="1"/>
    <n v="142.44999999999999"/>
    <n v="142.44999999999999"/>
  </r>
  <r>
    <s v="Outubro"/>
    <s v="SEMANA 4"/>
    <n v="27"/>
    <x v="0"/>
    <s v="Laticinios Alhambra"/>
    <s v="Queijo Ricota"/>
    <s v="kg"/>
    <n v="1.98"/>
    <n v="10.6"/>
    <n v="20.988"/>
  </r>
  <r>
    <s v="Outubro"/>
    <s v="SEMANA 4"/>
    <n v="27"/>
    <x v="0"/>
    <s v="Laticinios Alhambra"/>
    <s v="Queijo Requeijão BD 3,6 Kg"/>
    <s v="kg"/>
    <n v="1"/>
    <n v="74.400000000000006"/>
    <n v="74.400000000000006"/>
  </r>
  <r>
    <s v="Outubro"/>
    <s v="SEMANA 4"/>
    <n v="27"/>
    <x v="6"/>
    <s v="Lenira Brandão (Suzanne)"/>
    <s v="Bolo de Cacau Belga"/>
    <s v="unid"/>
    <n v="2"/>
    <n v="9.5"/>
    <n v="19"/>
  </r>
  <r>
    <s v="Outubro"/>
    <s v="SEMANA 4"/>
    <n v="27"/>
    <x v="6"/>
    <s v="Lenira Brandão (Suzanne)"/>
    <s v="Bolo de Banana (com Amendoas)"/>
    <s v="unid"/>
    <n v="2"/>
    <n v="9.5"/>
    <n v="19"/>
  </r>
  <r>
    <s v="Outubro"/>
    <s v="SEMANA 4"/>
    <n v="27"/>
    <x v="6"/>
    <s v="Lenira Brandão (Suzanne)"/>
    <s v="Bolo de Cenoura (com cobertura de chocolate)"/>
    <s v="unid"/>
    <n v="2"/>
    <n v="9.5"/>
    <n v="19"/>
  </r>
  <r>
    <s v="Outubro"/>
    <s v="SEMANA 4"/>
    <n v="27"/>
    <x v="6"/>
    <s v="Lenira Brandão (Suzanne)"/>
    <s v="Bolo de Fuba (com cobertura de goiaba)"/>
    <s v="unid"/>
    <n v="2"/>
    <n v="9.5"/>
    <n v="19"/>
  </r>
  <r>
    <s v="Outubro"/>
    <s v="SEMANA 4"/>
    <n v="27"/>
    <x v="6"/>
    <s v="Lenira Brandão (Suzanne)"/>
    <s v="Mini Bolo de Cacau Belga"/>
    <s v="unid"/>
    <n v="3"/>
    <n v="4.5"/>
    <n v="13.5"/>
  </r>
  <r>
    <s v="Outubro"/>
    <s v="SEMANA 4"/>
    <n v="27"/>
    <x v="6"/>
    <s v="Lenira Brandão (Suzanne)"/>
    <s v="Mini Bolo de Banana (com amendoas)"/>
    <s v="unid"/>
    <n v="2"/>
    <n v="4.5"/>
    <n v="9"/>
  </r>
  <r>
    <s v="Outubro"/>
    <s v="SEMANA 4"/>
    <n v="27"/>
    <x v="6"/>
    <s v="Lenira Brandão (Suzanne)"/>
    <s v="Mini Bolo de Cenoura (com cobertura de chocolate)"/>
    <s v="unid"/>
    <n v="3"/>
    <n v="4.5"/>
    <n v="13.5"/>
  </r>
  <r>
    <s v="Outubro"/>
    <s v="SEMANA 4"/>
    <n v="27"/>
    <x v="6"/>
    <s v="Lenira Brandão (Suzanne)"/>
    <s v="Mini Bolo de Fuba (com cobertura goiaba)"/>
    <s v="unid"/>
    <n v="2"/>
    <n v="4.5"/>
    <n v="9"/>
  </r>
  <r>
    <s v="Outubro"/>
    <s v="SEMANA 4"/>
    <n v="27"/>
    <x v="6"/>
    <s v="Lenira Brandão (Suzanne)"/>
    <s v="Petit Four de Cacau Belga"/>
    <s v="unid"/>
    <n v="5"/>
    <n v="9.5"/>
    <n v="47.5"/>
  </r>
  <r>
    <s v="Outubro"/>
    <s v="SEMANA 4"/>
    <n v="27"/>
    <x v="5"/>
    <s v="Nossos Sabores"/>
    <s v="Torta Banana Crock"/>
    <s v="fatia"/>
    <n v="12"/>
    <n v="5.7466666666666661"/>
    <n v="68.959999999999994"/>
  </r>
  <r>
    <s v="Outubro"/>
    <s v="SEMANA 4"/>
    <n v="27"/>
    <x v="5"/>
    <s v="Nossos Sabores"/>
    <s v="Torta Bem Casado de Chocolate c/ Avelã"/>
    <s v="fatia"/>
    <n v="24"/>
    <n v="5.7466666666666661"/>
    <n v="137.91999999999999"/>
  </r>
  <r>
    <s v="Outubro"/>
    <s v="SEMANA 4"/>
    <n v="27"/>
    <x v="5"/>
    <s v="Nossos Sabores"/>
    <s v="Torta Bem Casado de Damasco"/>
    <s v="fatia"/>
    <n v="24"/>
    <n v="5.7466666666666661"/>
    <n v="137.91999999999999"/>
  </r>
  <r>
    <s v="Outubro"/>
    <s v="SEMANA 4"/>
    <n v="27"/>
    <x v="5"/>
    <s v="Nossos Sabores"/>
    <s v="Torta de Brigadeiro c/ Raspas"/>
    <s v="fatia"/>
    <n v="12"/>
    <n v="5.57"/>
    <n v="66.84"/>
  </r>
  <r>
    <s v="Outubro"/>
    <s v="SEMANA 4"/>
    <n v="27"/>
    <x v="5"/>
    <s v="Nossos Sabores"/>
    <s v="Torta de Cenoura c/ Chocolate"/>
    <s v="fatia"/>
    <n v="12"/>
    <n v="5.375"/>
    <n v="64.5"/>
  </r>
  <r>
    <s v="Outubro"/>
    <s v="SEMANA 4"/>
    <n v="27"/>
    <x v="5"/>
    <s v="Nossos Sabores"/>
    <s v="Torta Financier com Quindim"/>
    <s v="fatia"/>
    <n v="12"/>
    <n v="5.9241666666666672"/>
    <n v="71.09"/>
  </r>
  <r>
    <s v="Outubro"/>
    <s v="SEMANA 4"/>
    <n v="27"/>
    <x v="5"/>
    <s v="Nossos Sabores"/>
    <s v="Torta de Limão"/>
    <s v="fatia"/>
    <n v="12"/>
    <n v="5.3041666666666663"/>
    <n v="63.649999999999991"/>
  </r>
  <r>
    <s v="Outubro"/>
    <s v="SEMANA 4"/>
    <n v="27"/>
    <x v="5"/>
    <s v="Nossos Sabores"/>
    <s v="Quindão com Damasco"/>
    <s v="fatia"/>
    <n v="12"/>
    <n v="5.57"/>
    <n v="66.84"/>
  </r>
  <r>
    <s v="Outubro"/>
    <s v="SEMANA 4"/>
    <n v="27"/>
    <x v="5"/>
    <s v="Nossos Sabores"/>
    <s v="Torta Brownie com Nozes"/>
    <s v="unid"/>
    <n v="8"/>
    <n v="5.9124999999999996"/>
    <n v="47.3"/>
  </r>
  <r>
    <s v="Outubro"/>
    <s v="SEMANA 4"/>
    <n v="27"/>
    <x v="3"/>
    <s v="DM Com. Pescados"/>
    <s v="Pescados - Atum Fresco"/>
    <s v="kg"/>
    <n v="40"/>
    <n v="14.9"/>
    <n v="596"/>
  </r>
  <r>
    <s v="Outubro"/>
    <s v="SEMANA 4"/>
    <n v="27"/>
    <x v="0"/>
    <s v="Mercadinho Bambina"/>
    <s v="Tapioca Granulada "/>
    <s v="kg"/>
    <n v="1.5"/>
    <n v="11"/>
    <n v="16.5"/>
  </r>
  <r>
    <s v="Outubro"/>
    <s v="SEMANA 4"/>
    <n v="27"/>
    <x v="0"/>
    <s v="Luisa"/>
    <s v="Clara de Ovo"/>
    <s v="kg"/>
    <n v="10.88"/>
    <n v="6.8933823529411757"/>
    <n v="75"/>
  </r>
  <r>
    <s v="Outubro"/>
    <s v="SEMANA 4"/>
    <n v="28"/>
    <x v="0"/>
    <s v="Mercadinho Bambina"/>
    <s v="Batata Palha 140 g"/>
    <s v="pcte"/>
    <n v="3"/>
    <n v="7.8"/>
    <n v="23.4"/>
  </r>
  <r>
    <s v="Outubro"/>
    <s v="SEMANA 4"/>
    <n v="28"/>
    <x v="0"/>
    <s v="Mercadinho Bambina"/>
    <s v="Pão Árabe"/>
    <s v="pcte"/>
    <n v="3"/>
    <n v="6.7"/>
    <n v="20.100000000000001"/>
  </r>
  <r>
    <s v="Outubro"/>
    <s v="SEMANA 4"/>
    <n v="25"/>
    <x v="0"/>
    <s v="Zamboni"/>
    <s v="Vinagre de Arroz (cozinha)"/>
    <s v="lt"/>
    <n v="5.25"/>
    <n v="5.28"/>
    <n v="27.720000000000002"/>
  </r>
  <r>
    <s v="Outubro"/>
    <s v="SEMANA 4"/>
    <n v="28"/>
    <x v="1"/>
    <s v="Cheiro Verde"/>
    <s v="Abobora"/>
    <s v="kg"/>
    <n v="5.86"/>
    <n v="1.88"/>
    <n v="11.0168"/>
  </r>
  <r>
    <s v="Outubro"/>
    <s v="SEMANA 4"/>
    <n v="28"/>
    <x v="1"/>
    <s v="Cheiro Verde"/>
    <s v="Batata HBT"/>
    <s v="kg"/>
    <n v="25"/>
    <n v="1.68"/>
    <n v="42"/>
  </r>
  <r>
    <s v="Outubro"/>
    <s v="SEMANA 4"/>
    <n v="28"/>
    <x v="1"/>
    <s v="Cheiro Verde"/>
    <s v="Coentro"/>
    <s v="kg"/>
    <n v="0.08"/>
    <n v="11.25"/>
    <n v="0.9"/>
  </r>
  <r>
    <s v="Outubro"/>
    <s v="SEMANA 4"/>
    <n v="28"/>
    <x v="1"/>
    <s v="Cheiro Verde"/>
    <s v="Espinafre"/>
    <s v="kg"/>
    <n v="2.2000000000000002"/>
    <n v="4.4000000000000004"/>
    <n v="9.6800000000000015"/>
  </r>
  <r>
    <s v="Outubro"/>
    <s v="SEMANA 4"/>
    <n v="28"/>
    <x v="1"/>
    <s v="Cheiro Verde"/>
    <s v="Melão de Rede "/>
    <s v="kg"/>
    <n v="4.22"/>
    <n v="5"/>
    <n v="21.099999999999998"/>
  </r>
  <r>
    <s v="Outubro"/>
    <s v="SEMANA 4"/>
    <n v="28"/>
    <x v="1"/>
    <s v="Cheiro Verde"/>
    <s v="Berinjela"/>
    <s v="kg"/>
    <n v="13.08"/>
    <n v="2.79"/>
    <n v="36.493200000000002"/>
  </r>
  <r>
    <s v="Outubro"/>
    <s v="SEMANA 4"/>
    <n v="28"/>
    <x v="1"/>
    <s v="Cheiro Verde"/>
    <s v="Beterraba"/>
    <s v="kg"/>
    <n v="7"/>
    <n v="1.54"/>
    <n v="10.780000000000001"/>
  </r>
  <r>
    <s v="Outubro"/>
    <s v="SEMANA 4"/>
    <n v="28"/>
    <x v="1"/>
    <s v="Cheiro Verde"/>
    <s v="Cebola Calabresa"/>
    <s v="kg"/>
    <n v="3"/>
    <n v="1.85"/>
    <n v="5.5500000000000007"/>
  </r>
  <r>
    <s v="Outubro"/>
    <s v="SEMANA 4"/>
    <n v="28"/>
    <x v="4"/>
    <s v="Cheiro Verde"/>
    <s v="Nabo Japonês Sushi"/>
    <s v="kg"/>
    <n v="1"/>
    <n v="5"/>
    <n v="5"/>
  </r>
  <r>
    <s v="Outubro"/>
    <s v="SEMANA 4"/>
    <n v="28"/>
    <x v="1"/>
    <s v="Cheiro Verde"/>
    <s v="Pimentão Verde"/>
    <s v="kg"/>
    <n v="1"/>
    <n v="4.04"/>
    <n v="4.04"/>
  </r>
  <r>
    <s v="Outubro"/>
    <s v="SEMANA 4"/>
    <n v="28"/>
    <x v="0"/>
    <s v="Umehara"/>
    <s v="Côco Seco"/>
    <s v="kg"/>
    <n v="1"/>
    <n v="6.9"/>
    <n v="6.9"/>
  </r>
  <r>
    <s v="Outubro"/>
    <s v="SEMANA 4"/>
    <n v="28"/>
    <x v="1"/>
    <s v="Umehara"/>
    <s v="Couve Flor"/>
    <s v="kg"/>
    <n v="8"/>
    <n v="4.25"/>
    <n v="34"/>
  </r>
  <r>
    <s v="Outubro"/>
    <s v="SEMANA 4"/>
    <n v="28"/>
    <x v="1"/>
    <s v="Umehara"/>
    <s v="Laranja Pera"/>
    <s v="kg"/>
    <n v="41.56"/>
    <n v="1.3474494706448508"/>
    <n v="56"/>
  </r>
  <r>
    <s v="Outubro"/>
    <s v="SEMANA 4"/>
    <n v="28"/>
    <x v="1"/>
    <s v="Umehara"/>
    <s v="Tomate Salada"/>
    <s v="kg"/>
    <n v="8"/>
    <n v="1.825"/>
    <n v="14.6"/>
  </r>
  <r>
    <s v="Outubro"/>
    <s v="SEMANA 4"/>
    <n v="28"/>
    <x v="1"/>
    <s v="Umehara"/>
    <s v="Côco Verde"/>
    <s v="unid"/>
    <n v="30"/>
    <n v="1.98"/>
    <n v="59.4"/>
  </r>
  <r>
    <s v="Outubro"/>
    <s v="SEMANA 4"/>
    <n v="28"/>
    <x v="1"/>
    <s v="Umehara"/>
    <s v="Hortelã"/>
    <s v="kg"/>
    <n v="0.5"/>
    <n v="4.5"/>
    <n v="2.25"/>
  </r>
  <r>
    <s v="Outubro"/>
    <s v="SEMANA 4"/>
    <n v="28"/>
    <x v="1"/>
    <s v="Umehara"/>
    <s v="Limão Siciliano"/>
    <s v="kg"/>
    <n v="1"/>
    <n v="6.66"/>
    <n v="6.66"/>
  </r>
  <r>
    <s v="Outubro"/>
    <s v="SEMANA 4"/>
    <n v="28"/>
    <x v="1"/>
    <s v="Umehara"/>
    <s v="Alface Americana    "/>
    <s v="kg"/>
    <n v="7.46"/>
    <n v="2.5134048257372656"/>
    <n v="18.75"/>
  </r>
  <r>
    <s v="Outubro"/>
    <s v="SEMANA 4"/>
    <n v="28"/>
    <x v="1"/>
    <s v="Umehara"/>
    <s v="Maçã Nacional"/>
    <s v="kg"/>
    <n v="17.66"/>
    <n v="3.6183465458663644"/>
    <n v="63.9"/>
  </r>
  <r>
    <s v="Outubro"/>
    <s v="SEMANA 4"/>
    <n v="28"/>
    <x v="1"/>
    <s v="Umehara"/>
    <s v="Mamão Bahia"/>
    <s v="kg"/>
    <n v="4"/>
    <n v="2.4"/>
    <n v="9.6"/>
  </r>
  <r>
    <s v="Outubro"/>
    <s v="SEMANA 4"/>
    <n v="28"/>
    <x v="1"/>
    <s v="Umehara"/>
    <s v="Ovos Extra"/>
    <s v="unid"/>
    <n v="360"/>
    <n v="0.26666666666666666"/>
    <n v="96"/>
  </r>
  <r>
    <s v="Outubro"/>
    <s v="SEMANA 4"/>
    <n v="28"/>
    <x v="0"/>
    <s v="Planeta Gelo"/>
    <s v="Gelo em Escamas"/>
    <s v="saco"/>
    <n v="2"/>
    <n v="7.5"/>
    <n v="15"/>
  </r>
  <r>
    <s v="Outubro"/>
    <s v="SEMANA 4"/>
    <n v="28"/>
    <x v="0"/>
    <s v="Planeta Gelo"/>
    <s v="Gelo em Cubo"/>
    <s v="saco"/>
    <n v="3"/>
    <n v="7.5"/>
    <n v="22.5"/>
  </r>
  <r>
    <s v="Outubro"/>
    <s v="SEMANA 4"/>
    <n v="28"/>
    <x v="1"/>
    <s v="Batata, o Rei do Alho"/>
    <s v="Alho Descascado"/>
    <s v="kg"/>
    <n v="15"/>
    <n v="15.5"/>
    <n v="232.5"/>
  </r>
  <r>
    <s v="Outubro"/>
    <s v="SEMANA 4"/>
    <n v="28"/>
    <x v="1"/>
    <s v="Alcibiades G. Quintas"/>
    <s v="Abobrinha "/>
    <s v="kg"/>
    <n v="15.74"/>
    <n v="1.2706480304955527"/>
    <n v="20"/>
  </r>
  <r>
    <s v="Outubro"/>
    <s v="SEMANA 4"/>
    <n v="28"/>
    <x v="1"/>
    <s v="Alcibiades G. Quintas"/>
    <s v="Batata Yacon"/>
    <s v="kg"/>
    <n v="0.5"/>
    <n v="8"/>
    <n v="4"/>
  </r>
  <r>
    <s v="Outubro"/>
    <s v="SEMANA 4"/>
    <n v="28"/>
    <x v="1"/>
    <s v="Alcibiades G. Quintas"/>
    <s v="Cenoura"/>
    <s v="kg"/>
    <n v="18.12"/>
    <n v="2.6490066225165561"/>
    <n v="48"/>
  </r>
  <r>
    <s v="Outubro"/>
    <s v="SEMANA 4"/>
    <n v="28"/>
    <x v="1"/>
    <s v="Alcibiades G. Quintas"/>
    <s v="Pimentão Amarelo"/>
    <s v="kg"/>
    <n v="2"/>
    <n v="15"/>
    <n v="30"/>
  </r>
  <r>
    <s v="Outubro"/>
    <s v="SEMANA 4"/>
    <n v="28"/>
    <x v="1"/>
    <s v="Alcibiades G. Quintas"/>
    <s v="Pimentão Vermelho"/>
    <s v="kg"/>
    <n v="2"/>
    <n v="15"/>
    <n v="30"/>
  </r>
  <r>
    <s v="Outubro"/>
    <s v="SEMANA 4"/>
    <n v="28"/>
    <x v="1"/>
    <s v="Alcibiades G. Quintas"/>
    <s v="Brócolis Americano"/>
    <s v="kg"/>
    <n v="3"/>
    <n v="7"/>
    <n v="21"/>
  </r>
  <r>
    <s v="Outubro"/>
    <s v="SEMANA 4"/>
    <n v="28"/>
    <x v="1"/>
    <s v="Alcibiades G. Quintas"/>
    <s v="Cebolinha Verde"/>
    <s v="kg"/>
    <n v="1"/>
    <n v="7"/>
    <n v="7"/>
  </r>
  <r>
    <s v="Outubro"/>
    <s v="SEMANA 4"/>
    <n v="28"/>
    <x v="1"/>
    <s v="Alcibiades G. Quintas"/>
    <s v="Salsa"/>
    <s v="kg"/>
    <n v="1"/>
    <n v="7"/>
    <n v="7"/>
  </r>
  <r>
    <s v="Outubro"/>
    <s v="SEMANA 4"/>
    <n v="28"/>
    <x v="4"/>
    <s v="Alcibiades G. Quintas"/>
    <s v="Abacate Sushi"/>
    <s v="kg"/>
    <n v="1"/>
    <n v="8"/>
    <n v="8"/>
  </r>
  <r>
    <s v="Outubro"/>
    <s v="SEMANA 4"/>
    <n v="28"/>
    <x v="1"/>
    <s v="Alcibiades G. Quintas"/>
    <s v="Abacaxi "/>
    <s v="kg"/>
    <n v="20"/>
    <n v="2.4"/>
    <n v="48"/>
  </r>
  <r>
    <s v="Outubro"/>
    <s v="SEMANA 4"/>
    <n v="28"/>
    <x v="1"/>
    <s v="Alcibiades G. Quintas"/>
    <s v="Banana D'Água"/>
    <s v="kg"/>
    <n v="3"/>
    <n v="3.4"/>
    <n v="10.199999999999999"/>
  </r>
  <r>
    <s v="Outubro"/>
    <s v="SEMANA 4"/>
    <n v="28"/>
    <x v="1"/>
    <s v="Alcibiades G. Quintas"/>
    <s v="Banana da Terra"/>
    <s v="kg"/>
    <n v="4"/>
    <n v="4.5"/>
    <n v="18"/>
  </r>
  <r>
    <s v="Outubro"/>
    <s v="SEMANA 4"/>
    <n v="28"/>
    <x v="1"/>
    <s v="Alcibiades G. Quintas"/>
    <s v="Manga Palmer"/>
    <s v="kg"/>
    <n v="12"/>
    <n v="4.166666666666667"/>
    <n v="50"/>
  </r>
  <r>
    <s v="Outubro"/>
    <s v="SEMANA 4"/>
    <n v="28"/>
    <x v="1"/>
    <s v="Alcibiades G. Quintas"/>
    <s v="Uva s/ Caroço"/>
    <s v="kg"/>
    <n v="1"/>
    <n v="16"/>
    <n v="16"/>
  </r>
  <r>
    <s v="Outubro"/>
    <s v="SEMANA 4"/>
    <n v="28"/>
    <x v="1"/>
    <s v="Alcibiades G. Quintas"/>
    <s v="Aspargos Frescos"/>
    <s v="kg"/>
    <n v="1"/>
    <n v="32"/>
    <n v="32"/>
  </r>
  <r>
    <s v="Outubro"/>
    <s v="SEMANA 4"/>
    <n v="28"/>
    <x v="3"/>
    <s v="Top Alto"/>
    <s v="Carne Bovina - Filé Mignon 3/4"/>
    <s v="kg"/>
    <n v="30.53"/>
    <n v="37"/>
    <n v="1129.6100000000001"/>
  </r>
  <r>
    <s v="Outubro"/>
    <s v="SEMANA 4"/>
    <n v="28"/>
    <x v="3"/>
    <s v="Top Alto"/>
    <s v="Suíno - Linguiça Calabresa"/>
    <s v="kg"/>
    <n v="2.5"/>
    <n v="9.9700000000000006"/>
    <n v="24.925000000000001"/>
  </r>
  <r>
    <s v="Outubro"/>
    <s v="SEMANA 4"/>
    <n v="28"/>
    <x v="3"/>
    <s v="Top Alto"/>
    <s v="Suíno - Linguiça Paio"/>
    <s v="kg"/>
    <n v="2.5"/>
    <n v="12.14"/>
    <n v="30.35"/>
  </r>
  <r>
    <s v="Outubro"/>
    <s v="SEMANA 4"/>
    <n v="28"/>
    <x v="3"/>
    <s v="Top Alto"/>
    <s v="Carne Bovina - Alcatra Miolo"/>
    <s v="kg"/>
    <n v="26.84"/>
    <n v="21.47"/>
    <n v="576.25479999999993"/>
  </r>
  <r>
    <s v="Outubro"/>
    <s v="SEMANA 4"/>
    <n v="28"/>
    <x v="4"/>
    <s v="DM Com. Pescados"/>
    <s v="Pescados - Salmão Inteiro Sushi"/>
    <s v="kg"/>
    <n v="32.21"/>
    <n v="26.499844768705369"/>
    <n v="853.56"/>
  </r>
  <r>
    <s v="Outubro"/>
    <s v="SEMANA 4"/>
    <n v="28"/>
    <x v="4"/>
    <s v="DM Com. Pescados"/>
    <s v="Pescados - Atum Fresco Sushi"/>
    <s v="kg"/>
    <n v="17"/>
    <n v="14.9"/>
    <n v="253.3"/>
  </r>
  <r>
    <s v="Outubro"/>
    <s v="SEMANA 4"/>
    <n v="28"/>
    <x v="4"/>
    <s v="DM Com. Pescados"/>
    <s v="Pescados - Namorado Fresco Sushi"/>
    <s v="kg"/>
    <n v="3"/>
    <n v="21.9"/>
    <n v="65.699999999999989"/>
  </r>
  <r>
    <s v="Outubro"/>
    <s v="SEMANA 5"/>
    <n v="29"/>
    <x v="0"/>
    <s v="Planeta Gelo"/>
    <s v="Gelo em Escamas"/>
    <s v="saco"/>
    <n v="1"/>
    <n v="7.5"/>
    <n v="7.5"/>
  </r>
  <r>
    <s v="Outubro"/>
    <s v="SEMANA 5"/>
    <n v="29"/>
    <x v="0"/>
    <s v="Planeta Gelo"/>
    <s v="Gelo em Cubo"/>
    <s v="saco"/>
    <n v="2"/>
    <n v="7.5"/>
    <n v="15"/>
  </r>
  <r>
    <s v="Outubro"/>
    <s v="SEMANA 5"/>
    <n v="29"/>
    <x v="1"/>
    <s v="Super Mercado Zonasul"/>
    <s v="Goiaba"/>
    <s v="kg"/>
    <n v="0.66"/>
    <n v="11.99"/>
    <n v="7.9134000000000002"/>
  </r>
  <r>
    <s v="Outubro"/>
    <s v="SEMANA 5"/>
    <n v="29"/>
    <x v="1"/>
    <s v="Super Mercado Zonasul"/>
    <s v="Kiwi"/>
    <s v="kg"/>
    <n v="0.52"/>
    <n v="19.989999999999998"/>
    <n v="10.3948"/>
  </r>
  <r>
    <s v="Outubro"/>
    <s v="SEMANA 5"/>
    <n v="29"/>
    <x v="1"/>
    <s v="Super Mercado Zonasul"/>
    <s v="Coentro"/>
    <s v="kg"/>
    <n v="0.74"/>
    <n v="26.891891891891891"/>
    <n v="19.899999999999999"/>
  </r>
  <r>
    <s v="Outubro"/>
    <s v="SEMANA 5"/>
    <n v="29"/>
    <x v="0"/>
    <s v="Mercadinho Bambina"/>
    <s v="Pão Árabe"/>
    <s v="pcte"/>
    <n v="3"/>
    <n v="6.7"/>
    <n v="20.100000000000001"/>
  </r>
  <r>
    <s v="Outubro"/>
    <s v="SEMANA 5"/>
    <n v="29"/>
    <x v="0"/>
    <s v="Mercadinho Bambina"/>
    <s v="Pão de Forma"/>
    <s v="pcte"/>
    <n v="1"/>
    <n v="3.87"/>
    <n v="3.87"/>
  </r>
  <r>
    <s v="Outubro"/>
    <s v="SEMANA 5"/>
    <n v="30"/>
    <x v="0"/>
    <s v="Planeta Gelo"/>
    <s v="Gelo em Escamas"/>
    <s v="saco"/>
    <n v="1"/>
    <n v="7.5"/>
    <n v="7.5"/>
  </r>
  <r>
    <s v="Outubro"/>
    <s v="SEMANA 5"/>
    <n v="30"/>
    <x v="0"/>
    <s v="Planeta Gelo"/>
    <s v="Gelo em Cubo"/>
    <s v="saco"/>
    <n v="4"/>
    <n v="7.5"/>
    <n v="30"/>
  </r>
  <r>
    <s v="Outubro"/>
    <s v="SEMANA 5"/>
    <n v="30"/>
    <x v="0"/>
    <s v="Laticinios Alhambra"/>
    <s v="Creme de Leite Culinário 20% Bd 10 Lt"/>
    <s v="bd"/>
    <n v="1"/>
    <n v="142.44999999999999"/>
    <n v="142.44999999999999"/>
  </r>
  <r>
    <s v="Outubro"/>
    <s v="SEMANA 5"/>
    <n v="30"/>
    <x v="0"/>
    <s v="Laticinios Alhambra"/>
    <s v="Queijo Mussarela"/>
    <s v="kg"/>
    <n v="3.56"/>
    <n v="26"/>
    <n v="92.56"/>
  </r>
  <r>
    <s v="Outubro"/>
    <s v="SEMANA 5"/>
    <n v="30"/>
    <x v="0"/>
    <s v="Laticinios Alhambra"/>
    <s v="Queijo Minas"/>
    <s v="kg"/>
    <n v="3.1"/>
    <n v="20.8"/>
    <n v="64.48"/>
  </r>
  <r>
    <s v="Outubro"/>
    <s v="SEMANA 5"/>
    <n v="30"/>
    <x v="3"/>
    <s v="Reginaves"/>
    <s v="Aves - Filé de Peito de Frango"/>
    <s v="kg"/>
    <n v="48"/>
    <n v="7.8"/>
    <n v="374.4"/>
  </r>
  <r>
    <s v="Outubro"/>
    <s v="SEMANA 5"/>
    <n v="30"/>
    <x v="3"/>
    <s v="DM Com. Pescados"/>
    <s v="Pescados - Lula Calamares"/>
    <s v="kg"/>
    <n v="14"/>
    <n v="26.9"/>
    <n v="376.59999999999997"/>
  </r>
  <r>
    <s v="Outubro"/>
    <s v="SEMANA 5"/>
    <n v="30"/>
    <x v="3"/>
    <s v="Marfrig"/>
    <s v="Carne Bovina - Coração Alcatra"/>
    <s v="kg"/>
    <n v="22.831"/>
    <n v="19.377600000000001"/>
    <n v="442.40998560000003"/>
  </r>
  <r>
    <s v="Outubro"/>
    <s v="SEMANA 5"/>
    <n v="30"/>
    <x v="3"/>
    <s v="Barrinhas"/>
    <s v="Pescados - Bacalhau Salgado"/>
    <s v="kg"/>
    <n v="25"/>
    <n v="43.921599999999998"/>
    <n v="1098.04"/>
  </r>
  <r>
    <s v="Outubro"/>
    <s v="SEMANA 5"/>
    <n v="30"/>
    <x v="1"/>
    <s v="Sitio do Moinho"/>
    <s v="Alface Americana Orgânica"/>
    <s v="kg"/>
    <n v="8.34"/>
    <n v="8.6930455635491608"/>
    <n v="72.5"/>
  </r>
  <r>
    <s v="Outubro"/>
    <s v="SEMANA 5"/>
    <n v="30"/>
    <x v="1"/>
    <s v="Sitio do Moinho"/>
    <s v="Alface crespa Orgânica"/>
    <s v="kg"/>
    <n v="1.94"/>
    <n v="12.88659793814433"/>
    <n v="25"/>
  </r>
  <r>
    <s v="Outubro"/>
    <s v="SEMANA 5"/>
    <n v="30"/>
    <x v="1"/>
    <s v="Sitio do Moinho"/>
    <s v="Alface Roxa Orgânica"/>
    <s v="kg"/>
    <n v="0.64"/>
    <n v="15.625"/>
    <n v="10"/>
  </r>
  <r>
    <s v="Outubro"/>
    <s v="SEMANA 5"/>
    <n v="30"/>
    <x v="1"/>
    <s v="Sitio do Moinho"/>
    <s v="Beterraba Orgânica"/>
    <s v="kg"/>
    <n v="2"/>
    <n v="7.7"/>
    <n v="15.4"/>
  </r>
  <r>
    <s v="Outubro"/>
    <s v="SEMANA 5"/>
    <n v="30"/>
    <x v="1"/>
    <s v="Sitio do Moinho"/>
    <s v="Cenoura Orgânica"/>
    <s v="kg"/>
    <n v="2"/>
    <n v="7.75"/>
    <n v="15.5"/>
  </r>
  <r>
    <s v="Outubro"/>
    <s v="SEMANA 5"/>
    <n v="30"/>
    <x v="1"/>
    <s v="Sitio do Moinho"/>
    <s v="Rúcula Orgânica"/>
    <s v="kg"/>
    <n v="3.75"/>
    <n v="21.333333333333332"/>
    <n v="80"/>
  </r>
  <r>
    <s v="Outubro"/>
    <s v="SEMANA 5"/>
    <n v="30"/>
    <x v="1"/>
    <s v="Alcibiades G. Quintas"/>
    <s v="Abobora"/>
    <s v="kg"/>
    <n v="10"/>
    <n v="3.2"/>
    <n v="32"/>
  </r>
  <r>
    <s v="Outubro"/>
    <s v="SEMANA 5"/>
    <n v="30"/>
    <x v="1"/>
    <s v="Alcibiades G. Quintas"/>
    <s v="Batata Doce"/>
    <s v="kg"/>
    <n v="19.64"/>
    <n v="1.7820773930753564"/>
    <n v="35"/>
  </r>
  <r>
    <s v="Outubro"/>
    <s v="SEMANA 5"/>
    <n v="30"/>
    <x v="1"/>
    <s v="Alcibiades G. Quintas"/>
    <s v="Berinjela"/>
    <s v="kg"/>
    <n v="10.84"/>
    <n v="2.7675276752767526"/>
    <n v="29.999999999999996"/>
  </r>
  <r>
    <s v="Outubro"/>
    <s v="SEMANA 5"/>
    <n v="30"/>
    <x v="1"/>
    <s v="Alcibiades G. Quintas"/>
    <s v="Quiabo"/>
    <s v="kg"/>
    <n v="1"/>
    <n v="6"/>
    <n v="6"/>
  </r>
  <r>
    <s v="Outubro"/>
    <s v="SEMANA 5"/>
    <n v="30"/>
    <x v="1"/>
    <s v="Alcibiades G. Quintas"/>
    <s v="Cebolinha Verde"/>
    <s v="kg"/>
    <n v="1"/>
    <n v="7"/>
    <n v="7"/>
  </r>
  <r>
    <s v="Outubro"/>
    <s v="SEMANA 5"/>
    <n v="30"/>
    <x v="1"/>
    <s v="Alcibiades G. Quintas"/>
    <s v="Coentro"/>
    <s v="kg"/>
    <n v="1"/>
    <n v="14"/>
    <n v="14"/>
  </r>
  <r>
    <s v="Outubro"/>
    <s v="SEMANA 5"/>
    <n v="30"/>
    <x v="1"/>
    <s v="Alcibiades G. Quintas"/>
    <s v="Espinafre"/>
    <s v="kg"/>
    <n v="2"/>
    <n v="4.8"/>
    <n v="9.6"/>
  </r>
  <r>
    <s v="Outubro"/>
    <s v="SEMANA 5"/>
    <n v="30"/>
    <x v="1"/>
    <s v="Alcibiades G. Quintas"/>
    <s v="Salsa"/>
    <s v="kg"/>
    <n v="1"/>
    <n v="7"/>
    <n v="7"/>
  </r>
  <r>
    <s v="Outubro"/>
    <s v="SEMANA 5"/>
    <n v="30"/>
    <x v="1"/>
    <s v="Alcibiades G. Quintas"/>
    <s v="Abacate "/>
    <s v="kg"/>
    <n v="13"/>
    <n v="8"/>
    <n v="104"/>
  </r>
  <r>
    <s v="Outubro"/>
    <s v="SEMANA 5"/>
    <n v="30"/>
    <x v="1"/>
    <s v="Alcibiades G. Quintas"/>
    <s v="Abacaxi "/>
    <s v="kg"/>
    <n v="10"/>
    <n v="2.4"/>
    <n v="24"/>
  </r>
  <r>
    <s v="Outubro"/>
    <s v="SEMANA 5"/>
    <n v="30"/>
    <x v="1"/>
    <s v="Alcibiades G. Quintas"/>
    <s v="Banana D'Água"/>
    <s v="kg"/>
    <n v="3"/>
    <n v="3.4"/>
    <n v="10.199999999999999"/>
  </r>
  <r>
    <s v="Outubro"/>
    <s v="SEMANA 5"/>
    <n v="30"/>
    <x v="1"/>
    <s v="Alcibiades G. Quintas"/>
    <s v="Manga Palmer"/>
    <s v="kg"/>
    <n v="5.78"/>
    <n v="4.3252595155709344"/>
    <n v="25"/>
  </r>
  <r>
    <s v="Outubro"/>
    <s v="SEMANA 5"/>
    <n v="30"/>
    <x v="1"/>
    <s v="Alcibiades G. Quintas"/>
    <s v="Melão de Rede "/>
    <s v="kg"/>
    <n v="2"/>
    <n v="6.9"/>
    <n v="13.8"/>
  </r>
  <r>
    <s v="Outubro"/>
    <s v="SEMANA 5"/>
    <n v="30"/>
    <x v="1"/>
    <s v="Umehara"/>
    <s v="Cebola"/>
    <s v="kg"/>
    <n v="19.7"/>
    <n v="1.3451776649746194"/>
    <n v="26.500000000000004"/>
  </r>
  <r>
    <s v="Outubro"/>
    <s v="SEMANA 5"/>
    <n v="30"/>
    <x v="1"/>
    <s v="Umehara"/>
    <s v="Goiaba"/>
    <s v="kg"/>
    <n v="2.5"/>
    <n v="4"/>
    <n v="10"/>
  </r>
  <r>
    <s v="Outubro"/>
    <s v="SEMANA 5"/>
    <n v="30"/>
    <x v="1"/>
    <s v="Umehara"/>
    <s v="Kiwi"/>
    <s v="kg"/>
    <n v="1"/>
    <n v="13.7"/>
    <n v="13.7"/>
  </r>
  <r>
    <s v="Outubro"/>
    <s v="SEMANA 5"/>
    <n v="30"/>
    <x v="1"/>
    <s v="Umehara"/>
    <s v="Laranja Pera"/>
    <s v="kg"/>
    <n v="20.46"/>
    <n v="1.3685239491691104"/>
    <n v="28"/>
  </r>
  <r>
    <s v="Outubro"/>
    <s v="SEMANA 5"/>
    <n v="30"/>
    <x v="1"/>
    <s v="Umehara"/>
    <s v="Melância"/>
    <s v="kg"/>
    <n v="10"/>
    <n v="1.32"/>
    <n v="13.200000000000001"/>
  </r>
  <r>
    <s v="Outubro"/>
    <s v="SEMANA 5"/>
    <n v="30"/>
    <x v="1"/>
    <s v="Umehara"/>
    <s v="Tomate Salada"/>
    <s v="kg"/>
    <n v="21.28"/>
    <n v="1.7152255639097744"/>
    <n v="36.5"/>
  </r>
  <r>
    <s v="Outubro"/>
    <s v="SEMANA 5"/>
    <n v="30"/>
    <x v="1"/>
    <s v="Umehara"/>
    <s v="Abobora Japonesa"/>
    <s v="kg"/>
    <n v="3"/>
    <n v="2.84"/>
    <n v="8.52"/>
  </r>
  <r>
    <s v="Outubro"/>
    <s v="SEMANA 5"/>
    <n v="30"/>
    <x v="1"/>
    <s v="Umehara"/>
    <s v="Beterraba"/>
    <s v="kg"/>
    <n v="3"/>
    <n v="1.8"/>
    <n v="5.4"/>
  </r>
  <r>
    <s v="Outubro"/>
    <s v="SEMANA 5"/>
    <n v="30"/>
    <x v="1"/>
    <s v="Umehara"/>
    <s v="Brócolis Nacional"/>
    <s v="kg"/>
    <n v="5"/>
    <n v="3.5"/>
    <n v="17.5"/>
  </r>
  <r>
    <s v="Outubro"/>
    <s v="SEMANA 5"/>
    <n v="30"/>
    <x v="1"/>
    <s v="Umehara"/>
    <s v="Cebola Roxa"/>
    <s v="kg"/>
    <n v="2"/>
    <n v="3.75"/>
    <n v="7.5"/>
  </r>
  <r>
    <s v="Outubro"/>
    <s v="SEMANA 5"/>
    <n v="30"/>
    <x v="1"/>
    <s v="Umehara"/>
    <s v="Côco Verde"/>
    <s v="unid"/>
    <n v="10"/>
    <n v="1.98"/>
    <n v="19.8"/>
  </r>
  <r>
    <s v="Outubro"/>
    <s v="SEMANA 5"/>
    <n v="30"/>
    <x v="1"/>
    <s v="Umehara"/>
    <s v="Mamão Bahia"/>
    <s v="kg"/>
    <n v="2"/>
    <n v="2.4"/>
    <n v="4.8"/>
  </r>
  <r>
    <s v="Outubro"/>
    <s v="SEMANA 5"/>
    <n v="25"/>
    <x v="4"/>
    <s v="CDI"/>
    <s v="Açucar Refinado Sushi"/>
    <s v="kg"/>
    <n v="10"/>
    <n v="2.165"/>
    <n v="21.65"/>
  </r>
  <r>
    <s v="Outubro"/>
    <s v="SEMANA 5"/>
    <n v="30"/>
    <x v="2"/>
    <s v="Mercadinho Bambina"/>
    <s v="Palitos de Dente (cx 500)"/>
    <s v="cx"/>
    <n v="7"/>
    <n v="1.1000000000000001"/>
    <n v="7.7000000000000011"/>
  </r>
  <r>
    <s v="Outubro"/>
    <s v="SEMANA 5"/>
    <n v="30"/>
    <x v="0"/>
    <s v="Super Mercado Zonasul"/>
    <s v="Tapioca Granulada "/>
    <s v="kg"/>
    <n v="1.5"/>
    <n v="17.099999999999998"/>
    <n v="25.65"/>
  </r>
  <r>
    <s v="Outubro"/>
    <s v="SEMANA 5"/>
    <n v="30"/>
    <x v="0"/>
    <s v="Feira"/>
    <s v="Massa de Pastel"/>
    <s v="kg"/>
    <n v="27.68"/>
    <n v="7.5867052023121389"/>
    <n v="210"/>
  </r>
  <r>
    <s v="Outubro"/>
    <s v="SEMANA 5"/>
    <n v="30"/>
    <x v="0"/>
    <s v="Feira"/>
    <s v="Goma de Tapioca"/>
    <s v="kg"/>
    <n v="2"/>
    <n v="8"/>
    <n v="16"/>
  </r>
  <r>
    <s v="Outubro"/>
    <s v="SEMANA 5"/>
    <n v="30"/>
    <x v="1"/>
    <s v="Feira"/>
    <s v="Aipim"/>
    <s v="kg"/>
    <n v="30"/>
    <n v="5"/>
    <n v="150"/>
  </r>
  <r>
    <s v="Outubro"/>
    <s v="SEMANA 5"/>
    <n v="31"/>
    <x v="7"/>
    <s v="Mamy"/>
    <s v="Bala de Alga 500 g"/>
    <s v="pcte"/>
    <n v="2"/>
    <n v="17.16"/>
    <n v="34.32"/>
  </r>
  <r>
    <s v="Outubro"/>
    <s v="SEMANA 5"/>
    <n v="31"/>
    <x v="0"/>
    <s v="Mamy"/>
    <s v="Chá verde 200gr"/>
    <s v="pcte"/>
    <n v="2"/>
    <n v="13.92"/>
    <n v="27.84"/>
  </r>
  <r>
    <s v="Outubro"/>
    <s v="SEMANA 5"/>
    <n v="31"/>
    <x v="0"/>
    <s v="Mamy"/>
    <s v="Farinha Panco"/>
    <s v="kg"/>
    <n v="9"/>
    <n v="17.7"/>
    <n v="159.29999999999998"/>
  </r>
  <r>
    <s v="Outubro"/>
    <s v="SEMANA 5"/>
    <n v="31"/>
    <x v="0"/>
    <s v="Mamy"/>
    <s v="Macarrão de Feijão (Harusame) 200g"/>
    <s v="pcte"/>
    <n v="9"/>
    <n v="8.48"/>
    <n v="76.320000000000007"/>
  </r>
  <r>
    <s v="Outubro"/>
    <s v="SEMANA 5"/>
    <n v="31"/>
    <x v="0"/>
    <s v="Mamy"/>
    <s v="Massa de Harumaki"/>
    <s v="folha"/>
    <n v="144"/>
    <n v="0.57583333333333331"/>
    <n v="82.92"/>
  </r>
  <r>
    <s v="Outubro"/>
    <s v="SEMANA 5"/>
    <n v="31"/>
    <x v="3"/>
    <s v="Truticultura da Serra"/>
    <s v="Pescados - Filé Truta Cong."/>
    <s v="kg"/>
    <n v="24"/>
    <n v="26"/>
    <n v="624"/>
  </r>
  <r>
    <s v="Outubro"/>
    <s v="SEMANA 5"/>
    <n v="31"/>
    <x v="0"/>
    <s v="Truticultura da Serra"/>
    <s v="Cogumelo Paris"/>
    <s v="kg"/>
    <n v="4"/>
    <n v="15.5"/>
    <n v="62"/>
  </r>
  <r>
    <s v="Outubro"/>
    <s v="SEMANA 5"/>
    <n v="31"/>
    <x v="0"/>
    <s v="Truticultura da Serra"/>
    <s v="Cogumelo Fatiado Bd 2 Kg"/>
    <s v="bd"/>
    <n v="1"/>
    <n v="37"/>
    <n v="37"/>
  </r>
  <r>
    <s v="Outubro"/>
    <s v="SEMANA 5"/>
    <n v="31"/>
    <x v="5"/>
    <s v="M2HP"/>
    <s v="Torta Mousse de Chocolate "/>
    <s v="fatia"/>
    <n v="24"/>
    <n v="4.1383333333333328"/>
    <n v="99.32"/>
  </r>
  <r>
    <s v="Outubro"/>
    <s v="SEMANA 5"/>
    <n v="31"/>
    <x v="5"/>
    <s v="M2HP"/>
    <s v="Torta Capuccino Diet"/>
    <s v="fatia"/>
    <n v="10"/>
    <n v="5.891"/>
    <n v="58.91"/>
  </r>
  <r>
    <s v="Outubro"/>
    <s v="SEMANA 5"/>
    <n v="31"/>
    <x v="0"/>
    <s v="Planeta Gelo"/>
    <s v="Gelo em Escamas"/>
    <s v="saco"/>
    <n v="2"/>
    <n v="7.5"/>
    <n v="15"/>
  </r>
  <r>
    <s v="Outubro"/>
    <s v="SEMANA 5"/>
    <n v="31"/>
    <x v="0"/>
    <s v="Planeta Gelo"/>
    <s v="Gelo em Cubo"/>
    <s v="saco"/>
    <n v="2"/>
    <n v="7.5"/>
    <n v="15"/>
  </r>
  <r>
    <s v="Outubro"/>
    <s v="SEMANA 5"/>
    <n v="31"/>
    <x v="3"/>
    <s v="Top Alto"/>
    <s v="Carne Bovina - Carne Seca"/>
    <s v="kg"/>
    <n v="5"/>
    <n v="18.920000000000002"/>
    <n v="94.600000000000009"/>
  </r>
  <r>
    <s v="Outubro"/>
    <s v="SEMANA 5"/>
    <n v="31"/>
    <x v="3"/>
    <s v="Top Alto"/>
    <s v="Suíno - Costelinha Salgada"/>
    <s v="kg"/>
    <n v="9"/>
    <n v="9.83"/>
    <n v="88.47"/>
  </r>
  <r>
    <s v="Outubro"/>
    <s v="SEMANA 5"/>
    <n v="31"/>
    <x v="3"/>
    <s v="Top Alto"/>
    <s v="Suíno - Filezinho Suíno"/>
    <s v="kg"/>
    <n v="20"/>
    <n v="9.98"/>
    <n v="199.60000000000002"/>
  </r>
  <r>
    <s v="Outubro"/>
    <s v="SEMANA 5"/>
    <n v="31"/>
    <x v="3"/>
    <s v="Top Alto"/>
    <s v="Suíno - Linguiça de Pernil"/>
    <s v="kg"/>
    <n v="5"/>
    <n v="9.99"/>
    <n v="49.95"/>
  </r>
  <r>
    <s v="Outubro"/>
    <s v="SEMANA 5"/>
    <n v="31"/>
    <x v="3"/>
    <s v="Top Alto"/>
    <s v="Suíno - Lombo Salgado"/>
    <s v="kg"/>
    <n v="20"/>
    <n v="10.97"/>
    <n v="219.4"/>
  </r>
  <r>
    <s v="Outubro"/>
    <s v="SEMANA 5"/>
    <n v="31"/>
    <x v="3"/>
    <s v="Frigorifico Jahu"/>
    <s v="Pescados - Camarão IQF Evisc. 51/60"/>
    <s v="kg"/>
    <n v="6"/>
    <n v="66.5"/>
    <n v="399"/>
  </r>
  <r>
    <s v="Outubro"/>
    <s v="SEMANA 5"/>
    <n v="31"/>
    <x v="0"/>
    <s v="CDI"/>
    <s v="Feijão Mulatinho"/>
    <s v="kg"/>
    <n v="5"/>
    <n v="11"/>
    <n v="55"/>
  </r>
  <r>
    <s v="Outubro"/>
    <s v="SEMANA 5"/>
    <n v="31"/>
    <x v="0"/>
    <s v="CDI"/>
    <s v="Óleo de Soja 18 Lt"/>
    <s v="bag"/>
    <n v="1"/>
    <n v="68"/>
    <n v="68"/>
  </r>
  <r>
    <s v="Outubro"/>
    <s v="SEMANA 5"/>
    <n v="31"/>
    <x v="0"/>
    <s v="CDI"/>
    <s v="Maisena Amido de Milho 1 Kg"/>
    <s v="kg"/>
    <n v="7"/>
    <n v="11.42"/>
    <n v="79.94"/>
  </r>
  <r>
    <s v="Outubro"/>
    <s v="SEMANA 5"/>
    <n v="31"/>
    <x v="1"/>
    <s v="Alcibiades G. Quintas"/>
    <s v="Batata Doce"/>
    <s v="kg"/>
    <n v="19.48"/>
    <n v="1.7967145790554415"/>
    <n v="35"/>
  </r>
  <r>
    <s v="Outubro"/>
    <s v="SEMANA 5"/>
    <n v="31"/>
    <x v="1"/>
    <s v="Alcibiades G. Quintas"/>
    <s v="Cenoura"/>
    <s v="kg"/>
    <n v="18.16"/>
    <n v="2.643171806167401"/>
    <n v="48"/>
  </r>
  <r>
    <s v="Outubro"/>
    <s v="SEMANA 5"/>
    <n v="31"/>
    <x v="1"/>
    <s v="Alcibiades G. Quintas"/>
    <s v="Quiabo"/>
    <s v="kg"/>
    <n v="10"/>
    <n v="6"/>
    <n v="60"/>
  </r>
  <r>
    <s v="Outubro"/>
    <s v="SEMANA 5"/>
    <n v="31"/>
    <x v="1"/>
    <s v="Alcibiades G. Quintas"/>
    <s v="Alho Poró "/>
    <s v="kg"/>
    <n v="4"/>
    <n v="8"/>
    <n v="32"/>
  </r>
  <r>
    <s v="Outubro"/>
    <s v="SEMANA 5"/>
    <n v="31"/>
    <x v="1"/>
    <s v="Alcibiades G. Quintas"/>
    <s v="Brócolis Americano"/>
    <s v="kg"/>
    <n v="7"/>
    <n v="7"/>
    <n v="49"/>
  </r>
  <r>
    <s v="Outubro"/>
    <s v="SEMANA 5"/>
    <n v="31"/>
    <x v="1"/>
    <s v="Alcibiades G. Quintas"/>
    <s v="Cebolinha Verde"/>
    <s v="kg"/>
    <n v="0.71199999999999997"/>
    <n v="7"/>
    <n v="4.984"/>
  </r>
  <r>
    <s v="Outubro"/>
    <s v="SEMANA 5"/>
    <n v="31"/>
    <x v="1"/>
    <s v="Alcibiades G. Quintas"/>
    <s v="Manjericão"/>
    <s v="kg"/>
    <n v="0.3"/>
    <n v="11"/>
    <n v="3.3"/>
  </r>
  <r>
    <s v="Outubro"/>
    <s v="SEMANA 5"/>
    <n v="31"/>
    <x v="1"/>
    <s v="Alcibiades G. Quintas"/>
    <s v="Salsa"/>
    <s v="kg"/>
    <n v="1"/>
    <n v="7"/>
    <n v="7"/>
  </r>
  <r>
    <s v="Outubro"/>
    <s v="SEMANA 5"/>
    <n v="31"/>
    <x v="1"/>
    <s v="Alcibiades G. Quintas"/>
    <s v="Tomilho"/>
    <s v="kg"/>
    <n v="0.2"/>
    <n v="25"/>
    <n v="5"/>
  </r>
  <r>
    <s v="Outubro"/>
    <s v="SEMANA 5"/>
    <n v="31"/>
    <x v="1"/>
    <s v="Alcibiades G. Quintas"/>
    <s v="Capim Limão"/>
    <s v="kg"/>
    <n v="0.1"/>
    <n v="15"/>
    <n v="1.5"/>
  </r>
  <r>
    <s v="Outubro"/>
    <s v="SEMANA 5"/>
    <n v="31"/>
    <x v="1"/>
    <s v="Alcibiades G. Quintas"/>
    <s v="Tofu Kilo"/>
    <s v="kg"/>
    <n v="2"/>
    <n v="14"/>
    <n v="28"/>
  </r>
  <r>
    <s v="Outubro"/>
    <s v="SEMANA 5"/>
    <n v="31"/>
    <x v="1"/>
    <s v="Alcibiades G. Quintas"/>
    <s v="Abacaxi "/>
    <s v="kg"/>
    <n v="10"/>
    <n v="2.4"/>
    <n v="24"/>
  </r>
  <r>
    <s v="Outubro"/>
    <s v="SEMANA 5"/>
    <n v="31"/>
    <x v="1"/>
    <s v="Alcibiades G. Quintas"/>
    <s v="Kiwi"/>
    <s v="kg"/>
    <n v="1"/>
    <n v="12"/>
    <n v="12"/>
  </r>
  <r>
    <s v="Outubro"/>
    <s v="SEMANA 5"/>
    <n v="31"/>
    <x v="1"/>
    <s v="Umehara"/>
    <s v="Acelga"/>
    <s v="kg"/>
    <n v="2"/>
    <n v="2.2000000000000002"/>
    <n v="4.4000000000000004"/>
  </r>
  <r>
    <s v="Outubro"/>
    <s v="SEMANA 5"/>
    <n v="31"/>
    <x v="1"/>
    <s v="Umehara"/>
    <s v="Alfafa"/>
    <s v="kg"/>
    <n v="0.3"/>
    <n v="43.333333333333336"/>
    <n v="13"/>
  </r>
  <r>
    <s v="Outubro"/>
    <s v="SEMANA 5"/>
    <n v="31"/>
    <x v="1"/>
    <s v="Umehara"/>
    <s v="Batata HBT"/>
    <s v="kg"/>
    <n v="25"/>
    <n v="1.69"/>
    <n v="42.25"/>
  </r>
  <r>
    <s v="Outubro"/>
    <s v="SEMANA 5"/>
    <n v="31"/>
    <x v="1"/>
    <s v="Umehara"/>
    <s v="Côco Verde"/>
    <s v="unid"/>
    <n v="15"/>
    <n v="1.98"/>
    <n v="29.7"/>
  </r>
  <r>
    <s v="Outubro"/>
    <s v="SEMANA 5"/>
    <n v="31"/>
    <x v="1"/>
    <s v="Umehara"/>
    <s v="Hortelã"/>
    <s v="kg"/>
    <n v="0.5"/>
    <n v="4.5"/>
    <n v="2.25"/>
  </r>
  <r>
    <s v="Outubro"/>
    <s v="SEMANA 5"/>
    <n v="31"/>
    <x v="1"/>
    <s v="Umehara"/>
    <s v="Inhame"/>
    <s v="kg"/>
    <n v="2"/>
    <n v="2.4"/>
    <n v="4.8"/>
  </r>
  <r>
    <s v="Outubro"/>
    <s v="SEMANA 5"/>
    <n v="31"/>
    <x v="1"/>
    <s v="Umehara"/>
    <s v="Melância"/>
    <s v="kg"/>
    <n v="11"/>
    <n v="1.32"/>
    <n v="14.520000000000001"/>
  </r>
  <r>
    <s v="Outubro"/>
    <s v="SEMANA 5"/>
    <n v="31"/>
    <x v="1"/>
    <s v="Umehara"/>
    <s v="Ovos Extra"/>
    <s v="unid"/>
    <n v="360"/>
    <n v="0.26111111111111113"/>
    <n v="94"/>
  </r>
  <r>
    <s v="Outubro"/>
    <s v="SEMANA 5"/>
    <n v="31"/>
    <x v="1"/>
    <s v="Umehara"/>
    <s v="Repolho"/>
    <s v="kg"/>
    <n v="5"/>
    <n v="1.2"/>
    <n v="6"/>
  </r>
  <r>
    <s v="Outubro"/>
    <s v="SEMANA 5"/>
    <n v="31"/>
    <x v="4"/>
    <s v="Umehara"/>
    <s v="Salsa Crespa Sushi"/>
    <s v="kg"/>
    <n v="0.1"/>
    <n v="12.5"/>
    <n v="1.25"/>
  </r>
  <r>
    <s v="Outubro"/>
    <s v="SEMANA 5"/>
    <n v="31"/>
    <x v="1"/>
    <s v="Umehara"/>
    <s v="Vagem Macarrão"/>
    <s v="kg"/>
    <n v="5"/>
    <n v="3.9"/>
    <n v="19.5"/>
  </r>
  <r>
    <s v="Outubro"/>
    <s v="SEMANA 5"/>
    <n v="27"/>
    <x v="4"/>
    <s v="Umehara"/>
    <s v="Pepino Japonês Sushi"/>
    <s v="kg"/>
    <n v="0.26"/>
    <n v="2.7588168373151309"/>
    <n v="0.7172923777019341"/>
  </r>
  <r>
    <s v="Outubro"/>
    <s v="SEMANA 5"/>
    <n v="31"/>
    <x v="4"/>
    <s v="Alcibiades G. Quintas"/>
    <s v="Cebolinha Verde Sushi"/>
    <s v="kg"/>
    <n v="0.28799999999999998"/>
    <n v="7"/>
    <n v="2.016"/>
  </r>
  <r>
    <s v="Outubro"/>
    <s v="SEMANA 4"/>
    <n v="27"/>
    <x v="9"/>
    <s v="Celpa Quimica"/>
    <s v="Perfumador de Ambiente"/>
    <s v="unid"/>
    <n v="2"/>
    <n v="60"/>
    <n v="120"/>
  </r>
  <r>
    <s v="Outubro"/>
    <s v="SEMANA 4"/>
    <n v="27"/>
    <x v="9"/>
    <s v="Celpa Quimica"/>
    <s v="Perfumador de Ambiente"/>
    <s v="unid"/>
    <n v="2"/>
    <n v="91.3"/>
    <n v="182.6"/>
  </r>
  <r>
    <s v="Outubro"/>
    <s v="SEMANA 5"/>
    <n v="31"/>
    <x v="0"/>
    <s v="Mercadinho Bambina"/>
    <s v="Pão Árabe"/>
    <s v="pcte"/>
    <n v="3"/>
    <n v="6.7"/>
    <n v="20.100000000000001"/>
  </r>
  <r>
    <s v="Outubro"/>
    <s v="SEMANA 5"/>
    <n v="31"/>
    <x v="1"/>
    <s v="Rioaves"/>
    <s v="Ovo de Codorna"/>
    <s v="pcte"/>
    <n v="16"/>
    <n v="10.4"/>
    <n v="166.4"/>
  </r>
  <r>
    <s v="Outubro"/>
    <s v="SEMANA 1"/>
    <n v="3"/>
    <x v="4"/>
    <s v="mamy"/>
    <s v="Farinha Panco (sushi)"/>
    <s v="kg"/>
    <n v="4"/>
    <n v="17.7"/>
    <n v="70.8"/>
  </r>
  <r>
    <s v="Outubro"/>
    <s v="SEMANA 1"/>
    <n v="4"/>
    <x v="4"/>
    <s v="CDI"/>
    <s v="Farinha de Trigo (sushi)"/>
    <s v="kg"/>
    <n v="1"/>
    <n v="1.6220000000000001"/>
    <n v="1.6220000000000001"/>
  </r>
  <r>
    <s v="Outubro"/>
    <s v="SEMANA 1"/>
    <n v="3"/>
    <x v="4"/>
    <s v="mamy"/>
    <s v="Massa de Harumaki (sushi)"/>
    <s v="folha"/>
    <n v="24"/>
    <n v="0.57583333333333331"/>
    <n v="13.82"/>
  </r>
  <r>
    <s v="Outubro"/>
    <s v="SEMANA 2"/>
    <n v="9"/>
    <x v="10"/>
    <s v="Papelex"/>
    <s v="Marca Texto Pilot"/>
    <s v="unid"/>
    <n v="10"/>
    <n v="1.93"/>
    <n v="19.3"/>
  </r>
  <r>
    <s v="Outubro"/>
    <s v="SEMANA 1"/>
    <n v="9"/>
    <x v="10"/>
    <s v="Papelex"/>
    <s v="Pasta L"/>
    <s v="unid"/>
    <n v="10"/>
    <n v="0.75"/>
    <n v="7.5"/>
  </r>
  <r>
    <s v="Outubro"/>
    <s v="SEMANA 1"/>
    <n v="6"/>
    <x v="0"/>
    <s v="Wah Sin"/>
    <s v="Folha de Alga 50F (cozinha)"/>
    <s v="pcte"/>
    <n v="2"/>
    <n v="33"/>
    <n v="66"/>
  </r>
  <r>
    <s v="Outubro"/>
    <s v="SEMANA 3"/>
    <n v="18"/>
    <x v="4"/>
    <s v="Damy"/>
    <s v="Farinha Panco (sushi)"/>
    <s v="kg"/>
    <n v="2"/>
    <n v="17.7"/>
    <n v="35.4"/>
  </r>
  <r>
    <s v="Outubro"/>
    <s v="SEMANA 3"/>
    <n v="18"/>
    <x v="4"/>
    <s v="Damy"/>
    <s v="Massa de Harumaki (sushi)"/>
    <s v="folha"/>
    <n v="24"/>
    <n v="0.57583333333333331"/>
    <n v="13.82"/>
  </r>
  <r>
    <s v="Outubro"/>
    <s v="SEMANA 4"/>
    <n v="25"/>
    <x v="0"/>
    <s v="Super Mercado Zonasul"/>
    <s v="Banete Pec Pão (cozinha)"/>
    <s v="kg"/>
    <n v="0.40799999999999997"/>
    <n v="19.877450980392158"/>
    <n v="8.11"/>
  </r>
  <r>
    <s v="Outubro"/>
    <s v="SEMANA 5"/>
    <m/>
    <x v="12"/>
    <m/>
    <s v="Selecione"/>
    <m/>
    <m/>
    <m/>
    <n v="0"/>
  </r>
  <r>
    <s v="Outubro"/>
    <s v="SEMANA 5"/>
    <m/>
    <x v="12"/>
    <m/>
    <s v="Selecione"/>
    <m/>
    <m/>
    <m/>
    <n v="0"/>
  </r>
  <r>
    <s v="Outubro"/>
    <s v="SEMANA 5"/>
    <m/>
    <x v="12"/>
    <m/>
    <s v="Selecione"/>
    <m/>
    <m/>
    <m/>
    <n v="0"/>
  </r>
  <r>
    <s v="Outubro"/>
    <s v="SEMANA 5"/>
    <m/>
    <x v="12"/>
    <m/>
    <s v="Selecione"/>
    <m/>
    <m/>
    <m/>
    <n v="0"/>
  </r>
  <r>
    <s v="Outubro"/>
    <s v="SEMANA 5"/>
    <m/>
    <x v="12"/>
    <m/>
    <s v="Selecione"/>
    <m/>
    <m/>
    <m/>
    <n v="0"/>
  </r>
  <r>
    <s v="Outubro"/>
    <s v="SEMANA 5"/>
    <m/>
    <x v="12"/>
    <m/>
    <s v="Selecione"/>
    <m/>
    <m/>
    <m/>
    <n v="0"/>
  </r>
  <r>
    <s v="Outubro"/>
    <s v="SEMANA 5"/>
    <m/>
    <x v="12"/>
    <m/>
    <s v="Selecione"/>
    <m/>
    <m/>
    <m/>
    <n v="0"/>
  </r>
  <r>
    <s v="Outubro"/>
    <s v="SEMANA 5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  <r>
    <s v="Selecione"/>
    <s v="Selecione"/>
    <m/>
    <x v="12"/>
    <m/>
    <s v="Selecione"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0" applyNumberFormats="0" applyBorderFormats="0" applyFontFormats="0" applyPatternFormats="0" applyAlignmentFormats="0" applyWidthHeightFormats="1" dataCaption="Valores" grandTotalCaption="-" updatedVersion="6" minRefreshableVersion="3" itemPrintTitles="1" createdVersion="4" indent="0" outline="1" outlineData="1" multipleFieldFilters="0" chartFormat="4" rowHeaderCaption="GRUPO">
  <location ref="B2:C16" firstHeaderRow="1" firstDataRow="1" firstDataCol="1"/>
  <pivotFields count="10">
    <pivotField showAll="0" defaultSubtotal="0"/>
    <pivotField showAll="0"/>
    <pivotField showAll="0"/>
    <pivotField axis="axisRow" showAll="0" sortType="ascending">
      <items count="20">
        <item x="12"/>
        <item m="1" x="16"/>
        <item x="11"/>
        <item x="8"/>
        <item x="3"/>
        <item m="1" x="15"/>
        <item x="2"/>
        <item x="10"/>
        <item x="6"/>
        <item x="1"/>
        <item x="9"/>
        <item x="0"/>
        <item m="1" x="14"/>
        <item m="1" x="18"/>
        <item x="5"/>
        <item x="4"/>
        <item x="7"/>
        <item m="1" x="17"/>
        <item m="1" x="13"/>
        <item t="default"/>
      </items>
    </pivotField>
    <pivotField showAll="0"/>
    <pivotField showAll="0"/>
    <pivotField showAll="0"/>
    <pivotField showAll="0"/>
    <pivotField showAll="0"/>
    <pivotField dataField="1" numFmtId="164" showAll="0"/>
  </pivotFields>
  <rowFields count="1">
    <field x="3"/>
  </rowFields>
  <rowItems count="14">
    <i>
      <x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4"/>
    </i>
    <i>
      <x v="15"/>
    </i>
    <i>
      <x v="16"/>
    </i>
    <i t="grand">
      <x/>
    </i>
  </rowItems>
  <colItems count="1">
    <i/>
  </colItems>
  <dataFields count="1">
    <dataField name="TOTAL" fld="9" baseField="3" baseItem="0" numFmtId="165"/>
  </dataFields>
  <formats count="28">
    <format dxfId="27">
      <pivotArea field="3" type="button" dataOnly="0" labelOnly="1" outline="0" axis="axisRow" fieldPosition="0"/>
    </format>
    <format dxfId="26">
      <pivotArea dataOnly="0" labelOnly="1" outline="0" axis="axisValues" fieldPosition="0"/>
    </format>
    <format dxfId="25">
      <pivotArea grandRow="1" outline="0" collapsedLevelsAreSubtotals="1" fieldPosition="0"/>
    </format>
    <format dxfId="24">
      <pivotArea dataOnly="0" labelOnly="1" grandRow="1" outline="0" fieldPosition="0"/>
    </format>
    <format dxfId="23">
      <pivotArea field="3" type="button" dataOnly="0" labelOnly="1" outline="0" axis="axisRow" fieldPosition="0"/>
    </format>
    <format dxfId="22">
      <pivotArea dataOnly="0" labelOnly="1" outline="0" axis="axisValues" fieldPosition="0"/>
    </format>
    <format dxfId="21">
      <pivotArea field="3" type="button" dataOnly="0" labelOnly="1" outline="0" axis="axisRow" fieldPosition="0"/>
    </format>
    <format dxfId="20">
      <pivotArea dataOnly="0" labelOnly="1" outline="0" axis="axisValues" fieldPosition="0"/>
    </format>
    <format dxfId="19">
      <pivotArea grandRow="1" outline="0" collapsedLevelsAreSubtotals="1" fieldPosition="0"/>
    </format>
    <format dxfId="18">
      <pivotArea dataOnly="0" labelOnly="1" grandRow="1" outline="0" fieldPosition="0"/>
    </format>
    <format dxfId="17">
      <pivotArea grandRow="1" outline="0" collapsedLevelsAreSubtotals="1" fieldPosition="0"/>
    </format>
    <format dxfId="16">
      <pivotArea dataOnly="0" labelOnly="1" grandRow="1" outline="0" fieldPosition="0"/>
    </format>
    <format dxfId="15">
      <pivotArea field="3" type="button" dataOnly="0" labelOnly="1" outline="0" axis="axisRow" fieldPosition="0"/>
    </format>
    <format dxfId="14">
      <pivotArea dataOnly="0" labelOnly="1" outline="0" axis="axisValues" fieldPosition="0"/>
    </format>
    <format dxfId="13">
      <pivotArea field="3" type="button" dataOnly="0" labelOnly="1" outline="0" axis="axisRow" fieldPosition="0"/>
    </format>
    <format dxfId="12">
      <pivotArea dataOnly="0" labelOnly="1" outline="0" axis="axisValues" fieldPosition="0"/>
    </format>
    <format dxfId="11">
      <pivotArea grandRow="1" outline="0" collapsedLevelsAreSubtotals="1" fieldPosition="0"/>
    </format>
    <format dxfId="10">
      <pivotArea dataOnly="0" labelOnly="1" grandRow="1" outline="0" fieldPosition="0"/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collapsedLevelsAreSubtotals="1" fieldPosition="0">
        <references count="1">
          <reference field="3" count="0"/>
        </references>
      </pivotArea>
    </format>
    <format dxfId="5">
      <pivotArea dataOnly="0" labelOnly="1" fieldPosition="0">
        <references count="1">
          <reference field="3" count="0"/>
        </references>
      </pivotArea>
    </format>
    <format dxfId="4">
      <pivotArea field="3" type="button" dataOnly="0" labelOnly="1" outline="0" axis="axisRow" fieldPosition="0"/>
    </format>
    <format dxfId="3">
      <pivotArea dataOnly="0" labelOnly="1" outline="0" axis="axisValues" fieldPosition="0"/>
    </format>
    <format dxfId="2">
      <pivotArea type="all" dataOnly="0" outline="0" fieldPosition="0"/>
    </format>
    <format dxfId="1">
      <pivotArea dataOnly="0" grandRow="1" fieldPosition="0"/>
    </format>
    <format dxfId="0">
      <pivotArea dataOnly="0" labelOnly="1" grandRow="1" outline="0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UPO1" xr10:uid="{00000000-0013-0000-FFFF-FFFF01000000}" sourceName="GRUPO">
  <pivotTables>
    <pivotTable tabId="21" name="Tabela dinâmica1"/>
  </pivotTables>
  <data>
    <tabular pivotCacheId="4" showMissing="0">
      <items count="19">
        <i x="12" s="1"/>
        <i x="11" s="1"/>
        <i x="8" s="1"/>
        <i x="3" s="1"/>
        <i x="2" s="1"/>
        <i x="10" s="1"/>
        <i x="6" s="1"/>
        <i x="1" s="1"/>
        <i x="9" s="1"/>
        <i x="0" s="1"/>
        <i x="5" s="1"/>
        <i x="4" s="1"/>
        <i x="7" s="1"/>
        <i x="16" s="1" nd="1"/>
        <i x="15" s="1" nd="1"/>
        <i x="14" s="1" nd="1"/>
        <i x="18" s="1" nd="1"/>
        <i x="17" s="1" nd="1"/>
        <i x="1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RUPO 1" xr10:uid="{00000000-0014-0000-FFFF-FFFF01000000}" cache="SegmentaçãodeDados_GRUPO1" caption="GRUPO" startItem="10" style="SlicerStyleLight5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G1048576"/>
  <sheetViews>
    <sheetView showGridLines="0" tabSelected="1" topLeftCell="B1" zoomScale="80" zoomScaleNormal="80" zoomScalePageLayoutView="80" workbookViewId="0">
      <pane ySplit="1" topLeftCell="A2" activePane="bottomLeft" state="frozen"/>
      <selection activeCell="B1" sqref="B1"/>
      <selection pane="bottomLeft" activeCell="O3" sqref="O3"/>
    </sheetView>
  </sheetViews>
  <sheetFormatPr defaultColWidth="12.42578125" defaultRowHeight="15" x14ac:dyDescent="0.25"/>
  <cols>
    <col min="1" max="1" width="3.140625" style="84" hidden="1" customWidth="1"/>
    <col min="2" max="2" width="10.28515625" style="84" bestFit="1" customWidth="1"/>
    <col min="3" max="3" width="10.42578125" style="84" bestFit="1" customWidth="1"/>
    <col min="4" max="4" width="9.7109375" style="94" bestFit="1" customWidth="1"/>
    <col min="5" max="5" width="13.7109375" style="84" bestFit="1" customWidth="1"/>
    <col min="6" max="6" width="32.85546875" style="84" customWidth="1"/>
    <col min="7" max="7" width="37" style="84" bestFit="1" customWidth="1"/>
    <col min="8" max="8" width="15.42578125" style="84" customWidth="1"/>
    <col min="9" max="9" width="11.140625" style="84" customWidth="1"/>
    <col min="10" max="10" width="15.140625" style="95" customWidth="1"/>
    <col min="11" max="11" width="19" style="95" bestFit="1" customWidth="1"/>
    <col min="12" max="12" width="58.42578125" style="84" bestFit="1" customWidth="1"/>
    <col min="13" max="13" width="48.42578125" style="120" hidden="1" customWidth="1"/>
    <col min="14" max="14" width="9.7109375" style="115" hidden="1" customWidth="1"/>
    <col min="15" max="15" width="12.85546875" style="84" hidden="1" customWidth="1"/>
    <col min="16" max="18" width="5.7109375" style="84" hidden="1" customWidth="1"/>
    <col min="19" max="19" width="5.7109375" style="84" customWidth="1"/>
    <col min="20" max="16384" width="12.42578125" style="84"/>
  </cols>
  <sheetData>
    <row r="1" spans="1:59" s="81" customFormat="1" ht="30" x14ac:dyDescent="0.25">
      <c r="A1" s="2" t="s">
        <v>11</v>
      </c>
      <c r="B1" s="77" t="s">
        <v>889</v>
      </c>
      <c r="C1" s="77" t="s">
        <v>26</v>
      </c>
      <c r="D1" s="78" t="s">
        <v>12</v>
      </c>
      <c r="E1" s="77" t="s">
        <v>13</v>
      </c>
      <c r="F1" s="77" t="s">
        <v>14</v>
      </c>
      <c r="G1" s="77" t="s">
        <v>0</v>
      </c>
      <c r="H1" s="77" t="s">
        <v>15</v>
      </c>
      <c r="I1" s="77" t="s">
        <v>16</v>
      </c>
      <c r="J1" s="79" t="s">
        <v>17</v>
      </c>
      <c r="K1" s="80" t="s">
        <v>18</v>
      </c>
      <c r="L1" s="77" t="s">
        <v>61</v>
      </c>
      <c r="M1" s="117" t="s">
        <v>19</v>
      </c>
      <c r="N1" s="83"/>
      <c r="O1" s="83" t="s">
        <v>41</v>
      </c>
      <c r="R1" s="82" t="s">
        <v>19</v>
      </c>
    </row>
    <row r="2" spans="1:59" x14ac:dyDescent="0.25">
      <c r="A2" s="84" t="str">
        <f t="shared" ref="A2:A65" si="0">CONCATENATE(B2,C2,G2)</f>
        <v>OutubroSEMANA 1Pão Rabanada</v>
      </c>
      <c r="B2" s="85" t="s">
        <v>37</v>
      </c>
      <c r="C2" s="85" t="s">
        <v>20</v>
      </c>
      <c r="D2" s="86">
        <v>1</v>
      </c>
      <c r="E2" s="116" t="str">
        <f t="shared" ref="E2:E65" si="1">VLOOKUP(G2,$M$1:$O$968,3,0)</f>
        <v>Mercado</v>
      </c>
      <c r="F2" s="85" t="s">
        <v>1036</v>
      </c>
      <c r="G2" s="85" t="s">
        <v>566</v>
      </c>
      <c r="H2" s="85" t="s">
        <v>1038</v>
      </c>
      <c r="I2" s="85">
        <v>10</v>
      </c>
      <c r="J2" s="87">
        <v>6.01</v>
      </c>
      <c r="K2" s="88">
        <f t="shared" ref="K2:K65" si="2">I2*J2</f>
        <v>60.099999999999994</v>
      </c>
      <c r="L2" s="85">
        <v>45328</v>
      </c>
      <c r="M2" s="118" t="s">
        <v>62</v>
      </c>
      <c r="N2" s="84"/>
      <c r="O2" s="84" t="s">
        <v>45</v>
      </c>
      <c r="R2" s="84" t="s">
        <v>47</v>
      </c>
    </row>
    <row r="3" spans="1:59" x14ac:dyDescent="0.25">
      <c r="A3" s="84" t="str">
        <f t="shared" si="0"/>
        <v>OutubroSEMANA 1Pão Árabe</v>
      </c>
      <c r="B3" s="85" t="s">
        <v>37</v>
      </c>
      <c r="C3" s="85" t="s">
        <v>20</v>
      </c>
      <c r="D3" s="86">
        <v>1</v>
      </c>
      <c r="E3" s="116" t="str">
        <f t="shared" si="1"/>
        <v>Mercado</v>
      </c>
      <c r="F3" s="85" t="s">
        <v>1036</v>
      </c>
      <c r="G3" s="85" t="s">
        <v>561</v>
      </c>
      <c r="H3" s="85" t="s">
        <v>1037</v>
      </c>
      <c r="I3" s="85">
        <v>2</v>
      </c>
      <c r="J3" s="87">
        <v>6.7</v>
      </c>
      <c r="K3" s="88">
        <f t="shared" si="2"/>
        <v>13.4</v>
      </c>
      <c r="L3" s="85">
        <v>45328</v>
      </c>
      <c r="M3" s="118" t="s">
        <v>1012</v>
      </c>
      <c r="O3" s="84" t="s">
        <v>875</v>
      </c>
      <c r="R3" s="84" t="s">
        <v>44</v>
      </c>
      <c r="BG3" s="84" t="s">
        <v>42</v>
      </c>
    </row>
    <row r="4" spans="1:59" x14ac:dyDescent="0.25">
      <c r="A4" s="84" t="str">
        <f t="shared" si="0"/>
        <v>OutubroSEMANA 1Batata Palha 140 g</v>
      </c>
      <c r="B4" s="85" t="s">
        <v>37</v>
      </c>
      <c r="C4" s="85" t="s">
        <v>20</v>
      </c>
      <c r="D4" s="86">
        <v>1</v>
      </c>
      <c r="E4" s="116" t="str">
        <f t="shared" si="1"/>
        <v>Mercado</v>
      </c>
      <c r="F4" s="85" t="s">
        <v>1036</v>
      </c>
      <c r="G4" s="85" t="s">
        <v>174</v>
      </c>
      <c r="H4" s="85" t="s">
        <v>1037</v>
      </c>
      <c r="I4" s="85">
        <v>2</v>
      </c>
      <c r="J4" s="87">
        <v>7.8</v>
      </c>
      <c r="K4" s="88">
        <f t="shared" si="2"/>
        <v>15.6</v>
      </c>
      <c r="L4" s="85">
        <v>45328</v>
      </c>
      <c r="M4" s="118" t="s">
        <v>63</v>
      </c>
      <c r="N4" s="84"/>
      <c r="O4" s="84" t="s">
        <v>45</v>
      </c>
      <c r="R4" s="84" t="s">
        <v>873</v>
      </c>
    </row>
    <row r="5" spans="1:59" x14ac:dyDescent="0.25">
      <c r="A5" s="84" t="str">
        <f t="shared" si="0"/>
        <v>OutubroSEMANA 1Manjericão</v>
      </c>
      <c r="B5" s="85" t="s">
        <v>37</v>
      </c>
      <c r="C5" s="85" t="s">
        <v>20</v>
      </c>
      <c r="D5" s="86">
        <v>1</v>
      </c>
      <c r="E5" s="116" t="str">
        <f t="shared" si="1"/>
        <v>Hortifruti</v>
      </c>
      <c r="F5" s="85" t="s">
        <v>1036</v>
      </c>
      <c r="G5" s="85" t="s">
        <v>499</v>
      </c>
      <c r="H5" s="85" t="s">
        <v>1039</v>
      </c>
      <c r="I5" s="85">
        <v>0.1</v>
      </c>
      <c r="J5" s="87">
        <f>3.3/0.1</f>
        <v>32.999999999999993</v>
      </c>
      <c r="K5" s="88">
        <f t="shared" si="2"/>
        <v>3.2999999999999994</v>
      </c>
      <c r="L5" s="85">
        <v>45328</v>
      </c>
      <c r="M5" s="118" t="s">
        <v>64</v>
      </c>
      <c r="N5" s="84"/>
      <c r="O5" s="84" t="s">
        <v>60</v>
      </c>
      <c r="R5" s="84" t="s">
        <v>874</v>
      </c>
    </row>
    <row r="6" spans="1:59" x14ac:dyDescent="0.25">
      <c r="A6" s="84" t="str">
        <f t="shared" si="0"/>
        <v>OutubroSEMANA 1Gelo em Escamas</v>
      </c>
      <c r="B6" s="85" t="s">
        <v>37</v>
      </c>
      <c r="C6" s="85" t="s">
        <v>20</v>
      </c>
      <c r="D6" s="86">
        <v>1</v>
      </c>
      <c r="E6" s="116" t="str">
        <f t="shared" si="1"/>
        <v>Mercado</v>
      </c>
      <c r="F6" s="85" t="s">
        <v>1040</v>
      </c>
      <c r="G6" s="85" t="s">
        <v>384</v>
      </c>
      <c r="H6" s="85" t="s">
        <v>1041</v>
      </c>
      <c r="I6" s="85">
        <v>1</v>
      </c>
      <c r="J6" s="87">
        <v>7.5</v>
      </c>
      <c r="K6" s="88">
        <f t="shared" si="2"/>
        <v>7.5</v>
      </c>
      <c r="L6" s="85">
        <v>9729</v>
      </c>
      <c r="M6" s="118" t="s">
        <v>65</v>
      </c>
      <c r="N6" s="84"/>
      <c r="O6" s="84" t="s">
        <v>45</v>
      </c>
      <c r="R6" s="84" t="s">
        <v>875</v>
      </c>
    </row>
    <row r="7" spans="1:59" x14ac:dyDescent="0.25">
      <c r="A7" s="84" t="str">
        <f t="shared" si="0"/>
        <v>OutubroSEMANA 1Gelo em Cubo</v>
      </c>
      <c r="B7" s="85" t="s">
        <v>37</v>
      </c>
      <c r="C7" s="85" t="s">
        <v>20</v>
      </c>
      <c r="D7" s="86">
        <v>1</v>
      </c>
      <c r="E7" s="116" t="str">
        <f t="shared" si="1"/>
        <v>Mercado</v>
      </c>
      <c r="F7" s="85" t="s">
        <v>1040</v>
      </c>
      <c r="G7" s="85" t="s">
        <v>383</v>
      </c>
      <c r="H7" s="85" t="s">
        <v>1041</v>
      </c>
      <c r="I7" s="85">
        <v>2</v>
      </c>
      <c r="J7" s="87">
        <v>7.5</v>
      </c>
      <c r="K7" s="88">
        <f t="shared" si="2"/>
        <v>15</v>
      </c>
      <c r="L7" s="85">
        <v>9729</v>
      </c>
      <c r="M7" s="118" t="s">
        <v>994</v>
      </c>
      <c r="N7" s="84"/>
      <c r="O7" s="84" t="s">
        <v>60</v>
      </c>
      <c r="R7" s="84" t="s">
        <v>45</v>
      </c>
    </row>
    <row r="8" spans="1:59" x14ac:dyDescent="0.25">
      <c r="A8" s="84" t="str">
        <f t="shared" si="0"/>
        <v>OutubroSEMANA 1Gelo em Escamas</v>
      </c>
      <c r="B8" s="85" t="s">
        <v>37</v>
      </c>
      <c r="C8" s="85" t="s">
        <v>20</v>
      </c>
      <c r="D8" s="86">
        <v>2</v>
      </c>
      <c r="E8" s="116" t="str">
        <f t="shared" si="1"/>
        <v>Mercado</v>
      </c>
      <c r="F8" s="85" t="s">
        <v>1040</v>
      </c>
      <c r="G8" s="85" t="s">
        <v>384</v>
      </c>
      <c r="H8" s="85" t="s">
        <v>1041</v>
      </c>
      <c r="I8" s="85">
        <v>1</v>
      </c>
      <c r="J8" s="87">
        <v>7.5</v>
      </c>
      <c r="K8" s="88">
        <f t="shared" si="2"/>
        <v>7.5</v>
      </c>
      <c r="L8" s="85">
        <v>9872</v>
      </c>
      <c r="M8" s="118" t="s">
        <v>66</v>
      </c>
      <c r="N8" s="84"/>
      <c r="O8" s="84" t="s">
        <v>42</v>
      </c>
      <c r="R8" s="84" t="s">
        <v>46</v>
      </c>
    </row>
    <row r="9" spans="1:59" x14ac:dyDescent="0.25">
      <c r="A9" s="84" t="str">
        <f t="shared" si="0"/>
        <v>OutubroSEMANA 1Gelo em Cubo</v>
      </c>
      <c r="B9" s="85" t="s">
        <v>37</v>
      </c>
      <c r="C9" s="85" t="s">
        <v>20</v>
      </c>
      <c r="D9" s="86">
        <v>2</v>
      </c>
      <c r="E9" s="116" t="str">
        <f t="shared" si="1"/>
        <v>Mercado</v>
      </c>
      <c r="F9" s="85" t="s">
        <v>1040</v>
      </c>
      <c r="G9" s="85" t="s">
        <v>383</v>
      </c>
      <c r="H9" s="85" t="s">
        <v>1041</v>
      </c>
      <c r="I9" s="85">
        <v>3</v>
      </c>
      <c r="J9" s="87">
        <v>7.5</v>
      </c>
      <c r="K9" s="88">
        <f t="shared" si="2"/>
        <v>22.5</v>
      </c>
      <c r="L9" s="85">
        <v>9872</v>
      </c>
      <c r="M9" s="118" t="s">
        <v>67</v>
      </c>
      <c r="N9" s="84"/>
      <c r="O9" s="84" t="s">
        <v>42</v>
      </c>
      <c r="R9" s="84" t="s">
        <v>42</v>
      </c>
    </row>
    <row r="10" spans="1:59" x14ac:dyDescent="0.25">
      <c r="A10" s="84" t="str">
        <f t="shared" si="0"/>
        <v>OutubroSEMANA 1Pão Francês</v>
      </c>
      <c r="B10" s="85" t="s">
        <v>37</v>
      </c>
      <c r="C10" s="85" t="s">
        <v>20</v>
      </c>
      <c r="D10" s="86">
        <v>2</v>
      </c>
      <c r="E10" s="116" t="str">
        <f t="shared" si="1"/>
        <v>Mercado</v>
      </c>
      <c r="F10" s="85" t="s">
        <v>1036</v>
      </c>
      <c r="G10" s="85" t="s">
        <v>565</v>
      </c>
      <c r="H10" s="85" t="s">
        <v>1039</v>
      </c>
      <c r="I10" s="85">
        <v>0.185</v>
      </c>
      <c r="J10" s="87">
        <v>13.98</v>
      </c>
      <c r="K10" s="88">
        <f t="shared" si="2"/>
        <v>2.5863</v>
      </c>
      <c r="L10" s="85"/>
      <c r="M10" s="118" t="s">
        <v>68</v>
      </c>
      <c r="N10" s="84"/>
      <c r="O10" s="84" t="s">
        <v>45</v>
      </c>
      <c r="R10" s="84" t="s">
        <v>43</v>
      </c>
    </row>
    <row r="11" spans="1:59" x14ac:dyDescent="0.25">
      <c r="A11" s="84" t="str">
        <f t="shared" si="0"/>
        <v>OutubroSEMANA 1Massa de Pastel</v>
      </c>
      <c r="B11" s="85" t="s">
        <v>37</v>
      </c>
      <c r="C11" s="85" t="s">
        <v>20</v>
      </c>
      <c r="D11" s="86">
        <v>2</v>
      </c>
      <c r="E11" s="116" t="str">
        <f t="shared" si="1"/>
        <v>Mercado</v>
      </c>
      <c r="F11" s="85" t="s">
        <v>1042</v>
      </c>
      <c r="G11" s="85" t="s">
        <v>508</v>
      </c>
      <c r="H11" s="85" t="s">
        <v>1039</v>
      </c>
      <c r="I11" s="85">
        <v>28.2</v>
      </c>
      <c r="J11" s="87">
        <f>210/28.2</f>
        <v>7.4468085106382977</v>
      </c>
      <c r="K11" s="88">
        <f t="shared" si="2"/>
        <v>210</v>
      </c>
      <c r="L11" s="85"/>
      <c r="M11" s="118" t="s">
        <v>69</v>
      </c>
      <c r="N11" s="84"/>
      <c r="O11" s="84" t="s">
        <v>45</v>
      </c>
      <c r="R11" s="84" t="s">
        <v>60</v>
      </c>
    </row>
    <row r="12" spans="1:59" x14ac:dyDescent="0.25">
      <c r="A12" s="84" t="str">
        <f t="shared" si="0"/>
        <v>OutubroSEMANA 1Acelga</v>
      </c>
      <c r="B12" s="85" t="s">
        <v>37</v>
      </c>
      <c r="C12" s="85" t="s">
        <v>20</v>
      </c>
      <c r="D12" s="86">
        <v>2</v>
      </c>
      <c r="E12" s="116" t="str">
        <f t="shared" si="1"/>
        <v>Hortifruti</v>
      </c>
      <c r="F12" s="85" t="s">
        <v>1042</v>
      </c>
      <c r="G12" s="85" t="s">
        <v>75</v>
      </c>
      <c r="H12" s="85" t="s">
        <v>1039</v>
      </c>
      <c r="I12" s="85">
        <v>1.5</v>
      </c>
      <c r="J12" s="87">
        <f>6/1.5</f>
        <v>4</v>
      </c>
      <c r="K12" s="88">
        <f t="shared" si="2"/>
        <v>6</v>
      </c>
      <c r="L12" s="85"/>
      <c r="M12" s="118" t="s">
        <v>70</v>
      </c>
      <c r="N12" s="96"/>
      <c r="O12" s="96" t="s">
        <v>45</v>
      </c>
      <c r="R12" s="84" t="s">
        <v>872</v>
      </c>
    </row>
    <row r="13" spans="1:59" x14ac:dyDescent="0.25">
      <c r="A13" s="84" t="str">
        <f t="shared" si="0"/>
        <v>OutubroSEMANA 1Aipim</v>
      </c>
      <c r="B13" s="85" t="s">
        <v>37</v>
      </c>
      <c r="C13" s="85" t="s">
        <v>20</v>
      </c>
      <c r="D13" s="86">
        <v>2</v>
      </c>
      <c r="E13" s="116" t="str">
        <f t="shared" si="1"/>
        <v>Hortifruti</v>
      </c>
      <c r="F13" s="85" t="s">
        <v>1042</v>
      </c>
      <c r="G13" s="85" t="s">
        <v>95</v>
      </c>
      <c r="H13" s="85" t="s">
        <v>1039</v>
      </c>
      <c r="I13" s="85">
        <v>20</v>
      </c>
      <c r="J13" s="87">
        <v>5</v>
      </c>
      <c r="K13" s="88">
        <f t="shared" si="2"/>
        <v>100</v>
      </c>
      <c r="L13" s="85"/>
      <c r="M13" s="118" t="s">
        <v>71</v>
      </c>
      <c r="N13" s="96"/>
      <c r="O13" s="96" t="s">
        <v>45</v>
      </c>
    </row>
    <row r="14" spans="1:59" x14ac:dyDescent="0.25">
      <c r="A14" s="84" t="str">
        <f t="shared" si="0"/>
        <v>OutubroSEMANA 1Sacola Delivery</v>
      </c>
      <c r="B14" s="85" t="s">
        <v>37</v>
      </c>
      <c r="C14" s="85" t="s">
        <v>20</v>
      </c>
      <c r="D14" s="86">
        <v>2</v>
      </c>
      <c r="E14" s="116" t="str">
        <f t="shared" si="1"/>
        <v>Descartável</v>
      </c>
      <c r="F14" s="85" t="s">
        <v>1043</v>
      </c>
      <c r="G14" s="85" t="s">
        <v>722</v>
      </c>
      <c r="H14" s="85" t="s">
        <v>1038</v>
      </c>
      <c r="I14" s="85">
        <v>5010</v>
      </c>
      <c r="J14" s="87">
        <f>3857.7/5010</f>
        <v>0.77</v>
      </c>
      <c r="K14" s="88">
        <f t="shared" si="2"/>
        <v>3857.7000000000003</v>
      </c>
      <c r="L14" s="85">
        <v>2020</v>
      </c>
      <c r="M14" s="118" t="s">
        <v>72</v>
      </c>
      <c r="N14" s="96"/>
      <c r="O14" s="96" t="s">
        <v>45</v>
      </c>
      <c r="R14"/>
    </row>
    <row r="15" spans="1:59" x14ac:dyDescent="0.25">
      <c r="A15" s="84" t="str">
        <f t="shared" si="0"/>
        <v>OutubroSEMANA 1Alface Americana Orgânica</v>
      </c>
      <c r="B15" s="85" t="s">
        <v>37</v>
      </c>
      <c r="C15" s="85" t="s">
        <v>20</v>
      </c>
      <c r="D15" s="86">
        <v>2</v>
      </c>
      <c r="E15" s="116" t="str">
        <f t="shared" si="1"/>
        <v>Hortifruti</v>
      </c>
      <c r="F15" s="85" t="s">
        <v>1044</v>
      </c>
      <c r="G15" s="85" t="s">
        <v>103</v>
      </c>
      <c r="H15" s="85" t="s">
        <v>1039</v>
      </c>
      <c r="I15" s="85">
        <v>11.44</v>
      </c>
      <c r="J15" s="87">
        <f>72.5/11.44</f>
        <v>6.3374125874125875</v>
      </c>
      <c r="K15" s="88">
        <f t="shared" si="2"/>
        <v>72.5</v>
      </c>
      <c r="L15" s="85">
        <v>82576</v>
      </c>
      <c r="M15" s="118" t="s">
        <v>984</v>
      </c>
      <c r="O15" s="115" t="s">
        <v>875</v>
      </c>
      <c r="R15"/>
    </row>
    <row r="16" spans="1:59" x14ac:dyDescent="0.25">
      <c r="A16" s="84" t="str">
        <f t="shared" si="0"/>
        <v>OutubroSEMANA 1Alface crespa Orgânica</v>
      </c>
      <c r="B16" s="85" t="s">
        <v>37</v>
      </c>
      <c r="C16" s="85" t="s">
        <v>20</v>
      </c>
      <c r="D16" s="86">
        <v>2</v>
      </c>
      <c r="E16" s="116" t="str">
        <f t="shared" si="1"/>
        <v>Hortifruti</v>
      </c>
      <c r="F16" s="85" t="s">
        <v>1044</v>
      </c>
      <c r="G16" s="85" t="s">
        <v>105</v>
      </c>
      <c r="H16" s="85" t="s">
        <v>1039</v>
      </c>
      <c r="I16" s="85">
        <v>3.84</v>
      </c>
      <c r="J16" s="87">
        <f>25/3.84</f>
        <v>6.510416666666667</v>
      </c>
      <c r="K16" s="88">
        <f t="shared" si="2"/>
        <v>25</v>
      </c>
      <c r="L16" s="85">
        <v>82576</v>
      </c>
      <c r="M16" s="118" t="s">
        <v>73</v>
      </c>
      <c r="N16" s="96"/>
      <c r="O16" s="96" t="s">
        <v>45</v>
      </c>
      <c r="R16"/>
    </row>
    <row r="17" spans="1:18" x14ac:dyDescent="0.25">
      <c r="A17" s="84" t="str">
        <f t="shared" si="0"/>
        <v>OutubroSEMANA 1Alface Roxa Orgânica</v>
      </c>
      <c r="B17" s="85" t="s">
        <v>37</v>
      </c>
      <c r="C17" s="85" t="s">
        <v>20</v>
      </c>
      <c r="D17" s="86">
        <v>2</v>
      </c>
      <c r="E17" s="116" t="str">
        <f t="shared" si="1"/>
        <v>Hortifruti</v>
      </c>
      <c r="F17" s="85" t="s">
        <v>1044</v>
      </c>
      <c r="G17" s="85" t="s">
        <v>109</v>
      </c>
      <c r="H17" s="85" t="s">
        <v>1039</v>
      </c>
      <c r="I17" s="85">
        <v>1.44</v>
      </c>
      <c r="J17" s="87">
        <f>15/1.44</f>
        <v>10.416666666666668</v>
      </c>
      <c r="K17" s="88">
        <f t="shared" si="2"/>
        <v>15.000000000000002</v>
      </c>
      <c r="L17" s="85">
        <v>82576</v>
      </c>
      <c r="M17" s="118" t="s">
        <v>900</v>
      </c>
      <c r="N17" s="96"/>
      <c r="O17" s="96" t="s">
        <v>60</v>
      </c>
      <c r="R17"/>
    </row>
    <row r="18" spans="1:18" x14ac:dyDescent="0.25">
      <c r="A18" s="84" t="str">
        <f t="shared" si="0"/>
        <v>OutubroSEMANA 1Beterraba Orgânica</v>
      </c>
      <c r="B18" s="85" t="s">
        <v>37</v>
      </c>
      <c r="C18" s="85" t="s">
        <v>20</v>
      </c>
      <c r="D18" s="86">
        <v>2</v>
      </c>
      <c r="E18" s="116" t="str">
        <f t="shared" si="1"/>
        <v>Hortifruti</v>
      </c>
      <c r="F18" s="85" t="s">
        <v>1044</v>
      </c>
      <c r="G18" s="85" t="s">
        <v>182</v>
      </c>
      <c r="H18" s="85" t="s">
        <v>1039</v>
      </c>
      <c r="I18" s="85">
        <v>3</v>
      </c>
      <c r="J18" s="87">
        <v>7.7</v>
      </c>
      <c r="K18" s="88">
        <f t="shared" si="2"/>
        <v>23.1</v>
      </c>
      <c r="L18" s="85">
        <v>82576</v>
      </c>
      <c r="M18" s="118" t="s">
        <v>74</v>
      </c>
      <c r="N18" s="96"/>
      <c r="O18" s="96" t="s">
        <v>42</v>
      </c>
      <c r="R18"/>
    </row>
    <row r="19" spans="1:18" x14ac:dyDescent="0.25">
      <c r="A19" s="84" t="str">
        <f t="shared" si="0"/>
        <v>OutubroSEMANA 1Cenoura Orgânica</v>
      </c>
      <c r="B19" s="85" t="s">
        <v>37</v>
      </c>
      <c r="C19" s="85" t="s">
        <v>20</v>
      </c>
      <c r="D19" s="86">
        <v>2</v>
      </c>
      <c r="E19" s="116" t="str">
        <f t="shared" si="1"/>
        <v>Hortifruti</v>
      </c>
      <c r="F19" s="85" t="s">
        <v>1044</v>
      </c>
      <c r="G19" s="85" t="s">
        <v>252</v>
      </c>
      <c r="H19" s="85" t="s">
        <v>1039</v>
      </c>
      <c r="I19" s="85">
        <v>6</v>
      </c>
      <c r="J19" s="87">
        <v>7.75</v>
      </c>
      <c r="K19" s="88">
        <f t="shared" si="2"/>
        <v>46.5</v>
      </c>
      <c r="L19" s="85">
        <v>82576</v>
      </c>
      <c r="M19" s="118" t="s">
        <v>75</v>
      </c>
      <c r="N19" s="96"/>
      <c r="O19" s="96" t="s">
        <v>45</v>
      </c>
      <c r="R19"/>
    </row>
    <row r="20" spans="1:18" x14ac:dyDescent="0.25">
      <c r="A20" s="84" t="str">
        <f t="shared" si="0"/>
        <v>OutubroSEMANA 1Rúcula Orgânica</v>
      </c>
      <c r="B20" s="85" t="s">
        <v>37</v>
      </c>
      <c r="C20" s="85" t="s">
        <v>20</v>
      </c>
      <c r="D20" s="86">
        <v>2</v>
      </c>
      <c r="E20" s="116" t="str">
        <f t="shared" si="1"/>
        <v>Hortifruti</v>
      </c>
      <c r="F20" s="85" t="s">
        <v>1044</v>
      </c>
      <c r="G20" s="85" t="s">
        <v>707</v>
      </c>
      <c r="H20" s="85" t="s">
        <v>1039</v>
      </c>
      <c r="I20" s="85">
        <v>3</v>
      </c>
      <c r="J20" s="87">
        <f>64/3</f>
        <v>21.333333333333332</v>
      </c>
      <c r="K20" s="88">
        <f t="shared" si="2"/>
        <v>64</v>
      </c>
      <c r="L20" s="85">
        <v>82576</v>
      </c>
      <c r="M20" s="118" t="s">
        <v>76</v>
      </c>
      <c r="N20" s="96"/>
      <c r="O20" s="96" t="s">
        <v>60</v>
      </c>
      <c r="R20"/>
    </row>
    <row r="21" spans="1:18" x14ac:dyDescent="0.25">
      <c r="A21" s="84" t="str">
        <f t="shared" si="0"/>
        <v>OutubroSEMANA 1Creme de Leite Culinário 20% Bd 10 Lt</v>
      </c>
      <c r="B21" s="85" t="s">
        <v>37</v>
      </c>
      <c r="C21" s="85" t="s">
        <v>20</v>
      </c>
      <c r="D21" s="86">
        <v>2</v>
      </c>
      <c r="E21" s="116" t="str">
        <f t="shared" si="1"/>
        <v>Mercado</v>
      </c>
      <c r="F21" s="85" t="s">
        <v>1045</v>
      </c>
      <c r="G21" s="85" t="s">
        <v>315</v>
      </c>
      <c r="H21" s="85" t="s">
        <v>1046</v>
      </c>
      <c r="I21" s="85">
        <v>1</v>
      </c>
      <c r="J21" s="87">
        <v>142.44999999999999</v>
      </c>
      <c r="K21" s="88">
        <f t="shared" si="2"/>
        <v>142.44999999999999</v>
      </c>
      <c r="L21" s="85" t="s">
        <v>1047</v>
      </c>
      <c r="M21" s="118" t="s">
        <v>77</v>
      </c>
      <c r="N21" s="96"/>
      <c r="O21" s="96" t="s">
        <v>42</v>
      </c>
      <c r="R21"/>
    </row>
    <row r="22" spans="1:18" x14ac:dyDescent="0.25">
      <c r="A22" s="84" t="str">
        <f t="shared" si="0"/>
        <v>OutubroSEMANA 1Queijo Mussarela</v>
      </c>
      <c r="B22" s="85" t="s">
        <v>37</v>
      </c>
      <c r="C22" s="85" t="s">
        <v>20</v>
      </c>
      <c r="D22" s="86">
        <v>2</v>
      </c>
      <c r="E22" s="116" t="str">
        <f t="shared" si="1"/>
        <v>Mercado</v>
      </c>
      <c r="F22" s="85" t="s">
        <v>1045</v>
      </c>
      <c r="G22" s="85" t="s">
        <v>685</v>
      </c>
      <c r="H22" s="85" t="s">
        <v>1039</v>
      </c>
      <c r="I22" s="85">
        <v>3.5</v>
      </c>
      <c r="J22" s="87">
        <v>26</v>
      </c>
      <c r="K22" s="88">
        <f t="shared" si="2"/>
        <v>91</v>
      </c>
      <c r="L22" s="85" t="s">
        <v>1047</v>
      </c>
      <c r="M22" s="118" t="s">
        <v>78</v>
      </c>
      <c r="N22" s="96"/>
      <c r="O22" s="96" t="s">
        <v>42</v>
      </c>
      <c r="R22"/>
    </row>
    <row r="23" spans="1:18" x14ac:dyDescent="0.25">
      <c r="A23" s="84" t="str">
        <f t="shared" si="0"/>
        <v>OutubroSEMANA 1Queijo Minas</v>
      </c>
      <c r="B23" s="85" t="s">
        <v>37</v>
      </c>
      <c r="C23" s="85" t="s">
        <v>20</v>
      </c>
      <c r="D23" s="86">
        <v>2</v>
      </c>
      <c r="E23" s="116" t="str">
        <f t="shared" si="1"/>
        <v>Mercado</v>
      </c>
      <c r="F23" s="85" t="s">
        <v>1045</v>
      </c>
      <c r="G23" s="85" t="s">
        <v>682</v>
      </c>
      <c r="H23" s="85" t="s">
        <v>1039</v>
      </c>
      <c r="I23" s="85">
        <v>4.5999999999999996</v>
      </c>
      <c r="J23" s="87">
        <v>20.8</v>
      </c>
      <c r="K23" s="88">
        <f t="shared" si="2"/>
        <v>95.679999999999993</v>
      </c>
      <c r="L23" s="85" t="s">
        <v>1047</v>
      </c>
      <c r="M23" s="118" t="s">
        <v>79</v>
      </c>
      <c r="N23" s="96"/>
      <c r="O23" s="96" t="s">
        <v>42</v>
      </c>
      <c r="R23"/>
    </row>
    <row r="24" spans="1:18" x14ac:dyDescent="0.25">
      <c r="A24" s="84" t="str">
        <f t="shared" si="0"/>
        <v>OutubroSEMANA 1Pescados - Filé Linguado Cong. G</v>
      </c>
      <c r="B24" s="85" t="s">
        <v>37</v>
      </c>
      <c r="C24" s="85" t="s">
        <v>20</v>
      </c>
      <c r="D24" s="86">
        <v>2</v>
      </c>
      <c r="E24" s="116" t="str">
        <f t="shared" si="1"/>
        <v>Carnes</v>
      </c>
      <c r="F24" s="85" t="s">
        <v>1048</v>
      </c>
      <c r="G24" s="85" t="s">
        <v>607</v>
      </c>
      <c r="H24" s="85" t="s">
        <v>1039</v>
      </c>
      <c r="I24" s="85">
        <v>30</v>
      </c>
      <c r="J24" s="87">
        <v>42</v>
      </c>
      <c r="K24" s="88">
        <f t="shared" si="2"/>
        <v>1260</v>
      </c>
      <c r="L24" s="85">
        <v>280682</v>
      </c>
      <c r="M24" s="118" t="s">
        <v>80</v>
      </c>
      <c r="N24" s="96"/>
      <c r="O24" s="96" t="s">
        <v>60</v>
      </c>
      <c r="R24"/>
    </row>
    <row r="25" spans="1:18" x14ac:dyDescent="0.25">
      <c r="A25" s="84" t="str">
        <f t="shared" si="0"/>
        <v>OutubroSEMANA 1Pescados - Lula Calamares</v>
      </c>
      <c r="B25" s="85" t="s">
        <v>37</v>
      </c>
      <c r="C25" s="85" t="s">
        <v>20</v>
      </c>
      <c r="D25" s="86">
        <v>2</v>
      </c>
      <c r="E25" s="116" t="str">
        <f t="shared" si="1"/>
        <v>Carnes</v>
      </c>
      <c r="F25" s="85" t="s">
        <v>1048</v>
      </c>
      <c r="G25" s="85" t="s">
        <v>621</v>
      </c>
      <c r="H25" s="85" t="s">
        <v>1039</v>
      </c>
      <c r="I25" s="85">
        <v>10</v>
      </c>
      <c r="J25" s="87">
        <v>28</v>
      </c>
      <c r="K25" s="88">
        <f t="shared" si="2"/>
        <v>280</v>
      </c>
      <c r="L25" s="85">
        <v>280682</v>
      </c>
      <c r="M25" s="118" t="s">
        <v>1026</v>
      </c>
      <c r="O25" s="84" t="s">
        <v>42</v>
      </c>
      <c r="R25"/>
    </row>
    <row r="26" spans="1:18" x14ac:dyDescent="0.25">
      <c r="A26" s="84" t="str">
        <f t="shared" si="0"/>
        <v>OutubroSEMANA 1Pescados - Bacalhau Salgado</v>
      </c>
      <c r="B26" s="85" t="s">
        <v>37</v>
      </c>
      <c r="C26" s="85" t="s">
        <v>20</v>
      </c>
      <c r="D26" s="86">
        <v>2</v>
      </c>
      <c r="E26" s="116" t="str">
        <f t="shared" si="1"/>
        <v>Carnes</v>
      </c>
      <c r="F26" s="85" t="s">
        <v>1049</v>
      </c>
      <c r="G26" s="85" t="s">
        <v>589</v>
      </c>
      <c r="H26" s="85" t="s">
        <v>1039</v>
      </c>
      <c r="I26" s="85">
        <v>25</v>
      </c>
      <c r="J26" s="87">
        <f>1098.04/25</f>
        <v>43.921599999999998</v>
      </c>
      <c r="K26" s="88">
        <f t="shared" si="2"/>
        <v>1098.04</v>
      </c>
      <c r="L26" s="85" t="s">
        <v>1050</v>
      </c>
      <c r="M26" s="118" t="s">
        <v>81</v>
      </c>
      <c r="N26" s="96"/>
      <c r="O26" s="96" t="s">
        <v>42</v>
      </c>
      <c r="R26"/>
    </row>
    <row r="27" spans="1:18" x14ac:dyDescent="0.25">
      <c r="A27" s="84" t="str">
        <f t="shared" si="0"/>
        <v>OutubroSEMANA 1Aves - Filé de Peito de Frango</v>
      </c>
      <c r="B27" s="85" t="s">
        <v>37</v>
      </c>
      <c r="C27" s="85" t="s">
        <v>20</v>
      </c>
      <c r="D27" s="86">
        <v>2</v>
      </c>
      <c r="E27" s="116" t="str">
        <f t="shared" si="1"/>
        <v>Carnes</v>
      </c>
      <c r="F27" s="85" t="s">
        <v>1051</v>
      </c>
      <c r="G27" s="85" t="s">
        <v>139</v>
      </c>
      <c r="H27" s="85" t="s">
        <v>1039</v>
      </c>
      <c r="I27" s="85">
        <v>48</v>
      </c>
      <c r="J27" s="87">
        <v>7.8</v>
      </c>
      <c r="K27" s="88">
        <f t="shared" si="2"/>
        <v>374.4</v>
      </c>
      <c r="L27" s="85" t="s">
        <v>1052</v>
      </c>
      <c r="M27" s="118" t="s">
        <v>82</v>
      </c>
      <c r="N27" s="96"/>
      <c r="O27" s="96" t="s">
        <v>42</v>
      </c>
      <c r="R27"/>
    </row>
    <row r="28" spans="1:18" x14ac:dyDescent="0.25">
      <c r="A28" s="84" t="str">
        <f t="shared" si="0"/>
        <v>OutubroSEMANA 1Pescados - Salmão Inteiro Sushi</v>
      </c>
      <c r="B28" s="85" t="s">
        <v>37</v>
      </c>
      <c r="C28" s="85" t="s">
        <v>20</v>
      </c>
      <c r="D28" s="86">
        <v>2</v>
      </c>
      <c r="E28" s="116" t="str">
        <f t="shared" si="1"/>
        <v>Sushi</v>
      </c>
      <c r="F28" s="85" t="s">
        <v>1053</v>
      </c>
      <c r="G28" s="85" t="s">
        <v>645</v>
      </c>
      <c r="H28" s="85" t="s">
        <v>1039</v>
      </c>
      <c r="I28" s="85">
        <v>22.05</v>
      </c>
      <c r="J28" s="87">
        <v>27.900200000000002</v>
      </c>
      <c r="K28" s="88">
        <f t="shared" si="2"/>
        <v>615.19941000000006</v>
      </c>
      <c r="L28" s="85">
        <v>1229181</v>
      </c>
      <c r="M28" s="118" t="s">
        <v>83</v>
      </c>
      <c r="N28" s="96"/>
      <c r="O28" s="96" t="s">
        <v>42</v>
      </c>
      <c r="R28"/>
    </row>
    <row r="29" spans="1:18" x14ac:dyDescent="0.25">
      <c r="A29" s="84" t="str">
        <f t="shared" si="0"/>
        <v>OutubroSEMANA 1Batata Doce</v>
      </c>
      <c r="B29" s="85" t="s">
        <v>37</v>
      </c>
      <c r="C29" s="85" t="s">
        <v>20</v>
      </c>
      <c r="D29" s="86">
        <v>2</v>
      </c>
      <c r="E29" s="116" t="str">
        <f t="shared" si="1"/>
        <v>Hortifruti</v>
      </c>
      <c r="F29" s="85" t="s">
        <v>1054</v>
      </c>
      <c r="G29" s="85" t="s">
        <v>170</v>
      </c>
      <c r="H29" s="85" t="s">
        <v>1039</v>
      </c>
      <c r="I29" s="85">
        <v>17.940000000000001</v>
      </c>
      <c r="J29" s="87">
        <f>30/17.94</f>
        <v>1.6722408026755851</v>
      </c>
      <c r="K29" s="88">
        <f t="shared" si="2"/>
        <v>29.999999999999996</v>
      </c>
      <c r="L29" s="85">
        <v>1768</v>
      </c>
      <c r="M29" s="118" t="s">
        <v>84</v>
      </c>
      <c r="N29" s="96"/>
      <c r="O29" s="96" t="s">
        <v>46</v>
      </c>
      <c r="R29"/>
    </row>
    <row r="30" spans="1:18" x14ac:dyDescent="0.25">
      <c r="A30" s="84" t="str">
        <f t="shared" si="0"/>
        <v>OutubroSEMANA 1Pimentão Verde</v>
      </c>
      <c r="B30" s="85" t="s">
        <v>37</v>
      </c>
      <c r="C30" s="85" t="s">
        <v>20</v>
      </c>
      <c r="D30" s="86">
        <v>2</v>
      </c>
      <c r="E30" s="116" t="str">
        <f t="shared" si="1"/>
        <v>Hortifruti</v>
      </c>
      <c r="F30" s="85" t="s">
        <v>1054</v>
      </c>
      <c r="G30" s="85" t="s">
        <v>666</v>
      </c>
      <c r="H30" s="85" t="s">
        <v>1039</v>
      </c>
      <c r="I30" s="90">
        <v>1</v>
      </c>
      <c r="J30" s="87">
        <v>4</v>
      </c>
      <c r="K30" s="88">
        <f t="shared" ref="K30:K39" si="3">I30*J30</f>
        <v>4</v>
      </c>
      <c r="L30" s="85">
        <v>1768</v>
      </c>
      <c r="M30" s="118" t="s">
        <v>978</v>
      </c>
      <c r="N30" s="96"/>
      <c r="O30" s="96" t="s">
        <v>874</v>
      </c>
      <c r="R30"/>
    </row>
    <row r="31" spans="1:18" x14ac:dyDescent="0.25">
      <c r="A31" s="84" t="str">
        <f t="shared" si="0"/>
        <v>OutubroSEMANA 1Pimentão Amarelo</v>
      </c>
      <c r="B31" s="85" t="s">
        <v>37</v>
      </c>
      <c r="C31" s="85" t="s">
        <v>20</v>
      </c>
      <c r="D31" s="86">
        <v>2</v>
      </c>
      <c r="E31" s="116" t="str">
        <f t="shared" si="1"/>
        <v>Hortifruti</v>
      </c>
      <c r="F31" s="85" t="s">
        <v>1054</v>
      </c>
      <c r="G31" s="85" t="s">
        <v>664</v>
      </c>
      <c r="H31" s="85" t="s">
        <v>1039</v>
      </c>
      <c r="I31" s="90">
        <v>1</v>
      </c>
      <c r="J31" s="87">
        <v>8</v>
      </c>
      <c r="K31" s="88">
        <f t="shared" si="3"/>
        <v>8</v>
      </c>
      <c r="L31" s="85">
        <v>1768</v>
      </c>
      <c r="M31" s="118" t="s">
        <v>85</v>
      </c>
      <c r="N31" s="96"/>
      <c r="O31" s="96" t="s">
        <v>45</v>
      </c>
      <c r="R31"/>
    </row>
    <row r="32" spans="1:18" x14ac:dyDescent="0.25">
      <c r="A32" s="84" t="str">
        <f t="shared" si="0"/>
        <v>OutubroSEMANA 1Pimentão Vermelho</v>
      </c>
      <c r="B32" s="85" t="s">
        <v>37</v>
      </c>
      <c r="C32" s="85" t="s">
        <v>20</v>
      </c>
      <c r="D32" s="86">
        <v>2</v>
      </c>
      <c r="E32" s="116" t="str">
        <f t="shared" si="1"/>
        <v>Hortifruti</v>
      </c>
      <c r="F32" s="85" t="s">
        <v>1054</v>
      </c>
      <c r="G32" s="85" t="s">
        <v>667</v>
      </c>
      <c r="H32" s="85" t="s">
        <v>1039</v>
      </c>
      <c r="I32" s="90">
        <v>1</v>
      </c>
      <c r="J32" s="87">
        <v>8</v>
      </c>
      <c r="K32" s="88">
        <f t="shared" si="3"/>
        <v>8</v>
      </c>
      <c r="L32" s="85">
        <v>1768</v>
      </c>
      <c r="M32" s="118" t="s">
        <v>86</v>
      </c>
      <c r="N32" s="96"/>
      <c r="O32" s="96" t="s">
        <v>45</v>
      </c>
      <c r="R32"/>
    </row>
    <row r="33" spans="1:18" x14ac:dyDescent="0.25">
      <c r="A33" s="84" t="str">
        <f t="shared" si="0"/>
        <v>OutubroSEMANA 1Tomate Salada</v>
      </c>
      <c r="B33" s="85" t="s">
        <v>37</v>
      </c>
      <c r="C33" s="85" t="s">
        <v>20</v>
      </c>
      <c r="D33" s="86">
        <v>2</v>
      </c>
      <c r="E33" s="116" t="str">
        <f t="shared" si="1"/>
        <v>Hortifruti</v>
      </c>
      <c r="F33" s="85" t="s">
        <v>1054</v>
      </c>
      <c r="G33" s="85" t="s">
        <v>795</v>
      </c>
      <c r="H33" s="85" t="s">
        <v>1039</v>
      </c>
      <c r="I33" s="85">
        <v>21.54</v>
      </c>
      <c r="J33" s="87">
        <f>45/21.54</f>
        <v>2.0891364902506964</v>
      </c>
      <c r="K33" s="88">
        <f t="shared" si="3"/>
        <v>45</v>
      </c>
      <c r="L33" s="85">
        <v>1768</v>
      </c>
      <c r="M33" s="118" t="s">
        <v>87</v>
      </c>
      <c r="N33" s="96"/>
      <c r="O33" s="96" t="s">
        <v>60</v>
      </c>
      <c r="R33"/>
    </row>
    <row r="34" spans="1:18" x14ac:dyDescent="0.25">
      <c r="A34" s="84" t="str">
        <f t="shared" si="0"/>
        <v xml:space="preserve">OutubroSEMANA 1Alho Poró </v>
      </c>
      <c r="B34" s="85" t="s">
        <v>37</v>
      </c>
      <c r="C34" s="85" t="s">
        <v>20</v>
      </c>
      <c r="D34" s="86">
        <v>2</v>
      </c>
      <c r="E34" s="116" t="str">
        <f t="shared" si="1"/>
        <v>Hortifruti</v>
      </c>
      <c r="F34" s="85" t="s">
        <v>1054</v>
      </c>
      <c r="G34" s="85" t="s">
        <v>113</v>
      </c>
      <c r="H34" s="85" t="s">
        <v>1039</v>
      </c>
      <c r="I34" s="85">
        <v>2</v>
      </c>
      <c r="J34" s="87">
        <v>8</v>
      </c>
      <c r="K34" s="88">
        <f t="shared" si="3"/>
        <v>16</v>
      </c>
      <c r="L34" s="85">
        <v>1768</v>
      </c>
      <c r="M34" s="118" t="s">
        <v>88</v>
      </c>
      <c r="N34" s="96"/>
      <c r="O34" s="96" t="s">
        <v>45</v>
      </c>
      <c r="R34"/>
    </row>
    <row r="35" spans="1:18" x14ac:dyDescent="0.25">
      <c r="A35" s="84" t="str">
        <f t="shared" si="0"/>
        <v>OutubroSEMANA 1Brócolis Americano</v>
      </c>
      <c r="B35" s="85" t="s">
        <v>37</v>
      </c>
      <c r="C35" s="85" t="s">
        <v>20</v>
      </c>
      <c r="D35" s="86">
        <v>2</v>
      </c>
      <c r="E35" s="116" t="str">
        <f t="shared" si="1"/>
        <v>Hortifruti</v>
      </c>
      <c r="F35" s="85" t="s">
        <v>1054</v>
      </c>
      <c r="G35" s="85" t="s">
        <v>194</v>
      </c>
      <c r="H35" s="85" t="s">
        <v>1039</v>
      </c>
      <c r="I35" s="85">
        <v>8</v>
      </c>
      <c r="J35" s="87">
        <v>7</v>
      </c>
      <c r="K35" s="88">
        <f t="shared" si="3"/>
        <v>56</v>
      </c>
      <c r="L35" s="85">
        <v>1768</v>
      </c>
      <c r="M35" s="118" t="s">
        <v>89</v>
      </c>
      <c r="N35" s="96"/>
      <c r="O35" s="96" t="s">
        <v>47</v>
      </c>
      <c r="R35"/>
    </row>
    <row r="36" spans="1:18" x14ac:dyDescent="0.25">
      <c r="A36" s="84" t="str">
        <f t="shared" si="0"/>
        <v>OutubroSEMANA 1Banana D'Água</v>
      </c>
      <c r="B36" s="85" t="s">
        <v>37</v>
      </c>
      <c r="C36" s="85" t="s">
        <v>20</v>
      </c>
      <c r="D36" s="86">
        <v>2</v>
      </c>
      <c r="E36" s="116" t="str">
        <f t="shared" si="1"/>
        <v>Hortifruti</v>
      </c>
      <c r="F36" s="85" t="s">
        <v>1054</v>
      </c>
      <c r="G36" s="85" t="s">
        <v>162</v>
      </c>
      <c r="H36" s="85" t="s">
        <v>1039</v>
      </c>
      <c r="I36" s="85">
        <v>2</v>
      </c>
      <c r="J36" s="87">
        <v>3.4</v>
      </c>
      <c r="K36" s="88">
        <f t="shared" si="3"/>
        <v>6.8</v>
      </c>
      <c r="L36" s="85">
        <v>1768</v>
      </c>
      <c r="M36" s="118" t="s">
        <v>90</v>
      </c>
      <c r="N36" s="96"/>
      <c r="O36" s="96" t="s">
        <v>47</v>
      </c>
      <c r="R36"/>
    </row>
    <row r="37" spans="1:18" x14ac:dyDescent="0.25">
      <c r="A37" s="84" t="str">
        <f t="shared" si="0"/>
        <v>OutubroSEMANA 1Limão</v>
      </c>
      <c r="B37" s="85" t="s">
        <v>37</v>
      </c>
      <c r="C37" s="85" t="s">
        <v>20</v>
      </c>
      <c r="D37" s="86">
        <v>2</v>
      </c>
      <c r="E37" s="116" t="str">
        <f t="shared" si="1"/>
        <v>Hortifruti</v>
      </c>
      <c r="F37" s="85" t="s">
        <v>1054</v>
      </c>
      <c r="G37" s="85" t="s">
        <v>464</v>
      </c>
      <c r="H37" s="85" t="s">
        <v>1039</v>
      </c>
      <c r="I37" s="85">
        <v>20.02</v>
      </c>
      <c r="J37" s="87">
        <f>110/20.02</f>
        <v>5.4945054945054945</v>
      </c>
      <c r="K37" s="88">
        <f t="shared" si="3"/>
        <v>110</v>
      </c>
      <c r="L37" s="85">
        <v>1768</v>
      </c>
      <c r="M37" s="118" t="s">
        <v>91</v>
      </c>
      <c r="N37" s="96"/>
      <c r="O37" s="96" t="s">
        <v>47</v>
      </c>
      <c r="R37"/>
    </row>
    <row r="38" spans="1:18" x14ac:dyDescent="0.25">
      <c r="A38" s="84" t="str">
        <f t="shared" si="0"/>
        <v>OutubroSEMANA 1Manga Palmer</v>
      </c>
      <c r="B38" s="85" t="s">
        <v>37</v>
      </c>
      <c r="C38" s="85" t="s">
        <v>20</v>
      </c>
      <c r="D38" s="86">
        <v>2</v>
      </c>
      <c r="E38" s="116" t="str">
        <f t="shared" si="1"/>
        <v>Hortifruti</v>
      </c>
      <c r="F38" s="85" t="s">
        <v>1054</v>
      </c>
      <c r="G38" s="85" t="s">
        <v>496</v>
      </c>
      <c r="H38" s="85" t="s">
        <v>1039</v>
      </c>
      <c r="I38" s="85">
        <v>5.5</v>
      </c>
      <c r="J38" s="87">
        <f>30/5.5</f>
        <v>5.4545454545454541</v>
      </c>
      <c r="K38" s="88">
        <f t="shared" si="3"/>
        <v>29.999999999999996</v>
      </c>
      <c r="L38" s="85">
        <v>1768</v>
      </c>
      <c r="M38" s="118" t="s">
        <v>92</v>
      </c>
      <c r="N38" s="96"/>
      <c r="O38" s="96" t="s">
        <v>47</v>
      </c>
      <c r="R38"/>
    </row>
    <row r="39" spans="1:18" x14ac:dyDescent="0.25">
      <c r="A39" s="84" t="str">
        <f t="shared" si="0"/>
        <v>OutubroSEMANA 1Pera</v>
      </c>
      <c r="B39" s="85" t="s">
        <v>37</v>
      </c>
      <c r="C39" s="85" t="s">
        <v>20</v>
      </c>
      <c r="D39" s="86">
        <v>2</v>
      </c>
      <c r="E39" s="116" t="str">
        <f t="shared" si="1"/>
        <v>Hortifruti</v>
      </c>
      <c r="F39" s="85" t="s">
        <v>1054</v>
      </c>
      <c r="G39" s="85" t="s">
        <v>581</v>
      </c>
      <c r="H39" s="85" t="s">
        <v>1039</v>
      </c>
      <c r="I39" s="85">
        <v>3</v>
      </c>
      <c r="J39" s="87">
        <v>8</v>
      </c>
      <c r="K39" s="88">
        <f t="shared" si="3"/>
        <v>24</v>
      </c>
      <c r="L39" s="85">
        <v>1768</v>
      </c>
      <c r="M39" s="118" t="s">
        <v>93</v>
      </c>
      <c r="N39" s="96"/>
      <c r="O39" s="96" t="s">
        <v>47</v>
      </c>
      <c r="R39"/>
    </row>
    <row r="40" spans="1:18" x14ac:dyDescent="0.25">
      <c r="A40" s="84" t="str">
        <f t="shared" si="0"/>
        <v>OutubroSEMANA 1Batata HBT</v>
      </c>
      <c r="B40" s="85" t="s">
        <v>37</v>
      </c>
      <c r="C40" s="85" t="s">
        <v>20</v>
      </c>
      <c r="D40" s="86">
        <v>2</v>
      </c>
      <c r="E40" s="116" t="str">
        <f t="shared" si="1"/>
        <v>Hortifruti</v>
      </c>
      <c r="F40" s="85" t="s">
        <v>1055</v>
      </c>
      <c r="G40" s="85" t="s">
        <v>171</v>
      </c>
      <c r="H40" s="85" t="s">
        <v>1039</v>
      </c>
      <c r="I40" s="85">
        <v>25</v>
      </c>
      <c r="J40" s="87">
        <v>1.25</v>
      </c>
      <c r="K40" s="88">
        <f t="shared" si="2"/>
        <v>31.25</v>
      </c>
      <c r="L40" s="85">
        <v>3553</v>
      </c>
      <c r="M40" s="118" t="s">
        <v>94</v>
      </c>
      <c r="N40" s="96"/>
      <c r="O40" s="96" t="s">
        <v>47</v>
      </c>
      <c r="R40"/>
    </row>
    <row r="41" spans="1:18" x14ac:dyDescent="0.25">
      <c r="A41" s="84" t="str">
        <f t="shared" si="0"/>
        <v>OutubroSEMANA 1Cebola</v>
      </c>
      <c r="B41" s="85" t="s">
        <v>37</v>
      </c>
      <c r="C41" s="85" t="s">
        <v>20</v>
      </c>
      <c r="D41" s="86">
        <v>2</v>
      </c>
      <c r="E41" s="116" t="str">
        <f t="shared" si="1"/>
        <v>Hortifruti</v>
      </c>
      <c r="F41" s="85" t="s">
        <v>1055</v>
      </c>
      <c r="G41" s="85" t="s">
        <v>241</v>
      </c>
      <c r="H41" s="85" t="s">
        <v>1039</v>
      </c>
      <c r="I41" s="85">
        <v>20.62</v>
      </c>
      <c r="J41" s="87">
        <f>26.5/20.62</f>
        <v>1.2851600387972841</v>
      </c>
      <c r="K41" s="88">
        <f t="shared" si="2"/>
        <v>26.5</v>
      </c>
      <c r="L41" s="85" t="s">
        <v>1060</v>
      </c>
      <c r="M41" s="118" t="s">
        <v>95</v>
      </c>
      <c r="N41" s="96"/>
      <c r="O41" s="96" t="s">
        <v>45</v>
      </c>
      <c r="R41"/>
    </row>
    <row r="42" spans="1:18" x14ac:dyDescent="0.25">
      <c r="A42" s="84" t="str">
        <f t="shared" si="0"/>
        <v>OutubroSEMANA 1Cebolinha Verde</v>
      </c>
      <c r="B42" s="85" t="s">
        <v>37</v>
      </c>
      <c r="C42" s="85" t="s">
        <v>20</v>
      </c>
      <c r="D42" s="86">
        <v>2</v>
      </c>
      <c r="E42" s="116" t="str">
        <f t="shared" si="1"/>
        <v>Hortifruti</v>
      </c>
      <c r="F42" s="85" t="s">
        <v>1055</v>
      </c>
      <c r="G42" s="85" t="s">
        <v>247</v>
      </c>
      <c r="H42" s="85" t="s">
        <v>1039</v>
      </c>
      <c r="I42" s="85">
        <v>1</v>
      </c>
      <c r="J42" s="87">
        <v>7.5</v>
      </c>
      <c r="K42" s="88">
        <f t="shared" si="2"/>
        <v>7.5</v>
      </c>
      <c r="L42" s="85">
        <v>3553</v>
      </c>
      <c r="M42" s="118" t="s">
        <v>96</v>
      </c>
      <c r="N42" s="96"/>
      <c r="O42" s="96" t="s">
        <v>45</v>
      </c>
      <c r="R42"/>
    </row>
    <row r="43" spans="1:18" x14ac:dyDescent="0.25">
      <c r="A43" s="84" t="str">
        <f t="shared" si="0"/>
        <v>OutubroSEMANA 1Côco Verde</v>
      </c>
      <c r="B43" s="85" t="s">
        <v>37</v>
      </c>
      <c r="C43" s="85" t="s">
        <v>20</v>
      </c>
      <c r="D43" s="86">
        <v>2</v>
      </c>
      <c r="E43" s="116" t="str">
        <f t="shared" si="1"/>
        <v>Hortifruti</v>
      </c>
      <c r="F43" s="85" t="s">
        <v>1055</v>
      </c>
      <c r="G43" s="85" t="s">
        <v>288</v>
      </c>
      <c r="H43" s="85" t="s">
        <v>1038</v>
      </c>
      <c r="I43" s="85">
        <v>10</v>
      </c>
      <c r="J43" s="87">
        <v>1.8</v>
      </c>
      <c r="K43" s="88">
        <f t="shared" si="2"/>
        <v>18</v>
      </c>
      <c r="L43" s="85">
        <v>3553</v>
      </c>
      <c r="M43" s="118" t="s">
        <v>97</v>
      </c>
      <c r="N43" s="96"/>
      <c r="O43" s="96" t="s">
        <v>42</v>
      </c>
      <c r="R43"/>
    </row>
    <row r="44" spans="1:18" x14ac:dyDescent="0.25">
      <c r="A44" s="84" t="str">
        <f t="shared" si="0"/>
        <v>OutubroSEMANA 1Goiaba</v>
      </c>
      <c r="B44" s="85" t="s">
        <v>37</v>
      </c>
      <c r="C44" s="85" t="s">
        <v>20</v>
      </c>
      <c r="D44" s="86">
        <v>2</v>
      </c>
      <c r="E44" s="116" t="str">
        <f t="shared" si="1"/>
        <v>Hortifruti</v>
      </c>
      <c r="F44" s="85" t="s">
        <v>1055</v>
      </c>
      <c r="G44" s="85" t="s">
        <v>391</v>
      </c>
      <c r="H44" s="85" t="s">
        <v>1039</v>
      </c>
      <c r="I44" s="85">
        <v>2.5</v>
      </c>
      <c r="J44" s="87">
        <f>15/2.5</f>
        <v>6</v>
      </c>
      <c r="K44" s="88">
        <f t="shared" si="2"/>
        <v>15</v>
      </c>
      <c r="L44" s="85">
        <v>3553</v>
      </c>
      <c r="M44" s="118" t="s">
        <v>98</v>
      </c>
      <c r="N44" s="96"/>
      <c r="O44" s="96" t="s">
        <v>42</v>
      </c>
      <c r="R44"/>
    </row>
    <row r="45" spans="1:18" x14ac:dyDescent="0.25">
      <c r="A45" s="84" t="str">
        <f t="shared" si="0"/>
        <v>OutubroSEMANA 1Mamão Bahia</v>
      </c>
      <c r="B45" s="85" t="s">
        <v>37</v>
      </c>
      <c r="C45" s="85" t="s">
        <v>20</v>
      </c>
      <c r="D45" s="86">
        <v>2</v>
      </c>
      <c r="E45" s="116" t="str">
        <f t="shared" si="1"/>
        <v>Hortifruti</v>
      </c>
      <c r="F45" s="85" t="s">
        <v>1055</v>
      </c>
      <c r="G45" s="85" t="s">
        <v>494</v>
      </c>
      <c r="H45" s="85" t="s">
        <v>1039</v>
      </c>
      <c r="I45" s="85">
        <v>1.8</v>
      </c>
      <c r="J45" s="87">
        <v>3.5</v>
      </c>
      <c r="K45" s="88">
        <f t="shared" si="2"/>
        <v>6.3</v>
      </c>
      <c r="L45" s="85">
        <v>3553</v>
      </c>
      <c r="M45" s="118" t="s">
        <v>99</v>
      </c>
      <c r="N45" s="96"/>
      <c r="O45" s="96" t="s">
        <v>46</v>
      </c>
      <c r="R45"/>
    </row>
    <row r="46" spans="1:18" x14ac:dyDescent="0.25">
      <c r="A46" s="84" t="str">
        <f t="shared" si="0"/>
        <v xml:space="preserve">OutubroSEMANA 1Melão de Rede </v>
      </c>
      <c r="B46" s="85" t="s">
        <v>37</v>
      </c>
      <c r="C46" s="85" t="s">
        <v>20</v>
      </c>
      <c r="D46" s="86">
        <v>2</v>
      </c>
      <c r="E46" s="116" t="str">
        <f t="shared" si="1"/>
        <v>Hortifruti</v>
      </c>
      <c r="F46" s="85" t="s">
        <v>1055</v>
      </c>
      <c r="G46" s="85" t="s">
        <v>518</v>
      </c>
      <c r="H46" s="85" t="s">
        <v>1039</v>
      </c>
      <c r="I46" s="85">
        <v>1.8</v>
      </c>
      <c r="J46" s="89">
        <v>5.9</v>
      </c>
      <c r="K46" s="88">
        <f t="shared" si="2"/>
        <v>10.620000000000001</v>
      </c>
      <c r="L46" s="85" t="s">
        <v>1059</v>
      </c>
      <c r="M46" s="118" t="s">
        <v>100</v>
      </c>
      <c r="O46" s="115" t="s">
        <v>46</v>
      </c>
      <c r="R46"/>
    </row>
    <row r="47" spans="1:18" x14ac:dyDescent="0.25">
      <c r="A47" s="84" t="str">
        <f t="shared" si="0"/>
        <v>OutubroSEMANA 1Salsa</v>
      </c>
      <c r="B47" s="85" t="s">
        <v>37</v>
      </c>
      <c r="C47" s="85" t="s">
        <v>20</v>
      </c>
      <c r="D47" s="86">
        <v>2</v>
      </c>
      <c r="E47" s="116" t="str">
        <f t="shared" si="1"/>
        <v>Hortifruti</v>
      </c>
      <c r="F47" s="85" t="s">
        <v>1055</v>
      </c>
      <c r="G47" s="85" t="s">
        <v>729</v>
      </c>
      <c r="H47" s="85" t="s">
        <v>1039</v>
      </c>
      <c r="I47" s="85">
        <v>1</v>
      </c>
      <c r="J47" s="87">
        <v>7.5</v>
      </c>
      <c r="K47" s="88">
        <f t="shared" si="2"/>
        <v>7.5</v>
      </c>
      <c r="L47" s="85">
        <v>3553</v>
      </c>
      <c r="M47" s="118" t="s">
        <v>995</v>
      </c>
      <c r="N47" s="96"/>
      <c r="O47" s="96" t="s">
        <v>46</v>
      </c>
      <c r="R47"/>
    </row>
    <row r="48" spans="1:18" x14ac:dyDescent="0.25">
      <c r="A48" s="84" t="str">
        <f t="shared" si="0"/>
        <v xml:space="preserve">OutubroSEMANA 1Abacaxi </v>
      </c>
      <c r="B48" s="85" t="s">
        <v>37</v>
      </c>
      <c r="C48" s="85" t="s">
        <v>20</v>
      </c>
      <c r="D48" s="86">
        <v>2</v>
      </c>
      <c r="E48" s="116" t="str">
        <f t="shared" si="1"/>
        <v>Hortifruti</v>
      </c>
      <c r="F48" s="85" t="s">
        <v>1055</v>
      </c>
      <c r="G48" s="85" t="s">
        <v>65</v>
      </c>
      <c r="H48" s="85" t="s">
        <v>1039</v>
      </c>
      <c r="I48" s="85">
        <v>15</v>
      </c>
      <c r="J48" s="87">
        <v>2.5</v>
      </c>
      <c r="K48" s="88">
        <f t="shared" si="2"/>
        <v>37.5</v>
      </c>
      <c r="L48" s="85">
        <v>3553</v>
      </c>
      <c r="M48" s="118" t="s">
        <v>101</v>
      </c>
      <c r="N48" s="96"/>
      <c r="O48" s="96" t="s">
        <v>45</v>
      </c>
      <c r="R48"/>
    </row>
    <row r="49" spans="1:18" x14ac:dyDescent="0.25">
      <c r="A49" s="84" t="str">
        <f t="shared" si="0"/>
        <v>OutubroSEMANA 1Acelga</v>
      </c>
      <c r="B49" s="85" t="s">
        <v>37</v>
      </c>
      <c r="C49" s="85" t="s">
        <v>20</v>
      </c>
      <c r="D49" s="86">
        <v>2</v>
      </c>
      <c r="E49" s="116" t="str">
        <f t="shared" si="1"/>
        <v>Hortifruti</v>
      </c>
      <c r="F49" s="85" t="s">
        <v>1055</v>
      </c>
      <c r="G49" s="85" t="s">
        <v>75</v>
      </c>
      <c r="H49" s="85" t="s">
        <v>1039</v>
      </c>
      <c r="I49" s="85">
        <v>2.6</v>
      </c>
      <c r="J49" s="89">
        <v>2.2000000000000002</v>
      </c>
      <c r="K49" s="88">
        <f t="shared" si="2"/>
        <v>5.7200000000000006</v>
      </c>
      <c r="L49" s="85">
        <v>3553</v>
      </c>
      <c r="M49" s="118" t="s">
        <v>102</v>
      </c>
      <c r="O49" s="115" t="s">
        <v>45</v>
      </c>
      <c r="R49"/>
    </row>
    <row r="50" spans="1:18" x14ac:dyDescent="0.25">
      <c r="A50" s="84" t="str">
        <f t="shared" si="0"/>
        <v>OutubroSEMANA 1Endivia</v>
      </c>
      <c r="B50" s="85" t="s">
        <v>37</v>
      </c>
      <c r="C50" s="85" t="s">
        <v>20</v>
      </c>
      <c r="D50" s="86">
        <v>2</v>
      </c>
      <c r="E50" s="116" t="str">
        <f t="shared" si="1"/>
        <v>Hortifruti</v>
      </c>
      <c r="F50" s="85" t="s">
        <v>1055</v>
      </c>
      <c r="G50" s="85" t="s">
        <v>326</v>
      </c>
      <c r="H50" s="85" t="s">
        <v>1039</v>
      </c>
      <c r="I50" s="85">
        <v>2.5</v>
      </c>
      <c r="J50" s="89">
        <v>19.899999999999999</v>
      </c>
      <c r="K50" s="88">
        <f t="shared" si="2"/>
        <v>49.75</v>
      </c>
      <c r="L50" s="85">
        <v>3553</v>
      </c>
      <c r="M50" s="118" t="s">
        <v>879</v>
      </c>
      <c r="N50" s="96"/>
      <c r="O50" s="96" t="s">
        <v>875</v>
      </c>
      <c r="R50"/>
    </row>
    <row r="51" spans="1:18" x14ac:dyDescent="0.25">
      <c r="A51" s="84" t="str">
        <f t="shared" si="0"/>
        <v>OutubroSEMANA 1Espinafre</v>
      </c>
      <c r="B51" s="85" t="s">
        <v>37</v>
      </c>
      <c r="C51" s="85" t="s">
        <v>20</v>
      </c>
      <c r="D51" s="86">
        <v>2</v>
      </c>
      <c r="E51" s="116" t="str">
        <f t="shared" si="1"/>
        <v>Hortifruti</v>
      </c>
      <c r="F51" s="85" t="s">
        <v>1055</v>
      </c>
      <c r="G51" s="85" t="s">
        <v>332</v>
      </c>
      <c r="H51" s="85" t="s">
        <v>1039</v>
      </c>
      <c r="I51" s="85">
        <v>2.2999999999999998</v>
      </c>
      <c r="J51" s="87">
        <v>5.9</v>
      </c>
      <c r="K51" s="88">
        <f t="shared" si="2"/>
        <v>13.57</v>
      </c>
      <c r="L51" s="85">
        <v>3553</v>
      </c>
      <c r="M51" s="118" t="s">
        <v>103</v>
      </c>
      <c r="N51" s="96"/>
      <c r="O51" s="96" t="s">
        <v>45</v>
      </c>
      <c r="R51"/>
    </row>
    <row r="52" spans="1:18" x14ac:dyDescent="0.25">
      <c r="A52" s="84" t="str">
        <f t="shared" si="0"/>
        <v>OutubroSEMANA 1Laranja Pera</v>
      </c>
      <c r="B52" s="85" t="s">
        <v>37</v>
      </c>
      <c r="C52" s="85" t="s">
        <v>20</v>
      </c>
      <c r="D52" s="86">
        <v>2</v>
      </c>
      <c r="E52" s="116" t="str">
        <f t="shared" si="1"/>
        <v>Hortifruti</v>
      </c>
      <c r="F52" s="85" t="s">
        <v>1055</v>
      </c>
      <c r="G52" s="85" t="s">
        <v>457</v>
      </c>
      <c r="H52" s="85" t="s">
        <v>1039</v>
      </c>
      <c r="I52" s="85">
        <v>21.42</v>
      </c>
      <c r="J52" s="87">
        <f>27/21.42</f>
        <v>1.2605042016806722</v>
      </c>
      <c r="K52" s="88">
        <f t="shared" si="2"/>
        <v>27</v>
      </c>
      <c r="L52" s="85">
        <v>3553</v>
      </c>
      <c r="M52" s="118" t="s">
        <v>104</v>
      </c>
      <c r="O52" s="115" t="s">
        <v>45</v>
      </c>
      <c r="R52"/>
    </row>
    <row r="53" spans="1:18" x14ac:dyDescent="0.25">
      <c r="A53" s="84" t="str">
        <f t="shared" si="0"/>
        <v>OutubroSEMANA 1Melância</v>
      </c>
      <c r="B53" s="85" t="s">
        <v>37</v>
      </c>
      <c r="C53" s="85" t="s">
        <v>20</v>
      </c>
      <c r="D53" s="86">
        <v>2</v>
      </c>
      <c r="E53" s="116" t="str">
        <f t="shared" si="1"/>
        <v>Hortifruti</v>
      </c>
      <c r="F53" s="85" t="s">
        <v>1055</v>
      </c>
      <c r="G53" s="85" t="s">
        <v>517</v>
      </c>
      <c r="H53" s="85" t="s">
        <v>1039</v>
      </c>
      <c r="I53" s="85">
        <v>11</v>
      </c>
      <c r="J53" s="87">
        <v>1.59</v>
      </c>
      <c r="K53" s="88">
        <f t="shared" si="2"/>
        <v>17.490000000000002</v>
      </c>
      <c r="L53" s="85">
        <v>3553</v>
      </c>
      <c r="M53" s="118" t="s">
        <v>880</v>
      </c>
      <c r="N53" s="96"/>
      <c r="O53" s="96" t="s">
        <v>875</v>
      </c>
      <c r="R53"/>
    </row>
    <row r="54" spans="1:18" x14ac:dyDescent="0.25">
      <c r="A54" s="84" t="str">
        <f t="shared" si="0"/>
        <v>OutubroSEMANA 1Couve Flor</v>
      </c>
      <c r="B54" s="85" t="s">
        <v>37</v>
      </c>
      <c r="C54" s="85" t="s">
        <v>20</v>
      </c>
      <c r="D54" s="86">
        <v>2</v>
      </c>
      <c r="E54" s="116" t="str">
        <f t="shared" si="1"/>
        <v>Hortifruti</v>
      </c>
      <c r="F54" s="85" t="s">
        <v>1055</v>
      </c>
      <c r="G54" s="85" t="s">
        <v>306</v>
      </c>
      <c r="H54" s="85" t="s">
        <v>1039</v>
      </c>
      <c r="I54" s="85">
        <v>3</v>
      </c>
      <c r="J54" s="87">
        <v>4.25</v>
      </c>
      <c r="K54" s="88">
        <f t="shared" si="2"/>
        <v>12.75</v>
      </c>
      <c r="L54" s="85">
        <v>3553</v>
      </c>
      <c r="M54" s="118" t="s">
        <v>105</v>
      </c>
      <c r="N54" s="96"/>
      <c r="O54" s="96" t="s">
        <v>45</v>
      </c>
      <c r="R54"/>
    </row>
    <row r="55" spans="1:18" x14ac:dyDescent="0.25">
      <c r="A55" s="84" t="str">
        <f t="shared" si="0"/>
        <v>OutubroSEMANA 1Maçã Nacional</v>
      </c>
      <c r="B55" s="85" t="s">
        <v>37</v>
      </c>
      <c r="C55" s="85" t="s">
        <v>20</v>
      </c>
      <c r="D55" s="86">
        <v>2</v>
      </c>
      <c r="E55" s="116" t="str">
        <f t="shared" si="1"/>
        <v>Hortifruti</v>
      </c>
      <c r="F55" s="85" t="s">
        <v>1055</v>
      </c>
      <c r="G55" s="85" t="s">
        <v>477</v>
      </c>
      <c r="H55" s="85" t="s">
        <v>1039</v>
      </c>
      <c r="I55" s="85">
        <v>2.5</v>
      </c>
      <c r="J55" s="87">
        <v>3.22</v>
      </c>
      <c r="K55" s="88">
        <f t="shared" si="2"/>
        <v>8.0500000000000007</v>
      </c>
      <c r="L55" s="85">
        <v>3553</v>
      </c>
      <c r="M55" s="118" t="s">
        <v>106</v>
      </c>
      <c r="O55" s="115" t="s">
        <v>60</v>
      </c>
      <c r="R55"/>
    </row>
    <row r="56" spans="1:18" x14ac:dyDescent="0.25">
      <c r="A56" s="84" t="str">
        <f t="shared" si="0"/>
        <v>OutubroSEMANA 1Manjericão</v>
      </c>
      <c r="B56" s="85" t="s">
        <v>37</v>
      </c>
      <c r="C56" s="85" t="s">
        <v>20</v>
      </c>
      <c r="D56" s="86">
        <v>2</v>
      </c>
      <c r="E56" s="116" t="str">
        <f t="shared" si="1"/>
        <v>Hortifruti</v>
      </c>
      <c r="F56" s="85" t="s">
        <v>1055</v>
      </c>
      <c r="G56" s="85" t="s">
        <v>499</v>
      </c>
      <c r="H56" s="85" t="s">
        <v>1039</v>
      </c>
      <c r="I56" s="85">
        <v>0.5</v>
      </c>
      <c r="J56" s="87">
        <v>12.5</v>
      </c>
      <c r="K56" s="88">
        <f t="shared" si="2"/>
        <v>6.25</v>
      </c>
      <c r="L56" s="85">
        <v>3553</v>
      </c>
      <c r="M56" s="118" t="s">
        <v>961</v>
      </c>
      <c r="N56" s="96"/>
      <c r="O56" s="96" t="s">
        <v>45</v>
      </c>
      <c r="R56"/>
    </row>
    <row r="57" spans="1:18" x14ac:dyDescent="0.25">
      <c r="A57" s="84" t="str">
        <f t="shared" si="0"/>
        <v>OutubroSEMANA 1Côco Seco</v>
      </c>
      <c r="B57" s="85" t="s">
        <v>37</v>
      </c>
      <c r="C57" s="85" t="s">
        <v>20</v>
      </c>
      <c r="D57" s="86">
        <v>3</v>
      </c>
      <c r="E57" s="116" t="str">
        <f t="shared" si="1"/>
        <v>Mercado</v>
      </c>
      <c r="F57" s="85" t="s">
        <v>1056</v>
      </c>
      <c r="G57" s="85" t="s">
        <v>287</v>
      </c>
      <c r="H57" s="85" t="s">
        <v>1039</v>
      </c>
      <c r="I57" s="85">
        <v>1.63</v>
      </c>
      <c r="J57" s="87">
        <v>8.99</v>
      </c>
      <c r="K57" s="88">
        <f t="shared" si="2"/>
        <v>14.653699999999999</v>
      </c>
      <c r="L57" s="85">
        <v>26478</v>
      </c>
      <c r="M57" s="118" t="s">
        <v>107</v>
      </c>
      <c r="N57" s="96"/>
      <c r="O57" s="96" t="s">
        <v>45</v>
      </c>
      <c r="R57"/>
    </row>
    <row r="58" spans="1:18" x14ac:dyDescent="0.25">
      <c r="A58" s="84" t="str">
        <f t="shared" si="0"/>
        <v>OutubroSEMANA 1Pão Francês</v>
      </c>
      <c r="B58" s="85" t="s">
        <v>37</v>
      </c>
      <c r="C58" s="85" t="s">
        <v>20</v>
      </c>
      <c r="D58" s="86">
        <v>3</v>
      </c>
      <c r="E58" s="116" t="str">
        <f t="shared" si="1"/>
        <v>Mercado</v>
      </c>
      <c r="F58" s="85" t="s">
        <v>1036</v>
      </c>
      <c r="G58" s="85" t="s">
        <v>565</v>
      </c>
      <c r="H58" s="85" t="s">
        <v>1039</v>
      </c>
      <c r="I58" s="85">
        <v>0.2</v>
      </c>
      <c r="J58" s="87">
        <v>13.98</v>
      </c>
      <c r="K58" s="88">
        <f t="shared" si="2"/>
        <v>2.7960000000000003</v>
      </c>
      <c r="L58" s="85">
        <v>50496</v>
      </c>
      <c r="M58" s="118" t="s">
        <v>108</v>
      </c>
      <c r="N58" s="96"/>
      <c r="O58" s="96" t="s">
        <v>45</v>
      </c>
      <c r="R58"/>
    </row>
    <row r="59" spans="1:18" x14ac:dyDescent="0.25">
      <c r="A59" s="84" t="str">
        <f t="shared" si="0"/>
        <v>OutubroSEMANA 1Pão de Forma</v>
      </c>
      <c r="B59" s="85" t="s">
        <v>37</v>
      </c>
      <c r="C59" s="85" t="s">
        <v>20</v>
      </c>
      <c r="D59" s="86">
        <v>3</v>
      </c>
      <c r="E59" s="116" t="str">
        <f t="shared" si="1"/>
        <v>Mercado</v>
      </c>
      <c r="F59" s="85" t="s">
        <v>1036</v>
      </c>
      <c r="G59" s="85" t="s">
        <v>562</v>
      </c>
      <c r="H59" s="85" t="s">
        <v>1037</v>
      </c>
      <c r="I59" s="85">
        <v>2</v>
      </c>
      <c r="J59" s="87">
        <f>7.87/2</f>
        <v>3.9350000000000001</v>
      </c>
      <c r="K59" s="88">
        <f t="shared" si="2"/>
        <v>7.87</v>
      </c>
      <c r="L59" s="85">
        <v>46111</v>
      </c>
      <c r="M59" s="118" t="s">
        <v>881</v>
      </c>
      <c r="N59" s="96"/>
      <c r="O59" s="96" t="s">
        <v>875</v>
      </c>
      <c r="R59"/>
    </row>
    <row r="60" spans="1:18" x14ac:dyDescent="0.25">
      <c r="A60" s="84" t="str">
        <f t="shared" si="0"/>
        <v>OutubroSEMANA 1Gelatina em pó s/ sabor (incolor)</v>
      </c>
      <c r="B60" s="85" t="s">
        <v>37</v>
      </c>
      <c r="C60" s="85" t="s">
        <v>20</v>
      </c>
      <c r="D60" s="86">
        <v>3</v>
      </c>
      <c r="E60" s="116" t="str">
        <f t="shared" si="1"/>
        <v>Mercado</v>
      </c>
      <c r="F60" s="85" t="s">
        <v>1036</v>
      </c>
      <c r="G60" s="85" t="s">
        <v>380</v>
      </c>
      <c r="H60" s="85" t="s">
        <v>1037</v>
      </c>
      <c r="I60" s="85">
        <v>2</v>
      </c>
      <c r="J60" s="87">
        <v>5.45</v>
      </c>
      <c r="K60" s="88">
        <f t="shared" si="2"/>
        <v>10.9</v>
      </c>
      <c r="L60" s="85">
        <v>46111</v>
      </c>
      <c r="M60" s="118" t="s">
        <v>109</v>
      </c>
      <c r="N60" s="96"/>
      <c r="O60" s="96" t="s">
        <v>45</v>
      </c>
      <c r="R60"/>
    </row>
    <row r="61" spans="1:18" x14ac:dyDescent="0.25">
      <c r="A61" s="84" t="str">
        <f t="shared" si="0"/>
        <v>OutubroSEMANA 1Batata Palha 140 g</v>
      </c>
      <c r="B61" s="85" t="s">
        <v>37</v>
      </c>
      <c r="C61" s="85" t="s">
        <v>20</v>
      </c>
      <c r="D61" s="86">
        <v>3</v>
      </c>
      <c r="E61" s="116" t="str">
        <f t="shared" si="1"/>
        <v>Mercado</v>
      </c>
      <c r="F61" s="85" t="s">
        <v>1036</v>
      </c>
      <c r="G61" s="85" t="s">
        <v>174</v>
      </c>
      <c r="H61" s="85" t="s">
        <v>1037</v>
      </c>
      <c r="I61" s="85">
        <v>1</v>
      </c>
      <c r="J61" s="87">
        <v>7.8</v>
      </c>
      <c r="K61" s="88">
        <f t="shared" si="2"/>
        <v>7.8</v>
      </c>
      <c r="L61" s="85">
        <v>46111</v>
      </c>
      <c r="M61" s="118" t="s">
        <v>110</v>
      </c>
      <c r="N61" s="96"/>
      <c r="O61" s="96" t="s">
        <v>45</v>
      </c>
      <c r="R61"/>
    </row>
    <row r="62" spans="1:18" x14ac:dyDescent="0.25">
      <c r="A62" s="84" t="str">
        <f t="shared" si="0"/>
        <v xml:space="preserve">OutubroSEMANA 1Tapioca Granulada </v>
      </c>
      <c r="B62" s="85" t="s">
        <v>37</v>
      </c>
      <c r="C62" s="85" t="s">
        <v>20</v>
      </c>
      <c r="D62" s="86">
        <v>3</v>
      </c>
      <c r="E62" s="116" t="str">
        <f t="shared" si="1"/>
        <v>Mercado</v>
      </c>
      <c r="F62" s="85" t="s">
        <v>1036</v>
      </c>
      <c r="G62" s="85" t="s">
        <v>785</v>
      </c>
      <c r="H62" s="85" t="s">
        <v>1039</v>
      </c>
      <c r="I62" s="85">
        <f>4*0.5</f>
        <v>2</v>
      </c>
      <c r="J62" s="87">
        <v>11</v>
      </c>
      <c r="K62" s="88">
        <f t="shared" si="2"/>
        <v>22</v>
      </c>
      <c r="L62" s="85">
        <v>46111</v>
      </c>
      <c r="M62" s="118" t="s">
        <v>111</v>
      </c>
      <c r="O62" s="115" t="s">
        <v>45</v>
      </c>
      <c r="R62"/>
    </row>
    <row r="63" spans="1:18" x14ac:dyDescent="0.25">
      <c r="A63" s="84" t="str">
        <f t="shared" si="0"/>
        <v>OutubroSEMANA 1Chá diversos sache</v>
      </c>
      <c r="B63" s="85" t="s">
        <v>37</v>
      </c>
      <c r="C63" s="85" t="s">
        <v>20</v>
      </c>
      <c r="D63" s="86">
        <v>3</v>
      </c>
      <c r="E63" s="116" t="str">
        <f t="shared" si="1"/>
        <v>Mercado</v>
      </c>
      <c r="F63" s="85" t="s">
        <v>1036</v>
      </c>
      <c r="G63" s="85" t="s">
        <v>270</v>
      </c>
      <c r="H63" s="85" t="s">
        <v>1037</v>
      </c>
      <c r="I63" s="85">
        <v>1</v>
      </c>
      <c r="J63" s="87">
        <v>5.98</v>
      </c>
      <c r="K63" s="88">
        <f t="shared" si="2"/>
        <v>5.98</v>
      </c>
      <c r="L63" s="85">
        <v>46111</v>
      </c>
      <c r="M63" s="118" t="s">
        <v>112</v>
      </c>
      <c r="N63" s="96"/>
      <c r="O63" s="96" t="s">
        <v>45</v>
      </c>
      <c r="R63"/>
    </row>
    <row r="64" spans="1:18" x14ac:dyDescent="0.25">
      <c r="A64" s="84" t="str">
        <f t="shared" si="0"/>
        <v>OutubroSEMANA 1Batata Palha 140 g</v>
      </c>
      <c r="B64" s="85" t="s">
        <v>37</v>
      </c>
      <c r="C64" s="85" t="s">
        <v>20</v>
      </c>
      <c r="D64" s="86">
        <v>3</v>
      </c>
      <c r="E64" s="116" t="str">
        <f t="shared" si="1"/>
        <v>Mercado</v>
      </c>
      <c r="F64" s="85" t="s">
        <v>1036</v>
      </c>
      <c r="G64" s="85" t="s">
        <v>174</v>
      </c>
      <c r="H64" s="85" t="s">
        <v>1037</v>
      </c>
      <c r="I64" s="85">
        <v>1</v>
      </c>
      <c r="J64" s="87">
        <v>6.98</v>
      </c>
      <c r="K64" s="88">
        <f t="shared" si="2"/>
        <v>6.98</v>
      </c>
      <c r="L64" s="85" t="s">
        <v>1057</v>
      </c>
      <c r="M64" s="118" t="s">
        <v>113</v>
      </c>
      <c r="N64" s="96"/>
      <c r="O64" s="96" t="s">
        <v>45</v>
      </c>
      <c r="R64"/>
    </row>
    <row r="65" spans="1:18" x14ac:dyDescent="0.25">
      <c r="A65" s="84" t="str">
        <f t="shared" si="0"/>
        <v>OutubroSEMANA 1Goiabada</v>
      </c>
      <c r="B65" s="85" t="s">
        <v>37</v>
      </c>
      <c r="C65" s="85" t="s">
        <v>20</v>
      </c>
      <c r="D65" s="86">
        <v>3</v>
      </c>
      <c r="E65" s="116" t="str">
        <f t="shared" si="1"/>
        <v>Mercado</v>
      </c>
      <c r="F65" s="85" t="s">
        <v>1036</v>
      </c>
      <c r="G65" s="85" t="s">
        <v>392</v>
      </c>
      <c r="H65" s="85" t="s">
        <v>1038</v>
      </c>
      <c r="I65" s="85">
        <v>2</v>
      </c>
      <c r="J65" s="87">
        <v>7.98</v>
      </c>
      <c r="K65" s="88">
        <f t="shared" si="2"/>
        <v>15.96</v>
      </c>
      <c r="L65" s="85">
        <v>50673</v>
      </c>
      <c r="M65" s="118" t="s">
        <v>114</v>
      </c>
      <c r="N65" s="96"/>
      <c r="O65" s="96" t="s">
        <v>45</v>
      </c>
      <c r="R65"/>
    </row>
    <row r="66" spans="1:18" x14ac:dyDescent="0.25">
      <c r="A66" s="84" t="str">
        <f t="shared" ref="A66:A129" si="4">CONCATENATE(B66,C66,G66)</f>
        <v>OutubroSEMANA 1Yogurt de Pessego</v>
      </c>
      <c r="B66" s="85" t="s">
        <v>37</v>
      </c>
      <c r="C66" s="85" t="s">
        <v>20</v>
      </c>
      <c r="D66" s="86">
        <v>3</v>
      </c>
      <c r="E66" s="116" t="str">
        <f t="shared" ref="E66:E129" si="5">VLOOKUP(G66,$M$1:$O$968,3,0)</f>
        <v>Mercado</v>
      </c>
      <c r="F66" s="85" t="s">
        <v>1036</v>
      </c>
      <c r="G66" s="85" t="s">
        <v>870</v>
      </c>
      <c r="H66" s="85" t="s">
        <v>1038</v>
      </c>
      <c r="I66" s="85">
        <v>2</v>
      </c>
      <c r="J66" s="87">
        <v>6.98</v>
      </c>
      <c r="K66" s="88">
        <f t="shared" ref="K66:K129" si="6">I66*J66</f>
        <v>13.96</v>
      </c>
      <c r="L66" s="85">
        <v>50673</v>
      </c>
      <c r="M66" s="118" t="s">
        <v>899</v>
      </c>
      <c r="N66" s="96"/>
      <c r="O66" s="96" t="s">
        <v>60</v>
      </c>
      <c r="R66"/>
    </row>
    <row r="67" spans="1:18" x14ac:dyDescent="0.25">
      <c r="A67" s="84" t="str">
        <f t="shared" si="4"/>
        <v>OutubroSEMANA 1Aves - Sobrecoxa</v>
      </c>
      <c r="B67" s="85" t="s">
        <v>37</v>
      </c>
      <c r="C67" s="85" t="s">
        <v>20</v>
      </c>
      <c r="D67" s="86">
        <v>2</v>
      </c>
      <c r="E67" s="116" t="str">
        <f t="shared" si="5"/>
        <v>Carnes</v>
      </c>
      <c r="F67" s="85" t="s">
        <v>1058</v>
      </c>
      <c r="G67" s="85" t="s">
        <v>150</v>
      </c>
      <c r="H67" s="85" t="s">
        <v>1039</v>
      </c>
      <c r="I67" s="85">
        <v>18</v>
      </c>
      <c r="J67" s="87">
        <v>5.35</v>
      </c>
      <c r="K67" s="88">
        <f t="shared" si="6"/>
        <v>96.3</v>
      </c>
      <c r="L67" s="85">
        <v>63248</v>
      </c>
      <c r="M67" s="118" t="s">
        <v>115</v>
      </c>
      <c r="N67" s="96"/>
      <c r="O67" s="96" t="s">
        <v>42</v>
      </c>
      <c r="R67"/>
    </row>
    <row r="68" spans="1:18" x14ac:dyDescent="0.25">
      <c r="A68" s="84" t="str">
        <f t="shared" si="4"/>
        <v>OutubroSEMANA 1Carne Bovina - Carne Seca</v>
      </c>
      <c r="B68" s="85" t="s">
        <v>37</v>
      </c>
      <c r="C68" s="85" t="s">
        <v>20</v>
      </c>
      <c r="D68" s="86">
        <v>2</v>
      </c>
      <c r="E68" s="116" t="str">
        <f t="shared" si="5"/>
        <v>Carnes</v>
      </c>
      <c r="F68" s="85" t="s">
        <v>1058</v>
      </c>
      <c r="G68" s="85" t="s">
        <v>218</v>
      </c>
      <c r="H68" s="85" t="s">
        <v>1039</v>
      </c>
      <c r="I68" s="85">
        <v>15</v>
      </c>
      <c r="J68" s="87">
        <v>16.190000000000001</v>
      </c>
      <c r="K68" s="88">
        <f t="shared" si="6"/>
        <v>242.85000000000002</v>
      </c>
      <c r="L68" s="85">
        <v>63248</v>
      </c>
      <c r="M68" s="118" t="s">
        <v>985</v>
      </c>
      <c r="N68" s="96"/>
      <c r="O68" s="96" t="s">
        <v>45</v>
      </c>
      <c r="R68"/>
    </row>
    <row r="69" spans="1:18" x14ac:dyDescent="0.25">
      <c r="A69" s="84" t="str">
        <f t="shared" si="4"/>
        <v>OutubroSEMANA 1Carne Bovina - Peito</v>
      </c>
      <c r="B69" s="85" t="s">
        <v>37</v>
      </c>
      <c r="C69" s="85" t="s">
        <v>20</v>
      </c>
      <c r="D69" s="86">
        <v>2</v>
      </c>
      <c r="E69" s="116" t="str">
        <f t="shared" si="5"/>
        <v>Carnes</v>
      </c>
      <c r="F69" s="85" t="s">
        <v>1058</v>
      </c>
      <c r="G69" s="85" t="s">
        <v>231</v>
      </c>
      <c r="H69" s="85" t="s">
        <v>1039</v>
      </c>
      <c r="I69" s="85">
        <v>23.576000000000001</v>
      </c>
      <c r="J69" s="87">
        <v>10.99</v>
      </c>
      <c r="K69" s="88">
        <f t="shared" si="6"/>
        <v>259.10023999999999</v>
      </c>
      <c r="L69" s="85">
        <v>63248</v>
      </c>
      <c r="M69" s="118" t="s">
        <v>116</v>
      </c>
      <c r="N69" s="96"/>
      <c r="O69" s="96" t="s">
        <v>42</v>
      </c>
      <c r="R69"/>
    </row>
    <row r="70" spans="1:18" x14ac:dyDescent="0.25">
      <c r="A70" s="84" t="str">
        <f t="shared" si="4"/>
        <v>OutubroSEMANA 1Suíno - Linguiça Calabresa</v>
      </c>
      <c r="B70" s="85" t="s">
        <v>37</v>
      </c>
      <c r="C70" s="85" t="s">
        <v>20</v>
      </c>
      <c r="D70" s="86">
        <v>2</v>
      </c>
      <c r="E70" s="116" t="str">
        <f t="shared" si="5"/>
        <v>Carnes</v>
      </c>
      <c r="F70" s="85" t="s">
        <v>1058</v>
      </c>
      <c r="G70" s="85" t="s">
        <v>762</v>
      </c>
      <c r="H70" s="85" t="s">
        <v>1039</v>
      </c>
      <c r="I70" s="85">
        <v>2.5</v>
      </c>
      <c r="J70" s="87">
        <v>9.49</v>
      </c>
      <c r="K70" s="88">
        <f t="shared" si="6"/>
        <v>23.725000000000001</v>
      </c>
      <c r="L70" s="85">
        <v>63248</v>
      </c>
      <c r="M70" s="118" t="s">
        <v>117</v>
      </c>
      <c r="N70" s="96"/>
      <c r="O70" s="96" t="s">
        <v>42</v>
      </c>
      <c r="R70"/>
    </row>
    <row r="71" spans="1:18" x14ac:dyDescent="0.25">
      <c r="A71" s="84" t="str">
        <f t="shared" si="4"/>
        <v>OutubroSEMANA 1Carne Bovina - Bucho</v>
      </c>
      <c r="B71" s="85" t="s">
        <v>37</v>
      </c>
      <c r="C71" s="85" t="s">
        <v>20</v>
      </c>
      <c r="D71" s="86">
        <v>2</v>
      </c>
      <c r="E71" s="116" t="str">
        <f t="shared" si="5"/>
        <v>Carnes</v>
      </c>
      <c r="F71" s="85" t="s">
        <v>1058</v>
      </c>
      <c r="G71" s="85" t="s">
        <v>217</v>
      </c>
      <c r="H71" s="85" t="s">
        <v>1039</v>
      </c>
      <c r="I71" s="85">
        <v>20.04</v>
      </c>
      <c r="J71" s="87">
        <v>8.99</v>
      </c>
      <c r="K71" s="88">
        <f t="shared" si="6"/>
        <v>180.15959999999998</v>
      </c>
      <c r="L71" s="85">
        <v>63248</v>
      </c>
      <c r="M71" s="118" t="s">
        <v>118</v>
      </c>
      <c r="N71" s="96"/>
      <c r="O71" s="96" t="s">
        <v>42</v>
      </c>
      <c r="R71"/>
    </row>
    <row r="72" spans="1:18" x14ac:dyDescent="0.25">
      <c r="A72" s="84" t="str">
        <f t="shared" si="4"/>
        <v>OutubroSEMANA 1Abobora</v>
      </c>
      <c r="B72" s="85" t="s">
        <v>37</v>
      </c>
      <c r="C72" s="85" t="s">
        <v>20</v>
      </c>
      <c r="D72" s="86">
        <v>3</v>
      </c>
      <c r="E72" s="116" t="str">
        <f t="shared" si="5"/>
        <v>Hortifruti</v>
      </c>
      <c r="F72" s="85" t="s">
        <v>1055</v>
      </c>
      <c r="G72" s="85" t="s">
        <v>68</v>
      </c>
      <c r="H72" s="85" t="s">
        <v>1039</v>
      </c>
      <c r="I72" s="85">
        <v>10.6</v>
      </c>
      <c r="J72" s="87">
        <v>2.2000000000000002</v>
      </c>
      <c r="K72" s="88">
        <f t="shared" si="6"/>
        <v>23.32</v>
      </c>
      <c r="L72" s="85">
        <v>3700</v>
      </c>
      <c r="M72" s="118" t="s">
        <v>119</v>
      </c>
      <c r="N72" s="96"/>
      <c r="O72" s="96" t="s">
        <v>42</v>
      </c>
      <c r="R72"/>
    </row>
    <row r="73" spans="1:18" x14ac:dyDescent="0.25">
      <c r="A73" s="84" t="str">
        <f t="shared" si="4"/>
        <v>OutubroSEMANA 1Banana D'Água</v>
      </c>
      <c r="B73" s="85" t="s">
        <v>37</v>
      </c>
      <c r="C73" s="85" t="s">
        <v>20</v>
      </c>
      <c r="D73" s="86">
        <v>3</v>
      </c>
      <c r="E73" s="116" t="str">
        <f t="shared" si="5"/>
        <v>Hortifruti</v>
      </c>
      <c r="F73" s="85" t="s">
        <v>1055</v>
      </c>
      <c r="G73" s="85" t="s">
        <v>162</v>
      </c>
      <c r="H73" s="85" t="s">
        <v>1039</v>
      </c>
      <c r="I73" s="85">
        <v>7</v>
      </c>
      <c r="J73" s="87">
        <v>2.2000000000000002</v>
      </c>
      <c r="K73" s="88">
        <f t="shared" si="6"/>
        <v>15.400000000000002</v>
      </c>
      <c r="L73" s="85">
        <v>3700</v>
      </c>
      <c r="M73" s="118" t="s">
        <v>120</v>
      </c>
      <c r="N73" s="96"/>
      <c r="O73" s="96" t="s">
        <v>46</v>
      </c>
      <c r="R73"/>
    </row>
    <row r="74" spans="1:18" x14ac:dyDescent="0.25">
      <c r="A74" s="84" t="str">
        <f t="shared" si="4"/>
        <v>OutubroSEMANA 1Batata Calabresa</v>
      </c>
      <c r="B74" s="85" t="s">
        <v>37</v>
      </c>
      <c r="C74" s="85" t="s">
        <v>20</v>
      </c>
      <c r="D74" s="86">
        <v>3</v>
      </c>
      <c r="E74" s="116" t="str">
        <f t="shared" si="5"/>
        <v>Hortifruti</v>
      </c>
      <c r="F74" s="85" t="s">
        <v>1055</v>
      </c>
      <c r="G74" s="85" t="s">
        <v>903</v>
      </c>
      <c r="H74" s="85" t="s">
        <v>1039</v>
      </c>
      <c r="I74" s="85">
        <v>3.5</v>
      </c>
      <c r="J74" s="87">
        <v>1.75</v>
      </c>
      <c r="K74" s="88">
        <f t="shared" si="6"/>
        <v>6.125</v>
      </c>
      <c r="L74" s="85">
        <v>3700</v>
      </c>
      <c r="M74" s="118" t="s">
        <v>121</v>
      </c>
      <c r="N74" s="96"/>
      <c r="O74" s="96" t="s">
        <v>45</v>
      </c>
      <c r="R74"/>
    </row>
    <row r="75" spans="1:18" x14ac:dyDescent="0.25">
      <c r="A75" s="84" t="str">
        <f t="shared" si="4"/>
        <v>OutubroSEMANA 1Berinjela</v>
      </c>
      <c r="B75" s="85" t="s">
        <v>37</v>
      </c>
      <c r="C75" s="85" t="s">
        <v>20</v>
      </c>
      <c r="D75" s="86">
        <v>3</v>
      </c>
      <c r="E75" s="116" t="str">
        <f t="shared" si="5"/>
        <v>Hortifruti</v>
      </c>
      <c r="F75" s="85" t="s">
        <v>1055</v>
      </c>
      <c r="G75" s="85" t="s">
        <v>178</v>
      </c>
      <c r="H75" s="85" t="s">
        <v>1039</v>
      </c>
      <c r="I75" s="85">
        <v>23.16</v>
      </c>
      <c r="J75" s="87">
        <f>69/23.16</f>
        <v>2.9792746113989637</v>
      </c>
      <c r="K75" s="88">
        <f t="shared" si="6"/>
        <v>69</v>
      </c>
      <c r="L75" s="85">
        <v>3700</v>
      </c>
      <c r="M75" s="118" t="s">
        <v>122</v>
      </c>
      <c r="N75" s="96"/>
      <c r="O75" s="96" t="s">
        <v>60</v>
      </c>
      <c r="R75"/>
    </row>
    <row r="76" spans="1:18" x14ac:dyDescent="0.25">
      <c r="A76" s="84" t="str">
        <f t="shared" si="4"/>
        <v>OutubroSEMANA 1Cebolinha Verde</v>
      </c>
      <c r="B76" s="85" t="s">
        <v>37</v>
      </c>
      <c r="C76" s="85" t="s">
        <v>20</v>
      </c>
      <c r="D76" s="86">
        <v>3</v>
      </c>
      <c r="E76" s="116" t="str">
        <f t="shared" si="5"/>
        <v>Hortifruti</v>
      </c>
      <c r="F76" s="85" t="s">
        <v>1055</v>
      </c>
      <c r="G76" s="85" t="s">
        <v>247</v>
      </c>
      <c r="H76" s="85" t="s">
        <v>1039</v>
      </c>
      <c r="I76" s="85">
        <v>1</v>
      </c>
      <c r="J76" s="87">
        <v>7.5</v>
      </c>
      <c r="K76" s="88">
        <f t="shared" si="6"/>
        <v>7.5</v>
      </c>
      <c r="L76" s="85">
        <v>3700</v>
      </c>
      <c r="M76" s="118" t="s">
        <v>123</v>
      </c>
      <c r="N76" s="96"/>
      <c r="O76" s="96" t="s">
        <v>45</v>
      </c>
      <c r="R76"/>
    </row>
    <row r="77" spans="1:18" x14ac:dyDescent="0.25">
      <c r="A77" s="84" t="str">
        <f t="shared" si="4"/>
        <v>OutubroSEMANA 1Chicória</v>
      </c>
      <c r="B77" s="85" t="s">
        <v>37</v>
      </c>
      <c r="C77" s="85" t="s">
        <v>20</v>
      </c>
      <c r="D77" s="86">
        <v>3</v>
      </c>
      <c r="E77" s="116" t="str">
        <f t="shared" si="5"/>
        <v>Hortifruti</v>
      </c>
      <c r="F77" s="85" t="s">
        <v>1055</v>
      </c>
      <c r="G77" s="85" t="s">
        <v>275</v>
      </c>
      <c r="H77" s="85" t="s">
        <v>1039</v>
      </c>
      <c r="I77" s="85">
        <v>8</v>
      </c>
      <c r="J77" s="87">
        <v>3.5</v>
      </c>
      <c r="K77" s="88">
        <f t="shared" si="6"/>
        <v>28</v>
      </c>
      <c r="L77" s="85">
        <v>3700</v>
      </c>
      <c r="M77" s="118" t="s">
        <v>124</v>
      </c>
      <c r="O77" s="115" t="s">
        <v>42</v>
      </c>
      <c r="R77"/>
    </row>
    <row r="78" spans="1:18" x14ac:dyDescent="0.25">
      <c r="A78" s="84" t="str">
        <f t="shared" si="4"/>
        <v>OutubroSEMANA 1Hortelã</v>
      </c>
      <c r="B78" s="85" t="s">
        <v>37</v>
      </c>
      <c r="C78" s="85" t="s">
        <v>20</v>
      </c>
      <c r="D78" s="86">
        <v>3</v>
      </c>
      <c r="E78" s="116" t="str">
        <f t="shared" si="5"/>
        <v>Hortifruti</v>
      </c>
      <c r="F78" s="85" t="s">
        <v>1055</v>
      </c>
      <c r="G78" s="85" t="s">
        <v>405</v>
      </c>
      <c r="H78" s="85" t="s">
        <v>1039</v>
      </c>
      <c r="I78" s="85">
        <v>0.8</v>
      </c>
      <c r="J78" s="87">
        <v>4.5</v>
      </c>
      <c r="K78" s="88">
        <f t="shared" si="6"/>
        <v>3.6</v>
      </c>
      <c r="L78" s="85">
        <v>3700</v>
      </c>
      <c r="M78" s="118" t="s">
        <v>125</v>
      </c>
      <c r="N78" s="96"/>
      <c r="O78" s="96" t="s">
        <v>46</v>
      </c>
      <c r="R78"/>
    </row>
    <row r="79" spans="1:18" x14ac:dyDescent="0.25">
      <c r="A79" s="84" t="str">
        <f t="shared" si="4"/>
        <v>OutubroSEMANA 1Inhame</v>
      </c>
      <c r="B79" s="85" t="s">
        <v>37</v>
      </c>
      <c r="C79" s="85" t="s">
        <v>20</v>
      </c>
      <c r="D79" s="86">
        <v>3</v>
      </c>
      <c r="E79" s="116" t="str">
        <f t="shared" si="5"/>
        <v>Hortifruti</v>
      </c>
      <c r="F79" s="85" t="s">
        <v>1055</v>
      </c>
      <c r="G79" s="85" t="s">
        <v>448</v>
      </c>
      <c r="H79" s="85" t="s">
        <v>1039</v>
      </c>
      <c r="I79" s="85">
        <v>6</v>
      </c>
      <c r="J79" s="87">
        <v>2.1</v>
      </c>
      <c r="K79" s="88">
        <f t="shared" si="6"/>
        <v>12.600000000000001</v>
      </c>
      <c r="L79" s="85">
        <v>3700</v>
      </c>
      <c r="M79" s="118" t="s">
        <v>126</v>
      </c>
      <c r="N79" s="96"/>
      <c r="O79" s="96" t="s">
        <v>42</v>
      </c>
      <c r="R79"/>
    </row>
    <row r="80" spans="1:18" x14ac:dyDescent="0.25">
      <c r="A80" s="84" t="str">
        <f t="shared" si="4"/>
        <v>OutubroSEMANA 1Manga Tommy</v>
      </c>
      <c r="B80" s="85" t="s">
        <v>37</v>
      </c>
      <c r="C80" s="85" t="s">
        <v>20</v>
      </c>
      <c r="D80" s="86">
        <v>3</v>
      </c>
      <c r="E80" s="116" t="str">
        <f t="shared" si="5"/>
        <v>Hortifruti</v>
      </c>
      <c r="F80" s="85" t="s">
        <v>1055</v>
      </c>
      <c r="G80" s="85" t="s">
        <v>497</v>
      </c>
      <c r="H80" s="85" t="s">
        <v>1039</v>
      </c>
      <c r="I80" s="85"/>
      <c r="J80" s="87"/>
      <c r="K80" s="88">
        <f t="shared" si="6"/>
        <v>0</v>
      </c>
      <c r="L80" s="85" t="s">
        <v>1061</v>
      </c>
      <c r="M80" s="118" t="s">
        <v>127</v>
      </c>
      <c r="N80" s="96"/>
      <c r="O80" s="96" t="s">
        <v>42</v>
      </c>
      <c r="R80"/>
    </row>
    <row r="81" spans="1:18" x14ac:dyDescent="0.25">
      <c r="A81" s="84" t="str">
        <f t="shared" si="4"/>
        <v>OutubroSEMANA 1Salsa</v>
      </c>
      <c r="B81" s="85" t="s">
        <v>37</v>
      </c>
      <c r="C81" s="85" t="s">
        <v>20</v>
      </c>
      <c r="D81" s="86">
        <v>3</v>
      </c>
      <c r="E81" s="116" t="str">
        <f t="shared" si="5"/>
        <v>Hortifruti</v>
      </c>
      <c r="F81" s="85" t="s">
        <v>1055</v>
      </c>
      <c r="G81" s="85" t="s">
        <v>729</v>
      </c>
      <c r="H81" s="85" t="s">
        <v>1039</v>
      </c>
      <c r="I81" s="85">
        <v>1</v>
      </c>
      <c r="J81" s="87">
        <v>7.5</v>
      </c>
      <c r="K81" s="88">
        <f t="shared" si="6"/>
        <v>7.5</v>
      </c>
      <c r="L81" s="85">
        <v>3700</v>
      </c>
      <c r="M81" s="118" t="s">
        <v>895</v>
      </c>
      <c r="N81" s="96"/>
      <c r="O81" s="96" t="s">
        <v>42</v>
      </c>
      <c r="R81"/>
    </row>
    <row r="82" spans="1:18" x14ac:dyDescent="0.25">
      <c r="A82" s="84" t="str">
        <f t="shared" si="4"/>
        <v>OutubroSEMANA 1Tomate Cereja</v>
      </c>
      <c r="B82" s="85" t="s">
        <v>37</v>
      </c>
      <c r="C82" s="85" t="s">
        <v>20</v>
      </c>
      <c r="D82" s="86">
        <v>3</v>
      </c>
      <c r="E82" s="116" t="str">
        <f t="shared" si="5"/>
        <v>Hortifruti</v>
      </c>
      <c r="F82" s="85" t="s">
        <v>1055</v>
      </c>
      <c r="G82" s="85" t="s">
        <v>790</v>
      </c>
      <c r="H82" s="85" t="s">
        <v>1039</v>
      </c>
      <c r="I82" s="85">
        <v>7</v>
      </c>
      <c r="J82" s="87">
        <v>7.85</v>
      </c>
      <c r="K82" s="88">
        <f t="shared" si="6"/>
        <v>54.949999999999996</v>
      </c>
      <c r="L82" s="85">
        <v>3700</v>
      </c>
      <c r="M82" s="118" t="s">
        <v>902</v>
      </c>
      <c r="N82" s="96"/>
      <c r="O82" s="96" t="s">
        <v>60</v>
      </c>
      <c r="R82"/>
    </row>
    <row r="83" spans="1:18" x14ac:dyDescent="0.25">
      <c r="A83" s="84" t="str">
        <f t="shared" si="4"/>
        <v>OutubroSEMANA 1Vagem Macarrão</v>
      </c>
      <c r="B83" s="85" t="s">
        <v>37</v>
      </c>
      <c r="C83" s="85" t="s">
        <v>20</v>
      </c>
      <c r="D83" s="86">
        <v>3</v>
      </c>
      <c r="E83" s="116" t="str">
        <f t="shared" si="5"/>
        <v>Hortifruti</v>
      </c>
      <c r="F83" s="85" t="s">
        <v>1055</v>
      </c>
      <c r="G83" s="85" t="s">
        <v>832</v>
      </c>
      <c r="H83" s="85" t="s">
        <v>1039</v>
      </c>
      <c r="I83" s="85">
        <v>1.5</v>
      </c>
      <c r="J83" s="87">
        <v>6</v>
      </c>
      <c r="K83" s="88">
        <f t="shared" si="6"/>
        <v>9</v>
      </c>
      <c r="L83" s="85">
        <v>3700</v>
      </c>
      <c r="M83" s="118" t="s">
        <v>128</v>
      </c>
      <c r="N83" s="96"/>
      <c r="O83" s="96" t="s">
        <v>42</v>
      </c>
      <c r="R83"/>
    </row>
    <row r="84" spans="1:18" x14ac:dyDescent="0.25">
      <c r="A84" s="84" t="str">
        <f t="shared" si="4"/>
        <v>OutubroSEMANA 1Gelo em Cubo</v>
      </c>
      <c r="B84" s="85" t="s">
        <v>37</v>
      </c>
      <c r="C84" s="85" t="s">
        <v>20</v>
      </c>
      <c r="D84" s="86">
        <v>3</v>
      </c>
      <c r="E84" s="116" t="str">
        <f t="shared" si="5"/>
        <v>Mercado</v>
      </c>
      <c r="F84" s="85" t="s">
        <v>1040</v>
      </c>
      <c r="G84" s="85" t="s">
        <v>383</v>
      </c>
      <c r="H84" s="85" t="s">
        <v>1041</v>
      </c>
      <c r="I84" s="85">
        <v>2</v>
      </c>
      <c r="J84" s="89">
        <v>7.5</v>
      </c>
      <c r="K84" s="88">
        <f t="shared" si="6"/>
        <v>15</v>
      </c>
      <c r="L84" s="85">
        <v>9958</v>
      </c>
      <c r="M84" s="118" t="s">
        <v>1303</v>
      </c>
      <c r="N84" s="96"/>
      <c r="O84" s="96" t="s">
        <v>45</v>
      </c>
      <c r="R84"/>
    </row>
    <row r="85" spans="1:18" x14ac:dyDescent="0.25">
      <c r="A85" s="84" t="str">
        <f t="shared" si="4"/>
        <v>OutubroSEMANA 1Cenoura</v>
      </c>
      <c r="B85" s="85" t="s">
        <v>37</v>
      </c>
      <c r="C85" s="85" t="s">
        <v>20</v>
      </c>
      <c r="D85" s="86">
        <v>3</v>
      </c>
      <c r="E85" s="116" t="str">
        <f t="shared" si="5"/>
        <v>Hortifruti</v>
      </c>
      <c r="F85" s="85" t="s">
        <v>1054</v>
      </c>
      <c r="G85" s="85" t="s">
        <v>249</v>
      </c>
      <c r="H85" s="85" t="s">
        <v>1039</v>
      </c>
      <c r="I85" s="85">
        <v>18.72</v>
      </c>
      <c r="J85" s="87">
        <f>35/18.72</f>
        <v>1.8696581196581197</v>
      </c>
      <c r="K85" s="88">
        <f t="shared" si="6"/>
        <v>35</v>
      </c>
      <c r="L85" s="85">
        <v>1785</v>
      </c>
      <c r="M85" s="118" t="s">
        <v>129</v>
      </c>
      <c r="N85" s="96"/>
      <c r="O85" s="96" t="s">
        <v>42</v>
      </c>
      <c r="R85"/>
    </row>
    <row r="86" spans="1:18" x14ac:dyDescent="0.25">
      <c r="A86" s="84" t="str">
        <f t="shared" si="4"/>
        <v>OutubroSEMANA 1Chuchu</v>
      </c>
      <c r="B86" s="85" t="s">
        <v>37</v>
      </c>
      <c r="C86" s="85" t="s">
        <v>20</v>
      </c>
      <c r="D86" s="86">
        <v>3</v>
      </c>
      <c r="E86" s="116" t="str">
        <f t="shared" si="5"/>
        <v>Hortifruti</v>
      </c>
      <c r="F86" s="85" t="s">
        <v>1054</v>
      </c>
      <c r="G86" s="85" t="s">
        <v>280</v>
      </c>
      <c r="H86" s="85" t="s">
        <v>1039</v>
      </c>
      <c r="I86" s="85">
        <v>17.82</v>
      </c>
      <c r="J86" s="87">
        <f>30/17.82</f>
        <v>1.6835016835016834</v>
      </c>
      <c r="K86" s="88">
        <f t="shared" si="6"/>
        <v>30</v>
      </c>
      <c r="L86" s="85">
        <v>1785</v>
      </c>
      <c r="M86" s="118" t="s">
        <v>130</v>
      </c>
      <c r="N86" s="96"/>
      <c r="O86" s="96" t="s">
        <v>60</v>
      </c>
      <c r="R86"/>
    </row>
    <row r="87" spans="1:18" x14ac:dyDescent="0.25">
      <c r="A87" s="84" t="str">
        <f t="shared" si="4"/>
        <v>OutubroSEMANA 1Cebola Calabresa</v>
      </c>
      <c r="B87" s="85" t="s">
        <v>37</v>
      </c>
      <c r="C87" s="85" t="s">
        <v>20</v>
      </c>
      <c r="D87" s="86">
        <v>3</v>
      </c>
      <c r="E87" s="116" t="str">
        <f t="shared" si="5"/>
        <v>Hortifruti</v>
      </c>
      <c r="F87" s="85" t="s">
        <v>1054</v>
      </c>
      <c r="G87" s="85" t="s">
        <v>242</v>
      </c>
      <c r="H87" s="85" t="s">
        <v>1039</v>
      </c>
      <c r="I87" s="85">
        <v>3</v>
      </c>
      <c r="J87" s="87">
        <v>4</v>
      </c>
      <c r="K87" s="88">
        <f t="shared" si="6"/>
        <v>12</v>
      </c>
      <c r="L87" s="85">
        <v>1785</v>
      </c>
      <c r="M87" s="118" t="s">
        <v>131</v>
      </c>
      <c r="N87" s="96"/>
      <c r="O87" s="96" t="s">
        <v>42</v>
      </c>
      <c r="R87"/>
    </row>
    <row r="88" spans="1:18" x14ac:dyDescent="0.25">
      <c r="A88" s="84" t="str">
        <f t="shared" si="4"/>
        <v>OutubroSEMANA 1Cará</v>
      </c>
      <c r="B88" s="85" t="s">
        <v>37</v>
      </c>
      <c r="C88" s="85" t="s">
        <v>20</v>
      </c>
      <c r="D88" s="86">
        <v>3</v>
      </c>
      <c r="E88" s="116" t="str">
        <f t="shared" si="5"/>
        <v>Hortifruti</v>
      </c>
      <c r="F88" s="85" t="s">
        <v>1054</v>
      </c>
      <c r="G88" s="85" t="s">
        <v>213</v>
      </c>
      <c r="H88" s="85" t="s">
        <v>1039</v>
      </c>
      <c r="I88" s="85">
        <v>2</v>
      </c>
      <c r="J88" s="87">
        <v>6.8</v>
      </c>
      <c r="K88" s="88">
        <f t="shared" si="6"/>
        <v>13.6</v>
      </c>
      <c r="L88" s="85">
        <v>1785</v>
      </c>
      <c r="M88" s="118" t="s">
        <v>132</v>
      </c>
      <c r="O88" s="115" t="s">
        <v>42</v>
      </c>
      <c r="R88"/>
    </row>
    <row r="89" spans="1:18" x14ac:dyDescent="0.25">
      <c r="A89" s="84" t="str">
        <f t="shared" si="4"/>
        <v>OutubroSEMANA 1Espinafre</v>
      </c>
      <c r="B89" s="85" t="s">
        <v>37</v>
      </c>
      <c r="C89" s="85" t="s">
        <v>20</v>
      </c>
      <c r="D89" s="86">
        <v>3</v>
      </c>
      <c r="E89" s="116" t="str">
        <f t="shared" si="5"/>
        <v>Hortifruti</v>
      </c>
      <c r="F89" s="85" t="s">
        <v>1054</v>
      </c>
      <c r="G89" s="85" t="s">
        <v>332</v>
      </c>
      <c r="H89" s="85" t="s">
        <v>1039</v>
      </c>
      <c r="I89" s="90">
        <v>8</v>
      </c>
      <c r="J89" s="89">
        <v>4.8</v>
      </c>
      <c r="K89" s="88">
        <f t="shared" si="6"/>
        <v>38.4</v>
      </c>
      <c r="L89" s="85">
        <v>1785</v>
      </c>
      <c r="M89" s="118" t="s">
        <v>133</v>
      </c>
      <c r="N89" s="96"/>
      <c r="O89" s="96" t="s">
        <v>42</v>
      </c>
      <c r="R89"/>
    </row>
    <row r="90" spans="1:18" x14ac:dyDescent="0.25">
      <c r="A90" s="84" t="str">
        <f t="shared" si="4"/>
        <v>OutubroSEMANA 1Alfafa</v>
      </c>
      <c r="B90" s="85" t="s">
        <v>37</v>
      </c>
      <c r="C90" s="85" t="s">
        <v>20</v>
      </c>
      <c r="D90" s="86">
        <v>3</v>
      </c>
      <c r="E90" s="116" t="str">
        <f t="shared" si="5"/>
        <v>Hortifruti</v>
      </c>
      <c r="F90" s="85" t="s">
        <v>1054</v>
      </c>
      <c r="G90" s="85" t="s">
        <v>110</v>
      </c>
      <c r="H90" s="85" t="s">
        <v>1039</v>
      </c>
      <c r="I90" s="90">
        <v>0.6</v>
      </c>
      <c r="J90" s="89">
        <f>24/0.6</f>
        <v>40</v>
      </c>
      <c r="K90" s="88">
        <f t="shared" si="6"/>
        <v>24</v>
      </c>
      <c r="L90" s="85">
        <v>1785</v>
      </c>
      <c r="M90" s="118" t="s">
        <v>134</v>
      </c>
      <c r="N90" s="96"/>
      <c r="O90" s="96" t="s">
        <v>44</v>
      </c>
      <c r="R90"/>
    </row>
    <row r="91" spans="1:18" x14ac:dyDescent="0.25">
      <c r="A91" s="84" t="str">
        <f t="shared" si="4"/>
        <v>OutubroSEMANA 1Tofu Kilo</v>
      </c>
      <c r="B91" s="85" t="s">
        <v>37</v>
      </c>
      <c r="C91" s="85" t="s">
        <v>20</v>
      </c>
      <c r="D91" s="86">
        <v>3</v>
      </c>
      <c r="E91" s="116" t="str">
        <f t="shared" si="5"/>
        <v>Hortifruti</v>
      </c>
      <c r="F91" s="85" t="s">
        <v>1054</v>
      </c>
      <c r="G91" s="85" t="s">
        <v>789</v>
      </c>
      <c r="H91" s="85" t="s">
        <v>1039</v>
      </c>
      <c r="I91" s="85">
        <v>3</v>
      </c>
      <c r="J91" s="87">
        <v>14</v>
      </c>
      <c r="K91" s="88">
        <f t="shared" si="6"/>
        <v>42</v>
      </c>
      <c r="L91" s="85">
        <v>1785</v>
      </c>
      <c r="M91" s="118" t="s">
        <v>135</v>
      </c>
      <c r="O91" s="115" t="s">
        <v>44</v>
      </c>
      <c r="R91"/>
    </row>
    <row r="92" spans="1:18" x14ac:dyDescent="0.25">
      <c r="A92" s="84" t="str">
        <f t="shared" si="4"/>
        <v>OutubroSEMANA 1Abacate Sushi</v>
      </c>
      <c r="B92" s="85" t="s">
        <v>37</v>
      </c>
      <c r="C92" s="85" t="s">
        <v>20</v>
      </c>
      <c r="D92" s="86">
        <v>3</v>
      </c>
      <c r="E92" s="116" t="str">
        <f t="shared" si="5"/>
        <v>Sushi</v>
      </c>
      <c r="F92" s="85" t="s">
        <v>1054</v>
      </c>
      <c r="G92" s="85" t="s">
        <v>64</v>
      </c>
      <c r="H92" s="85" t="s">
        <v>1039</v>
      </c>
      <c r="I92" s="85">
        <v>1</v>
      </c>
      <c r="J92" s="87">
        <v>6.8</v>
      </c>
      <c r="K92" s="88">
        <f t="shared" si="6"/>
        <v>6.8</v>
      </c>
      <c r="L92" s="85">
        <v>1785</v>
      </c>
      <c r="M92" s="118" t="s">
        <v>136</v>
      </c>
      <c r="N92" s="96"/>
      <c r="O92" s="96" t="s">
        <v>44</v>
      </c>
      <c r="R92"/>
    </row>
    <row r="93" spans="1:18" x14ac:dyDescent="0.25">
      <c r="A93" s="84" t="str">
        <f t="shared" si="4"/>
        <v xml:space="preserve">OutubroSEMANA 1Abacaxi </v>
      </c>
      <c r="B93" s="85" t="s">
        <v>37</v>
      </c>
      <c r="C93" s="85" t="s">
        <v>20</v>
      </c>
      <c r="D93" s="86">
        <v>3</v>
      </c>
      <c r="E93" s="116" t="str">
        <f t="shared" si="5"/>
        <v>Hortifruti</v>
      </c>
      <c r="F93" s="85" t="s">
        <v>1054</v>
      </c>
      <c r="G93" s="85" t="s">
        <v>65</v>
      </c>
      <c r="H93" s="85" t="s">
        <v>1039</v>
      </c>
      <c r="I93" s="85">
        <v>6</v>
      </c>
      <c r="J93" s="87">
        <v>2.4</v>
      </c>
      <c r="K93" s="88">
        <f t="shared" si="6"/>
        <v>14.399999999999999</v>
      </c>
      <c r="L93" s="85">
        <v>1785</v>
      </c>
      <c r="M93" s="118" t="s">
        <v>941</v>
      </c>
      <c r="N93" s="96"/>
      <c r="O93" s="96" t="s">
        <v>44</v>
      </c>
      <c r="R93"/>
    </row>
    <row r="94" spans="1:18" x14ac:dyDescent="0.25">
      <c r="A94" s="84" t="str">
        <f t="shared" si="4"/>
        <v>OutubroSEMANA 1Kiwi</v>
      </c>
      <c r="B94" s="85" t="s">
        <v>37</v>
      </c>
      <c r="C94" s="85" t="s">
        <v>20</v>
      </c>
      <c r="D94" s="86">
        <v>3</v>
      </c>
      <c r="E94" s="116" t="str">
        <f t="shared" si="5"/>
        <v>Hortifruti</v>
      </c>
      <c r="F94" s="85" t="s">
        <v>1054</v>
      </c>
      <c r="G94" s="85" t="s">
        <v>454</v>
      </c>
      <c r="H94" s="85" t="s">
        <v>1039</v>
      </c>
      <c r="I94" s="85">
        <v>1</v>
      </c>
      <c r="J94" s="87">
        <v>14</v>
      </c>
      <c r="K94" s="88">
        <f t="shared" si="6"/>
        <v>14</v>
      </c>
      <c r="L94" s="85">
        <v>1785</v>
      </c>
      <c r="M94" s="118" t="s">
        <v>137</v>
      </c>
      <c r="N94" s="96"/>
      <c r="O94" s="96" t="s">
        <v>44</v>
      </c>
      <c r="R94"/>
    </row>
    <row r="95" spans="1:18" x14ac:dyDescent="0.25">
      <c r="A95" s="84" t="str">
        <f t="shared" si="4"/>
        <v>OutubroSEMANA 1Pescados - Filé Tilápia Cong.</v>
      </c>
      <c r="B95" s="85" t="s">
        <v>37</v>
      </c>
      <c r="C95" s="85" t="s">
        <v>20</v>
      </c>
      <c r="D95" s="86">
        <v>3</v>
      </c>
      <c r="E95" s="116" t="str">
        <f t="shared" si="5"/>
        <v>Carnes</v>
      </c>
      <c r="F95" s="85" t="s">
        <v>1062</v>
      </c>
      <c r="G95" s="85" t="s">
        <v>614</v>
      </c>
      <c r="H95" s="85" t="s">
        <v>1039</v>
      </c>
      <c r="I95" s="85">
        <v>32</v>
      </c>
      <c r="J95" s="87">
        <v>26.3</v>
      </c>
      <c r="K95" s="88">
        <f t="shared" si="6"/>
        <v>841.6</v>
      </c>
      <c r="L95" s="85" t="s">
        <v>1063</v>
      </c>
      <c r="M95" s="118" t="s">
        <v>138</v>
      </c>
      <c r="N95" s="96"/>
      <c r="O95" s="96" t="s">
        <v>44</v>
      </c>
      <c r="R95"/>
    </row>
    <row r="96" spans="1:18" x14ac:dyDescent="0.25">
      <c r="A96" s="84" t="str">
        <f t="shared" si="4"/>
        <v>OutubroSEMANA 1Pescados - Filé Tilápia Cong.</v>
      </c>
      <c r="B96" s="85" t="s">
        <v>37</v>
      </c>
      <c r="C96" s="85" t="s">
        <v>20</v>
      </c>
      <c r="D96" s="86">
        <v>3</v>
      </c>
      <c r="E96" s="116" t="str">
        <f t="shared" si="5"/>
        <v>Carnes</v>
      </c>
      <c r="F96" s="85" t="s">
        <v>1062</v>
      </c>
      <c r="G96" s="85" t="s">
        <v>614</v>
      </c>
      <c r="H96" s="85" t="s">
        <v>1039</v>
      </c>
      <c r="I96" s="85">
        <v>8</v>
      </c>
      <c r="J96" s="87">
        <v>26.3</v>
      </c>
      <c r="K96" s="88">
        <f t="shared" si="6"/>
        <v>210.4</v>
      </c>
      <c r="L96" s="85" t="s">
        <v>1064</v>
      </c>
      <c r="M96" s="118" t="s">
        <v>885</v>
      </c>
      <c r="N96" s="96"/>
      <c r="O96" s="96" t="s">
        <v>44</v>
      </c>
      <c r="R96"/>
    </row>
    <row r="97" spans="1:18" x14ac:dyDescent="0.25">
      <c r="A97" s="84" t="str">
        <f t="shared" si="4"/>
        <v>OutubroSEMANA 1Saco Plástico 50x70</v>
      </c>
      <c r="B97" s="85" t="s">
        <v>37</v>
      </c>
      <c r="C97" s="85" t="s">
        <v>20</v>
      </c>
      <c r="D97" s="86">
        <v>3</v>
      </c>
      <c r="E97" s="116" t="str">
        <f t="shared" si="5"/>
        <v>Descartável</v>
      </c>
      <c r="F97" s="85" t="s">
        <v>1065</v>
      </c>
      <c r="G97" s="85" t="s">
        <v>719</v>
      </c>
      <c r="H97" s="85" t="s">
        <v>1037</v>
      </c>
      <c r="I97" s="85">
        <v>3</v>
      </c>
      <c r="J97" s="87">
        <v>49.85</v>
      </c>
      <c r="K97" s="88">
        <f t="shared" si="6"/>
        <v>149.55000000000001</v>
      </c>
      <c r="L97" s="85" t="s">
        <v>1066</v>
      </c>
      <c r="M97" s="118" t="s">
        <v>139</v>
      </c>
      <c r="N97" s="96"/>
      <c r="O97" s="96" t="s">
        <v>44</v>
      </c>
      <c r="R97"/>
    </row>
    <row r="98" spans="1:18" x14ac:dyDescent="0.25">
      <c r="A98" s="84" t="str">
        <f t="shared" si="4"/>
        <v>OutubroSEMANA 1Clara de Ovo</v>
      </c>
      <c r="B98" s="85" t="s">
        <v>37</v>
      </c>
      <c r="C98" s="85" t="s">
        <v>20</v>
      </c>
      <c r="D98" s="86">
        <v>3</v>
      </c>
      <c r="E98" s="116" t="str">
        <f t="shared" si="5"/>
        <v>Mercado</v>
      </c>
      <c r="F98" s="85" t="s">
        <v>1067</v>
      </c>
      <c r="G98" s="85" t="s">
        <v>282</v>
      </c>
      <c r="H98" s="85" t="s">
        <v>1039</v>
      </c>
      <c r="I98" s="85">
        <v>7.73</v>
      </c>
      <c r="J98" s="87">
        <f>50/7.73</f>
        <v>6.4683053040103493</v>
      </c>
      <c r="K98" s="88">
        <f t="shared" si="6"/>
        <v>50</v>
      </c>
      <c r="L98" s="85"/>
      <c r="M98" s="118" t="s">
        <v>140</v>
      </c>
      <c r="O98" s="115" t="s">
        <v>44</v>
      </c>
      <c r="R98"/>
    </row>
    <row r="99" spans="1:18" x14ac:dyDescent="0.25">
      <c r="A99" s="84" t="str">
        <f t="shared" si="4"/>
        <v>OutubroSEMANA 1Ovo de Codorna</v>
      </c>
      <c r="B99" s="85" t="s">
        <v>37</v>
      </c>
      <c r="C99" s="85" t="s">
        <v>20</v>
      </c>
      <c r="D99" s="86">
        <v>3</v>
      </c>
      <c r="E99" s="116" t="str">
        <f t="shared" si="5"/>
        <v>Hortifruti</v>
      </c>
      <c r="F99" s="85" t="s">
        <v>1068</v>
      </c>
      <c r="G99" s="85" t="s">
        <v>549</v>
      </c>
      <c r="H99" s="85" t="s">
        <v>1069</v>
      </c>
      <c r="I99" s="85">
        <v>16</v>
      </c>
      <c r="J99" s="87">
        <v>10.4</v>
      </c>
      <c r="K99" s="88">
        <f t="shared" si="6"/>
        <v>166.4</v>
      </c>
      <c r="L99" s="85"/>
      <c r="M99" s="118" t="s">
        <v>141</v>
      </c>
      <c r="N99" s="96"/>
      <c r="O99" s="96" t="s">
        <v>44</v>
      </c>
      <c r="R99"/>
    </row>
    <row r="100" spans="1:18" x14ac:dyDescent="0.25">
      <c r="A100" s="84" t="str">
        <f t="shared" si="4"/>
        <v>OutubroSEMANA 1Torta Xcake Framboesa</v>
      </c>
      <c r="B100" s="85" t="s">
        <v>37</v>
      </c>
      <c r="C100" s="85" t="s">
        <v>20</v>
      </c>
      <c r="D100" s="86">
        <v>3</v>
      </c>
      <c r="E100" s="116" t="str">
        <f t="shared" si="5"/>
        <v>Sobremesa</v>
      </c>
      <c r="F100" s="85" t="s">
        <v>1070</v>
      </c>
      <c r="G100" s="85" t="s">
        <v>819</v>
      </c>
      <c r="H100" s="85" t="s">
        <v>1071</v>
      </c>
      <c r="I100" s="85">
        <f>3*12</f>
        <v>36</v>
      </c>
      <c r="J100" s="87">
        <f>222/36</f>
        <v>6.166666666666667</v>
      </c>
      <c r="K100" s="88">
        <f t="shared" si="6"/>
        <v>222</v>
      </c>
      <c r="L100" s="85"/>
      <c r="M100" s="118" t="s">
        <v>142</v>
      </c>
      <c r="N100" s="96"/>
      <c r="O100" s="96" t="s">
        <v>44</v>
      </c>
      <c r="R100"/>
    </row>
    <row r="101" spans="1:18" x14ac:dyDescent="0.25">
      <c r="A101" s="84" t="str">
        <f t="shared" si="4"/>
        <v>OutubroSEMANA 1Geléia de Framboesa</v>
      </c>
      <c r="B101" s="85" t="s">
        <v>37</v>
      </c>
      <c r="C101" s="85" t="s">
        <v>20</v>
      </c>
      <c r="D101" s="86">
        <v>3</v>
      </c>
      <c r="E101" s="116" t="str">
        <f t="shared" si="5"/>
        <v>Sobremesa</v>
      </c>
      <c r="F101" s="85" t="s">
        <v>1070</v>
      </c>
      <c r="G101" s="85" t="s">
        <v>905</v>
      </c>
      <c r="H101" s="85" t="s">
        <v>1038</v>
      </c>
      <c r="I101" s="85">
        <v>2</v>
      </c>
      <c r="J101" s="87"/>
      <c r="K101" s="88">
        <f t="shared" si="6"/>
        <v>0</v>
      </c>
      <c r="L101" s="85" t="s">
        <v>1072</v>
      </c>
      <c r="M101" s="118" t="s">
        <v>143</v>
      </c>
      <c r="N101" s="96"/>
      <c r="O101" s="96" t="s">
        <v>44</v>
      </c>
      <c r="R101"/>
    </row>
    <row r="102" spans="1:18" x14ac:dyDescent="0.25">
      <c r="A102" s="84" t="str">
        <f t="shared" si="4"/>
        <v>OutubroSEMANA 1Pão de Psylium c/Quinoa</v>
      </c>
      <c r="B102" s="85" t="s">
        <v>37</v>
      </c>
      <c r="C102" s="85" t="s">
        <v>20</v>
      </c>
      <c r="D102" s="86">
        <v>3</v>
      </c>
      <c r="E102" s="116" t="str">
        <f t="shared" si="5"/>
        <v>Feirinha</v>
      </c>
      <c r="F102" s="90" t="s">
        <v>1073</v>
      </c>
      <c r="G102" s="85" t="s">
        <v>1003</v>
      </c>
      <c r="H102" s="85" t="s">
        <v>1037</v>
      </c>
      <c r="I102" s="85">
        <v>6</v>
      </c>
      <c r="J102" s="87">
        <v>11.2</v>
      </c>
      <c r="K102" s="88">
        <f t="shared" si="6"/>
        <v>67.199999999999989</v>
      </c>
      <c r="L102" s="85"/>
      <c r="M102" s="118" t="s">
        <v>144</v>
      </c>
      <c r="N102" s="96"/>
      <c r="O102" s="96" t="s">
        <v>44</v>
      </c>
      <c r="R102"/>
    </row>
    <row r="103" spans="1:18" x14ac:dyDescent="0.25">
      <c r="A103" s="84" t="str">
        <f t="shared" si="4"/>
        <v>OutubroSEMANA 1Bala de Alga 500 g</v>
      </c>
      <c r="B103" s="85" t="s">
        <v>37</v>
      </c>
      <c r="C103" s="85" t="s">
        <v>20</v>
      </c>
      <c r="D103" s="86">
        <v>3</v>
      </c>
      <c r="E103" s="116" t="str">
        <f t="shared" si="5"/>
        <v>Vendas Caixa</v>
      </c>
      <c r="F103" s="90" t="s">
        <v>1074</v>
      </c>
      <c r="G103" s="85" t="s">
        <v>159</v>
      </c>
      <c r="H103" s="85" t="s">
        <v>1037</v>
      </c>
      <c r="I103" s="85">
        <v>2</v>
      </c>
      <c r="J103" s="87">
        <v>17.16</v>
      </c>
      <c r="K103" s="88">
        <f t="shared" si="6"/>
        <v>34.32</v>
      </c>
      <c r="L103" s="85" t="s">
        <v>1076</v>
      </c>
      <c r="M103" s="118" t="s">
        <v>890</v>
      </c>
      <c r="N103" s="96"/>
      <c r="O103" s="96" t="s">
        <v>44</v>
      </c>
      <c r="R103"/>
    </row>
    <row r="104" spans="1:18" x14ac:dyDescent="0.25">
      <c r="A104" s="84" t="str">
        <f t="shared" si="4"/>
        <v>OutubroSEMANA 1Farinha Panco</v>
      </c>
      <c r="B104" s="85" t="s">
        <v>37</v>
      </c>
      <c r="C104" s="85" t="s">
        <v>20</v>
      </c>
      <c r="D104" s="86">
        <v>3</v>
      </c>
      <c r="E104" s="116" t="str">
        <f t="shared" si="5"/>
        <v>Mercado</v>
      </c>
      <c r="F104" s="90" t="s">
        <v>1074</v>
      </c>
      <c r="G104" s="85" t="s">
        <v>345</v>
      </c>
      <c r="H104" s="85" t="s">
        <v>1039</v>
      </c>
      <c r="I104" s="85">
        <f>10-4</f>
        <v>6</v>
      </c>
      <c r="J104" s="87">
        <v>17.7</v>
      </c>
      <c r="K104" s="88">
        <f t="shared" si="6"/>
        <v>106.19999999999999</v>
      </c>
      <c r="L104" s="85" t="s">
        <v>1076</v>
      </c>
      <c r="M104" s="118" t="s">
        <v>145</v>
      </c>
      <c r="N104" s="96"/>
      <c r="O104" s="96" t="s">
        <v>44</v>
      </c>
      <c r="R104"/>
    </row>
    <row r="105" spans="1:18" x14ac:dyDescent="0.25">
      <c r="A105" s="84" t="str">
        <f t="shared" si="4"/>
        <v>OutubroSEMANA 1Gergelim Branco</v>
      </c>
      <c r="B105" s="85" t="s">
        <v>37</v>
      </c>
      <c r="C105" s="85" t="s">
        <v>20</v>
      </c>
      <c r="D105" s="86">
        <v>3</v>
      </c>
      <c r="E105" s="116" t="str">
        <f t="shared" si="5"/>
        <v>Mercado</v>
      </c>
      <c r="F105" s="90" t="s">
        <v>1074</v>
      </c>
      <c r="G105" s="85" t="s">
        <v>387</v>
      </c>
      <c r="H105" s="85" t="s">
        <v>1039</v>
      </c>
      <c r="I105" s="85">
        <v>1</v>
      </c>
      <c r="J105" s="87">
        <v>16.850000000000001</v>
      </c>
      <c r="K105" s="88">
        <f t="shared" si="6"/>
        <v>16.850000000000001</v>
      </c>
      <c r="L105" s="85" t="s">
        <v>1076</v>
      </c>
      <c r="M105" s="118" t="s">
        <v>146</v>
      </c>
      <c r="N105" s="96"/>
      <c r="O105" s="96" t="s">
        <v>44</v>
      </c>
      <c r="R105"/>
    </row>
    <row r="106" spans="1:18" x14ac:dyDescent="0.25">
      <c r="A106" s="84" t="str">
        <f t="shared" si="4"/>
        <v>OutubroSEMANA 1Massa de Harumaki</v>
      </c>
      <c r="B106" s="85" t="s">
        <v>37</v>
      </c>
      <c r="C106" s="85" t="s">
        <v>20</v>
      </c>
      <c r="D106" s="86">
        <v>3</v>
      </c>
      <c r="E106" s="116" t="str">
        <f t="shared" si="5"/>
        <v>Mercado</v>
      </c>
      <c r="F106" s="90" t="s">
        <v>1074</v>
      </c>
      <c r="G106" s="85" t="s">
        <v>507</v>
      </c>
      <c r="H106" s="85" t="s">
        <v>1075</v>
      </c>
      <c r="I106" s="85">
        <f>(12*12)-24</f>
        <v>120</v>
      </c>
      <c r="J106" s="87">
        <f>82.92/144</f>
        <v>0.57583333333333331</v>
      </c>
      <c r="K106" s="88">
        <f t="shared" si="6"/>
        <v>69.099999999999994</v>
      </c>
      <c r="L106" s="85" t="s">
        <v>1076</v>
      </c>
      <c r="M106" s="118" t="s">
        <v>147</v>
      </c>
      <c r="N106" s="96"/>
      <c r="O106" s="96" t="s">
        <v>44</v>
      </c>
      <c r="R106"/>
    </row>
    <row r="107" spans="1:18" x14ac:dyDescent="0.25">
      <c r="A107" s="84" t="str">
        <f t="shared" si="4"/>
        <v>OutubroSEMANA 1Carne Bovina - Carne Seca</v>
      </c>
      <c r="B107" s="85" t="s">
        <v>37</v>
      </c>
      <c r="C107" s="85" t="s">
        <v>20</v>
      </c>
      <c r="D107" s="86">
        <v>3</v>
      </c>
      <c r="E107" s="116" t="str">
        <f t="shared" si="5"/>
        <v>Carnes</v>
      </c>
      <c r="F107" s="90" t="s">
        <v>1058</v>
      </c>
      <c r="G107" s="85" t="s">
        <v>218</v>
      </c>
      <c r="H107" s="85" t="s">
        <v>1039</v>
      </c>
      <c r="I107" s="85">
        <v>10</v>
      </c>
      <c r="J107" s="87">
        <v>15.95</v>
      </c>
      <c r="K107" s="88">
        <f t="shared" si="6"/>
        <v>159.5</v>
      </c>
      <c r="L107" s="85" t="s">
        <v>1077</v>
      </c>
      <c r="M107" s="118" t="s">
        <v>148</v>
      </c>
      <c r="N107" s="96"/>
      <c r="O107" s="96" t="s">
        <v>44</v>
      </c>
      <c r="R107"/>
    </row>
    <row r="108" spans="1:18" x14ac:dyDescent="0.25">
      <c r="A108" s="84" t="str">
        <f t="shared" si="4"/>
        <v>OutubroSEMANA 1Suíno - Costelinha Salgada</v>
      </c>
      <c r="B108" s="85" t="s">
        <v>37</v>
      </c>
      <c r="C108" s="85" t="s">
        <v>20</v>
      </c>
      <c r="D108" s="86">
        <v>3</v>
      </c>
      <c r="E108" s="116" t="str">
        <f t="shared" si="5"/>
        <v>Carnes</v>
      </c>
      <c r="F108" s="90" t="s">
        <v>1058</v>
      </c>
      <c r="G108" s="85" t="s">
        <v>760</v>
      </c>
      <c r="H108" s="85" t="s">
        <v>1039</v>
      </c>
      <c r="I108" s="85">
        <v>10</v>
      </c>
      <c r="J108" s="87">
        <v>9.98</v>
      </c>
      <c r="K108" s="88">
        <f t="shared" si="6"/>
        <v>99.800000000000011</v>
      </c>
      <c r="L108" s="85" t="s">
        <v>1077</v>
      </c>
      <c r="M108" s="118" t="s">
        <v>149</v>
      </c>
      <c r="N108" s="96"/>
      <c r="O108" s="96" t="s">
        <v>44</v>
      </c>
      <c r="R108"/>
    </row>
    <row r="109" spans="1:18" x14ac:dyDescent="0.25">
      <c r="A109" s="84" t="str">
        <f t="shared" si="4"/>
        <v>OutubroSEMANA 1Suíno - Linguiça de Pernil</v>
      </c>
      <c r="B109" s="85" t="s">
        <v>37</v>
      </c>
      <c r="C109" s="85" t="s">
        <v>20</v>
      </c>
      <c r="D109" s="86">
        <v>3</v>
      </c>
      <c r="E109" s="116" t="str">
        <f t="shared" si="5"/>
        <v>Carnes</v>
      </c>
      <c r="F109" s="90" t="s">
        <v>1058</v>
      </c>
      <c r="G109" s="85" t="s">
        <v>763</v>
      </c>
      <c r="H109" s="85" t="s">
        <v>1039</v>
      </c>
      <c r="I109" s="85">
        <v>5</v>
      </c>
      <c r="J109" s="87">
        <v>10.050000000000001</v>
      </c>
      <c r="K109" s="88">
        <f t="shared" si="6"/>
        <v>50.25</v>
      </c>
      <c r="L109" s="85" t="s">
        <v>1077</v>
      </c>
      <c r="M109" s="118" t="s">
        <v>150</v>
      </c>
      <c r="N109" s="96"/>
      <c r="O109" s="96" t="s">
        <v>44</v>
      </c>
      <c r="R109"/>
    </row>
    <row r="110" spans="1:18" x14ac:dyDescent="0.25">
      <c r="A110" s="84" t="str">
        <f t="shared" si="4"/>
        <v>OutubroSEMANA 1Suíno - Bacon</v>
      </c>
      <c r="B110" s="85" t="s">
        <v>37</v>
      </c>
      <c r="C110" s="85" t="s">
        <v>20</v>
      </c>
      <c r="D110" s="86">
        <v>3</v>
      </c>
      <c r="E110" s="116" t="str">
        <f t="shared" si="5"/>
        <v>Carnes</v>
      </c>
      <c r="F110" s="90" t="s">
        <v>1058</v>
      </c>
      <c r="G110" s="85" t="s">
        <v>755</v>
      </c>
      <c r="H110" s="85" t="s">
        <v>1039</v>
      </c>
      <c r="I110" s="85">
        <v>10</v>
      </c>
      <c r="J110" s="87">
        <v>13.24</v>
      </c>
      <c r="K110" s="88">
        <f t="shared" si="6"/>
        <v>132.4</v>
      </c>
      <c r="L110" s="85" t="s">
        <v>1077</v>
      </c>
      <c r="M110" s="118" t="s">
        <v>151</v>
      </c>
      <c r="N110" s="96"/>
      <c r="O110" s="96" t="s">
        <v>42</v>
      </c>
      <c r="R110"/>
    </row>
    <row r="111" spans="1:18" x14ac:dyDescent="0.25">
      <c r="A111" s="84" t="str">
        <f t="shared" si="4"/>
        <v>OutubroSEMANA 1Suíno - Pernil s/ Osso</v>
      </c>
      <c r="B111" s="85" t="s">
        <v>37</v>
      </c>
      <c r="C111" s="85" t="s">
        <v>20</v>
      </c>
      <c r="D111" s="86">
        <v>3</v>
      </c>
      <c r="E111" s="116" t="str">
        <f t="shared" si="5"/>
        <v>Carnes</v>
      </c>
      <c r="F111" s="90" t="s">
        <v>1058</v>
      </c>
      <c r="G111" s="85" t="s">
        <v>769</v>
      </c>
      <c r="H111" s="85" t="s">
        <v>1039</v>
      </c>
      <c r="I111" s="85">
        <v>20</v>
      </c>
      <c r="J111" s="87">
        <v>8.89</v>
      </c>
      <c r="K111" s="88">
        <f t="shared" si="6"/>
        <v>177.8</v>
      </c>
      <c r="L111" s="85" t="s">
        <v>1077</v>
      </c>
      <c r="M111" s="118" t="s">
        <v>152</v>
      </c>
      <c r="N111" s="96"/>
      <c r="O111" s="96" t="s">
        <v>42</v>
      </c>
      <c r="R111"/>
    </row>
    <row r="112" spans="1:18" x14ac:dyDescent="0.25">
      <c r="A112" s="84" t="str">
        <f t="shared" si="4"/>
        <v>OutubroSEMANA 1Pescados - Camarão IQF Evisc. 51/60</v>
      </c>
      <c r="B112" s="85" t="s">
        <v>37</v>
      </c>
      <c r="C112" s="85" t="s">
        <v>20</v>
      </c>
      <c r="D112" s="86">
        <v>3</v>
      </c>
      <c r="E112" s="116" t="str">
        <f t="shared" si="5"/>
        <v>Carnes</v>
      </c>
      <c r="F112" s="90" t="s">
        <v>1048</v>
      </c>
      <c r="G112" s="85" t="s">
        <v>594</v>
      </c>
      <c r="H112" s="85" t="s">
        <v>1039</v>
      </c>
      <c r="I112" s="85">
        <v>14</v>
      </c>
      <c r="J112" s="87">
        <v>45</v>
      </c>
      <c r="K112" s="88">
        <f t="shared" si="6"/>
        <v>630</v>
      </c>
      <c r="L112" s="85">
        <v>280835</v>
      </c>
      <c r="M112" s="118" t="s">
        <v>153</v>
      </c>
      <c r="N112" s="96"/>
      <c r="O112" s="96" t="s">
        <v>42</v>
      </c>
      <c r="R112"/>
    </row>
    <row r="113" spans="1:18" x14ac:dyDescent="0.25">
      <c r="A113" s="84" t="str">
        <f t="shared" si="4"/>
        <v>OutubroSEMANA 1Pescados - Filé Linguado Cong. G</v>
      </c>
      <c r="B113" s="85" t="s">
        <v>37</v>
      </c>
      <c r="C113" s="85" t="s">
        <v>20</v>
      </c>
      <c r="D113" s="86">
        <v>3</v>
      </c>
      <c r="E113" s="116" t="str">
        <f t="shared" si="5"/>
        <v>Carnes</v>
      </c>
      <c r="F113" s="90" t="s">
        <v>1048</v>
      </c>
      <c r="G113" s="85" t="s">
        <v>607</v>
      </c>
      <c r="H113" s="85" t="s">
        <v>1039</v>
      </c>
      <c r="I113" s="85">
        <v>10</v>
      </c>
      <c r="J113" s="87">
        <v>42</v>
      </c>
      <c r="K113" s="88">
        <f t="shared" si="6"/>
        <v>420</v>
      </c>
      <c r="L113" s="85">
        <v>280835</v>
      </c>
      <c r="M113" s="118" t="s">
        <v>154</v>
      </c>
      <c r="N113" s="96"/>
      <c r="O113" s="96" t="s">
        <v>42</v>
      </c>
      <c r="R113"/>
    </row>
    <row r="114" spans="1:18" x14ac:dyDescent="0.25">
      <c r="A114" s="84" t="str">
        <f t="shared" si="4"/>
        <v>OutubroSEMANA 1Suíno - Lombo Salgado</v>
      </c>
      <c r="B114" s="85" t="s">
        <v>37</v>
      </c>
      <c r="C114" s="85" t="s">
        <v>20</v>
      </c>
      <c r="D114" s="86">
        <v>3</v>
      </c>
      <c r="E114" s="116" t="str">
        <f t="shared" si="5"/>
        <v>Carnes</v>
      </c>
      <c r="F114" s="90" t="s">
        <v>1078</v>
      </c>
      <c r="G114" s="85" t="s">
        <v>768</v>
      </c>
      <c r="H114" s="85" t="s">
        <v>1039</v>
      </c>
      <c r="I114" s="85">
        <v>20</v>
      </c>
      <c r="J114" s="87">
        <v>10.45</v>
      </c>
      <c r="K114" s="88">
        <f t="shared" si="6"/>
        <v>209</v>
      </c>
      <c r="L114" s="85" t="s">
        <v>1079</v>
      </c>
      <c r="M114" s="118" t="s">
        <v>155</v>
      </c>
      <c r="N114" s="96"/>
      <c r="O114" s="96" t="s">
        <v>42</v>
      </c>
      <c r="R114"/>
    </row>
    <row r="115" spans="1:18" x14ac:dyDescent="0.25">
      <c r="A115" s="84" t="str">
        <f t="shared" si="4"/>
        <v>OutubroSEMANA 1Carne Bovina - Alcatra Miolo</v>
      </c>
      <c r="B115" s="85" t="s">
        <v>37</v>
      </c>
      <c r="C115" s="85" t="s">
        <v>20</v>
      </c>
      <c r="D115" s="86">
        <v>3</v>
      </c>
      <c r="E115" s="116" t="str">
        <f t="shared" si="5"/>
        <v>Carnes</v>
      </c>
      <c r="F115" s="90" t="s">
        <v>1078</v>
      </c>
      <c r="G115" s="85" t="s">
        <v>216</v>
      </c>
      <c r="H115" s="85" t="s">
        <v>1039</v>
      </c>
      <c r="I115" s="85">
        <v>25.1</v>
      </c>
      <c r="J115" s="87">
        <v>21.98</v>
      </c>
      <c r="K115" s="88">
        <f t="shared" si="6"/>
        <v>551.69800000000009</v>
      </c>
      <c r="L115" s="85" t="s">
        <v>1079</v>
      </c>
      <c r="M115" s="118" t="s">
        <v>156</v>
      </c>
      <c r="N115" s="96"/>
      <c r="O115" s="96" t="s">
        <v>42</v>
      </c>
      <c r="R115"/>
    </row>
    <row r="116" spans="1:18" x14ac:dyDescent="0.25">
      <c r="A116" s="84" t="str">
        <f t="shared" si="4"/>
        <v>OutubroSEMANA 1Queijo Coalho</v>
      </c>
      <c r="B116" s="85" t="s">
        <v>37</v>
      </c>
      <c r="C116" s="85" t="s">
        <v>20</v>
      </c>
      <c r="D116" s="86">
        <v>3</v>
      </c>
      <c r="E116" s="116" t="str">
        <f t="shared" si="5"/>
        <v>Mercado</v>
      </c>
      <c r="F116" s="90" t="s">
        <v>1078</v>
      </c>
      <c r="G116" s="85" t="s">
        <v>676</v>
      </c>
      <c r="H116" s="85" t="s">
        <v>1039</v>
      </c>
      <c r="I116" s="85">
        <v>4</v>
      </c>
      <c r="J116" s="87">
        <v>24.13</v>
      </c>
      <c r="K116" s="88">
        <f t="shared" si="6"/>
        <v>96.52</v>
      </c>
      <c r="L116" s="85" t="s">
        <v>1079</v>
      </c>
      <c r="M116" s="118" t="s">
        <v>157</v>
      </c>
      <c r="N116" s="96"/>
      <c r="O116" s="96" t="s">
        <v>42</v>
      </c>
      <c r="R116"/>
    </row>
    <row r="117" spans="1:18" x14ac:dyDescent="0.25">
      <c r="A117" s="84" t="str">
        <f t="shared" si="4"/>
        <v>OutubroSEMANA 1Leite de Côco</v>
      </c>
      <c r="B117" s="85" t="s">
        <v>37</v>
      </c>
      <c r="C117" s="85" t="s">
        <v>20</v>
      </c>
      <c r="D117" s="86">
        <v>4</v>
      </c>
      <c r="E117" s="116" t="str">
        <f t="shared" si="5"/>
        <v>Mercado</v>
      </c>
      <c r="F117" s="90" t="s">
        <v>1080</v>
      </c>
      <c r="G117" s="85" t="s">
        <v>460</v>
      </c>
      <c r="H117" s="85" t="s">
        <v>1081</v>
      </c>
      <c r="I117" s="85">
        <v>12</v>
      </c>
      <c r="J117" s="87">
        <f>181.32/12</f>
        <v>15.11</v>
      </c>
      <c r="K117" s="88">
        <f t="shared" si="6"/>
        <v>181.32</v>
      </c>
      <c r="L117" s="85" t="s">
        <v>1083</v>
      </c>
      <c r="M117" s="118" t="s">
        <v>158</v>
      </c>
      <c r="N117" s="96"/>
      <c r="O117" s="96" t="s">
        <v>42</v>
      </c>
      <c r="R117"/>
    </row>
    <row r="118" spans="1:18" x14ac:dyDescent="0.25">
      <c r="A118" s="84" t="str">
        <f t="shared" si="4"/>
        <v>OutubroSEMANA 1Leite Condensado 395 g</v>
      </c>
      <c r="B118" s="85" t="s">
        <v>37</v>
      </c>
      <c r="C118" s="85" t="s">
        <v>20</v>
      </c>
      <c r="D118" s="86">
        <v>4</v>
      </c>
      <c r="E118" s="116" t="str">
        <f t="shared" si="5"/>
        <v>Mercado</v>
      </c>
      <c r="F118" s="90" t="s">
        <v>1080</v>
      </c>
      <c r="G118" s="85" t="s">
        <v>459</v>
      </c>
      <c r="H118" s="85" t="s">
        <v>1038</v>
      </c>
      <c r="I118" s="85">
        <v>48</v>
      </c>
      <c r="J118" s="87">
        <f>318.82/48</f>
        <v>6.6420833333333329</v>
      </c>
      <c r="K118" s="88">
        <f t="shared" si="6"/>
        <v>318.82</v>
      </c>
      <c r="L118" s="85" t="s">
        <v>1083</v>
      </c>
      <c r="M118" s="118" t="s">
        <v>159</v>
      </c>
      <c r="O118" s="115" t="s">
        <v>872</v>
      </c>
      <c r="R118"/>
    </row>
    <row r="119" spans="1:18" x14ac:dyDescent="0.25">
      <c r="A119" s="84" t="str">
        <f t="shared" si="4"/>
        <v>OutubroSEMANA 1Leite Integral</v>
      </c>
      <c r="B119" s="85" t="s">
        <v>37</v>
      </c>
      <c r="C119" s="85" t="s">
        <v>20</v>
      </c>
      <c r="D119" s="86">
        <v>4</v>
      </c>
      <c r="E119" s="116" t="str">
        <f t="shared" si="5"/>
        <v>Mercado</v>
      </c>
      <c r="F119" s="90" t="s">
        <v>1080</v>
      </c>
      <c r="G119" s="85" t="s">
        <v>461</v>
      </c>
      <c r="H119" s="85" t="s">
        <v>1081</v>
      </c>
      <c r="I119" s="85">
        <f>6*12</f>
        <v>72</v>
      </c>
      <c r="J119" s="87">
        <f>208.01/72</f>
        <v>2.8890277777777778</v>
      </c>
      <c r="K119" s="88">
        <f t="shared" si="6"/>
        <v>208.01</v>
      </c>
      <c r="L119" s="85" t="s">
        <v>1083</v>
      </c>
      <c r="M119" s="118" t="s">
        <v>160</v>
      </c>
      <c r="N119" s="96"/>
      <c r="O119" s="96" t="s">
        <v>872</v>
      </c>
      <c r="R119"/>
    </row>
    <row r="120" spans="1:18" x14ac:dyDescent="0.25">
      <c r="A120" s="84" t="str">
        <f t="shared" si="4"/>
        <v>OutubroSEMANA 1Óleo de Soja 18 Lt</v>
      </c>
      <c r="B120" s="85" t="s">
        <v>37</v>
      </c>
      <c r="C120" s="85" t="s">
        <v>20</v>
      </c>
      <c r="D120" s="86">
        <v>4</v>
      </c>
      <c r="E120" s="116" t="str">
        <f t="shared" si="5"/>
        <v>Mercado</v>
      </c>
      <c r="F120" s="90" t="s">
        <v>1080</v>
      </c>
      <c r="G120" s="85" t="s">
        <v>545</v>
      </c>
      <c r="H120" s="85" t="s">
        <v>1082</v>
      </c>
      <c r="I120" s="85">
        <v>5</v>
      </c>
      <c r="J120" s="87">
        <v>61.98</v>
      </c>
      <c r="K120" s="88">
        <f t="shared" si="6"/>
        <v>309.89999999999998</v>
      </c>
      <c r="L120" s="85" t="s">
        <v>1083</v>
      </c>
      <c r="M120" s="118" t="s">
        <v>162</v>
      </c>
      <c r="N120" s="96"/>
      <c r="O120" s="96" t="s">
        <v>45</v>
      </c>
      <c r="R120"/>
    </row>
    <row r="121" spans="1:18" x14ac:dyDescent="0.25">
      <c r="A121" s="84" t="str">
        <f t="shared" si="4"/>
        <v>OutubroSEMANA 1Feijão Branco</v>
      </c>
      <c r="B121" s="85" t="s">
        <v>37</v>
      </c>
      <c r="C121" s="85" t="s">
        <v>20</v>
      </c>
      <c r="D121" s="86">
        <v>4</v>
      </c>
      <c r="E121" s="116" t="str">
        <f t="shared" si="5"/>
        <v>Mercado</v>
      </c>
      <c r="F121" s="90" t="s">
        <v>1080</v>
      </c>
      <c r="G121" s="85" t="s">
        <v>348</v>
      </c>
      <c r="H121" s="85" t="s">
        <v>1039</v>
      </c>
      <c r="I121" s="85">
        <f>10*0.5</f>
        <v>5</v>
      </c>
      <c r="J121" s="87">
        <f>36.5/5</f>
        <v>7.3</v>
      </c>
      <c r="K121" s="88">
        <f t="shared" si="6"/>
        <v>36.5</v>
      </c>
      <c r="L121" s="85" t="s">
        <v>1083</v>
      </c>
      <c r="M121" s="118" t="s">
        <v>161</v>
      </c>
      <c r="N121" s="96"/>
      <c r="O121" s="96" t="s">
        <v>45</v>
      </c>
      <c r="R121"/>
    </row>
    <row r="122" spans="1:18" x14ac:dyDescent="0.25">
      <c r="A122" s="84" t="str">
        <f t="shared" si="4"/>
        <v>OutubroSEMANA 1Fermento em Pó Royal 250 g</v>
      </c>
      <c r="B122" s="85" t="s">
        <v>37</v>
      </c>
      <c r="C122" s="85" t="s">
        <v>20</v>
      </c>
      <c r="D122" s="86">
        <v>4</v>
      </c>
      <c r="E122" s="116" t="str">
        <f t="shared" si="5"/>
        <v>Mercado</v>
      </c>
      <c r="F122" s="90" t="s">
        <v>1080</v>
      </c>
      <c r="G122" s="85" t="s">
        <v>354</v>
      </c>
      <c r="H122" s="85" t="s">
        <v>1038</v>
      </c>
      <c r="I122" s="85">
        <v>6</v>
      </c>
      <c r="J122" s="87">
        <v>6.9</v>
      </c>
      <c r="K122" s="88">
        <f t="shared" si="6"/>
        <v>41.400000000000006</v>
      </c>
      <c r="L122" s="85" t="s">
        <v>1083</v>
      </c>
      <c r="M122" s="118" t="s">
        <v>163</v>
      </c>
      <c r="N122" s="96"/>
      <c r="O122" s="96" t="s">
        <v>45</v>
      </c>
      <c r="R122"/>
    </row>
    <row r="123" spans="1:18" x14ac:dyDescent="0.25">
      <c r="A123" s="84" t="str">
        <f t="shared" si="4"/>
        <v>OutubroSEMANA 1Macarrão Espaghetti Nissim</v>
      </c>
      <c r="B123" s="85" t="s">
        <v>37</v>
      </c>
      <c r="C123" s="85" t="s">
        <v>20</v>
      </c>
      <c r="D123" s="86">
        <v>4</v>
      </c>
      <c r="E123" s="116" t="str">
        <f t="shared" si="5"/>
        <v>Mercado</v>
      </c>
      <c r="F123" s="90" t="s">
        <v>1080</v>
      </c>
      <c r="G123" s="85" t="s">
        <v>483</v>
      </c>
      <c r="H123" s="85" t="s">
        <v>1039</v>
      </c>
      <c r="I123" s="85">
        <f>3*0.5</f>
        <v>1.5</v>
      </c>
      <c r="J123" s="87">
        <f>15.36/1.5</f>
        <v>10.24</v>
      </c>
      <c r="K123" s="88">
        <f t="shared" si="6"/>
        <v>15.36</v>
      </c>
      <c r="L123" s="85" t="s">
        <v>1083</v>
      </c>
      <c r="M123" s="118" t="s">
        <v>897</v>
      </c>
      <c r="N123" s="96"/>
      <c r="O123" s="96" t="s">
        <v>875</v>
      </c>
      <c r="R123"/>
    </row>
    <row r="124" spans="1:18" x14ac:dyDescent="0.25">
      <c r="A124" s="84" t="str">
        <f t="shared" si="4"/>
        <v>OutubroSEMANA 1Trigo para Kibe</v>
      </c>
      <c r="B124" s="85" t="s">
        <v>37</v>
      </c>
      <c r="C124" s="85" t="s">
        <v>20</v>
      </c>
      <c r="D124" s="86">
        <v>4</v>
      </c>
      <c r="E124" s="116" t="str">
        <f t="shared" si="5"/>
        <v>Mercado</v>
      </c>
      <c r="F124" s="90" t="s">
        <v>1080</v>
      </c>
      <c r="G124" s="85" t="s">
        <v>826</v>
      </c>
      <c r="H124" s="85" t="s">
        <v>1039</v>
      </c>
      <c r="I124" s="85">
        <v>5</v>
      </c>
      <c r="J124" s="87">
        <f>16.95/5</f>
        <v>3.3899999999999997</v>
      </c>
      <c r="K124" s="88">
        <f t="shared" si="6"/>
        <v>16.95</v>
      </c>
      <c r="L124" s="85" t="s">
        <v>1083</v>
      </c>
      <c r="M124" s="118" t="s">
        <v>164</v>
      </c>
      <c r="N124" s="96"/>
      <c r="O124" s="96" t="s">
        <v>45</v>
      </c>
      <c r="R124"/>
    </row>
    <row r="125" spans="1:18" x14ac:dyDescent="0.25">
      <c r="A125" s="84" t="str">
        <f t="shared" si="4"/>
        <v>OutubroSEMANA 1Feijão Preto</v>
      </c>
      <c r="B125" s="85" t="s">
        <v>37</v>
      </c>
      <c r="C125" s="85" t="s">
        <v>20</v>
      </c>
      <c r="D125" s="86">
        <v>4</v>
      </c>
      <c r="E125" s="116" t="str">
        <f t="shared" si="5"/>
        <v>Mercado</v>
      </c>
      <c r="F125" s="90" t="s">
        <v>1084</v>
      </c>
      <c r="G125" s="85" t="s">
        <v>352</v>
      </c>
      <c r="H125" s="85" t="s">
        <v>1039</v>
      </c>
      <c r="I125" s="85">
        <v>30</v>
      </c>
      <c r="J125" s="87">
        <f>135.18/30</f>
        <v>4.5060000000000002</v>
      </c>
      <c r="K125" s="88">
        <f t="shared" si="6"/>
        <v>135.18</v>
      </c>
      <c r="L125" s="85">
        <v>1189977</v>
      </c>
      <c r="M125" s="118" t="s">
        <v>165</v>
      </c>
      <c r="N125" s="96"/>
      <c r="O125" s="96" t="s">
        <v>873</v>
      </c>
      <c r="R125"/>
    </row>
    <row r="126" spans="1:18" x14ac:dyDescent="0.25">
      <c r="A126" s="84" t="str">
        <f t="shared" si="4"/>
        <v>OutubroSEMANA 1Farinha de Mandioca</v>
      </c>
      <c r="B126" s="85" t="s">
        <v>37</v>
      </c>
      <c r="C126" s="85" t="s">
        <v>20</v>
      </c>
      <c r="D126" s="86">
        <v>4</v>
      </c>
      <c r="E126" s="116" t="str">
        <f t="shared" si="5"/>
        <v>Mercado</v>
      </c>
      <c r="F126" s="90" t="s">
        <v>1084</v>
      </c>
      <c r="G126" s="85" t="s">
        <v>341</v>
      </c>
      <c r="H126" s="85" t="s">
        <v>1039</v>
      </c>
      <c r="I126" s="85">
        <v>20</v>
      </c>
      <c r="J126" s="87">
        <f>82.61/20</f>
        <v>4.1304999999999996</v>
      </c>
      <c r="K126" s="88">
        <f t="shared" si="6"/>
        <v>82.609999999999985</v>
      </c>
      <c r="L126" s="85">
        <v>1189977</v>
      </c>
      <c r="M126" s="118" t="s">
        <v>166</v>
      </c>
      <c r="N126" s="96"/>
      <c r="O126" s="96" t="s">
        <v>873</v>
      </c>
      <c r="R126"/>
    </row>
    <row r="127" spans="1:18" x14ac:dyDescent="0.25">
      <c r="A127" s="84" t="str">
        <f t="shared" si="4"/>
        <v>OutubroSEMANA 1Sal Refinado</v>
      </c>
      <c r="B127" s="85" t="s">
        <v>37</v>
      </c>
      <c r="C127" s="85" t="s">
        <v>20</v>
      </c>
      <c r="D127" s="86">
        <v>4</v>
      </c>
      <c r="E127" s="116" t="str">
        <f t="shared" si="5"/>
        <v>Mercado</v>
      </c>
      <c r="F127" s="90" t="s">
        <v>1084</v>
      </c>
      <c r="G127" s="85" t="s">
        <v>725</v>
      </c>
      <c r="H127" s="85" t="s">
        <v>1039</v>
      </c>
      <c r="I127" s="85">
        <v>9</v>
      </c>
      <c r="J127" s="87">
        <f>8/10</f>
        <v>0.8</v>
      </c>
      <c r="K127" s="88">
        <f t="shared" si="6"/>
        <v>7.2</v>
      </c>
      <c r="L127" s="85">
        <v>1189977</v>
      </c>
      <c r="M127" s="118" t="s">
        <v>167</v>
      </c>
      <c r="N127" s="96"/>
      <c r="O127" s="96" t="s">
        <v>873</v>
      </c>
      <c r="R127"/>
    </row>
    <row r="128" spans="1:18" x14ac:dyDescent="0.25">
      <c r="A128" s="84" t="str">
        <f t="shared" si="4"/>
        <v>OutubroSEMANA 1Nescau (Nestle)</v>
      </c>
      <c r="B128" s="85" t="s">
        <v>37</v>
      </c>
      <c r="C128" s="85" t="s">
        <v>20</v>
      </c>
      <c r="D128" s="86">
        <v>4</v>
      </c>
      <c r="E128" s="116" t="str">
        <f t="shared" si="5"/>
        <v>Mercado</v>
      </c>
      <c r="F128" s="90" t="s">
        <v>1084</v>
      </c>
      <c r="G128" s="85" t="s">
        <v>538</v>
      </c>
      <c r="H128" s="85" t="s">
        <v>1039</v>
      </c>
      <c r="I128" s="85">
        <v>2</v>
      </c>
      <c r="J128" s="87">
        <f>35.24/2</f>
        <v>17.62</v>
      </c>
      <c r="K128" s="88">
        <f t="shared" si="6"/>
        <v>35.24</v>
      </c>
      <c r="L128" s="85">
        <v>1189977</v>
      </c>
      <c r="M128" s="118" t="s">
        <v>1301</v>
      </c>
      <c r="O128" s="84" t="s">
        <v>42</v>
      </c>
      <c r="R128"/>
    </row>
    <row r="129" spans="1:18" x14ac:dyDescent="0.25">
      <c r="A129" s="84" t="str">
        <f t="shared" si="4"/>
        <v>OutubroSEMANA 1Vinagre Aceto Balsamico</v>
      </c>
      <c r="B129" s="85" t="s">
        <v>37</v>
      </c>
      <c r="C129" s="85" t="s">
        <v>20</v>
      </c>
      <c r="D129" s="86">
        <v>4</v>
      </c>
      <c r="E129" s="116" t="str">
        <f t="shared" si="5"/>
        <v>Mercado</v>
      </c>
      <c r="F129" s="90" t="s">
        <v>1085</v>
      </c>
      <c r="G129" s="85" t="s">
        <v>838</v>
      </c>
      <c r="H129" s="85" t="s">
        <v>1038</v>
      </c>
      <c r="I129" s="85">
        <v>2</v>
      </c>
      <c r="J129" s="87">
        <v>9.02</v>
      </c>
      <c r="K129" s="88">
        <f t="shared" si="6"/>
        <v>18.04</v>
      </c>
      <c r="L129" s="85" t="s">
        <v>1086</v>
      </c>
      <c r="M129" s="118" t="s">
        <v>168</v>
      </c>
      <c r="N129" s="96"/>
      <c r="O129" s="96" t="s">
        <v>42</v>
      </c>
      <c r="R129"/>
    </row>
    <row r="130" spans="1:18" x14ac:dyDescent="0.25">
      <c r="A130" s="84" t="str">
        <f t="shared" ref="A130:A193" si="7">CONCATENATE(B130,C130,G130)</f>
        <v>OutubroSEMANA 1Café Moído 1 Kg</v>
      </c>
      <c r="B130" s="85" t="s">
        <v>37</v>
      </c>
      <c r="C130" s="85" t="s">
        <v>20</v>
      </c>
      <c r="D130" s="86">
        <v>4</v>
      </c>
      <c r="E130" s="116" t="str">
        <f t="shared" ref="E130:E193" si="8">VLOOKUP(G130,$M$1:$O$968,3,0)</f>
        <v>Mercado</v>
      </c>
      <c r="F130" s="90" t="s">
        <v>1085</v>
      </c>
      <c r="G130" s="85" t="s">
        <v>198</v>
      </c>
      <c r="H130" s="85" t="s">
        <v>1039</v>
      </c>
      <c r="I130" s="85">
        <f>10*0.5</f>
        <v>5</v>
      </c>
      <c r="J130" s="87">
        <f>80.6/5</f>
        <v>16.119999999999997</v>
      </c>
      <c r="K130" s="88">
        <f t="shared" ref="K130:K193" si="9">I130*J130</f>
        <v>80.599999999999994</v>
      </c>
      <c r="L130" s="85" t="s">
        <v>1086</v>
      </c>
      <c r="M130" s="118" t="s">
        <v>169</v>
      </c>
      <c r="N130" s="96"/>
      <c r="O130" s="96" t="s">
        <v>45</v>
      </c>
      <c r="R130"/>
    </row>
    <row r="131" spans="1:18" x14ac:dyDescent="0.25">
      <c r="A131" s="84" t="str">
        <f t="shared" si="7"/>
        <v>OutubroSEMANA 1Vinagre de Arroz Sushi</v>
      </c>
      <c r="B131" s="85" t="s">
        <v>37</v>
      </c>
      <c r="C131" s="85" t="s">
        <v>20</v>
      </c>
      <c r="D131" s="86">
        <v>4</v>
      </c>
      <c r="E131" s="116" t="str">
        <f t="shared" si="8"/>
        <v>Sushi</v>
      </c>
      <c r="F131" s="90" t="s">
        <v>1085</v>
      </c>
      <c r="G131" s="85" t="s">
        <v>840</v>
      </c>
      <c r="H131" s="85" t="s">
        <v>1081</v>
      </c>
      <c r="I131" s="85">
        <f>(12*0.75)-5.25</f>
        <v>3.75</v>
      </c>
      <c r="J131" s="87">
        <f>47.52/9</f>
        <v>5.28</v>
      </c>
      <c r="K131" s="88">
        <f t="shared" si="9"/>
        <v>19.8</v>
      </c>
      <c r="L131" s="85" t="s">
        <v>1086</v>
      </c>
      <c r="M131" s="118" t="s">
        <v>903</v>
      </c>
      <c r="N131" s="96"/>
      <c r="O131" s="96" t="s">
        <v>45</v>
      </c>
      <c r="R131"/>
    </row>
    <row r="132" spans="1:18" x14ac:dyDescent="0.25">
      <c r="A132" s="84" t="str">
        <f t="shared" si="7"/>
        <v>OutubroSEMANA 1Maionese Hellmanns Bd 3 Kg</v>
      </c>
      <c r="B132" s="85" t="s">
        <v>37</v>
      </c>
      <c r="C132" s="85" t="s">
        <v>20</v>
      </c>
      <c r="D132" s="86">
        <v>4</v>
      </c>
      <c r="E132" s="116" t="str">
        <f t="shared" si="8"/>
        <v>Mercado</v>
      </c>
      <c r="F132" s="90" t="s">
        <v>1085</v>
      </c>
      <c r="G132" s="85" t="s">
        <v>492</v>
      </c>
      <c r="H132" s="85" t="s">
        <v>1046</v>
      </c>
      <c r="I132" s="85">
        <v>6</v>
      </c>
      <c r="J132" s="87">
        <v>21.52</v>
      </c>
      <c r="K132" s="88">
        <f t="shared" si="9"/>
        <v>129.12</v>
      </c>
      <c r="L132" s="85" t="s">
        <v>1088</v>
      </c>
      <c r="M132" s="118" t="s">
        <v>170</v>
      </c>
      <c r="N132" s="96"/>
      <c r="O132" s="96" t="s">
        <v>45</v>
      </c>
      <c r="R132"/>
    </row>
    <row r="133" spans="1:18" x14ac:dyDescent="0.25">
      <c r="A133" s="84" t="str">
        <f t="shared" si="7"/>
        <v>OutubroSEMANA 1Margarina Bd 15 Kg</v>
      </c>
      <c r="B133" s="85" t="s">
        <v>37</v>
      </c>
      <c r="C133" s="85" t="s">
        <v>20</v>
      </c>
      <c r="D133" s="86">
        <v>4</v>
      </c>
      <c r="E133" s="116" t="str">
        <f t="shared" si="8"/>
        <v>Mercado</v>
      </c>
      <c r="F133" s="90" t="s">
        <v>1085</v>
      </c>
      <c r="G133" s="85" t="s">
        <v>505</v>
      </c>
      <c r="H133" s="85" t="s">
        <v>1046</v>
      </c>
      <c r="I133" s="85">
        <v>1</v>
      </c>
      <c r="J133" s="87">
        <v>74.349999999999994</v>
      </c>
      <c r="K133" s="88">
        <f t="shared" si="9"/>
        <v>74.349999999999994</v>
      </c>
      <c r="L133" s="85" t="s">
        <v>1088</v>
      </c>
      <c r="M133" s="118" t="s">
        <v>1013</v>
      </c>
      <c r="O133" s="84" t="s">
        <v>875</v>
      </c>
      <c r="R133"/>
    </row>
    <row r="134" spans="1:18" x14ac:dyDescent="0.25">
      <c r="A134" s="84" t="str">
        <f t="shared" si="7"/>
        <v>OutubroSEMANA 1Shoyu Light Bb 5 Lt</v>
      </c>
      <c r="B134" s="85" t="s">
        <v>37</v>
      </c>
      <c r="C134" s="85" t="s">
        <v>20</v>
      </c>
      <c r="D134" s="86">
        <v>4</v>
      </c>
      <c r="E134" s="116" t="str">
        <f t="shared" si="8"/>
        <v>Mercado</v>
      </c>
      <c r="F134" s="90" t="s">
        <v>1085</v>
      </c>
      <c r="G134" s="85" t="s">
        <v>742</v>
      </c>
      <c r="H134" s="85" t="s">
        <v>1087</v>
      </c>
      <c r="I134" s="85">
        <v>1</v>
      </c>
      <c r="J134" s="87">
        <v>59.88</v>
      </c>
      <c r="K134" s="88">
        <f t="shared" si="9"/>
        <v>59.88</v>
      </c>
      <c r="L134" s="85" t="s">
        <v>1088</v>
      </c>
      <c r="M134" s="118" t="s">
        <v>171</v>
      </c>
      <c r="N134" s="96"/>
      <c r="O134" s="96" t="s">
        <v>45</v>
      </c>
      <c r="R134"/>
    </row>
    <row r="135" spans="1:18" x14ac:dyDescent="0.25">
      <c r="A135" s="84" t="str">
        <f t="shared" si="7"/>
        <v>OutubroSEMANA 1Shoyu Tradicional (Sushi) Bb 5 Lt</v>
      </c>
      <c r="B135" s="85" t="s">
        <v>37</v>
      </c>
      <c r="C135" s="85" t="s">
        <v>20</v>
      </c>
      <c r="D135" s="86">
        <v>4</v>
      </c>
      <c r="E135" s="116" t="str">
        <f t="shared" si="8"/>
        <v>Sushi</v>
      </c>
      <c r="F135" s="90" t="s">
        <v>1085</v>
      </c>
      <c r="G135" s="85" t="s">
        <v>886</v>
      </c>
      <c r="H135" s="85" t="s">
        <v>1087</v>
      </c>
      <c r="I135" s="85">
        <v>1</v>
      </c>
      <c r="J135" s="87">
        <v>47.25</v>
      </c>
      <c r="K135" s="88">
        <f t="shared" si="9"/>
        <v>47.25</v>
      </c>
      <c r="L135" s="85" t="s">
        <v>1088</v>
      </c>
      <c r="M135" s="118" t="s">
        <v>172</v>
      </c>
      <c r="N135" s="96"/>
      <c r="O135" s="96" t="s">
        <v>45</v>
      </c>
      <c r="R135"/>
    </row>
    <row r="136" spans="1:18" x14ac:dyDescent="0.25">
      <c r="A136" s="84" t="str">
        <f t="shared" si="7"/>
        <v>OutubroSEMANA 1Tonkatsu Bb 5 Lt</v>
      </c>
      <c r="B136" s="85" t="s">
        <v>37</v>
      </c>
      <c r="C136" s="85" t="s">
        <v>20</v>
      </c>
      <c r="D136" s="86">
        <v>4</v>
      </c>
      <c r="E136" s="116" t="str">
        <f t="shared" si="8"/>
        <v>Mercado</v>
      </c>
      <c r="F136" s="90" t="s">
        <v>1085</v>
      </c>
      <c r="G136" s="85" t="s">
        <v>991</v>
      </c>
      <c r="H136" s="85" t="s">
        <v>1087</v>
      </c>
      <c r="I136" s="85">
        <v>1</v>
      </c>
      <c r="J136" s="87">
        <v>62.54</v>
      </c>
      <c r="K136" s="88">
        <f t="shared" si="9"/>
        <v>62.54</v>
      </c>
      <c r="L136" s="85" t="s">
        <v>1088</v>
      </c>
      <c r="M136" s="118" t="s">
        <v>173</v>
      </c>
      <c r="N136" s="96"/>
      <c r="O136" s="96" t="s">
        <v>42</v>
      </c>
      <c r="R136"/>
    </row>
    <row r="137" spans="1:18" x14ac:dyDescent="0.25">
      <c r="A137" s="84" t="str">
        <f t="shared" si="7"/>
        <v>OutubroSEMANA 1Mostarda Bb 3,3, Kg</v>
      </c>
      <c r="B137" s="85" t="s">
        <v>37</v>
      </c>
      <c r="C137" s="85" t="s">
        <v>20</v>
      </c>
      <c r="D137" s="86">
        <v>4</v>
      </c>
      <c r="E137" s="116" t="str">
        <f t="shared" si="8"/>
        <v>Mercado</v>
      </c>
      <c r="F137" s="90" t="s">
        <v>1085</v>
      </c>
      <c r="G137" s="85" t="s">
        <v>532</v>
      </c>
      <c r="H137" s="85" t="s">
        <v>1087</v>
      </c>
      <c r="I137" s="85">
        <v>1</v>
      </c>
      <c r="J137" s="87">
        <v>11.16</v>
      </c>
      <c r="K137" s="88">
        <f t="shared" si="9"/>
        <v>11.16</v>
      </c>
      <c r="L137" s="85" t="s">
        <v>1088</v>
      </c>
      <c r="M137" s="118" t="s">
        <v>174</v>
      </c>
      <c r="N137" s="96"/>
      <c r="O137" s="96" t="s">
        <v>42</v>
      </c>
      <c r="R137"/>
    </row>
    <row r="138" spans="1:18" x14ac:dyDescent="0.25">
      <c r="A138" s="84" t="str">
        <f t="shared" si="7"/>
        <v>OutubroSEMANA 1Açucar Refinado</v>
      </c>
      <c r="B138" s="85" t="s">
        <v>37</v>
      </c>
      <c r="C138" s="85" t="s">
        <v>20</v>
      </c>
      <c r="D138" s="86">
        <v>4</v>
      </c>
      <c r="E138" s="116" t="str">
        <f t="shared" si="8"/>
        <v>Mercado</v>
      </c>
      <c r="F138" s="90" t="s">
        <v>1089</v>
      </c>
      <c r="G138" s="85" t="s">
        <v>79</v>
      </c>
      <c r="H138" s="85" t="s">
        <v>1039</v>
      </c>
      <c r="I138" s="85">
        <v>30</v>
      </c>
      <c r="J138" s="87">
        <v>2.234</v>
      </c>
      <c r="K138" s="88">
        <f t="shared" si="9"/>
        <v>67.02</v>
      </c>
      <c r="L138" s="85">
        <v>953632</v>
      </c>
      <c r="M138" s="118" t="s">
        <v>904</v>
      </c>
      <c r="O138" s="115" t="s">
        <v>42</v>
      </c>
      <c r="R138"/>
    </row>
    <row r="139" spans="1:18" x14ac:dyDescent="0.25">
      <c r="A139" s="84" t="str">
        <f t="shared" si="7"/>
        <v>OutubroSEMANA 1Arroz Branco</v>
      </c>
      <c r="B139" s="85" t="s">
        <v>37</v>
      </c>
      <c r="C139" s="85" t="s">
        <v>20</v>
      </c>
      <c r="D139" s="86">
        <v>4</v>
      </c>
      <c r="E139" s="116" t="str">
        <f t="shared" si="8"/>
        <v>Mercado</v>
      </c>
      <c r="F139" s="90" t="s">
        <v>1089</v>
      </c>
      <c r="G139" s="85" t="s">
        <v>126</v>
      </c>
      <c r="H139" s="85" t="s">
        <v>1039</v>
      </c>
      <c r="I139" s="85">
        <v>30</v>
      </c>
      <c r="J139" s="87">
        <f>98.76/30</f>
        <v>3.2920000000000003</v>
      </c>
      <c r="K139" s="88">
        <f t="shared" si="9"/>
        <v>98.76</v>
      </c>
      <c r="L139" s="85">
        <v>953632</v>
      </c>
      <c r="M139" s="118" t="s">
        <v>175</v>
      </c>
      <c r="N139" s="96"/>
      <c r="O139" s="96" t="s">
        <v>42</v>
      </c>
      <c r="R139"/>
    </row>
    <row r="140" spans="1:18" x14ac:dyDescent="0.25">
      <c r="A140" s="84" t="str">
        <f t="shared" si="7"/>
        <v>OutubroSEMANA 1Feijão Mulatinho</v>
      </c>
      <c r="B140" s="85" t="s">
        <v>37</v>
      </c>
      <c r="C140" s="85" t="s">
        <v>20</v>
      </c>
      <c r="D140" s="86">
        <v>4</v>
      </c>
      <c r="E140" s="116" t="str">
        <f t="shared" si="8"/>
        <v>Mercado</v>
      </c>
      <c r="F140" s="90" t="s">
        <v>1089</v>
      </c>
      <c r="G140" s="85" t="s">
        <v>351</v>
      </c>
      <c r="H140" s="85" t="s">
        <v>1039</v>
      </c>
      <c r="I140" s="85">
        <f>20*0.5</f>
        <v>10</v>
      </c>
      <c r="J140" s="87">
        <v>11.46</v>
      </c>
      <c r="K140" s="88">
        <f t="shared" si="9"/>
        <v>114.60000000000001</v>
      </c>
      <c r="L140" s="85">
        <v>953632</v>
      </c>
      <c r="M140" s="118" t="s">
        <v>176</v>
      </c>
      <c r="N140" s="96"/>
      <c r="O140" s="96" t="s">
        <v>42</v>
      </c>
      <c r="R140"/>
    </row>
    <row r="141" spans="1:18" x14ac:dyDescent="0.25">
      <c r="A141" s="84" t="str">
        <f t="shared" si="7"/>
        <v>OutubroSEMANA 1Farinha de Trigo</v>
      </c>
      <c r="B141" s="85" t="s">
        <v>37</v>
      </c>
      <c r="C141" s="85" t="s">
        <v>20</v>
      </c>
      <c r="D141" s="86">
        <v>4</v>
      </c>
      <c r="E141" s="116" t="str">
        <f t="shared" si="8"/>
        <v>Mercado</v>
      </c>
      <c r="F141" s="90" t="s">
        <v>1089</v>
      </c>
      <c r="G141" s="85" t="s">
        <v>343</v>
      </c>
      <c r="H141" s="85" t="s">
        <v>1039</v>
      </c>
      <c r="I141" s="85">
        <f>20-1</f>
        <v>19</v>
      </c>
      <c r="J141" s="87">
        <v>1.6220000000000001</v>
      </c>
      <c r="K141" s="88">
        <f t="shared" si="9"/>
        <v>30.818000000000001</v>
      </c>
      <c r="L141" s="85">
        <v>953632</v>
      </c>
      <c r="M141" s="118" t="s">
        <v>177</v>
      </c>
      <c r="N141" s="96"/>
      <c r="O141" s="96" t="s">
        <v>45</v>
      </c>
      <c r="R141"/>
    </row>
    <row r="142" spans="1:18" x14ac:dyDescent="0.25">
      <c r="A142" s="84" t="str">
        <f t="shared" si="7"/>
        <v>OutubroSEMANA 1Karo Mel</v>
      </c>
      <c r="B142" s="85" t="s">
        <v>37</v>
      </c>
      <c r="C142" s="85" t="s">
        <v>20</v>
      </c>
      <c r="D142" s="86">
        <v>4</v>
      </c>
      <c r="E142" s="116" t="str">
        <f t="shared" si="8"/>
        <v>Mercado</v>
      </c>
      <c r="F142" s="90" t="s">
        <v>1089</v>
      </c>
      <c r="G142" s="85" t="s">
        <v>453</v>
      </c>
      <c r="H142" s="85" t="s">
        <v>1038</v>
      </c>
      <c r="I142" s="85">
        <v>12</v>
      </c>
      <c r="J142" s="87">
        <f>77.2/12</f>
        <v>6.4333333333333336</v>
      </c>
      <c r="K142" s="88">
        <f t="shared" si="9"/>
        <v>77.2</v>
      </c>
      <c r="L142" s="85">
        <v>953632</v>
      </c>
      <c r="M142" s="118" t="s">
        <v>178</v>
      </c>
      <c r="N142" s="96"/>
      <c r="O142" s="96" t="s">
        <v>45</v>
      </c>
      <c r="R142"/>
    </row>
    <row r="143" spans="1:18" x14ac:dyDescent="0.25">
      <c r="A143" s="84" t="str">
        <f t="shared" si="7"/>
        <v>OutubroSEMANA 1Grão de Bico</v>
      </c>
      <c r="B143" s="85" t="s">
        <v>37</v>
      </c>
      <c r="C143" s="85" t="s">
        <v>20</v>
      </c>
      <c r="D143" s="86">
        <v>4</v>
      </c>
      <c r="E143" s="116" t="str">
        <f t="shared" si="8"/>
        <v>Mercado</v>
      </c>
      <c r="F143" s="90" t="s">
        <v>1089</v>
      </c>
      <c r="G143" s="85" t="s">
        <v>396</v>
      </c>
      <c r="H143" s="85" t="s">
        <v>1039</v>
      </c>
      <c r="I143" s="85">
        <f>20*0.5</f>
        <v>10</v>
      </c>
      <c r="J143" s="87">
        <f>148.4/10</f>
        <v>14.84</v>
      </c>
      <c r="K143" s="88">
        <f t="shared" si="9"/>
        <v>148.4</v>
      </c>
      <c r="L143" s="85">
        <v>953632</v>
      </c>
      <c r="M143" s="118" t="s">
        <v>882</v>
      </c>
      <c r="O143" s="115" t="s">
        <v>875</v>
      </c>
      <c r="R143"/>
    </row>
    <row r="144" spans="1:18" x14ac:dyDescent="0.25">
      <c r="A144" s="84" t="str">
        <f t="shared" si="7"/>
        <v>OutubroSEMANA 1Batata Baroa</v>
      </c>
      <c r="B144" s="85" t="s">
        <v>37</v>
      </c>
      <c r="C144" s="85" t="s">
        <v>20</v>
      </c>
      <c r="D144" s="86">
        <v>4</v>
      </c>
      <c r="E144" s="116" t="str">
        <f t="shared" si="8"/>
        <v>Hortifruti</v>
      </c>
      <c r="F144" s="90" t="s">
        <v>1055</v>
      </c>
      <c r="G144" s="85" t="s">
        <v>169</v>
      </c>
      <c r="H144" s="85" t="s">
        <v>1039</v>
      </c>
      <c r="I144" s="85">
        <v>2</v>
      </c>
      <c r="J144" s="87">
        <v>4.4000000000000004</v>
      </c>
      <c r="K144" s="88">
        <f t="shared" si="9"/>
        <v>8.8000000000000007</v>
      </c>
      <c r="L144" s="85">
        <v>3812</v>
      </c>
      <c r="M144" s="118" t="s">
        <v>179</v>
      </c>
      <c r="N144" s="96"/>
      <c r="O144" s="96" t="s">
        <v>45</v>
      </c>
      <c r="R144"/>
    </row>
    <row r="145" spans="1:18" x14ac:dyDescent="0.25">
      <c r="A145" s="84" t="str">
        <f t="shared" si="7"/>
        <v>OutubroSEMANA 1Batata HBT</v>
      </c>
      <c r="B145" s="85" t="s">
        <v>37</v>
      </c>
      <c r="C145" s="85" t="s">
        <v>20</v>
      </c>
      <c r="D145" s="86">
        <v>4</v>
      </c>
      <c r="E145" s="116" t="str">
        <f t="shared" si="8"/>
        <v>Hortifruti</v>
      </c>
      <c r="F145" s="90" t="s">
        <v>1055</v>
      </c>
      <c r="G145" s="85" t="s">
        <v>171</v>
      </c>
      <c r="H145" s="85" t="s">
        <v>1039</v>
      </c>
      <c r="I145" s="85">
        <v>25</v>
      </c>
      <c r="J145" s="87">
        <v>1.4</v>
      </c>
      <c r="K145" s="88">
        <f t="shared" si="9"/>
        <v>35</v>
      </c>
      <c r="L145" s="85">
        <v>3812</v>
      </c>
      <c r="M145" s="118" t="s">
        <v>180</v>
      </c>
      <c r="N145" s="96"/>
      <c r="O145" s="96" t="s">
        <v>45</v>
      </c>
      <c r="R145"/>
    </row>
    <row r="146" spans="1:18" x14ac:dyDescent="0.25">
      <c r="A146" s="84" t="str">
        <f t="shared" si="7"/>
        <v>OutubroSEMANA 1Cebola</v>
      </c>
      <c r="B146" s="85" t="s">
        <v>37</v>
      </c>
      <c r="C146" s="85" t="s">
        <v>20</v>
      </c>
      <c r="D146" s="86">
        <v>4</v>
      </c>
      <c r="E146" s="116" t="str">
        <f t="shared" si="8"/>
        <v>Hortifruti</v>
      </c>
      <c r="F146" s="90" t="s">
        <v>1055</v>
      </c>
      <c r="G146" s="85" t="s">
        <v>241</v>
      </c>
      <c r="H146" s="85" t="s">
        <v>1039</v>
      </c>
      <c r="I146" s="85">
        <v>20.36</v>
      </c>
      <c r="J146" s="87">
        <f>25/20.36</f>
        <v>1.2278978388998036</v>
      </c>
      <c r="K146" s="88">
        <f t="shared" si="9"/>
        <v>25</v>
      </c>
      <c r="L146" s="85">
        <v>3812</v>
      </c>
      <c r="M146" s="118" t="s">
        <v>181</v>
      </c>
      <c r="N146" s="96"/>
      <c r="O146" s="96" t="s">
        <v>45</v>
      </c>
      <c r="R146"/>
    </row>
    <row r="147" spans="1:18" x14ac:dyDescent="0.25">
      <c r="A147" s="84" t="str">
        <f t="shared" si="7"/>
        <v>OutubroSEMANA 1Cebolinha Verde</v>
      </c>
      <c r="B147" s="85" t="s">
        <v>37</v>
      </c>
      <c r="C147" s="85" t="s">
        <v>20</v>
      </c>
      <c r="D147" s="86">
        <v>4</v>
      </c>
      <c r="E147" s="116" t="str">
        <f t="shared" si="8"/>
        <v>Hortifruti</v>
      </c>
      <c r="F147" s="90" t="s">
        <v>1055</v>
      </c>
      <c r="G147" s="85" t="s">
        <v>247</v>
      </c>
      <c r="H147" s="85" t="s">
        <v>1039</v>
      </c>
      <c r="I147" s="85">
        <v>1</v>
      </c>
      <c r="J147" s="87">
        <v>7.5</v>
      </c>
      <c r="K147" s="88">
        <f t="shared" si="9"/>
        <v>7.5</v>
      </c>
      <c r="L147" s="85">
        <v>3812</v>
      </c>
      <c r="M147" s="118" t="s">
        <v>182</v>
      </c>
      <c r="N147" s="96"/>
      <c r="O147" s="96" t="s">
        <v>45</v>
      </c>
      <c r="R147"/>
    </row>
    <row r="148" spans="1:18" x14ac:dyDescent="0.25">
      <c r="A148" s="84" t="str">
        <f t="shared" si="7"/>
        <v>OutubroSEMANA 1Côco Seco</v>
      </c>
      <c r="B148" s="85" t="s">
        <v>37</v>
      </c>
      <c r="C148" s="85" t="s">
        <v>20</v>
      </c>
      <c r="D148" s="86">
        <v>4</v>
      </c>
      <c r="E148" s="116" t="str">
        <f t="shared" si="8"/>
        <v>Mercado</v>
      </c>
      <c r="F148" s="90" t="s">
        <v>1055</v>
      </c>
      <c r="G148" s="85" t="s">
        <v>287</v>
      </c>
      <c r="H148" s="85" t="s">
        <v>1039</v>
      </c>
      <c r="I148" s="85">
        <v>2</v>
      </c>
      <c r="J148" s="87">
        <v>6.9</v>
      </c>
      <c r="K148" s="88">
        <f t="shared" si="9"/>
        <v>13.8</v>
      </c>
      <c r="L148" s="85">
        <v>3812</v>
      </c>
      <c r="M148" s="118" t="s">
        <v>893</v>
      </c>
      <c r="N148" s="96"/>
      <c r="O148" s="96" t="s">
        <v>875</v>
      </c>
      <c r="R148"/>
    </row>
    <row r="149" spans="1:18" x14ac:dyDescent="0.25">
      <c r="A149" s="84" t="str">
        <f t="shared" si="7"/>
        <v>OutubroSEMANA 1Côco Verde</v>
      </c>
      <c r="B149" s="85" t="s">
        <v>37</v>
      </c>
      <c r="C149" s="85" t="s">
        <v>20</v>
      </c>
      <c r="D149" s="86">
        <v>4</v>
      </c>
      <c r="E149" s="116" t="str">
        <f t="shared" si="8"/>
        <v>Hortifruti</v>
      </c>
      <c r="F149" s="90" t="s">
        <v>1055</v>
      </c>
      <c r="G149" s="85" t="s">
        <v>288</v>
      </c>
      <c r="H149" s="85" t="s">
        <v>1038</v>
      </c>
      <c r="I149" s="85">
        <v>10</v>
      </c>
      <c r="J149" s="87">
        <v>1.8</v>
      </c>
      <c r="K149" s="88">
        <f t="shared" si="9"/>
        <v>18</v>
      </c>
      <c r="L149" s="85">
        <v>3812</v>
      </c>
      <c r="M149" s="118" t="s">
        <v>183</v>
      </c>
      <c r="N149" s="96"/>
      <c r="O149" s="96" t="s">
        <v>42</v>
      </c>
      <c r="R149"/>
    </row>
    <row r="150" spans="1:18" x14ac:dyDescent="0.25">
      <c r="A150" s="84" t="str">
        <f t="shared" si="7"/>
        <v>OutubroSEMANA 1Couve Manteiga</v>
      </c>
      <c r="B150" s="85" t="s">
        <v>37</v>
      </c>
      <c r="C150" s="85" t="s">
        <v>20</v>
      </c>
      <c r="D150" s="86">
        <v>4</v>
      </c>
      <c r="E150" s="116" t="str">
        <f t="shared" si="8"/>
        <v>Hortifruti</v>
      </c>
      <c r="F150" s="90" t="s">
        <v>1055</v>
      </c>
      <c r="G150" s="85" t="s">
        <v>307</v>
      </c>
      <c r="H150" s="85" t="s">
        <v>1039</v>
      </c>
      <c r="I150" s="85">
        <v>5</v>
      </c>
      <c r="J150" s="87">
        <v>3</v>
      </c>
      <c r="K150" s="88">
        <f t="shared" si="9"/>
        <v>15</v>
      </c>
      <c r="L150" s="85">
        <v>3812</v>
      </c>
      <c r="M150" s="118" t="s">
        <v>184</v>
      </c>
      <c r="N150" s="96"/>
      <c r="O150" s="96" t="s">
        <v>872</v>
      </c>
      <c r="R150"/>
    </row>
    <row r="151" spans="1:18" x14ac:dyDescent="0.25">
      <c r="A151" s="84" t="str">
        <f t="shared" si="7"/>
        <v>OutubroSEMANA 1Laranja Pera</v>
      </c>
      <c r="B151" s="85" t="s">
        <v>37</v>
      </c>
      <c r="C151" s="85" t="s">
        <v>20</v>
      </c>
      <c r="D151" s="86">
        <v>4</v>
      </c>
      <c r="E151" s="116" t="str">
        <f t="shared" si="8"/>
        <v>Hortifruti</v>
      </c>
      <c r="F151" s="90" t="s">
        <v>1055</v>
      </c>
      <c r="G151" s="85" t="s">
        <v>457</v>
      </c>
      <c r="H151" s="85" t="s">
        <v>1039</v>
      </c>
      <c r="I151" s="85">
        <v>20.68</v>
      </c>
      <c r="J151" s="87">
        <f>27/20.68</f>
        <v>1.3056092843326885</v>
      </c>
      <c r="K151" s="88">
        <f t="shared" si="9"/>
        <v>27</v>
      </c>
      <c r="L151" s="85">
        <v>3812</v>
      </c>
      <c r="M151" s="118" t="s">
        <v>185</v>
      </c>
      <c r="N151" s="96"/>
      <c r="O151" s="96" t="s">
        <v>874</v>
      </c>
      <c r="R151"/>
    </row>
    <row r="152" spans="1:18" x14ac:dyDescent="0.25">
      <c r="A152" s="84" t="str">
        <f t="shared" si="7"/>
        <v>OutubroSEMANA 1Limão Siciliano</v>
      </c>
      <c r="B152" s="85" t="s">
        <v>37</v>
      </c>
      <c r="C152" s="85" t="s">
        <v>20</v>
      </c>
      <c r="D152" s="86">
        <v>4</v>
      </c>
      <c r="E152" s="116" t="str">
        <f t="shared" si="8"/>
        <v>Hortifruti</v>
      </c>
      <c r="F152" s="90" t="s">
        <v>1055</v>
      </c>
      <c r="G152" s="85" t="s">
        <v>466</v>
      </c>
      <c r="H152" s="85" t="s">
        <v>1039</v>
      </c>
      <c r="I152" s="85">
        <v>1</v>
      </c>
      <c r="J152" s="87">
        <v>6.66</v>
      </c>
      <c r="K152" s="88">
        <f t="shared" si="9"/>
        <v>6.66</v>
      </c>
      <c r="L152" s="85">
        <v>3812</v>
      </c>
      <c r="M152" s="118" t="s">
        <v>979</v>
      </c>
      <c r="O152" s="115" t="s">
        <v>874</v>
      </c>
      <c r="R152"/>
    </row>
    <row r="153" spans="1:18" x14ac:dyDescent="0.25">
      <c r="A153" s="84" t="str">
        <f t="shared" si="7"/>
        <v>OutubroSEMANA 1Maçã Nacional</v>
      </c>
      <c r="B153" s="85" t="s">
        <v>37</v>
      </c>
      <c r="C153" s="85" t="s">
        <v>20</v>
      </c>
      <c r="D153" s="86">
        <v>4</v>
      </c>
      <c r="E153" s="116" t="str">
        <f t="shared" si="8"/>
        <v>Hortifruti</v>
      </c>
      <c r="F153" s="90" t="s">
        <v>1055</v>
      </c>
      <c r="G153" s="85" t="s">
        <v>477</v>
      </c>
      <c r="H153" s="85" t="s">
        <v>1039</v>
      </c>
      <c r="I153" s="85">
        <v>17.48</v>
      </c>
      <c r="J153" s="87">
        <f>65/17.48</f>
        <v>3.7185354691075516</v>
      </c>
      <c r="K153" s="88">
        <f t="shared" si="9"/>
        <v>65</v>
      </c>
      <c r="L153" s="85">
        <v>3812</v>
      </c>
      <c r="M153" s="118" t="s">
        <v>186</v>
      </c>
      <c r="O153" s="115" t="s">
        <v>874</v>
      </c>
      <c r="R153"/>
    </row>
    <row r="154" spans="1:18" x14ac:dyDescent="0.25">
      <c r="A154" s="84" t="str">
        <f t="shared" si="7"/>
        <v>OutubroSEMANA 1Mamão Bahia</v>
      </c>
      <c r="B154" s="85" t="s">
        <v>37</v>
      </c>
      <c r="C154" s="85" t="s">
        <v>20</v>
      </c>
      <c r="D154" s="86">
        <v>4</v>
      </c>
      <c r="E154" s="116" t="str">
        <f t="shared" si="8"/>
        <v>Hortifruti</v>
      </c>
      <c r="F154" s="90" t="s">
        <v>1055</v>
      </c>
      <c r="G154" s="85" t="s">
        <v>494</v>
      </c>
      <c r="H154" s="85" t="s">
        <v>1039</v>
      </c>
      <c r="I154" s="85">
        <v>4</v>
      </c>
      <c r="J154" s="87">
        <v>3.26</v>
      </c>
      <c r="K154" s="88">
        <f t="shared" si="9"/>
        <v>13.04</v>
      </c>
      <c r="L154" s="85">
        <v>3812</v>
      </c>
      <c r="M154" s="118" t="s">
        <v>187</v>
      </c>
      <c r="O154" s="115" t="s">
        <v>873</v>
      </c>
      <c r="R154"/>
    </row>
    <row r="155" spans="1:18" x14ac:dyDescent="0.25">
      <c r="A155" s="84" t="str">
        <f t="shared" si="7"/>
        <v>OutubroSEMANA 1Manga Palmer</v>
      </c>
      <c r="B155" s="85" t="s">
        <v>37</v>
      </c>
      <c r="C155" s="85" t="s">
        <v>20</v>
      </c>
      <c r="D155" s="86">
        <v>4</v>
      </c>
      <c r="E155" s="116" t="str">
        <f t="shared" si="8"/>
        <v>Hortifruti</v>
      </c>
      <c r="F155" s="90" t="s">
        <v>1055</v>
      </c>
      <c r="G155" s="85" t="s">
        <v>496</v>
      </c>
      <c r="H155" s="85" t="s">
        <v>1039</v>
      </c>
      <c r="I155" s="85">
        <v>12</v>
      </c>
      <c r="J155" s="87">
        <f>48/12</f>
        <v>4</v>
      </c>
      <c r="K155" s="88">
        <f t="shared" si="9"/>
        <v>48</v>
      </c>
      <c r="L155" s="85">
        <v>3812</v>
      </c>
      <c r="M155" s="118" t="s">
        <v>188</v>
      </c>
      <c r="O155" s="115" t="s">
        <v>873</v>
      </c>
      <c r="R155"/>
    </row>
    <row r="156" spans="1:18" x14ac:dyDescent="0.25">
      <c r="A156" s="84" t="str">
        <f t="shared" si="7"/>
        <v>OutubroSEMANA 1Manga Tommy Sushi</v>
      </c>
      <c r="B156" s="85" t="s">
        <v>37</v>
      </c>
      <c r="C156" s="85" t="s">
        <v>20</v>
      </c>
      <c r="D156" s="86">
        <v>4</v>
      </c>
      <c r="E156" s="116" t="str">
        <f t="shared" si="8"/>
        <v>Sushi</v>
      </c>
      <c r="F156" s="90" t="s">
        <v>1055</v>
      </c>
      <c r="G156" s="85" t="s">
        <v>498</v>
      </c>
      <c r="H156" s="85" t="s">
        <v>1039</v>
      </c>
      <c r="I156" s="85">
        <v>1</v>
      </c>
      <c r="J156" s="87">
        <v>3.5</v>
      </c>
      <c r="K156" s="88">
        <f t="shared" si="9"/>
        <v>3.5</v>
      </c>
      <c r="L156" s="85">
        <v>3812</v>
      </c>
      <c r="M156" s="118" t="s">
        <v>189</v>
      </c>
      <c r="N156" s="96"/>
      <c r="O156" s="96" t="s">
        <v>873</v>
      </c>
      <c r="R156"/>
    </row>
    <row r="157" spans="1:18" x14ac:dyDescent="0.25">
      <c r="A157" s="84" t="str">
        <f t="shared" si="7"/>
        <v>OutubroSEMANA 1Melância</v>
      </c>
      <c r="B157" s="85" t="s">
        <v>37</v>
      </c>
      <c r="C157" s="85" t="s">
        <v>20</v>
      </c>
      <c r="D157" s="86">
        <v>4</v>
      </c>
      <c r="E157" s="116" t="str">
        <f t="shared" si="8"/>
        <v>Hortifruti</v>
      </c>
      <c r="F157" s="90" t="s">
        <v>1055</v>
      </c>
      <c r="G157" s="85" t="s">
        <v>517</v>
      </c>
      <c r="H157" s="85" t="s">
        <v>1039</v>
      </c>
      <c r="I157" s="85">
        <v>11</v>
      </c>
      <c r="J157" s="87">
        <v>1.64</v>
      </c>
      <c r="K157" s="88">
        <f t="shared" si="9"/>
        <v>18.04</v>
      </c>
      <c r="L157" s="85">
        <v>3812</v>
      </c>
      <c r="M157" s="118" t="s">
        <v>190</v>
      </c>
      <c r="N157" s="96"/>
      <c r="O157" s="96" t="s">
        <v>873</v>
      </c>
      <c r="R157"/>
    </row>
    <row r="158" spans="1:18" x14ac:dyDescent="0.25">
      <c r="A158" s="84" t="str">
        <f t="shared" si="7"/>
        <v>OutubroSEMANA 1Vagem Macarrão</v>
      </c>
      <c r="B158" s="85" t="s">
        <v>37</v>
      </c>
      <c r="C158" s="85" t="s">
        <v>20</v>
      </c>
      <c r="D158" s="86">
        <v>4</v>
      </c>
      <c r="E158" s="116" t="str">
        <f t="shared" si="8"/>
        <v>Hortifruti</v>
      </c>
      <c r="F158" s="90" t="s">
        <v>1055</v>
      </c>
      <c r="G158" s="85" t="s">
        <v>832</v>
      </c>
      <c r="H158" s="85" t="s">
        <v>1039</v>
      </c>
      <c r="I158" s="85">
        <v>4</v>
      </c>
      <c r="J158" s="87">
        <v>6</v>
      </c>
      <c r="K158" s="88">
        <f t="shared" si="9"/>
        <v>24</v>
      </c>
      <c r="L158" s="85">
        <v>3812</v>
      </c>
      <c r="M158" s="118" t="s">
        <v>980</v>
      </c>
      <c r="N158" s="96"/>
      <c r="O158" s="96" t="s">
        <v>874</v>
      </c>
      <c r="R158"/>
    </row>
    <row r="159" spans="1:18" x14ac:dyDescent="0.25">
      <c r="A159" s="84" t="str">
        <f t="shared" si="7"/>
        <v>OutubroSEMANA 1Batata Doce</v>
      </c>
      <c r="B159" s="85" t="s">
        <v>37</v>
      </c>
      <c r="C159" s="85" t="s">
        <v>20</v>
      </c>
      <c r="D159" s="86">
        <v>4</v>
      </c>
      <c r="E159" s="116" t="str">
        <f t="shared" si="8"/>
        <v>Hortifruti</v>
      </c>
      <c r="F159" s="90" t="s">
        <v>1054</v>
      </c>
      <c r="G159" s="85" t="s">
        <v>170</v>
      </c>
      <c r="H159" s="85" t="s">
        <v>1039</v>
      </c>
      <c r="I159" s="85">
        <v>17.52</v>
      </c>
      <c r="J159" s="87">
        <f>30/17.52</f>
        <v>1.7123287671232876</v>
      </c>
      <c r="K159" s="88">
        <f t="shared" si="9"/>
        <v>30</v>
      </c>
      <c r="L159" s="85">
        <v>1798</v>
      </c>
      <c r="M159" s="118" t="s">
        <v>996</v>
      </c>
      <c r="N159" s="96"/>
      <c r="O159" s="96" t="s">
        <v>875</v>
      </c>
      <c r="R159"/>
    </row>
    <row r="160" spans="1:18" x14ac:dyDescent="0.25">
      <c r="A160" s="84" t="str">
        <f t="shared" si="7"/>
        <v>OutubroSEMANA 1Batata Yacon</v>
      </c>
      <c r="B160" s="85" t="s">
        <v>37</v>
      </c>
      <c r="C160" s="85" t="s">
        <v>20</v>
      </c>
      <c r="D160" s="86">
        <v>4</v>
      </c>
      <c r="E160" s="116" t="str">
        <f t="shared" si="8"/>
        <v>Hortifruti</v>
      </c>
      <c r="F160" s="90" t="s">
        <v>1054</v>
      </c>
      <c r="G160" s="85" t="s">
        <v>177</v>
      </c>
      <c r="H160" s="85" t="s">
        <v>1039</v>
      </c>
      <c r="I160" s="85">
        <v>0.5</v>
      </c>
      <c r="J160" s="87">
        <v>8</v>
      </c>
      <c r="K160" s="88">
        <f t="shared" si="9"/>
        <v>4</v>
      </c>
      <c r="L160" s="85">
        <v>1798</v>
      </c>
      <c r="M160" s="118" t="s">
        <v>943</v>
      </c>
      <c r="N160" s="96"/>
      <c r="O160" s="96" t="s">
        <v>875</v>
      </c>
      <c r="R160"/>
    </row>
    <row r="161" spans="1:18" x14ac:dyDescent="0.25">
      <c r="A161" s="84" t="str">
        <f t="shared" si="7"/>
        <v>OutubroSEMANA 1Gengibre Sushi</v>
      </c>
      <c r="B161" s="85" t="s">
        <v>37</v>
      </c>
      <c r="C161" s="85" t="s">
        <v>20</v>
      </c>
      <c r="D161" s="86">
        <v>4</v>
      </c>
      <c r="E161" s="116" t="str">
        <f t="shared" si="8"/>
        <v>Sushi</v>
      </c>
      <c r="F161" s="90" t="s">
        <v>1054</v>
      </c>
      <c r="G161" s="85" t="s">
        <v>386</v>
      </c>
      <c r="H161" s="85" t="s">
        <v>1039</v>
      </c>
      <c r="I161" s="85">
        <v>10.26</v>
      </c>
      <c r="J161" s="87">
        <f>80/10.26</f>
        <v>7.7972709551656925</v>
      </c>
      <c r="K161" s="88">
        <f t="shared" si="9"/>
        <v>80</v>
      </c>
      <c r="L161" s="85">
        <v>1798</v>
      </c>
      <c r="M161" s="118" t="s">
        <v>944</v>
      </c>
      <c r="O161" s="115" t="s">
        <v>875</v>
      </c>
      <c r="R161"/>
    </row>
    <row r="162" spans="1:18" x14ac:dyDescent="0.25">
      <c r="A162" s="84" t="str">
        <f t="shared" si="7"/>
        <v>OutubroSEMANA 1Tomate Salada</v>
      </c>
      <c r="B162" s="85" t="s">
        <v>37</v>
      </c>
      <c r="C162" s="85" t="s">
        <v>20</v>
      </c>
      <c r="D162" s="86">
        <v>4</v>
      </c>
      <c r="E162" s="116" t="str">
        <f t="shared" si="8"/>
        <v>Hortifruti</v>
      </c>
      <c r="F162" s="90" t="s">
        <v>1054</v>
      </c>
      <c r="G162" s="85" t="s">
        <v>795</v>
      </c>
      <c r="H162" s="85" t="s">
        <v>1039</v>
      </c>
      <c r="I162" s="85">
        <v>19.46</v>
      </c>
      <c r="J162" s="87">
        <f>45/19.46</f>
        <v>2.3124357656731758</v>
      </c>
      <c r="K162" s="88">
        <f t="shared" si="9"/>
        <v>45</v>
      </c>
      <c r="L162" s="85">
        <v>1798</v>
      </c>
      <c r="M162" s="118" t="s">
        <v>945</v>
      </c>
      <c r="N162" s="96"/>
      <c r="O162" s="96" t="s">
        <v>875</v>
      </c>
      <c r="R162"/>
    </row>
    <row r="163" spans="1:18" x14ac:dyDescent="0.25">
      <c r="A163" s="84" t="str">
        <f t="shared" si="7"/>
        <v>OutubroSEMANA 1Aipo</v>
      </c>
      <c r="B163" s="85" t="s">
        <v>37</v>
      </c>
      <c r="C163" s="85" t="s">
        <v>20</v>
      </c>
      <c r="D163" s="86">
        <v>4</v>
      </c>
      <c r="E163" s="116" t="str">
        <f t="shared" si="8"/>
        <v>Hortifruti</v>
      </c>
      <c r="F163" s="90" t="s">
        <v>1054</v>
      </c>
      <c r="G163" s="85" t="s">
        <v>96</v>
      </c>
      <c r="H163" s="85" t="s">
        <v>1039</v>
      </c>
      <c r="I163" s="85">
        <v>1</v>
      </c>
      <c r="J163" s="87">
        <v>4</v>
      </c>
      <c r="K163" s="88">
        <f t="shared" si="9"/>
        <v>4</v>
      </c>
      <c r="L163" s="85">
        <v>1798</v>
      </c>
      <c r="M163" s="118" t="s">
        <v>946</v>
      </c>
      <c r="N163" s="96"/>
      <c r="O163" s="96" t="s">
        <v>875</v>
      </c>
      <c r="R163"/>
    </row>
    <row r="164" spans="1:18" x14ac:dyDescent="0.25">
      <c r="A164" s="84" t="str">
        <f t="shared" si="7"/>
        <v>OutubroSEMANA 1Brócolis Americano</v>
      </c>
      <c r="B164" s="85" t="s">
        <v>37</v>
      </c>
      <c r="C164" s="85" t="s">
        <v>20</v>
      </c>
      <c r="D164" s="86">
        <v>4</v>
      </c>
      <c r="E164" s="116" t="str">
        <f t="shared" si="8"/>
        <v>Hortifruti</v>
      </c>
      <c r="F164" s="90" t="s">
        <v>1054</v>
      </c>
      <c r="G164" s="85" t="s">
        <v>194</v>
      </c>
      <c r="H164" s="85" t="s">
        <v>1039</v>
      </c>
      <c r="I164" s="85">
        <v>8</v>
      </c>
      <c r="J164" s="87">
        <v>7</v>
      </c>
      <c r="K164" s="88">
        <f t="shared" si="9"/>
        <v>56</v>
      </c>
      <c r="L164" s="85">
        <v>1798</v>
      </c>
      <c r="M164" s="118" t="s">
        <v>191</v>
      </c>
      <c r="O164" s="115" t="s">
        <v>43</v>
      </c>
      <c r="R164"/>
    </row>
    <row r="165" spans="1:18" x14ac:dyDescent="0.25">
      <c r="A165" s="84" t="str">
        <f t="shared" si="7"/>
        <v>OutubroSEMANA 1Coentro</v>
      </c>
      <c r="B165" s="85" t="s">
        <v>37</v>
      </c>
      <c r="C165" s="85" t="s">
        <v>20</v>
      </c>
      <c r="D165" s="86">
        <v>4</v>
      </c>
      <c r="E165" s="116" t="str">
        <f t="shared" si="8"/>
        <v>Hortifruti</v>
      </c>
      <c r="F165" s="90" t="s">
        <v>1054</v>
      </c>
      <c r="G165" s="85" t="s">
        <v>289</v>
      </c>
      <c r="H165" s="85" t="s">
        <v>1039</v>
      </c>
      <c r="I165" s="85">
        <v>0.5</v>
      </c>
      <c r="J165" s="87">
        <v>14</v>
      </c>
      <c r="K165" s="88">
        <f t="shared" si="9"/>
        <v>7</v>
      </c>
      <c r="L165" s="85">
        <v>1798</v>
      </c>
      <c r="M165" s="118" t="s">
        <v>192</v>
      </c>
      <c r="O165" s="115" t="s">
        <v>872</v>
      </c>
      <c r="R165"/>
    </row>
    <row r="166" spans="1:18" x14ac:dyDescent="0.25">
      <c r="A166" s="84" t="str">
        <f t="shared" si="7"/>
        <v>OutubroSEMANA 1Tomilho</v>
      </c>
      <c r="B166" s="85" t="s">
        <v>37</v>
      </c>
      <c r="C166" s="85" t="s">
        <v>20</v>
      </c>
      <c r="D166" s="86">
        <v>4</v>
      </c>
      <c r="E166" s="116" t="str">
        <f t="shared" si="8"/>
        <v>Hortifruti</v>
      </c>
      <c r="F166" s="90" t="s">
        <v>1054</v>
      </c>
      <c r="G166" s="85" t="s">
        <v>798</v>
      </c>
      <c r="H166" s="85" t="s">
        <v>1039</v>
      </c>
      <c r="I166" s="85">
        <v>0.2</v>
      </c>
      <c r="J166" s="87">
        <v>30</v>
      </c>
      <c r="K166" s="88">
        <f t="shared" si="9"/>
        <v>6</v>
      </c>
      <c r="L166" s="85">
        <v>1798</v>
      </c>
      <c r="M166" s="118" t="s">
        <v>193</v>
      </c>
      <c r="N166" s="96"/>
      <c r="O166" s="96" t="s">
        <v>874</v>
      </c>
      <c r="R166"/>
    </row>
    <row r="167" spans="1:18" x14ac:dyDescent="0.25">
      <c r="A167" s="84" t="str">
        <f t="shared" si="7"/>
        <v>OutubroSEMANA 1Broto de Feijão</v>
      </c>
      <c r="B167" s="85" t="s">
        <v>37</v>
      </c>
      <c r="C167" s="85" t="s">
        <v>20</v>
      </c>
      <c r="D167" s="86">
        <v>4</v>
      </c>
      <c r="E167" s="116" t="str">
        <f t="shared" si="8"/>
        <v>Hortifruti</v>
      </c>
      <c r="F167" s="90" t="s">
        <v>1054</v>
      </c>
      <c r="G167" s="85" t="s">
        <v>197</v>
      </c>
      <c r="H167" s="85" t="s">
        <v>1039</v>
      </c>
      <c r="I167" s="85">
        <v>4.5</v>
      </c>
      <c r="J167" s="87">
        <v>14</v>
      </c>
      <c r="K167" s="88">
        <f t="shared" si="9"/>
        <v>63</v>
      </c>
      <c r="L167" s="85">
        <v>1798</v>
      </c>
      <c r="M167" s="118" t="s">
        <v>194</v>
      </c>
      <c r="N167" s="96"/>
      <c r="O167" s="96" t="s">
        <v>45</v>
      </c>
      <c r="R167"/>
    </row>
    <row r="168" spans="1:18" x14ac:dyDescent="0.25">
      <c r="A168" s="84" t="str">
        <f t="shared" si="7"/>
        <v xml:space="preserve">OutubroSEMANA 1Abacaxi </v>
      </c>
      <c r="B168" s="85" t="s">
        <v>37</v>
      </c>
      <c r="C168" s="85" t="s">
        <v>20</v>
      </c>
      <c r="D168" s="86">
        <v>4</v>
      </c>
      <c r="E168" s="116" t="str">
        <f t="shared" si="8"/>
        <v>Hortifruti</v>
      </c>
      <c r="F168" s="90" t="s">
        <v>1054</v>
      </c>
      <c r="G168" s="85" t="s">
        <v>65</v>
      </c>
      <c r="H168" s="85" t="s">
        <v>1039</v>
      </c>
      <c r="I168" s="85">
        <v>6</v>
      </c>
      <c r="J168" s="87">
        <v>2.4</v>
      </c>
      <c r="K168" s="88">
        <f t="shared" si="9"/>
        <v>14.399999999999999</v>
      </c>
      <c r="L168" s="85">
        <v>1798</v>
      </c>
      <c r="M168" s="118" t="s">
        <v>195</v>
      </c>
      <c r="N168" s="96"/>
      <c r="O168" s="96" t="s">
        <v>42</v>
      </c>
      <c r="R168"/>
    </row>
    <row r="169" spans="1:18" x14ac:dyDescent="0.25">
      <c r="A169" s="84" t="str">
        <f t="shared" si="7"/>
        <v>OutubroSEMANA 1Banana D'Água</v>
      </c>
      <c r="B169" s="85" t="s">
        <v>37</v>
      </c>
      <c r="C169" s="85" t="s">
        <v>20</v>
      </c>
      <c r="D169" s="86">
        <v>4</v>
      </c>
      <c r="E169" s="116" t="str">
        <f t="shared" si="8"/>
        <v>Hortifruti</v>
      </c>
      <c r="F169" s="90" t="s">
        <v>1054</v>
      </c>
      <c r="G169" s="85" t="s">
        <v>162</v>
      </c>
      <c r="H169" s="85" t="s">
        <v>1039</v>
      </c>
      <c r="I169" s="85">
        <v>2</v>
      </c>
      <c r="J169" s="87">
        <v>3.4</v>
      </c>
      <c r="K169" s="88">
        <f t="shared" si="9"/>
        <v>6.8</v>
      </c>
      <c r="L169" s="85">
        <v>1798</v>
      </c>
      <c r="M169" s="118" t="s">
        <v>891</v>
      </c>
      <c r="O169" s="115" t="s">
        <v>45</v>
      </c>
      <c r="R169"/>
    </row>
    <row r="170" spans="1:18" x14ac:dyDescent="0.25">
      <c r="A170" s="84" t="str">
        <f t="shared" si="7"/>
        <v xml:space="preserve">OutubroSEMANA 1Melão de Rede </v>
      </c>
      <c r="B170" s="85" t="s">
        <v>37</v>
      </c>
      <c r="C170" s="85" t="s">
        <v>20</v>
      </c>
      <c r="D170" s="86">
        <v>4</v>
      </c>
      <c r="E170" s="116" t="str">
        <f t="shared" si="8"/>
        <v>Hortifruti</v>
      </c>
      <c r="F170" s="90" t="s">
        <v>1054</v>
      </c>
      <c r="G170" s="85" t="s">
        <v>518</v>
      </c>
      <c r="H170" s="85" t="s">
        <v>1039</v>
      </c>
      <c r="I170" s="85">
        <v>2.2999999999999998</v>
      </c>
      <c r="J170" s="87">
        <v>5.9</v>
      </c>
      <c r="K170" s="88">
        <f t="shared" si="9"/>
        <v>13.57</v>
      </c>
      <c r="L170" s="85">
        <v>1798</v>
      </c>
      <c r="M170" s="118" t="s">
        <v>196</v>
      </c>
      <c r="O170" s="115" t="s">
        <v>45</v>
      </c>
      <c r="R170"/>
    </row>
    <row r="171" spans="1:18" x14ac:dyDescent="0.25">
      <c r="A171" s="84" t="str">
        <f t="shared" si="7"/>
        <v>OutubroSEMANA 1Pescados - Atum Fresco Sushi</v>
      </c>
      <c r="B171" s="85" t="s">
        <v>37</v>
      </c>
      <c r="C171" s="85" t="s">
        <v>20</v>
      </c>
      <c r="D171" s="86">
        <v>4</v>
      </c>
      <c r="E171" s="116" t="str">
        <f t="shared" si="8"/>
        <v>Sushi</v>
      </c>
      <c r="F171" s="85" t="s">
        <v>1211</v>
      </c>
      <c r="G171" s="85" t="s">
        <v>587</v>
      </c>
      <c r="H171" s="85" t="s">
        <v>1039</v>
      </c>
      <c r="I171" s="85">
        <v>27.4</v>
      </c>
      <c r="J171" s="87">
        <v>14.9</v>
      </c>
      <c r="K171" s="88">
        <f t="shared" si="9"/>
        <v>408.26</v>
      </c>
      <c r="L171" s="85">
        <v>73</v>
      </c>
      <c r="M171" s="118" t="s">
        <v>197</v>
      </c>
      <c r="N171" s="96"/>
      <c r="O171" s="96" t="s">
        <v>45</v>
      </c>
      <c r="R171"/>
    </row>
    <row r="172" spans="1:18" x14ac:dyDescent="0.25">
      <c r="A172" s="84" t="str">
        <f t="shared" si="7"/>
        <v>OutubroSEMANA 1Gelo em Escamas</v>
      </c>
      <c r="B172" s="85" t="s">
        <v>37</v>
      </c>
      <c r="C172" s="85" t="s">
        <v>20</v>
      </c>
      <c r="D172" s="86">
        <v>4</v>
      </c>
      <c r="E172" s="116" t="str">
        <f t="shared" si="8"/>
        <v>Mercado</v>
      </c>
      <c r="F172" s="90" t="s">
        <v>1040</v>
      </c>
      <c r="G172" s="85" t="s">
        <v>384</v>
      </c>
      <c r="H172" s="85" t="s">
        <v>1041</v>
      </c>
      <c r="I172" s="85">
        <v>1</v>
      </c>
      <c r="J172" s="87">
        <v>7.5</v>
      </c>
      <c r="K172" s="88">
        <f t="shared" si="9"/>
        <v>7.5</v>
      </c>
      <c r="L172" s="85">
        <v>9895</v>
      </c>
      <c r="M172" s="118" t="s">
        <v>936</v>
      </c>
      <c r="N172" s="96"/>
      <c r="O172" s="96" t="s">
        <v>47</v>
      </c>
      <c r="R172"/>
    </row>
    <row r="173" spans="1:18" x14ac:dyDescent="0.25">
      <c r="A173" s="84" t="str">
        <f t="shared" si="7"/>
        <v>OutubroSEMANA 1Gelo em Cubo</v>
      </c>
      <c r="B173" s="85" t="s">
        <v>37</v>
      </c>
      <c r="C173" s="85" t="s">
        <v>20</v>
      </c>
      <c r="D173" s="86">
        <v>4</v>
      </c>
      <c r="E173" s="116" t="str">
        <f t="shared" si="8"/>
        <v>Mercado</v>
      </c>
      <c r="F173" s="90" t="s">
        <v>1040</v>
      </c>
      <c r="G173" s="85" t="s">
        <v>383</v>
      </c>
      <c r="H173" s="85" t="s">
        <v>1041</v>
      </c>
      <c r="I173" s="85">
        <v>1</v>
      </c>
      <c r="J173" s="87">
        <v>7.5</v>
      </c>
      <c r="K173" s="88">
        <f t="shared" si="9"/>
        <v>7.5</v>
      </c>
      <c r="L173" s="85">
        <v>9895</v>
      </c>
      <c r="M173" s="118" t="s">
        <v>937</v>
      </c>
      <c r="N173" s="96"/>
      <c r="O173" s="96" t="s">
        <v>47</v>
      </c>
      <c r="R173"/>
    </row>
    <row r="174" spans="1:18" x14ac:dyDescent="0.25">
      <c r="A174" s="84" t="str">
        <f t="shared" si="7"/>
        <v>OutubroSEMANA 1Pescados - Salmão Inteiro</v>
      </c>
      <c r="B174" s="85" t="s">
        <v>37</v>
      </c>
      <c r="C174" s="85" t="s">
        <v>20</v>
      </c>
      <c r="D174" s="86">
        <v>4</v>
      </c>
      <c r="E174" s="116" t="str">
        <f t="shared" si="8"/>
        <v>Carnes</v>
      </c>
      <c r="F174" s="85" t="s">
        <v>1053</v>
      </c>
      <c r="G174" s="85" t="s">
        <v>644</v>
      </c>
      <c r="H174" s="85" t="s">
        <v>1039</v>
      </c>
      <c r="I174" s="85">
        <v>28.28</v>
      </c>
      <c r="J174" s="87">
        <v>25.899899999999999</v>
      </c>
      <c r="K174" s="88">
        <f t="shared" si="9"/>
        <v>732.44917199999998</v>
      </c>
      <c r="L174" s="85">
        <v>1230225</v>
      </c>
      <c r="M174" s="118" t="s">
        <v>981</v>
      </c>
      <c r="N174" s="96"/>
      <c r="O174" s="96" t="s">
        <v>874</v>
      </c>
      <c r="R174"/>
    </row>
    <row r="175" spans="1:18" x14ac:dyDescent="0.25">
      <c r="A175" s="84" t="str">
        <f t="shared" si="7"/>
        <v>OutubroSEMANA 1Creme de Leite Culinário 20% Bd 10 Lt</v>
      </c>
      <c r="B175" s="85" t="s">
        <v>37</v>
      </c>
      <c r="C175" s="85" t="s">
        <v>20</v>
      </c>
      <c r="D175" s="86">
        <v>4</v>
      </c>
      <c r="E175" s="116" t="str">
        <f t="shared" si="8"/>
        <v>Mercado</v>
      </c>
      <c r="F175" s="85" t="s">
        <v>1045</v>
      </c>
      <c r="G175" s="85" t="s">
        <v>315</v>
      </c>
      <c r="H175" s="85" t="s">
        <v>1046</v>
      </c>
      <c r="I175" s="85">
        <v>1</v>
      </c>
      <c r="J175" s="87">
        <v>142.44999999999999</v>
      </c>
      <c r="K175" s="88">
        <f t="shared" si="9"/>
        <v>142.44999999999999</v>
      </c>
      <c r="L175" s="85" t="s">
        <v>1090</v>
      </c>
      <c r="M175" s="118" t="s">
        <v>1033</v>
      </c>
      <c r="N175" s="96"/>
      <c r="O175" s="96" t="s">
        <v>42</v>
      </c>
      <c r="R175"/>
    </row>
    <row r="176" spans="1:18" x14ac:dyDescent="0.25">
      <c r="A176" s="84" t="str">
        <f t="shared" si="7"/>
        <v>OutubroSEMANA 1Queijo Ricota</v>
      </c>
      <c r="B176" s="85" t="s">
        <v>37</v>
      </c>
      <c r="C176" s="85" t="s">
        <v>20</v>
      </c>
      <c r="D176" s="86">
        <v>4</v>
      </c>
      <c r="E176" s="116" t="str">
        <f t="shared" si="8"/>
        <v>Mercado</v>
      </c>
      <c r="F176" s="85" t="s">
        <v>1045</v>
      </c>
      <c r="G176" s="85" t="s">
        <v>689</v>
      </c>
      <c r="H176" s="85" t="s">
        <v>1039</v>
      </c>
      <c r="I176" s="85">
        <v>5</v>
      </c>
      <c r="J176" s="87">
        <v>10.6</v>
      </c>
      <c r="K176" s="88">
        <f t="shared" si="9"/>
        <v>53</v>
      </c>
      <c r="L176" s="85" t="s">
        <v>1090</v>
      </c>
      <c r="M176" s="118" t="s">
        <v>198</v>
      </c>
      <c r="N176" s="96"/>
      <c r="O176" s="96" t="s">
        <v>42</v>
      </c>
      <c r="R176"/>
    </row>
    <row r="177" spans="1:18" x14ac:dyDescent="0.25">
      <c r="A177" s="84" t="str">
        <f t="shared" si="7"/>
        <v>OutubroSEMANA 1Queijo Minas Padrão</v>
      </c>
      <c r="B177" s="85" t="s">
        <v>37</v>
      </c>
      <c r="C177" s="85" t="s">
        <v>20</v>
      </c>
      <c r="D177" s="86">
        <v>4</v>
      </c>
      <c r="E177" s="116" t="str">
        <f t="shared" si="8"/>
        <v>Mercado</v>
      </c>
      <c r="F177" s="85" t="s">
        <v>1045</v>
      </c>
      <c r="G177" s="85" t="s">
        <v>683</v>
      </c>
      <c r="H177" s="85" t="s">
        <v>1039</v>
      </c>
      <c r="I177" s="85">
        <v>3.34</v>
      </c>
      <c r="J177" s="87">
        <v>41.6</v>
      </c>
      <c r="K177" s="88">
        <f t="shared" si="9"/>
        <v>138.94399999999999</v>
      </c>
      <c r="L177" s="85" t="s">
        <v>1090</v>
      </c>
      <c r="M177" s="118" t="s">
        <v>199</v>
      </c>
      <c r="N177" s="96"/>
      <c r="O177" s="96" t="s">
        <v>42</v>
      </c>
      <c r="R177"/>
    </row>
    <row r="178" spans="1:18" x14ac:dyDescent="0.25">
      <c r="A178" s="84" t="str">
        <f t="shared" si="7"/>
        <v>OutubroSEMANA 1Água Mineral com Gás</v>
      </c>
      <c r="B178" s="85" t="s">
        <v>37</v>
      </c>
      <c r="C178" s="85" t="s">
        <v>20</v>
      </c>
      <c r="D178" s="86">
        <v>4</v>
      </c>
      <c r="E178" s="116" t="str">
        <f t="shared" si="8"/>
        <v>Bebidas</v>
      </c>
      <c r="F178" s="85" t="s">
        <v>1091</v>
      </c>
      <c r="G178" s="85" t="s">
        <v>90</v>
      </c>
      <c r="H178" s="85" t="s">
        <v>1038</v>
      </c>
      <c r="I178" s="85">
        <f>24*6</f>
        <v>144</v>
      </c>
      <c r="J178" s="87">
        <f>180.57/144</f>
        <v>1.2539583333333333</v>
      </c>
      <c r="K178" s="88">
        <f t="shared" si="9"/>
        <v>180.57</v>
      </c>
      <c r="L178" s="85">
        <v>377016</v>
      </c>
      <c r="M178" s="118" t="s">
        <v>1009</v>
      </c>
      <c r="O178" s="84" t="s">
        <v>873</v>
      </c>
      <c r="R178"/>
    </row>
    <row r="179" spans="1:18" x14ac:dyDescent="0.25">
      <c r="A179" s="84" t="str">
        <f t="shared" si="7"/>
        <v>OutubroSEMANA 1Água Mineral sem Gás</v>
      </c>
      <c r="B179" s="85" t="s">
        <v>37</v>
      </c>
      <c r="C179" s="85" t="s">
        <v>20</v>
      </c>
      <c r="D179" s="86">
        <v>4</v>
      </c>
      <c r="E179" s="116" t="str">
        <f t="shared" si="8"/>
        <v>Bebidas</v>
      </c>
      <c r="F179" s="85" t="s">
        <v>1091</v>
      </c>
      <c r="G179" s="85" t="s">
        <v>91</v>
      </c>
      <c r="H179" s="85" t="s">
        <v>1038</v>
      </c>
      <c r="I179" s="85">
        <f>25*6</f>
        <v>150</v>
      </c>
      <c r="J179" s="87">
        <f>188.1/150</f>
        <v>1.254</v>
      </c>
      <c r="K179" s="88">
        <f t="shared" si="9"/>
        <v>188.1</v>
      </c>
      <c r="L179" s="85">
        <v>377016</v>
      </c>
      <c r="M179" s="118" t="s">
        <v>962</v>
      </c>
      <c r="N179" s="96"/>
      <c r="O179" s="96" t="s">
        <v>45</v>
      </c>
      <c r="R179"/>
    </row>
    <row r="180" spans="1:18" x14ac:dyDescent="0.25">
      <c r="A180" s="84" t="str">
        <f t="shared" si="7"/>
        <v>OutubroSEMANA 1Álcool 70</v>
      </c>
      <c r="B180" s="85" t="s">
        <v>37</v>
      </c>
      <c r="C180" s="85" t="s">
        <v>20</v>
      </c>
      <c r="D180" s="86">
        <v>4</v>
      </c>
      <c r="E180" s="116" t="str">
        <f t="shared" si="8"/>
        <v>Limpeza</v>
      </c>
      <c r="F180" s="85" t="s">
        <v>1092</v>
      </c>
      <c r="G180" s="85" t="s">
        <v>99</v>
      </c>
      <c r="H180" s="85" t="s">
        <v>1038</v>
      </c>
      <c r="I180" s="85">
        <v>12</v>
      </c>
      <c r="J180" s="87">
        <v>4.9000000000000004</v>
      </c>
      <c r="K180" s="88">
        <f t="shared" si="9"/>
        <v>58.800000000000004</v>
      </c>
      <c r="L180" s="85" t="s">
        <v>1093</v>
      </c>
      <c r="M180" s="118" t="s">
        <v>964</v>
      </c>
      <c r="N180" s="96"/>
      <c r="O180" s="96" t="s">
        <v>42</v>
      </c>
      <c r="R180"/>
    </row>
    <row r="181" spans="1:18" x14ac:dyDescent="0.25">
      <c r="A181" s="84" t="str">
        <f t="shared" si="7"/>
        <v>OutubroSEMANA 1Bobina Picotada 25X35</v>
      </c>
      <c r="B181" s="85" t="s">
        <v>37</v>
      </c>
      <c r="C181" s="85" t="s">
        <v>20</v>
      </c>
      <c r="D181" s="86">
        <v>4</v>
      </c>
      <c r="E181" s="116" t="str">
        <f t="shared" si="8"/>
        <v>Descartável</v>
      </c>
      <c r="F181" s="85" t="s">
        <v>1092</v>
      </c>
      <c r="G181" s="85" t="s">
        <v>187</v>
      </c>
      <c r="H181" s="85" t="s">
        <v>1038</v>
      </c>
      <c r="I181" s="85">
        <v>1</v>
      </c>
      <c r="J181" s="87">
        <v>9.42</v>
      </c>
      <c r="K181" s="88">
        <f t="shared" si="9"/>
        <v>9.42</v>
      </c>
      <c r="L181" s="85" t="s">
        <v>1094</v>
      </c>
      <c r="M181" s="118" t="s">
        <v>200</v>
      </c>
      <c r="N181" s="96"/>
      <c r="O181" s="96" t="s">
        <v>42</v>
      </c>
      <c r="R181"/>
    </row>
    <row r="182" spans="1:18" x14ac:dyDescent="0.25">
      <c r="A182" s="84" t="str">
        <f t="shared" si="7"/>
        <v>OutubroSEMANA 1Hipoclorito de Sódio Bb 5 Lt</v>
      </c>
      <c r="B182" s="85" t="s">
        <v>37</v>
      </c>
      <c r="C182" s="85" t="s">
        <v>20</v>
      </c>
      <c r="D182" s="86">
        <v>4</v>
      </c>
      <c r="E182" s="116" t="str">
        <f t="shared" si="8"/>
        <v>Limpeza</v>
      </c>
      <c r="F182" s="85" t="s">
        <v>1092</v>
      </c>
      <c r="G182" s="85" t="s">
        <v>402</v>
      </c>
      <c r="H182" s="85" t="s">
        <v>1087</v>
      </c>
      <c r="I182" s="85">
        <v>3</v>
      </c>
      <c r="J182" s="87">
        <v>17.75</v>
      </c>
      <c r="K182" s="88">
        <f t="shared" si="9"/>
        <v>53.25</v>
      </c>
      <c r="L182" s="85" t="s">
        <v>1093</v>
      </c>
      <c r="M182" s="118" t="s">
        <v>201</v>
      </c>
      <c r="N182" s="96"/>
      <c r="O182" s="96" t="s">
        <v>42</v>
      </c>
      <c r="R182"/>
    </row>
    <row r="183" spans="1:18" x14ac:dyDescent="0.25">
      <c r="A183" s="84" t="str">
        <f t="shared" si="7"/>
        <v>OutubroSEMANA 1Luva Descartável c/ 100</v>
      </c>
      <c r="B183" s="85" t="s">
        <v>37</v>
      </c>
      <c r="C183" s="85" t="s">
        <v>20</v>
      </c>
      <c r="D183" s="86">
        <v>4</v>
      </c>
      <c r="E183" s="116" t="str">
        <f t="shared" si="8"/>
        <v>Descartável</v>
      </c>
      <c r="F183" s="85" t="s">
        <v>1092</v>
      </c>
      <c r="G183" s="85" t="s">
        <v>473</v>
      </c>
      <c r="H183" s="85" t="s">
        <v>1037</v>
      </c>
      <c r="I183" s="85">
        <v>4</v>
      </c>
      <c r="J183" s="87">
        <v>1.68</v>
      </c>
      <c r="K183" s="88">
        <f t="shared" si="9"/>
        <v>6.72</v>
      </c>
      <c r="L183" s="85" t="s">
        <v>1093</v>
      </c>
      <c r="M183" s="118" t="s">
        <v>202</v>
      </c>
      <c r="N183" s="96"/>
      <c r="O183" s="96" t="s">
        <v>42</v>
      </c>
      <c r="R183"/>
    </row>
    <row r="184" spans="1:18" x14ac:dyDescent="0.25">
      <c r="A184" s="84" t="str">
        <f t="shared" si="7"/>
        <v>OutubroSEMANA 1Papel Higiênico Rolo</v>
      </c>
      <c r="B184" s="85" t="s">
        <v>37</v>
      </c>
      <c r="C184" s="85" t="s">
        <v>20</v>
      </c>
      <c r="D184" s="86">
        <v>4</v>
      </c>
      <c r="E184" s="116" t="str">
        <f t="shared" si="8"/>
        <v>Descartável</v>
      </c>
      <c r="F184" s="85" t="s">
        <v>1092</v>
      </c>
      <c r="G184" s="85" t="s">
        <v>571</v>
      </c>
      <c r="H184" s="85" t="s">
        <v>1038</v>
      </c>
      <c r="I184" s="85">
        <v>64</v>
      </c>
      <c r="J184" s="87">
        <f>63.6/64</f>
        <v>0.99375000000000002</v>
      </c>
      <c r="K184" s="88">
        <f t="shared" si="9"/>
        <v>63.6</v>
      </c>
      <c r="L184" s="85" t="s">
        <v>1093</v>
      </c>
      <c r="M184" s="118" t="s">
        <v>203</v>
      </c>
      <c r="N184" s="96"/>
      <c r="O184" s="96" t="s">
        <v>42</v>
      </c>
      <c r="R184"/>
    </row>
    <row r="185" spans="1:18" x14ac:dyDescent="0.25">
      <c r="A185" s="84" t="str">
        <f t="shared" si="7"/>
        <v>OutubroSEMANA 1Saco de Lixo 100 Lt</v>
      </c>
      <c r="B185" s="85" t="s">
        <v>37</v>
      </c>
      <c r="C185" s="85" t="s">
        <v>20</v>
      </c>
      <c r="D185" s="86">
        <v>4</v>
      </c>
      <c r="E185" s="116" t="str">
        <f t="shared" si="8"/>
        <v>Limpeza</v>
      </c>
      <c r="F185" s="85" t="s">
        <v>1092</v>
      </c>
      <c r="G185" s="85" t="s">
        <v>710</v>
      </c>
      <c r="H185" s="85" t="s">
        <v>1037</v>
      </c>
      <c r="I185" s="85">
        <v>1</v>
      </c>
      <c r="J185" s="87">
        <v>36.6</v>
      </c>
      <c r="K185" s="88">
        <f t="shared" si="9"/>
        <v>36.6</v>
      </c>
      <c r="L185" s="85" t="s">
        <v>1093</v>
      </c>
      <c r="M185" s="118" t="s">
        <v>204</v>
      </c>
      <c r="N185" s="96"/>
      <c r="O185" s="96" t="s">
        <v>42</v>
      </c>
      <c r="R185"/>
    </row>
    <row r="186" spans="1:18" x14ac:dyDescent="0.25">
      <c r="A186" s="84" t="str">
        <f t="shared" si="7"/>
        <v>OutubroSEMANA 1Gelatina Morango Stevia Plus Zero 10 g</v>
      </c>
      <c r="B186" s="85" t="s">
        <v>37</v>
      </c>
      <c r="C186" s="85" t="s">
        <v>20</v>
      </c>
      <c r="D186" s="86">
        <v>4</v>
      </c>
      <c r="E186" s="116" t="str">
        <f t="shared" si="8"/>
        <v>Mercado</v>
      </c>
      <c r="F186" s="85" t="s">
        <v>1095</v>
      </c>
      <c r="G186" s="85" t="s">
        <v>382</v>
      </c>
      <c r="H186" s="85" t="s">
        <v>1038</v>
      </c>
      <c r="I186" s="85">
        <v>120</v>
      </c>
      <c r="J186" s="87">
        <v>1.65</v>
      </c>
      <c r="K186" s="88">
        <f t="shared" si="9"/>
        <v>198</v>
      </c>
      <c r="L186" s="85">
        <v>27539</v>
      </c>
      <c r="M186" s="118" t="s">
        <v>205</v>
      </c>
      <c r="N186" s="96"/>
      <c r="O186" s="96" t="s">
        <v>874</v>
      </c>
      <c r="R186"/>
    </row>
    <row r="187" spans="1:18" x14ac:dyDescent="0.25">
      <c r="A187" s="84" t="str">
        <f t="shared" si="7"/>
        <v>OutubroSEMANA 1Açafrão</v>
      </c>
      <c r="B187" s="85" t="s">
        <v>37</v>
      </c>
      <c r="C187" s="85" t="s">
        <v>20</v>
      </c>
      <c r="D187" s="86">
        <v>4</v>
      </c>
      <c r="E187" s="116" t="str">
        <f t="shared" si="8"/>
        <v>Mercado</v>
      </c>
      <c r="F187" s="85" t="s">
        <v>1096</v>
      </c>
      <c r="G187" s="85" t="s">
        <v>74</v>
      </c>
      <c r="H187" s="85" t="s">
        <v>1039</v>
      </c>
      <c r="I187" s="85">
        <v>0.3</v>
      </c>
      <c r="J187" s="87">
        <v>11.9</v>
      </c>
      <c r="K187" s="88">
        <f t="shared" si="9"/>
        <v>3.57</v>
      </c>
      <c r="L187" s="85" t="s">
        <v>1097</v>
      </c>
      <c r="M187" s="118" t="s">
        <v>206</v>
      </c>
      <c r="N187" s="96"/>
      <c r="O187" s="96" t="s">
        <v>874</v>
      </c>
      <c r="R187"/>
    </row>
    <row r="188" spans="1:18" x14ac:dyDescent="0.25">
      <c r="A188" s="84" t="str">
        <f t="shared" si="7"/>
        <v>OutubroSEMANA 1Açucar Mascavo</v>
      </c>
      <c r="B188" s="85" t="s">
        <v>37</v>
      </c>
      <c r="C188" s="85" t="s">
        <v>20</v>
      </c>
      <c r="D188" s="86">
        <v>4</v>
      </c>
      <c r="E188" s="116" t="str">
        <f t="shared" si="8"/>
        <v>Mercado</v>
      </c>
      <c r="F188" s="85" t="s">
        <v>1096</v>
      </c>
      <c r="G188" s="85" t="s">
        <v>77</v>
      </c>
      <c r="H188" s="85" t="s">
        <v>1039</v>
      </c>
      <c r="I188" s="85">
        <v>1</v>
      </c>
      <c r="J188" s="87">
        <v>7.9</v>
      </c>
      <c r="K188" s="88">
        <f t="shared" si="9"/>
        <v>7.9</v>
      </c>
      <c r="L188" s="85" t="s">
        <v>1097</v>
      </c>
      <c r="M188" s="118" t="s">
        <v>207</v>
      </c>
      <c r="N188" s="96"/>
      <c r="O188" s="96" t="s">
        <v>874</v>
      </c>
      <c r="R188"/>
    </row>
    <row r="189" spans="1:18" x14ac:dyDescent="0.25">
      <c r="A189" s="84" t="str">
        <f t="shared" si="7"/>
        <v>OutubroSEMANA 1Castanha de Caju Picada</v>
      </c>
      <c r="B189" s="85" t="s">
        <v>37</v>
      </c>
      <c r="C189" s="85" t="s">
        <v>20</v>
      </c>
      <c r="D189" s="86">
        <v>4</v>
      </c>
      <c r="E189" s="116" t="str">
        <f t="shared" si="8"/>
        <v>Mercado</v>
      </c>
      <c r="F189" s="85" t="s">
        <v>1096</v>
      </c>
      <c r="G189" s="85" t="s">
        <v>238</v>
      </c>
      <c r="H189" s="85" t="s">
        <v>1039</v>
      </c>
      <c r="I189" s="85">
        <v>1</v>
      </c>
      <c r="J189" s="87">
        <v>44.9</v>
      </c>
      <c r="K189" s="88">
        <f t="shared" si="9"/>
        <v>44.9</v>
      </c>
      <c r="L189" s="85" t="s">
        <v>1097</v>
      </c>
      <c r="M189" s="118" t="s">
        <v>208</v>
      </c>
      <c r="N189" s="96"/>
      <c r="O189" s="96" t="s">
        <v>42</v>
      </c>
      <c r="R189"/>
    </row>
    <row r="190" spans="1:18" x14ac:dyDescent="0.25">
      <c r="A190" s="84" t="str">
        <f t="shared" si="7"/>
        <v>OutubroSEMANA 1Cevadinha</v>
      </c>
      <c r="B190" s="85" t="s">
        <v>37</v>
      </c>
      <c r="C190" s="85" t="s">
        <v>20</v>
      </c>
      <c r="D190" s="86">
        <v>4</v>
      </c>
      <c r="E190" s="116" t="str">
        <f t="shared" si="8"/>
        <v>Mercado</v>
      </c>
      <c r="F190" s="85" t="s">
        <v>1096</v>
      </c>
      <c r="G190" s="85" t="s">
        <v>269</v>
      </c>
      <c r="H190" s="85" t="s">
        <v>1039</v>
      </c>
      <c r="I190" s="85">
        <v>3</v>
      </c>
      <c r="J190" s="87">
        <v>5.9</v>
      </c>
      <c r="K190" s="88">
        <f t="shared" si="9"/>
        <v>17.700000000000003</v>
      </c>
      <c r="L190" s="85" t="s">
        <v>1097</v>
      </c>
      <c r="M190" s="118" t="s">
        <v>209</v>
      </c>
      <c r="N190" s="96"/>
      <c r="O190" s="96" t="s">
        <v>873</v>
      </c>
      <c r="R190"/>
    </row>
    <row r="191" spans="1:18" x14ac:dyDescent="0.25">
      <c r="A191" s="84" t="str">
        <f t="shared" si="7"/>
        <v>OutubroSEMANA 1Chimichurri</v>
      </c>
      <c r="B191" s="85" t="s">
        <v>37</v>
      </c>
      <c r="C191" s="85" t="s">
        <v>20</v>
      </c>
      <c r="D191" s="86">
        <v>4</v>
      </c>
      <c r="E191" s="116" t="str">
        <f t="shared" si="8"/>
        <v>Mercado</v>
      </c>
      <c r="F191" s="85" t="s">
        <v>1096</v>
      </c>
      <c r="G191" s="85" t="s">
        <v>277</v>
      </c>
      <c r="H191" s="85" t="s">
        <v>1039</v>
      </c>
      <c r="I191" s="85">
        <v>0.2</v>
      </c>
      <c r="J191" s="87">
        <v>26.5</v>
      </c>
      <c r="K191" s="88">
        <f t="shared" si="9"/>
        <v>5.3000000000000007</v>
      </c>
      <c r="L191" s="85" t="s">
        <v>1097</v>
      </c>
      <c r="M191" s="118" t="s">
        <v>210</v>
      </c>
      <c r="N191" s="96"/>
      <c r="O191" s="96" t="s">
        <v>42</v>
      </c>
      <c r="R191"/>
    </row>
    <row r="192" spans="1:18" x14ac:dyDescent="0.25">
      <c r="A192" s="84" t="str">
        <f t="shared" si="7"/>
        <v>OutubroSEMANA 1Coloral</v>
      </c>
      <c r="B192" s="85" t="s">
        <v>37</v>
      </c>
      <c r="C192" s="85" t="s">
        <v>20</v>
      </c>
      <c r="D192" s="86">
        <v>4</v>
      </c>
      <c r="E192" s="116" t="str">
        <f t="shared" si="8"/>
        <v>Mercado</v>
      </c>
      <c r="F192" s="85" t="s">
        <v>1096</v>
      </c>
      <c r="G192" s="85" t="s">
        <v>295</v>
      </c>
      <c r="H192" s="85" t="s">
        <v>1039</v>
      </c>
      <c r="I192" s="85">
        <v>0.3</v>
      </c>
      <c r="J192" s="87">
        <v>5.5</v>
      </c>
      <c r="K192" s="88">
        <f t="shared" si="9"/>
        <v>1.65</v>
      </c>
      <c r="L192" s="85" t="s">
        <v>1097</v>
      </c>
      <c r="M192" s="118" t="s">
        <v>211</v>
      </c>
      <c r="N192" s="96"/>
      <c r="O192" s="96" t="s">
        <v>45</v>
      </c>
      <c r="R192"/>
    </row>
    <row r="193" spans="1:18" x14ac:dyDescent="0.25">
      <c r="A193" s="84" t="str">
        <f t="shared" si="7"/>
        <v>OutubroSEMANA 1Feijão Azuki</v>
      </c>
      <c r="B193" s="85" t="s">
        <v>37</v>
      </c>
      <c r="C193" s="85" t="s">
        <v>20</v>
      </c>
      <c r="D193" s="86">
        <v>4</v>
      </c>
      <c r="E193" s="116" t="str">
        <f t="shared" si="8"/>
        <v>Mercado</v>
      </c>
      <c r="F193" s="85" t="s">
        <v>1096</v>
      </c>
      <c r="G193" s="85" t="s">
        <v>347</v>
      </c>
      <c r="H193" s="85" t="s">
        <v>1039</v>
      </c>
      <c r="I193" s="85">
        <v>1</v>
      </c>
      <c r="J193" s="87">
        <v>11.5</v>
      </c>
      <c r="K193" s="88">
        <f t="shared" si="9"/>
        <v>11.5</v>
      </c>
      <c r="L193" s="85" t="s">
        <v>1097</v>
      </c>
      <c r="M193" s="118" t="s">
        <v>212</v>
      </c>
      <c r="N193" s="96"/>
      <c r="O193" s="96" t="s">
        <v>45</v>
      </c>
      <c r="R193"/>
    </row>
    <row r="194" spans="1:18" x14ac:dyDescent="0.25">
      <c r="A194" s="84" t="str">
        <f t="shared" ref="A194:A257" si="10">CONCATENATE(B194,C194,G194)</f>
        <v>OutubroSEMANA 1Feijão de Soja</v>
      </c>
      <c r="B194" s="85" t="s">
        <v>37</v>
      </c>
      <c r="C194" s="85" t="s">
        <v>20</v>
      </c>
      <c r="D194" s="86">
        <v>4</v>
      </c>
      <c r="E194" s="116" t="str">
        <f t="shared" ref="E194:E257" si="11">VLOOKUP(G194,$M$1:$O$968,3,0)</f>
        <v>Mercado</v>
      </c>
      <c r="F194" s="85" t="s">
        <v>1096</v>
      </c>
      <c r="G194" s="85" t="s">
        <v>349</v>
      </c>
      <c r="H194" s="85" t="s">
        <v>1039</v>
      </c>
      <c r="I194" s="85">
        <v>1</v>
      </c>
      <c r="J194" s="87">
        <v>5.7</v>
      </c>
      <c r="K194" s="88">
        <f t="shared" ref="K194:K257" si="12">I194*J194</f>
        <v>5.7</v>
      </c>
      <c r="L194" s="85" t="s">
        <v>1097</v>
      </c>
      <c r="M194" s="118" t="s">
        <v>213</v>
      </c>
      <c r="N194" s="96"/>
      <c r="O194" s="96" t="s">
        <v>45</v>
      </c>
      <c r="R194"/>
    </row>
    <row r="195" spans="1:18" x14ac:dyDescent="0.25">
      <c r="A195" s="84" t="str">
        <f t="shared" si="10"/>
        <v>OutubroSEMANA 1Nozes sem casca</v>
      </c>
      <c r="B195" s="85" t="s">
        <v>37</v>
      </c>
      <c r="C195" s="85" t="s">
        <v>20</v>
      </c>
      <c r="D195" s="86">
        <v>4</v>
      </c>
      <c r="E195" s="116" t="str">
        <f t="shared" si="11"/>
        <v>Mercado</v>
      </c>
      <c r="F195" s="85" t="s">
        <v>1096</v>
      </c>
      <c r="G195" s="85" t="s">
        <v>540</v>
      </c>
      <c r="H195" s="85" t="s">
        <v>1039</v>
      </c>
      <c r="I195" s="91">
        <v>1</v>
      </c>
      <c r="J195" s="87">
        <v>63</v>
      </c>
      <c r="K195" s="88">
        <f t="shared" si="12"/>
        <v>63</v>
      </c>
      <c r="L195" s="85" t="s">
        <v>1097</v>
      </c>
      <c r="M195" s="118" t="s">
        <v>214</v>
      </c>
      <c r="N195" s="96"/>
      <c r="O195" s="96" t="s">
        <v>42</v>
      </c>
      <c r="R195"/>
    </row>
    <row r="196" spans="1:18" x14ac:dyDescent="0.25">
      <c r="A196" s="84" t="str">
        <f t="shared" si="10"/>
        <v>OutubroSEMANA 1Quinoa</v>
      </c>
      <c r="B196" s="85" t="s">
        <v>37</v>
      </c>
      <c r="C196" s="85" t="s">
        <v>20</v>
      </c>
      <c r="D196" s="86">
        <v>4</v>
      </c>
      <c r="E196" s="116" t="str">
        <f t="shared" si="11"/>
        <v>Mercado</v>
      </c>
      <c r="F196" s="85" t="s">
        <v>1096</v>
      </c>
      <c r="G196" s="85" t="s">
        <v>693</v>
      </c>
      <c r="H196" s="85" t="s">
        <v>1039</v>
      </c>
      <c r="I196" s="85">
        <v>1</v>
      </c>
      <c r="J196" s="87">
        <v>23.9</v>
      </c>
      <c r="K196" s="88">
        <f t="shared" si="12"/>
        <v>23.9</v>
      </c>
      <c r="L196" s="85" t="s">
        <v>1097</v>
      </c>
      <c r="M196" s="118" t="s">
        <v>215</v>
      </c>
      <c r="N196" s="96"/>
      <c r="O196" s="96" t="s">
        <v>44</v>
      </c>
      <c r="R196"/>
    </row>
    <row r="197" spans="1:18" x14ac:dyDescent="0.25">
      <c r="A197" s="84" t="str">
        <f t="shared" si="10"/>
        <v>OutubroSEMANA 1Trigo em Grão</v>
      </c>
      <c r="B197" s="85" t="s">
        <v>37</v>
      </c>
      <c r="C197" s="85" t="s">
        <v>20</v>
      </c>
      <c r="D197" s="86">
        <v>4</v>
      </c>
      <c r="E197" s="116" t="str">
        <f t="shared" si="11"/>
        <v>Mercado</v>
      </c>
      <c r="F197" s="85" t="s">
        <v>1096</v>
      </c>
      <c r="G197" s="85" t="s">
        <v>825</v>
      </c>
      <c r="H197" s="85" t="s">
        <v>1039</v>
      </c>
      <c r="I197" s="85">
        <v>1</v>
      </c>
      <c r="J197" s="87">
        <v>3.9</v>
      </c>
      <c r="K197" s="88">
        <f t="shared" si="12"/>
        <v>3.9</v>
      </c>
      <c r="L197" s="85" t="s">
        <v>1097</v>
      </c>
      <c r="M197" s="118" t="s">
        <v>216</v>
      </c>
      <c r="N197" s="96"/>
      <c r="O197" s="96" t="s">
        <v>44</v>
      </c>
      <c r="R197"/>
    </row>
    <row r="198" spans="1:18" x14ac:dyDescent="0.25">
      <c r="A198" s="84" t="str">
        <f t="shared" si="10"/>
        <v>OutubroSEMANA 1Tahine Lata 500 gr</v>
      </c>
      <c r="B198" s="85" t="s">
        <v>37</v>
      </c>
      <c r="C198" s="85" t="s">
        <v>20</v>
      </c>
      <c r="D198" s="86">
        <v>4</v>
      </c>
      <c r="E198" s="116" t="str">
        <f t="shared" si="11"/>
        <v>Mercado</v>
      </c>
      <c r="F198" s="85" t="s">
        <v>1096</v>
      </c>
      <c r="G198" s="85" t="s">
        <v>779</v>
      </c>
      <c r="H198" s="85" t="s">
        <v>1038</v>
      </c>
      <c r="I198" s="85">
        <v>2</v>
      </c>
      <c r="J198" s="87">
        <f>37.9/2</f>
        <v>18.95</v>
      </c>
      <c r="K198" s="88">
        <f t="shared" si="12"/>
        <v>37.9</v>
      </c>
      <c r="L198" s="85" t="s">
        <v>1098</v>
      </c>
      <c r="M198" s="118" t="s">
        <v>217</v>
      </c>
      <c r="N198" s="96"/>
      <c r="O198" s="96" t="s">
        <v>44</v>
      </c>
      <c r="R198"/>
    </row>
    <row r="199" spans="1:18" x14ac:dyDescent="0.25">
      <c r="A199" s="84" t="str">
        <f t="shared" si="10"/>
        <v>OutubroSEMANA 1Passas Preta</v>
      </c>
      <c r="B199" s="85" t="s">
        <v>37</v>
      </c>
      <c r="C199" s="85" t="s">
        <v>20</v>
      </c>
      <c r="D199" s="86">
        <v>4</v>
      </c>
      <c r="E199" s="116" t="str">
        <f t="shared" si="11"/>
        <v>Mercado</v>
      </c>
      <c r="F199" s="85" t="s">
        <v>1096</v>
      </c>
      <c r="G199" s="85" t="s">
        <v>574</v>
      </c>
      <c r="H199" s="85" t="s">
        <v>1039</v>
      </c>
      <c r="I199" s="85">
        <v>2</v>
      </c>
      <c r="J199" s="87">
        <v>13.5</v>
      </c>
      <c r="K199" s="88">
        <f t="shared" si="12"/>
        <v>27</v>
      </c>
      <c r="L199" s="85" t="s">
        <v>1097</v>
      </c>
      <c r="M199" s="118" t="s">
        <v>218</v>
      </c>
      <c r="N199" s="96"/>
      <c r="O199" s="96" t="s">
        <v>44</v>
      </c>
      <c r="R199"/>
    </row>
    <row r="200" spans="1:18" x14ac:dyDescent="0.25">
      <c r="A200" s="84" t="str">
        <f t="shared" si="10"/>
        <v>OutubroSEMANA 1Arroz Integral Curto</v>
      </c>
      <c r="B200" s="85" t="s">
        <v>37</v>
      </c>
      <c r="C200" s="85" t="s">
        <v>20</v>
      </c>
      <c r="D200" s="86">
        <v>4</v>
      </c>
      <c r="E200" s="116" t="str">
        <f t="shared" si="11"/>
        <v>Mercado</v>
      </c>
      <c r="F200" s="85" t="s">
        <v>1099</v>
      </c>
      <c r="G200" s="85" t="s">
        <v>127</v>
      </c>
      <c r="H200" s="85" t="s">
        <v>1039</v>
      </c>
      <c r="I200" s="85">
        <v>20.122</v>
      </c>
      <c r="J200" s="87">
        <v>8.4200999999999997</v>
      </c>
      <c r="K200" s="88">
        <f t="shared" si="12"/>
        <v>169.42925219999998</v>
      </c>
      <c r="L200" s="85">
        <v>91208</v>
      </c>
      <c r="M200" s="118" t="s">
        <v>975</v>
      </c>
      <c r="N200" s="96"/>
      <c r="O200" s="96" t="s">
        <v>44</v>
      </c>
      <c r="R200"/>
    </row>
    <row r="201" spans="1:18" x14ac:dyDescent="0.25">
      <c r="A201" s="84" t="str">
        <f t="shared" si="10"/>
        <v>OutubroSEMANA 1Tapioca Fina</v>
      </c>
      <c r="B201" s="85" t="s">
        <v>37</v>
      </c>
      <c r="C201" s="85" t="s">
        <v>20</v>
      </c>
      <c r="D201" s="86">
        <v>4</v>
      </c>
      <c r="E201" s="116" t="str">
        <f t="shared" si="11"/>
        <v>Mercado</v>
      </c>
      <c r="F201" s="85" t="s">
        <v>1099</v>
      </c>
      <c r="G201" s="85" t="s">
        <v>1027</v>
      </c>
      <c r="H201" s="85" t="s">
        <v>1039</v>
      </c>
      <c r="I201" s="85">
        <v>4.024</v>
      </c>
      <c r="J201" s="87">
        <v>8.4990000000000006</v>
      </c>
      <c r="K201" s="88">
        <f t="shared" si="12"/>
        <v>34.199975999999999</v>
      </c>
      <c r="L201" s="85">
        <v>91208</v>
      </c>
      <c r="M201" s="118" t="s">
        <v>219</v>
      </c>
      <c r="N201" s="96"/>
      <c r="O201" s="96" t="s">
        <v>44</v>
      </c>
      <c r="R201"/>
    </row>
    <row r="202" spans="1:18" x14ac:dyDescent="0.25">
      <c r="A202" s="84" t="str">
        <f t="shared" si="10"/>
        <v>OutubroSEMANA 1Aipim</v>
      </c>
      <c r="B202" s="85" t="s">
        <v>37</v>
      </c>
      <c r="C202" s="85" t="s">
        <v>20</v>
      </c>
      <c r="D202" s="86">
        <v>5</v>
      </c>
      <c r="E202" s="116" t="str">
        <f t="shared" si="11"/>
        <v>Hortifruti</v>
      </c>
      <c r="F202" s="85" t="s">
        <v>1042</v>
      </c>
      <c r="G202" s="85" t="s">
        <v>95</v>
      </c>
      <c r="H202" s="85" t="s">
        <v>1039</v>
      </c>
      <c r="I202" s="85">
        <v>20</v>
      </c>
      <c r="J202" s="87">
        <v>5</v>
      </c>
      <c r="K202" s="88">
        <f t="shared" si="12"/>
        <v>100</v>
      </c>
      <c r="L202" s="85"/>
      <c r="M202" s="118" t="s">
        <v>220</v>
      </c>
      <c r="N202" s="96"/>
      <c r="O202" s="96" t="s">
        <v>44</v>
      </c>
      <c r="R202"/>
    </row>
    <row r="203" spans="1:18" x14ac:dyDescent="0.25">
      <c r="A203" s="84" t="str">
        <f t="shared" si="10"/>
        <v>OutubroSEMANA 1Gelo em Escamas</v>
      </c>
      <c r="B203" s="85" t="s">
        <v>37</v>
      </c>
      <c r="C203" s="85" t="s">
        <v>20</v>
      </c>
      <c r="D203" s="86">
        <v>5</v>
      </c>
      <c r="E203" s="116" t="str">
        <f t="shared" si="11"/>
        <v>Mercado</v>
      </c>
      <c r="F203" s="85" t="s">
        <v>1040</v>
      </c>
      <c r="G203" s="85" t="s">
        <v>384</v>
      </c>
      <c r="H203" s="85" t="s">
        <v>1041</v>
      </c>
      <c r="I203" s="85">
        <v>2</v>
      </c>
      <c r="J203" s="87">
        <v>7.5</v>
      </c>
      <c r="K203" s="88">
        <f t="shared" si="12"/>
        <v>15</v>
      </c>
      <c r="L203" s="85">
        <v>9979</v>
      </c>
      <c r="M203" s="118" t="s">
        <v>221</v>
      </c>
      <c r="N203" s="96"/>
      <c r="O203" s="96" t="s">
        <v>44</v>
      </c>
      <c r="R203"/>
    </row>
    <row r="204" spans="1:18" x14ac:dyDescent="0.25">
      <c r="A204" s="84" t="str">
        <f t="shared" si="10"/>
        <v>OutubroSEMANA 1Gelo em Cubo</v>
      </c>
      <c r="B204" s="85" t="s">
        <v>37</v>
      </c>
      <c r="C204" s="85" t="s">
        <v>20</v>
      </c>
      <c r="D204" s="86">
        <v>5</v>
      </c>
      <c r="E204" s="116" t="str">
        <f t="shared" si="11"/>
        <v>Mercado</v>
      </c>
      <c r="F204" s="85" t="s">
        <v>1040</v>
      </c>
      <c r="G204" s="85" t="s">
        <v>383</v>
      </c>
      <c r="H204" s="85" t="s">
        <v>1041</v>
      </c>
      <c r="I204" s="85">
        <v>4</v>
      </c>
      <c r="J204" s="87">
        <v>7.5</v>
      </c>
      <c r="K204" s="88">
        <f t="shared" si="12"/>
        <v>30</v>
      </c>
      <c r="L204" s="85">
        <v>9979</v>
      </c>
      <c r="M204" s="118" t="s">
        <v>222</v>
      </c>
      <c r="N204" s="96"/>
      <c r="O204" s="96" t="s">
        <v>44</v>
      </c>
      <c r="R204"/>
    </row>
    <row r="205" spans="1:18" x14ac:dyDescent="0.25">
      <c r="A205" s="84" t="str">
        <f t="shared" si="10"/>
        <v>OutubroSEMANA 1Bobina Picotada 40X50</v>
      </c>
      <c r="B205" s="85" t="s">
        <v>37</v>
      </c>
      <c r="C205" s="85" t="s">
        <v>20</v>
      </c>
      <c r="D205" s="86">
        <v>5</v>
      </c>
      <c r="E205" s="116" t="str">
        <f t="shared" si="11"/>
        <v>Descartável</v>
      </c>
      <c r="F205" s="85" t="s">
        <v>1100</v>
      </c>
      <c r="G205" s="85" t="s">
        <v>189</v>
      </c>
      <c r="H205" s="85" t="s">
        <v>1038</v>
      </c>
      <c r="I205" s="85">
        <v>1</v>
      </c>
      <c r="J205" s="87">
        <v>19.38</v>
      </c>
      <c r="K205" s="88">
        <f t="shared" si="12"/>
        <v>19.38</v>
      </c>
      <c r="L205" s="85" t="s">
        <v>1101</v>
      </c>
      <c r="M205" s="118" t="s">
        <v>223</v>
      </c>
      <c r="N205" s="96"/>
      <c r="O205" s="96" t="s">
        <v>44</v>
      </c>
      <c r="R205"/>
    </row>
    <row r="206" spans="1:18" x14ac:dyDescent="0.25">
      <c r="A206" s="84" t="str">
        <f t="shared" si="10"/>
        <v>OutubroSEMANA 1Esponja Dupla Face</v>
      </c>
      <c r="B206" s="85" t="s">
        <v>37</v>
      </c>
      <c r="C206" s="85" t="s">
        <v>20</v>
      </c>
      <c r="D206" s="86">
        <v>5</v>
      </c>
      <c r="E206" s="116" t="str">
        <f t="shared" si="11"/>
        <v>Limpeza</v>
      </c>
      <c r="F206" s="85" t="s">
        <v>1100</v>
      </c>
      <c r="G206" s="85" t="s">
        <v>335</v>
      </c>
      <c r="H206" s="85" t="s">
        <v>1038</v>
      </c>
      <c r="I206" s="85">
        <v>11</v>
      </c>
      <c r="J206" s="87">
        <v>1.25</v>
      </c>
      <c r="K206" s="88">
        <f t="shared" si="12"/>
        <v>13.75</v>
      </c>
      <c r="L206" s="85" t="s">
        <v>1101</v>
      </c>
      <c r="M206" s="118" t="s">
        <v>224</v>
      </c>
      <c r="N206" s="96"/>
      <c r="O206" s="96" t="s">
        <v>44</v>
      </c>
      <c r="R206"/>
    </row>
    <row r="207" spans="1:18" x14ac:dyDescent="0.25">
      <c r="A207" s="84" t="str">
        <f t="shared" si="10"/>
        <v>OutubroSEMANA 1Fibraço</v>
      </c>
      <c r="B207" s="85" t="s">
        <v>37</v>
      </c>
      <c r="C207" s="85" t="s">
        <v>20</v>
      </c>
      <c r="D207" s="86">
        <v>5</v>
      </c>
      <c r="E207" s="116" t="str">
        <f t="shared" si="11"/>
        <v>Limpeza</v>
      </c>
      <c r="F207" s="85" t="s">
        <v>1100</v>
      </c>
      <c r="G207" s="85" t="s">
        <v>355</v>
      </c>
      <c r="H207" s="85" t="s">
        <v>1038</v>
      </c>
      <c r="I207" s="85">
        <v>15</v>
      </c>
      <c r="J207" s="87">
        <v>1.64</v>
      </c>
      <c r="K207" s="88">
        <f t="shared" si="12"/>
        <v>24.599999999999998</v>
      </c>
      <c r="L207" s="85" t="s">
        <v>1101</v>
      </c>
      <c r="M207" s="118" t="s">
        <v>225</v>
      </c>
      <c r="O207" s="115" t="s">
        <v>44</v>
      </c>
      <c r="R207"/>
    </row>
    <row r="208" spans="1:18" x14ac:dyDescent="0.25">
      <c r="A208" s="84" t="str">
        <f t="shared" si="10"/>
        <v>OutubroSEMANA 1Filme PVC 380 x 300m</v>
      </c>
      <c r="B208" s="85" t="s">
        <v>37</v>
      </c>
      <c r="C208" s="85" t="s">
        <v>20</v>
      </c>
      <c r="D208" s="86">
        <v>5</v>
      </c>
      <c r="E208" s="116" t="str">
        <f t="shared" si="11"/>
        <v>Descartável</v>
      </c>
      <c r="F208" s="85" t="s">
        <v>1100</v>
      </c>
      <c r="G208" s="85" t="s">
        <v>1007</v>
      </c>
      <c r="H208" s="85" t="s">
        <v>1038</v>
      </c>
      <c r="I208" s="85">
        <v>2</v>
      </c>
      <c r="J208" s="87">
        <v>23.17</v>
      </c>
      <c r="K208" s="88">
        <f t="shared" si="12"/>
        <v>46.34</v>
      </c>
      <c r="L208" s="85" t="s">
        <v>1101</v>
      </c>
      <c r="M208" s="118" t="s">
        <v>226</v>
      </c>
      <c r="N208" s="96"/>
      <c r="O208" s="96" t="s">
        <v>44</v>
      </c>
      <c r="R208"/>
    </row>
    <row r="209" spans="1:18" x14ac:dyDescent="0.25">
      <c r="A209" s="84" t="str">
        <f t="shared" si="10"/>
        <v>OutubroSEMANA 1Filme PVC 380 x 1000 Sushi</v>
      </c>
      <c r="B209" s="85" t="s">
        <v>37</v>
      </c>
      <c r="C209" s="85" t="s">
        <v>20</v>
      </c>
      <c r="D209" s="86">
        <v>5</v>
      </c>
      <c r="E209" s="116" t="str">
        <f t="shared" si="11"/>
        <v>Sushi</v>
      </c>
      <c r="F209" s="85" t="s">
        <v>1100</v>
      </c>
      <c r="G209" s="85" t="s">
        <v>361</v>
      </c>
      <c r="H209" s="85" t="s">
        <v>1038</v>
      </c>
      <c r="I209" s="85">
        <v>1</v>
      </c>
      <c r="J209" s="87">
        <v>36.78</v>
      </c>
      <c r="K209" s="88">
        <f t="shared" si="12"/>
        <v>36.78</v>
      </c>
      <c r="L209" s="85" t="s">
        <v>1101</v>
      </c>
      <c r="M209" s="118" t="s">
        <v>227</v>
      </c>
      <c r="N209" s="96"/>
      <c r="O209" s="96" t="s">
        <v>44</v>
      </c>
      <c r="R209"/>
    </row>
    <row r="210" spans="1:18" x14ac:dyDescent="0.25">
      <c r="A210" s="84" t="str">
        <f t="shared" si="10"/>
        <v>OutubroSEMANA 1Filme PVC 380 x 1000 Sushi</v>
      </c>
      <c r="B210" s="85" t="s">
        <v>37</v>
      </c>
      <c r="C210" s="85" t="s">
        <v>20</v>
      </c>
      <c r="D210" s="86">
        <v>5</v>
      </c>
      <c r="E210" s="116" t="str">
        <f t="shared" si="11"/>
        <v>Sushi</v>
      </c>
      <c r="F210" s="85" t="s">
        <v>1100</v>
      </c>
      <c r="G210" s="85" t="s">
        <v>361</v>
      </c>
      <c r="H210" s="85" t="s">
        <v>1038</v>
      </c>
      <c r="I210" s="85">
        <v>1</v>
      </c>
      <c r="J210" s="87">
        <v>36.78</v>
      </c>
      <c r="K210" s="88">
        <f t="shared" si="12"/>
        <v>36.78</v>
      </c>
      <c r="L210" s="85" t="s">
        <v>1101</v>
      </c>
      <c r="M210" s="118" t="s">
        <v>228</v>
      </c>
      <c r="N210" s="96"/>
      <c r="O210" s="96" t="s">
        <v>44</v>
      </c>
      <c r="R210"/>
    </row>
    <row r="211" spans="1:18" x14ac:dyDescent="0.25">
      <c r="A211" s="84" t="str">
        <f t="shared" si="10"/>
        <v>OutubroSEMANA 1Inseticida</v>
      </c>
      <c r="B211" s="85" t="s">
        <v>37</v>
      </c>
      <c r="C211" s="85" t="s">
        <v>20</v>
      </c>
      <c r="D211" s="86">
        <v>5</v>
      </c>
      <c r="E211" s="116" t="str">
        <f t="shared" si="11"/>
        <v>Limpeza</v>
      </c>
      <c r="F211" s="85" t="s">
        <v>1100</v>
      </c>
      <c r="G211" s="85" t="s">
        <v>449</v>
      </c>
      <c r="H211" s="85" t="s">
        <v>1038</v>
      </c>
      <c r="I211" s="85">
        <v>6</v>
      </c>
      <c r="J211" s="87">
        <v>10.74</v>
      </c>
      <c r="K211" s="88">
        <f t="shared" si="12"/>
        <v>64.44</v>
      </c>
      <c r="L211" s="85" t="s">
        <v>1101</v>
      </c>
      <c r="M211" s="118" t="s">
        <v>229</v>
      </c>
      <c r="N211" s="96"/>
      <c r="O211" s="96" t="s">
        <v>44</v>
      </c>
      <c r="R211"/>
    </row>
    <row r="212" spans="1:18" x14ac:dyDescent="0.25">
      <c r="A212" s="84" t="str">
        <f t="shared" si="10"/>
        <v>OutubroSEMANA 1Luva de Borraca Forrada</v>
      </c>
      <c r="B212" s="85" t="s">
        <v>37</v>
      </c>
      <c r="C212" s="85" t="s">
        <v>20</v>
      </c>
      <c r="D212" s="86">
        <v>5</v>
      </c>
      <c r="E212" s="116" t="str">
        <f t="shared" si="11"/>
        <v>Descartável</v>
      </c>
      <c r="F212" s="85" t="s">
        <v>1100</v>
      </c>
      <c r="G212" s="85" t="s">
        <v>472</v>
      </c>
      <c r="H212" s="85" t="s">
        <v>1038</v>
      </c>
      <c r="I212" s="85">
        <v>3</v>
      </c>
      <c r="J212" s="87">
        <v>4.9000000000000004</v>
      </c>
      <c r="K212" s="88">
        <f t="shared" si="12"/>
        <v>14.700000000000001</v>
      </c>
      <c r="L212" s="85" t="s">
        <v>1101</v>
      </c>
      <c r="M212" s="118" t="s">
        <v>230</v>
      </c>
      <c r="N212" s="96"/>
      <c r="O212" s="96" t="s">
        <v>44</v>
      </c>
      <c r="R212"/>
    </row>
    <row r="213" spans="1:18" x14ac:dyDescent="0.25">
      <c r="A213" s="84" t="str">
        <f t="shared" si="10"/>
        <v>OutubroSEMANA 1Saco de Lixo 20 Lt</v>
      </c>
      <c r="B213" s="85" t="s">
        <v>37</v>
      </c>
      <c r="C213" s="85" t="s">
        <v>20</v>
      </c>
      <c r="D213" s="86">
        <v>5</v>
      </c>
      <c r="E213" s="116" t="str">
        <f t="shared" si="11"/>
        <v>Limpeza</v>
      </c>
      <c r="F213" s="85" t="s">
        <v>1100</v>
      </c>
      <c r="G213" s="85" t="s">
        <v>711</v>
      </c>
      <c r="H213" s="85" t="s">
        <v>1037</v>
      </c>
      <c r="I213" s="85">
        <v>1</v>
      </c>
      <c r="J213" s="87">
        <v>8.4</v>
      </c>
      <c r="K213" s="88">
        <f t="shared" si="12"/>
        <v>8.4</v>
      </c>
      <c r="L213" s="85" t="s">
        <v>1101</v>
      </c>
      <c r="M213" s="118" t="s">
        <v>231</v>
      </c>
      <c r="N213" s="96"/>
      <c r="O213" s="96" t="s">
        <v>44</v>
      </c>
      <c r="R213"/>
    </row>
    <row r="214" spans="1:18" x14ac:dyDescent="0.25">
      <c r="A214" s="84" t="str">
        <f t="shared" si="10"/>
        <v>OutubroSEMANA 1Saco de Lixo 200 Lt</v>
      </c>
      <c r="B214" s="85" t="s">
        <v>37</v>
      </c>
      <c r="C214" s="85" t="s">
        <v>20</v>
      </c>
      <c r="D214" s="86">
        <v>5</v>
      </c>
      <c r="E214" s="116" t="str">
        <f t="shared" si="11"/>
        <v>Limpeza</v>
      </c>
      <c r="F214" s="85" t="s">
        <v>1100</v>
      </c>
      <c r="G214" s="85" t="s">
        <v>712</v>
      </c>
      <c r="H214" s="85" t="s">
        <v>1037</v>
      </c>
      <c r="I214" s="85">
        <v>1</v>
      </c>
      <c r="J214" s="87">
        <v>48.19</v>
      </c>
      <c r="K214" s="88">
        <f t="shared" si="12"/>
        <v>48.19</v>
      </c>
      <c r="L214" s="85" t="s">
        <v>1101</v>
      </c>
      <c r="M214" s="118" t="s">
        <v>976</v>
      </c>
      <c r="N214" s="96"/>
      <c r="O214" s="96" t="s">
        <v>44</v>
      </c>
      <c r="R214"/>
    </row>
    <row r="215" spans="1:18" x14ac:dyDescent="0.25">
      <c r="A215" s="84" t="str">
        <f t="shared" si="10"/>
        <v>OutubroSEMANA 1Luva Cano Longo</v>
      </c>
      <c r="B215" s="85" t="s">
        <v>37</v>
      </c>
      <c r="C215" s="85" t="s">
        <v>20</v>
      </c>
      <c r="D215" s="86">
        <v>5</v>
      </c>
      <c r="E215" s="116" t="str">
        <f t="shared" si="11"/>
        <v>Descartável</v>
      </c>
      <c r="F215" s="85" t="s">
        <v>1100</v>
      </c>
      <c r="G215" s="85" t="s">
        <v>471</v>
      </c>
      <c r="H215" s="85" t="s">
        <v>1038</v>
      </c>
      <c r="I215" s="85">
        <v>3</v>
      </c>
      <c r="J215" s="87">
        <v>17.05</v>
      </c>
      <c r="K215" s="88">
        <f t="shared" si="12"/>
        <v>51.150000000000006</v>
      </c>
      <c r="L215" s="85" t="s">
        <v>1101</v>
      </c>
      <c r="M215" s="118" t="s">
        <v>232</v>
      </c>
      <c r="N215" s="96"/>
      <c r="O215" s="96" t="s">
        <v>44</v>
      </c>
      <c r="R215"/>
    </row>
    <row r="216" spans="1:18" x14ac:dyDescent="0.25">
      <c r="A216" s="84" t="str">
        <f t="shared" si="10"/>
        <v>OutubroSEMANA 1Pescados - Camarão IQF Evisc. 51/60</v>
      </c>
      <c r="B216" s="85" t="s">
        <v>37</v>
      </c>
      <c r="C216" s="85" t="s">
        <v>20</v>
      </c>
      <c r="D216" s="86">
        <v>5</v>
      </c>
      <c r="E216" s="116" t="str">
        <f t="shared" si="11"/>
        <v>Carnes</v>
      </c>
      <c r="F216" s="85" t="s">
        <v>1053</v>
      </c>
      <c r="G216" s="85" t="s">
        <v>594</v>
      </c>
      <c r="H216" s="85" t="s">
        <v>1039</v>
      </c>
      <c r="I216" s="85">
        <v>12</v>
      </c>
      <c r="J216" s="87">
        <v>69.900000000000006</v>
      </c>
      <c r="K216" s="88">
        <f t="shared" si="12"/>
        <v>838.80000000000007</v>
      </c>
      <c r="L216" s="85">
        <v>1230802</v>
      </c>
      <c r="M216" s="118" t="s">
        <v>233</v>
      </c>
      <c r="N216" s="96"/>
      <c r="O216" s="96" t="s">
        <v>44</v>
      </c>
      <c r="R216"/>
    </row>
    <row r="217" spans="1:18" x14ac:dyDescent="0.25">
      <c r="A217" s="84" t="str">
        <f t="shared" si="10"/>
        <v>OutubroSEMANA 1Pescados - Salmão Inteiro Sushi</v>
      </c>
      <c r="B217" s="85" t="s">
        <v>37</v>
      </c>
      <c r="C217" s="85" t="s">
        <v>20</v>
      </c>
      <c r="D217" s="86">
        <v>5</v>
      </c>
      <c r="E217" s="116" t="str">
        <f t="shared" si="11"/>
        <v>Sushi</v>
      </c>
      <c r="F217" s="85" t="s">
        <v>1053</v>
      </c>
      <c r="G217" s="85" t="s">
        <v>645</v>
      </c>
      <c r="H217" s="85" t="s">
        <v>1039</v>
      </c>
      <c r="I217" s="85">
        <v>30.81</v>
      </c>
      <c r="J217" s="87">
        <v>27.9</v>
      </c>
      <c r="K217" s="88">
        <f t="shared" si="12"/>
        <v>859.59899999999993</v>
      </c>
      <c r="L217" s="85">
        <v>1230802</v>
      </c>
      <c r="M217" s="118" t="s">
        <v>234</v>
      </c>
      <c r="N217" s="96"/>
      <c r="O217" s="96" t="s">
        <v>44</v>
      </c>
      <c r="R217"/>
    </row>
    <row r="218" spans="1:18" x14ac:dyDescent="0.25">
      <c r="A218" s="84" t="str">
        <f t="shared" si="10"/>
        <v>OutubroSEMANA 1Suíno - Costelinha Fresca</v>
      </c>
      <c r="B218" s="85" t="s">
        <v>37</v>
      </c>
      <c r="C218" s="85" t="s">
        <v>20</v>
      </c>
      <c r="D218" s="86">
        <v>5</v>
      </c>
      <c r="E218" s="116" t="str">
        <f t="shared" si="11"/>
        <v>Carnes</v>
      </c>
      <c r="F218" s="85" t="s">
        <v>1078</v>
      </c>
      <c r="G218" s="85" t="s">
        <v>759</v>
      </c>
      <c r="H218" s="85" t="s">
        <v>1039</v>
      </c>
      <c r="I218" s="85">
        <v>15</v>
      </c>
      <c r="J218" s="87">
        <v>15.74</v>
      </c>
      <c r="K218" s="88">
        <f t="shared" si="12"/>
        <v>236.1</v>
      </c>
      <c r="L218" s="85" t="s">
        <v>1102</v>
      </c>
      <c r="M218" s="118" t="s">
        <v>942</v>
      </c>
      <c r="N218" s="96"/>
      <c r="O218" s="96" t="s">
        <v>44</v>
      </c>
      <c r="R218"/>
    </row>
    <row r="219" spans="1:18" x14ac:dyDescent="0.25">
      <c r="A219" s="84" t="str">
        <f t="shared" si="10"/>
        <v>OutubroSEMANA 1Suíno - Linguiça Paio</v>
      </c>
      <c r="B219" s="85" t="s">
        <v>37</v>
      </c>
      <c r="C219" s="85" t="s">
        <v>20</v>
      </c>
      <c r="D219" s="86">
        <v>5</v>
      </c>
      <c r="E219" s="116" t="str">
        <f t="shared" si="11"/>
        <v>Carnes</v>
      </c>
      <c r="F219" s="85" t="s">
        <v>1078</v>
      </c>
      <c r="G219" s="85" t="s">
        <v>765</v>
      </c>
      <c r="H219" s="85" t="s">
        <v>1039</v>
      </c>
      <c r="I219" s="85">
        <v>10</v>
      </c>
      <c r="J219" s="87">
        <v>9.48</v>
      </c>
      <c r="K219" s="88">
        <f t="shared" si="12"/>
        <v>94.800000000000011</v>
      </c>
      <c r="L219" s="85" t="s">
        <v>1103</v>
      </c>
      <c r="M219" s="118" t="s">
        <v>235</v>
      </c>
      <c r="N219" s="96"/>
      <c r="O219" s="96" t="s">
        <v>874</v>
      </c>
      <c r="R219"/>
    </row>
    <row r="220" spans="1:18" x14ac:dyDescent="0.25">
      <c r="A220" s="84" t="str">
        <f t="shared" si="10"/>
        <v>OutubroSEMANA 1Queijo Parmezon</v>
      </c>
      <c r="B220" s="85" t="s">
        <v>37</v>
      </c>
      <c r="C220" s="85" t="s">
        <v>20</v>
      </c>
      <c r="D220" s="86">
        <v>5</v>
      </c>
      <c r="E220" s="116" t="str">
        <f t="shared" si="11"/>
        <v>Mercado</v>
      </c>
      <c r="F220" s="85" t="s">
        <v>1078</v>
      </c>
      <c r="G220" s="85" t="s">
        <v>686</v>
      </c>
      <c r="H220" s="85" t="s">
        <v>1039</v>
      </c>
      <c r="I220" s="85">
        <v>5.9</v>
      </c>
      <c r="J220" s="87">
        <v>23.96</v>
      </c>
      <c r="K220" s="88">
        <f t="shared" si="12"/>
        <v>141.364</v>
      </c>
      <c r="L220" s="85" t="s">
        <v>1102</v>
      </c>
      <c r="M220" s="118" t="s">
        <v>236</v>
      </c>
      <c r="N220" s="96"/>
      <c r="O220" s="96" t="s">
        <v>874</v>
      </c>
      <c r="R220"/>
    </row>
    <row r="221" spans="1:18" x14ac:dyDescent="0.25">
      <c r="A221" s="84" t="str">
        <f t="shared" si="10"/>
        <v>OutubroSEMANA 1Pescados - Filé Truta Cong.</v>
      </c>
      <c r="B221" s="85" t="s">
        <v>37</v>
      </c>
      <c r="C221" s="85" t="s">
        <v>20</v>
      </c>
      <c r="D221" s="86">
        <v>5</v>
      </c>
      <c r="E221" s="116" t="str">
        <f t="shared" si="11"/>
        <v>Carnes</v>
      </c>
      <c r="F221" s="85" t="s">
        <v>1104</v>
      </c>
      <c r="G221" s="85" t="s">
        <v>617</v>
      </c>
      <c r="H221" s="85" t="s">
        <v>1039</v>
      </c>
      <c r="I221" s="85">
        <v>48</v>
      </c>
      <c r="J221" s="87">
        <v>26</v>
      </c>
      <c r="K221" s="88">
        <f t="shared" si="12"/>
        <v>1248</v>
      </c>
      <c r="L221" s="85" t="s">
        <v>1105</v>
      </c>
      <c r="M221" s="118" t="s">
        <v>237</v>
      </c>
      <c r="N221" s="96"/>
      <c r="O221" s="96" t="s">
        <v>872</v>
      </c>
      <c r="R221"/>
    </row>
    <row r="222" spans="1:18" x14ac:dyDescent="0.25">
      <c r="A222" s="84" t="str">
        <f t="shared" si="10"/>
        <v>OutubroSEMANA 1Cogumelo Paris</v>
      </c>
      <c r="B222" s="85" t="s">
        <v>37</v>
      </c>
      <c r="C222" s="85" t="s">
        <v>20</v>
      </c>
      <c r="D222" s="86">
        <v>5</v>
      </c>
      <c r="E222" s="116" t="str">
        <f t="shared" si="11"/>
        <v>Mercado</v>
      </c>
      <c r="F222" s="85" t="s">
        <v>1104</v>
      </c>
      <c r="G222" s="85" t="s">
        <v>292</v>
      </c>
      <c r="H222" s="85" t="s">
        <v>1039</v>
      </c>
      <c r="I222" s="85">
        <v>5</v>
      </c>
      <c r="J222" s="87">
        <v>15.5</v>
      </c>
      <c r="K222" s="88">
        <f t="shared" si="12"/>
        <v>77.5</v>
      </c>
      <c r="L222" s="85" t="s">
        <v>1105</v>
      </c>
      <c r="M222" s="118" t="s">
        <v>1028</v>
      </c>
      <c r="O222" s="84" t="s">
        <v>42</v>
      </c>
      <c r="R222"/>
    </row>
    <row r="223" spans="1:18" x14ac:dyDescent="0.25">
      <c r="A223" s="84" t="str">
        <f t="shared" si="10"/>
        <v>OutubroSEMANA 1Guardanapo Pequeno</v>
      </c>
      <c r="B223" s="85" t="s">
        <v>37</v>
      </c>
      <c r="C223" s="85" t="s">
        <v>20</v>
      </c>
      <c r="D223" s="86">
        <v>5</v>
      </c>
      <c r="E223" s="116" t="str">
        <f t="shared" si="11"/>
        <v>Descartável</v>
      </c>
      <c r="F223" s="85" t="s">
        <v>1106</v>
      </c>
      <c r="G223" s="85" t="s">
        <v>399</v>
      </c>
      <c r="H223" s="85" t="s">
        <v>1038</v>
      </c>
      <c r="I223" s="85">
        <f>2*96</f>
        <v>192</v>
      </c>
      <c r="J223" s="87">
        <f>341.11/192</f>
        <v>1.7766145833333333</v>
      </c>
      <c r="K223" s="88">
        <f t="shared" si="12"/>
        <v>341.11</v>
      </c>
      <c r="L223" s="85">
        <v>27726</v>
      </c>
      <c r="M223" s="118" t="s">
        <v>238</v>
      </c>
      <c r="N223" s="96"/>
      <c r="O223" s="96" t="s">
        <v>42</v>
      </c>
      <c r="R223"/>
    </row>
    <row r="224" spans="1:18" x14ac:dyDescent="0.25">
      <c r="A224" s="84" t="str">
        <f t="shared" si="10"/>
        <v>OutubroSEMANA 1T.P. Interfolhado Melpaper</v>
      </c>
      <c r="B224" s="85" t="s">
        <v>37</v>
      </c>
      <c r="C224" s="85" t="s">
        <v>20</v>
      </c>
      <c r="D224" s="86">
        <v>5</v>
      </c>
      <c r="E224" s="116" t="str">
        <f t="shared" si="11"/>
        <v>Descartável</v>
      </c>
      <c r="F224" s="85" t="s">
        <v>1106</v>
      </c>
      <c r="G224" s="85" t="s">
        <v>777</v>
      </c>
      <c r="H224" s="85" t="s">
        <v>1038</v>
      </c>
      <c r="I224" s="85">
        <f>2*15</f>
        <v>30</v>
      </c>
      <c r="J224" s="87">
        <f>336.15/30</f>
        <v>11.205</v>
      </c>
      <c r="K224" s="88">
        <f t="shared" si="12"/>
        <v>336.15</v>
      </c>
      <c r="L224" s="85">
        <v>27726</v>
      </c>
      <c r="M224" s="118" t="s">
        <v>239</v>
      </c>
      <c r="N224" s="96"/>
      <c r="O224" s="96" t="s">
        <v>42</v>
      </c>
      <c r="R224"/>
    </row>
    <row r="225" spans="1:18" x14ac:dyDescent="0.25">
      <c r="A225" s="84" t="str">
        <f t="shared" si="10"/>
        <v>OutubroSEMANA 1Carne Bovina - Contra-filé (Chorizo)</v>
      </c>
      <c r="B225" s="85" t="s">
        <v>37</v>
      </c>
      <c r="C225" s="85" t="s">
        <v>20</v>
      </c>
      <c r="D225" s="86">
        <v>5</v>
      </c>
      <c r="E225" s="116" t="str">
        <f t="shared" si="11"/>
        <v>Carnes</v>
      </c>
      <c r="F225" s="85" t="s">
        <v>1107</v>
      </c>
      <c r="G225" s="85" t="s">
        <v>975</v>
      </c>
      <c r="H225" s="85" t="s">
        <v>1039</v>
      </c>
      <c r="I225" s="85">
        <v>15.303000000000001</v>
      </c>
      <c r="J225" s="87">
        <v>24.612200000000001</v>
      </c>
      <c r="K225" s="88">
        <f t="shared" si="12"/>
        <v>376.64049660000006</v>
      </c>
      <c r="L225" s="85" t="s">
        <v>1108</v>
      </c>
      <c r="M225" s="118" t="s">
        <v>240</v>
      </c>
      <c r="N225" s="96"/>
      <c r="O225" s="96" t="s">
        <v>42</v>
      </c>
      <c r="R225"/>
    </row>
    <row r="226" spans="1:18" x14ac:dyDescent="0.25">
      <c r="A226" s="84" t="str">
        <f t="shared" si="10"/>
        <v>OutubroSEMANA 1Carne Bovina - Contra-filé (Chorizo)</v>
      </c>
      <c r="B226" s="85" t="s">
        <v>37</v>
      </c>
      <c r="C226" s="85" t="s">
        <v>20</v>
      </c>
      <c r="D226" s="86">
        <v>5</v>
      </c>
      <c r="E226" s="116" t="str">
        <f t="shared" si="11"/>
        <v>Carnes</v>
      </c>
      <c r="F226" s="85" t="s">
        <v>1107</v>
      </c>
      <c r="G226" s="85" t="s">
        <v>975</v>
      </c>
      <c r="H226" s="85" t="s">
        <v>1039</v>
      </c>
      <c r="I226" s="85">
        <v>11.981</v>
      </c>
      <c r="J226" s="87">
        <v>24.612200000000001</v>
      </c>
      <c r="K226" s="88">
        <f t="shared" si="12"/>
        <v>294.87876820000002</v>
      </c>
      <c r="L226" s="85">
        <v>68283</v>
      </c>
      <c r="M226" s="118" t="s">
        <v>241</v>
      </c>
      <c r="O226" s="115" t="s">
        <v>45</v>
      </c>
      <c r="R226"/>
    </row>
    <row r="227" spans="1:18" x14ac:dyDescent="0.25">
      <c r="A227" s="84" t="str">
        <f t="shared" si="10"/>
        <v>OutubroSEMANA 1Azeite Extra Virgem (Santiago) 500 ml</v>
      </c>
      <c r="B227" s="85" t="s">
        <v>37</v>
      </c>
      <c r="C227" s="85" t="s">
        <v>20</v>
      </c>
      <c r="D227" s="86">
        <v>5</v>
      </c>
      <c r="E227" s="116" t="str">
        <f t="shared" si="11"/>
        <v>Mercado</v>
      </c>
      <c r="F227" s="85" t="s">
        <v>1085</v>
      </c>
      <c r="G227" s="85" t="s">
        <v>153</v>
      </c>
      <c r="H227" s="85" t="s">
        <v>1038</v>
      </c>
      <c r="I227" s="85">
        <f>36</f>
        <v>36</v>
      </c>
      <c r="J227" s="87">
        <f>588.58/36</f>
        <v>16.349444444444444</v>
      </c>
      <c r="K227" s="88">
        <f t="shared" si="12"/>
        <v>588.57999999999993</v>
      </c>
      <c r="L227" s="85" t="s">
        <v>1109</v>
      </c>
      <c r="M227" s="118" t="s">
        <v>1296</v>
      </c>
      <c r="O227" s="84" t="s">
        <v>60</v>
      </c>
      <c r="R227"/>
    </row>
    <row r="228" spans="1:18" x14ac:dyDescent="0.25">
      <c r="A228" s="84" t="str">
        <f t="shared" si="10"/>
        <v xml:space="preserve">OutubroSEMANA 1Abacaxi </v>
      </c>
      <c r="B228" s="85" t="s">
        <v>37</v>
      </c>
      <c r="C228" s="85" t="s">
        <v>20</v>
      </c>
      <c r="D228" s="86">
        <v>5</v>
      </c>
      <c r="E228" s="116" t="str">
        <f t="shared" si="11"/>
        <v>Hortifruti</v>
      </c>
      <c r="F228" s="85" t="s">
        <v>1055</v>
      </c>
      <c r="G228" s="85" t="s">
        <v>65</v>
      </c>
      <c r="H228" s="85" t="s">
        <v>1039</v>
      </c>
      <c r="I228" s="85">
        <v>6</v>
      </c>
      <c r="J228" s="87">
        <v>2.5</v>
      </c>
      <c r="K228" s="88">
        <f t="shared" si="12"/>
        <v>15</v>
      </c>
      <c r="L228" s="85">
        <v>3951</v>
      </c>
      <c r="M228" s="118" t="s">
        <v>242</v>
      </c>
      <c r="N228" s="96"/>
      <c r="O228" s="96" t="s">
        <v>45</v>
      </c>
      <c r="R228"/>
    </row>
    <row r="229" spans="1:18" x14ac:dyDescent="0.25">
      <c r="A229" s="84" t="str">
        <f t="shared" si="10"/>
        <v>OutubroSEMANA 1Batata Calabresa</v>
      </c>
      <c r="B229" s="85" t="s">
        <v>37</v>
      </c>
      <c r="C229" s="85" t="s">
        <v>20</v>
      </c>
      <c r="D229" s="86">
        <v>5</v>
      </c>
      <c r="E229" s="116" t="str">
        <f t="shared" si="11"/>
        <v>Hortifruti</v>
      </c>
      <c r="F229" s="85" t="s">
        <v>1055</v>
      </c>
      <c r="G229" s="85" t="s">
        <v>903</v>
      </c>
      <c r="H229" s="85" t="s">
        <v>1039</v>
      </c>
      <c r="I229" s="85">
        <v>2.5</v>
      </c>
      <c r="J229" s="87">
        <v>1.75</v>
      </c>
      <c r="K229" s="88">
        <f t="shared" si="12"/>
        <v>4.375</v>
      </c>
      <c r="L229" s="85">
        <v>3951</v>
      </c>
      <c r="M229" s="118" t="s">
        <v>243</v>
      </c>
      <c r="N229" s="96"/>
      <c r="O229" s="96" t="s">
        <v>45</v>
      </c>
      <c r="R229"/>
    </row>
    <row r="230" spans="1:18" x14ac:dyDescent="0.25">
      <c r="A230" s="84" t="str">
        <f t="shared" si="10"/>
        <v>OutubroSEMANA 1Brócolis Nacional</v>
      </c>
      <c r="B230" s="85" t="s">
        <v>37</v>
      </c>
      <c r="C230" s="85" t="s">
        <v>20</v>
      </c>
      <c r="D230" s="86">
        <v>5</v>
      </c>
      <c r="E230" s="116" t="str">
        <f t="shared" si="11"/>
        <v>Hortifruti</v>
      </c>
      <c r="F230" s="85" t="s">
        <v>1055</v>
      </c>
      <c r="G230" s="85" t="s">
        <v>891</v>
      </c>
      <c r="H230" s="85" t="s">
        <v>1039</v>
      </c>
      <c r="I230" s="85">
        <v>3</v>
      </c>
      <c r="J230" s="87">
        <v>3.5</v>
      </c>
      <c r="K230" s="88">
        <f t="shared" si="12"/>
        <v>10.5</v>
      </c>
      <c r="L230" s="85">
        <v>3951</v>
      </c>
      <c r="M230" s="118" t="s">
        <v>244</v>
      </c>
      <c r="N230" s="96"/>
      <c r="O230" s="96" t="s">
        <v>45</v>
      </c>
      <c r="R230"/>
    </row>
    <row r="231" spans="1:18" x14ac:dyDescent="0.25">
      <c r="A231" s="84" t="str">
        <f t="shared" si="10"/>
        <v>OutubroSEMANA 1Berinjela</v>
      </c>
      <c r="B231" s="85" t="s">
        <v>37</v>
      </c>
      <c r="C231" s="85" t="s">
        <v>20</v>
      </c>
      <c r="D231" s="86">
        <v>5</v>
      </c>
      <c r="E231" s="116" t="str">
        <f t="shared" si="11"/>
        <v>Hortifruti</v>
      </c>
      <c r="F231" s="85" t="s">
        <v>1055</v>
      </c>
      <c r="G231" s="85" t="s">
        <v>178</v>
      </c>
      <c r="H231" s="85" t="s">
        <v>1039</v>
      </c>
      <c r="I231" s="85">
        <v>10.72</v>
      </c>
      <c r="J231" s="87">
        <f>34.5/10.72</f>
        <v>3.2182835820895521</v>
      </c>
      <c r="K231" s="88">
        <f t="shared" si="12"/>
        <v>34.5</v>
      </c>
      <c r="L231" s="85">
        <v>3951</v>
      </c>
      <c r="M231" s="118" t="s">
        <v>245</v>
      </c>
      <c r="N231" s="96"/>
      <c r="O231" s="96" t="s">
        <v>42</v>
      </c>
      <c r="R231"/>
    </row>
    <row r="232" spans="1:18" x14ac:dyDescent="0.25">
      <c r="A232" s="84" t="str">
        <f t="shared" si="10"/>
        <v>OutubroSEMANA 1Côco Seco</v>
      </c>
      <c r="B232" s="85" t="s">
        <v>37</v>
      </c>
      <c r="C232" s="85" t="s">
        <v>20</v>
      </c>
      <c r="D232" s="86">
        <v>5</v>
      </c>
      <c r="E232" s="116" t="str">
        <f t="shared" si="11"/>
        <v>Mercado</v>
      </c>
      <c r="F232" s="85" t="s">
        <v>1055</v>
      </c>
      <c r="G232" s="85" t="s">
        <v>287</v>
      </c>
      <c r="H232" s="85" t="s">
        <v>1039</v>
      </c>
      <c r="I232" s="85">
        <v>2</v>
      </c>
      <c r="J232" s="87">
        <v>6.9</v>
      </c>
      <c r="K232" s="88">
        <f t="shared" si="12"/>
        <v>13.8</v>
      </c>
      <c r="L232" s="85">
        <v>3951</v>
      </c>
      <c r="M232" s="118" t="s">
        <v>246</v>
      </c>
      <c r="N232" s="96"/>
      <c r="O232" s="96" t="s">
        <v>45</v>
      </c>
      <c r="R232"/>
    </row>
    <row r="233" spans="1:18" x14ac:dyDescent="0.25">
      <c r="A233" s="84" t="str">
        <f t="shared" si="10"/>
        <v>OutubroSEMANA 1Couve Flor</v>
      </c>
      <c r="B233" s="85" t="s">
        <v>37</v>
      </c>
      <c r="C233" s="85" t="s">
        <v>20</v>
      </c>
      <c r="D233" s="86">
        <v>5</v>
      </c>
      <c r="E233" s="116" t="str">
        <f t="shared" si="11"/>
        <v>Hortifruti</v>
      </c>
      <c r="F233" s="85" t="s">
        <v>1055</v>
      </c>
      <c r="G233" s="85" t="s">
        <v>306</v>
      </c>
      <c r="H233" s="85" t="s">
        <v>1039</v>
      </c>
      <c r="I233" s="85">
        <v>2.4</v>
      </c>
      <c r="J233" s="87">
        <v>4.25</v>
      </c>
      <c r="K233" s="88">
        <f t="shared" si="12"/>
        <v>10.199999999999999</v>
      </c>
      <c r="L233" s="85">
        <v>3951</v>
      </c>
      <c r="M233" s="118" t="s">
        <v>247</v>
      </c>
      <c r="N233" s="96"/>
      <c r="O233" s="96" t="s">
        <v>45</v>
      </c>
      <c r="R233"/>
    </row>
    <row r="234" spans="1:18" x14ac:dyDescent="0.25">
      <c r="A234" s="84" t="str">
        <f t="shared" si="10"/>
        <v>OutubroSEMANA 1Couve Manteiga</v>
      </c>
      <c r="B234" s="85" t="s">
        <v>37</v>
      </c>
      <c r="C234" s="85" t="s">
        <v>20</v>
      </c>
      <c r="D234" s="86">
        <v>5</v>
      </c>
      <c r="E234" s="116" t="str">
        <f t="shared" si="11"/>
        <v>Hortifruti</v>
      </c>
      <c r="F234" s="85" t="s">
        <v>1055</v>
      </c>
      <c r="G234" s="85" t="s">
        <v>307</v>
      </c>
      <c r="H234" s="85" t="s">
        <v>1039</v>
      </c>
      <c r="I234" s="85">
        <f>12-1.5</f>
        <v>10.5</v>
      </c>
      <c r="J234" s="87">
        <v>3</v>
      </c>
      <c r="K234" s="88">
        <f t="shared" si="12"/>
        <v>31.5</v>
      </c>
      <c r="L234" s="85">
        <v>3951</v>
      </c>
      <c r="M234" s="118" t="s">
        <v>248</v>
      </c>
      <c r="N234" s="96"/>
      <c r="O234" s="96" t="s">
        <v>60</v>
      </c>
      <c r="R234"/>
    </row>
    <row r="235" spans="1:18" x14ac:dyDescent="0.25">
      <c r="A235" s="84" t="str">
        <f t="shared" si="10"/>
        <v>OutubroSEMANA 1Mamão Bahia</v>
      </c>
      <c r="B235" s="85" t="s">
        <v>37</v>
      </c>
      <c r="C235" s="85" t="s">
        <v>20</v>
      </c>
      <c r="D235" s="86">
        <v>5</v>
      </c>
      <c r="E235" s="116" t="str">
        <f t="shared" si="11"/>
        <v>Hortifruti</v>
      </c>
      <c r="F235" s="85" t="s">
        <v>1055</v>
      </c>
      <c r="G235" s="85" t="s">
        <v>494</v>
      </c>
      <c r="H235" s="85" t="s">
        <v>1039</v>
      </c>
      <c r="I235" s="85">
        <v>2.7</v>
      </c>
      <c r="J235" s="87">
        <v>3.26</v>
      </c>
      <c r="K235" s="88">
        <f t="shared" si="12"/>
        <v>8.8019999999999996</v>
      </c>
      <c r="L235" s="85">
        <v>3951</v>
      </c>
      <c r="M235" s="118" t="s">
        <v>249</v>
      </c>
      <c r="N235" s="96"/>
      <c r="O235" s="96" t="s">
        <v>45</v>
      </c>
      <c r="R235"/>
    </row>
    <row r="236" spans="1:18" x14ac:dyDescent="0.25">
      <c r="A236" s="84" t="str">
        <f t="shared" si="10"/>
        <v>OutubroSEMANA 1Manga Palmer</v>
      </c>
      <c r="B236" s="85" t="s">
        <v>37</v>
      </c>
      <c r="C236" s="85" t="s">
        <v>20</v>
      </c>
      <c r="D236" s="86">
        <v>5</v>
      </c>
      <c r="E236" s="116" t="str">
        <f t="shared" si="11"/>
        <v>Hortifruti</v>
      </c>
      <c r="F236" s="85" t="s">
        <v>1055</v>
      </c>
      <c r="G236" s="85" t="s">
        <v>496</v>
      </c>
      <c r="H236" s="85" t="s">
        <v>1039</v>
      </c>
      <c r="I236" s="85"/>
      <c r="J236" s="87"/>
      <c r="K236" s="88">
        <f t="shared" si="12"/>
        <v>0</v>
      </c>
      <c r="L236" s="85" t="s">
        <v>1111</v>
      </c>
      <c r="M236" s="118" t="s">
        <v>250</v>
      </c>
      <c r="N236" s="96"/>
      <c r="O236" s="96" t="s">
        <v>60</v>
      </c>
      <c r="R236"/>
    </row>
    <row r="237" spans="1:18" x14ac:dyDescent="0.25">
      <c r="A237" s="84" t="str">
        <f t="shared" si="10"/>
        <v>OutubroSEMANA 1Manjericão</v>
      </c>
      <c r="B237" s="85" t="s">
        <v>37</v>
      </c>
      <c r="C237" s="85" t="s">
        <v>20</v>
      </c>
      <c r="D237" s="86">
        <v>5</v>
      </c>
      <c r="E237" s="116" t="str">
        <f t="shared" si="11"/>
        <v>Hortifruti</v>
      </c>
      <c r="F237" s="85" t="s">
        <v>1055</v>
      </c>
      <c r="G237" s="85" t="s">
        <v>499</v>
      </c>
      <c r="H237" s="85" t="s">
        <v>1039</v>
      </c>
      <c r="I237" s="85">
        <v>0.5</v>
      </c>
      <c r="J237" s="87">
        <v>12.5</v>
      </c>
      <c r="K237" s="88">
        <f t="shared" si="12"/>
        <v>6.25</v>
      </c>
      <c r="L237" s="85">
        <v>3951</v>
      </c>
      <c r="M237" s="118" t="s">
        <v>251</v>
      </c>
      <c r="N237" s="96"/>
      <c r="O237" s="96" t="s">
        <v>42</v>
      </c>
      <c r="R237"/>
    </row>
    <row r="238" spans="1:18" x14ac:dyDescent="0.25">
      <c r="A238" s="84" t="str">
        <f t="shared" si="10"/>
        <v>OutubroSEMANA 1Pepino Japonês</v>
      </c>
      <c r="B238" s="85" t="s">
        <v>37</v>
      </c>
      <c r="C238" s="85" t="s">
        <v>20</v>
      </c>
      <c r="D238" s="86">
        <v>5</v>
      </c>
      <c r="E238" s="116" t="str">
        <f t="shared" si="11"/>
        <v>Hortifruti</v>
      </c>
      <c r="F238" s="85" t="s">
        <v>1055</v>
      </c>
      <c r="G238" s="85" t="s">
        <v>577</v>
      </c>
      <c r="H238" s="85" t="s">
        <v>1039</v>
      </c>
      <c r="I238" s="85">
        <v>14.54</v>
      </c>
      <c r="J238" s="87">
        <f>50/14.54</f>
        <v>3.4387895460797799</v>
      </c>
      <c r="K238" s="88">
        <f t="shared" si="12"/>
        <v>50</v>
      </c>
      <c r="L238" s="85">
        <v>3951</v>
      </c>
      <c r="M238" s="118" t="s">
        <v>883</v>
      </c>
      <c r="N238" s="96"/>
      <c r="O238" s="96" t="s">
        <v>875</v>
      </c>
      <c r="R238"/>
    </row>
    <row r="239" spans="1:18" x14ac:dyDescent="0.25">
      <c r="A239" s="84" t="str">
        <f t="shared" si="10"/>
        <v>OutubroSEMANA 1Pimentão Amarelo</v>
      </c>
      <c r="B239" s="85" t="s">
        <v>37</v>
      </c>
      <c r="C239" s="85" t="s">
        <v>20</v>
      </c>
      <c r="D239" s="86">
        <v>5</v>
      </c>
      <c r="E239" s="116" t="str">
        <f t="shared" si="11"/>
        <v>Hortifruti</v>
      </c>
      <c r="F239" s="85" t="s">
        <v>1055</v>
      </c>
      <c r="G239" s="85" t="s">
        <v>664</v>
      </c>
      <c r="H239" s="85" t="s">
        <v>1039</v>
      </c>
      <c r="I239" s="85">
        <v>1</v>
      </c>
      <c r="J239" s="87">
        <v>9</v>
      </c>
      <c r="K239" s="88">
        <f t="shared" si="12"/>
        <v>9</v>
      </c>
      <c r="L239" s="85">
        <v>3951</v>
      </c>
      <c r="M239" s="118" t="s">
        <v>252</v>
      </c>
      <c r="N239" s="96"/>
      <c r="O239" s="96" t="s">
        <v>45</v>
      </c>
      <c r="R239"/>
    </row>
    <row r="240" spans="1:18" x14ac:dyDescent="0.25">
      <c r="A240" s="84" t="str">
        <f t="shared" si="10"/>
        <v>OutubroSEMANA 1Pimentão Vermelho</v>
      </c>
      <c r="B240" s="85" t="s">
        <v>37</v>
      </c>
      <c r="C240" s="85" t="s">
        <v>20</v>
      </c>
      <c r="D240" s="86">
        <v>5</v>
      </c>
      <c r="E240" s="116" t="str">
        <f t="shared" si="11"/>
        <v>Hortifruti</v>
      </c>
      <c r="F240" s="85" t="s">
        <v>1055</v>
      </c>
      <c r="G240" s="85" t="s">
        <v>667</v>
      </c>
      <c r="H240" s="85" t="s">
        <v>1039</v>
      </c>
      <c r="I240" s="85">
        <v>1</v>
      </c>
      <c r="J240" s="87">
        <v>9</v>
      </c>
      <c r="K240" s="88">
        <f t="shared" si="12"/>
        <v>9</v>
      </c>
      <c r="L240" s="85">
        <v>3951</v>
      </c>
      <c r="M240" s="118" t="s">
        <v>253</v>
      </c>
      <c r="N240" s="96"/>
      <c r="O240" s="96" t="s">
        <v>42</v>
      </c>
      <c r="R240"/>
    </row>
    <row r="241" spans="1:18" x14ac:dyDescent="0.25">
      <c r="A241" s="84" t="str">
        <f t="shared" si="10"/>
        <v>OutubroSEMANA 1Salsa Crespa</v>
      </c>
      <c r="B241" s="85" t="s">
        <v>37</v>
      </c>
      <c r="C241" s="85" t="s">
        <v>20</v>
      </c>
      <c r="D241" s="86">
        <v>5</v>
      </c>
      <c r="E241" s="116" t="str">
        <f t="shared" si="11"/>
        <v>Hortifruti</v>
      </c>
      <c r="F241" s="85" t="s">
        <v>1055</v>
      </c>
      <c r="G241" s="85" t="s">
        <v>730</v>
      </c>
      <c r="H241" s="85" t="s">
        <v>1039</v>
      </c>
      <c r="I241" s="85">
        <v>1</v>
      </c>
      <c r="J241" s="87">
        <v>12.5</v>
      </c>
      <c r="K241" s="88">
        <f t="shared" si="12"/>
        <v>12.5</v>
      </c>
      <c r="L241" s="85">
        <v>3951</v>
      </c>
      <c r="M241" s="118" t="s">
        <v>254</v>
      </c>
      <c r="N241" s="96"/>
      <c r="O241" s="96" t="s">
        <v>47</v>
      </c>
      <c r="R241"/>
    </row>
    <row r="242" spans="1:18" x14ac:dyDescent="0.25">
      <c r="A242" s="84" t="str">
        <f t="shared" si="10"/>
        <v>OutubroSEMANA 1Abobora Japonesa</v>
      </c>
      <c r="B242" s="85" t="s">
        <v>37</v>
      </c>
      <c r="C242" s="85" t="s">
        <v>20</v>
      </c>
      <c r="D242" s="86">
        <v>5</v>
      </c>
      <c r="E242" s="116" t="str">
        <f t="shared" si="11"/>
        <v>Hortifruti</v>
      </c>
      <c r="F242" s="85" t="s">
        <v>1110</v>
      </c>
      <c r="G242" s="85" t="s">
        <v>69</v>
      </c>
      <c r="H242" s="85" t="s">
        <v>1039</v>
      </c>
      <c r="I242" s="85">
        <v>2</v>
      </c>
      <c r="J242" s="87">
        <v>2.5099999999999998</v>
      </c>
      <c r="K242" s="88">
        <f t="shared" si="12"/>
        <v>5.0199999999999996</v>
      </c>
      <c r="L242" s="85" t="s">
        <v>1191</v>
      </c>
      <c r="M242" s="118" t="s">
        <v>255</v>
      </c>
      <c r="N242" s="96"/>
      <c r="O242" s="96" t="s">
        <v>47</v>
      </c>
      <c r="R242"/>
    </row>
    <row r="243" spans="1:18" x14ac:dyDescent="0.25">
      <c r="A243" s="84" t="str">
        <f t="shared" si="10"/>
        <v>OutubroSEMANA 1Banana D'Água</v>
      </c>
      <c r="B243" s="85" t="s">
        <v>37</v>
      </c>
      <c r="C243" s="85" t="s">
        <v>20</v>
      </c>
      <c r="D243" s="86">
        <v>5</v>
      </c>
      <c r="E243" s="116" t="str">
        <f t="shared" si="11"/>
        <v>Hortifruti</v>
      </c>
      <c r="F243" s="85" t="s">
        <v>1110</v>
      </c>
      <c r="G243" s="85" t="s">
        <v>162</v>
      </c>
      <c r="H243" s="85" t="s">
        <v>1039</v>
      </c>
      <c r="I243" s="85">
        <f>3-0.3</f>
        <v>2.7</v>
      </c>
      <c r="J243" s="87">
        <v>1.88</v>
      </c>
      <c r="K243" s="88">
        <f t="shared" si="12"/>
        <v>5.0759999999999996</v>
      </c>
      <c r="L243" s="85">
        <v>19544</v>
      </c>
      <c r="M243" s="118" t="s">
        <v>256</v>
      </c>
      <c r="N243" s="96"/>
      <c r="O243" s="96" t="s">
        <v>47</v>
      </c>
      <c r="R243"/>
    </row>
    <row r="244" spans="1:18" x14ac:dyDescent="0.25">
      <c r="A244" s="84" t="str">
        <f t="shared" si="10"/>
        <v>OutubroSEMANA 1Bertalha</v>
      </c>
      <c r="B244" s="85" t="s">
        <v>37</v>
      </c>
      <c r="C244" s="85" t="s">
        <v>20</v>
      </c>
      <c r="D244" s="86">
        <v>5</v>
      </c>
      <c r="E244" s="116" t="str">
        <f t="shared" si="11"/>
        <v>Hortifruti</v>
      </c>
      <c r="F244" s="85" t="s">
        <v>1110</v>
      </c>
      <c r="G244" s="85" t="s">
        <v>180</v>
      </c>
      <c r="H244" s="85" t="s">
        <v>1039</v>
      </c>
      <c r="I244" s="85"/>
      <c r="J244" s="87"/>
      <c r="K244" s="88">
        <f t="shared" si="12"/>
        <v>0</v>
      </c>
      <c r="L244" s="85" t="s">
        <v>1244</v>
      </c>
      <c r="M244" s="118" t="s">
        <v>257</v>
      </c>
      <c r="N244" s="96"/>
      <c r="O244" s="96" t="s">
        <v>47</v>
      </c>
      <c r="R244"/>
    </row>
    <row r="245" spans="1:18" x14ac:dyDescent="0.25">
      <c r="A245" s="84" t="str">
        <f t="shared" si="10"/>
        <v>OutubroSEMANA 1Côco Verde</v>
      </c>
      <c r="B245" s="85" t="s">
        <v>37</v>
      </c>
      <c r="C245" s="85" t="s">
        <v>20</v>
      </c>
      <c r="D245" s="86">
        <v>5</v>
      </c>
      <c r="E245" s="116" t="str">
        <f t="shared" si="11"/>
        <v>Hortifruti</v>
      </c>
      <c r="F245" s="85" t="s">
        <v>1110</v>
      </c>
      <c r="G245" s="85" t="s">
        <v>288</v>
      </c>
      <c r="H245" s="85" t="s">
        <v>1038</v>
      </c>
      <c r="I245" s="85">
        <v>9</v>
      </c>
      <c r="J245" s="87">
        <v>1.88</v>
      </c>
      <c r="K245" s="88">
        <f t="shared" si="12"/>
        <v>16.919999999999998</v>
      </c>
      <c r="L245" s="85">
        <v>19544</v>
      </c>
      <c r="M245" s="118" t="s">
        <v>258</v>
      </c>
      <c r="N245" s="96"/>
      <c r="O245" s="96" t="s">
        <v>47</v>
      </c>
      <c r="R245"/>
    </row>
    <row r="246" spans="1:18" x14ac:dyDescent="0.25">
      <c r="A246" s="84" t="str">
        <f t="shared" si="10"/>
        <v>OutubroSEMANA 1Coentro</v>
      </c>
      <c r="B246" s="85" t="s">
        <v>37</v>
      </c>
      <c r="C246" s="85" t="s">
        <v>20</v>
      </c>
      <c r="D246" s="86">
        <v>5</v>
      </c>
      <c r="E246" s="116" t="str">
        <f t="shared" si="11"/>
        <v>Hortifruti</v>
      </c>
      <c r="F246" s="85" t="s">
        <v>1110</v>
      </c>
      <c r="G246" s="85" t="s">
        <v>289</v>
      </c>
      <c r="H246" s="85" t="s">
        <v>1039</v>
      </c>
      <c r="I246" s="85">
        <v>0.5</v>
      </c>
      <c r="J246" s="87">
        <v>11.25</v>
      </c>
      <c r="K246" s="88">
        <f t="shared" si="12"/>
        <v>5.625</v>
      </c>
      <c r="L246" s="85">
        <v>19544</v>
      </c>
      <c r="M246" s="118" t="s">
        <v>259</v>
      </c>
      <c r="N246" s="96"/>
      <c r="O246" s="96" t="s">
        <v>47</v>
      </c>
      <c r="R246"/>
    </row>
    <row r="247" spans="1:18" x14ac:dyDescent="0.25">
      <c r="A247" s="84" t="str">
        <f t="shared" si="10"/>
        <v>OutubroSEMANA 1Espinafre</v>
      </c>
      <c r="B247" s="85" t="s">
        <v>37</v>
      </c>
      <c r="C247" s="85" t="s">
        <v>20</v>
      </c>
      <c r="D247" s="86">
        <v>5</v>
      </c>
      <c r="E247" s="116" t="str">
        <f t="shared" si="11"/>
        <v>Hortifruti</v>
      </c>
      <c r="F247" s="85" t="s">
        <v>1110</v>
      </c>
      <c r="G247" s="85" t="s">
        <v>332</v>
      </c>
      <c r="H247" s="85" t="s">
        <v>1039</v>
      </c>
      <c r="I247" s="85">
        <v>7</v>
      </c>
      <c r="J247" s="87">
        <v>4.4000000000000004</v>
      </c>
      <c r="K247" s="88">
        <f t="shared" si="12"/>
        <v>30.800000000000004</v>
      </c>
      <c r="L247" s="85">
        <v>19544</v>
      </c>
      <c r="M247" s="118" t="s">
        <v>260</v>
      </c>
      <c r="N247" s="96"/>
      <c r="O247" s="96" t="s">
        <v>47</v>
      </c>
      <c r="R247"/>
    </row>
    <row r="248" spans="1:18" x14ac:dyDescent="0.25">
      <c r="A248" s="84" t="str">
        <f t="shared" si="10"/>
        <v>OutubroSEMANA 1Ovos Extra</v>
      </c>
      <c r="B248" s="85" t="s">
        <v>37</v>
      </c>
      <c r="C248" s="85" t="s">
        <v>20</v>
      </c>
      <c r="D248" s="86">
        <v>5</v>
      </c>
      <c r="E248" s="116" t="str">
        <f t="shared" si="11"/>
        <v>Hortifruti</v>
      </c>
      <c r="F248" s="85" t="s">
        <v>1110</v>
      </c>
      <c r="G248" s="85" t="s">
        <v>550</v>
      </c>
      <c r="H248" s="85" t="s">
        <v>1038</v>
      </c>
      <c r="I248" s="85">
        <v>360</v>
      </c>
      <c r="J248" s="87">
        <f>115/360</f>
        <v>0.31944444444444442</v>
      </c>
      <c r="K248" s="88">
        <f t="shared" si="12"/>
        <v>114.99999999999999</v>
      </c>
      <c r="L248" s="85">
        <v>19544</v>
      </c>
      <c r="M248" s="118" t="s">
        <v>261</v>
      </c>
      <c r="N248" s="96"/>
      <c r="O248" s="96" t="s">
        <v>47</v>
      </c>
      <c r="R248"/>
    </row>
    <row r="249" spans="1:18" x14ac:dyDescent="0.25">
      <c r="A249" s="84" t="str">
        <f t="shared" si="10"/>
        <v>OutubroSEMANA 1Toalha Bobina</v>
      </c>
      <c r="B249" s="85" t="s">
        <v>37</v>
      </c>
      <c r="C249" s="85" t="s">
        <v>20</v>
      </c>
      <c r="D249" s="86">
        <v>6</v>
      </c>
      <c r="E249" s="116" t="str">
        <f t="shared" si="11"/>
        <v>Descartável</v>
      </c>
      <c r="F249" s="85" t="s">
        <v>1112</v>
      </c>
      <c r="G249" s="85" t="s">
        <v>787</v>
      </c>
      <c r="H249" s="85" t="s">
        <v>1038</v>
      </c>
      <c r="I249" s="85">
        <f>10*6</f>
        <v>60</v>
      </c>
      <c r="J249" s="87">
        <f>720/60</f>
        <v>12</v>
      </c>
      <c r="K249" s="88">
        <f t="shared" si="12"/>
        <v>720</v>
      </c>
      <c r="L249" s="85" t="s">
        <v>1113</v>
      </c>
      <c r="M249" s="118" t="s">
        <v>262</v>
      </c>
      <c r="N249" s="96"/>
      <c r="O249" s="96" t="s">
        <v>47</v>
      </c>
      <c r="R249"/>
    </row>
    <row r="250" spans="1:18" x14ac:dyDescent="0.25">
      <c r="A250" s="84" t="str">
        <f t="shared" si="10"/>
        <v>OutubroSEMANA 1Aves - Filé de Peito de Frango</v>
      </c>
      <c r="B250" s="85" t="s">
        <v>37</v>
      </c>
      <c r="C250" s="85" t="s">
        <v>20</v>
      </c>
      <c r="D250" s="86">
        <v>6</v>
      </c>
      <c r="E250" s="116" t="str">
        <f t="shared" si="11"/>
        <v>Carnes</v>
      </c>
      <c r="F250" s="85" t="s">
        <v>1051</v>
      </c>
      <c r="G250" s="85" t="s">
        <v>139</v>
      </c>
      <c r="H250" s="85" t="s">
        <v>1039</v>
      </c>
      <c r="I250" s="85">
        <v>48</v>
      </c>
      <c r="J250" s="87">
        <v>7.8</v>
      </c>
      <c r="K250" s="88">
        <f t="shared" si="12"/>
        <v>374.4</v>
      </c>
      <c r="L250" s="85">
        <v>3271879</v>
      </c>
      <c r="M250" s="118" t="s">
        <v>263</v>
      </c>
      <c r="N250" s="96"/>
      <c r="O250" s="96" t="s">
        <v>47</v>
      </c>
      <c r="R250"/>
    </row>
    <row r="251" spans="1:18" x14ac:dyDescent="0.25">
      <c r="A251" s="84" t="str">
        <f t="shared" si="10"/>
        <v>OutubroSEMANA 1Abobrinha Org. Feirinha</v>
      </c>
      <c r="B251" s="85" t="s">
        <v>37</v>
      </c>
      <c r="C251" s="85" t="s">
        <v>20</v>
      </c>
      <c r="D251" s="86">
        <v>6</v>
      </c>
      <c r="E251" s="116" t="str">
        <f t="shared" si="11"/>
        <v>Feirinha</v>
      </c>
      <c r="F251" s="85" t="s">
        <v>1044</v>
      </c>
      <c r="G251" s="85" t="s">
        <v>984</v>
      </c>
      <c r="H251" s="85" t="s">
        <v>1039</v>
      </c>
      <c r="I251" s="85">
        <v>1.6120000000000001</v>
      </c>
      <c r="J251" s="87">
        <v>7.85</v>
      </c>
      <c r="K251" s="88">
        <f t="shared" si="12"/>
        <v>12.654199999999999</v>
      </c>
      <c r="L251" s="85">
        <v>82738</v>
      </c>
      <c r="M251" s="118" t="s">
        <v>264</v>
      </c>
      <c r="N251" s="96"/>
      <c r="O251" s="96" t="s">
        <v>47</v>
      </c>
      <c r="R251"/>
    </row>
    <row r="252" spans="1:18" x14ac:dyDescent="0.25">
      <c r="A252" s="84" t="str">
        <f t="shared" si="10"/>
        <v>OutubroSEMANA 1Alface Americana Orgânica</v>
      </c>
      <c r="B252" s="85" t="s">
        <v>37</v>
      </c>
      <c r="C252" s="85" t="s">
        <v>20</v>
      </c>
      <c r="D252" s="86">
        <v>6</v>
      </c>
      <c r="E252" s="116" t="str">
        <f t="shared" si="11"/>
        <v>Hortifruti</v>
      </c>
      <c r="F252" s="85" t="s">
        <v>1044</v>
      </c>
      <c r="G252" s="85" t="s">
        <v>103</v>
      </c>
      <c r="H252" s="85" t="s">
        <v>1039</v>
      </c>
      <c r="I252" s="85">
        <f>11.78-1.78</f>
        <v>10</v>
      </c>
      <c r="J252" s="87">
        <f>101.5/11.78</f>
        <v>8.6162988115449917</v>
      </c>
      <c r="K252" s="88">
        <f t="shared" si="12"/>
        <v>86.16298811544992</v>
      </c>
      <c r="L252" s="85">
        <v>82738</v>
      </c>
      <c r="M252" s="118" t="s">
        <v>265</v>
      </c>
      <c r="N252" s="96"/>
      <c r="O252" s="96" t="s">
        <v>47</v>
      </c>
      <c r="R252"/>
    </row>
    <row r="253" spans="1:18" x14ac:dyDescent="0.25">
      <c r="A253" s="84" t="str">
        <f t="shared" si="10"/>
        <v>OutubroSEMANA 1Alface Americana Org. Feirinha</v>
      </c>
      <c r="B253" s="85" t="s">
        <v>37</v>
      </c>
      <c r="C253" s="85" t="s">
        <v>20</v>
      </c>
      <c r="D253" s="86">
        <v>6</v>
      </c>
      <c r="E253" s="116" t="str">
        <f t="shared" si="11"/>
        <v>Feirinha</v>
      </c>
      <c r="F253" s="85" t="s">
        <v>1044</v>
      </c>
      <c r="G253" s="85" t="s">
        <v>879</v>
      </c>
      <c r="H253" s="85" t="s">
        <v>1039</v>
      </c>
      <c r="I253" s="85">
        <v>1.78</v>
      </c>
      <c r="J253" s="87">
        <f>101.5/11.78</f>
        <v>8.6162988115449917</v>
      </c>
      <c r="K253" s="88">
        <f t="shared" si="12"/>
        <v>15.337011884550085</v>
      </c>
      <c r="L253" s="85">
        <v>82738</v>
      </c>
      <c r="M253" s="118" t="s">
        <v>266</v>
      </c>
      <c r="O253" s="115" t="s">
        <v>47</v>
      </c>
      <c r="R253"/>
    </row>
    <row r="254" spans="1:18" x14ac:dyDescent="0.25">
      <c r="A254" s="84" t="str">
        <f t="shared" si="10"/>
        <v>OutubroSEMANA 1Alface crespa Orgânica</v>
      </c>
      <c r="B254" s="85" t="s">
        <v>37</v>
      </c>
      <c r="C254" s="85" t="s">
        <v>20</v>
      </c>
      <c r="D254" s="86">
        <v>6</v>
      </c>
      <c r="E254" s="116" t="str">
        <f t="shared" si="11"/>
        <v>Hortifruti</v>
      </c>
      <c r="F254" s="85" t="s">
        <v>1044</v>
      </c>
      <c r="G254" s="85" t="s">
        <v>105</v>
      </c>
      <c r="H254" s="85" t="s">
        <v>1039</v>
      </c>
      <c r="I254" s="85">
        <f>4.28-1.12</f>
        <v>3.16</v>
      </c>
      <c r="J254" s="87">
        <f>35/4.28</f>
        <v>8.1775700934579429</v>
      </c>
      <c r="K254" s="88">
        <f t="shared" si="12"/>
        <v>25.841121495327101</v>
      </c>
      <c r="L254" s="85">
        <v>82738</v>
      </c>
      <c r="M254" s="118" t="s">
        <v>267</v>
      </c>
      <c r="N254" s="96"/>
      <c r="O254" s="96" t="s">
        <v>47</v>
      </c>
      <c r="R254"/>
    </row>
    <row r="255" spans="1:18" x14ac:dyDescent="0.25">
      <c r="A255" s="84" t="str">
        <f t="shared" si="10"/>
        <v>OutubroSEMANA 1Alface Crespa Org. Feirinha</v>
      </c>
      <c r="B255" s="85" t="s">
        <v>37</v>
      </c>
      <c r="C255" s="85" t="s">
        <v>20</v>
      </c>
      <c r="D255" s="86">
        <v>6</v>
      </c>
      <c r="E255" s="116" t="str">
        <f t="shared" si="11"/>
        <v>Feirinha</v>
      </c>
      <c r="F255" s="85" t="s">
        <v>1044</v>
      </c>
      <c r="G255" s="85" t="s">
        <v>880</v>
      </c>
      <c r="H255" s="85" t="s">
        <v>1039</v>
      </c>
      <c r="I255" s="85">
        <v>1.1200000000000001</v>
      </c>
      <c r="J255" s="87">
        <f>35/4.28</f>
        <v>8.1775700934579429</v>
      </c>
      <c r="K255" s="88">
        <f t="shared" si="12"/>
        <v>9.1588785046728969</v>
      </c>
      <c r="L255" s="85">
        <v>82738</v>
      </c>
      <c r="M255" s="118" t="s">
        <v>268</v>
      </c>
      <c r="N255" s="96"/>
      <c r="O255" s="96" t="s">
        <v>47</v>
      </c>
      <c r="R255"/>
    </row>
    <row r="256" spans="1:18" x14ac:dyDescent="0.25">
      <c r="A256" s="84" t="str">
        <f t="shared" si="10"/>
        <v>OutubroSEMANA 1Alface Roxa Orgânica</v>
      </c>
      <c r="B256" s="85" t="s">
        <v>37</v>
      </c>
      <c r="C256" s="85" t="s">
        <v>20</v>
      </c>
      <c r="D256" s="86">
        <v>6</v>
      </c>
      <c r="E256" s="116" t="str">
        <f t="shared" si="11"/>
        <v>Hortifruti</v>
      </c>
      <c r="F256" s="85" t="s">
        <v>1044</v>
      </c>
      <c r="G256" s="85" t="s">
        <v>109</v>
      </c>
      <c r="H256" s="85" t="s">
        <v>1039</v>
      </c>
      <c r="I256" s="85">
        <f>3.22-0.54</f>
        <v>2.68</v>
      </c>
      <c r="J256" s="87">
        <f>32.5/3.22</f>
        <v>10.093167701863353</v>
      </c>
      <c r="K256" s="88">
        <f t="shared" si="12"/>
        <v>27.049689440993788</v>
      </c>
      <c r="L256" s="85">
        <v>82738</v>
      </c>
      <c r="M256" s="118" t="s">
        <v>269</v>
      </c>
      <c r="N256" s="96"/>
      <c r="O256" s="96" t="s">
        <v>42</v>
      </c>
      <c r="R256"/>
    </row>
    <row r="257" spans="1:18" x14ac:dyDescent="0.25">
      <c r="A257" s="84" t="str">
        <f t="shared" si="10"/>
        <v>OutubroSEMANA 1Alface Roxa Org. Feirinha</v>
      </c>
      <c r="B257" s="85" t="s">
        <v>37</v>
      </c>
      <c r="C257" s="85" t="s">
        <v>20</v>
      </c>
      <c r="D257" s="86">
        <v>6</v>
      </c>
      <c r="E257" s="116" t="str">
        <f t="shared" si="11"/>
        <v>Feirinha</v>
      </c>
      <c r="F257" s="85" t="s">
        <v>1044</v>
      </c>
      <c r="G257" s="85" t="s">
        <v>881</v>
      </c>
      <c r="H257" s="85" t="s">
        <v>1039</v>
      </c>
      <c r="I257" s="85">
        <v>0.54</v>
      </c>
      <c r="J257" s="87">
        <f>32.5/3.22</f>
        <v>10.093167701863353</v>
      </c>
      <c r="K257" s="88">
        <f t="shared" si="12"/>
        <v>5.4503105590062111</v>
      </c>
      <c r="L257" s="85">
        <v>82738</v>
      </c>
      <c r="M257" s="118" t="s">
        <v>270</v>
      </c>
      <c r="N257" s="96"/>
      <c r="O257" s="96" t="s">
        <v>42</v>
      </c>
      <c r="R257"/>
    </row>
    <row r="258" spans="1:18" x14ac:dyDescent="0.25">
      <c r="A258" s="84" t="str">
        <f t="shared" ref="A258:A321" si="13">CONCATENATE(B258,C258,G258)</f>
        <v>OutubroSEMANA 1Banana Prata Org. Feirinha</v>
      </c>
      <c r="B258" s="85" t="s">
        <v>37</v>
      </c>
      <c r="C258" s="85" t="s">
        <v>20</v>
      </c>
      <c r="D258" s="86">
        <v>6</v>
      </c>
      <c r="E258" s="116" t="str">
        <f t="shared" ref="E258:E321" si="14">VLOOKUP(G258,$M$1:$O$968,3,0)</f>
        <v>Feirinha</v>
      </c>
      <c r="F258" s="85" t="s">
        <v>1044</v>
      </c>
      <c r="G258" s="85" t="s">
        <v>897</v>
      </c>
      <c r="H258" s="85" t="s">
        <v>1039</v>
      </c>
      <c r="I258" s="85">
        <v>2.39</v>
      </c>
      <c r="J258" s="87">
        <v>6.55</v>
      </c>
      <c r="K258" s="88">
        <f t="shared" ref="K258:K321" si="15">I258*J258</f>
        <v>15.654500000000001</v>
      </c>
      <c r="L258" s="85">
        <v>82738</v>
      </c>
      <c r="M258" s="118" t="s">
        <v>271</v>
      </c>
      <c r="N258" s="96"/>
      <c r="O258" s="96" t="s">
        <v>42</v>
      </c>
      <c r="R258"/>
    </row>
    <row r="259" spans="1:18" x14ac:dyDescent="0.25">
      <c r="A259" s="84" t="str">
        <f t="shared" si="13"/>
        <v>OutubroSEMANA 1Berinjela Org. Feirinha</v>
      </c>
      <c r="B259" s="85" t="s">
        <v>37</v>
      </c>
      <c r="C259" s="85" t="s">
        <v>20</v>
      </c>
      <c r="D259" s="86">
        <v>6</v>
      </c>
      <c r="E259" s="116" t="str">
        <f t="shared" si="14"/>
        <v>Feirinha</v>
      </c>
      <c r="F259" s="85" t="s">
        <v>1044</v>
      </c>
      <c r="G259" s="85" t="s">
        <v>882</v>
      </c>
      <c r="H259" s="85" t="s">
        <v>1039</v>
      </c>
      <c r="I259" s="85">
        <v>1.5</v>
      </c>
      <c r="J259" s="87">
        <v>8.1999999999999993</v>
      </c>
      <c r="K259" s="88">
        <f t="shared" si="15"/>
        <v>12.299999999999999</v>
      </c>
      <c r="L259" s="85">
        <v>82738</v>
      </c>
      <c r="M259" s="118" t="s">
        <v>272</v>
      </c>
      <c r="O259" s="115" t="s">
        <v>42</v>
      </c>
      <c r="R259"/>
    </row>
    <row r="260" spans="1:18" x14ac:dyDescent="0.25">
      <c r="A260" s="84" t="str">
        <f t="shared" si="13"/>
        <v>OutubroSEMANA 1Beterraba Orgânica</v>
      </c>
      <c r="B260" s="85" t="s">
        <v>37</v>
      </c>
      <c r="C260" s="85" t="s">
        <v>20</v>
      </c>
      <c r="D260" s="86">
        <v>6</v>
      </c>
      <c r="E260" s="116" t="str">
        <f t="shared" si="14"/>
        <v>Hortifruti</v>
      </c>
      <c r="F260" s="85" t="s">
        <v>1044</v>
      </c>
      <c r="G260" s="85" t="s">
        <v>182</v>
      </c>
      <c r="H260" s="85" t="s">
        <v>1039</v>
      </c>
      <c r="I260" s="85">
        <v>6.6050000000000004</v>
      </c>
      <c r="J260" s="87">
        <v>7.7</v>
      </c>
      <c r="K260" s="88">
        <f t="shared" si="15"/>
        <v>50.858500000000006</v>
      </c>
      <c r="L260" s="85">
        <v>82738</v>
      </c>
      <c r="M260" s="118" t="s">
        <v>273</v>
      </c>
      <c r="N260" s="96"/>
      <c r="O260" s="96" t="s">
        <v>872</v>
      </c>
      <c r="R260"/>
    </row>
    <row r="261" spans="1:18" x14ac:dyDescent="0.25">
      <c r="A261" s="84" t="str">
        <f t="shared" si="13"/>
        <v>OutubroSEMANA 1Beterraba Orgânica Feirinha</v>
      </c>
      <c r="B261" s="85" t="s">
        <v>37</v>
      </c>
      <c r="C261" s="85" t="s">
        <v>20</v>
      </c>
      <c r="D261" s="86">
        <v>6</v>
      </c>
      <c r="E261" s="116" t="str">
        <f t="shared" si="14"/>
        <v>Feirinha</v>
      </c>
      <c r="F261" s="85" t="s">
        <v>1044</v>
      </c>
      <c r="G261" s="85" t="s">
        <v>893</v>
      </c>
      <c r="H261" s="85" t="s">
        <v>1039</v>
      </c>
      <c r="I261" s="85">
        <v>2</v>
      </c>
      <c r="J261" s="87">
        <v>7.7</v>
      </c>
      <c r="K261" s="88">
        <f t="shared" si="15"/>
        <v>15.4</v>
      </c>
      <c r="L261" s="85">
        <v>82738</v>
      </c>
      <c r="M261" s="118" t="s">
        <v>274</v>
      </c>
      <c r="N261" s="96"/>
      <c r="O261" s="96" t="s">
        <v>872</v>
      </c>
      <c r="R261"/>
    </row>
    <row r="262" spans="1:18" x14ac:dyDescent="0.25">
      <c r="A262" s="84" t="str">
        <f t="shared" si="13"/>
        <v>OutubroSEMANA 1Cenoura Orgânica</v>
      </c>
      <c r="B262" s="85" t="s">
        <v>37</v>
      </c>
      <c r="C262" s="85" t="s">
        <v>20</v>
      </c>
      <c r="D262" s="86">
        <v>6</v>
      </c>
      <c r="E262" s="116" t="str">
        <f t="shared" si="14"/>
        <v>Hortifruti</v>
      </c>
      <c r="F262" s="85" t="s">
        <v>1044</v>
      </c>
      <c r="G262" s="85" t="s">
        <v>252</v>
      </c>
      <c r="H262" s="85" t="s">
        <v>1039</v>
      </c>
      <c r="I262" s="85">
        <v>6.0149999999999997</v>
      </c>
      <c r="J262" s="87">
        <v>7.75</v>
      </c>
      <c r="K262" s="88">
        <f t="shared" si="15"/>
        <v>46.616250000000001</v>
      </c>
      <c r="L262" s="85">
        <v>82738</v>
      </c>
      <c r="M262" s="118" t="s">
        <v>275</v>
      </c>
      <c r="N262" s="96"/>
      <c r="O262" s="96" t="s">
        <v>45</v>
      </c>
      <c r="R262"/>
    </row>
    <row r="263" spans="1:18" x14ac:dyDescent="0.25">
      <c r="A263" s="84" t="str">
        <f t="shared" si="13"/>
        <v>OutubroSEMANA 1Cenoura Org. Feirinha</v>
      </c>
      <c r="B263" s="85" t="s">
        <v>37</v>
      </c>
      <c r="C263" s="85" t="s">
        <v>20</v>
      </c>
      <c r="D263" s="86">
        <v>6</v>
      </c>
      <c r="E263" s="116" t="str">
        <f t="shared" si="14"/>
        <v>Feirinha</v>
      </c>
      <c r="F263" s="85" t="s">
        <v>1044</v>
      </c>
      <c r="G263" s="85" t="s">
        <v>883</v>
      </c>
      <c r="H263" s="85" t="s">
        <v>1039</v>
      </c>
      <c r="I263" s="85">
        <v>2</v>
      </c>
      <c r="J263" s="87">
        <v>7.75</v>
      </c>
      <c r="K263" s="88">
        <f t="shared" si="15"/>
        <v>15.5</v>
      </c>
      <c r="L263" s="85">
        <v>82738</v>
      </c>
      <c r="M263" s="118" t="s">
        <v>963</v>
      </c>
      <c r="O263" s="115" t="s">
        <v>45</v>
      </c>
      <c r="R263"/>
    </row>
    <row r="264" spans="1:18" x14ac:dyDescent="0.25">
      <c r="A264" s="84" t="str">
        <f t="shared" si="13"/>
        <v>OutubroSEMANA 1Chuchu Org. Feirinha</v>
      </c>
      <c r="B264" s="85" t="s">
        <v>37</v>
      </c>
      <c r="C264" s="85" t="s">
        <v>20</v>
      </c>
      <c r="D264" s="86">
        <v>6</v>
      </c>
      <c r="E264" s="116" t="str">
        <f t="shared" si="14"/>
        <v>Feirinha</v>
      </c>
      <c r="F264" s="85" t="s">
        <v>1044</v>
      </c>
      <c r="G264" s="85" t="s">
        <v>947</v>
      </c>
      <c r="H264" s="85" t="s">
        <v>1039</v>
      </c>
      <c r="I264" s="85"/>
      <c r="J264" s="87"/>
      <c r="K264" s="88">
        <f t="shared" si="15"/>
        <v>0</v>
      </c>
      <c r="L264" s="85" t="s">
        <v>1115</v>
      </c>
      <c r="M264" s="118" t="s">
        <v>1014</v>
      </c>
      <c r="O264" s="84" t="s">
        <v>875</v>
      </c>
      <c r="R264"/>
    </row>
    <row r="265" spans="1:18" x14ac:dyDescent="0.25">
      <c r="A265" s="84" t="str">
        <f t="shared" si="13"/>
        <v>OutubroSEMANA 1Couve Orgânica Feirinha</v>
      </c>
      <c r="B265" s="85" t="s">
        <v>37</v>
      </c>
      <c r="C265" s="85" t="s">
        <v>20</v>
      </c>
      <c r="D265" s="86">
        <v>6</v>
      </c>
      <c r="E265" s="116" t="str">
        <f t="shared" si="14"/>
        <v>Feirinha</v>
      </c>
      <c r="F265" s="85" t="s">
        <v>1044</v>
      </c>
      <c r="G265" s="85" t="s">
        <v>892</v>
      </c>
      <c r="H265" s="85" t="s">
        <v>1039</v>
      </c>
      <c r="I265" s="85">
        <v>0.9</v>
      </c>
      <c r="J265" s="87">
        <f>8.4/0.9</f>
        <v>9.3333333333333339</v>
      </c>
      <c r="K265" s="88">
        <f t="shared" si="15"/>
        <v>8.4</v>
      </c>
      <c r="L265" s="85">
        <v>82738</v>
      </c>
      <c r="M265" s="118" t="s">
        <v>276</v>
      </c>
      <c r="N265" s="96"/>
      <c r="O265" s="96" t="s">
        <v>45</v>
      </c>
      <c r="R265"/>
    </row>
    <row r="266" spans="1:18" x14ac:dyDescent="0.25">
      <c r="A266" s="84" t="str">
        <f t="shared" si="13"/>
        <v>OutubroSEMANA 1Pepino Japonês Org. Feirinha</v>
      </c>
      <c r="B266" s="85" t="s">
        <v>37</v>
      </c>
      <c r="C266" s="85" t="s">
        <v>20</v>
      </c>
      <c r="D266" s="86">
        <v>6</v>
      </c>
      <c r="E266" s="116" t="str">
        <f t="shared" si="14"/>
        <v>Feirinha</v>
      </c>
      <c r="F266" s="85" t="s">
        <v>1044</v>
      </c>
      <c r="G266" s="85" t="s">
        <v>887</v>
      </c>
      <c r="H266" s="85" t="s">
        <v>1039</v>
      </c>
      <c r="I266" s="85">
        <v>1.58</v>
      </c>
      <c r="J266" s="87">
        <v>14</v>
      </c>
      <c r="K266" s="88">
        <f t="shared" si="15"/>
        <v>22.12</v>
      </c>
      <c r="L266" s="85">
        <v>82738</v>
      </c>
      <c r="M266" s="118" t="s">
        <v>277</v>
      </c>
      <c r="N266" s="96"/>
      <c r="O266" s="96" t="s">
        <v>42</v>
      </c>
      <c r="R266"/>
    </row>
    <row r="267" spans="1:18" x14ac:dyDescent="0.25">
      <c r="A267" s="84" t="str">
        <f t="shared" si="13"/>
        <v>OutubroSEMANA 1Rúcula Orgânica</v>
      </c>
      <c r="B267" s="85" t="s">
        <v>37</v>
      </c>
      <c r="C267" s="85" t="s">
        <v>20</v>
      </c>
      <c r="D267" s="86">
        <v>6</v>
      </c>
      <c r="E267" s="116" t="str">
        <f t="shared" si="14"/>
        <v>Hortifruti</v>
      </c>
      <c r="F267" s="85" t="s">
        <v>1044</v>
      </c>
      <c r="G267" s="85" t="s">
        <v>707</v>
      </c>
      <c r="H267" s="85" t="s">
        <v>1039</v>
      </c>
      <c r="I267" s="85">
        <f>4.2-0.45</f>
        <v>3.75</v>
      </c>
      <c r="J267" s="87">
        <f>89.6/4.2</f>
        <v>21.333333333333332</v>
      </c>
      <c r="K267" s="88">
        <f t="shared" si="15"/>
        <v>80</v>
      </c>
      <c r="L267" s="85">
        <v>82738</v>
      </c>
      <c r="M267" s="118" t="s">
        <v>278</v>
      </c>
      <c r="N267" s="96"/>
      <c r="O267" s="96" t="s">
        <v>872</v>
      </c>
      <c r="R267"/>
    </row>
    <row r="268" spans="1:18" x14ac:dyDescent="0.25">
      <c r="A268" s="84" t="str">
        <f t="shared" si="13"/>
        <v>OutubroSEMANA 1Rucula Org. Feirinha</v>
      </c>
      <c r="B268" s="85" t="s">
        <v>37</v>
      </c>
      <c r="C268" s="85" t="s">
        <v>20</v>
      </c>
      <c r="D268" s="86">
        <v>6</v>
      </c>
      <c r="E268" s="116" t="str">
        <f t="shared" si="14"/>
        <v>Feirinha</v>
      </c>
      <c r="F268" s="85" t="s">
        <v>1044</v>
      </c>
      <c r="G268" s="85" t="s">
        <v>884</v>
      </c>
      <c r="H268" s="85" t="s">
        <v>1039</v>
      </c>
      <c r="I268" s="85">
        <v>0.45</v>
      </c>
      <c r="J268" s="87">
        <f>89.6/4.2</f>
        <v>21.333333333333332</v>
      </c>
      <c r="K268" s="88">
        <f t="shared" si="15"/>
        <v>9.6</v>
      </c>
      <c r="L268" s="85">
        <v>82738</v>
      </c>
      <c r="M268" s="118" t="s">
        <v>933</v>
      </c>
      <c r="O268" s="115" t="s">
        <v>42</v>
      </c>
      <c r="R268"/>
    </row>
    <row r="269" spans="1:18" x14ac:dyDescent="0.25">
      <c r="A269" s="84" t="str">
        <f t="shared" si="13"/>
        <v>OutubroSEMANA 1Pão Árabe</v>
      </c>
      <c r="B269" s="85" t="s">
        <v>37</v>
      </c>
      <c r="C269" s="85" t="s">
        <v>20</v>
      </c>
      <c r="D269" s="86">
        <v>6</v>
      </c>
      <c r="E269" s="116" t="str">
        <f t="shared" si="14"/>
        <v>Mercado</v>
      </c>
      <c r="F269" s="85" t="s">
        <v>1056</v>
      </c>
      <c r="G269" s="85" t="s">
        <v>561</v>
      </c>
      <c r="H269" s="85" t="s">
        <v>1037</v>
      </c>
      <c r="I269" s="85">
        <v>3</v>
      </c>
      <c r="J269" s="87">
        <v>10.9</v>
      </c>
      <c r="K269" s="88">
        <f t="shared" si="15"/>
        <v>32.700000000000003</v>
      </c>
      <c r="L269" s="85">
        <v>24440</v>
      </c>
      <c r="M269" s="118" t="s">
        <v>279</v>
      </c>
      <c r="N269" s="96"/>
      <c r="O269" s="96" t="s">
        <v>42</v>
      </c>
      <c r="R269"/>
    </row>
    <row r="270" spans="1:18" x14ac:dyDescent="0.25">
      <c r="A270" s="84" t="str">
        <f t="shared" si="13"/>
        <v>OutubroSEMANA 1Banana D'Água</v>
      </c>
      <c r="B270" s="85" t="s">
        <v>37</v>
      </c>
      <c r="C270" s="85" t="s">
        <v>20</v>
      </c>
      <c r="D270" s="86">
        <v>6</v>
      </c>
      <c r="E270" s="116" t="str">
        <f t="shared" si="14"/>
        <v>Hortifruti</v>
      </c>
      <c r="F270" s="85" t="s">
        <v>1056</v>
      </c>
      <c r="G270" s="85" t="s">
        <v>162</v>
      </c>
      <c r="H270" s="85" t="s">
        <v>1039</v>
      </c>
      <c r="I270" s="85">
        <v>1.85</v>
      </c>
      <c r="J270" s="87">
        <f>5.53/1.85</f>
        <v>2.9891891891891893</v>
      </c>
      <c r="K270" s="88">
        <f t="shared" si="15"/>
        <v>5.53</v>
      </c>
      <c r="L270" s="85">
        <v>24440</v>
      </c>
      <c r="M270" s="118" t="s">
        <v>280</v>
      </c>
      <c r="N270" s="96"/>
      <c r="O270" s="96" t="s">
        <v>45</v>
      </c>
      <c r="R270"/>
    </row>
    <row r="271" spans="1:18" x14ac:dyDescent="0.25">
      <c r="A271" s="84" t="str">
        <f t="shared" si="13"/>
        <v>OutubroSEMANA 1Palitos de Dente (cx 500)</v>
      </c>
      <c r="B271" s="85" t="s">
        <v>37</v>
      </c>
      <c r="C271" s="85" t="s">
        <v>20</v>
      </c>
      <c r="D271" s="86">
        <v>5</v>
      </c>
      <c r="E271" s="116" t="str">
        <f t="shared" si="14"/>
        <v>Descartável</v>
      </c>
      <c r="F271" s="85" t="s">
        <v>1036</v>
      </c>
      <c r="G271" s="85" t="s">
        <v>1010</v>
      </c>
      <c r="H271" s="85" t="s">
        <v>1038</v>
      </c>
      <c r="I271" s="85">
        <v>4</v>
      </c>
      <c r="J271" s="87">
        <v>1.1000000000000001</v>
      </c>
      <c r="K271" s="88">
        <f t="shared" si="15"/>
        <v>4.4000000000000004</v>
      </c>
      <c r="L271" s="85" t="s">
        <v>1114</v>
      </c>
      <c r="M271" s="118" t="s">
        <v>947</v>
      </c>
      <c r="N271" s="96"/>
      <c r="O271" s="96" t="s">
        <v>875</v>
      </c>
      <c r="R271"/>
    </row>
    <row r="272" spans="1:18" x14ac:dyDescent="0.25">
      <c r="A272" s="84" t="str">
        <f t="shared" si="13"/>
        <v>OutubroSEMANA 1Carne Bovina - Picanha Grill/Churrascaria</v>
      </c>
      <c r="B272" s="85" t="s">
        <v>37</v>
      </c>
      <c r="C272" s="85" t="s">
        <v>20</v>
      </c>
      <c r="D272" s="86">
        <v>6</v>
      </c>
      <c r="E272" s="116" t="str">
        <f t="shared" si="14"/>
        <v>Carnes</v>
      </c>
      <c r="F272" s="85" t="s">
        <v>1116</v>
      </c>
      <c r="G272" s="85" t="s">
        <v>233</v>
      </c>
      <c r="H272" s="85" t="s">
        <v>1039</v>
      </c>
      <c r="I272" s="85">
        <v>17.989999999999998</v>
      </c>
      <c r="J272" s="87">
        <v>36</v>
      </c>
      <c r="K272" s="88">
        <f t="shared" si="15"/>
        <v>647.64</v>
      </c>
      <c r="L272" s="85" t="s">
        <v>1117</v>
      </c>
      <c r="M272" s="118" t="s">
        <v>281</v>
      </c>
      <c r="N272" s="96"/>
      <c r="O272" s="96" t="s">
        <v>45</v>
      </c>
      <c r="R272"/>
    </row>
    <row r="273" spans="1:18" x14ac:dyDescent="0.25">
      <c r="A273" s="84" t="str">
        <f t="shared" si="13"/>
        <v>OutubroSEMANA 1Carne Bovina - Filé Mignon 3/4</v>
      </c>
      <c r="B273" s="85" t="s">
        <v>37</v>
      </c>
      <c r="C273" s="85" t="s">
        <v>20</v>
      </c>
      <c r="D273" s="86">
        <v>6</v>
      </c>
      <c r="E273" s="116" t="str">
        <f t="shared" si="14"/>
        <v>Carnes</v>
      </c>
      <c r="F273" s="85" t="s">
        <v>1116</v>
      </c>
      <c r="G273" s="85" t="s">
        <v>223</v>
      </c>
      <c r="H273" s="85" t="s">
        <v>1039</v>
      </c>
      <c r="I273" s="85">
        <v>18.73</v>
      </c>
      <c r="J273" s="87">
        <v>32</v>
      </c>
      <c r="K273" s="88">
        <f t="shared" si="15"/>
        <v>599.36</v>
      </c>
      <c r="L273" s="85" t="s">
        <v>1117</v>
      </c>
      <c r="M273" s="118" t="s">
        <v>282</v>
      </c>
      <c r="N273" s="96"/>
      <c r="O273" s="96" t="s">
        <v>42</v>
      </c>
      <c r="R273"/>
    </row>
    <row r="274" spans="1:18" x14ac:dyDescent="0.25">
      <c r="A274" s="84" t="str">
        <f t="shared" si="13"/>
        <v>OutubroSEMANA 1Carne Bovina - Picanha Grill/Churrascaria</v>
      </c>
      <c r="B274" s="85" t="s">
        <v>37</v>
      </c>
      <c r="C274" s="85" t="s">
        <v>20</v>
      </c>
      <c r="D274" s="86">
        <v>6</v>
      </c>
      <c r="E274" s="116" t="str">
        <f t="shared" si="14"/>
        <v>Carnes</v>
      </c>
      <c r="F274" s="85" t="s">
        <v>1116</v>
      </c>
      <c r="G274" s="85" t="s">
        <v>233</v>
      </c>
      <c r="H274" s="85" t="s">
        <v>1039</v>
      </c>
      <c r="I274" s="85">
        <v>17.54</v>
      </c>
      <c r="J274" s="87">
        <v>36</v>
      </c>
      <c r="K274" s="88">
        <f t="shared" si="15"/>
        <v>631.43999999999994</v>
      </c>
      <c r="L274" s="85" t="s">
        <v>1118</v>
      </c>
      <c r="M274" s="118" t="s">
        <v>283</v>
      </c>
      <c r="N274" s="96"/>
      <c r="O274" s="96" t="s">
        <v>874</v>
      </c>
      <c r="R274"/>
    </row>
    <row r="275" spans="1:18" x14ac:dyDescent="0.25">
      <c r="A275" s="84" t="str">
        <f t="shared" si="13"/>
        <v>OutubroSEMANA 1Carne Bovina - Filé Mignon 3/4</v>
      </c>
      <c r="B275" s="85" t="s">
        <v>37</v>
      </c>
      <c r="C275" s="85" t="s">
        <v>20</v>
      </c>
      <c r="D275" s="86">
        <v>6</v>
      </c>
      <c r="E275" s="116" t="str">
        <f t="shared" si="14"/>
        <v>Carnes</v>
      </c>
      <c r="F275" s="85" t="s">
        <v>1116</v>
      </c>
      <c r="G275" s="85" t="s">
        <v>223</v>
      </c>
      <c r="H275" s="85" t="s">
        <v>1039</v>
      </c>
      <c r="I275" s="85">
        <v>24.44</v>
      </c>
      <c r="J275" s="87">
        <v>32</v>
      </c>
      <c r="K275" s="88">
        <f t="shared" si="15"/>
        <v>782.08</v>
      </c>
      <c r="L275" s="85" t="s">
        <v>1118</v>
      </c>
      <c r="M275" s="118" t="s">
        <v>284</v>
      </c>
      <c r="O275" s="115" t="s">
        <v>46</v>
      </c>
      <c r="R275"/>
    </row>
    <row r="276" spans="1:18" x14ac:dyDescent="0.25">
      <c r="A276" s="84" t="str">
        <f t="shared" si="13"/>
        <v>OutubroSEMANA 1Creme de Leite Culinário 20% Bd 10 Lt</v>
      </c>
      <c r="B276" s="85" t="s">
        <v>37</v>
      </c>
      <c r="C276" s="85" t="s">
        <v>20</v>
      </c>
      <c r="D276" s="86">
        <v>6</v>
      </c>
      <c r="E276" s="116" t="str">
        <f t="shared" si="14"/>
        <v>Mercado</v>
      </c>
      <c r="F276" s="85" t="s">
        <v>1045</v>
      </c>
      <c r="G276" s="85" t="s">
        <v>315</v>
      </c>
      <c r="H276" s="85" t="s">
        <v>1046</v>
      </c>
      <c r="I276" s="85">
        <v>2</v>
      </c>
      <c r="J276" s="87">
        <v>142.44999999999999</v>
      </c>
      <c r="K276" s="88">
        <f t="shared" si="15"/>
        <v>284.89999999999998</v>
      </c>
      <c r="L276" s="85" t="s">
        <v>1119</v>
      </c>
      <c r="M276" s="118" t="s">
        <v>888</v>
      </c>
      <c r="N276" s="96"/>
      <c r="O276" s="96" t="s">
        <v>873</v>
      </c>
      <c r="R276"/>
    </row>
    <row r="277" spans="1:18" x14ac:dyDescent="0.25">
      <c r="A277" s="84" t="str">
        <f t="shared" si="13"/>
        <v>OutubroSEMANA 1Queijo Minas</v>
      </c>
      <c r="B277" s="85" t="s">
        <v>37</v>
      </c>
      <c r="C277" s="85" t="s">
        <v>20</v>
      </c>
      <c r="D277" s="86">
        <v>6</v>
      </c>
      <c r="E277" s="116" t="str">
        <f t="shared" si="14"/>
        <v>Mercado</v>
      </c>
      <c r="F277" s="85" t="s">
        <v>1045</v>
      </c>
      <c r="G277" s="85" t="s">
        <v>682</v>
      </c>
      <c r="H277" s="85" t="s">
        <v>1039</v>
      </c>
      <c r="I277" s="85">
        <v>2.9</v>
      </c>
      <c r="J277" s="87">
        <v>20.8</v>
      </c>
      <c r="K277" s="88">
        <f t="shared" si="15"/>
        <v>60.32</v>
      </c>
      <c r="L277" s="85" t="s">
        <v>1119</v>
      </c>
      <c r="M277" s="118" t="s">
        <v>285</v>
      </c>
      <c r="N277" s="96"/>
      <c r="O277" s="96" t="s">
        <v>47</v>
      </c>
      <c r="R277"/>
    </row>
    <row r="278" spans="1:18" x14ac:dyDescent="0.25">
      <c r="A278" s="84" t="str">
        <f t="shared" si="13"/>
        <v>OutubroSEMANA 1Queijo Ricota</v>
      </c>
      <c r="B278" s="85" t="s">
        <v>37</v>
      </c>
      <c r="C278" s="85" t="s">
        <v>20</v>
      </c>
      <c r="D278" s="86">
        <v>6</v>
      </c>
      <c r="E278" s="116" t="str">
        <f t="shared" si="14"/>
        <v>Mercado</v>
      </c>
      <c r="F278" s="85" t="s">
        <v>1045</v>
      </c>
      <c r="G278" s="85" t="s">
        <v>689</v>
      </c>
      <c r="H278" s="85" t="s">
        <v>1039</v>
      </c>
      <c r="I278" s="85">
        <v>3.1</v>
      </c>
      <c r="J278" s="87">
        <v>10.6</v>
      </c>
      <c r="K278" s="88">
        <f t="shared" si="15"/>
        <v>32.86</v>
      </c>
      <c r="L278" s="85" t="s">
        <v>1119</v>
      </c>
      <c r="M278" s="118" t="s">
        <v>286</v>
      </c>
      <c r="N278" s="96"/>
      <c r="O278" s="96" t="s">
        <v>47</v>
      </c>
      <c r="R278"/>
    </row>
    <row r="279" spans="1:18" x14ac:dyDescent="0.25">
      <c r="A279" s="84" t="str">
        <f t="shared" si="13"/>
        <v>OutubroSEMANA 1Queijo Requeijão BD 3,6 Kg</v>
      </c>
      <c r="B279" s="85" t="s">
        <v>37</v>
      </c>
      <c r="C279" s="85" t="s">
        <v>20</v>
      </c>
      <c r="D279" s="86">
        <v>6</v>
      </c>
      <c r="E279" s="116" t="str">
        <f t="shared" si="14"/>
        <v>Mercado</v>
      </c>
      <c r="F279" s="85" t="s">
        <v>1045</v>
      </c>
      <c r="G279" s="85" t="s">
        <v>688</v>
      </c>
      <c r="H279" s="85" t="s">
        <v>1046</v>
      </c>
      <c r="I279" s="85">
        <v>1</v>
      </c>
      <c r="J279" s="87">
        <v>74.400000000000006</v>
      </c>
      <c r="K279" s="88">
        <f t="shared" si="15"/>
        <v>74.400000000000006</v>
      </c>
      <c r="L279" s="85" t="s">
        <v>1119</v>
      </c>
      <c r="M279" s="118" t="s">
        <v>938</v>
      </c>
      <c r="N279" s="96"/>
      <c r="O279" s="96" t="s">
        <v>47</v>
      </c>
      <c r="R279"/>
    </row>
    <row r="280" spans="1:18" x14ac:dyDescent="0.25">
      <c r="A280" s="84" t="str">
        <f t="shared" si="13"/>
        <v>OutubroSEMANA 1Batata Baroa</v>
      </c>
      <c r="B280" s="85" t="s">
        <v>37</v>
      </c>
      <c r="C280" s="85" t="s">
        <v>20</v>
      </c>
      <c r="D280" s="86">
        <v>6</v>
      </c>
      <c r="E280" s="116" t="str">
        <f t="shared" si="14"/>
        <v>Hortifruti</v>
      </c>
      <c r="F280" s="85" t="s">
        <v>1055</v>
      </c>
      <c r="G280" s="85" t="s">
        <v>169</v>
      </c>
      <c r="H280" s="85" t="s">
        <v>1039</v>
      </c>
      <c r="I280" s="85">
        <v>6</v>
      </c>
      <c r="J280" s="87">
        <v>4.4000000000000004</v>
      </c>
      <c r="K280" s="88">
        <f t="shared" si="15"/>
        <v>26.400000000000002</v>
      </c>
      <c r="L280" s="85">
        <v>4020</v>
      </c>
      <c r="M280" s="118" t="s">
        <v>287</v>
      </c>
      <c r="N280" s="96"/>
      <c r="O280" s="96" t="s">
        <v>42</v>
      </c>
      <c r="R280"/>
    </row>
    <row r="281" spans="1:18" x14ac:dyDescent="0.25">
      <c r="A281" s="84" t="str">
        <f t="shared" si="13"/>
        <v>OutubroSEMANA 1Cebolinha Verde</v>
      </c>
      <c r="B281" s="85" t="s">
        <v>37</v>
      </c>
      <c r="C281" s="85" t="s">
        <v>20</v>
      </c>
      <c r="D281" s="86">
        <v>6</v>
      </c>
      <c r="E281" s="116" t="str">
        <f t="shared" si="14"/>
        <v>Hortifruti</v>
      </c>
      <c r="F281" s="85" t="s">
        <v>1055</v>
      </c>
      <c r="G281" s="85" t="s">
        <v>247</v>
      </c>
      <c r="H281" s="85" t="s">
        <v>1039</v>
      </c>
      <c r="I281" s="85">
        <v>1</v>
      </c>
      <c r="J281" s="87">
        <v>7.5</v>
      </c>
      <c r="K281" s="88">
        <f t="shared" si="15"/>
        <v>7.5</v>
      </c>
      <c r="L281" s="85">
        <v>4020</v>
      </c>
      <c r="M281" s="118" t="s">
        <v>288</v>
      </c>
      <c r="N281" s="96"/>
      <c r="O281" s="96" t="s">
        <v>45</v>
      </c>
      <c r="R281"/>
    </row>
    <row r="282" spans="1:18" x14ac:dyDescent="0.25">
      <c r="A282" s="84" t="str">
        <f t="shared" si="13"/>
        <v>OutubroSEMANA 1Couve Flor</v>
      </c>
      <c r="B282" s="85" t="s">
        <v>37</v>
      </c>
      <c r="C282" s="85" t="s">
        <v>20</v>
      </c>
      <c r="D282" s="86">
        <v>6</v>
      </c>
      <c r="E282" s="116" t="str">
        <f t="shared" si="14"/>
        <v>Hortifruti</v>
      </c>
      <c r="F282" s="85" t="s">
        <v>1055</v>
      </c>
      <c r="G282" s="85" t="s">
        <v>306</v>
      </c>
      <c r="H282" s="85" t="s">
        <v>1039</v>
      </c>
      <c r="I282" s="85">
        <v>3</v>
      </c>
      <c r="J282" s="87">
        <v>4.25</v>
      </c>
      <c r="K282" s="88">
        <f t="shared" si="15"/>
        <v>12.75</v>
      </c>
      <c r="L282" s="85">
        <v>4020</v>
      </c>
      <c r="M282" s="118" t="s">
        <v>289</v>
      </c>
      <c r="N282" s="96"/>
      <c r="O282" s="96" t="s">
        <v>45</v>
      </c>
      <c r="R282"/>
    </row>
    <row r="283" spans="1:18" x14ac:dyDescent="0.25">
      <c r="A283" s="84" t="str">
        <f t="shared" si="13"/>
        <v>OutubroSEMANA 1Goiaba</v>
      </c>
      <c r="B283" s="85" t="s">
        <v>37</v>
      </c>
      <c r="C283" s="85" t="s">
        <v>20</v>
      </c>
      <c r="D283" s="86">
        <v>6</v>
      </c>
      <c r="E283" s="116" t="str">
        <f t="shared" si="14"/>
        <v>Hortifruti</v>
      </c>
      <c r="F283" s="85" t="s">
        <v>1055</v>
      </c>
      <c r="G283" s="85" t="s">
        <v>391</v>
      </c>
      <c r="H283" s="85" t="s">
        <v>1039</v>
      </c>
      <c r="I283" s="85">
        <v>2.5</v>
      </c>
      <c r="J283" s="87">
        <f>15/2.5</f>
        <v>6</v>
      </c>
      <c r="K283" s="88">
        <f t="shared" si="15"/>
        <v>15</v>
      </c>
      <c r="L283" s="85">
        <v>4020</v>
      </c>
      <c r="M283" s="118" t="s">
        <v>290</v>
      </c>
      <c r="N283" s="96"/>
      <c r="O283" s="96" t="s">
        <v>45</v>
      </c>
      <c r="R283"/>
    </row>
    <row r="284" spans="1:18" x14ac:dyDescent="0.25">
      <c r="A284" s="84" t="str">
        <f t="shared" si="13"/>
        <v>OutubroSEMANA 1Hortelã</v>
      </c>
      <c r="B284" s="85" t="s">
        <v>37</v>
      </c>
      <c r="C284" s="85" t="s">
        <v>20</v>
      </c>
      <c r="D284" s="86">
        <v>6</v>
      </c>
      <c r="E284" s="116" t="str">
        <f t="shared" si="14"/>
        <v>Hortifruti</v>
      </c>
      <c r="F284" s="85" t="s">
        <v>1055</v>
      </c>
      <c r="G284" s="85" t="s">
        <v>405</v>
      </c>
      <c r="H284" s="85" t="s">
        <v>1039</v>
      </c>
      <c r="I284" s="85">
        <v>0.5</v>
      </c>
      <c r="J284" s="87">
        <v>4.5</v>
      </c>
      <c r="K284" s="88">
        <f t="shared" si="15"/>
        <v>2.25</v>
      </c>
      <c r="L284" s="85">
        <v>4020</v>
      </c>
      <c r="M284" s="118" t="s">
        <v>291</v>
      </c>
      <c r="N284" s="96"/>
      <c r="O284" s="96" t="s">
        <v>42</v>
      </c>
      <c r="R284"/>
    </row>
    <row r="285" spans="1:18" x14ac:dyDescent="0.25">
      <c r="A285" s="84" t="str">
        <f t="shared" si="13"/>
        <v>OutubroSEMANA 1Kiwi</v>
      </c>
      <c r="B285" s="85" t="s">
        <v>37</v>
      </c>
      <c r="C285" s="85" t="s">
        <v>20</v>
      </c>
      <c r="D285" s="86">
        <v>6</v>
      </c>
      <c r="E285" s="116" t="str">
        <f t="shared" si="14"/>
        <v>Hortifruti</v>
      </c>
      <c r="F285" s="85" t="s">
        <v>1055</v>
      </c>
      <c r="G285" s="85" t="s">
        <v>454</v>
      </c>
      <c r="H285" s="85" t="s">
        <v>1039</v>
      </c>
      <c r="I285" s="85">
        <v>1</v>
      </c>
      <c r="J285" s="87">
        <v>14</v>
      </c>
      <c r="K285" s="88">
        <f t="shared" si="15"/>
        <v>14</v>
      </c>
      <c r="L285" s="85">
        <v>4020</v>
      </c>
      <c r="M285" s="118" t="s">
        <v>292</v>
      </c>
      <c r="N285" s="96"/>
      <c r="O285" s="96" t="s">
        <v>42</v>
      </c>
      <c r="R285"/>
    </row>
    <row r="286" spans="1:18" x14ac:dyDescent="0.25">
      <c r="A286" s="84" t="str">
        <f t="shared" si="13"/>
        <v>OutubroSEMANA 1Manga Palmer</v>
      </c>
      <c r="B286" s="85" t="s">
        <v>37</v>
      </c>
      <c r="C286" s="85" t="s">
        <v>20</v>
      </c>
      <c r="D286" s="86">
        <v>6</v>
      </c>
      <c r="E286" s="116" t="str">
        <f t="shared" si="14"/>
        <v>Hortifruti</v>
      </c>
      <c r="F286" s="85" t="s">
        <v>1055</v>
      </c>
      <c r="G286" s="85" t="s">
        <v>496</v>
      </c>
      <c r="H286" s="85" t="s">
        <v>1039</v>
      </c>
      <c r="I286" s="85">
        <v>6</v>
      </c>
      <c r="J286" s="87">
        <v>4</v>
      </c>
      <c r="K286" s="88">
        <f t="shared" si="15"/>
        <v>24</v>
      </c>
      <c r="L286" s="85">
        <v>4020</v>
      </c>
      <c r="M286" s="118" t="s">
        <v>997</v>
      </c>
      <c r="N286" s="96"/>
      <c r="O286" s="96" t="s">
        <v>60</v>
      </c>
      <c r="R286"/>
    </row>
    <row r="287" spans="1:18" x14ac:dyDescent="0.25">
      <c r="A287" s="84" t="str">
        <f t="shared" si="13"/>
        <v>OutubroSEMANA 1Manjericão</v>
      </c>
      <c r="B287" s="85" t="s">
        <v>37</v>
      </c>
      <c r="C287" s="85" t="s">
        <v>20</v>
      </c>
      <c r="D287" s="86">
        <v>6</v>
      </c>
      <c r="E287" s="116" t="str">
        <f t="shared" si="14"/>
        <v>Hortifruti</v>
      </c>
      <c r="F287" s="85" t="s">
        <v>1055</v>
      </c>
      <c r="G287" s="85" t="s">
        <v>499</v>
      </c>
      <c r="H287" s="85" t="s">
        <v>1039</v>
      </c>
      <c r="I287" s="85">
        <v>0.3</v>
      </c>
      <c r="J287" s="87">
        <v>12.5</v>
      </c>
      <c r="K287" s="88">
        <f t="shared" si="15"/>
        <v>3.75</v>
      </c>
      <c r="L287" s="85">
        <v>4020</v>
      </c>
      <c r="M287" s="118" t="s">
        <v>967</v>
      </c>
      <c r="N287" s="96"/>
      <c r="O287" s="96" t="s">
        <v>60</v>
      </c>
      <c r="R287"/>
    </row>
    <row r="288" spans="1:18" x14ac:dyDescent="0.25">
      <c r="A288" s="84" t="str">
        <f t="shared" si="13"/>
        <v>OutubroSEMANA 1Melância</v>
      </c>
      <c r="B288" s="85" t="s">
        <v>37</v>
      </c>
      <c r="C288" s="85" t="s">
        <v>20</v>
      </c>
      <c r="D288" s="86">
        <v>6</v>
      </c>
      <c r="E288" s="116" t="str">
        <f t="shared" si="14"/>
        <v>Hortifruti</v>
      </c>
      <c r="F288" s="85" t="s">
        <v>1055</v>
      </c>
      <c r="G288" s="85" t="s">
        <v>517</v>
      </c>
      <c r="H288" s="85" t="s">
        <v>1039</v>
      </c>
      <c r="I288" s="85">
        <v>10</v>
      </c>
      <c r="J288" s="87">
        <v>1.64</v>
      </c>
      <c r="K288" s="88">
        <f t="shared" si="15"/>
        <v>16.399999999999999</v>
      </c>
      <c r="L288" s="85">
        <v>4020</v>
      </c>
      <c r="M288" s="118" t="s">
        <v>293</v>
      </c>
      <c r="N288" s="96"/>
      <c r="O288" s="96" t="s">
        <v>42</v>
      </c>
      <c r="R288"/>
    </row>
    <row r="289" spans="1:18" x14ac:dyDescent="0.25">
      <c r="A289" s="84" t="str">
        <f t="shared" si="13"/>
        <v>OutubroSEMANA 1Ovos Extra</v>
      </c>
      <c r="B289" s="85" t="s">
        <v>37</v>
      </c>
      <c r="C289" s="85" t="s">
        <v>20</v>
      </c>
      <c r="D289" s="86">
        <v>6</v>
      </c>
      <c r="E289" s="116" t="str">
        <f t="shared" si="14"/>
        <v>Hortifruti</v>
      </c>
      <c r="F289" s="85" t="s">
        <v>1055</v>
      </c>
      <c r="G289" s="85" t="s">
        <v>550</v>
      </c>
      <c r="H289" s="85" t="s">
        <v>1038</v>
      </c>
      <c r="I289" s="85">
        <f>360-14</f>
        <v>346</v>
      </c>
      <c r="J289" s="87">
        <f>101/360</f>
        <v>0.28055555555555556</v>
      </c>
      <c r="K289" s="88">
        <f t="shared" si="15"/>
        <v>97.072222222222223</v>
      </c>
      <c r="L289" s="85">
        <v>4020</v>
      </c>
      <c r="M289" s="118" t="s">
        <v>294</v>
      </c>
      <c r="N289" s="96"/>
      <c r="O289" s="96" t="s">
        <v>873</v>
      </c>
      <c r="R289"/>
    </row>
    <row r="290" spans="1:18" x14ac:dyDescent="0.25">
      <c r="A290" s="84" t="str">
        <f t="shared" si="13"/>
        <v>OutubroSEMANA 1Salsa</v>
      </c>
      <c r="B290" s="85" t="s">
        <v>37</v>
      </c>
      <c r="C290" s="85" t="s">
        <v>20</v>
      </c>
      <c r="D290" s="86">
        <v>6</v>
      </c>
      <c r="E290" s="116" t="str">
        <f t="shared" si="14"/>
        <v>Hortifruti</v>
      </c>
      <c r="F290" s="85" t="s">
        <v>1055</v>
      </c>
      <c r="G290" s="85" t="s">
        <v>729</v>
      </c>
      <c r="H290" s="85" t="s">
        <v>1039</v>
      </c>
      <c r="I290" s="85">
        <v>1</v>
      </c>
      <c r="J290" s="87">
        <v>7.5</v>
      </c>
      <c r="K290" s="88">
        <f t="shared" si="15"/>
        <v>7.5</v>
      </c>
      <c r="L290" s="85">
        <v>4020</v>
      </c>
      <c r="M290" s="118" t="s">
        <v>295</v>
      </c>
      <c r="N290" s="96"/>
      <c r="O290" s="96" t="s">
        <v>42</v>
      </c>
      <c r="R290"/>
    </row>
    <row r="291" spans="1:18" x14ac:dyDescent="0.25">
      <c r="A291" s="84" t="str">
        <f t="shared" si="13"/>
        <v>OutubroSEMANA 1Tomate Salada</v>
      </c>
      <c r="B291" s="85" t="s">
        <v>37</v>
      </c>
      <c r="C291" s="85" t="s">
        <v>20</v>
      </c>
      <c r="D291" s="86">
        <v>6</v>
      </c>
      <c r="E291" s="116" t="str">
        <f t="shared" si="14"/>
        <v>Hortifruti</v>
      </c>
      <c r="F291" s="85" t="s">
        <v>1055</v>
      </c>
      <c r="G291" s="85" t="s">
        <v>795</v>
      </c>
      <c r="H291" s="85" t="s">
        <v>1039</v>
      </c>
      <c r="I291" s="85">
        <v>19.8</v>
      </c>
      <c r="J291" s="87">
        <f>90/19.8</f>
        <v>4.545454545454545</v>
      </c>
      <c r="K291" s="88">
        <f t="shared" si="15"/>
        <v>90</v>
      </c>
      <c r="L291" s="85">
        <v>4020</v>
      </c>
      <c r="M291" s="118" t="s">
        <v>296</v>
      </c>
      <c r="O291" s="115" t="s">
        <v>42</v>
      </c>
      <c r="R291"/>
    </row>
    <row r="292" spans="1:18" x14ac:dyDescent="0.25">
      <c r="A292" s="84" t="str">
        <f t="shared" si="13"/>
        <v>OutubroSEMANA 1Couve Manteiga</v>
      </c>
      <c r="B292" s="85" t="s">
        <v>37</v>
      </c>
      <c r="C292" s="85" t="s">
        <v>20</v>
      </c>
      <c r="D292" s="86">
        <v>6</v>
      </c>
      <c r="E292" s="116" t="str">
        <f t="shared" si="14"/>
        <v>Hortifruti</v>
      </c>
      <c r="F292" s="85" t="s">
        <v>1055</v>
      </c>
      <c r="G292" s="85" t="s">
        <v>307</v>
      </c>
      <c r="H292" s="85" t="s">
        <v>1039</v>
      </c>
      <c r="I292" s="85">
        <v>1.5</v>
      </c>
      <c r="J292" s="87">
        <v>3</v>
      </c>
      <c r="K292" s="88">
        <f t="shared" si="15"/>
        <v>4.5</v>
      </c>
      <c r="L292" s="85">
        <v>4020</v>
      </c>
      <c r="M292" s="118" t="s">
        <v>998</v>
      </c>
      <c r="N292" s="96"/>
      <c r="O292" s="96" t="s">
        <v>875</v>
      </c>
      <c r="R292"/>
    </row>
    <row r="293" spans="1:18" x14ac:dyDescent="0.25">
      <c r="A293" s="84" t="str">
        <f t="shared" si="13"/>
        <v>OutubroSEMANA 1Gelo em Escamas</v>
      </c>
      <c r="B293" s="85" t="s">
        <v>37</v>
      </c>
      <c r="C293" s="85" t="s">
        <v>20</v>
      </c>
      <c r="D293" s="86">
        <v>6</v>
      </c>
      <c r="E293" s="116" t="str">
        <f t="shared" si="14"/>
        <v>Mercado</v>
      </c>
      <c r="F293" s="85" t="s">
        <v>1040</v>
      </c>
      <c r="G293" s="85" t="s">
        <v>384</v>
      </c>
      <c r="H293" s="85" t="s">
        <v>1041</v>
      </c>
      <c r="I293" s="85">
        <v>2</v>
      </c>
      <c r="J293" s="87">
        <v>7.5</v>
      </c>
      <c r="K293" s="88">
        <f t="shared" si="15"/>
        <v>15</v>
      </c>
      <c r="L293" s="85">
        <v>10208</v>
      </c>
      <c r="M293" s="118" t="s">
        <v>297</v>
      </c>
      <c r="N293" s="96"/>
      <c r="O293" s="96" t="s">
        <v>873</v>
      </c>
      <c r="R293"/>
    </row>
    <row r="294" spans="1:18" x14ac:dyDescent="0.25">
      <c r="A294" s="84" t="str">
        <f t="shared" si="13"/>
        <v>OutubroSEMANA 1Gelo em Cubo</v>
      </c>
      <c r="B294" s="85" t="s">
        <v>37</v>
      </c>
      <c r="C294" s="85" t="s">
        <v>20</v>
      </c>
      <c r="D294" s="86">
        <v>6</v>
      </c>
      <c r="E294" s="116" t="str">
        <f t="shared" si="14"/>
        <v>Mercado</v>
      </c>
      <c r="F294" s="85" t="s">
        <v>1040</v>
      </c>
      <c r="G294" s="85" t="s">
        <v>383</v>
      </c>
      <c r="H294" s="85" t="s">
        <v>1041</v>
      </c>
      <c r="I294" s="85">
        <v>2</v>
      </c>
      <c r="J294" s="87">
        <v>7.5</v>
      </c>
      <c r="K294" s="88">
        <f t="shared" si="15"/>
        <v>15</v>
      </c>
      <c r="L294" s="85">
        <v>10208</v>
      </c>
      <c r="M294" s="118" t="s">
        <v>298</v>
      </c>
      <c r="O294" s="115" t="s">
        <v>873</v>
      </c>
      <c r="R294"/>
    </row>
    <row r="295" spans="1:18" x14ac:dyDescent="0.25">
      <c r="A295" s="84" t="str">
        <f t="shared" si="13"/>
        <v>OutubroSEMANA 1Pescados - Salmão Inteiro</v>
      </c>
      <c r="B295" s="85" t="s">
        <v>37</v>
      </c>
      <c r="C295" s="85" t="s">
        <v>20</v>
      </c>
      <c r="D295" s="86">
        <v>6</v>
      </c>
      <c r="E295" s="116" t="str">
        <f t="shared" si="14"/>
        <v>Carnes</v>
      </c>
      <c r="F295" s="85" t="s">
        <v>1053</v>
      </c>
      <c r="G295" s="85" t="s">
        <v>644</v>
      </c>
      <c r="H295" s="85" t="s">
        <v>1039</v>
      </c>
      <c r="I295" s="85">
        <v>27.75</v>
      </c>
      <c r="J295" s="87">
        <v>25.900200000000002</v>
      </c>
      <c r="K295" s="88">
        <f t="shared" si="15"/>
        <v>718.73054999999999</v>
      </c>
      <c r="L295" s="85">
        <v>1231405</v>
      </c>
      <c r="M295" s="118" t="s">
        <v>299</v>
      </c>
      <c r="N295" s="96"/>
      <c r="O295" s="96" t="s">
        <v>873</v>
      </c>
      <c r="R295"/>
    </row>
    <row r="296" spans="1:18" x14ac:dyDescent="0.25">
      <c r="A296" s="84" t="str">
        <f t="shared" si="13"/>
        <v>OutubroSEMANA 1Bolo de Cacau Belga</v>
      </c>
      <c r="B296" s="85" t="s">
        <v>37</v>
      </c>
      <c r="C296" s="85" t="s">
        <v>20</v>
      </c>
      <c r="D296" s="86">
        <v>6</v>
      </c>
      <c r="E296" s="116" t="str">
        <f t="shared" si="14"/>
        <v>Feirinha</v>
      </c>
      <c r="F296" s="85" t="s">
        <v>1120</v>
      </c>
      <c r="G296" s="85" t="s">
        <v>944</v>
      </c>
      <c r="H296" s="85" t="s">
        <v>1038</v>
      </c>
      <c r="I296" s="85">
        <v>4</v>
      </c>
      <c r="J296" s="87">
        <v>9.5</v>
      </c>
      <c r="K296" s="88">
        <f t="shared" si="15"/>
        <v>38</v>
      </c>
      <c r="L296" s="85">
        <v>374</v>
      </c>
      <c r="M296" s="118" t="s">
        <v>300</v>
      </c>
      <c r="N296" s="96"/>
      <c r="O296" s="96" t="s">
        <v>873</v>
      </c>
      <c r="R296"/>
    </row>
    <row r="297" spans="1:18" x14ac:dyDescent="0.25">
      <c r="A297" s="84" t="str">
        <f t="shared" si="13"/>
        <v>OutubroSEMANA 1Bolo de Banana (com Amendoas)</v>
      </c>
      <c r="B297" s="85" t="s">
        <v>37</v>
      </c>
      <c r="C297" s="85" t="s">
        <v>20</v>
      </c>
      <c r="D297" s="86">
        <v>6</v>
      </c>
      <c r="E297" s="116" t="str">
        <f t="shared" si="14"/>
        <v>Feirinha</v>
      </c>
      <c r="F297" s="85" t="s">
        <v>1120</v>
      </c>
      <c r="G297" s="85" t="s">
        <v>943</v>
      </c>
      <c r="H297" s="85" t="s">
        <v>1038</v>
      </c>
      <c r="I297" s="85">
        <v>4</v>
      </c>
      <c r="J297" s="87">
        <v>9.5</v>
      </c>
      <c r="K297" s="88">
        <f t="shared" si="15"/>
        <v>38</v>
      </c>
      <c r="L297" s="85">
        <v>374</v>
      </c>
      <c r="M297" s="118" t="s">
        <v>301</v>
      </c>
      <c r="N297" s="96"/>
      <c r="O297" s="96" t="s">
        <v>873</v>
      </c>
      <c r="R297"/>
    </row>
    <row r="298" spans="1:18" x14ac:dyDescent="0.25">
      <c r="A298" s="84" t="str">
        <f t="shared" si="13"/>
        <v>OutubroSEMANA 1Bolo de Cenoura (com cobertura de chocolate)</v>
      </c>
      <c r="B298" s="85" t="s">
        <v>37</v>
      </c>
      <c r="C298" s="85" t="s">
        <v>20</v>
      </c>
      <c r="D298" s="86">
        <v>6</v>
      </c>
      <c r="E298" s="116" t="str">
        <f t="shared" si="14"/>
        <v>Feirinha</v>
      </c>
      <c r="F298" s="85" t="s">
        <v>1120</v>
      </c>
      <c r="G298" s="85" t="s">
        <v>945</v>
      </c>
      <c r="H298" s="85" t="s">
        <v>1038</v>
      </c>
      <c r="I298" s="85">
        <v>4</v>
      </c>
      <c r="J298" s="87">
        <v>9.5</v>
      </c>
      <c r="K298" s="88">
        <f t="shared" si="15"/>
        <v>38</v>
      </c>
      <c r="L298" s="85">
        <v>374</v>
      </c>
      <c r="M298" s="118" t="s">
        <v>302</v>
      </c>
      <c r="N298" s="96"/>
      <c r="O298" s="96" t="s">
        <v>44</v>
      </c>
      <c r="R298"/>
    </row>
    <row r="299" spans="1:18" x14ac:dyDescent="0.25">
      <c r="A299" s="84" t="str">
        <f t="shared" si="13"/>
        <v>OutubroSEMANA 1Bolo de Fuba (com cobertura de goiaba)</v>
      </c>
      <c r="B299" s="85" t="s">
        <v>37</v>
      </c>
      <c r="C299" s="85" t="s">
        <v>20</v>
      </c>
      <c r="D299" s="86">
        <v>6</v>
      </c>
      <c r="E299" s="116" t="str">
        <f t="shared" si="14"/>
        <v>Feirinha</v>
      </c>
      <c r="F299" s="85" t="s">
        <v>1120</v>
      </c>
      <c r="G299" s="85" t="s">
        <v>946</v>
      </c>
      <c r="H299" s="85" t="s">
        <v>1038</v>
      </c>
      <c r="I299" s="85">
        <v>4</v>
      </c>
      <c r="J299" s="87">
        <v>9.5</v>
      </c>
      <c r="K299" s="88">
        <f t="shared" si="15"/>
        <v>38</v>
      </c>
      <c r="L299" s="85">
        <v>374</v>
      </c>
      <c r="M299" s="118" t="s">
        <v>303</v>
      </c>
      <c r="N299" s="96"/>
      <c r="O299" s="96" t="s">
        <v>44</v>
      </c>
      <c r="R299"/>
    </row>
    <row r="300" spans="1:18" x14ac:dyDescent="0.25">
      <c r="A300" s="84" t="str">
        <f t="shared" si="13"/>
        <v>OutubroSEMANA 1Mini Bolo de Cacau Belga</v>
      </c>
      <c r="B300" s="85" t="s">
        <v>37</v>
      </c>
      <c r="C300" s="85" t="s">
        <v>20</v>
      </c>
      <c r="D300" s="86">
        <v>6</v>
      </c>
      <c r="E300" s="116" t="str">
        <f t="shared" si="14"/>
        <v>Feirinha</v>
      </c>
      <c r="F300" s="85" t="s">
        <v>1120</v>
      </c>
      <c r="G300" s="85" t="s">
        <v>953</v>
      </c>
      <c r="H300" s="85" t="s">
        <v>1038</v>
      </c>
      <c r="I300" s="85">
        <v>4</v>
      </c>
      <c r="J300" s="87">
        <v>4.5</v>
      </c>
      <c r="K300" s="88">
        <f t="shared" si="15"/>
        <v>18</v>
      </c>
      <c r="L300" s="85">
        <v>374</v>
      </c>
      <c r="M300" s="118" t="s">
        <v>304</v>
      </c>
      <c r="N300" s="96"/>
      <c r="O300" s="96" t="s">
        <v>874</v>
      </c>
      <c r="R300"/>
    </row>
    <row r="301" spans="1:18" x14ac:dyDescent="0.25">
      <c r="A301" s="84" t="str">
        <f t="shared" si="13"/>
        <v>OutubroSEMANA 1Mini Bolo de Banana (com amendoas)</v>
      </c>
      <c r="B301" s="85" t="s">
        <v>37</v>
      </c>
      <c r="C301" s="85" t="s">
        <v>20</v>
      </c>
      <c r="D301" s="86">
        <v>6</v>
      </c>
      <c r="E301" s="116" t="str">
        <f t="shared" si="14"/>
        <v>Feirinha</v>
      </c>
      <c r="F301" s="85" t="s">
        <v>1120</v>
      </c>
      <c r="G301" s="85" t="s">
        <v>952</v>
      </c>
      <c r="H301" s="85" t="s">
        <v>1038</v>
      </c>
      <c r="I301" s="85">
        <v>4</v>
      </c>
      <c r="J301" s="87">
        <v>4.5</v>
      </c>
      <c r="K301" s="88">
        <f t="shared" si="15"/>
        <v>18</v>
      </c>
      <c r="L301" s="85">
        <v>374</v>
      </c>
      <c r="M301" s="118" t="s">
        <v>305</v>
      </c>
      <c r="N301" s="96"/>
      <c r="O301" s="96" t="s">
        <v>45</v>
      </c>
      <c r="R301"/>
    </row>
    <row r="302" spans="1:18" x14ac:dyDescent="0.25">
      <c r="A302" s="84" t="str">
        <f t="shared" si="13"/>
        <v>OutubroSEMANA 1Mini Bolo de Cenoura (com cobertura de chocolate)</v>
      </c>
      <c r="B302" s="85" t="s">
        <v>37</v>
      </c>
      <c r="C302" s="85" t="s">
        <v>20</v>
      </c>
      <c r="D302" s="86">
        <v>6</v>
      </c>
      <c r="E302" s="116" t="str">
        <f t="shared" si="14"/>
        <v>Feirinha</v>
      </c>
      <c r="F302" s="85" t="s">
        <v>1120</v>
      </c>
      <c r="G302" s="85" t="s">
        <v>954</v>
      </c>
      <c r="H302" s="85" t="s">
        <v>1038</v>
      </c>
      <c r="I302" s="85">
        <v>4</v>
      </c>
      <c r="J302" s="87">
        <v>4.5</v>
      </c>
      <c r="K302" s="88">
        <f t="shared" si="15"/>
        <v>18</v>
      </c>
      <c r="L302" s="85">
        <v>374</v>
      </c>
      <c r="M302" s="118" t="s">
        <v>306</v>
      </c>
      <c r="N302" s="96"/>
      <c r="O302" s="96" t="s">
        <v>45</v>
      </c>
      <c r="R302"/>
    </row>
    <row r="303" spans="1:18" x14ac:dyDescent="0.25">
      <c r="A303" s="84" t="str">
        <f t="shared" si="13"/>
        <v>OutubroSEMANA 1Mini Bolo de Fuba (com cobertura goiaba)</v>
      </c>
      <c r="B303" s="85" t="s">
        <v>37</v>
      </c>
      <c r="C303" s="85" t="s">
        <v>20</v>
      </c>
      <c r="D303" s="86">
        <v>6</v>
      </c>
      <c r="E303" s="116" t="str">
        <f t="shared" si="14"/>
        <v>Feirinha</v>
      </c>
      <c r="F303" s="85" t="s">
        <v>1120</v>
      </c>
      <c r="G303" s="85" t="s">
        <v>955</v>
      </c>
      <c r="H303" s="85" t="s">
        <v>1038</v>
      </c>
      <c r="I303" s="85">
        <v>4</v>
      </c>
      <c r="J303" s="87">
        <v>4.5</v>
      </c>
      <c r="K303" s="88">
        <f t="shared" si="15"/>
        <v>18</v>
      </c>
      <c r="L303" s="85">
        <v>374</v>
      </c>
      <c r="M303" s="118" t="s">
        <v>307</v>
      </c>
      <c r="N303" s="96"/>
      <c r="O303" s="96" t="s">
        <v>45</v>
      </c>
      <c r="R303"/>
    </row>
    <row r="304" spans="1:18" x14ac:dyDescent="0.25">
      <c r="A304" s="84" t="str">
        <f t="shared" si="13"/>
        <v>OutubroSEMANA 1Petit Four de Cacau Belga</v>
      </c>
      <c r="B304" s="85" t="s">
        <v>37</v>
      </c>
      <c r="C304" s="85" t="s">
        <v>20</v>
      </c>
      <c r="D304" s="86">
        <v>6</v>
      </c>
      <c r="E304" s="116" t="str">
        <f t="shared" si="14"/>
        <v>Feirinha</v>
      </c>
      <c r="F304" s="85" t="s">
        <v>1120</v>
      </c>
      <c r="G304" s="85" t="s">
        <v>957</v>
      </c>
      <c r="H304" s="85" t="s">
        <v>1038</v>
      </c>
      <c r="I304" s="85">
        <v>6</v>
      </c>
      <c r="J304" s="87">
        <v>9.5</v>
      </c>
      <c r="K304" s="88">
        <f t="shared" si="15"/>
        <v>57</v>
      </c>
      <c r="L304" s="85">
        <v>374</v>
      </c>
      <c r="M304" s="118" t="s">
        <v>308</v>
      </c>
      <c r="N304" s="96"/>
      <c r="O304" s="96" t="s">
        <v>45</v>
      </c>
      <c r="R304"/>
    </row>
    <row r="305" spans="1:18" x14ac:dyDescent="0.25">
      <c r="A305" s="84" t="str">
        <f t="shared" si="13"/>
        <v>OutubroSEMANA 1Petit Four de Queijo</v>
      </c>
      <c r="B305" s="85" t="s">
        <v>37</v>
      </c>
      <c r="C305" s="85" t="s">
        <v>20</v>
      </c>
      <c r="D305" s="86">
        <v>6</v>
      </c>
      <c r="E305" s="116" t="str">
        <f t="shared" si="14"/>
        <v>Feirinha</v>
      </c>
      <c r="F305" s="85" t="s">
        <v>1120</v>
      </c>
      <c r="G305" s="85" t="s">
        <v>958</v>
      </c>
      <c r="H305" s="85" t="s">
        <v>1038</v>
      </c>
      <c r="I305" s="85">
        <v>3</v>
      </c>
      <c r="J305" s="87">
        <v>9.5</v>
      </c>
      <c r="K305" s="88">
        <f t="shared" si="15"/>
        <v>28.5</v>
      </c>
      <c r="L305" s="85">
        <v>374</v>
      </c>
      <c r="M305" s="118" t="s">
        <v>892</v>
      </c>
      <c r="N305" s="96"/>
      <c r="O305" s="96" t="s">
        <v>875</v>
      </c>
      <c r="R305"/>
    </row>
    <row r="306" spans="1:18" x14ac:dyDescent="0.25">
      <c r="A306" s="84" t="str">
        <f t="shared" si="13"/>
        <v>OutubroSEMANA 1Petit Four de Amendoas</v>
      </c>
      <c r="B306" s="85" t="s">
        <v>37</v>
      </c>
      <c r="C306" s="85" t="s">
        <v>20</v>
      </c>
      <c r="D306" s="86">
        <v>6</v>
      </c>
      <c r="E306" s="116" t="str">
        <f t="shared" si="14"/>
        <v>Feirinha</v>
      </c>
      <c r="F306" s="85" t="s">
        <v>1120</v>
      </c>
      <c r="G306" s="85" t="s">
        <v>956</v>
      </c>
      <c r="H306" s="85" t="s">
        <v>1038</v>
      </c>
      <c r="I306" s="85">
        <v>3</v>
      </c>
      <c r="J306" s="87">
        <v>9.5</v>
      </c>
      <c r="K306" s="88">
        <f t="shared" si="15"/>
        <v>28.5</v>
      </c>
      <c r="L306" s="85">
        <v>374</v>
      </c>
      <c r="M306" s="118" t="s">
        <v>309</v>
      </c>
      <c r="N306" s="96"/>
      <c r="O306" s="96" t="s">
        <v>42</v>
      </c>
      <c r="R306"/>
    </row>
    <row r="307" spans="1:18" x14ac:dyDescent="0.25">
      <c r="A307" s="84" t="str">
        <f t="shared" si="13"/>
        <v xml:space="preserve">OutubroSEMANA 1Abobrinha </v>
      </c>
      <c r="B307" s="85" t="s">
        <v>37</v>
      </c>
      <c r="C307" s="85" t="s">
        <v>20</v>
      </c>
      <c r="D307" s="86">
        <v>6</v>
      </c>
      <c r="E307" s="116" t="str">
        <f t="shared" si="14"/>
        <v>Hortifruti</v>
      </c>
      <c r="F307" s="85" t="s">
        <v>1110</v>
      </c>
      <c r="G307" s="85" t="s">
        <v>72</v>
      </c>
      <c r="H307" s="85" t="s">
        <v>1039</v>
      </c>
      <c r="I307" s="85">
        <v>15.4</v>
      </c>
      <c r="J307" s="87">
        <f>18.75/15.4</f>
        <v>1.2175324675324675</v>
      </c>
      <c r="K307" s="88">
        <f t="shared" si="15"/>
        <v>18.75</v>
      </c>
      <c r="L307" s="85" t="s">
        <v>1190</v>
      </c>
      <c r="M307" s="118" t="s">
        <v>965</v>
      </c>
      <c r="N307" s="96"/>
      <c r="O307" s="96" t="s">
        <v>42</v>
      </c>
      <c r="R307"/>
    </row>
    <row r="308" spans="1:18" x14ac:dyDescent="0.25">
      <c r="A308" s="84" t="str">
        <f t="shared" si="13"/>
        <v xml:space="preserve">OutubroSEMANA 1Alho Poró </v>
      </c>
      <c r="B308" s="85" t="s">
        <v>37</v>
      </c>
      <c r="C308" s="85" t="s">
        <v>20</v>
      </c>
      <c r="D308" s="86">
        <v>6</v>
      </c>
      <c r="E308" s="116" t="str">
        <f t="shared" si="14"/>
        <v>Hortifruti</v>
      </c>
      <c r="F308" s="85" t="s">
        <v>1110</v>
      </c>
      <c r="G308" s="85" t="s">
        <v>113</v>
      </c>
      <c r="H308" s="85" t="s">
        <v>1039</v>
      </c>
      <c r="I308" s="85">
        <v>1</v>
      </c>
      <c r="J308" s="87">
        <v>9.9</v>
      </c>
      <c r="K308" s="88">
        <f t="shared" si="15"/>
        <v>9.9</v>
      </c>
      <c r="L308" s="85" t="s">
        <v>1190</v>
      </c>
      <c r="M308" s="118" t="s">
        <v>310</v>
      </c>
      <c r="N308" s="96"/>
      <c r="O308" s="96" t="s">
        <v>42</v>
      </c>
      <c r="R308"/>
    </row>
    <row r="309" spans="1:18" x14ac:dyDescent="0.25">
      <c r="A309" s="84" t="str">
        <f t="shared" si="13"/>
        <v>OutubroSEMANA 1Banana D'Água</v>
      </c>
      <c r="B309" s="85" t="s">
        <v>37</v>
      </c>
      <c r="C309" s="85" t="s">
        <v>20</v>
      </c>
      <c r="D309" s="86">
        <v>6</v>
      </c>
      <c r="E309" s="116" t="str">
        <f t="shared" si="14"/>
        <v>Hortifruti</v>
      </c>
      <c r="F309" s="85" t="s">
        <v>1110</v>
      </c>
      <c r="G309" s="85" t="s">
        <v>162</v>
      </c>
      <c r="H309" s="85" t="s">
        <v>1039</v>
      </c>
      <c r="I309" s="85">
        <v>4</v>
      </c>
      <c r="J309" s="87">
        <v>1.88</v>
      </c>
      <c r="K309" s="88">
        <f t="shared" si="15"/>
        <v>7.52</v>
      </c>
      <c r="L309" s="85" t="s">
        <v>1190</v>
      </c>
      <c r="M309" s="118" t="s">
        <v>311</v>
      </c>
      <c r="N309" s="96"/>
      <c r="O309" s="96" t="s">
        <v>60</v>
      </c>
      <c r="R309"/>
    </row>
    <row r="310" spans="1:18" x14ac:dyDescent="0.25">
      <c r="A310" s="84" t="str">
        <f t="shared" si="13"/>
        <v>OutubroSEMANA 1Cebola Roxa</v>
      </c>
      <c r="B310" s="85" t="s">
        <v>37</v>
      </c>
      <c r="C310" s="85" t="s">
        <v>20</v>
      </c>
      <c r="D310" s="86">
        <v>6</v>
      </c>
      <c r="E310" s="116" t="str">
        <f t="shared" si="14"/>
        <v>Hortifruti</v>
      </c>
      <c r="F310" s="85" t="s">
        <v>1110</v>
      </c>
      <c r="G310" s="85" t="s">
        <v>244</v>
      </c>
      <c r="H310" s="85" t="s">
        <v>1039</v>
      </c>
      <c r="I310" s="85">
        <v>1</v>
      </c>
      <c r="J310" s="87">
        <v>3.63</v>
      </c>
      <c r="K310" s="88">
        <f t="shared" si="15"/>
        <v>3.63</v>
      </c>
      <c r="L310" s="85" t="s">
        <v>1190</v>
      </c>
      <c r="M310" s="118" t="s">
        <v>312</v>
      </c>
      <c r="N310" s="96"/>
      <c r="O310" s="96" t="s">
        <v>42</v>
      </c>
      <c r="R310"/>
    </row>
    <row r="311" spans="1:18" x14ac:dyDescent="0.25">
      <c r="A311" s="84" t="str">
        <f t="shared" si="13"/>
        <v>OutubroSEMANA 1Cenoura</v>
      </c>
      <c r="B311" s="85" t="s">
        <v>37</v>
      </c>
      <c r="C311" s="85" t="s">
        <v>20</v>
      </c>
      <c r="D311" s="86">
        <v>6</v>
      </c>
      <c r="E311" s="116" t="str">
        <f t="shared" si="14"/>
        <v>Hortifruti</v>
      </c>
      <c r="F311" s="85" t="s">
        <v>1110</v>
      </c>
      <c r="G311" s="85" t="s">
        <v>249</v>
      </c>
      <c r="H311" s="85" t="s">
        <v>1039</v>
      </c>
      <c r="I311" s="85">
        <f>18.72-0.36-0.31</f>
        <v>18.05</v>
      </c>
      <c r="J311" s="87">
        <f>35/18.72</f>
        <v>1.8696581196581197</v>
      </c>
      <c r="K311" s="88">
        <f t="shared" si="15"/>
        <v>33.747329059829063</v>
      </c>
      <c r="L311" s="85" t="s">
        <v>1190</v>
      </c>
      <c r="M311" s="118" t="s">
        <v>313</v>
      </c>
      <c r="N311" s="96"/>
      <c r="O311" s="96" t="s">
        <v>42</v>
      </c>
      <c r="R311"/>
    </row>
    <row r="312" spans="1:18" x14ac:dyDescent="0.25">
      <c r="A312" s="84" t="str">
        <f t="shared" si="13"/>
        <v>OutubroSEMANA 1Espinafre</v>
      </c>
      <c r="B312" s="85" t="s">
        <v>37</v>
      </c>
      <c r="C312" s="85" t="s">
        <v>20</v>
      </c>
      <c r="D312" s="86">
        <v>6</v>
      </c>
      <c r="E312" s="116" t="str">
        <f t="shared" si="14"/>
        <v>Hortifruti</v>
      </c>
      <c r="F312" s="85" t="s">
        <v>1110</v>
      </c>
      <c r="G312" s="85" t="s">
        <v>332</v>
      </c>
      <c r="H312" s="85" t="s">
        <v>1039</v>
      </c>
      <c r="I312" s="85">
        <v>5</v>
      </c>
      <c r="J312" s="87">
        <v>4.4000000000000004</v>
      </c>
      <c r="K312" s="88">
        <f t="shared" si="15"/>
        <v>22</v>
      </c>
      <c r="L312" s="85" t="s">
        <v>1190</v>
      </c>
      <c r="M312" s="118" t="s">
        <v>314</v>
      </c>
      <c r="N312" s="96"/>
      <c r="O312" s="96" t="s">
        <v>42</v>
      </c>
      <c r="R312"/>
    </row>
    <row r="313" spans="1:18" x14ac:dyDescent="0.25">
      <c r="A313" s="84" t="str">
        <f t="shared" si="13"/>
        <v>OutubroSEMANA 1Nabo Japonês Sushi</v>
      </c>
      <c r="B313" s="85" t="s">
        <v>37</v>
      </c>
      <c r="C313" s="85" t="s">
        <v>20</v>
      </c>
      <c r="D313" s="86">
        <v>6</v>
      </c>
      <c r="E313" s="116" t="str">
        <f t="shared" si="14"/>
        <v>Sushi</v>
      </c>
      <c r="F313" s="85" t="s">
        <v>1110</v>
      </c>
      <c r="G313" s="85" t="s">
        <v>537</v>
      </c>
      <c r="H313" s="85" t="s">
        <v>1039</v>
      </c>
      <c r="I313" s="85">
        <v>1.4259999999999999</v>
      </c>
      <c r="J313" s="87">
        <v>5</v>
      </c>
      <c r="K313" s="88">
        <f t="shared" si="15"/>
        <v>7.13</v>
      </c>
      <c r="L313" s="85" t="s">
        <v>1190</v>
      </c>
      <c r="M313" s="118" t="s">
        <v>315</v>
      </c>
      <c r="N313" s="96"/>
      <c r="O313" s="96" t="s">
        <v>42</v>
      </c>
      <c r="R313"/>
    </row>
    <row r="314" spans="1:18" x14ac:dyDescent="0.25">
      <c r="A314" s="84" t="str">
        <f t="shared" si="13"/>
        <v>OutubroSEMANA 1Óleo Composto 500ml</v>
      </c>
      <c r="B314" s="85" t="s">
        <v>37</v>
      </c>
      <c r="C314" s="85" t="s">
        <v>20</v>
      </c>
      <c r="D314" s="86">
        <v>6</v>
      </c>
      <c r="E314" s="116" t="str">
        <f t="shared" si="14"/>
        <v>Mercado</v>
      </c>
      <c r="F314" s="85" t="s">
        <v>1080</v>
      </c>
      <c r="G314" s="85" t="s">
        <v>542</v>
      </c>
      <c r="H314" s="85" t="s">
        <v>1038</v>
      </c>
      <c r="I314" s="85">
        <v>48</v>
      </c>
      <c r="J314" s="87">
        <f>167.12/48</f>
        <v>3.4816666666666669</v>
      </c>
      <c r="K314" s="88">
        <f t="shared" si="15"/>
        <v>167.12</v>
      </c>
      <c r="L314" s="85">
        <v>1180415</v>
      </c>
      <c r="M314" s="118" t="s">
        <v>316</v>
      </c>
      <c r="N314" s="96"/>
      <c r="O314" s="96" t="s">
        <v>872</v>
      </c>
      <c r="R314"/>
    </row>
    <row r="315" spans="1:18" x14ac:dyDescent="0.25">
      <c r="A315" s="84" t="str">
        <f t="shared" si="13"/>
        <v>OutubroSEMANA 1Óleo de Soja 18 Lt</v>
      </c>
      <c r="B315" s="85" t="s">
        <v>37</v>
      </c>
      <c r="C315" s="85" t="s">
        <v>20</v>
      </c>
      <c r="D315" s="86">
        <v>6</v>
      </c>
      <c r="E315" s="116" t="str">
        <f t="shared" si="14"/>
        <v>Mercado</v>
      </c>
      <c r="F315" s="85" t="s">
        <v>1080</v>
      </c>
      <c r="G315" s="85" t="s">
        <v>545</v>
      </c>
      <c r="H315" s="85" t="s">
        <v>1082</v>
      </c>
      <c r="I315" s="85">
        <v>1</v>
      </c>
      <c r="J315" s="87">
        <v>61.98</v>
      </c>
      <c r="K315" s="88">
        <f t="shared" si="15"/>
        <v>61.98</v>
      </c>
      <c r="L315" s="85">
        <v>1180415</v>
      </c>
      <c r="M315" s="118" t="s">
        <v>317</v>
      </c>
      <c r="N315" s="96"/>
      <c r="O315" s="96" t="s">
        <v>42</v>
      </c>
      <c r="R315"/>
    </row>
    <row r="316" spans="1:18" x14ac:dyDescent="0.25">
      <c r="A316" s="84" t="str">
        <f t="shared" si="13"/>
        <v>OutubroSEMANA 1Nescau (Nestle)</v>
      </c>
      <c r="B316" s="85" t="s">
        <v>37</v>
      </c>
      <c r="C316" s="85" t="s">
        <v>20</v>
      </c>
      <c r="D316" s="86">
        <v>6</v>
      </c>
      <c r="E316" s="116" t="str">
        <f t="shared" si="14"/>
        <v>Mercado</v>
      </c>
      <c r="F316" s="85" t="s">
        <v>1080</v>
      </c>
      <c r="G316" s="85" t="s">
        <v>538</v>
      </c>
      <c r="H316" s="85" t="s">
        <v>1039</v>
      </c>
      <c r="I316" s="85">
        <v>1</v>
      </c>
      <c r="J316" s="87">
        <f>18.5+0.28</f>
        <v>18.78</v>
      </c>
      <c r="K316" s="88">
        <f t="shared" si="15"/>
        <v>18.78</v>
      </c>
      <c r="L316" s="85">
        <v>1180415</v>
      </c>
      <c r="M316" s="118" t="s">
        <v>318</v>
      </c>
      <c r="N316" s="96"/>
      <c r="O316" s="96" t="s">
        <v>42</v>
      </c>
      <c r="R316"/>
    </row>
    <row r="317" spans="1:18" x14ac:dyDescent="0.25">
      <c r="A317" s="84" t="str">
        <f t="shared" si="13"/>
        <v>OutubroSEMANA 1Touca Branca</v>
      </c>
      <c r="B317" s="85" t="s">
        <v>37</v>
      </c>
      <c r="C317" s="85" t="s">
        <v>20</v>
      </c>
      <c r="D317" s="86">
        <v>6</v>
      </c>
      <c r="E317" s="116" t="str">
        <f t="shared" si="14"/>
        <v>Descartável</v>
      </c>
      <c r="F317" s="85" t="s">
        <v>1080</v>
      </c>
      <c r="G317" s="85" t="s">
        <v>823</v>
      </c>
      <c r="H317" s="85" t="s">
        <v>1037</v>
      </c>
      <c r="I317" s="85">
        <v>1</v>
      </c>
      <c r="J317" s="87">
        <v>7.9</v>
      </c>
      <c r="K317" s="88">
        <f t="shared" si="15"/>
        <v>7.9</v>
      </c>
      <c r="L317" s="85">
        <v>1180415</v>
      </c>
      <c r="M317" s="118" t="s">
        <v>319</v>
      </c>
      <c r="N317" s="96"/>
      <c r="O317" s="96" t="s">
        <v>42</v>
      </c>
      <c r="R317"/>
    </row>
    <row r="318" spans="1:18" x14ac:dyDescent="0.25">
      <c r="A318" s="84" t="str">
        <f t="shared" si="13"/>
        <v>OutubroSEMANA 1Folha de Alga 50F</v>
      </c>
      <c r="B318" s="85" t="s">
        <v>37</v>
      </c>
      <c r="C318" s="85" t="s">
        <v>20</v>
      </c>
      <c r="D318" s="86">
        <v>6</v>
      </c>
      <c r="E318" s="116" t="str">
        <f t="shared" si="14"/>
        <v>Sushi</v>
      </c>
      <c r="F318" s="85" t="s">
        <v>1121</v>
      </c>
      <c r="G318" s="85" t="s">
        <v>968</v>
      </c>
      <c r="H318" s="85" t="s">
        <v>1037</v>
      </c>
      <c r="I318" s="85">
        <f>10-2</f>
        <v>8</v>
      </c>
      <c r="J318" s="87">
        <v>33</v>
      </c>
      <c r="K318" s="88">
        <f t="shared" si="15"/>
        <v>264</v>
      </c>
      <c r="L318" s="85" t="s">
        <v>1122</v>
      </c>
      <c r="M318" s="118" t="s">
        <v>320</v>
      </c>
      <c r="N318" s="96"/>
      <c r="O318" s="96" t="s">
        <v>46</v>
      </c>
      <c r="R318"/>
    </row>
    <row r="319" spans="1:18" x14ac:dyDescent="0.25">
      <c r="A319" s="84" t="str">
        <f t="shared" si="13"/>
        <v>OutubroSEMANA 1Ice Tea Limão</v>
      </c>
      <c r="B319" s="85" t="s">
        <v>37</v>
      </c>
      <c r="C319" s="85" t="s">
        <v>20</v>
      </c>
      <c r="D319" s="86">
        <v>5</v>
      </c>
      <c r="E319" s="116" t="str">
        <f t="shared" si="14"/>
        <v>Bebidas</v>
      </c>
      <c r="F319" s="85" t="s">
        <v>1123</v>
      </c>
      <c r="G319" s="85" t="s">
        <v>443</v>
      </c>
      <c r="H319" s="85" t="s">
        <v>1038</v>
      </c>
      <c r="I319" s="85">
        <f>2*12</f>
        <v>24</v>
      </c>
      <c r="J319" s="87">
        <f>47.01/24</f>
        <v>1.95875</v>
      </c>
      <c r="K319" s="88">
        <f t="shared" si="15"/>
        <v>47.01</v>
      </c>
      <c r="L319" s="85" t="s">
        <v>1124</v>
      </c>
      <c r="M319" s="118" t="s">
        <v>321</v>
      </c>
      <c r="N319" s="96"/>
      <c r="O319" s="96" t="s">
        <v>873</v>
      </c>
      <c r="R319"/>
    </row>
    <row r="320" spans="1:18" x14ac:dyDescent="0.25">
      <c r="A320" s="84" t="str">
        <f t="shared" si="13"/>
        <v>OutubroSEMANA 1Água Tonica</v>
      </c>
      <c r="B320" s="85" t="s">
        <v>37</v>
      </c>
      <c r="C320" s="85" t="s">
        <v>20</v>
      </c>
      <c r="D320" s="86">
        <v>5</v>
      </c>
      <c r="E320" s="116" t="str">
        <f t="shared" si="14"/>
        <v>Bebidas</v>
      </c>
      <c r="F320" s="85" t="s">
        <v>1123</v>
      </c>
      <c r="G320" s="85" t="s">
        <v>92</v>
      </c>
      <c r="H320" s="85" t="s">
        <v>1038</v>
      </c>
      <c r="I320" s="85">
        <v>12</v>
      </c>
      <c r="J320" s="87">
        <f>22.33/12</f>
        <v>1.8608333333333331</v>
      </c>
      <c r="K320" s="88">
        <f t="shared" si="15"/>
        <v>22.33</v>
      </c>
      <c r="L320" s="85" t="s">
        <v>1124</v>
      </c>
      <c r="M320" s="118" t="s">
        <v>322</v>
      </c>
      <c r="O320" s="115" t="s">
        <v>874</v>
      </c>
      <c r="R320"/>
    </row>
    <row r="321" spans="1:18" x14ac:dyDescent="0.25">
      <c r="A321" s="84" t="str">
        <f t="shared" si="13"/>
        <v>OutubroSEMANA 1Guaraná Antarctica Zero (lata)</v>
      </c>
      <c r="B321" s="85" t="s">
        <v>37</v>
      </c>
      <c r="C321" s="85" t="s">
        <v>20</v>
      </c>
      <c r="D321" s="86">
        <v>5</v>
      </c>
      <c r="E321" s="116" t="str">
        <f t="shared" si="14"/>
        <v>Bebidas</v>
      </c>
      <c r="F321" s="85" t="s">
        <v>1123</v>
      </c>
      <c r="G321" s="85" t="s">
        <v>398</v>
      </c>
      <c r="H321" s="85" t="s">
        <v>1038</v>
      </c>
      <c r="I321" s="85">
        <f>12*10</f>
        <v>120</v>
      </c>
      <c r="J321" s="87">
        <f>160.47/120</f>
        <v>1.33725</v>
      </c>
      <c r="K321" s="88">
        <f t="shared" si="15"/>
        <v>160.47</v>
      </c>
      <c r="L321" s="85" t="s">
        <v>1124</v>
      </c>
      <c r="M321" s="118" t="s">
        <v>323</v>
      </c>
      <c r="N321" s="96"/>
      <c r="O321" s="96" t="s">
        <v>873</v>
      </c>
      <c r="R321"/>
    </row>
    <row r="322" spans="1:18" x14ac:dyDescent="0.25">
      <c r="A322" s="84" t="str">
        <f t="shared" ref="A322:A385" si="16">CONCATENATE(B322,C322,G322)</f>
        <v>OutubroSEMANA 1Guaraná Antarctica (lata)</v>
      </c>
      <c r="B322" s="85" t="s">
        <v>37</v>
      </c>
      <c r="C322" s="85" t="s">
        <v>20</v>
      </c>
      <c r="D322" s="86">
        <v>5</v>
      </c>
      <c r="E322" s="116" t="str">
        <f t="shared" ref="E322:E385" si="17">VLOOKUP(G322,$M$1:$O$968,3,0)</f>
        <v>Bebidas</v>
      </c>
      <c r="F322" s="85" t="s">
        <v>1123</v>
      </c>
      <c r="G322" s="85" t="s">
        <v>397</v>
      </c>
      <c r="H322" s="85" t="s">
        <v>1038</v>
      </c>
      <c r="I322" s="85">
        <v>12</v>
      </c>
      <c r="J322" s="87">
        <f>16.05/12</f>
        <v>1.3375000000000001</v>
      </c>
      <c r="K322" s="88">
        <f t="shared" ref="K322:K385" si="18">I322*J322</f>
        <v>16.05</v>
      </c>
      <c r="L322" s="85" t="s">
        <v>1124</v>
      </c>
      <c r="M322" s="118" t="s">
        <v>324</v>
      </c>
      <c r="N322" s="96"/>
      <c r="O322" s="96" t="s">
        <v>873</v>
      </c>
      <c r="R322"/>
    </row>
    <row r="323" spans="1:18" x14ac:dyDescent="0.25">
      <c r="A323" s="84" t="str">
        <f t="shared" si="16"/>
        <v>OutubroSEMANA 1H2O Limão</v>
      </c>
      <c r="B323" s="85" t="s">
        <v>37</v>
      </c>
      <c r="C323" s="85" t="s">
        <v>20</v>
      </c>
      <c r="D323" s="86">
        <v>5</v>
      </c>
      <c r="E323" s="116" t="str">
        <f t="shared" si="17"/>
        <v>Bebidas</v>
      </c>
      <c r="F323" s="85" t="s">
        <v>1123</v>
      </c>
      <c r="G323" s="85" t="s">
        <v>400</v>
      </c>
      <c r="H323" s="85" t="s">
        <v>1038</v>
      </c>
      <c r="I323" s="85">
        <f>12*2</f>
        <v>24</v>
      </c>
      <c r="J323" s="87">
        <f>51.45/24</f>
        <v>2.1437500000000003</v>
      </c>
      <c r="K323" s="88">
        <f t="shared" si="18"/>
        <v>51.45</v>
      </c>
      <c r="L323" s="85" t="s">
        <v>1124</v>
      </c>
      <c r="M323" s="118" t="s">
        <v>325</v>
      </c>
      <c r="N323" s="96"/>
      <c r="O323" s="96" t="s">
        <v>873</v>
      </c>
      <c r="R323"/>
    </row>
    <row r="324" spans="1:18" x14ac:dyDescent="0.25">
      <c r="A324" s="84" t="str">
        <f t="shared" si="16"/>
        <v>OutubroSEMANA 1Cerveja Bohemia Long Neck 355 ml</v>
      </c>
      <c r="B324" s="85" t="s">
        <v>37</v>
      </c>
      <c r="C324" s="85" t="s">
        <v>20</v>
      </c>
      <c r="D324" s="86">
        <v>5</v>
      </c>
      <c r="E324" s="116" t="str">
        <f t="shared" si="17"/>
        <v>Bebidas</v>
      </c>
      <c r="F324" s="85" t="s">
        <v>1123</v>
      </c>
      <c r="G324" s="85" t="s">
        <v>260</v>
      </c>
      <c r="H324" s="85" t="s">
        <v>1038</v>
      </c>
      <c r="I324" s="85">
        <v>24</v>
      </c>
      <c r="J324" s="87">
        <f>63.77/24</f>
        <v>2.6570833333333335</v>
      </c>
      <c r="K324" s="88">
        <f t="shared" si="18"/>
        <v>63.77</v>
      </c>
      <c r="L324" s="85" t="s">
        <v>1124</v>
      </c>
      <c r="M324" s="118" t="s">
        <v>1032</v>
      </c>
      <c r="N324" s="96"/>
      <c r="O324" s="96" t="s">
        <v>873</v>
      </c>
      <c r="R324"/>
    </row>
    <row r="325" spans="1:18" x14ac:dyDescent="0.25">
      <c r="A325" s="84" t="str">
        <f t="shared" si="16"/>
        <v>OutubroSEMANA 1Torta de Maça Integral</v>
      </c>
      <c r="B325" s="85" t="s">
        <v>37</v>
      </c>
      <c r="C325" s="85" t="s">
        <v>20</v>
      </c>
      <c r="D325" s="86">
        <v>6</v>
      </c>
      <c r="E325" s="116" t="str">
        <f t="shared" si="17"/>
        <v>Sobremesa</v>
      </c>
      <c r="F325" s="85" t="s">
        <v>1125</v>
      </c>
      <c r="G325" s="85" t="s">
        <v>815</v>
      </c>
      <c r="H325" s="85" t="s">
        <v>1071</v>
      </c>
      <c r="I325" s="85">
        <f>2*10</f>
        <v>20</v>
      </c>
      <c r="J325" s="87">
        <f>98/20</f>
        <v>4.9000000000000004</v>
      </c>
      <c r="K325" s="88">
        <f t="shared" si="18"/>
        <v>98</v>
      </c>
      <c r="L325" s="85" t="s">
        <v>1126</v>
      </c>
      <c r="M325" s="118" t="s">
        <v>326</v>
      </c>
      <c r="N325" s="96"/>
      <c r="O325" s="96" t="s">
        <v>45</v>
      </c>
      <c r="R325"/>
    </row>
    <row r="326" spans="1:18" x14ac:dyDescent="0.25">
      <c r="A326" s="84" t="str">
        <f t="shared" si="16"/>
        <v>OutubroSEMANA 1Batata Palha 140 g</v>
      </c>
      <c r="B326" s="85" t="s">
        <v>37</v>
      </c>
      <c r="C326" s="85" t="s">
        <v>20</v>
      </c>
      <c r="D326" s="86">
        <v>6</v>
      </c>
      <c r="E326" s="116" t="str">
        <f t="shared" si="17"/>
        <v>Mercado</v>
      </c>
      <c r="F326" s="85" t="s">
        <v>1036</v>
      </c>
      <c r="G326" s="85" t="s">
        <v>174</v>
      </c>
      <c r="H326" s="85" t="s">
        <v>1037</v>
      </c>
      <c r="I326" s="85">
        <v>4</v>
      </c>
      <c r="J326" s="87">
        <v>7.8</v>
      </c>
      <c r="K326" s="88">
        <f t="shared" si="18"/>
        <v>31.2</v>
      </c>
      <c r="L326" s="85">
        <v>61189</v>
      </c>
      <c r="M326" s="118" t="s">
        <v>327</v>
      </c>
      <c r="N326" s="96"/>
      <c r="O326" s="96" t="s">
        <v>874</v>
      </c>
      <c r="R326"/>
    </row>
    <row r="327" spans="1:18" x14ac:dyDescent="0.25">
      <c r="A327" s="84" t="str">
        <f t="shared" si="16"/>
        <v>OutubroSEMANA 1Torta Bem Casado de Damasco</v>
      </c>
      <c r="B327" s="85" t="s">
        <v>37</v>
      </c>
      <c r="C327" s="85" t="s">
        <v>20</v>
      </c>
      <c r="D327" s="86">
        <v>6</v>
      </c>
      <c r="E327" s="116" t="str">
        <f t="shared" si="17"/>
        <v>Sobremesa</v>
      </c>
      <c r="F327" s="85" t="s">
        <v>1127</v>
      </c>
      <c r="G327" s="85" t="s">
        <v>808</v>
      </c>
      <c r="H327" s="85" t="s">
        <v>1071</v>
      </c>
      <c r="I327" s="85">
        <f>2*12</f>
        <v>24</v>
      </c>
      <c r="J327" s="87">
        <f>137.83/24</f>
        <v>5.7429166666666669</v>
      </c>
      <c r="K327" s="88">
        <f t="shared" si="18"/>
        <v>137.83000000000001</v>
      </c>
      <c r="L327" s="85">
        <v>146288</v>
      </c>
      <c r="M327" s="118" t="s">
        <v>328</v>
      </c>
      <c r="N327" s="96"/>
      <c r="O327" s="96" t="s">
        <v>45</v>
      </c>
      <c r="R327"/>
    </row>
    <row r="328" spans="1:18" x14ac:dyDescent="0.25">
      <c r="A328" s="84" t="str">
        <f t="shared" si="16"/>
        <v>OutubroSEMANA 1Torta de Brigadeiro c/ Raspas</v>
      </c>
      <c r="B328" s="85" t="s">
        <v>37</v>
      </c>
      <c r="C328" s="85" t="s">
        <v>20</v>
      </c>
      <c r="D328" s="86">
        <v>6</v>
      </c>
      <c r="E328" s="116" t="str">
        <f t="shared" si="17"/>
        <v>Sobremesa</v>
      </c>
      <c r="F328" s="85" t="s">
        <v>1127</v>
      </c>
      <c r="G328" s="85" t="s">
        <v>813</v>
      </c>
      <c r="H328" s="85" t="s">
        <v>1071</v>
      </c>
      <c r="I328" s="85">
        <v>12</v>
      </c>
      <c r="J328" s="87">
        <f>66.79/12</f>
        <v>5.5658333333333339</v>
      </c>
      <c r="K328" s="88">
        <f t="shared" si="18"/>
        <v>66.790000000000006</v>
      </c>
      <c r="L328" s="85">
        <v>146288</v>
      </c>
      <c r="M328" s="118" t="s">
        <v>329</v>
      </c>
      <c r="N328" s="96"/>
      <c r="O328" s="96" t="s">
        <v>42</v>
      </c>
      <c r="R328"/>
    </row>
    <row r="329" spans="1:18" x14ac:dyDescent="0.25">
      <c r="A329" s="84" t="str">
        <f t="shared" si="16"/>
        <v>OutubroSEMANA 1Torta de Limão</v>
      </c>
      <c r="B329" s="85" t="s">
        <v>37</v>
      </c>
      <c r="C329" s="85" t="s">
        <v>20</v>
      </c>
      <c r="D329" s="86">
        <v>6</v>
      </c>
      <c r="E329" s="116" t="str">
        <f t="shared" si="17"/>
        <v>Sobremesa</v>
      </c>
      <c r="F329" s="85" t="s">
        <v>1127</v>
      </c>
      <c r="G329" s="85" t="s">
        <v>814</v>
      </c>
      <c r="H329" s="85" t="s">
        <v>1071</v>
      </c>
      <c r="I329" s="92">
        <v>12</v>
      </c>
      <c r="J329" s="87">
        <f>63.61/12</f>
        <v>5.3008333333333333</v>
      </c>
      <c r="K329" s="88">
        <f t="shared" si="18"/>
        <v>63.61</v>
      </c>
      <c r="L329" s="85">
        <v>146288</v>
      </c>
      <c r="M329" s="118" t="s">
        <v>330</v>
      </c>
      <c r="N329" s="96"/>
      <c r="O329" s="96" t="s">
        <v>42</v>
      </c>
      <c r="R329"/>
    </row>
    <row r="330" spans="1:18" x14ac:dyDescent="0.25">
      <c r="A330" s="84" t="str">
        <f t="shared" si="16"/>
        <v>OutubroSEMANA 1Torta Bem Casado de Chocolate c/ Avelã</v>
      </c>
      <c r="B330" s="85" t="s">
        <v>37</v>
      </c>
      <c r="C330" s="85" t="s">
        <v>20</v>
      </c>
      <c r="D330" s="86">
        <v>6</v>
      </c>
      <c r="E330" s="116" t="str">
        <f t="shared" si="17"/>
        <v>Sobremesa</v>
      </c>
      <c r="F330" s="85" t="s">
        <v>1127</v>
      </c>
      <c r="G330" s="85" t="s">
        <v>807</v>
      </c>
      <c r="H330" s="85" t="s">
        <v>1071</v>
      </c>
      <c r="I330" s="92">
        <f>4*12</f>
        <v>48</v>
      </c>
      <c r="J330" s="87">
        <f>275.66/48</f>
        <v>5.7429166666666669</v>
      </c>
      <c r="K330" s="88">
        <f t="shared" si="18"/>
        <v>275.66000000000003</v>
      </c>
      <c r="L330" s="85">
        <v>146288</v>
      </c>
      <c r="M330" s="118" t="s">
        <v>932</v>
      </c>
      <c r="N330" s="96"/>
      <c r="O330" s="96" t="s">
        <v>45</v>
      </c>
      <c r="R330"/>
    </row>
    <row r="331" spans="1:18" x14ac:dyDescent="0.25">
      <c r="A331" s="84" t="str">
        <f t="shared" si="16"/>
        <v>OutubroSEMANA 1Flocos de Milho</v>
      </c>
      <c r="B331" s="85" t="s">
        <v>37</v>
      </c>
      <c r="C331" s="85" t="s">
        <v>20</v>
      </c>
      <c r="D331" s="86">
        <v>6</v>
      </c>
      <c r="E331" s="116" t="str">
        <f t="shared" si="17"/>
        <v>Mercado</v>
      </c>
      <c r="F331" s="85" t="s">
        <v>1036</v>
      </c>
      <c r="G331" s="85" t="s">
        <v>364</v>
      </c>
      <c r="H331" s="85" t="s">
        <v>1039</v>
      </c>
      <c r="I331" s="85">
        <v>0.5</v>
      </c>
      <c r="J331" s="87">
        <v>21</v>
      </c>
      <c r="K331" s="88">
        <f t="shared" si="18"/>
        <v>10.5</v>
      </c>
      <c r="L331" s="85">
        <v>48212</v>
      </c>
      <c r="M331" s="118" t="s">
        <v>1015</v>
      </c>
      <c r="O331" s="84" t="s">
        <v>875</v>
      </c>
      <c r="R331"/>
    </row>
    <row r="332" spans="1:18" x14ac:dyDescent="0.25">
      <c r="A332" s="84" t="str">
        <f t="shared" si="16"/>
        <v>OutubroSEMANA 1Vinagre de Arroz (cozinha)</v>
      </c>
      <c r="B332" s="85" t="s">
        <v>37</v>
      </c>
      <c r="C332" s="85" t="s">
        <v>20</v>
      </c>
      <c r="D332" s="86">
        <v>4</v>
      </c>
      <c r="E332" s="116" t="str">
        <f t="shared" si="17"/>
        <v>Mercado</v>
      </c>
      <c r="F332" s="85" t="s">
        <v>1085</v>
      </c>
      <c r="G332" s="85" t="s">
        <v>896</v>
      </c>
      <c r="H332" s="85" t="s">
        <v>1081</v>
      </c>
      <c r="I332" s="85">
        <f>7*0.75</f>
        <v>5.25</v>
      </c>
      <c r="J332" s="87">
        <f>47.52/9</f>
        <v>5.28</v>
      </c>
      <c r="K332" s="88">
        <f t="shared" si="18"/>
        <v>27.720000000000002</v>
      </c>
      <c r="L332" s="85" t="s">
        <v>1086</v>
      </c>
      <c r="M332" s="118" t="s">
        <v>331</v>
      </c>
      <c r="N332" s="96"/>
      <c r="O332" s="96" t="s">
        <v>873</v>
      </c>
      <c r="R332"/>
    </row>
    <row r="333" spans="1:18" x14ac:dyDescent="0.25">
      <c r="A333" s="84" t="str">
        <f t="shared" si="16"/>
        <v>OutubroSEMANA 1Cenoura  Sushi</v>
      </c>
      <c r="B333" s="85" t="s">
        <v>37</v>
      </c>
      <c r="C333" s="85" t="s">
        <v>20</v>
      </c>
      <c r="D333" s="86">
        <v>6</v>
      </c>
      <c r="E333" s="116" t="str">
        <f t="shared" si="17"/>
        <v>Sushi</v>
      </c>
      <c r="F333" s="85" t="s">
        <v>1110</v>
      </c>
      <c r="G333" s="85" t="s">
        <v>250</v>
      </c>
      <c r="H333" s="85" t="s">
        <v>1039</v>
      </c>
      <c r="I333" s="85">
        <v>0.36</v>
      </c>
      <c r="J333" s="87">
        <f>35/18.72</f>
        <v>1.8696581196581197</v>
      </c>
      <c r="K333" s="88">
        <f t="shared" si="18"/>
        <v>0.67307692307692302</v>
      </c>
      <c r="L333" s="85" t="s">
        <v>1190</v>
      </c>
      <c r="M333" s="118" t="s">
        <v>332</v>
      </c>
      <c r="N333" s="96"/>
      <c r="O333" s="96" t="s">
        <v>45</v>
      </c>
      <c r="R333"/>
    </row>
    <row r="334" spans="1:18" x14ac:dyDescent="0.25">
      <c r="A334" s="84" t="str">
        <f t="shared" si="16"/>
        <v>OutubroSEMANA 1Misso Shiro</v>
      </c>
      <c r="B334" s="85" t="s">
        <v>37</v>
      </c>
      <c r="C334" s="85" t="s">
        <v>20</v>
      </c>
      <c r="D334" s="86">
        <v>6</v>
      </c>
      <c r="E334" s="116" t="str">
        <f t="shared" si="17"/>
        <v>Mercado</v>
      </c>
      <c r="F334" s="85" t="s">
        <v>1128</v>
      </c>
      <c r="G334" s="85" t="s">
        <v>524</v>
      </c>
      <c r="H334" s="85" t="s">
        <v>1039</v>
      </c>
      <c r="I334" s="85">
        <v>5</v>
      </c>
      <c r="J334" s="87">
        <v>22</v>
      </c>
      <c r="K334" s="88">
        <f t="shared" si="18"/>
        <v>110</v>
      </c>
      <c r="L334" s="85">
        <v>7804</v>
      </c>
      <c r="M334" s="118" t="s">
        <v>948</v>
      </c>
      <c r="N334" s="96"/>
      <c r="O334" s="96" t="s">
        <v>875</v>
      </c>
      <c r="R334"/>
    </row>
    <row r="335" spans="1:18" x14ac:dyDescent="0.25">
      <c r="A335" s="84" t="str">
        <f t="shared" si="16"/>
        <v>OutubroSEMANA 1Gelo em Escamas</v>
      </c>
      <c r="B335" s="85" t="s">
        <v>37</v>
      </c>
      <c r="C335" s="85" t="s">
        <v>20</v>
      </c>
      <c r="D335" s="86">
        <v>7</v>
      </c>
      <c r="E335" s="116" t="str">
        <f t="shared" si="17"/>
        <v>Mercado</v>
      </c>
      <c r="F335" s="85" t="s">
        <v>1040</v>
      </c>
      <c r="G335" s="85" t="s">
        <v>384</v>
      </c>
      <c r="H335" s="85" t="s">
        <v>1041</v>
      </c>
      <c r="I335" s="85">
        <v>2</v>
      </c>
      <c r="J335" s="87">
        <v>7.5</v>
      </c>
      <c r="K335" s="88">
        <f t="shared" si="18"/>
        <v>15</v>
      </c>
      <c r="L335" s="85">
        <v>9676</v>
      </c>
      <c r="M335" s="118" t="s">
        <v>333</v>
      </c>
      <c r="N335" s="96"/>
      <c r="O335" s="96" t="s">
        <v>45</v>
      </c>
      <c r="R335"/>
    </row>
    <row r="336" spans="1:18" x14ac:dyDescent="0.25">
      <c r="A336" s="84" t="str">
        <f t="shared" si="16"/>
        <v>OutubroSEMANA 1Gelo em Cubo</v>
      </c>
      <c r="B336" s="85" t="s">
        <v>37</v>
      </c>
      <c r="C336" s="85" t="s">
        <v>20</v>
      </c>
      <c r="D336" s="86">
        <v>7</v>
      </c>
      <c r="E336" s="116" t="str">
        <f t="shared" si="17"/>
        <v>Mercado</v>
      </c>
      <c r="F336" s="85" t="s">
        <v>1040</v>
      </c>
      <c r="G336" s="85" t="s">
        <v>383</v>
      </c>
      <c r="H336" s="85" t="s">
        <v>1041</v>
      </c>
      <c r="I336" s="85">
        <v>2</v>
      </c>
      <c r="J336" s="87">
        <v>7.5</v>
      </c>
      <c r="K336" s="88">
        <f t="shared" si="18"/>
        <v>15</v>
      </c>
      <c r="L336" s="85">
        <v>9676</v>
      </c>
      <c r="M336" s="118" t="s">
        <v>334</v>
      </c>
      <c r="N336" s="96"/>
      <c r="O336" s="96" t="s">
        <v>60</v>
      </c>
      <c r="R336"/>
    </row>
    <row r="337" spans="1:18" x14ac:dyDescent="0.25">
      <c r="A337" s="84" t="str">
        <f t="shared" si="16"/>
        <v>OutubroSEMANA 1Pescados - Salmão Inteiro Sushi</v>
      </c>
      <c r="B337" s="85" t="s">
        <v>37</v>
      </c>
      <c r="C337" s="85" t="s">
        <v>20</v>
      </c>
      <c r="D337" s="86">
        <v>7</v>
      </c>
      <c r="E337" s="116" t="str">
        <f t="shared" si="17"/>
        <v>Sushi</v>
      </c>
      <c r="F337" s="85" t="s">
        <v>1053</v>
      </c>
      <c r="G337" s="85" t="s">
        <v>645</v>
      </c>
      <c r="H337" s="85" t="s">
        <v>1039</v>
      </c>
      <c r="I337" s="85">
        <v>28</v>
      </c>
      <c r="J337" s="87">
        <v>25.9</v>
      </c>
      <c r="K337" s="88">
        <f t="shared" si="18"/>
        <v>725.19999999999993</v>
      </c>
      <c r="L337" s="85">
        <v>1232113</v>
      </c>
      <c r="M337" s="118" t="s">
        <v>335</v>
      </c>
      <c r="N337" s="96"/>
      <c r="O337" s="96" t="s">
        <v>46</v>
      </c>
      <c r="R337"/>
    </row>
    <row r="338" spans="1:18" x14ac:dyDescent="0.25">
      <c r="A338" s="84" t="str">
        <f t="shared" si="16"/>
        <v>OutubroSEMANA 1Alho Descascado</v>
      </c>
      <c r="B338" s="85" t="s">
        <v>37</v>
      </c>
      <c r="C338" s="85" t="s">
        <v>20</v>
      </c>
      <c r="D338" s="86">
        <v>7</v>
      </c>
      <c r="E338" s="116" t="str">
        <f t="shared" si="17"/>
        <v>Hortifruti</v>
      </c>
      <c r="F338" s="85" t="s">
        <v>1129</v>
      </c>
      <c r="G338" s="85" t="s">
        <v>112</v>
      </c>
      <c r="H338" s="85" t="s">
        <v>1039</v>
      </c>
      <c r="I338" s="85">
        <v>20</v>
      </c>
      <c r="J338" s="87">
        <v>15.5</v>
      </c>
      <c r="K338" s="88">
        <f t="shared" si="18"/>
        <v>310</v>
      </c>
      <c r="L338" s="85"/>
      <c r="M338" s="118" t="s">
        <v>336</v>
      </c>
      <c r="N338" s="96"/>
      <c r="O338" s="96" t="s">
        <v>45</v>
      </c>
      <c r="R338"/>
    </row>
    <row r="339" spans="1:18" ht="15.75" thickBot="1" x14ac:dyDescent="0.3">
      <c r="A339" s="84" t="str">
        <f t="shared" si="16"/>
        <v>OutubroSEMANA 1Pepino Japonês</v>
      </c>
      <c r="B339" s="85" t="s">
        <v>37</v>
      </c>
      <c r="C339" s="85" t="s">
        <v>20</v>
      </c>
      <c r="D339" s="86">
        <v>7</v>
      </c>
      <c r="E339" s="116" t="str">
        <f t="shared" si="17"/>
        <v>Hortifruti</v>
      </c>
      <c r="F339" s="85" t="s">
        <v>1054</v>
      </c>
      <c r="G339" s="85" t="s">
        <v>577</v>
      </c>
      <c r="H339" s="85" t="s">
        <v>1039</v>
      </c>
      <c r="I339" s="85">
        <f>21.2-0.586</f>
        <v>20.614000000000001</v>
      </c>
      <c r="J339" s="87">
        <f>50/21.2</f>
        <v>2.358490566037736</v>
      </c>
      <c r="K339" s="88">
        <f t="shared" si="18"/>
        <v>48.617924528301891</v>
      </c>
      <c r="L339" s="85">
        <v>1836</v>
      </c>
      <c r="M339" s="119" t="s">
        <v>337</v>
      </c>
      <c r="N339" s="96"/>
      <c r="O339" s="96" t="s">
        <v>873</v>
      </c>
      <c r="R339"/>
    </row>
    <row r="340" spans="1:18" x14ac:dyDescent="0.25">
      <c r="A340" s="84" t="str">
        <f t="shared" si="16"/>
        <v>OutubroSEMANA 1Pimentão Verde</v>
      </c>
      <c r="B340" s="85" t="s">
        <v>37</v>
      </c>
      <c r="C340" s="85" t="s">
        <v>20</v>
      </c>
      <c r="D340" s="86">
        <v>7</v>
      </c>
      <c r="E340" s="116" t="str">
        <f t="shared" si="17"/>
        <v>Hortifruti</v>
      </c>
      <c r="F340" s="85" t="s">
        <v>1054</v>
      </c>
      <c r="G340" s="85" t="s">
        <v>666</v>
      </c>
      <c r="H340" s="85" t="s">
        <v>1039</v>
      </c>
      <c r="I340" s="85">
        <v>1</v>
      </c>
      <c r="J340" s="87">
        <v>4</v>
      </c>
      <c r="K340" s="88">
        <f t="shared" si="18"/>
        <v>4</v>
      </c>
      <c r="L340" s="85">
        <v>1836</v>
      </c>
      <c r="M340" s="118" t="s">
        <v>999</v>
      </c>
      <c r="N340" s="96"/>
      <c r="O340" s="96" t="s">
        <v>874</v>
      </c>
      <c r="R340"/>
    </row>
    <row r="341" spans="1:18" x14ac:dyDescent="0.25">
      <c r="A341" s="84" t="str">
        <f t="shared" si="16"/>
        <v>OutubroSEMANA 1Pimentão Amarelo</v>
      </c>
      <c r="B341" s="85" t="s">
        <v>37</v>
      </c>
      <c r="C341" s="85" t="s">
        <v>20</v>
      </c>
      <c r="D341" s="86">
        <v>7</v>
      </c>
      <c r="E341" s="116" t="str">
        <f t="shared" si="17"/>
        <v>Hortifruti</v>
      </c>
      <c r="F341" s="85" t="s">
        <v>1054</v>
      </c>
      <c r="G341" s="85" t="s">
        <v>664</v>
      </c>
      <c r="H341" s="85" t="s">
        <v>1039</v>
      </c>
      <c r="I341" s="85">
        <v>2</v>
      </c>
      <c r="J341" s="87">
        <v>8</v>
      </c>
      <c r="K341" s="88">
        <f t="shared" si="18"/>
        <v>16</v>
      </c>
      <c r="L341" s="85">
        <v>1836</v>
      </c>
      <c r="M341" s="118" t="s">
        <v>338</v>
      </c>
      <c r="N341" s="96"/>
      <c r="O341" s="96" t="s">
        <v>874</v>
      </c>
      <c r="R341"/>
    </row>
    <row r="342" spans="1:18" x14ac:dyDescent="0.25">
      <c r="A342" s="84" t="str">
        <f t="shared" si="16"/>
        <v>OutubroSEMANA 1Pimentão Vermelho</v>
      </c>
      <c r="B342" s="85" t="s">
        <v>37</v>
      </c>
      <c r="C342" s="85" t="s">
        <v>20</v>
      </c>
      <c r="D342" s="86">
        <v>7</v>
      </c>
      <c r="E342" s="116" t="str">
        <f t="shared" si="17"/>
        <v>Hortifruti</v>
      </c>
      <c r="F342" s="85" t="s">
        <v>1054</v>
      </c>
      <c r="G342" s="85" t="s">
        <v>667</v>
      </c>
      <c r="H342" s="85" t="s">
        <v>1039</v>
      </c>
      <c r="I342" s="85">
        <v>2</v>
      </c>
      <c r="J342" s="87">
        <v>8</v>
      </c>
      <c r="K342" s="88">
        <f t="shared" si="18"/>
        <v>16</v>
      </c>
      <c r="L342" s="85">
        <v>1836</v>
      </c>
      <c r="M342" s="118" t="s">
        <v>339</v>
      </c>
      <c r="N342" s="96"/>
      <c r="O342" s="96" t="s">
        <v>873</v>
      </c>
      <c r="R342"/>
    </row>
    <row r="343" spans="1:18" x14ac:dyDescent="0.25">
      <c r="A343" s="84" t="str">
        <f t="shared" si="16"/>
        <v>OutubroSEMANA 1Brócolis Americano</v>
      </c>
      <c r="B343" s="85" t="s">
        <v>37</v>
      </c>
      <c r="C343" s="85" t="s">
        <v>20</v>
      </c>
      <c r="D343" s="86">
        <v>7</v>
      </c>
      <c r="E343" s="116" t="str">
        <f t="shared" si="17"/>
        <v>Hortifruti</v>
      </c>
      <c r="F343" s="85" t="s">
        <v>1054</v>
      </c>
      <c r="G343" s="85" t="s">
        <v>194</v>
      </c>
      <c r="H343" s="85" t="s">
        <v>1039</v>
      </c>
      <c r="I343" s="85">
        <v>9</v>
      </c>
      <c r="J343" s="87">
        <v>7</v>
      </c>
      <c r="K343" s="88">
        <f t="shared" si="18"/>
        <v>63</v>
      </c>
      <c r="L343" s="85">
        <v>1836</v>
      </c>
      <c r="M343" s="118" t="s">
        <v>340</v>
      </c>
      <c r="N343" s="96"/>
      <c r="O343" s="96" t="s">
        <v>873</v>
      </c>
      <c r="R343"/>
    </row>
    <row r="344" spans="1:18" x14ac:dyDescent="0.25">
      <c r="A344" s="84" t="str">
        <f t="shared" si="16"/>
        <v>OutubroSEMANA 1Capim Limão</v>
      </c>
      <c r="B344" s="85" t="s">
        <v>37</v>
      </c>
      <c r="C344" s="85" t="s">
        <v>20</v>
      </c>
      <c r="D344" s="86">
        <v>7</v>
      </c>
      <c r="E344" s="116" t="str">
        <f t="shared" si="17"/>
        <v>Hortifruti</v>
      </c>
      <c r="F344" s="85" t="s">
        <v>1054</v>
      </c>
      <c r="G344" s="85" t="s">
        <v>211</v>
      </c>
      <c r="H344" s="85" t="s">
        <v>1039</v>
      </c>
      <c r="I344" s="85">
        <v>0.1</v>
      </c>
      <c r="J344" s="87">
        <v>15</v>
      </c>
      <c r="K344" s="88">
        <f t="shared" si="18"/>
        <v>1.5</v>
      </c>
      <c r="L344" s="85">
        <v>1836</v>
      </c>
      <c r="M344" s="118" t="s">
        <v>341</v>
      </c>
      <c r="N344" s="96"/>
      <c r="O344" s="96" t="s">
        <v>42</v>
      </c>
      <c r="R344"/>
    </row>
    <row r="345" spans="1:18" x14ac:dyDescent="0.25">
      <c r="A345" s="84" t="str">
        <f t="shared" si="16"/>
        <v xml:space="preserve">OutubroSEMANA 1Abacate </v>
      </c>
      <c r="B345" s="85" t="s">
        <v>37</v>
      </c>
      <c r="C345" s="85" t="s">
        <v>20</v>
      </c>
      <c r="D345" s="86">
        <v>7</v>
      </c>
      <c r="E345" s="116" t="str">
        <f t="shared" si="17"/>
        <v>Hortifruti</v>
      </c>
      <c r="F345" s="85" t="s">
        <v>1054</v>
      </c>
      <c r="G345" s="85" t="s">
        <v>62</v>
      </c>
      <c r="H345" s="85" t="s">
        <v>1039</v>
      </c>
      <c r="I345" s="85">
        <v>4</v>
      </c>
      <c r="J345" s="87">
        <v>6.8</v>
      </c>
      <c r="K345" s="88">
        <f t="shared" si="18"/>
        <v>27.2</v>
      </c>
      <c r="L345" s="85">
        <v>1836</v>
      </c>
      <c r="M345" s="118" t="s">
        <v>342</v>
      </c>
      <c r="N345" s="96"/>
      <c r="O345" s="96" t="s">
        <v>42</v>
      </c>
      <c r="R345"/>
    </row>
    <row r="346" spans="1:18" x14ac:dyDescent="0.25">
      <c r="A346" s="84" t="str">
        <f t="shared" si="16"/>
        <v xml:space="preserve">OutubroSEMANA 1Abacaxi </v>
      </c>
      <c r="B346" s="85" t="s">
        <v>37</v>
      </c>
      <c r="C346" s="85" t="s">
        <v>20</v>
      </c>
      <c r="D346" s="86">
        <v>7</v>
      </c>
      <c r="E346" s="116" t="str">
        <f t="shared" si="17"/>
        <v>Hortifruti</v>
      </c>
      <c r="F346" s="85" t="s">
        <v>1054</v>
      </c>
      <c r="G346" s="85" t="s">
        <v>65</v>
      </c>
      <c r="H346" s="85" t="s">
        <v>1039</v>
      </c>
      <c r="I346" s="85">
        <v>20</v>
      </c>
      <c r="J346" s="87">
        <v>2.4</v>
      </c>
      <c r="K346" s="88">
        <f t="shared" si="18"/>
        <v>48</v>
      </c>
      <c r="L346" s="85">
        <v>1836</v>
      </c>
      <c r="M346" s="118" t="s">
        <v>343</v>
      </c>
      <c r="N346" s="96"/>
      <c r="O346" s="96" t="s">
        <v>42</v>
      </c>
      <c r="R346"/>
    </row>
    <row r="347" spans="1:18" x14ac:dyDescent="0.25">
      <c r="A347" s="84" t="str">
        <f t="shared" si="16"/>
        <v>OutubroSEMANA 1Limão</v>
      </c>
      <c r="B347" s="85" t="s">
        <v>37</v>
      </c>
      <c r="C347" s="85" t="s">
        <v>20</v>
      </c>
      <c r="D347" s="86">
        <v>7</v>
      </c>
      <c r="E347" s="116" t="str">
        <f t="shared" si="17"/>
        <v>Hortifruti</v>
      </c>
      <c r="F347" s="85" t="s">
        <v>1054</v>
      </c>
      <c r="G347" s="85" t="s">
        <v>464</v>
      </c>
      <c r="H347" s="85" t="s">
        <v>1039</v>
      </c>
      <c r="I347" s="85">
        <v>24.28</v>
      </c>
      <c r="J347" s="87">
        <f>135/24.28</f>
        <v>5.5601317957166385</v>
      </c>
      <c r="K347" s="88">
        <f t="shared" si="18"/>
        <v>135</v>
      </c>
      <c r="L347" s="85">
        <v>1836</v>
      </c>
      <c r="M347" s="118" t="s">
        <v>1298</v>
      </c>
      <c r="O347" s="84" t="s">
        <v>60</v>
      </c>
      <c r="R347"/>
    </row>
    <row r="348" spans="1:18" x14ac:dyDescent="0.25">
      <c r="A348" s="84" t="str">
        <f t="shared" si="16"/>
        <v xml:space="preserve">OutubroSEMANA 1Melão de Rede </v>
      </c>
      <c r="B348" s="85" t="s">
        <v>37</v>
      </c>
      <c r="C348" s="85" t="s">
        <v>20</v>
      </c>
      <c r="D348" s="86">
        <v>7</v>
      </c>
      <c r="E348" s="116" t="str">
        <f t="shared" si="17"/>
        <v>Hortifruti</v>
      </c>
      <c r="F348" s="85" t="s">
        <v>1054</v>
      </c>
      <c r="G348" s="85" t="s">
        <v>518</v>
      </c>
      <c r="H348" s="85" t="s">
        <v>1039</v>
      </c>
      <c r="I348" s="85">
        <v>2</v>
      </c>
      <c r="J348" s="87">
        <v>5.9</v>
      </c>
      <c r="K348" s="88">
        <f t="shared" si="18"/>
        <v>11.8</v>
      </c>
      <c r="L348" s="85">
        <v>1836</v>
      </c>
      <c r="M348" s="118" t="s">
        <v>344</v>
      </c>
      <c r="N348" s="96"/>
      <c r="O348" s="96" t="s">
        <v>42</v>
      </c>
      <c r="R348"/>
    </row>
    <row r="349" spans="1:18" x14ac:dyDescent="0.25">
      <c r="A349" s="84" t="str">
        <f t="shared" si="16"/>
        <v>OutubroSEMANA 1Coca Cola (lata)</v>
      </c>
      <c r="B349" s="85" t="s">
        <v>37</v>
      </c>
      <c r="C349" s="85" t="s">
        <v>20</v>
      </c>
      <c r="D349" s="86">
        <v>7</v>
      </c>
      <c r="E349" s="116" t="str">
        <f t="shared" si="17"/>
        <v>Bebidas</v>
      </c>
      <c r="F349" s="85" t="s">
        <v>1130</v>
      </c>
      <c r="G349" s="85" t="s">
        <v>285</v>
      </c>
      <c r="H349" s="85" t="s">
        <v>1038</v>
      </c>
      <c r="I349" s="85">
        <f>12*7</f>
        <v>84</v>
      </c>
      <c r="J349" s="87">
        <f>243.88/84</f>
        <v>2.9033333333333333</v>
      </c>
      <c r="K349" s="88">
        <f t="shared" si="18"/>
        <v>243.88</v>
      </c>
      <c r="L349" s="85" t="s">
        <v>1131</v>
      </c>
      <c r="M349" s="118" t="s">
        <v>345</v>
      </c>
      <c r="N349" s="96"/>
      <c r="O349" s="96" t="s">
        <v>42</v>
      </c>
      <c r="R349"/>
    </row>
    <row r="350" spans="1:18" x14ac:dyDescent="0.25">
      <c r="A350" s="84" t="str">
        <f t="shared" si="16"/>
        <v>OutubroSEMANA 1Coca Cola Zero (lata)</v>
      </c>
      <c r="B350" s="85" t="s">
        <v>37</v>
      </c>
      <c r="C350" s="85" t="s">
        <v>20</v>
      </c>
      <c r="D350" s="86">
        <v>7</v>
      </c>
      <c r="E350" s="116" t="str">
        <f t="shared" si="17"/>
        <v>Bebidas</v>
      </c>
      <c r="F350" s="85" t="s">
        <v>1130</v>
      </c>
      <c r="G350" s="85" t="s">
        <v>286</v>
      </c>
      <c r="H350" s="85" t="s">
        <v>1038</v>
      </c>
      <c r="I350" s="85">
        <f>12*8</f>
        <v>96</v>
      </c>
      <c r="J350" s="87">
        <f>277.44/96</f>
        <v>2.89</v>
      </c>
      <c r="K350" s="88">
        <f t="shared" si="18"/>
        <v>277.44</v>
      </c>
      <c r="L350" s="85" t="s">
        <v>1131</v>
      </c>
      <c r="M350" s="118" t="s">
        <v>1294</v>
      </c>
      <c r="O350" s="84" t="s">
        <v>60</v>
      </c>
      <c r="R350"/>
    </row>
    <row r="351" spans="1:18" x14ac:dyDescent="0.25">
      <c r="A351" s="84" t="str">
        <f t="shared" si="16"/>
        <v>OutubroSEMANA 1Schweppes Citrus</v>
      </c>
      <c r="B351" s="85" t="s">
        <v>37</v>
      </c>
      <c r="C351" s="85" t="s">
        <v>20</v>
      </c>
      <c r="D351" s="86">
        <v>7</v>
      </c>
      <c r="E351" s="116" t="str">
        <f t="shared" si="17"/>
        <v>Bebidas</v>
      </c>
      <c r="F351" s="85" t="s">
        <v>1130</v>
      </c>
      <c r="G351" s="85" t="s">
        <v>739</v>
      </c>
      <c r="H351" s="85" t="s">
        <v>1038</v>
      </c>
      <c r="I351" s="85">
        <v>12</v>
      </c>
      <c r="J351" s="87">
        <f>34.71/12</f>
        <v>2.8925000000000001</v>
      </c>
      <c r="K351" s="88">
        <f t="shared" si="18"/>
        <v>34.71</v>
      </c>
      <c r="L351" s="85" t="s">
        <v>1131</v>
      </c>
      <c r="M351" s="118" t="s">
        <v>346</v>
      </c>
      <c r="N351" s="96"/>
      <c r="O351" s="96" t="s">
        <v>42</v>
      </c>
      <c r="R351"/>
    </row>
    <row r="352" spans="1:18" x14ac:dyDescent="0.25">
      <c r="A352" s="84" t="str">
        <f t="shared" si="16"/>
        <v>OutubroSEMANA 1Margarina Qualy 500 g</v>
      </c>
      <c r="B352" s="85" t="s">
        <v>37</v>
      </c>
      <c r="C352" s="85" t="s">
        <v>20</v>
      </c>
      <c r="D352" s="86">
        <v>7</v>
      </c>
      <c r="E352" s="116" t="str">
        <f t="shared" si="17"/>
        <v>Mercado</v>
      </c>
      <c r="F352" s="85" t="s">
        <v>1078</v>
      </c>
      <c r="G352" s="85" t="s">
        <v>506</v>
      </c>
      <c r="H352" s="85" t="s">
        <v>1039</v>
      </c>
      <c r="I352" s="85">
        <v>6</v>
      </c>
      <c r="J352" s="87">
        <v>8.64</v>
      </c>
      <c r="K352" s="88">
        <f t="shared" si="18"/>
        <v>51.84</v>
      </c>
      <c r="L352" s="85" t="s">
        <v>1132</v>
      </c>
      <c r="M352" s="118" t="s">
        <v>347</v>
      </c>
      <c r="N352" s="96"/>
      <c r="O352" s="96" t="s">
        <v>42</v>
      </c>
      <c r="R352"/>
    </row>
    <row r="353" spans="1:18" x14ac:dyDescent="0.25">
      <c r="A353" s="84" t="str">
        <f t="shared" si="16"/>
        <v>OutubroSEMANA 1Carne Bovina - Alcatra Miolo</v>
      </c>
      <c r="B353" s="85" t="s">
        <v>37</v>
      </c>
      <c r="C353" s="85" t="s">
        <v>20</v>
      </c>
      <c r="D353" s="86">
        <v>7</v>
      </c>
      <c r="E353" s="116" t="str">
        <f t="shared" si="17"/>
        <v>Carnes</v>
      </c>
      <c r="F353" s="85" t="s">
        <v>1078</v>
      </c>
      <c r="G353" s="85" t="s">
        <v>216</v>
      </c>
      <c r="H353" s="85" t="s">
        <v>1039</v>
      </c>
      <c r="I353" s="85">
        <v>55.92</v>
      </c>
      <c r="J353" s="87">
        <v>21.98</v>
      </c>
      <c r="K353" s="88">
        <f t="shared" si="18"/>
        <v>1229.1216000000002</v>
      </c>
      <c r="L353" s="85" t="s">
        <v>1132</v>
      </c>
      <c r="M353" s="118" t="s">
        <v>348</v>
      </c>
      <c r="N353" s="96"/>
      <c r="O353" s="96" t="s">
        <v>42</v>
      </c>
      <c r="R353"/>
    </row>
    <row r="354" spans="1:18" x14ac:dyDescent="0.25">
      <c r="A354" s="84" t="str">
        <f t="shared" si="16"/>
        <v>OutubroSEMANA 1Queijo Coalho</v>
      </c>
      <c r="B354" s="85" t="s">
        <v>37</v>
      </c>
      <c r="C354" s="85" t="s">
        <v>20</v>
      </c>
      <c r="D354" s="86">
        <v>7</v>
      </c>
      <c r="E354" s="116" t="str">
        <f t="shared" si="17"/>
        <v>Mercado</v>
      </c>
      <c r="F354" s="85" t="s">
        <v>1078</v>
      </c>
      <c r="G354" s="85" t="s">
        <v>676</v>
      </c>
      <c r="H354" s="85" t="s">
        <v>1039</v>
      </c>
      <c r="I354" s="85">
        <v>6</v>
      </c>
      <c r="J354" s="89">
        <v>24.13</v>
      </c>
      <c r="K354" s="88">
        <f t="shared" si="18"/>
        <v>144.78</v>
      </c>
      <c r="L354" s="85" t="s">
        <v>1132</v>
      </c>
      <c r="M354" s="118" t="s">
        <v>349</v>
      </c>
      <c r="O354" s="115" t="s">
        <v>42</v>
      </c>
      <c r="R354"/>
    </row>
    <row r="355" spans="1:18" x14ac:dyDescent="0.25">
      <c r="A355" s="84" t="str">
        <f t="shared" si="16"/>
        <v>OutubroSEMANA 1Cebolinha Verde</v>
      </c>
      <c r="B355" s="85" t="s">
        <v>37</v>
      </c>
      <c r="C355" s="85" t="s">
        <v>20</v>
      </c>
      <c r="D355" s="86">
        <v>7</v>
      </c>
      <c r="E355" s="116" t="str">
        <f t="shared" si="17"/>
        <v>Hortifruti</v>
      </c>
      <c r="F355" s="85" t="s">
        <v>1055</v>
      </c>
      <c r="G355" s="85" t="s">
        <v>247</v>
      </c>
      <c r="H355" s="85" t="s">
        <v>1039</v>
      </c>
      <c r="I355" s="85">
        <v>2</v>
      </c>
      <c r="J355" s="87">
        <v>7.5</v>
      </c>
      <c r="K355" s="88">
        <f t="shared" si="18"/>
        <v>15</v>
      </c>
      <c r="L355" s="85">
        <v>4142</v>
      </c>
      <c r="M355" s="118" t="s">
        <v>350</v>
      </c>
      <c r="N355" s="96"/>
      <c r="O355" s="96" t="s">
        <v>42</v>
      </c>
      <c r="R355"/>
    </row>
    <row r="356" spans="1:18" x14ac:dyDescent="0.25">
      <c r="A356" s="84" t="str">
        <f t="shared" si="16"/>
        <v>OutubroSEMANA 1Hortelã</v>
      </c>
      <c r="B356" s="85" t="s">
        <v>37</v>
      </c>
      <c r="C356" s="85" t="s">
        <v>20</v>
      </c>
      <c r="D356" s="86">
        <v>7</v>
      </c>
      <c r="E356" s="116" t="str">
        <f t="shared" si="17"/>
        <v>Hortifruti</v>
      </c>
      <c r="F356" s="85" t="s">
        <v>1055</v>
      </c>
      <c r="G356" s="85" t="s">
        <v>405</v>
      </c>
      <c r="H356" s="85" t="s">
        <v>1039</v>
      </c>
      <c r="I356" s="85">
        <v>0.5</v>
      </c>
      <c r="J356" s="87">
        <v>4.5</v>
      </c>
      <c r="K356" s="88">
        <f t="shared" si="18"/>
        <v>2.25</v>
      </c>
      <c r="L356" s="85">
        <v>4142</v>
      </c>
      <c r="M356" s="118" t="s">
        <v>351</v>
      </c>
      <c r="N356" s="96"/>
      <c r="O356" s="96" t="s">
        <v>42</v>
      </c>
      <c r="R356"/>
    </row>
    <row r="357" spans="1:18" x14ac:dyDescent="0.25">
      <c r="A357" s="84" t="str">
        <f t="shared" si="16"/>
        <v>OutubroSEMANA 1Kiwi</v>
      </c>
      <c r="B357" s="85" t="s">
        <v>37</v>
      </c>
      <c r="C357" s="85" t="s">
        <v>20</v>
      </c>
      <c r="D357" s="86">
        <v>7</v>
      </c>
      <c r="E357" s="116" t="str">
        <f t="shared" si="17"/>
        <v>Hortifruti</v>
      </c>
      <c r="F357" s="85" t="s">
        <v>1055</v>
      </c>
      <c r="G357" s="85" t="s">
        <v>454</v>
      </c>
      <c r="H357" s="85" t="s">
        <v>1039</v>
      </c>
      <c r="I357" s="85">
        <v>1</v>
      </c>
      <c r="J357" s="87">
        <v>14</v>
      </c>
      <c r="K357" s="88">
        <f t="shared" si="18"/>
        <v>14</v>
      </c>
      <c r="L357" s="85">
        <v>4142</v>
      </c>
      <c r="M357" s="118" t="s">
        <v>352</v>
      </c>
      <c r="N357" s="96"/>
      <c r="O357" s="96" t="s">
        <v>42</v>
      </c>
      <c r="R357"/>
    </row>
    <row r="358" spans="1:18" x14ac:dyDescent="0.25">
      <c r="A358" s="84" t="str">
        <f t="shared" si="16"/>
        <v>OutubroSEMANA 1Manga Palmer</v>
      </c>
      <c r="B358" s="85" t="s">
        <v>37</v>
      </c>
      <c r="C358" s="85" t="s">
        <v>20</v>
      </c>
      <c r="D358" s="86">
        <v>7</v>
      </c>
      <c r="E358" s="116" t="str">
        <f t="shared" si="17"/>
        <v>Hortifruti</v>
      </c>
      <c r="F358" s="85" t="s">
        <v>1055</v>
      </c>
      <c r="G358" s="85" t="s">
        <v>496</v>
      </c>
      <c r="H358" s="85" t="s">
        <v>1039</v>
      </c>
      <c r="I358" s="85">
        <v>12.56</v>
      </c>
      <c r="J358" s="87">
        <f>48/12.56</f>
        <v>3.8216560509554141</v>
      </c>
      <c r="K358" s="88">
        <f t="shared" si="18"/>
        <v>48</v>
      </c>
      <c r="L358" s="85">
        <v>4142</v>
      </c>
      <c r="M358" s="118" t="s">
        <v>353</v>
      </c>
      <c r="N358" s="96"/>
      <c r="O358" s="96" t="s">
        <v>42</v>
      </c>
      <c r="R358"/>
    </row>
    <row r="359" spans="1:18" x14ac:dyDescent="0.25">
      <c r="A359" s="84" t="str">
        <f t="shared" si="16"/>
        <v>OutubroSEMANA 1Salsa</v>
      </c>
      <c r="B359" s="85" t="s">
        <v>37</v>
      </c>
      <c r="C359" s="85" t="s">
        <v>20</v>
      </c>
      <c r="D359" s="86">
        <v>7</v>
      </c>
      <c r="E359" s="116" t="str">
        <f t="shared" si="17"/>
        <v>Hortifruti</v>
      </c>
      <c r="F359" s="85" t="s">
        <v>1055</v>
      </c>
      <c r="G359" s="85" t="s">
        <v>729</v>
      </c>
      <c r="H359" s="85" t="s">
        <v>1039</v>
      </c>
      <c r="I359" s="85">
        <v>1.5</v>
      </c>
      <c r="J359" s="87">
        <v>7.5</v>
      </c>
      <c r="K359" s="88">
        <f t="shared" si="18"/>
        <v>11.25</v>
      </c>
      <c r="L359" s="85">
        <v>4142</v>
      </c>
      <c r="M359" s="118" t="s">
        <v>354</v>
      </c>
      <c r="N359" s="96"/>
      <c r="O359" s="96" t="s">
        <v>42</v>
      </c>
      <c r="R359"/>
    </row>
    <row r="360" spans="1:18" x14ac:dyDescent="0.25">
      <c r="A360" s="84" t="str">
        <f t="shared" si="16"/>
        <v>OutubroSEMANA 1Tomate Salada</v>
      </c>
      <c r="B360" s="85" t="s">
        <v>37</v>
      </c>
      <c r="C360" s="85" t="s">
        <v>20</v>
      </c>
      <c r="D360" s="86">
        <v>7</v>
      </c>
      <c r="E360" s="116" t="str">
        <f t="shared" si="17"/>
        <v>Hortifruti</v>
      </c>
      <c r="F360" s="85" t="s">
        <v>1055</v>
      </c>
      <c r="G360" s="85" t="s">
        <v>795</v>
      </c>
      <c r="H360" s="85" t="s">
        <v>1039</v>
      </c>
      <c r="I360" s="85">
        <v>1</v>
      </c>
      <c r="J360" s="87">
        <v>5.99</v>
      </c>
      <c r="K360" s="88">
        <f t="shared" si="18"/>
        <v>5.99</v>
      </c>
      <c r="L360" s="85">
        <v>4142</v>
      </c>
      <c r="M360" s="118" t="s">
        <v>355</v>
      </c>
      <c r="N360" s="96"/>
      <c r="O360" s="96" t="s">
        <v>46</v>
      </c>
      <c r="R360"/>
    </row>
    <row r="361" spans="1:18" x14ac:dyDescent="0.25">
      <c r="A361" s="84" t="str">
        <f t="shared" si="16"/>
        <v>OutubroSEMANA 1Batata HBT</v>
      </c>
      <c r="B361" s="85" t="s">
        <v>37</v>
      </c>
      <c r="C361" s="85" t="s">
        <v>20</v>
      </c>
      <c r="D361" s="86">
        <v>7</v>
      </c>
      <c r="E361" s="116" t="str">
        <f t="shared" si="17"/>
        <v>Hortifruti</v>
      </c>
      <c r="F361" s="85" t="s">
        <v>1055</v>
      </c>
      <c r="G361" s="85" t="s">
        <v>171</v>
      </c>
      <c r="H361" s="85" t="s">
        <v>1039</v>
      </c>
      <c r="I361" s="85">
        <v>25</v>
      </c>
      <c r="J361" s="87">
        <v>2.25</v>
      </c>
      <c r="K361" s="88">
        <f t="shared" si="18"/>
        <v>56.25</v>
      </c>
      <c r="L361" s="85">
        <v>4142</v>
      </c>
      <c r="M361" s="118" t="s">
        <v>356</v>
      </c>
      <c r="O361" s="115" t="s">
        <v>42</v>
      </c>
      <c r="R361"/>
    </row>
    <row r="362" spans="1:18" x14ac:dyDescent="0.25">
      <c r="A362" s="84" t="str">
        <f t="shared" si="16"/>
        <v>OutubroSEMANA 1Berinjela</v>
      </c>
      <c r="B362" s="85" t="s">
        <v>37</v>
      </c>
      <c r="C362" s="85" t="s">
        <v>20</v>
      </c>
      <c r="D362" s="86">
        <v>7</v>
      </c>
      <c r="E362" s="116" t="str">
        <f t="shared" si="17"/>
        <v>Hortifruti</v>
      </c>
      <c r="F362" s="85" t="s">
        <v>1055</v>
      </c>
      <c r="G362" s="85" t="s">
        <v>178</v>
      </c>
      <c r="H362" s="85" t="s">
        <v>1039</v>
      </c>
      <c r="I362" s="85">
        <v>12.18</v>
      </c>
      <c r="J362" s="87">
        <f>34.5/12.18</f>
        <v>2.8325123152709359</v>
      </c>
      <c r="K362" s="88">
        <f t="shared" si="18"/>
        <v>34.5</v>
      </c>
      <c r="L362" s="85">
        <v>4142</v>
      </c>
      <c r="M362" s="118" t="s">
        <v>357</v>
      </c>
      <c r="O362" s="115" t="s">
        <v>45</v>
      </c>
      <c r="R362"/>
    </row>
    <row r="363" spans="1:18" x14ac:dyDescent="0.25">
      <c r="A363" s="84" t="str">
        <f t="shared" si="16"/>
        <v>OutubroSEMANA 1Beterraba</v>
      </c>
      <c r="B363" s="85" t="s">
        <v>37</v>
      </c>
      <c r="C363" s="85" t="s">
        <v>20</v>
      </c>
      <c r="D363" s="86">
        <v>7</v>
      </c>
      <c r="E363" s="116" t="str">
        <f t="shared" si="17"/>
        <v>Hortifruti</v>
      </c>
      <c r="F363" s="85" t="s">
        <v>1055</v>
      </c>
      <c r="G363" s="85" t="s">
        <v>181</v>
      </c>
      <c r="H363" s="85" t="s">
        <v>1039</v>
      </c>
      <c r="I363" s="85">
        <v>4</v>
      </c>
      <c r="J363" s="87">
        <v>1.47</v>
      </c>
      <c r="K363" s="88">
        <f t="shared" si="18"/>
        <v>5.88</v>
      </c>
      <c r="L363" s="85">
        <v>4142</v>
      </c>
      <c r="M363" s="118" t="s">
        <v>358</v>
      </c>
      <c r="N363" s="96"/>
      <c r="O363" s="96" t="s">
        <v>42</v>
      </c>
      <c r="R363"/>
    </row>
    <row r="364" spans="1:18" x14ac:dyDescent="0.25">
      <c r="A364" s="84" t="str">
        <f t="shared" si="16"/>
        <v>OutubroSEMANA 1Côco Verde</v>
      </c>
      <c r="B364" s="85" t="s">
        <v>37</v>
      </c>
      <c r="C364" s="85" t="s">
        <v>20</v>
      </c>
      <c r="D364" s="86">
        <v>7</v>
      </c>
      <c r="E364" s="116" t="str">
        <f t="shared" si="17"/>
        <v>Hortifruti</v>
      </c>
      <c r="F364" s="85" t="s">
        <v>1055</v>
      </c>
      <c r="G364" s="85" t="s">
        <v>288</v>
      </c>
      <c r="H364" s="85" t="s">
        <v>1038</v>
      </c>
      <c r="I364" s="85">
        <v>30</v>
      </c>
      <c r="J364" s="87">
        <v>1.8</v>
      </c>
      <c r="K364" s="88">
        <f t="shared" si="18"/>
        <v>54</v>
      </c>
      <c r="L364" s="85">
        <v>4142</v>
      </c>
      <c r="M364" s="118" t="s">
        <v>359</v>
      </c>
      <c r="N364" s="96"/>
      <c r="O364" s="96" t="s">
        <v>873</v>
      </c>
      <c r="R364"/>
    </row>
    <row r="365" spans="1:18" x14ac:dyDescent="0.25">
      <c r="A365" s="84" t="str">
        <f t="shared" si="16"/>
        <v>OutubroSEMANA 1Laranja Pera</v>
      </c>
      <c r="B365" s="85" t="s">
        <v>37</v>
      </c>
      <c r="C365" s="85" t="s">
        <v>20</v>
      </c>
      <c r="D365" s="86">
        <v>7</v>
      </c>
      <c r="E365" s="116" t="str">
        <f t="shared" si="17"/>
        <v>Hortifruti</v>
      </c>
      <c r="F365" s="85" t="s">
        <v>1055</v>
      </c>
      <c r="G365" s="85" t="s">
        <v>457</v>
      </c>
      <c r="H365" s="85" t="s">
        <v>1039</v>
      </c>
      <c r="I365" s="85">
        <v>41.46</v>
      </c>
      <c r="J365" s="87">
        <f>54/41.46</f>
        <v>1.3024602026049203</v>
      </c>
      <c r="K365" s="88">
        <f t="shared" si="18"/>
        <v>54</v>
      </c>
      <c r="L365" s="85">
        <v>4142</v>
      </c>
      <c r="M365" s="118" t="s">
        <v>916</v>
      </c>
      <c r="N365" s="96"/>
      <c r="O365" s="96" t="s">
        <v>873</v>
      </c>
      <c r="R365"/>
    </row>
    <row r="366" spans="1:18" x14ac:dyDescent="0.25">
      <c r="A366" s="84" t="str">
        <f t="shared" si="16"/>
        <v>OutubroSEMANA 1Limão Siciliano</v>
      </c>
      <c r="B366" s="85" t="s">
        <v>37</v>
      </c>
      <c r="C366" s="85" t="s">
        <v>20</v>
      </c>
      <c r="D366" s="86">
        <v>7</v>
      </c>
      <c r="E366" s="116" t="str">
        <f t="shared" si="17"/>
        <v>Hortifruti</v>
      </c>
      <c r="F366" s="85" t="s">
        <v>1055</v>
      </c>
      <c r="G366" s="85" t="s">
        <v>466</v>
      </c>
      <c r="H366" s="85" t="s">
        <v>1039</v>
      </c>
      <c r="I366" s="85">
        <v>1</v>
      </c>
      <c r="J366" s="87">
        <v>6.66</v>
      </c>
      <c r="K366" s="88">
        <f t="shared" si="18"/>
        <v>6.66</v>
      </c>
      <c r="L366" s="85">
        <v>4142</v>
      </c>
      <c r="M366" s="118" t="s">
        <v>360</v>
      </c>
      <c r="N366" s="96"/>
      <c r="O366" s="96" t="s">
        <v>873</v>
      </c>
      <c r="R366"/>
    </row>
    <row r="367" spans="1:18" x14ac:dyDescent="0.25">
      <c r="A367" s="84" t="str">
        <f t="shared" si="16"/>
        <v>OutubroSEMANA 1Mamão Bahia</v>
      </c>
      <c r="B367" s="85" t="s">
        <v>37</v>
      </c>
      <c r="C367" s="85" t="s">
        <v>20</v>
      </c>
      <c r="D367" s="86">
        <v>7</v>
      </c>
      <c r="E367" s="116" t="str">
        <f t="shared" si="17"/>
        <v>Hortifruti</v>
      </c>
      <c r="F367" s="85" t="s">
        <v>1055</v>
      </c>
      <c r="G367" s="85" t="s">
        <v>494</v>
      </c>
      <c r="H367" s="85" t="s">
        <v>1039</v>
      </c>
      <c r="I367" s="85">
        <v>3.9</v>
      </c>
      <c r="J367" s="87">
        <v>3.26</v>
      </c>
      <c r="K367" s="88">
        <f t="shared" si="18"/>
        <v>12.713999999999999</v>
      </c>
      <c r="L367" s="85">
        <v>4142</v>
      </c>
      <c r="M367" s="118" t="s">
        <v>361</v>
      </c>
      <c r="N367" s="96"/>
      <c r="O367" s="96" t="s">
        <v>60</v>
      </c>
      <c r="R367"/>
    </row>
    <row r="368" spans="1:18" x14ac:dyDescent="0.25">
      <c r="A368" s="84" t="str">
        <f t="shared" si="16"/>
        <v>OutubroSEMANA 1Tomate Cereja</v>
      </c>
      <c r="B368" s="85" t="s">
        <v>37</v>
      </c>
      <c r="C368" s="85" t="s">
        <v>20</v>
      </c>
      <c r="D368" s="86">
        <v>7</v>
      </c>
      <c r="E368" s="116" t="str">
        <f t="shared" si="17"/>
        <v>Hortifruti</v>
      </c>
      <c r="F368" s="85" t="s">
        <v>1055</v>
      </c>
      <c r="G368" s="85" t="s">
        <v>790</v>
      </c>
      <c r="H368" s="85" t="s">
        <v>1039</v>
      </c>
      <c r="I368" s="85">
        <v>2</v>
      </c>
      <c r="J368" s="87">
        <v>7.85</v>
      </c>
      <c r="K368" s="88">
        <f t="shared" si="18"/>
        <v>15.7</v>
      </c>
      <c r="L368" s="85">
        <v>4142</v>
      </c>
      <c r="M368" s="118" t="s">
        <v>1007</v>
      </c>
      <c r="N368" s="96"/>
      <c r="O368" s="96" t="s">
        <v>873</v>
      </c>
      <c r="R368"/>
    </row>
    <row r="369" spans="1:18" x14ac:dyDescent="0.25">
      <c r="A369" s="84" t="str">
        <f t="shared" si="16"/>
        <v>OutubroSEMANA 1Cebola</v>
      </c>
      <c r="B369" s="85" t="s">
        <v>37</v>
      </c>
      <c r="C369" s="85" t="s">
        <v>20</v>
      </c>
      <c r="D369" s="86">
        <v>7</v>
      </c>
      <c r="E369" s="116" t="str">
        <f t="shared" si="17"/>
        <v>Hortifruti</v>
      </c>
      <c r="F369" s="85" t="s">
        <v>1055</v>
      </c>
      <c r="G369" s="85" t="s">
        <v>241</v>
      </c>
      <c r="H369" s="85" t="s">
        <v>1039</v>
      </c>
      <c r="I369" s="85">
        <v>18.440000000000001</v>
      </c>
      <c r="J369" s="87">
        <f>25/18.44</f>
        <v>1.3557483731019522</v>
      </c>
      <c r="K369" s="88">
        <f t="shared" si="18"/>
        <v>25</v>
      </c>
      <c r="L369" s="85">
        <v>4142</v>
      </c>
      <c r="M369" s="118" t="s">
        <v>362</v>
      </c>
      <c r="N369" s="96"/>
      <c r="O369" s="96" t="s">
        <v>874</v>
      </c>
      <c r="R369"/>
    </row>
    <row r="370" spans="1:18" x14ac:dyDescent="0.25">
      <c r="A370" s="84" t="str">
        <f t="shared" si="16"/>
        <v>OutubroSEMANA 1Banana D'Água</v>
      </c>
      <c r="B370" s="85" t="s">
        <v>37</v>
      </c>
      <c r="C370" s="85" t="s">
        <v>20</v>
      </c>
      <c r="D370" s="86">
        <v>7</v>
      </c>
      <c r="E370" s="116" t="str">
        <f t="shared" si="17"/>
        <v>Hortifruti</v>
      </c>
      <c r="F370" s="85" t="s">
        <v>1110</v>
      </c>
      <c r="G370" s="85" t="s">
        <v>162</v>
      </c>
      <c r="H370" s="85" t="s">
        <v>1039</v>
      </c>
      <c r="I370" s="85">
        <v>3</v>
      </c>
      <c r="J370" s="87">
        <v>1.88</v>
      </c>
      <c r="K370" s="88">
        <f t="shared" si="18"/>
        <v>5.64</v>
      </c>
      <c r="L370" s="85">
        <v>19609</v>
      </c>
      <c r="M370" s="118" t="s">
        <v>982</v>
      </c>
      <c r="N370" s="96"/>
      <c r="O370" s="96" t="s">
        <v>874</v>
      </c>
      <c r="R370"/>
    </row>
    <row r="371" spans="1:18" x14ac:dyDescent="0.25">
      <c r="A371" s="84" t="str">
        <f t="shared" si="16"/>
        <v>OutubroSEMANA 1Abobora Japonesa</v>
      </c>
      <c r="B371" s="85" t="s">
        <v>37</v>
      </c>
      <c r="C371" s="85" t="s">
        <v>20</v>
      </c>
      <c r="D371" s="86">
        <v>7</v>
      </c>
      <c r="E371" s="116" t="str">
        <f t="shared" si="17"/>
        <v>Hortifruti</v>
      </c>
      <c r="F371" s="85" t="s">
        <v>1110</v>
      </c>
      <c r="G371" s="85" t="s">
        <v>69</v>
      </c>
      <c r="H371" s="85" t="s">
        <v>1039</v>
      </c>
      <c r="I371" s="85">
        <v>10</v>
      </c>
      <c r="J371" s="87">
        <v>2.5099999999999998</v>
      </c>
      <c r="K371" s="88">
        <f t="shared" si="18"/>
        <v>25.099999999999998</v>
      </c>
      <c r="L371" s="85">
        <v>19609</v>
      </c>
      <c r="M371" s="118" t="s">
        <v>894</v>
      </c>
      <c r="N371" s="96"/>
      <c r="O371" s="96" t="s">
        <v>42</v>
      </c>
      <c r="R371"/>
    </row>
    <row r="372" spans="1:18" x14ac:dyDescent="0.25">
      <c r="A372" s="84" t="str">
        <f t="shared" si="16"/>
        <v>OutubroSEMANA 1Aipo</v>
      </c>
      <c r="B372" s="85" t="s">
        <v>37</v>
      </c>
      <c r="C372" s="85" t="s">
        <v>20</v>
      </c>
      <c r="D372" s="86">
        <v>7</v>
      </c>
      <c r="E372" s="116" t="str">
        <f t="shared" si="17"/>
        <v>Hortifruti</v>
      </c>
      <c r="F372" s="85" t="s">
        <v>1110</v>
      </c>
      <c r="G372" s="85" t="s">
        <v>96</v>
      </c>
      <c r="H372" s="85" t="s">
        <v>1039</v>
      </c>
      <c r="I372" s="85">
        <v>1</v>
      </c>
      <c r="J372" s="87">
        <v>3.9</v>
      </c>
      <c r="K372" s="88">
        <f t="shared" si="18"/>
        <v>3.9</v>
      </c>
      <c r="L372" s="85">
        <v>19609</v>
      </c>
      <c r="M372" s="118" t="s">
        <v>363</v>
      </c>
      <c r="N372" s="96"/>
      <c r="O372" s="96" t="s">
        <v>60</v>
      </c>
      <c r="R372"/>
    </row>
    <row r="373" spans="1:18" x14ac:dyDescent="0.25">
      <c r="A373" s="84" t="str">
        <f t="shared" si="16"/>
        <v>OutubroSEMANA 1Banana da Terra</v>
      </c>
      <c r="B373" s="85" t="s">
        <v>37</v>
      </c>
      <c r="C373" s="85" t="s">
        <v>20</v>
      </c>
      <c r="D373" s="86">
        <v>7</v>
      </c>
      <c r="E373" s="116" t="str">
        <f t="shared" si="17"/>
        <v>Hortifruti</v>
      </c>
      <c r="F373" s="85" t="s">
        <v>1110</v>
      </c>
      <c r="G373" s="85" t="s">
        <v>161</v>
      </c>
      <c r="H373" s="85" t="s">
        <v>1039</v>
      </c>
      <c r="I373" s="85"/>
      <c r="J373" s="87"/>
      <c r="K373" s="88">
        <f t="shared" si="18"/>
        <v>0</v>
      </c>
      <c r="L373" s="85" t="s">
        <v>1245</v>
      </c>
      <c r="M373" s="118" t="s">
        <v>364</v>
      </c>
      <c r="N373" s="96"/>
      <c r="O373" s="96" t="s">
        <v>42</v>
      </c>
      <c r="R373"/>
    </row>
    <row r="374" spans="1:18" x14ac:dyDescent="0.25">
      <c r="A374" s="84" t="str">
        <f t="shared" si="16"/>
        <v>OutubroSEMANA 1Coentro</v>
      </c>
      <c r="B374" s="85" t="s">
        <v>37</v>
      </c>
      <c r="C374" s="85" t="s">
        <v>20</v>
      </c>
      <c r="D374" s="86">
        <v>7</v>
      </c>
      <c r="E374" s="116" t="str">
        <f t="shared" si="17"/>
        <v>Hortifruti</v>
      </c>
      <c r="F374" s="85" t="s">
        <v>1110</v>
      </c>
      <c r="G374" s="85" t="s">
        <v>289</v>
      </c>
      <c r="H374" s="85" t="s">
        <v>1039</v>
      </c>
      <c r="I374" s="85">
        <v>1</v>
      </c>
      <c r="J374" s="87">
        <v>11.25</v>
      </c>
      <c r="K374" s="88">
        <f t="shared" si="18"/>
        <v>11.25</v>
      </c>
      <c r="L374" s="85">
        <v>19609</v>
      </c>
      <c r="M374" s="118" t="s">
        <v>365</v>
      </c>
      <c r="N374" s="96"/>
      <c r="O374" s="96" t="s">
        <v>45</v>
      </c>
      <c r="R374"/>
    </row>
    <row r="375" spans="1:18" x14ac:dyDescent="0.25">
      <c r="A375" s="84" t="str">
        <f t="shared" si="16"/>
        <v>OutubroSEMANA 1Manga Tommy Sushi</v>
      </c>
      <c r="B375" s="85" t="s">
        <v>37</v>
      </c>
      <c r="C375" s="85" t="s">
        <v>20</v>
      </c>
      <c r="D375" s="86">
        <v>7</v>
      </c>
      <c r="E375" s="116" t="str">
        <f t="shared" si="17"/>
        <v>Sushi</v>
      </c>
      <c r="F375" s="85" t="s">
        <v>1110</v>
      </c>
      <c r="G375" s="85" t="s">
        <v>498</v>
      </c>
      <c r="H375" s="85" t="s">
        <v>1039</v>
      </c>
      <c r="I375" s="85">
        <v>1</v>
      </c>
      <c r="J375" s="87">
        <v>3.25</v>
      </c>
      <c r="K375" s="88">
        <f t="shared" si="18"/>
        <v>3.25</v>
      </c>
      <c r="L375" s="85">
        <v>19609</v>
      </c>
      <c r="M375" s="118" t="s">
        <v>366</v>
      </c>
      <c r="N375" s="84"/>
      <c r="O375" s="84" t="s">
        <v>60</v>
      </c>
      <c r="R375"/>
    </row>
    <row r="376" spans="1:18" x14ac:dyDescent="0.25">
      <c r="A376" s="84" t="str">
        <f t="shared" si="16"/>
        <v>OutubroSEMANA 1Vagem Macarrão</v>
      </c>
      <c r="B376" s="85" t="s">
        <v>37</v>
      </c>
      <c r="C376" s="85" t="s">
        <v>20</v>
      </c>
      <c r="D376" s="86">
        <v>7</v>
      </c>
      <c r="E376" s="116" t="str">
        <f t="shared" si="17"/>
        <v>Hortifruti</v>
      </c>
      <c r="F376" s="85" t="s">
        <v>1110</v>
      </c>
      <c r="G376" s="85" t="s">
        <v>832</v>
      </c>
      <c r="H376" s="85" t="s">
        <v>1039</v>
      </c>
      <c r="I376" s="85">
        <v>1.5</v>
      </c>
      <c r="J376" s="87">
        <v>3.75</v>
      </c>
      <c r="K376" s="88">
        <f t="shared" si="18"/>
        <v>5.625</v>
      </c>
      <c r="L376" s="85">
        <v>19609</v>
      </c>
      <c r="M376" s="118" t="s">
        <v>968</v>
      </c>
      <c r="N376" s="84"/>
      <c r="O376" s="84" t="s">
        <v>60</v>
      </c>
      <c r="R376"/>
    </row>
    <row r="377" spans="1:18" x14ac:dyDescent="0.25">
      <c r="A377" s="84" t="str">
        <f t="shared" si="16"/>
        <v>OutubroSEMANA 1Pescados - Atum Fresco Sushi</v>
      </c>
      <c r="B377" s="85" t="s">
        <v>37</v>
      </c>
      <c r="C377" s="85" t="s">
        <v>20</v>
      </c>
      <c r="D377" s="86">
        <v>7</v>
      </c>
      <c r="E377" s="116" t="str">
        <f t="shared" si="17"/>
        <v>Sushi</v>
      </c>
      <c r="F377" s="85" t="s">
        <v>1133</v>
      </c>
      <c r="G377" s="85" t="s">
        <v>587</v>
      </c>
      <c r="H377" s="85" t="s">
        <v>1039</v>
      </c>
      <c r="I377" s="85">
        <v>13</v>
      </c>
      <c r="J377" s="87">
        <v>14.9</v>
      </c>
      <c r="K377" s="88">
        <f t="shared" si="18"/>
        <v>193.70000000000002</v>
      </c>
      <c r="L377" s="85" t="s">
        <v>1187</v>
      </c>
      <c r="M377" s="118" t="s">
        <v>1302</v>
      </c>
      <c r="O377" s="84" t="s">
        <v>42</v>
      </c>
      <c r="R377"/>
    </row>
    <row r="378" spans="1:18" x14ac:dyDescent="0.25">
      <c r="A378" s="84" t="str">
        <f t="shared" si="16"/>
        <v>OutubroSEMANA 1Pescados - Namorado Fresco Sushi</v>
      </c>
      <c r="B378" s="85" t="s">
        <v>37</v>
      </c>
      <c r="C378" s="85" t="s">
        <v>20</v>
      </c>
      <c r="D378" s="86">
        <v>7</v>
      </c>
      <c r="E378" s="116" t="str">
        <f t="shared" si="17"/>
        <v>Sushi</v>
      </c>
      <c r="F378" s="85" t="s">
        <v>1133</v>
      </c>
      <c r="G378" s="85" t="s">
        <v>627</v>
      </c>
      <c r="H378" s="85" t="s">
        <v>1039</v>
      </c>
      <c r="I378" s="85">
        <v>7.5</v>
      </c>
      <c r="J378" s="87">
        <v>22.9</v>
      </c>
      <c r="K378" s="88">
        <f t="shared" si="18"/>
        <v>171.75</v>
      </c>
      <c r="L378" s="85" t="s">
        <v>1187</v>
      </c>
      <c r="M378" s="118" t="s">
        <v>969</v>
      </c>
      <c r="O378" s="115" t="s">
        <v>60</v>
      </c>
      <c r="R378"/>
    </row>
    <row r="379" spans="1:18" x14ac:dyDescent="0.25">
      <c r="A379" s="84" t="str">
        <f t="shared" si="16"/>
        <v>OutubroSEMANA 1Sal Sushi</v>
      </c>
      <c r="B379" s="85" t="s">
        <v>37</v>
      </c>
      <c r="C379" s="85" t="s">
        <v>20</v>
      </c>
      <c r="D379" s="86">
        <v>4</v>
      </c>
      <c r="E379" s="116" t="str">
        <f t="shared" si="17"/>
        <v>Sushi</v>
      </c>
      <c r="F379" s="90" t="s">
        <v>1084</v>
      </c>
      <c r="G379" s="85" t="s">
        <v>727</v>
      </c>
      <c r="H379" s="85" t="s">
        <v>1039</v>
      </c>
      <c r="I379" s="85">
        <v>1</v>
      </c>
      <c r="J379" s="87">
        <v>0.8</v>
      </c>
      <c r="K379" s="88">
        <f t="shared" si="18"/>
        <v>0.8</v>
      </c>
      <c r="L379" s="85">
        <v>1189977</v>
      </c>
      <c r="M379" s="118" t="s">
        <v>367</v>
      </c>
      <c r="N379" s="84"/>
      <c r="O379" s="84" t="s">
        <v>874</v>
      </c>
      <c r="R379"/>
    </row>
    <row r="380" spans="1:18" x14ac:dyDescent="0.25">
      <c r="A380" s="84" t="str">
        <f t="shared" si="16"/>
        <v>OutubroSEMANA 1Ovos Extra Sushi</v>
      </c>
      <c r="B380" s="85" t="s">
        <v>37</v>
      </c>
      <c r="C380" s="85" t="s">
        <v>20</v>
      </c>
      <c r="D380" s="86">
        <v>6</v>
      </c>
      <c r="E380" s="116" t="str">
        <f t="shared" si="17"/>
        <v>Sushi</v>
      </c>
      <c r="F380" s="85" t="s">
        <v>1055</v>
      </c>
      <c r="G380" s="85" t="s">
        <v>551</v>
      </c>
      <c r="H380" s="85" t="s">
        <v>1038</v>
      </c>
      <c r="I380" s="85">
        <v>14</v>
      </c>
      <c r="J380" s="87">
        <f>101/360</f>
        <v>0.28055555555555556</v>
      </c>
      <c r="K380" s="88">
        <f t="shared" si="18"/>
        <v>3.927777777777778</v>
      </c>
      <c r="L380" s="85">
        <v>4020</v>
      </c>
      <c r="M380" s="118" t="s">
        <v>368</v>
      </c>
      <c r="N380" s="84"/>
      <c r="O380" s="84" t="s">
        <v>873</v>
      </c>
      <c r="R380"/>
    </row>
    <row r="381" spans="1:18" x14ac:dyDescent="0.25">
      <c r="A381" s="84" t="str">
        <f t="shared" si="16"/>
        <v>OutubroSEMANA 1Pão Árabe</v>
      </c>
      <c r="B381" s="85" t="s">
        <v>37</v>
      </c>
      <c r="C381" s="85" t="s">
        <v>20</v>
      </c>
      <c r="D381" s="86">
        <v>7</v>
      </c>
      <c r="E381" s="116" t="str">
        <f t="shared" si="17"/>
        <v>Mercado</v>
      </c>
      <c r="F381" s="85" t="s">
        <v>1036</v>
      </c>
      <c r="G381" s="85" t="s">
        <v>561</v>
      </c>
      <c r="H381" s="85" t="s">
        <v>1037</v>
      </c>
      <c r="I381" s="85">
        <v>5</v>
      </c>
      <c r="J381" s="87">
        <v>6.7</v>
      </c>
      <c r="K381" s="88">
        <f t="shared" si="18"/>
        <v>33.5</v>
      </c>
      <c r="L381" s="85">
        <v>48604</v>
      </c>
      <c r="M381" s="118" t="s">
        <v>369</v>
      </c>
      <c r="N381" s="84"/>
      <c r="O381" s="84" t="s">
        <v>873</v>
      </c>
      <c r="R381"/>
    </row>
    <row r="382" spans="1:18" x14ac:dyDescent="0.25">
      <c r="A382" s="84" t="str">
        <f t="shared" si="16"/>
        <v>OutubroSEMANA 1Pepino Japonês Sushi</v>
      </c>
      <c r="B382" s="85" t="s">
        <v>37</v>
      </c>
      <c r="C382" s="85" t="s">
        <v>20</v>
      </c>
      <c r="D382" s="86">
        <v>7</v>
      </c>
      <c r="E382" s="116" t="str">
        <f t="shared" si="17"/>
        <v>Sushi</v>
      </c>
      <c r="F382" s="85" t="s">
        <v>1054</v>
      </c>
      <c r="G382" s="85" t="s">
        <v>579</v>
      </c>
      <c r="H382" s="85" t="s">
        <v>1039</v>
      </c>
      <c r="I382" s="85">
        <v>0.58599999999999997</v>
      </c>
      <c r="J382" s="87">
        <f>50/21.2</f>
        <v>2.358490566037736</v>
      </c>
      <c r="K382" s="88">
        <f t="shared" si="18"/>
        <v>1.3820754716981132</v>
      </c>
      <c r="L382" s="85">
        <v>1836</v>
      </c>
      <c r="M382" s="118" t="s">
        <v>370</v>
      </c>
      <c r="N382" s="84"/>
      <c r="O382" s="84" t="s">
        <v>873</v>
      </c>
      <c r="R382"/>
    </row>
    <row r="383" spans="1:18" x14ac:dyDescent="0.25">
      <c r="A383" s="84" t="str">
        <f t="shared" si="16"/>
        <v>OutubroSEMANA 1Cenoura  Sushi</v>
      </c>
      <c r="B383" s="85" t="s">
        <v>37</v>
      </c>
      <c r="C383" s="85" t="s">
        <v>20</v>
      </c>
      <c r="D383" s="86">
        <v>6</v>
      </c>
      <c r="E383" s="116" t="str">
        <f t="shared" si="17"/>
        <v>Sushi</v>
      </c>
      <c r="F383" s="85" t="s">
        <v>1110</v>
      </c>
      <c r="G383" s="85" t="s">
        <v>250</v>
      </c>
      <c r="H383" s="85" t="s">
        <v>1039</v>
      </c>
      <c r="I383" s="85">
        <v>0.31</v>
      </c>
      <c r="J383" s="87">
        <f>35/18.72</f>
        <v>1.8696581196581197</v>
      </c>
      <c r="K383" s="88">
        <f t="shared" si="18"/>
        <v>0.57959401709401714</v>
      </c>
      <c r="L383" s="85" t="s">
        <v>1190</v>
      </c>
      <c r="M383" s="118" t="s">
        <v>371</v>
      </c>
      <c r="O383" s="115" t="s">
        <v>45</v>
      </c>
      <c r="R383"/>
    </row>
    <row r="384" spans="1:18" x14ac:dyDescent="0.25">
      <c r="A384" s="84" t="str">
        <f t="shared" si="16"/>
        <v>OutubroSEMANA 2Gelo em Escamas</v>
      </c>
      <c r="B384" s="85" t="s">
        <v>37</v>
      </c>
      <c r="C384" s="85" t="s">
        <v>21</v>
      </c>
      <c r="D384" s="86">
        <v>8</v>
      </c>
      <c r="E384" s="116" t="str">
        <f t="shared" si="17"/>
        <v>Mercado</v>
      </c>
      <c r="F384" s="85" t="s">
        <v>1040</v>
      </c>
      <c r="G384" s="85" t="s">
        <v>384</v>
      </c>
      <c r="H384" s="85" t="s">
        <v>1041</v>
      </c>
      <c r="I384" s="85">
        <v>1</v>
      </c>
      <c r="J384" s="87">
        <v>7.5</v>
      </c>
      <c r="K384" s="88">
        <f t="shared" si="18"/>
        <v>7.5</v>
      </c>
      <c r="L384" s="85">
        <v>10165</v>
      </c>
      <c r="M384" s="118" t="s">
        <v>372</v>
      </c>
      <c r="N384" s="84"/>
      <c r="O384" s="84" t="s">
        <v>42</v>
      </c>
      <c r="R384"/>
    </row>
    <row r="385" spans="1:18" x14ac:dyDescent="0.25">
      <c r="A385" s="84" t="str">
        <f t="shared" si="16"/>
        <v>OutubroSEMANA 2Gelo em Cubo</v>
      </c>
      <c r="B385" s="85" t="s">
        <v>37</v>
      </c>
      <c r="C385" s="85" t="s">
        <v>21</v>
      </c>
      <c r="D385" s="86">
        <v>8</v>
      </c>
      <c r="E385" s="116" t="str">
        <f t="shared" si="17"/>
        <v>Mercado</v>
      </c>
      <c r="F385" s="85" t="s">
        <v>1040</v>
      </c>
      <c r="G385" s="85" t="s">
        <v>383</v>
      </c>
      <c r="H385" s="85" t="s">
        <v>1041</v>
      </c>
      <c r="I385" s="85">
        <v>2</v>
      </c>
      <c r="J385" s="87">
        <v>7.5</v>
      </c>
      <c r="K385" s="88">
        <f t="shared" si="18"/>
        <v>15</v>
      </c>
      <c r="L385" s="85">
        <v>10165</v>
      </c>
      <c r="M385" s="118" t="s">
        <v>373</v>
      </c>
      <c r="N385" s="84"/>
      <c r="O385" s="84" t="s">
        <v>42</v>
      </c>
      <c r="R385"/>
    </row>
    <row r="386" spans="1:18" x14ac:dyDescent="0.25">
      <c r="A386" s="84" t="str">
        <f t="shared" ref="A386:A449" si="19">CONCATENATE(B386,C386,G386)</f>
        <v>OutubroSEMANA 2Gelo em Escamas</v>
      </c>
      <c r="B386" s="85" t="s">
        <v>37</v>
      </c>
      <c r="C386" s="85" t="s">
        <v>21</v>
      </c>
      <c r="D386" s="86">
        <v>9</v>
      </c>
      <c r="E386" s="116" t="str">
        <f t="shared" ref="E386:E449" si="20">VLOOKUP(G386,$M$1:$O$968,3,0)</f>
        <v>Mercado</v>
      </c>
      <c r="F386" s="85" t="s">
        <v>1040</v>
      </c>
      <c r="G386" s="85" t="s">
        <v>384</v>
      </c>
      <c r="H386" s="85" t="s">
        <v>1041</v>
      </c>
      <c r="I386" s="85">
        <v>1</v>
      </c>
      <c r="J386" s="87">
        <v>7.5</v>
      </c>
      <c r="K386" s="88">
        <f t="shared" ref="K386:K449" si="21">I386*J386</f>
        <v>7.5</v>
      </c>
      <c r="L386" s="85">
        <v>10222</v>
      </c>
      <c r="M386" s="118" t="s">
        <v>374</v>
      </c>
      <c r="N386" s="84"/>
      <c r="O386" s="84" t="s">
        <v>45</v>
      </c>
      <c r="R386"/>
    </row>
    <row r="387" spans="1:18" x14ac:dyDescent="0.25">
      <c r="A387" s="84" t="str">
        <f t="shared" si="19"/>
        <v>OutubroSEMANA 2Gelo em Cubo</v>
      </c>
      <c r="B387" s="85" t="s">
        <v>37</v>
      </c>
      <c r="C387" s="85" t="s">
        <v>21</v>
      </c>
      <c r="D387" s="86">
        <v>9</v>
      </c>
      <c r="E387" s="116" t="str">
        <f t="shared" si="20"/>
        <v>Mercado</v>
      </c>
      <c r="F387" s="85" t="s">
        <v>1040</v>
      </c>
      <c r="G387" s="85" t="s">
        <v>383</v>
      </c>
      <c r="H387" s="85" t="s">
        <v>1041</v>
      </c>
      <c r="I387" s="85">
        <v>3</v>
      </c>
      <c r="J387" s="87">
        <v>7.5</v>
      </c>
      <c r="K387" s="88">
        <f t="shared" si="21"/>
        <v>22.5</v>
      </c>
      <c r="L387" s="85">
        <v>10222</v>
      </c>
      <c r="M387" s="118" t="s">
        <v>375</v>
      </c>
      <c r="N387" s="84"/>
      <c r="O387" s="84" t="s">
        <v>45</v>
      </c>
      <c r="R387"/>
    </row>
    <row r="388" spans="1:18" x14ac:dyDescent="0.25">
      <c r="A388" s="84" t="str">
        <f t="shared" si="19"/>
        <v xml:space="preserve">OutubroSEMANA 2Tapioca Granulada </v>
      </c>
      <c r="B388" s="85" t="s">
        <v>37</v>
      </c>
      <c r="C388" s="85" t="s">
        <v>21</v>
      </c>
      <c r="D388" s="86">
        <v>8</v>
      </c>
      <c r="E388" s="116" t="str">
        <f t="shared" si="20"/>
        <v>Mercado</v>
      </c>
      <c r="F388" s="85" t="s">
        <v>1036</v>
      </c>
      <c r="G388" s="85" t="s">
        <v>785</v>
      </c>
      <c r="H388" s="85" t="s">
        <v>1039</v>
      </c>
      <c r="I388" s="85">
        <f>3*0.5</f>
        <v>1.5</v>
      </c>
      <c r="J388" s="87">
        <v>11</v>
      </c>
      <c r="K388" s="88">
        <f t="shared" si="21"/>
        <v>16.5</v>
      </c>
      <c r="L388" s="85"/>
      <c r="M388" s="118" t="s">
        <v>376</v>
      </c>
      <c r="N388" s="84"/>
      <c r="O388" s="84" t="s">
        <v>42</v>
      </c>
      <c r="R388"/>
    </row>
    <row r="389" spans="1:18" x14ac:dyDescent="0.25">
      <c r="A389" s="84" t="str">
        <f t="shared" si="19"/>
        <v>OutubroSEMANA 2Aveia Quaker Flocos cx 200g</v>
      </c>
      <c r="B389" s="85" t="s">
        <v>37</v>
      </c>
      <c r="C389" s="85" t="s">
        <v>21</v>
      </c>
      <c r="D389" s="86">
        <v>8</v>
      </c>
      <c r="E389" s="116" t="str">
        <f t="shared" si="20"/>
        <v>Mercado</v>
      </c>
      <c r="F389" s="85" t="s">
        <v>1036</v>
      </c>
      <c r="G389" s="85" t="s">
        <v>132</v>
      </c>
      <c r="H389" s="85" t="s">
        <v>1038</v>
      </c>
      <c r="I389" s="85">
        <v>1</v>
      </c>
      <c r="J389" s="87">
        <v>3.3</v>
      </c>
      <c r="K389" s="88">
        <f t="shared" si="21"/>
        <v>3.3</v>
      </c>
      <c r="L389" s="85"/>
      <c r="M389" s="118" t="s">
        <v>930</v>
      </c>
      <c r="N389" s="84"/>
      <c r="O389" s="84" t="s">
        <v>60</v>
      </c>
      <c r="R389"/>
    </row>
    <row r="390" spans="1:18" x14ac:dyDescent="0.25">
      <c r="A390" s="84" t="str">
        <f t="shared" si="19"/>
        <v>OutubroSEMANA 2Banana da Terra</v>
      </c>
      <c r="B390" s="85" t="s">
        <v>37</v>
      </c>
      <c r="C390" s="85" t="s">
        <v>21</v>
      </c>
      <c r="D390" s="86">
        <v>8</v>
      </c>
      <c r="E390" s="116" t="str">
        <f t="shared" si="20"/>
        <v>Hortifruti</v>
      </c>
      <c r="F390" s="85" t="s">
        <v>1036</v>
      </c>
      <c r="G390" s="85" t="s">
        <v>161</v>
      </c>
      <c r="H390" s="85" t="s">
        <v>1039</v>
      </c>
      <c r="I390" s="85">
        <v>4.4649999999999999</v>
      </c>
      <c r="J390" s="87">
        <v>6.98</v>
      </c>
      <c r="K390" s="88">
        <f t="shared" si="21"/>
        <v>31.165700000000001</v>
      </c>
      <c r="L390" s="85">
        <v>62006</v>
      </c>
      <c r="M390" s="118" t="s">
        <v>377</v>
      </c>
      <c r="N390" s="84"/>
      <c r="O390" s="84" t="s">
        <v>873</v>
      </c>
      <c r="R390"/>
    </row>
    <row r="391" spans="1:18" x14ac:dyDescent="0.25">
      <c r="A391" s="84" t="str">
        <f t="shared" si="19"/>
        <v>OutubroSEMANA 2Pão de Forma</v>
      </c>
      <c r="B391" s="85" t="s">
        <v>37</v>
      </c>
      <c r="C391" s="85" t="s">
        <v>21</v>
      </c>
      <c r="D391" s="86">
        <v>9</v>
      </c>
      <c r="E391" s="116" t="str">
        <f t="shared" si="20"/>
        <v>Mercado</v>
      </c>
      <c r="F391" s="85" t="s">
        <v>1036</v>
      </c>
      <c r="G391" s="85" t="s">
        <v>562</v>
      </c>
      <c r="H391" s="85" t="s">
        <v>1038</v>
      </c>
      <c r="I391" s="85">
        <v>2</v>
      </c>
      <c r="J391" s="87">
        <f>7.78/2</f>
        <v>3.89</v>
      </c>
      <c r="K391" s="88">
        <f t="shared" si="21"/>
        <v>7.78</v>
      </c>
      <c r="L391" s="85">
        <v>53941</v>
      </c>
      <c r="M391" s="118" t="s">
        <v>378</v>
      </c>
      <c r="N391" s="84"/>
      <c r="O391" s="84" t="s">
        <v>60</v>
      </c>
      <c r="R391"/>
    </row>
    <row r="392" spans="1:18" x14ac:dyDescent="0.25">
      <c r="A392" s="84" t="str">
        <f t="shared" si="19"/>
        <v>OutubroSEMANA 2Creme de Leite Chantily</v>
      </c>
      <c r="B392" s="85" t="s">
        <v>37</v>
      </c>
      <c r="C392" s="85" t="s">
        <v>21</v>
      </c>
      <c r="D392" s="86">
        <v>9</v>
      </c>
      <c r="E392" s="116" t="str">
        <f t="shared" si="20"/>
        <v>Mercado</v>
      </c>
      <c r="F392" s="85" t="s">
        <v>1036</v>
      </c>
      <c r="G392" s="85" t="s">
        <v>314</v>
      </c>
      <c r="H392" s="85" t="s">
        <v>1039</v>
      </c>
      <c r="I392" s="85">
        <v>0.5</v>
      </c>
      <c r="J392" s="87">
        <f>17.5/0.5</f>
        <v>35</v>
      </c>
      <c r="K392" s="88">
        <f t="shared" si="21"/>
        <v>17.5</v>
      </c>
      <c r="L392" s="85"/>
      <c r="M392" s="118" t="s">
        <v>379</v>
      </c>
      <c r="N392" s="84"/>
      <c r="O392" s="84" t="s">
        <v>42</v>
      </c>
      <c r="R392"/>
    </row>
    <row r="393" spans="1:18" x14ac:dyDescent="0.25">
      <c r="A393" s="84" t="str">
        <f t="shared" si="19"/>
        <v>OutubroSEMANA 2Manga Tommy</v>
      </c>
      <c r="B393" s="85" t="s">
        <v>37</v>
      </c>
      <c r="C393" s="85" t="s">
        <v>21</v>
      </c>
      <c r="D393" s="86">
        <v>9</v>
      </c>
      <c r="E393" s="116" t="str">
        <f t="shared" si="20"/>
        <v>Hortifruti</v>
      </c>
      <c r="F393" s="85" t="s">
        <v>1036</v>
      </c>
      <c r="G393" s="85" t="s">
        <v>497</v>
      </c>
      <c r="H393" s="85" t="s">
        <v>1039</v>
      </c>
      <c r="I393" s="85">
        <v>2.78</v>
      </c>
      <c r="J393" s="87">
        <v>3.98</v>
      </c>
      <c r="K393" s="88">
        <f t="shared" si="21"/>
        <v>11.064399999999999</v>
      </c>
      <c r="L393" s="85">
        <v>49464</v>
      </c>
      <c r="M393" s="118" t="s">
        <v>380</v>
      </c>
      <c r="N393" s="84"/>
      <c r="O393" s="84" t="s">
        <v>42</v>
      </c>
      <c r="R393"/>
    </row>
    <row r="394" spans="1:18" x14ac:dyDescent="0.25">
      <c r="A394" s="84" t="str">
        <f t="shared" si="19"/>
        <v>OutubroSEMANA 2Aipim</v>
      </c>
      <c r="B394" s="85" t="s">
        <v>37</v>
      </c>
      <c r="C394" s="85" t="s">
        <v>21</v>
      </c>
      <c r="D394" s="86">
        <v>9</v>
      </c>
      <c r="E394" s="116" t="str">
        <f t="shared" si="20"/>
        <v>Hortifruti</v>
      </c>
      <c r="F394" s="85" t="s">
        <v>1042</v>
      </c>
      <c r="G394" s="85" t="s">
        <v>95</v>
      </c>
      <c r="H394" s="85" t="s">
        <v>1039</v>
      </c>
      <c r="I394" s="85">
        <v>30</v>
      </c>
      <c r="J394" s="87">
        <v>5</v>
      </c>
      <c r="K394" s="88">
        <f t="shared" si="21"/>
        <v>150</v>
      </c>
      <c r="L394" s="85"/>
      <c r="M394" s="118" t="s">
        <v>381</v>
      </c>
      <c r="N394" s="84"/>
      <c r="O394" s="84" t="s">
        <v>42</v>
      </c>
      <c r="R394"/>
    </row>
    <row r="395" spans="1:18" x14ac:dyDescent="0.25">
      <c r="A395" s="84" t="str">
        <f t="shared" si="19"/>
        <v>OutubroSEMANA 2Mamão Papaya</v>
      </c>
      <c r="B395" s="85" t="s">
        <v>37</v>
      </c>
      <c r="C395" s="85" t="s">
        <v>21</v>
      </c>
      <c r="D395" s="86">
        <v>9</v>
      </c>
      <c r="E395" s="116" t="str">
        <f t="shared" si="20"/>
        <v>Hortifruti</v>
      </c>
      <c r="F395" s="85" t="s">
        <v>1042</v>
      </c>
      <c r="G395" s="85" t="s">
        <v>495</v>
      </c>
      <c r="H395" s="85" t="s">
        <v>1039</v>
      </c>
      <c r="I395" s="85">
        <v>3.24</v>
      </c>
      <c r="J395" s="87">
        <f>10/3.24</f>
        <v>3.0864197530864197</v>
      </c>
      <c r="K395" s="88">
        <f t="shared" si="21"/>
        <v>10</v>
      </c>
      <c r="L395" s="85"/>
      <c r="M395" s="118" t="s">
        <v>382</v>
      </c>
      <c r="N395" s="84"/>
      <c r="O395" s="84" t="s">
        <v>42</v>
      </c>
      <c r="R395"/>
    </row>
    <row r="396" spans="1:18" x14ac:dyDescent="0.25">
      <c r="A396" s="84" t="str">
        <f t="shared" si="19"/>
        <v>OutubroSEMANA 2Abacate Sushi</v>
      </c>
      <c r="B396" s="85" t="s">
        <v>37</v>
      </c>
      <c r="C396" s="85" t="s">
        <v>21</v>
      </c>
      <c r="D396" s="86">
        <v>9</v>
      </c>
      <c r="E396" s="116" t="str">
        <f t="shared" si="20"/>
        <v>Sushi</v>
      </c>
      <c r="F396" s="85" t="s">
        <v>1042</v>
      </c>
      <c r="G396" s="85" t="s">
        <v>64</v>
      </c>
      <c r="H396" s="85" t="s">
        <v>1039</v>
      </c>
      <c r="I396" s="85">
        <v>0.996</v>
      </c>
      <c r="J396" s="87">
        <f>6/0.996</f>
        <v>6.024096385542169</v>
      </c>
      <c r="K396" s="88">
        <f t="shared" si="21"/>
        <v>6</v>
      </c>
      <c r="L396" s="85"/>
      <c r="M396" s="118" t="s">
        <v>905</v>
      </c>
      <c r="N396" s="84"/>
      <c r="O396" s="84" t="s">
        <v>43</v>
      </c>
      <c r="R396"/>
    </row>
    <row r="397" spans="1:18" x14ac:dyDescent="0.25">
      <c r="A397" s="84" t="str">
        <f t="shared" si="19"/>
        <v>OutubroSEMANA 2Salsa</v>
      </c>
      <c r="B397" s="85" t="s">
        <v>37</v>
      </c>
      <c r="C397" s="85" t="s">
        <v>21</v>
      </c>
      <c r="D397" s="86">
        <v>9</v>
      </c>
      <c r="E397" s="116" t="str">
        <f t="shared" si="20"/>
        <v>Hortifruti</v>
      </c>
      <c r="F397" s="85" t="s">
        <v>1042</v>
      </c>
      <c r="G397" s="85" t="s">
        <v>729</v>
      </c>
      <c r="H397" s="85" t="s">
        <v>1039</v>
      </c>
      <c r="I397" s="85">
        <v>0.3</v>
      </c>
      <c r="J397" s="87">
        <f>6/0.3</f>
        <v>20</v>
      </c>
      <c r="K397" s="88">
        <f t="shared" si="21"/>
        <v>6</v>
      </c>
      <c r="L397" s="85"/>
      <c r="M397" s="118" t="s">
        <v>878</v>
      </c>
      <c r="O397" s="115" t="s">
        <v>42</v>
      </c>
      <c r="R397"/>
    </row>
    <row r="398" spans="1:18" x14ac:dyDescent="0.25">
      <c r="A398" s="84" t="str">
        <f t="shared" si="19"/>
        <v>OutubroSEMANA 2Massa de Pastel</v>
      </c>
      <c r="B398" s="85" t="s">
        <v>37</v>
      </c>
      <c r="C398" s="85" t="s">
        <v>21</v>
      </c>
      <c r="D398" s="86">
        <v>9</v>
      </c>
      <c r="E398" s="116" t="str">
        <f t="shared" si="20"/>
        <v>Mercado</v>
      </c>
      <c r="F398" s="85" t="s">
        <v>1042</v>
      </c>
      <c r="G398" s="85" t="s">
        <v>508</v>
      </c>
      <c r="H398" s="85" t="s">
        <v>1039</v>
      </c>
      <c r="I398" s="85">
        <v>28.36</v>
      </c>
      <c r="J398" s="87">
        <f>210/28.36</f>
        <v>7.4047954866008467</v>
      </c>
      <c r="K398" s="88">
        <f t="shared" si="21"/>
        <v>210</v>
      </c>
      <c r="L398" s="85"/>
      <c r="M398" s="118" t="s">
        <v>970</v>
      </c>
      <c r="N398" s="84"/>
      <c r="O398" s="84" t="s">
        <v>60</v>
      </c>
      <c r="R398"/>
    </row>
    <row r="399" spans="1:18" x14ac:dyDescent="0.25">
      <c r="A399" s="84" t="str">
        <f t="shared" si="19"/>
        <v>OutubroSEMANA 2Batata Doce</v>
      </c>
      <c r="B399" s="85" t="s">
        <v>37</v>
      </c>
      <c r="C399" s="85" t="s">
        <v>21</v>
      </c>
      <c r="D399" s="86">
        <v>9</v>
      </c>
      <c r="E399" s="116" t="str">
        <f t="shared" si="20"/>
        <v>Hortifruti</v>
      </c>
      <c r="F399" s="85" t="s">
        <v>1054</v>
      </c>
      <c r="G399" s="85" t="s">
        <v>170</v>
      </c>
      <c r="H399" s="85" t="s">
        <v>1039</v>
      </c>
      <c r="I399" s="85">
        <v>35.5</v>
      </c>
      <c r="J399" s="87">
        <f>60/35.5</f>
        <v>1.6901408450704225</v>
      </c>
      <c r="K399" s="88">
        <f t="shared" si="21"/>
        <v>60</v>
      </c>
      <c r="L399" s="85">
        <v>1852</v>
      </c>
      <c r="M399" s="118" t="s">
        <v>383</v>
      </c>
      <c r="O399" s="115" t="s">
        <v>42</v>
      </c>
      <c r="R399"/>
    </row>
    <row r="400" spans="1:18" x14ac:dyDescent="0.25">
      <c r="A400" s="84" t="str">
        <f t="shared" si="19"/>
        <v>OutubroSEMANA 2Batata Yacon</v>
      </c>
      <c r="B400" s="85" t="s">
        <v>37</v>
      </c>
      <c r="C400" s="85" t="s">
        <v>21</v>
      </c>
      <c r="D400" s="86">
        <v>9</v>
      </c>
      <c r="E400" s="116" t="str">
        <f t="shared" si="20"/>
        <v>Hortifruti</v>
      </c>
      <c r="F400" s="85" t="s">
        <v>1054</v>
      </c>
      <c r="G400" s="85" t="s">
        <v>177</v>
      </c>
      <c r="H400" s="85" t="s">
        <v>1039</v>
      </c>
      <c r="I400" s="85">
        <v>0.5</v>
      </c>
      <c r="J400" s="87">
        <v>8</v>
      </c>
      <c r="K400" s="88">
        <f t="shared" si="21"/>
        <v>4</v>
      </c>
      <c r="L400" s="85">
        <v>1852</v>
      </c>
      <c r="M400" s="118" t="s">
        <v>384</v>
      </c>
      <c r="N400" s="84"/>
      <c r="O400" s="84" t="s">
        <v>42</v>
      </c>
      <c r="R400"/>
    </row>
    <row r="401" spans="1:18" x14ac:dyDescent="0.25">
      <c r="A401" s="84" t="str">
        <f t="shared" si="19"/>
        <v>OutubroSEMANA 2Jiló</v>
      </c>
      <c r="B401" s="85" t="s">
        <v>37</v>
      </c>
      <c r="C401" s="85" t="s">
        <v>21</v>
      </c>
      <c r="D401" s="86">
        <v>9</v>
      </c>
      <c r="E401" s="116" t="str">
        <f t="shared" si="20"/>
        <v>Hortifruti</v>
      </c>
      <c r="F401" s="85" t="s">
        <v>1054</v>
      </c>
      <c r="G401" s="85" t="s">
        <v>451</v>
      </c>
      <c r="H401" s="85" t="s">
        <v>1039</v>
      </c>
      <c r="I401" s="85">
        <v>5</v>
      </c>
      <c r="J401" s="87">
        <v>5</v>
      </c>
      <c r="K401" s="88">
        <f t="shared" si="21"/>
        <v>25</v>
      </c>
      <c r="L401" s="85">
        <v>1852</v>
      </c>
      <c r="M401" s="118" t="s">
        <v>385</v>
      </c>
      <c r="N401" s="84"/>
      <c r="O401" s="84" t="s">
        <v>45</v>
      </c>
      <c r="R401"/>
    </row>
    <row r="402" spans="1:18" x14ac:dyDescent="0.25">
      <c r="A402" s="84" t="str">
        <f t="shared" si="19"/>
        <v>OutubroSEMANA 2Pimentão Verde</v>
      </c>
      <c r="B402" s="85" t="s">
        <v>37</v>
      </c>
      <c r="C402" s="85" t="s">
        <v>21</v>
      </c>
      <c r="D402" s="86">
        <v>9</v>
      </c>
      <c r="E402" s="116" t="str">
        <f t="shared" si="20"/>
        <v>Hortifruti</v>
      </c>
      <c r="F402" s="85" t="s">
        <v>1054</v>
      </c>
      <c r="G402" s="85" t="s">
        <v>666</v>
      </c>
      <c r="H402" s="85" t="s">
        <v>1039</v>
      </c>
      <c r="I402" s="85">
        <v>1</v>
      </c>
      <c r="J402" s="87">
        <v>5</v>
      </c>
      <c r="K402" s="88">
        <f t="shared" si="21"/>
        <v>5</v>
      </c>
      <c r="L402" s="85">
        <v>1852</v>
      </c>
      <c r="M402" s="118" t="s">
        <v>386</v>
      </c>
      <c r="O402" s="115" t="s">
        <v>60</v>
      </c>
      <c r="R402"/>
    </row>
    <row r="403" spans="1:18" x14ac:dyDescent="0.25">
      <c r="A403" s="84" t="str">
        <f t="shared" si="19"/>
        <v>OutubroSEMANA 2Brócolis Americano</v>
      </c>
      <c r="B403" s="85" t="s">
        <v>37</v>
      </c>
      <c r="C403" s="85" t="s">
        <v>21</v>
      </c>
      <c r="D403" s="86">
        <v>9</v>
      </c>
      <c r="E403" s="116" t="str">
        <f t="shared" si="20"/>
        <v>Hortifruti</v>
      </c>
      <c r="F403" s="85" t="s">
        <v>1054</v>
      </c>
      <c r="G403" s="85" t="s">
        <v>194</v>
      </c>
      <c r="H403" s="85" t="s">
        <v>1039</v>
      </c>
      <c r="I403" s="85">
        <v>3</v>
      </c>
      <c r="J403" s="87">
        <v>7</v>
      </c>
      <c r="K403" s="88">
        <f t="shared" si="21"/>
        <v>21</v>
      </c>
      <c r="L403" s="85">
        <v>1852</v>
      </c>
      <c r="M403" s="118" t="s">
        <v>387</v>
      </c>
      <c r="N403" s="84"/>
      <c r="O403" s="84" t="s">
        <v>42</v>
      </c>
      <c r="R403"/>
    </row>
    <row r="404" spans="1:18" x14ac:dyDescent="0.25">
      <c r="A404" s="84" t="str">
        <f t="shared" si="19"/>
        <v>OutubroSEMANA 2Funcho</v>
      </c>
      <c r="B404" s="85" t="s">
        <v>37</v>
      </c>
      <c r="C404" s="85" t="s">
        <v>21</v>
      </c>
      <c r="D404" s="86">
        <v>9</v>
      </c>
      <c r="E404" s="116" t="str">
        <f t="shared" si="20"/>
        <v>Hortifruti</v>
      </c>
      <c r="F404" s="85" t="s">
        <v>1054</v>
      </c>
      <c r="G404" s="85" t="s">
        <v>374</v>
      </c>
      <c r="H404" s="85" t="s">
        <v>1039</v>
      </c>
      <c r="I404" s="85">
        <v>1</v>
      </c>
      <c r="J404" s="87">
        <v>10</v>
      </c>
      <c r="K404" s="88">
        <f t="shared" si="21"/>
        <v>10</v>
      </c>
      <c r="L404" s="85">
        <v>1852</v>
      </c>
      <c r="M404" s="118" t="s">
        <v>388</v>
      </c>
      <c r="N404" s="84"/>
      <c r="O404" s="84" t="s">
        <v>60</v>
      </c>
      <c r="R404"/>
    </row>
    <row r="405" spans="1:18" x14ac:dyDescent="0.25">
      <c r="A405" s="84" t="str">
        <f t="shared" si="19"/>
        <v>OutubroSEMANA 2Pimenta Dedo de Moça</v>
      </c>
      <c r="B405" s="85" t="s">
        <v>37</v>
      </c>
      <c r="C405" s="85" t="s">
        <v>21</v>
      </c>
      <c r="D405" s="86">
        <v>9</v>
      </c>
      <c r="E405" s="116" t="str">
        <f t="shared" si="20"/>
        <v>Hortifruti</v>
      </c>
      <c r="F405" s="85" t="s">
        <v>1054</v>
      </c>
      <c r="G405" s="85" t="s">
        <v>657</v>
      </c>
      <c r="H405" s="85" t="s">
        <v>1039</v>
      </c>
      <c r="I405" s="85">
        <v>0.2</v>
      </c>
      <c r="J405" s="87">
        <v>20</v>
      </c>
      <c r="K405" s="88">
        <f t="shared" si="21"/>
        <v>4</v>
      </c>
      <c r="L405" s="85">
        <v>1852</v>
      </c>
      <c r="M405" s="118" t="s">
        <v>389</v>
      </c>
      <c r="N405" s="84"/>
      <c r="O405" s="84" t="s">
        <v>42</v>
      </c>
      <c r="R405"/>
    </row>
    <row r="406" spans="1:18" x14ac:dyDescent="0.25">
      <c r="A406" s="84" t="str">
        <f t="shared" si="19"/>
        <v>OutubroSEMANA 2Pimenta de Cheiro</v>
      </c>
      <c r="B406" s="85" t="s">
        <v>37</v>
      </c>
      <c r="C406" s="85" t="s">
        <v>21</v>
      </c>
      <c r="D406" s="86">
        <v>9</v>
      </c>
      <c r="E406" s="116" t="str">
        <f t="shared" si="20"/>
        <v>Hortifruti</v>
      </c>
      <c r="F406" s="85" t="s">
        <v>1054</v>
      </c>
      <c r="G406" s="85" t="s">
        <v>656</v>
      </c>
      <c r="H406" s="85" t="s">
        <v>1039</v>
      </c>
      <c r="I406" s="85">
        <v>0.2</v>
      </c>
      <c r="J406" s="87">
        <v>25</v>
      </c>
      <c r="K406" s="88">
        <f t="shared" si="21"/>
        <v>5</v>
      </c>
      <c r="L406" s="85">
        <v>1852</v>
      </c>
      <c r="M406" s="118" t="s">
        <v>390</v>
      </c>
      <c r="N406" s="84"/>
      <c r="O406" s="84" t="s">
        <v>60</v>
      </c>
      <c r="R406"/>
    </row>
    <row r="407" spans="1:18" x14ac:dyDescent="0.25">
      <c r="A407" s="84" t="str">
        <f t="shared" si="19"/>
        <v>OutubroSEMANA 2Pimenta Biquinho</v>
      </c>
      <c r="B407" s="85" t="s">
        <v>37</v>
      </c>
      <c r="C407" s="85" t="s">
        <v>21</v>
      </c>
      <c r="D407" s="86">
        <v>9</v>
      </c>
      <c r="E407" s="116" t="str">
        <f t="shared" si="20"/>
        <v>Hortifruti</v>
      </c>
      <c r="F407" s="85" t="s">
        <v>1054</v>
      </c>
      <c r="G407" s="85" t="s">
        <v>654</v>
      </c>
      <c r="H407" s="85" t="s">
        <v>1039</v>
      </c>
      <c r="I407" s="90">
        <v>0.2</v>
      </c>
      <c r="J407" s="89">
        <v>50</v>
      </c>
      <c r="K407" s="88">
        <f t="shared" si="21"/>
        <v>10</v>
      </c>
      <c r="L407" s="85">
        <v>1852</v>
      </c>
      <c r="M407" s="118" t="s">
        <v>1029</v>
      </c>
      <c r="O407" s="84" t="s">
        <v>42</v>
      </c>
      <c r="R407"/>
    </row>
    <row r="408" spans="1:18" x14ac:dyDescent="0.25">
      <c r="A408" s="84" t="str">
        <f t="shared" si="19"/>
        <v>OutubroSEMANA 2Pimenta Malagueta</v>
      </c>
      <c r="B408" s="85" t="s">
        <v>37</v>
      </c>
      <c r="C408" s="85" t="s">
        <v>21</v>
      </c>
      <c r="D408" s="86">
        <v>9</v>
      </c>
      <c r="E408" s="116" t="str">
        <f t="shared" si="20"/>
        <v>Hortifruti</v>
      </c>
      <c r="F408" s="85" t="s">
        <v>1054</v>
      </c>
      <c r="G408" s="85" t="s">
        <v>660</v>
      </c>
      <c r="H408" s="85" t="s">
        <v>1039</v>
      </c>
      <c r="I408" s="85">
        <v>0.2</v>
      </c>
      <c r="J408" s="87">
        <v>60</v>
      </c>
      <c r="K408" s="88">
        <f t="shared" si="21"/>
        <v>12</v>
      </c>
      <c r="L408" s="85">
        <v>1852</v>
      </c>
      <c r="M408" s="118" t="s">
        <v>391</v>
      </c>
      <c r="N408" s="84"/>
      <c r="O408" s="84" t="s">
        <v>45</v>
      </c>
      <c r="R408"/>
    </row>
    <row r="409" spans="1:18" x14ac:dyDescent="0.25">
      <c r="A409" s="84" t="str">
        <f t="shared" si="19"/>
        <v xml:space="preserve">OutubroSEMANA 2Abacaxi </v>
      </c>
      <c r="B409" s="85" t="s">
        <v>37</v>
      </c>
      <c r="C409" s="85" t="s">
        <v>21</v>
      </c>
      <c r="D409" s="86">
        <v>9</v>
      </c>
      <c r="E409" s="116" t="str">
        <f t="shared" si="20"/>
        <v>Hortifruti</v>
      </c>
      <c r="F409" s="85" t="s">
        <v>1054</v>
      </c>
      <c r="G409" s="85" t="s">
        <v>65</v>
      </c>
      <c r="H409" s="85" t="s">
        <v>1039</v>
      </c>
      <c r="I409" s="85">
        <v>10</v>
      </c>
      <c r="J409" s="87">
        <v>2.4</v>
      </c>
      <c r="K409" s="88">
        <f t="shared" si="21"/>
        <v>24</v>
      </c>
      <c r="L409" s="85">
        <v>1852</v>
      </c>
      <c r="M409" s="118" t="s">
        <v>1000</v>
      </c>
      <c r="N409" s="84"/>
      <c r="O409" s="84" t="s">
        <v>42</v>
      </c>
      <c r="R409"/>
    </row>
    <row r="410" spans="1:18" x14ac:dyDescent="0.25">
      <c r="A410" s="84" t="str">
        <f t="shared" si="19"/>
        <v xml:space="preserve">OutubroSEMANA 2Melão de Rede </v>
      </c>
      <c r="B410" s="85" t="s">
        <v>37</v>
      </c>
      <c r="C410" s="85" t="s">
        <v>21</v>
      </c>
      <c r="D410" s="86">
        <v>9</v>
      </c>
      <c r="E410" s="116" t="str">
        <f t="shared" si="20"/>
        <v>Hortifruti</v>
      </c>
      <c r="F410" s="85" t="s">
        <v>1054</v>
      </c>
      <c r="G410" s="85" t="s">
        <v>518</v>
      </c>
      <c r="H410" s="85" t="s">
        <v>1039</v>
      </c>
      <c r="I410" s="85">
        <v>2.5</v>
      </c>
      <c r="J410" s="87">
        <v>5.9</v>
      </c>
      <c r="K410" s="88">
        <f t="shared" si="21"/>
        <v>14.75</v>
      </c>
      <c r="L410" s="85">
        <v>1852</v>
      </c>
      <c r="M410" s="118" t="s">
        <v>392</v>
      </c>
      <c r="N410" s="84"/>
      <c r="O410" s="84" t="s">
        <v>42</v>
      </c>
      <c r="R410"/>
    </row>
    <row r="411" spans="1:18" x14ac:dyDescent="0.25">
      <c r="A411" s="84" t="str">
        <f t="shared" si="19"/>
        <v>OutubroSEMANA 2Pescados - Bacalhau Salgado</v>
      </c>
      <c r="B411" s="85" t="s">
        <v>37</v>
      </c>
      <c r="C411" s="85" t="s">
        <v>21</v>
      </c>
      <c r="D411" s="86">
        <v>9</v>
      </c>
      <c r="E411" s="116" t="str">
        <f t="shared" si="20"/>
        <v>Carnes</v>
      </c>
      <c r="F411" s="85" t="s">
        <v>1049</v>
      </c>
      <c r="G411" s="85" t="s">
        <v>589</v>
      </c>
      <c r="H411" s="85" t="s">
        <v>1039</v>
      </c>
      <c r="I411" s="85">
        <v>25</v>
      </c>
      <c r="J411" s="87">
        <f>1098.04/25</f>
        <v>43.921599999999998</v>
      </c>
      <c r="K411" s="88">
        <f t="shared" si="21"/>
        <v>1098.04</v>
      </c>
      <c r="L411" s="85" t="s">
        <v>1134</v>
      </c>
      <c r="M411" s="118" t="s">
        <v>393</v>
      </c>
      <c r="N411" s="84"/>
      <c r="O411" s="84" t="s">
        <v>42</v>
      </c>
      <c r="R411"/>
    </row>
    <row r="412" spans="1:18" x14ac:dyDescent="0.25">
      <c r="A412" s="84" t="str">
        <f t="shared" si="19"/>
        <v>OutubroSEMANA 2Creme de Leite Culinário 20% Bd 10 Lt</v>
      </c>
      <c r="B412" s="85" t="s">
        <v>37</v>
      </c>
      <c r="C412" s="85" t="s">
        <v>21</v>
      </c>
      <c r="D412" s="86">
        <v>9</v>
      </c>
      <c r="E412" s="116" t="str">
        <f t="shared" si="20"/>
        <v>Mercado</v>
      </c>
      <c r="F412" s="85" t="s">
        <v>1045</v>
      </c>
      <c r="G412" s="85" t="s">
        <v>315</v>
      </c>
      <c r="H412" s="85" t="s">
        <v>1046</v>
      </c>
      <c r="I412" s="85">
        <v>2</v>
      </c>
      <c r="J412" s="87">
        <v>142.44999999999999</v>
      </c>
      <c r="K412" s="88">
        <f t="shared" si="21"/>
        <v>284.89999999999998</v>
      </c>
      <c r="L412" s="85" t="s">
        <v>1135</v>
      </c>
      <c r="M412" s="118" t="s">
        <v>394</v>
      </c>
      <c r="N412" s="84"/>
      <c r="O412" s="84" t="s">
        <v>874</v>
      </c>
      <c r="R412"/>
    </row>
    <row r="413" spans="1:18" x14ac:dyDescent="0.25">
      <c r="A413" s="84" t="str">
        <f t="shared" si="19"/>
        <v>OutubroSEMANA 2Queijo Mussarela</v>
      </c>
      <c r="B413" s="85" t="s">
        <v>37</v>
      </c>
      <c r="C413" s="85" t="s">
        <v>21</v>
      </c>
      <c r="D413" s="86">
        <v>9</v>
      </c>
      <c r="E413" s="116" t="str">
        <f t="shared" si="20"/>
        <v>Mercado</v>
      </c>
      <c r="F413" s="85" t="s">
        <v>1045</v>
      </c>
      <c r="G413" s="85" t="s">
        <v>685</v>
      </c>
      <c r="H413" s="85" t="s">
        <v>1039</v>
      </c>
      <c r="I413" s="85">
        <v>3.5</v>
      </c>
      <c r="J413" s="87">
        <v>26</v>
      </c>
      <c r="K413" s="88">
        <f t="shared" si="21"/>
        <v>91</v>
      </c>
      <c r="L413" s="85" t="s">
        <v>1135</v>
      </c>
      <c r="M413" s="118" t="s">
        <v>395</v>
      </c>
      <c r="N413" s="84"/>
      <c r="O413" s="84" t="s">
        <v>874</v>
      </c>
      <c r="R413"/>
    </row>
    <row r="414" spans="1:18" x14ac:dyDescent="0.25">
      <c r="A414" s="84" t="str">
        <f t="shared" si="19"/>
        <v>OutubroSEMANA 2Queijo Minas</v>
      </c>
      <c r="B414" s="85" t="s">
        <v>37</v>
      </c>
      <c r="C414" s="85" t="s">
        <v>21</v>
      </c>
      <c r="D414" s="86">
        <v>9</v>
      </c>
      <c r="E414" s="116" t="str">
        <f t="shared" si="20"/>
        <v>Mercado</v>
      </c>
      <c r="F414" s="85" t="s">
        <v>1045</v>
      </c>
      <c r="G414" s="85" t="s">
        <v>682</v>
      </c>
      <c r="H414" s="85" t="s">
        <v>1039</v>
      </c>
      <c r="I414" s="85">
        <v>4.7</v>
      </c>
      <c r="J414" s="87">
        <v>20.8</v>
      </c>
      <c r="K414" s="88">
        <f t="shared" si="21"/>
        <v>97.76</v>
      </c>
      <c r="L414" s="85" t="s">
        <v>1135</v>
      </c>
      <c r="M414" s="118" t="s">
        <v>966</v>
      </c>
      <c r="N414" s="84"/>
      <c r="O414" s="84" t="s">
        <v>42</v>
      </c>
      <c r="R414"/>
    </row>
    <row r="415" spans="1:18" x14ac:dyDescent="0.25">
      <c r="A415" s="84" t="str">
        <f t="shared" si="19"/>
        <v>OutubroSEMANA 2Queijo Ricota</v>
      </c>
      <c r="B415" s="85" t="s">
        <v>37</v>
      </c>
      <c r="C415" s="85" t="s">
        <v>21</v>
      </c>
      <c r="D415" s="86">
        <v>9</v>
      </c>
      <c r="E415" s="116" t="str">
        <f t="shared" si="20"/>
        <v>Mercado</v>
      </c>
      <c r="F415" s="85" t="s">
        <v>1045</v>
      </c>
      <c r="G415" s="85" t="s">
        <v>689</v>
      </c>
      <c r="H415" s="85" t="s">
        <v>1039</v>
      </c>
      <c r="I415" s="85">
        <v>2.9</v>
      </c>
      <c r="J415" s="87">
        <v>10.6</v>
      </c>
      <c r="K415" s="88">
        <f t="shared" si="21"/>
        <v>30.74</v>
      </c>
      <c r="L415" s="85" t="s">
        <v>1135</v>
      </c>
      <c r="M415" s="118" t="s">
        <v>396</v>
      </c>
      <c r="N415" s="84"/>
      <c r="O415" s="84" t="s">
        <v>42</v>
      </c>
      <c r="R415"/>
    </row>
    <row r="416" spans="1:18" x14ac:dyDescent="0.25">
      <c r="A416" s="84" t="str">
        <f t="shared" si="19"/>
        <v>OutubroSEMANA 2Batata Baroa</v>
      </c>
      <c r="B416" s="85" t="s">
        <v>37</v>
      </c>
      <c r="C416" s="85" t="s">
        <v>21</v>
      </c>
      <c r="D416" s="86">
        <v>9</v>
      </c>
      <c r="E416" s="116" t="str">
        <f t="shared" si="20"/>
        <v>Hortifruti</v>
      </c>
      <c r="F416" s="85" t="s">
        <v>1055</v>
      </c>
      <c r="G416" s="85" t="s">
        <v>169</v>
      </c>
      <c r="H416" s="85" t="s">
        <v>1039</v>
      </c>
      <c r="I416" s="85">
        <v>10</v>
      </c>
      <c r="J416" s="87">
        <v>4.4000000000000004</v>
      </c>
      <c r="K416" s="88">
        <f t="shared" si="21"/>
        <v>44</v>
      </c>
      <c r="L416" s="85">
        <v>4254</v>
      </c>
      <c r="M416" s="118" t="s">
        <v>987</v>
      </c>
      <c r="N416" s="84"/>
      <c r="O416" s="84" t="s">
        <v>46</v>
      </c>
      <c r="R416"/>
    </row>
    <row r="417" spans="1:18" x14ac:dyDescent="0.25">
      <c r="A417" s="84" t="str">
        <f t="shared" si="19"/>
        <v>OutubroSEMANA 2Cebolinha Verde</v>
      </c>
      <c r="B417" s="85" t="s">
        <v>37</v>
      </c>
      <c r="C417" s="85" t="s">
        <v>21</v>
      </c>
      <c r="D417" s="86">
        <v>9</v>
      </c>
      <c r="E417" s="116" t="str">
        <f t="shared" si="20"/>
        <v>Hortifruti</v>
      </c>
      <c r="F417" s="85" t="s">
        <v>1055</v>
      </c>
      <c r="G417" s="85" t="s">
        <v>247</v>
      </c>
      <c r="H417" s="85" t="s">
        <v>1039</v>
      </c>
      <c r="I417" s="85">
        <v>1</v>
      </c>
      <c r="J417" s="87">
        <v>7.5</v>
      </c>
      <c r="K417" s="88">
        <f t="shared" si="21"/>
        <v>7.5</v>
      </c>
      <c r="L417" s="85">
        <v>4254</v>
      </c>
      <c r="M417" s="118" t="s">
        <v>397</v>
      </c>
      <c r="N417" s="84"/>
      <c r="O417" s="84" t="s">
        <v>47</v>
      </c>
      <c r="R417"/>
    </row>
    <row r="418" spans="1:18" x14ac:dyDescent="0.25">
      <c r="A418" s="84" t="str">
        <f t="shared" si="19"/>
        <v>OutubroSEMANA 2Couve Flor</v>
      </c>
      <c r="B418" s="85" t="s">
        <v>37</v>
      </c>
      <c r="C418" s="85" t="s">
        <v>21</v>
      </c>
      <c r="D418" s="86">
        <v>9</v>
      </c>
      <c r="E418" s="116" t="str">
        <f t="shared" si="20"/>
        <v>Hortifruti</v>
      </c>
      <c r="F418" s="85" t="s">
        <v>1055</v>
      </c>
      <c r="G418" s="85" t="s">
        <v>306</v>
      </c>
      <c r="H418" s="85" t="s">
        <v>1039</v>
      </c>
      <c r="I418" s="85">
        <v>4</v>
      </c>
      <c r="J418" s="87">
        <v>4.25</v>
      </c>
      <c r="K418" s="88">
        <f t="shared" si="21"/>
        <v>17</v>
      </c>
      <c r="L418" s="85">
        <v>4254</v>
      </c>
      <c r="M418" s="118" t="s">
        <v>939</v>
      </c>
      <c r="N418" s="84"/>
      <c r="O418" s="84" t="s">
        <v>47</v>
      </c>
      <c r="R418"/>
    </row>
    <row r="419" spans="1:18" x14ac:dyDescent="0.25">
      <c r="A419" s="84" t="str">
        <f t="shared" si="19"/>
        <v>OutubroSEMANA 2Manga Palmer</v>
      </c>
      <c r="B419" s="85" t="s">
        <v>37</v>
      </c>
      <c r="C419" s="85" t="s">
        <v>21</v>
      </c>
      <c r="D419" s="86">
        <v>9</v>
      </c>
      <c r="E419" s="116" t="str">
        <f t="shared" si="20"/>
        <v>Hortifruti</v>
      </c>
      <c r="F419" s="85" t="s">
        <v>1055</v>
      </c>
      <c r="G419" s="85" t="s">
        <v>496</v>
      </c>
      <c r="H419" s="85" t="s">
        <v>1039</v>
      </c>
      <c r="I419" s="85">
        <v>5</v>
      </c>
      <c r="J419" s="87">
        <f>24/5</f>
        <v>4.8</v>
      </c>
      <c r="K419" s="88">
        <f t="shared" si="21"/>
        <v>24</v>
      </c>
      <c r="L419" s="85">
        <v>4254</v>
      </c>
      <c r="M419" s="118" t="s">
        <v>398</v>
      </c>
      <c r="N419" s="84"/>
      <c r="O419" s="84" t="s">
        <v>47</v>
      </c>
      <c r="R419"/>
    </row>
    <row r="420" spans="1:18" x14ac:dyDescent="0.25">
      <c r="A420" s="84" t="str">
        <f t="shared" si="19"/>
        <v>OutubroSEMANA 2Melância</v>
      </c>
      <c r="B420" s="85" t="s">
        <v>37</v>
      </c>
      <c r="C420" s="85" t="s">
        <v>21</v>
      </c>
      <c r="D420" s="86">
        <v>9</v>
      </c>
      <c r="E420" s="116" t="str">
        <f t="shared" si="20"/>
        <v>Hortifruti</v>
      </c>
      <c r="F420" s="85" t="s">
        <v>1055</v>
      </c>
      <c r="G420" s="85" t="s">
        <v>517</v>
      </c>
      <c r="H420" s="85" t="s">
        <v>1039</v>
      </c>
      <c r="I420" s="85">
        <v>10</v>
      </c>
      <c r="J420" s="87">
        <v>1.64</v>
      </c>
      <c r="K420" s="88">
        <f t="shared" si="21"/>
        <v>16.399999999999999</v>
      </c>
      <c r="L420" s="85">
        <v>4254</v>
      </c>
      <c r="M420" s="118" t="s">
        <v>876</v>
      </c>
      <c r="N420" s="84"/>
      <c r="O420" s="84" t="s">
        <v>873</v>
      </c>
      <c r="R420"/>
    </row>
    <row r="421" spans="1:18" x14ac:dyDescent="0.25">
      <c r="A421" s="84" t="str">
        <f t="shared" si="19"/>
        <v>OutubroSEMANA 2Ovos Extra</v>
      </c>
      <c r="B421" s="85" t="s">
        <v>37</v>
      </c>
      <c r="C421" s="85" t="s">
        <v>21</v>
      </c>
      <c r="D421" s="86">
        <v>9</v>
      </c>
      <c r="E421" s="116" t="str">
        <f t="shared" si="20"/>
        <v>Hortifruti</v>
      </c>
      <c r="F421" s="85" t="s">
        <v>1055</v>
      </c>
      <c r="G421" s="85" t="s">
        <v>550</v>
      </c>
      <c r="H421" s="85" t="s">
        <v>1038</v>
      </c>
      <c r="I421" s="85">
        <v>350</v>
      </c>
      <c r="J421" s="87">
        <f>101/360</f>
        <v>0.28055555555555556</v>
      </c>
      <c r="K421" s="88">
        <f t="shared" si="21"/>
        <v>98.194444444444443</v>
      </c>
      <c r="L421" s="85">
        <v>4254</v>
      </c>
      <c r="M421" s="118" t="s">
        <v>399</v>
      </c>
      <c r="N421" s="84"/>
      <c r="O421" s="84" t="s">
        <v>873</v>
      </c>
      <c r="R421"/>
    </row>
    <row r="422" spans="1:18" x14ac:dyDescent="0.25">
      <c r="A422" s="84" t="str">
        <f t="shared" si="19"/>
        <v>OutubroSEMANA 2Salsa</v>
      </c>
      <c r="B422" s="85" t="s">
        <v>37</v>
      </c>
      <c r="C422" s="85" t="s">
        <v>21</v>
      </c>
      <c r="D422" s="86">
        <v>9</v>
      </c>
      <c r="E422" s="116" t="str">
        <f t="shared" si="20"/>
        <v>Hortifruti</v>
      </c>
      <c r="F422" s="85" t="s">
        <v>1055</v>
      </c>
      <c r="G422" s="85" t="s">
        <v>729</v>
      </c>
      <c r="H422" s="85" t="s">
        <v>1039</v>
      </c>
      <c r="I422" s="85">
        <v>1</v>
      </c>
      <c r="J422" s="87">
        <v>7.5</v>
      </c>
      <c r="K422" s="88">
        <f t="shared" si="21"/>
        <v>7.5</v>
      </c>
      <c r="L422" s="85">
        <v>4254</v>
      </c>
      <c r="M422" s="118" t="s">
        <v>400</v>
      </c>
      <c r="N422" s="84"/>
      <c r="O422" s="84" t="s">
        <v>47</v>
      </c>
      <c r="R422"/>
    </row>
    <row r="423" spans="1:18" x14ac:dyDescent="0.25">
      <c r="A423" s="84" t="str">
        <f t="shared" si="19"/>
        <v>OutubroSEMANA 2Tomate Salada</v>
      </c>
      <c r="B423" s="85" t="s">
        <v>37</v>
      </c>
      <c r="C423" s="85" t="s">
        <v>21</v>
      </c>
      <c r="D423" s="86">
        <v>9</v>
      </c>
      <c r="E423" s="116" t="str">
        <f t="shared" si="20"/>
        <v>Hortifruti</v>
      </c>
      <c r="F423" s="85" t="s">
        <v>1055</v>
      </c>
      <c r="G423" s="85" t="s">
        <v>795</v>
      </c>
      <c r="H423" s="85" t="s">
        <v>1039</v>
      </c>
      <c r="I423" s="85">
        <v>17.940000000000001</v>
      </c>
      <c r="J423" s="87">
        <f>90/17.94</f>
        <v>5.0167224080267552</v>
      </c>
      <c r="K423" s="88">
        <f t="shared" si="21"/>
        <v>90</v>
      </c>
      <c r="L423" s="85">
        <v>4254</v>
      </c>
      <c r="M423" s="118" t="s">
        <v>401</v>
      </c>
      <c r="N423" s="84"/>
      <c r="O423" s="84" t="s">
        <v>873</v>
      </c>
      <c r="R423"/>
    </row>
    <row r="424" spans="1:18" x14ac:dyDescent="0.25">
      <c r="A424" s="84" t="str">
        <f t="shared" si="19"/>
        <v>OutubroSEMANA 2Cebola</v>
      </c>
      <c r="B424" s="85" t="s">
        <v>37</v>
      </c>
      <c r="C424" s="85" t="s">
        <v>21</v>
      </c>
      <c r="D424" s="86">
        <v>9</v>
      </c>
      <c r="E424" s="116" t="str">
        <f t="shared" si="20"/>
        <v>Hortifruti</v>
      </c>
      <c r="F424" s="85" t="s">
        <v>1055</v>
      </c>
      <c r="G424" s="85" t="s">
        <v>241</v>
      </c>
      <c r="H424" s="85" t="s">
        <v>1039</v>
      </c>
      <c r="I424" s="85">
        <v>20.260000000000002</v>
      </c>
      <c r="J424" s="87">
        <f>25/20.26</f>
        <v>1.2339585389930898</v>
      </c>
      <c r="K424" s="88">
        <f t="shared" si="21"/>
        <v>25.000000000000004</v>
      </c>
      <c r="L424" s="85">
        <v>4254</v>
      </c>
      <c r="M424" s="118" t="s">
        <v>402</v>
      </c>
      <c r="N424" s="84"/>
      <c r="O424" s="84" t="s">
        <v>46</v>
      </c>
      <c r="R424"/>
    </row>
    <row r="425" spans="1:18" x14ac:dyDescent="0.25">
      <c r="A425" s="84" t="str">
        <f t="shared" si="19"/>
        <v>OutubroSEMANA 2Côco Verde</v>
      </c>
      <c r="B425" s="85" t="s">
        <v>37</v>
      </c>
      <c r="C425" s="85" t="s">
        <v>21</v>
      </c>
      <c r="D425" s="86">
        <v>9</v>
      </c>
      <c r="E425" s="116" t="str">
        <f t="shared" si="20"/>
        <v>Hortifruti</v>
      </c>
      <c r="F425" s="85" t="s">
        <v>1055</v>
      </c>
      <c r="G425" s="85" t="s">
        <v>288</v>
      </c>
      <c r="H425" s="85" t="s">
        <v>1038</v>
      </c>
      <c r="I425" s="85">
        <v>20</v>
      </c>
      <c r="J425" s="87">
        <v>1.8</v>
      </c>
      <c r="K425" s="88">
        <f t="shared" si="21"/>
        <v>36</v>
      </c>
      <c r="L425" s="85">
        <v>4254</v>
      </c>
      <c r="M425" s="118" t="s">
        <v>403</v>
      </c>
      <c r="N425" s="84"/>
      <c r="O425" s="84" t="s">
        <v>42</v>
      </c>
      <c r="R425"/>
    </row>
    <row r="426" spans="1:18" x14ac:dyDescent="0.25">
      <c r="A426" s="84" t="str">
        <f t="shared" si="19"/>
        <v>OutubroSEMANA 2Laranja Pera</v>
      </c>
      <c r="B426" s="85" t="s">
        <v>37</v>
      </c>
      <c r="C426" s="85" t="s">
        <v>21</v>
      </c>
      <c r="D426" s="86">
        <v>9</v>
      </c>
      <c r="E426" s="116" t="str">
        <f t="shared" si="20"/>
        <v>Hortifruti</v>
      </c>
      <c r="F426" s="85" t="s">
        <v>1055</v>
      </c>
      <c r="G426" s="85" t="s">
        <v>457</v>
      </c>
      <c r="H426" s="85" t="s">
        <v>1039</v>
      </c>
      <c r="I426" s="85">
        <v>21.02</v>
      </c>
      <c r="J426" s="87">
        <f>27/21.02</f>
        <v>1.2844909609895339</v>
      </c>
      <c r="K426" s="88">
        <f t="shared" si="21"/>
        <v>27</v>
      </c>
      <c r="L426" s="85">
        <v>4254</v>
      </c>
      <c r="M426" s="118" t="s">
        <v>404</v>
      </c>
      <c r="N426" s="84"/>
      <c r="O426" s="84" t="s">
        <v>60</v>
      </c>
      <c r="R426"/>
    </row>
    <row r="427" spans="1:18" x14ac:dyDescent="0.25">
      <c r="A427" s="84" t="str">
        <f t="shared" si="19"/>
        <v>OutubroSEMANA 2Mamão Bahia</v>
      </c>
      <c r="B427" s="85" t="s">
        <v>37</v>
      </c>
      <c r="C427" s="85" t="s">
        <v>21</v>
      </c>
      <c r="D427" s="86">
        <v>9</v>
      </c>
      <c r="E427" s="116" t="str">
        <f t="shared" si="20"/>
        <v>Hortifruti</v>
      </c>
      <c r="F427" s="85" t="s">
        <v>1055</v>
      </c>
      <c r="G427" s="85" t="s">
        <v>494</v>
      </c>
      <c r="H427" s="85" t="s">
        <v>1039</v>
      </c>
      <c r="I427" s="85">
        <v>2</v>
      </c>
      <c r="J427" s="87">
        <v>3.26</v>
      </c>
      <c r="K427" s="88">
        <f t="shared" si="21"/>
        <v>6.52</v>
      </c>
      <c r="L427" s="85">
        <v>4254</v>
      </c>
      <c r="M427" s="118" t="s">
        <v>405</v>
      </c>
      <c r="N427" s="84"/>
      <c r="O427" s="84" t="s">
        <v>45</v>
      </c>
      <c r="R427"/>
    </row>
    <row r="428" spans="1:18" x14ac:dyDescent="0.25">
      <c r="A428" s="84" t="str">
        <f t="shared" si="19"/>
        <v>OutubroSEMANA 2Agrião</v>
      </c>
      <c r="B428" s="85" t="s">
        <v>37</v>
      </c>
      <c r="C428" s="85" t="s">
        <v>21</v>
      </c>
      <c r="D428" s="86">
        <v>9</v>
      </c>
      <c r="E428" s="116" t="str">
        <f t="shared" si="20"/>
        <v>Hortifruti</v>
      </c>
      <c r="F428" s="85" t="s">
        <v>1055</v>
      </c>
      <c r="G428" s="85" t="s">
        <v>85</v>
      </c>
      <c r="H428" s="85" t="s">
        <v>1039</v>
      </c>
      <c r="I428" s="90">
        <v>3</v>
      </c>
      <c r="J428" s="89">
        <v>3.25</v>
      </c>
      <c r="K428" s="88">
        <f t="shared" si="21"/>
        <v>9.75</v>
      </c>
      <c r="L428" s="85">
        <v>4254</v>
      </c>
      <c r="M428" s="118" t="s">
        <v>406</v>
      </c>
      <c r="N428" s="84"/>
      <c r="O428" s="84" t="s">
        <v>45</v>
      </c>
      <c r="R428"/>
    </row>
    <row r="429" spans="1:18" x14ac:dyDescent="0.25">
      <c r="A429" s="84" t="str">
        <f t="shared" si="19"/>
        <v>OutubroSEMANA 2Couve Manteiga</v>
      </c>
      <c r="B429" s="85" t="s">
        <v>37</v>
      </c>
      <c r="C429" s="85" t="s">
        <v>21</v>
      </c>
      <c r="D429" s="86">
        <v>9</v>
      </c>
      <c r="E429" s="116" t="str">
        <f t="shared" si="20"/>
        <v>Hortifruti</v>
      </c>
      <c r="F429" s="85" t="s">
        <v>1055</v>
      </c>
      <c r="G429" s="85" t="s">
        <v>307</v>
      </c>
      <c r="H429" s="85" t="s">
        <v>1039</v>
      </c>
      <c r="I429" s="85">
        <v>3</v>
      </c>
      <c r="J429" s="87">
        <v>3</v>
      </c>
      <c r="K429" s="88">
        <f t="shared" si="21"/>
        <v>9</v>
      </c>
      <c r="L429" s="85">
        <v>4254</v>
      </c>
      <c r="M429" s="118" t="s">
        <v>407</v>
      </c>
      <c r="N429" s="84"/>
      <c r="O429" s="84" t="s">
        <v>875</v>
      </c>
      <c r="R429"/>
    </row>
    <row r="430" spans="1:18" x14ac:dyDescent="0.25">
      <c r="A430" s="84" t="str">
        <f t="shared" si="19"/>
        <v>OutubroSEMANA 2Alface Americana Orgânica</v>
      </c>
      <c r="B430" s="85" t="s">
        <v>37</v>
      </c>
      <c r="C430" s="85" t="s">
        <v>21</v>
      </c>
      <c r="D430" s="86">
        <v>9</v>
      </c>
      <c r="E430" s="116" t="str">
        <f t="shared" si="20"/>
        <v>Hortifruti</v>
      </c>
      <c r="F430" s="85" t="s">
        <v>1044</v>
      </c>
      <c r="G430" s="85" t="s">
        <v>103</v>
      </c>
      <c r="H430" s="85" t="s">
        <v>1039</v>
      </c>
      <c r="I430" s="85">
        <v>10</v>
      </c>
      <c r="J430" s="87">
        <f>72.5/10</f>
        <v>7.25</v>
      </c>
      <c r="K430" s="88">
        <f t="shared" si="21"/>
        <v>72.5</v>
      </c>
      <c r="L430" s="85">
        <v>82810</v>
      </c>
      <c r="M430" s="118" t="s">
        <v>408</v>
      </c>
      <c r="O430" s="115" t="s">
        <v>875</v>
      </c>
      <c r="R430"/>
    </row>
    <row r="431" spans="1:18" x14ac:dyDescent="0.25">
      <c r="A431" s="84" t="str">
        <f t="shared" si="19"/>
        <v>OutubroSEMANA 2Alface crespa Orgânica</v>
      </c>
      <c r="B431" s="85" t="s">
        <v>37</v>
      </c>
      <c r="C431" s="85" t="s">
        <v>21</v>
      </c>
      <c r="D431" s="86">
        <v>9</v>
      </c>
      <c r="E431" s="116" t="str">
        <f t="shared" si="20"/>
        <v>Hortifruti</v>
      </c>
      <c r="F431" s="85" t="s">
        <v>1044</v>
      </c>
      <c r="G431" s="85" t="s">
        <v>105</v>
      </c>
      <c r="H431" s="85" t="s">
        <v>1039</v>
      </c>
      <c r="I431" s="85">
        <v>2.64</v>
      </c>
      <c r="J431" s="87">
        <f>25/2.64</f>
        <v>9.4696969696969688</v>
      </c>
      <c r="K431" s="88">
        <f t="shared" si="21"/>
        <v>25</v>
      </c>
      <c r="L431" s="85">
        <v>82810</v>
      </c>
      <c r="M431" s="118" t="s">
        <v>409</v>
      </c>
      <c r="N431" s="84"/>
      <c r="O431" s="84" t="s">
        <v>875</v>
      </c>
      <c r="R431"/>
    </row>
    <row r="432" spans="1:18" x14ac:dyDescent="0.25">
      <c r="A432" s="84" t="str">
        <f t="shared" si="19"/>
        <v>OutubroSEMANA 2Alface Roxa Orgânica</v>
      </c>
      <c r="B432" s="85" t="s">
        <v>37</v>
      </c>
      <c r="C432" s="85" t="s">
        <v>21</v>
      </c>
      <c r="D432" s="86">
        <v>9</v>
      </c>
      <c r="E432" s="116" t="str">
        <f t="shared" si="20"/>
        <v>Hortifruti</v>
      </c>
      <c r="F432" s="85" t="s">
        <v>1044</v>
      </c>
      <c r="G432" s="85" t="s">
        <v>109</v>
      </c>
      <c r="H432" s="85" t="s">
        <v>1039</v>
      </c>
      <c r="I432" s="85">
        <v>1.8</v>
      </c>
      <c r="J432" s="87">
        <f>15/1.8</f>
        <v>8.3333333333333339</v>
      </c>
      <c r="K432" s="88">
        <f t="shared" si="21"/>
        <v>15.000000000000002</v>
      </c>
      <c r="L432" s="85">
        <v>82810</v>
      </c>
      <c r="M432" s="118" t="s">
        <v>410</v>
      </c>
      <c r="N432" s="84"/>
      <c r="O432" s="84" t="s">
        <v>875</v>
      </c>
      <c r="R432"/>
    </row>
    <row r="433" spans="1:18" x14ac:dyDescent="0.25">
      <c r="A433" s="84" t="str">
        <f t="shared" si="19"/>
        <v>OutubroSEMANA 2Beterraba Orgânica</v>
      </c>
      <c r="B433" s="85" t="s">
        <v>37</v>
      </c>
      <c r="C433" s="85" t="s">
        <v>21</v>
      </c>
      <c r="D433" s="86">
        <v>9</v>
      </c>
      <c r="E433" s="116" t="str">
        <f t="shared" si="20"/>
        <v>Hortifruti</v>
      </c>
      <c r="F433" s="85" t="s">
        <v>1044</v>
      </c>
      <c r="G433" s="85" t="s">
        <v>182</v>
      </c>
      <c r="H433" s="85" t="s">
        <v>1039</v>
      </c>
      <c r="I433" s="85">
        <v>3.0049999999999999</v>
      </c>
      <c r="J433" s="87">
        <v>7.7</v>
      </c>
      <c r="K433" s="88">
        <f t="shared" si="21"/>
        <v>23.138500000000001</v>
      </c>
      <c r="L433" s="85">
        <v>82810</v>
      </c>
      <c r="M433" s="118" t="s">
        <v>411</v>
      </c>
      <c r="O433" s="115" t="s">
        <v>875</v>
      </c>
      <c r="R433"/>
    </row>
    <row r="434" spans="1:18" x14ac:dyDescent="0.25">
      <c r="A434" s="84" t="str">
        <f t="shared" si="19"/>
        <v>OutubroSEMANA 2Cenoura Orgânica</v>
      </c>
      <c r="B434" s="85" t="s">
        <v>37</v>
      </c>
      <c r="C434" s="85" t="s">
        <v>21</v>
      </c>
      <c r="D434" s="86">
        <v>9</v>
      </c>
      <c r="E434" s="116" t="str">
        <f t="shared" si="20"/>
        <v>Hortifruti</v>
      </c>
      <c r="F434" s="85" t="s">
        <v>1044</v>
      </c>
      <c r="G434" s="85" t="s">
        <v>252</v>
      </c>
      <c r="H434" s="85" t="s">
        <v>1039</v>
      </c>
      <c r="I434" s="85">
        <v>3.0550000000000002</v>
      </c>
      <c r="J434" s="87">
        <v>7.75</v>
      </c>
      <c r="K434" s="88">
        <f t="shared" si="21"/>
        <v>23.67625</v>
      </c>
      <c r="L434" s="85">
        <v>82810</v>
      </c>
      <c r="M434" s="118" t="s">
        <v>412</v>
      </c>
      <c r="N434" s="84"/>
      <c r="O434" s="84" t="s">
        <v>875</v>
      </c>
      <c r="R434"/>
    </row>
    <row r="435" spans="1:18" x14ac:dyDescent="0.25">
      <c r="A435" s="84" t="str">
        <f t="shared" si="19"/>
        <v>OutubroSEMANA 2Rúcula Orgânica</v>
      </c>
      <c r="B435" s="85" t="s">
        <v>37</v>
      </c>
      <c r="C435" s="85" t="s">
        <v>21</v>
      </c>
      <c r="D435" s="86">
        <v>9</v>
      </c>
      <c r="E435" s="116" t="str">
        <f t="shared" si="20"/>
        <v>Hortifruti</v>
      </c>
      <c r="F435" s="85" t="s">
        <v>1044</v>
      </c>
      <c r="G435" s="85" t="s">
        <v>707</v>
      </c>
      <c r="H435" s="85" t="s">
        <v>1039</v>
      </c>
      <c r="I435" s="85">
        <v>3</v>
      </c>
      <c r="J435" s="87">
        <f>64/3</f>
        <v>21.333333333333332</v>
      </c>
      <c r="K435" s="88">
        <f t="shared" si="21"/>
        <v>64</v>
      </c>
      <c r="L435" s="85">
        <v>82810</v>
      </c>
      <c r="M435" s="118" t="s">
        <v>413</v>
      </c>
      <c r="N435" s="84"/>
      <c r="O435" s="84" t="s">
        <v>875</v>
      </c>
      <c r="R435"/>
    </row>
    <row r="436" spans="1:18" x14ac:dyDescent="0.25">
      <c r="A436" s="84" t="str">
        <f t="shared" si="19"/>
        <v>OutubroSEMANA 2Pescados - Lula Calamares</v>
      </c>
      <c r="B436" s="85" t="s">
        <v>37</v>
      </c>
      <c r="C436" s="85" t="s">
        <v>21</v>
      </c>
      <c r="D436" s="86">
        <v>9</v>
      </c>
      <c r="E436" s="116" t="str">
        <f t="shared" si="20"/>
        <v>Carnes</v>
      </c>
      <c r="F436" s="85" t="s">
        <v>1048</v>
      </c>
      <c r="G436" s="85" t="s">
        <v>621</v>
      </c>
      <c r="H436" s="85" t="s">
        <v>1039</v>
      </c>
      <c r="I436" s="85">
        <v>20</v>
      </c>
      <c r="J436" s="87">
        <v>27</v>
      </c>
      <c r="K436" s="88">
        <f t="shared" si="21"/>
        <v>540</v>
      </c>
      <c r="L436" s="85">
        <v>281586</v>
      </c>
      <c r="M436" s="118" t="s">
        <v>414</v>
      </c>
      <c r="N436" s="84"/>
      <c r="O436" s="84" t="s">
        <v>875</v>
      </c>
      <c r="R436"/>
    </row>
    <row r="437" spans="1:18" x14ac:dyDescent="0.25">
      <c r="A437" s="84" t="str">
        <f t="shared" si="19"/>
        <v>OutubroSEMANA 2Pescados - Filé Linguado Cong. G</v>
      </c>
      <c r="B437" s="85" t="s">
        <v>37</v>
      </c>
      <c r="C437" s="85" t="s">
        <v>21</v>
      </c>
      <c r="D437" s="86">
        <v>9</v>
      </c>
      <c r="E437" s="116" t="str">
        <f t="shared" si="20"/>
        <v>Carnes</v>
      </c>
      <c r="F437" s="85" t="s">
        <v>1048</v>
      </c>
      <c r="G437" s="85" t="s">
        <v>607</v>
      </c>
      <c r="H437" s="85" t="s">
        <v>1039</v>
      </c>
      <c r="I437" s="85">
        <v>20</v>
      </c>
      <c r="J437" s="87">
        <v>42</v>
      </c>
      <c r="K437" s="88">
        <f t="shared" si="21"/>
        <v>840</v>
      </c>
      <c r="L437" s="85">
        <v>281586</v>
      </c>
      <c r="M437" s="118" t="s">
        <v>415</v>
      </c>
      <c r="N437" s="84"/>
      <c r="O437" s="84" t="s">
        <v>875</v>
      </c>
      <c r="R437"/>
    </row>
    <row r="438" spans="1:18" x14ac:dyDescent="0.25">
      <c r="A438" s="84" t="str">
        <f t="shared" si="19"/>
        <v>OutubroSEMANA 2Batata Palito 9M</v>
      </c>
      <c r="B438" s="85" t="s">
        <v>37</v>
      </c>
      <c r="C438" s="85" t="s">
        <v>21</v>
      </c>
      <c r="D438" s="86">
        <v>9</v>
      </c>
      <c r="E438" s="116" t="str">
        <f t="shared" si="20"/>
        <v>Mercado</v>
      </c>
      <c r="F438" s="85" t="s">
        <v>1107</v>
      </c>
      <c r="G438" s="85" t="s">
        <v>175</v>
      </c>
      <c r="H438" s="90" t="s">
        <v>1039</v>
      </c>
      <c r="I438" s="85">
        <v>30</v>
      </c>
      <c r="J438" s="87">
        <v>6.0204000000000004</v>
      </c>
      <c r="K438" s="88">
        <f t="shared" si="21"/>
        <v>180.61200000000002</v>
      </c>
      <c r="L438" s="85" t="s">
        <v>1136</v>
      </c>
      <c r="M438" s="118" t="s">
        <v>416</v>
      </c>
      <c r="N438" s="84"/>
      <c r="O438" s="84" t="s">
        <v>875</v>
      </c>
      <c r="R438"/>
    </row>
    <row r="439" spans="1:18" x14ac:dyDescent="0.25">
      <c r="A439" s="84" t="str">
        <f t="shared" si="19"/>
        <v>OutubroSEMANA 2Carne Bovina - Picanha Grill/Churrascaria</v>
      </c>
      <c r="B439" s="85" t="s">
        <v>37</v>
      </c>
      <c r="C439" s="85" t="s">
        <v>21</v>
      </c>
      <c r="D439" s="86">
        <v>9</v>
      </c>
      <c r="E439" s="116" t="str">
        <f t="shared" si="20"/>
        <v>Carnes</v>
      </c>
      <c r="F439" s="85" t="s">
        <v>1116</v>
      </c>
      <c r="G439" s="85" t="s">
        <v>233</v>
      </c>
      <c r="H439" s="90" t="s">
        <v>1039</v>
      </c>
      <c r="I439" s="85">
        <v>20.86</v>
      </c>
      <c r="J439" s="87">
        <v>36</v>
      </c>
      <c r="K439" s="88">
        <f t="shared" si="21"/>
        <v>750.96</v>
      </c>
      <c r="L439" s="85" t="s">
        <v>1137</v>
      </c>
      <c r="M439" s="118" t="s">
        <v>417</v>
      </c>
      <c r="N439" s="84"/>
      <c r="O439" s="84" t="s">
        <v>875</v>
      </c>
      <c r="R439"/>
    </row>
    <row r="440" spans="1:18" x14ac:dyDescent="0.25">
      <c r="A440" s="84" t="str">
        <f t="shared" si="19"/>
        <v>OutubroSEMANA 2Carne Bovina - Filé Mignon 3/4</v>
      </c>
      <c r="B440" s="85" t="s">
        <v>37</v>
      </c>
      <c r="C440" s="85" t="s">
        <v>21</v>
      </c>
      <c r="D440" s="86">
        <v>9</v>
      </c>
      <c r="E440" s="116" t="str">
        <f t="shared" si="20"/>
        <v>Carnes</v>
      </c>
      <c r="F440" s="85" t="s">
        <v>1116</v>
      </c>
      <c r="G440" s="85" t="s">
        <v>223</v>
      </c>
      <c r="H440" s="90" t="s">
        <v>1039</v>
      </c>
      <c r="I440" s="85">
        <v>22.6</v>
      </c>
      <c r="J440" s="87">
        <v>32</v>
      </c>
      <c r="K440" s="88">
        <f t="shared" si="21"/>
        <v>723.2</v>
      </c>
      <c r="L440" s="85" t="s">
        <v>1137</v>
      </c>
      <c r="M440" s="118" t="s">
        <v>1023</v>
      </c>
      <c r="O440" s="84" t="s">
        <v>875</v>
      </c>
      <c r="R440"/>
    </row>
    <row r="441" spans="1:18" x14ac:dyDescent="0.25">
      <c r="A441" s="84" t="str">
        <f t="shared" si="19"/>
        <v>OutubroSEMANA 2Aves - Galeto</v>
      </c>
      <c r="B441" s="85" t="s">
        <v>37</v>
      </c>
      <c r="C441" s="85" t="s">
        <v>21</v>
      </c>
      <c r="D441" s="86">
        <v>9</v>
      </c>
      <c r="E441" s="116" t="str">
        <f t="shared" si="20"/>
        <v>Carnes</v>
      </c>
      <c r="F441" s="85" t="s">
        <v>1051</v>
      </c>
      <c r="G441" s="85" t="s">
        <v>143</v>
      </c>
      <c r="H441" s="90" t="s">
        <v>1039</v>
      </c>
      <c r="I441" s="85">
        <v>25.2</v>
      </c>
      <c r="J441" s="87">
        <v>8.4</v>
      </c>
      <c r="K441" s="88">
        <f t="shared" si="21"/>
        <v>211.68</v>
      </c>
      <c r="L441" s="85" t="s">
        <v>1138</v>
      </c>
      <c r="M441" s="118" t="s">
        <v>418</v>
      </c>
      <c r="N441" s="84"/>
      <c r="O441" s="84" t="s">
        <v>875</v>
      </c>
      <c r="R441"/>
    </row>
    <row r="442" spans="1:18" x14ac:dyDescent="0.25">
      <c r="A442" s="84" t="str">
        <f t="shared" si="19"/>
        <v>OutubroSEMANA 2Aves - Filé de Peito de Frango</v>
      </c>
      <c r="B442" s="85" t="s">
        <v>37</v>
      </c>
      <c r="C442" s="85" t="s">
        <v>21</v>
      </c>
      <c r="D442" s="86">
        <v>9</v>
      </c>
      <c r="E442" s="116" t="str">
        <f t="shared" si="20"/>
        <v>Carnes</v>
      </c>
      <c r="F442" s="85" t="s">
        <v>1051</v>
      </c>
      <c r="G442" s="85" t="s">
        <v>139</v>
      </c>
      <c r="H442" s="90" t="s">
        <v>1039</v>
      </c>
      <c r="I442" s="85">
        <v>48</v>
      </c>
      <c r="J442" s="87">
        <v>7.8</v>
      </c>
      <c r="K442" s="88">
        <f t="shared" si="21"/>
        <v>374.4</v>
      </c>
      <c r="L442" s="85" t="s">
        <v>1138</v>
      </c>
      <c r="M442" s="118" t="s">
        <v>419</v>
      </c>
      <c r="N442" s="84"/>
      <c r="O442" s="84" t="s">
        <v>875</v>
      </c>
      <c r="R442"/>
    </row>
    <row r="443" spans="1:18" x14ac:dyDescent="0.25">
      <c r="A443" s="84" t="str">
        <f t="shared" si="19"/>
        <v>OutubroSEMANA 2Aves - Filé de Coxa</v>
      </c>
      <c r="B443" s="85" t="s">
        <v>37</v>
      </c>
      <c r="C443" s="85" t="s">
        <v>21</v>
      </c>
      <c r="D443" s="86">
        <v>9</v>
      </c>
      <c r="E443" s="116" t="str">
        <f t="shared" si="20"/>
        <v>Carnes</v>
      </c>
      <c r="F443" s="85" t="s">
        <v>1051</v>
      </c>
      <c r="G443" s="85" t="s">
        <v>137</v>
      </c>
      <c r="H443" s="90" t="s">
        <v>1039</v>
      </c>
      <c r="I443" s="85">
        <f>24*0.7</f>
        <v>16.799999999999997</v>
      </c>
      <c r="J443" s="87">
        <f>146.16/16.8</f>
        <v>8.6999999999999993</v>
      </c>
      <c r="K443" s="88">
        <f t="shared" si="21"/>
        <v>146.15999999999997</v>
      </c>
      <c r="L443" s="85" t="s">
        <v>1138</v>
      </c>
      <c r="M443" s="118" t="s">
        <v>420</v>
      </c>
      <c r="N443" s="84"/>
      <c r="O443" s="84" t="s">
        <v>875</v>
      </c>
      <c r="R443"/>
    </row>
    <row r="444" spans="1:18" x14ac:dyDescent="0.25">
      <c r="A444" s="84" t="str">
        <f t="shared" si="19"/>
        <v>OutubroSEMANA 2Etiqueta Pimaco</v>
      </c>
      <c r="B444" s="85" t="s">
        <v>37</v>
      </c>
      <c r="C444" s="85" t="s">
        <v>21</v>
      </c>
      <c r="D444" s="86">
        <v>9</v>
      </c>
      <c r="E444" s="116" t="str">
        <f t="shared" si="20"/>
        <v>Escritório</v>
      </c>
      <c r="F444" s="85" t="s">
        <v>1141</v>
      </c>
      <c r="G444" s="85" t="s">
        <v>338</v>
      </c>
      <c r="H444" s="90" t="s">
        <v>1139</v>
      </c>
      <c r="I444" s="85">
        <v>1</v>
      </c>
      <c r="J444" s="87">
        <v>55.54</v>
      </c>
      <c r="K444" s="88">
        <f t="shared" si="21"/>
        <v>55.54</v>
      </c>
      <c r="L444" s="85">
        <v>960708</v>
      </c>
      <c r="M444" s="118" t="s">
        <v>421</v>
      </c>
      <c r="N444" s="84"/>
      <c r="O444" s="84" t="s">
        <v>875</v>
      </c>
      <c r="R444"/>
    </row>
    <row r="445" spans="1:18" x14ac:dyDescent="0.25">
      <c r="A445" s="84" t="str">
        <f t="shared" si="19"/>
        <v>OutubroSEMANA 2Papel Chamex A4 Office</v>
      </c>
      <c r="B445" s="85" t="s">
        <v>37</v>
      </c>
      <c r="C445" s="85" t="s">
        <v>21</v>
      </c>
      <c r="D445" s="86">
        <v>9</v>
      </c>
      <c r="E445" s="116" t="str">
        <f t="shared" si="20"/>
        <v>Escritório</v>
      </c>
      <c r="F445" s="85" t="s">
        <v>1141</v>
      </c>
      <c r="G445" s="85" t="s">
        <v>568</v>
      </c>
      <c r="H445" s="90" t="s">
        <v>1037</v>
      </c>
      <c r="I445" s="85">
        <v>10</v>
      </c>
      <c r="J445" s="87">
        <v>17.5</v>
      </c>
      <c r="K445" s="88">
        <f t="shared" si="21"/>
        <v>175</v>
      </c>
      <c r="L445" s="85">
        <v>960708</v>
      </c>
      <c r="M445" s="118" t="s">
        <v>422</v>
      </c>
      <c r="N445" s="84"/>
      <c r="O445" s="84" t="s">
        <v>875</v>
      </c>
      <c r="R445"/>
    </row>
    <row r="446" spans="1:18" x14ac:dyDescent="0.25">
      <c r="A446" s="84" t="str">
        <f t="shared" si="19"/>
        <v>OutubroSEMANA 2Esponja Dupla Face</v>
      </c>
      <c r="B446" s="85" t="s">
        <v>37</v>
      </c>
      <c r="C446" s="85" t="s">
        <v>21</v>
      </c>
      <c r="D446" s="86">
        <v>9</v>
      </c>
      <c r="E446" s="116" t="str">
        <f t="shared" si="20"/>
        <v>Limpeza</v>
      </c>
      <c r="F446" s="85" t="s">
        <v>1141</v>
      </c>
      <c r="G446" s="85" t="s">
        <v>335</v>
      </c>
      <c r="H446" s="90" t="s">
        <v>1038</v>
      </c>
      <c r="I446" s="85">
        <v>10</v>
      </c>
      <c r="J446" s="87">
        <f>4.27/10</f>
        <v>0.42699999999999994</v>
      </c>
      <c r="K446" s="88">
        <f t="shared" si="21"/>
        <v>4.2699999999999996</v>
      </c>
      <c r="L446" s="85" t="s">
        <v>1140</v>
      </c>
      <c r="M446" s="118" t="s">
        <v>423</v>
      </c>
      <c r="N446" s="84"/>
      <c r="O446" s="84" t="s">
        <v>875</v>
      </c>
      <c r="R446"/>
    </row>
    <row r="447" spans="1:18" x14ac:dyDescent="0.25">
      <c r="A447" s="84" t="str">
        <f t="shared" si="19"/>
        <v>OutubroSEMANA 2Grampo 26/6</v>
      </c>
      <c r="B447" s="85" t="s">
        <v>37</v>
      </c>
      <c r="C447" s="85" t="s">
        <v>21</v>
      </c>
      <c r="D447" s="86">
        <v>9</v>
      </c>
      <c r="E447" s="116" t="str">
        <f t="shared" si="20"/>
        <v>Escritório</v>
      </c>
      <c r="F447" s="85" t="s">
        <v>1141</v>
      </c>
      <c r="G447" s="85" t="s">
        <v>395</v>
      </c>
      <c r="H447" s="90" t="s">
        <v>1139</v>
      </c>
      <c r="I447" s="85">
        <v>1</v>
      </c>
      <c r="J447" s="87">
        <v>4.51</v>
      </c>
      <c r="K447" s="88">
        <f t="shared" si="21"/>
        <v>4.51</v>
      </c>
      <c r="L447" s="85">
        <v>960708</v>
      </c>
      <c r="M447" s="118" t="s">
        <v>949</v>
      </c>
      <c r="N447" s="84"/>
      <c r="O447" s="84" t="s">
        <v>875</v>
      </c>
      <c r="R447"/>
    </row>
    <row r="448" spans="1:18" x14ac:dyDescent="0.25">
      <c r="A448" s="84" t="str">
        <f t="shared" si="19"/>
        <v>OutubroSEMANA 2Fita Durex 12x30</v>
      </c>
      <c r="B448" s="85" t="s">
        <v>37</v>
      </c>
      <c r="C448" s="85" t="s">
        <v>21</v>
      </c>
      <c r="D448" s="86">
        <v>9</v>
      </c>
      <c r="E448" s="116" t="str">
        <f t="shared" si="20"/>
        <v>Escritório</v>
      </c>
      <c r="F448" s="85" t="s">
        <v>1141</v>
      </c>
      <c r="G448" s="85" t="s">
        <v>362</v>
      </c>
      <c r="H448" s="90" t="s">
        <v>1038</v>
      </c>
      <c r="I448" s="85">
        <v>5</v>
      </c>
      <c r="J448" s="87">
        <v>0.66</v>
      </c>
      <c r="K448" s="88">
        <f t="shared" si="21"/>
        <v>3.3000000000000003</v>
      </c>
      <c r="L448" s="85">
        <v>960708</v>
      </c>
      <c r="M448" s="118" t="s">
        <v>424</v>
      </c>
      <c r="N448" s="84"/>
      <c r="O448" s="84" t="s">
        <v>875</v>
      </c>
      <c r="R448"/>
    </row>
    <row r="449" spans="1:18" x14ac:dyDescent="0.25">
      <c r="A449" s="84" t="str">
        <f t="shared" si="19"/>
        <v>OutubroSEMANA 2Lápis</v>
      </c>
      <c r="B449" s="85" t="s">
        <v>37</v>
      </c>
      <c r="C449" s="85" t="s">
        <v>21</v>
      </c>
      <c r="D449" s="86">
        <v>9</v>
      </c>
      <c r="E449" s="116" t="str">
        <f t="shared" si="20"/>
        <v>Escritório</v>
      </c>
      <c r="F449" s="85" t="s">
        <v>1141</v>
      </c>
      <c r="G449" s="85" t="s">
        <v>456</v>
      </c>
      <c r="H449" s="90" t="s">
        <v>1038</v>
      </c>
      <c r="I449" s="85">
        <v>12</v>
      </c>
      <c r="J449" s="87">
        <v>0.67</v>
      </c>
      <c r="K449" s="88">
        <f t="shared" si="21"/>
        <v>8.0400000000000009</v>
      </c>
      <c r="L449" s="85">
        <v>960708</v>
      </c>
      <c r="M449" s="118" t="s">
        <v>425</v>
      </c>
      <c r="N449" s="84"/>
      <c r="O449" s="84" t="s">
        <v>875</v>
      </c>
      <c r="R449"/>
    </row>
    <row r="450" spans="1:18" x14ac:dyDescent="0.25">
      <c r="A450" s="84" t="str">
        <f t="shared" ref="A450:A513" si="22">CONCATENATE(B450,C450,G450)</f>
        <v>OutubroSEMANA 2Cartão Ponto Mensal</v>
      </c>
      <c r="B450" s="85" t="s">
        <v>37</v>
      </c>
      <c r="C450" s="85" t="s">
        <v>21</v>
      </c>
      <c r="D450" s="86">
        <v>9</v>
      </c>
      <c r="E450" s="116" t="str">
        <f t="shared" ref="E450:E513" si="23">VLOOKUP(G450,$M$1:$O$968,3,0)</f>
        <v>Escritório</v>
      </c>
      <c r="F450" s="85" t="s">
        <v>1141</v>
      </c>
      <c r="G450" s="85" t="s">
        <v>235</v>
      </c>
      <c r="H450" s="90" t="s">
        <v>1037</v>
      </c>
      <c r="I450" s="85">
        <v>2</v>
      </c>
      <c r="J450" s="87">
        <v>11.5</v>
      </c>
      <c r="K450" s="88">
        <f t="shared" ref="K450:K513" si="24">I450*J450</f>
        <v>23</v>
      </c>
      <c r="L450" s="85">
        <v>960708</v>
      </c>
      <c r="M450" s="118" t="s">
        <v>950</v>
      </c>
      <c r="N450" s="84"/>
      <c r="O450" s="84" t="s">
        <v>875</v>
      </c>
      <c r="R450"/>
    </row>
    <row r="451" spans="1:18" x14ac:dyDescent="0.25">
      <c r="A451" s="84" t="str">
        <f t="shared" si="22"/>
        <v>OutubroSEMANA 2Toner HP Preto</v>
      </c>
      <c r="B451" s="85" t="s">
        <v>37</v>
      </c>
      <c r="C451" s="85" t="s">
        <v>21</v>
      </c>
      <c r="D451" s="86">
        <v>9</v>
      </c>
      <c r="E451" s="116" t="str">
        <f t="shared" si="23"/>
        <v>Escritório</v>
      </c>
      <c r="F451" s="85" t="s">
        <v>1141</v>
      </c>
      <c r="G451" s="85" t="s">
        <v>802</v>
      </c>
      <c r="H451" s="90" t="s">
        <v>1038</v>
      </c>
      <c r="I451" s="85">
        <v>2</v>
      </c>
      <c r="J451" s="87">
        <v>392.87</v>
      </c>
      <c r="K451" s="88">
        <f t="shared" si="24"/>
        <v>785.74</v>
      </c>
      <c r="L451" s="85">
        <v>960708</v>
      </c>
      <c r="M451" s="118" t="s">
        <v>426</v>
      </c>
      <c r="N451" s="84"/>
      <c r="O451" s="84" t="s">
        <v>875</v>
      </c>
      <c r="R451"/>
    </row>
    <row r="452" spans="1:18" x14ac:dyDescent="0.25">
      <c r="A452" s="84" t="str">
        <f t="shared" si="22"/>
        <v>OutubroSEMANA 2Bloco Mov. Caixa Saída/ Entrada</v>
      </c>
      <c r="B452" s="85" t="s">
        <v>37</v>
      </c>
      <c r="C452" s="85" t="s">
        <v>21</v>
      </c>
      <c r="D452" s="86">
        <v>9</v>
      </c>
      <c r="E452" s="116" t="str">
        <f t="shared" si="23"/>
        <v>Escritório</v>
      </c>
      <c r="F452" s="85" t="s">
        <v>1141</v>
      </c>
      <c r="G452" s="85" t="s">
        <v>185</v>
      </c>
      <c r="H452" s="90" t="s">
        <v>1038</v>
      </c>
      <c r="I452" s="85">
        <v>3</v>
      </c>
      <c r="J452" s="87">
        <v>1.21</v>
      </c>
      <c r="K452" s="88">
        <f t="shared" si="24"/>
        <v>3.63</v>
      </c>
      <c r="L452" s="85">
        <v>960708</v>
      </c>
      <c r="M452" s="118" t="s">
        <v>1020</v>
      </c>
      <c r="O452" s="84" t="s">
        <v>875</v>
      </c>
      <c r="R452"/>
    </row>
    <row r="453" spans="1:18" x14ac:dyDescent="0.25">
      <c r="A453" s="84" t="str">
        <f t="shared" si="22"/>
        <v>OutubroSEMANA 2Bloco Mov. Caixa Saída/ Entrada</v>
      </c>
      <c r="B453" s="85" t="s">
        <v>37</v>
      </c>
      <c r="C453" s="85" t="s">
        <v>21</v>
      </c>
      <c r="D453" s="86">
        <v>9</v>
      </c>
      <c r="E453" s="116" t="str">
        <f t="shared" si="23"/>
        <v>Escritório</v>
      </c>
      <c r="F453" s="85" t="s">
        <v>1141</v>
      </c>
      <c r="G453" s="85" t="s">
        <v>185</v>
      </c>
      <c r="H453" s="90" t="s">
        <v>1038</v>
      </c>
      <c r="I453" s="85">
        <v>6</v>
      </c>
      <c r="J453" s="87">
        <v>1.21</v>
      </c>
      <c r="K453" s="88">
        <f t="shared" si="24"/>
        <v>7.26</v>
      </c>
      <c r="L453" s="85">
        <v>960708</v>
      </c>
      <c r="M453" s="118" t="s">
        <v>906</v>
      </c>
      <c r="N453" s="84"/>
      <c r="O453" s="84" t="s">
        <v>875</v>
      </c>
      <c r="R453"/>
    </row>
    <row r="454" spans="1:18" x14ac:dyDescent="0.25">
      <c r="A454" s="84" t="str">
        <f t="shared" si="22"/>
        <v>OutubroSEMANA 2Gelo em Escamas</v>
      </c>
      <c r="B454" s="85" t="s">
        <v>37</v>
      </c>
      <c r="C454" s="85" t="s">
        <v>21</v>
      </c>
      <c r="D454" s="86">
        <v>10</v>
      </c>
      <c r="E454" s="116" t="str">
        <f t="shared" si="23"/>
        <v>Mercado</v>
      </c>
      <c r="F454" s="85" t="s">
        <v>1040</v>
      </c>
      <c r="G454" s="85" t="s">
        <v>384</v>
      </c>
      <c r="H454" s="90" t="s">
        <v>1041</v>
      </c>
      <c r="I454" s="85">
        <v>2</v>
      </c>
      <c r="J454" s="87">
        <v>7.5</v>
      </c>
      <c r="K454" s="88">
        <f t="shared" si="24"/>
        <v>15</v>
      </c>
      <c r="L454" s="85">
        <v>10269</v>
      </c>
      <c r="M454" s="118" t="s">
        <v>907</v>
      </c>
      <c r="N454" s="84"/>
      <c r="O454" s="84" t="s">
        <v>875</v>
      </c>
      <c r="R454"/>
    </row>
    <row r="455" spans="1:18" x14ac:dyDescent="0.25">
      <c r="A455" s="84" t="str">
        <f t="shared" si="22"/>
        <v>OutubroSEMANA 2Gelo em Cubo</v>
      </c>
      <c r="B455" s="85" t="s">
        <v>37</v>
      </c>
      <c r="C455" s="85" t="s">
        <v>21</v>
      </c>
      <c r="D455" s="86">
        <v>10</v>
      </c>
      <c r="E455" s="116" t="str">
        <f t="shared" si="23"/>
        <v>Mercado</v>
      </c>
      <c r="F455" s="85" t="s">
        <v>1040</v>
      </c>
      <c r="G455" s="85" t="s">
        <v>383</v>
      </c>
      <c r="H455" s="90" t="s">
        <v>1041</v>
      </c>
      <c r="I455" s="85">
        <v>2</v>
      </c>
      <c r="J455" s="87">
        <v>7.5</v>
      </c>
      <c r="K455" s="88">
        <f t="shared" si="24"/>
        <v>15</v>
      </c>
      <c r="L455" s="85">
        <v>10269</v>
      </c>
      <c r="M455" s="118" t="s">
        <v>908</v>
      </c>
      <c r="N455" s="84"/>
      <c r="O455" s="84" t="s">
        <v>875</v>
      </c>
      <c r="R455"/>
    </row>
    <row r="456" spans="1:18" x14ac:dyDescent="0.25">
      <c r="A456" s="84" t="str">
        <f t="shared" si="22"/>
        <v>OutubroSEMANA 2Mate Orgânico Limão</v>
      </c>
      <c r="B456" s="85" t="s">
        <v>37</v>
      </c>
      <c r="C456" s="85" t="s">
        <v>21</v>
      </c>
      <c r="D456" s="86">
        <v>10</v>
      </c>
      <c r="E456" s="116" t="str">
        <f t="shared" si="23"/>
        <v>Bebidas</v>
      </c>
      <c r="F456" s="85" t="s">
        <v>1142</v>
      </c>
      <c r="G456" s="85" t="s">
        <v>511</v>
      </c>
      <c r="H456" s="90" t="s">
        <v>1038</v>
      </c>
      <c r="I456" s="85">
        <v>300</v>
      </c>
      <c r="J456" s="87">
        <v>4.7608100000000002</v>
      </c>
      <c r="K456" s="88">
        <f t="shared" si="24"/>
        <v>1428.2430000000002</v>
      </c>
      <c r="L456" s="85" t="s">
        <v>1143</v>
      </c>
      <c r="M456" s="118" t="s">
        <v>909</v>
      </c>
      <c r="N456" s="84"/>
      <c r="O456" s="84" t="s">
        <v>875</v>
      </c>
      <c r="R456"/>
    </row>
    <row r="457" spans="1:18" x14ac:dyDescent="0.25">
      <c r="A457" s="84" t="str">
        <f t="shared" si="22"/>
        <v>OutubroSEMANA 2Mate Orgânico Natural</v>
      </c>
      <c r="B457" s="85" t="s">
        <v>37</v>
      </c>
      <c r="C457" s="85" t="s">
        <v>21</v>
      </c>
      <c r="D457" s="86">
        <v>10</v>
      </c>
      <c r="E457" s="116" t="str">
        <f t="shared" si="23"/>
        <v>Bebidas</v>
      </c>
      <c r="F457" s="85" t="s">
        <v>1142</v>
      </c>
      <c r="G457" s="85" t="s">
        <v>512</v>
      </c>
      <c r="H457" s="90" t="s">
        <v>1038</v>
      </c>
      <c r="I457" s="85">
        <v>240</v>
      </c>
      <c r="J457" s="87">
        <v>4.7608100000000002</v>
      </c>
      <c r="K457" s="88">
        <f t="shared" si="24"/>
        <v>1142.5944</v>
      </c>
      <c r="L457" s="85" t="s">
        <v>1143</v>
      </c>
      <c r="M457" s="118" t="s">
        <v>910</v>
      </c>
      <c r="N457" s="84"/>
      <c r="O457" s="84" t="s">
        <v>875</v>
      </c>
      <c r="R457"/>
    </row>
    <row r="458" spans="1:18" x14ac:dyDescent="0.25">
      <c r="A458" s="84" t="str">
        <f t="shared" si="22"/>
        <v>OutubroSEMANA 2Pescados - Filé Tilápia Cong.</v>
      </c>
      <c r="B458" s="85" t="s">
        <v>37</v>
      </c>
      <c r="C458" s="85" t="s">
        <v>21</v>
      </c>
      <c r="D458" s="86">
        <v>10</v>
      </c>
      <c r="E458" s="116" t="str">
        <f t="shared" si="23"/>
        <v>Carnes</v>
      </c>
      <c r="F458" s="85" t="s">
        <v>1062</v>
      </c>
      <c r="G458" s="85" t="s">
        <v>614</v>
      </c>
      <c r="H458" s="90" t="s">
        <v>1039</v>
      </c>
      <c r="I458" s="85">
        <v>48</v>
      </c>
      <c r="J458" s="87">
        <v>26.3</v>
      </c>
      <c r="K458" s="88">
        <f t="shared" si="24"/>
        <v>1262.4000000000001</v>
      </c>
      <c r="L458" s="85" t="s">
        <v>1144</v>
      </c>
      <c r="M458" s="118" t="s">
        <v>911</v>
      </c>
      <c r="N458" s="84"/>
      <c r="O458" s="84" t="s">
        <v>875</v>
      </c>
      <c r="R458"/>
    </row>
    <row r="459" spans="1:18" x14ac:dyDescent="0.25">
      <c r="A459" s="84" t="str">
        <f t="shared" si="22"/>
        <v>OutubroSEMANA 2Pescados - Camarão IQF Evisc. 51/60</v>
      </c>
      <c r="B459" s="85" t="s">
        <v>37</v>
      </c>
      <c r="C459" s="85" t="s">
        <v>21</v>
      </c>
      <c r="D459" s="86">
        <v>10</v>
      </c>
      <c r="E459" s="116" t="str">
        <f t="shared" si="23"/>
        <v>Carnes</v>
      </c>
      <c r="F459" s="85" t="s">
        <v>1048</v>
      </c>
      <c r="G459" s="85" t="s">
        <v>594</v>
      </c>
      <c r="H459" s="90" t="s">
        <v>1039</v>
      </c>
      <c r="I459" s="85">
        <v>14</v>
      </c>
      <c r="J459" s="87">
        <v>45</v>
      </c>
      <c r="K459" s="88">
        <f t="shared" si="24"/>
        <v>630</v>
      </c>
      <c r="L459" s="85">
        <v>281740</v>
      </c>
      <c r="M459" s="118" t="s">
        <v>912</v>
      </c>
      <c r="N459" s="84"/>
      <c r="O459" s="84" t="s">
        <v>875</v>
      </c>
      <c r="R459"/>
    </row>
    <row r="460" spans="1:18" x14ac:dyDescent="0.25">
      <c r="A460" s="84" t="str">
        <f t="shared" si="22"/>
        <v>OutubroSEMANA 2Pescados - Filé Linguado Cong. G</v>
      </c>
      <c r="B460" s="85" t="s">
        <v>37</v>
      </c>
      <c r="C460" s="85" t="s">
        <v>21</v>
      </c>
      <c r="D460" s="86">
        <v>10</v>
      </c>
      <c r="E460" s="116" t="str">
        <f t="shared" si="23"/>
        <v>Carnes</v>
      </c>
      <c r="F460" s="85" t="s">
        <v>1048</v>
      </c>
      <c r="G460" s="85" t="s">
        <v>607</v>
      </c>
      <c r="H460" s="90" t="s">
        <v>1039</v>
      </c>
      <c r="I460" s="85">
        <v>10</v>
      </c>
      <c r="J460" s="87">
        <v>42</v>
      </c>
      <c r="K460" s="88">
        <f t="shared" si="24"/>
        <v>420</v>
      </c>
      <c r="L460" s="85">
        <v>281740</v>
      </c>
      <c r="M460" s="118" t="s">
        <v>913</v>
      </c>
      <c r="O460" s="115" t="s">
        <v>875</v>
      </c>
      <c r="R460"/>
    </row>
    <row r="461" spans="1:18" x14ac:dyDescent="0.25">
      <c r="A461" s="84" t="str">
        <f t="shared" si="22"/>
        <v>OutubroSEMANA 2Abobora</v>
      </c>
      <c r="B461" s="85" t="s">
        <v>37</v>
      </c>
      <c r="C461" s="85" t="s">
        <v>21</v>
      </c>
      <c r="D461" s="86">
        <v>10</v>
      </c>
      <c r="E461" s="116" t="str">
        <f t="shared" si="23"/>
        <v>Hortifruti</v>
      </c>
      <c r="F461" s="85" t="s">
        <v>1055</v>
      </c>
      <c r="G461" s="85" t="s">
        <v>68</v>
      </c>
      <c r="H461" s="90" t="s">
        <v>1039</v>
      </c>
      <c r="I461" s="85">
        <v>6</v>
      </c>
      <c r="J461" s="87">
        <v>2.2000000000000002</v>
      </c>
      <c r="K461" s="88">
        <f t="shared" si="24"/>
        <v>13.200000000000001</v>
      </c>
      <c r="L461" s="85">
        <v>4375</v>
      </c>
      <c r="M461" s="118" t="s">
        <v>427</v>
      </c>
      <c r="N461" s="84"/>
      <c r="O461" s="84" t="s">
        <v>875</v>
      </c>
      <c r="R461"/>
    </row>
    <row r="462" spans="1:18" x14ac:dyDescent="0.25">
      <c r="A462" s="84" t="str">
        <f t="shared" si="22"/>
        <v>OutubroSEMANA 2Batata Baroa</v>
      </c>
      <c r="B462" s="85" t="s">
        <v>37</v>
      </c>
      <c r="C462" s="85" t="s">
        <v>21</v>
      </c>
      <c r="D462" s="86">
        <v>10</v>
      </c>
      <c r="E462" s="116" t="str">
        <f t="shared" si="23"/>
        <v>Hortifruti</v>
      </c>
      <c r="F462" s="85" t="s">
        <v>1055</v>
      </c>
      <c r="G462" s="85" t="s">
        <v>169</v>
      </c>
      <c r="H462" s="90" t="s">
        <v>1039</v>
      </c>
      <c r="I462" s="85">
        <v>2</v>
      </c>
      <c r="J462" s="87">
        <v>4.4000000000000004</v>
      </c>
      <c r="K462" s="88">
        <f t="shared" si="24"/>
        <v>8.8000000000000007</v>
      </c>
      <c r="L462" s="85">
        <v>4375</v>
      </c>
      <c r="M462" s="118" t="s">
        <v>428</v>
      </c>
      <c r="N462" s="84"/>
      <c r="O462" s="84" t="s">
        <v>875</v>
      </c>
      <c r="R462"/>
    </row>
    <row r="463" spans="1:18" x14ac:dyDescent="0.25">
      <c r="A463" s="84" t="str">
        <f t="shared" si="22"/>
        <v>OutubroSEMANA 2Berinjela</v>
      </c>
      <c r="B463" s="85" t="s">
        <v>37</v>
      </c>
      <c r="C463" s="85" t="s">
        <v>21</v>
      </c>
      <c r="D463" s="86">
        <v>10</v>
      </c>
      <c r="E463" s="116" t="str">
        <f t="shared" si="23"/>
        <v>Hortifruti</v>
      </c>
      <c r="F463" s="85" t="s">
        <v>1055</v>
      </c>
      <c r="G463" s="85" t="s">
        <v>178</v>
      </c>
      <c r="H463" s="90" t="s">
        <v>1039</v>
      </c>
      <c r="I463" s="85">
        <v>10.06</v>
      </c>
      <c r="J463" s="87">
        <f>48/10.06</f>
        <v>4.7713717693836974</v>
      </c>
      <c r="K463" s="88">
        <f t="shared" si="24"/>
        <v>48</v>
      </c>
      <c r="L463" s="85">
        <v>4375</v>
      </c>
      <c r="M463" s="118" t="s">
        <v>429</v>
      </c>
      <c r="N463" s="84"/>
      <c r="O463" s="84" t="s">
        <v>875</v>
      </c>
      <c r="R463"/>
    </row>
    <row r="464" spans="1:18" x14ac:dyDescent="0.25">
      <c r="A464" s="84" t="str">
        <f t="shared" si="22"/>
        <v>OutubroSEMANA 2Côco Verde</v>
      </c>
      <c r="B464" s="85" t="s">
        <v>37</v>
      </c>
      <c r="C464" s="85" t="s">
        <v>21</v>
      </c>
      <c r="D464" s="86">
        <v>10</v>
      </c>
      <c r="E464" s="116" t="str">
        <f t="shared" si="23"/>
        <v>Hortifruti</v>
      </c>
      <c r="F464" s="85" t="s">
        <v>1055</v>
      </c>
      <c r="G464" s="85" t="s">
        <v>288</v>
      </c>
      <c r="H464" s="90" t="s">
        <v>1038</v>
      </c>
      <c r="I464" s="85">
        <v>15</v>
      </c>
      <c r="J464" s="87">
        <v>1.91</v>
      </c>
      <c r="K464" s="88">
        <f t="shared" si="24"/>
        <v>28.65</v>
      </c>
      <c r="L464" s="85">
        <v>4375</v>
      </c>
      <c r="M464" s="118" t="s">
        <v>430</v>
      </c>
      <c r="N464" s="84"/>
      <c r="O464" s="84" t="s">
        <v>875</v>
      </c>
      <c r="R464"/>
    </row>
    <row r="465" spans="1:18" x14ac:dyDescent="0.25">
      <c r="A465" s="84" t="str">
        <f t="shared" si="22"/>
        <v>OutubroSEMANA 2Laranja Pera</v>
      </c>
      <c r="B465" s="85" t="s">
        <v>37</v>
      </c>
      <c r="C465" s="85" t="s">
        <v>21</v>
      </c>
      <c r="D465" s="86">
        <v>10</v>
      </c>
      <c r="E465" s="116" t="str">
        <f t="shared" si="23"/>
        <v>Hortifruti</v>
      </c>
      <c r="F465" s="85" t="s">
        <v>1055</v>
      </c>
      <c r="G465" s="85" t="s">
        <v>457</v>
      </c>
      <c r="H465" s="90" t="s">
        <v>1039</v>
      </c>
      <c r="I465" s="85">
        <v>21.02</v>
      </c>
      <c r="J465" s="87">
        <f>27/21.02</f>
        <v>1.2844909609895339</v>
      </c>
      <c r="K465" s="88">
        <f t="shared" si="24"/>
        <v>27</v>
      </c>
      <c r="L465" s="85">
        <v>4375</v>
      </c>
      <c r="M465" s="118" t="s">
        <v>431</v>
      </c>
      <c r="N465" s="84"/>
      <c r="O465" s="84" t="s">
        <v>875</v>
      </c>
      <c r="R465"/>
    </row>
    <row r="466" spans="1:18" x14ac:dyDescent="0.25">
      <c r="A466" s="84" t="str">
        <f t="shared" si="22"/>
        <v>OutubroSEMANA 2Manga Palmer</v>
      </c>
      <c r="B466" s="85" t="s">
        <v>37</v>
      </c>
      <c r="C466" s="85" t="s">
        <v>21</v>
      </c>
      <c r="D466" s="86">
        <v>10</v>
      </c>
      <c r="E466" s="116" t="str">
        <f t="shared" si="23"/>
        <v>Hortifruti</v>
      </c>
      <c r="F466" s="85" t="s">
        <v>1055</v>
      </c>
      <c r="G466" s="85" t="s">
        <v>496</v>
      </c>
      <c r="H466" s="90" t="s">
        <v>1039</v>
      </c>
      <c r="I466" s="85">
        <v>6</v>
      </c>
      <c r="J466" s="87">
        <v>4</v>
      </c>
      <c r="K466" s="88">
        <f t="shared" si="24"/>
        <v>24</v>
      </c>
      <c r="L466" s="85">
        <v>4375</v>
      </c>
      <c r="M466" s="118" t="s">
        <v>432</v>
      </c>
      <c r="N466" s="84"/>
      <c r="O466" s="84" t="s">
        <v>875</v>
      </c>
      <c r="R466"/>
    </row>
    <row r="467" spans="1:18" x14ac:dyDescent="0.25">
      <c r="A467" s="84" t="str">
        <f t="shared" si="22"/>
        <v>OutubroSEMANA 2Pera</v>
      </c>
      <c r="B467" s="85" t="s">
        <v>37</v>
      </c>
      <c r="C467" s="85" t="s">
        <v>21</v>
      </c>
      <c r="D467" s="86">
        <v>10</v>
      </c>
      <c r="E467" s="116" t="str">
        <f t="shared" si="23"/>
        <v>Hortifruti</v>
      </c>
      <c r="F467" s="85" t="s">
        <v>1055</v>
      </c>
      <c r="G467" s="85" t="s">
        <v>581</v>
      </c>
      <c r="H467" s="90" t="s">
        <v>1039</v>
      </c>
      <c r="I467" s="85">
        <v>1</v>
      </c>
      <c r="J467" s="87">
        <v>7.5</v>
      </c>
      <c r="K467" s="88">
        <f t="shared" si="24"/>
        <v>7.5</v>
      </c>
      <c r="L467" s="85">
        <v>4375</v>
      </c>
      <c r="M467" s="118" t="s">
        <v>433</v>
      </c>
      <c r="N467" s="84"/>
      <c r="O467" s="84" t="s">
        <v>875</v>
      </c>
      <c r="R467"/>
    </row>
    <row r="468" spans="1:18" x14ac:dyDescent="0.25">
      <c r="A468" s="84" t="str">
        <f t="shared" si="22"/>
        <v>OutubroSEMANA 2Acelga</v>
      </c>
      <c r="B468" s="85" t="s">
        <v>37</v>
      </c>
      <c r="C468" s="85" t="s">
        <v>21</v>
      </c>
      <c r="D468" s="86">
        <v>10</v>
      </c>
      <c r="E468" s="116" t="str">
        <f t="shared" si="23"/>
        <v>Hortifruti</v>
      </c>
      <c r="F468" s="85" t="s">
        <v>1055</v>
      </c>
      <c r="G468" s="85" t="s">
        <v>75</v>
      </c>
      <c r="H468" s="90" t="s">
        <v>1039</v>
      </c>
      <c r="I468" s="85">
        <v>4</v>
      </c>
      <c r="J468" s="87">
        <v>2.2000000000000002</v>
      </c>
      <c r="K468" s="88">
        <f t="shared" si="24"/>
        <v>8.8000000000000007</v>
      </c>
      <c r="L468" s="85">
        <v>4375</v>
      </c>
      <c r="M468" s="118" t="s">
        <v>434</v>
      </c>
      <c r="N468" s="84"/>
      <c r="O468" s="84" t="s">
        <v>875</v>
      </c>
      <c r="R468"/>
    </row>
    <row r="469" spans="1:18" x14ac:dyDescent="0.25">
      <c r="A469" s="84" t="str">
        <f t="shared" si="22"/>
        <v>OutubroSEMANA 2Alecrim</v>
      </c>
      <c r="B469" s="85" t="s">
        <v>37</v>
      </c>
      <c r="C469" s="85" t="s">
        <v>21</v>
      </c>
      <c r="D469" s="86">
        <v>10</v>
      </c>
      <c r="E469" s="116" t="str">
        <f t="shared" si="23"/>
        <v>Hortifruti</v>
      </c>
      <c r="F469" s="85" t="s">
        <v>1055</v>
      </c>
      <c r="G469" s="85" t="s">
        <v>101</v>
      </c>
      <c r="H469" s="90" t="s">
        <v>1039</v>
      </c>
      <c r="I469" s="85">
        <v>0.2</v>
      </c>
      <c r="J469" s="87">
        <v>18.5</v>
      </c>
      <c r="K469" s="88">
        <f t="shared" si="24"/>
        <v>3.7</v>
      </c>
      <c r="L469" s="85">
        <v>4375</v>
      </c>
      <c r="M469" s="118" t="s">
        <v>435</v>
      </c>
      <c r="N469" s="84"/>
      <c r="O469" s="84" t="s">
        <v>875</v>
      </c>
      <c r="R469"/>
    </row>
    <row r="470" spans="1:18" x14ac:dyDescent="0.25">
      <c r="A470" s="84" t="str">
        <f t="shared" si="22"/>
        <v>OutubroSEMANA 2Alfafa</v>
      </c>
      <c r="B470" s="85" t="s">
        <v>37</v>
      </c>
      <c r="C470" s="85" t="s">
        <v>21</v>
      </c>
      <c r="D470" s="86">
        <v>10</v>
      </c>
      <c r="E470" s="116" t="str">
        <f t="shared" si="23"/>
        <v>Hortifruti</v>
      </c>
      <c r="F470" s="85" t="s">
        <v>1055</v>
      </c>
      <c r="G470" s="85" t="s">
        <v>110</v>
      </c>
      <c r="H470" s="90" t="s">
        <v>1039</v>
      </c>
      <c r="I470" s="85">
        <v>0.3</v>
      </c>
      <c r="J470" s="87">
        <f>11.8/0.3</f>
        <v>39.333333333333336</v>
      </c>
      <c r="K470" s="88">
        <f t="shared" si="24"/>
        <v>11.8</v>
      </c>
      <c r="L470" s="85">
        <v>4375</v>
      </c>
      <c r="M470" s="118" t="s">
        <v>436</v>
      </c>
      <c r="N470" s="84"/>
      <c r="O470" s="84" t="s">
        <v>875</v>
      </c>
      <c r="R470"/>
    </row>
    <row r="471" spans="1:18" x14ac:dyDescent="0.25">
      <c r="A471" s="84" t="str">
        <f t="shared" si="22"/>
        <v>OutubroSEMANA 2Cebolinha Verde</v>
      </c>
      <c r="B471" s="85" t="s">
        <v>37</v>
      </c>
      <c r="C471" s="85" t="s">
        <v>21</v>
      </c>
      <c r="D471" s="86">
        <v>10</v>
      </c>
      <c r="E471" s="116" t="str">
        <f t="shared" si="23"/>
        <v>Hortifruti</v>
      </c>
      <c r="F471" s="85" t="s">
        <v>1055</v>
      </c>
      <c r="G471" s="85" t="s">
        <v>247</v>
      </c>
      <c r="H471" s="90" t="s">
        <v>1039</v>
      </c>
      <c r="I471" s="85">
        <v>1.5</v>
      </c>
      <c r="J471" s="87">
        <v>7.5</v>
      </c>
      <c r="K471" s="88">
        <f t="shared" si="24"/>
        <v>11.25</v>
      </c>
      <c r="L471" s="85">
        <v>4375</v>
      </c>
      <c r="M471" s="118" t="s">
        <v>437</v>
      </c>
      <c r="N471" s="84"/>
      <c r="O471" s="84" t="s">
        <v>875</v>
      </c>
      <c r="R471"/>
    </row>
    <row r="472" spans="1:18" x14ac:dyDescent="0.25">
      <c r="A472" s="84" t="str">
        <f t="shared" si="22"/>
        <v>OutubroSEMANA 2Hortelã</v>
      </c>
      <c r="B472" s="85" t="s">
        <v>37</v>
      </c>
      <c r="C472" s="85" t="s">
        <v>21</v>
      </c>
      <c r="D472" s="86">
        <v>10</v>
      </c>
      <c r="E472" s="116" t="str">
        <f t="shared" si="23"/>
        <v>Hortifruti</v>
      </c>
      <c r="F472" s="85" t="s">
        <v>1055</v>
      </c>
      <c r="G472" s="85" t="s">
        <v>405</v>
      </c>
      <c r="H472" s="90" t="s">
        <v>1039</v>
      </c>
      <c r="I472" s="85">
        <v>0.5</v>
      </c>
      <c r="J472" s="87">
        <v>4.5</v>
      </c>
      <c r="K472" s="88">
        <f t="shared" si="24"/>
        <v>2.25</v>
      </c>
      <c r="L472" s="85">
        <v>4375</v>
      </c>
      <c r="M472" s="118" t="s">
        <v>438</v>
      </c>
      <c r="N472" s="84"/>
      <c r="O472" s="84" t="s">
        <v>875</v>
      </c>
      <c r="R472"/>
    </row>
    <row r="473" spans="1:18" x14ac:dyDescent="0.25">
      <c r="A473" s="84" t="str">
        <f t="shared" si="22"/>
        <v>OutubroSEMANA 2Manjericão</v>
      </c>
      <c r="B473" s="85" t="s">
        <v>37</v>
      </c>
      <c r="C473" s="85" t="s">
        <v>21</v>
      </c>
      <c r="D473" s="86">
        <v>10</v>
      </c>
      <c r="E473" s="116" t="str">
        <f t="shared" si="23"/>
        <v>Hortifruti</v>
      </c>
      <c r="F473" s="85" t="s">
        <v>1055</v>
      </c>
      <c r="G473" s="85" t="s">
        <v>499</v>
      </c>
      <c r="H473" s="90" t="s">
        <v>1039</v>
      </c>
      <c r="I473" s="85">
        <v>0.3</v>
      </c>
      <c r="J473" s="89">
        <v>12.5</v>
      </c>
      <c r="K473" s="88">
        <f t="shared" si="24"/>
        <v>3.75</v>
      </c>
      <c r="L473" s="85">
        <v>4375</v>
      </c>
      <c r="M473" s="118" t="s">
        <v>439</v>
      </c>
      <c r="N473" s="84"/>
      <c r="O473" s="84" t="s">
        <v>875</v>
      </c>
      <c r="R473"/>
    </row>
    <row r="474" spans="1:18" x14ac:dyDescent="0.25">
      <c r="A474" s="84" t="str">
        <f t="shared" si="22"/>
        <v>OutubroSEMANA 2Rúcula</v>
      </c>
      <c r="B474" s="85" t="s">
        <v>37</v>
      </c>
      <c r="C474" s="85" t="s">
        <v>21</v>
      </c>
      <c r="D474" s="86">
        <v>10</v>
      </c>
      <c r="E474" s="116" t="str">
        <f t="shared" si="23"/>
        <v>Hortifruti</v>
      </c>
      <c r="F474" s="85" t="s">
        <v>1055</v>
      </c>
      <c r="G474" s="85" t="s">
        <v>706</v>
      </c>
      <c r="H474" s="90" t="s">
        <v>1039</v>
      </c>
      <c r="I474" s="85">
        <v>2</v>
      </c>
      <c r="J474" s="87">
        <v>4.9000000000000004</v>
      </c>
      <c r="K474" s="88">
        <f t="shared" si="24"/>
        <v>9.8000000000000007</v>
      </c>
      <c r="L474" s="85">
        <v>4375</v>
      </c>
      <c r="M474" s="118" t="s">
        <v>440</v>
      </c>
      <c r="N474" s="84"/>
      <c r="O474" s="84" t="s">
        <v>875</v>
      </c>
      <c r="R474"/>
    </row>
    <row r="475" spans="1:18" x14ac:dyDescent="0.25">
      <c r="A475" s="84" t="str">
        <f t="shared" si="22"/>
        <v>OutubroSEMANA 2Salsa</v>
      </c>
      <c r="B475" s="85" t="s">
        <v>37</v>
      </c>
      <c r="C475" s="85" t="s">
        <v>21</v>
      </c>
      <c r="D475" s="86">
        <v>10</v>
      </c>
      <c r="E475" s="116" t="str">
        <f t="shared" si="23"/>
        <v>Hortifruti</v>
      </c>
      <c r="F475" s="85" t="s">
        <v>1055</v>
      </c>
      <c r="G475" s="85" t="s">
        <v>729</v>
      </c>
      <c r="H475" s="90" t="s">
        <v>1039</v>
      </c>
      <c r="I475" s="85">
        <v>1</v>
      </c>
      <c r="J475" s="87">
        <v>7.5</v>
      </c>
      <c r="K475" s="88">
        <f t="shared" si="24"/>
        <v>7.5</v>
      </c>
      <c r="L475" s="85">
        <v>4375</v>
      </c>
      <c r="M475" s="118" t="s">
        <v>441</v>
      </c>
      <c r="N475" s="84"/>
      <c r="O475" s="84" t="s">
        <v>875</v>
      </c>
      <c r="R475"/>
    </row>
    <row r="476" spans="1:18" x14ac:dyDescent="0.25">
      <c r="A476" s="84" t="str">
        <f t="shared" si="22"/>
        <v xml:space="preserve">OutubroSEMANA 2Abobrinha </v>
      </c>
      <c r="B476" s="85" t="s">
        <v>37</v>
      </c>
      <c r="C476" s="85" t="s">
        <v>21</v>
      </c>
      <c r="D476" s="86">
        <v>10</v>
      </c>
      <c r="E476" s="116" t="str">
        <f t="shared" si="23"/>
        <v>Hortifruti</v>
      </c>
      <c r="F476" s="85" t="s">
        <v>1054</v>
      </c>
      <c r="G476" s="85" t="s">
        <v>72</v>
      </c>
      <c r="H476" s="90" t="s">
        <v>1039</v>
      </c>
      <c r="I476" s="85">
        <v>17.22</v>
      </c>
      <c r="J476" s="87">
        <f>20/17.22</f>
        <v>1.1614401858304297</v>
      </c>
      <c r="K476" s="88">
        <f t="shared" si="24"/>
        <v>20</v>
      </c>
      <c r="L476" s="85">
        <v>1864</v>
      </c>
      <c r="M476" s="118" t="s">
        <v>1021</v>
      </c>
      <c r="O476" s="84" t="s">
        <v>875</v>
      </c>
      <c r="R476"/>
    </row>
    <row r="477" spans="1:18" x14ac:dyDescent="0.25">
      <c r="A477" s="84" t="str">
        <f t="shared" si="22"/>
        <v>OutubroSEMANA 2Batata HBT</v>
      </c>
      <c r="B477" s="85" t="s">
        <v>37</v>
      </c>
      <c r="C477" s="85" t="s">
        <v>21</v>
      </c>
      <c r="D477" s="86">
        <v>10</v>
      </c>
      <c r="E477" s="116" t="str">
        <f t="shared" si="23"/>
        <v>Hortifruti</v>
      </c>
      <c r="F477" s="85" t="s">
        <v>1054</v>
      </c>
      <c r="G477" s="85" t="s">
        <v>171</v>
      </c>
      <c r="H477" s="90" t="s">
        <v>1039</v>
      </c>
      <c r="I477" s="85">
        <v>25</v>
      </c>
      <c r="J477" s="87">
        <v>1.8</v>
      </c>
      <c r="K477" s="88">
        <f t="shared" si="24"/>
        <v>45</v>
      </c>
      <c r="L477" s="85">
        <v>1864</v>
      </c>
      <c r="M477" s="118" t="s">
        <v>951</v>
      </c>
      <c r="N477" s="84"/>
      <c r="O477" s="84" t="s">
        <v>875</v>
      </c>
      <c r="R477"/>
    </row>
    <row r="478" spans="1:18" x14ac:dyDescent="0.25">
      <c r="A478" s="84" t="str">
        <f t="shared" si="22"/>
        <v>OutubroSEMANA 2Cará</v>
      </c>
      <c r="B478" s="85" t="s">
        <v>37</v>
      </c>
      <c r="C478" s="85" t="s">
        <v>21</v>
      </c>
      <c r="D478" s="86">
        <v>10</v>
      </c>
      <c r="E478" s="116" t="str">
        <f t="shared" si="23"/>
        <v>Hortifruti</v>
      </c>
      <c r="F478" s="85" t="s">
        <v>1054</v>
      </c>
      <c r="G478" s="85" t="s">
        <v>213</v>
      </c>
      <c r="H478" s="90" t="s">
        <v>1039</v>
      </c>
      <c r="I478" s="85">
        <v>2</v>
      </c>
      <c r="J478" s="87">
        <v>6.8</v>
      </c>
      <c r="K478" s="88">
        <f t="shared" si="24"/>
        <v>13.6</v>
      </c>
      <c r="L478" s="85">
        <v>1864</v>
      </c>
      <c r="M478" s="118" t="s">
        <v>1035</v>
      </c>
      <c r="O478" s="84" t="s">
        <v>875</v>
      </c>
      <c r="R478"/>
    </row>
    <row r="479" spans="1:18" x14ac:dyDescent="0.25">
      <c r="A479" s="84" t="str">
        <f t="shared" si="22"/>
        <v>OutubroSEMANA 2Maxixe</v>
      </c>
      <c r="B479" s="85" t="s">
        <v>37</v>
      </c>
      <c r="C479" s="85" t="s">
        <v>21</v>
      </c>
      <c r="D479" s="86">
        <v>10</v>
      </c>
      <c r="E479" s="116" t="str">
        <f t="shared" si="23"/>
        <v>Hortifruti</v>
      </c>
      <c r="F479" s="85" t="s">
        <v>1054</v>
      </c>
      <c r="G479" s="85" t="s">
        <v>515</v>
      </c>
      <c r="H479" s="90" t="s">
        <v>1039</v>
      </c>
      <c r="I479" s="85">
        <v>2.5</v>
      </c>
      <c r="J479" s="87">
        <v>4</v>
      </c>
      <c r="K479" s="88">
        <f t="shared" si="24"/>
        <v>10</v>
      </c>
      <c r="L479" s="85">
        <v>1864</v>
      </c>
      <c r="M479" s="118" t="s">
        <v>442</v>
      </c>
      <c r="N479" s="84"/>
      <c r="O479" s="84" t="s">
        <v>875</v>
      </c>
      <c r="R479"/>
    </row>
    <row r="480" spans="1:18" x14ac:dyDescent="0.25">
      <c r="A480" s="84" t="str">
        <f t="shared" si="22"/>
        <v>OutubroSEMANA 2Pepino Japonês</v>
      </c>
      <c r="B480" s="85" t="s">
        <v>37</v>
      </c>
      <c r="C480" s="85" t="s">
        <v>21</v>
      </c>
      <c r="D480" s="86">
        <v>10</v>
      </c>
      <c r="E480" s="116" t="str">
        <f t="shared" si="23"/>
        <v>Hortifruti</v>
      </c>
      <c r="F480" s="85" t="s">
        <v>1054</v>
      </c>
      <c r="G480" s="85" t="s">
        <v>577</v>
      </c>
      <c r="H480" s="90" t="s">
        <v>1039</v>
      </c>
      <c r="I480" s="85">
        <v>16.28</v>
      </c>
      <c r="J480" s="87">
        <f>50/16.28</f>
        <v>3.071253071253071</v>
      </c>
      <c r="K480" s="88">
        <f t="shared" si="24"/>
        <v>50</v>
      </c>
      <c r="L480" s="85">
        <v>1864</v>
      </c>
      <c r="M480" s="118" t="s">
        <v>1022</v>
      </c>
      <c r="O480" s="84" t="s">
        <v>875</v>
      </c>
      <c r="R480"/>
    </row>
    <row r="481" spans="1:18" x14ac:dyDescent="0.25">
      <c r="A481" s="84" t="str">
        <f t="shared" si="22"/>
        <v>OutubroSEMANA 2Tomate Molho</v>
      </c>
      <c r="B481" s="85" t="s">
        <v>37</v>
      </c>
      <c r="C481" s="85" t="s">
        <v>21</v>
      </c>
      <c r="D481" s="86">
        <v>10</v>
      </c>
      <c r="E481" s="116" t="str">
        <f t="shared" si="23"/>
        <v>Hortifruti</v>
      </c>
      <c r="F481" s="85" t="s">
        <v>1054</v>
      </c>
      <c r="G481" s="85" t="s">
        <v>792</v>
      </c>
      <c r="H481" s="90" t="s">
        <v>1039</v>
      </c>
      <c r="I481" s="85">
        <v>20.5</v>
      </c>
      <c r="J481" s="87">
        <f>70/20.5</f>
        <v>3.4146341463414633</v>
      </c>
      <c r="K481" s="88">
        <f t="shared" si="24"/>
        <v>70</v>
      </c>
      <c r="L481" s="85">
        <v>1864</v>
      </c>
      <c r="M481" s="118" t="s">
        <v>443</v>
      </c>
      <c r="N481" s="84"/>
      <c r="O481" s="84" t="s">
        <v>47</v>
      </c>
      <c r="R481"/>
    </row>
    <row r="482" spans="1:18" x14ac:dyDescent="0.25">
      <c r="A482" s="84" t="str">
        <f t="shared" si="22"/>
        <v>OutubroSEMANA 2Tomate Salada</v>
      </c>
      <c r="B482" s="85" t="s">
        <v>37</v>
      </c>
      <c r="C482" s="85" t="s">
        <v>21</v>
      </c>
      <c r="D482" s="86">
        <v>10</v>
      </c>
      <c r="E482" s="116" t="str">
        <f t="shared" si="23"/>
        <v>Hortifruti</v>
      </c>
      <c r="F482" s="85" t="s">
        <v>1054</v>
      </c>
      <c r="G482" s="85" t="s">
        <v>795</v>
      </c>
      <c r="H482" s="90" t="s">
        <v>1039</v>
      </c>
      <c r="I482" s="85">
        <v>21.06</v>
      </c>
      <c r="J482" s="87">
        <f>70/21.06</f>
        <v>3.3238366571699909</v>
      </c>
      <c r="K482" s="88">
        <f t="shared" si="24"/>
        <v>70</v>
      </c>
      <c r="L482" s="85">
        <v>1864</v>
      </c>
      <c r="M482" s="118" t="s">
        <v>444</v>
      </c>
      <c r="N482" s="84"/>
      <c r="O482" s="84" t="s">
        <v>47</v>
      </c>
      <c r="R482"/>
    </row>
    <row r="483" spans="1:18" x14ac:dyDescent="0.25">
      <c r="A483" s="84" t="str">
        <f t="shared" si="22"/>
        <v>OutubroSEMANA 2Espinafre</v>
      </c>
      <c r="B483" s="85" t="s">
        <v>37</v>
      </c>
      <c r="C483" s="85" t="s">
        <v>21</v>
      </c>
      <c r="D483" s="86">
        <v>10</v>
      </c>
      <c r="E483" s="116" t="str">
        <f t="shared" si="23"/>
        <v>Hortifruti</v>
      </c>
      <c r="F483" s="85" t="s">
        <v>1054</v>
      </c>
      <c r="G483" s="85" t="s">
        <v>332</v>
      </c>
      <c r="H483" s="90" t="s">
        <v>1039</v>
      </c>
      <c r="I483" s="85">
        <v>6</v>
      </c>
      <c r="J483" s="87">
        <v>4.8</v>
      </c>
      <c r="K483" s="88">
        <f t="shared" si="24"/>
        <v>28.799999999999997</v>
      </c>
      <c r="L483" s="85">
        <v>1864</v>
      </c>
      <c r="M483" s="118" t="s">
        <v>445</v>
      </c>
      <c r="N483" s="84"/>
      <c r="O483" s="84" t="s">
        <v>47</v>
      </c>
      <c r="R483"/>
    </row>
    <row r="484" spans="1:18" x14ac:dyDescent="0.25">
      <c r="A484" s="84" t="str">
        <f t="shared" si="22"/>
        <v>OutubroSEMANA 2Nabo Japonês</v>
      </c>
      <c r="B484" s="85" t="s">
        <v>37</v>
      </c>
      <c r="C484" s="85" t="s">
        <v>21</v>
      </c>
      <c r="D484" s="86">
        <v>10</v>
      </c>
      <c r="E484" s="116" t="str">
        <f t="shared" si="23"/>
        <v>Hortifruti</v>
      </c>
      <c r="F484" s="85" t="s">
        <v>1054</v>
      </c>
      <c r="G484" s="85" t="s">
        <v>536</v>
      </c>
      <c r="H484" s="90" t="s">
        <v>1039</v>
      </c>
      <c r="I484" s="85">
        <v>0.5</v>
      </c>
      <c r="J484" s="87">
        <v>7</v>
      </c>
      <c r="K484" s="88">
        <f t="shared" si="24"/>
        <v>3.5</v>
      </c>
      <c r="L484" s="85">
        <v>1864</v>
      </c>
      <c r="M484" s="118" t="s">
        <v>446</v>
      </c>
      <c r="N484" s="84"/>
      <c r="O484" s="84" t="s">
        <v>47</v>
      </c>
      <c r="R484"/>
    </row>
    <row r="485" spans="1:18" x14ac:dyDescent="0.25">
      <c r="A485" s="84" t="str">
        <f t="shared" si="22"/>
        <v>OutubroSEMANA 2Rabanete</v>
      </c>
      <c r="B485" s="85" t="s">
        <v>37</v>
      </c>
      <c r="C485" s="85" t="s">
        <v>21</v>
      </c>
      <c r="D485" s="86">
        <v>10</v>
      </c>
      <c r="E485" s="116" t="str">
        <f t="shared" si="23"/>
        <v>Hortifruti</v>
      </c>
      <c r="F485" s="85" t="s">
        <v>1054</v>
      </c>
      <c r="G485" s="85" t="s">
        <v>694</v>
      </c>
      <c r="H485" s="90" t="s">
        <v>1039</v>
      </c>
      <c r="I485" s="85">
        <v>0.5</v>
      </c>
      <c r="J485" s="87">
        <v>6.8</v>
      </c>
      <c r="K485" s="88">
        <f t="shared" si="24"/>
        <v>3.4</v>
      </c>
      <c r="L485" s="85">
        <v>1864</v>
      </c>
      <c r="M485" s="118" t="s">
        <v>447</v>
      </c>
      <c r="N485" s="84"/>
      <c r="O485" s="84" t="s">
        <v>60</v>
      </c>
      <c r="R485"/>
    </row>
    <row r="486" spans="1:18" x14ac:dyDescent="0.25">
      <c r="A486" s="84" t="str">
        <f t="shared" si="22"/>
        <v>OutubroSEMANA 2Tomilho</v>
      </c>
      <c r="B486" s="85" t="s">
        <v>37</v>
      </c>
      <c r="C486" s="85" t="s">
        <v>21</v>
      </c>
      <c r="D486" s="86">
        <v>10</v>
      </c>
      <c r="E486" s="116" t="str">
        <f t="shared" si="23"/>
        <v>Hortifruti</v>
      </c>
      <c r="F486" s="85" t="s">
        <v>1054</v>
      </c>
      <c r="G486" s="85" t="s">
        <v>798</v>
      </c>
      <c r="H486" s="90" t="s">
        <v>1039</v>
      </c>
      <c r="I486" s="85">
        <v>0.2</v>
      </c>
      <c r="J486" s="87">
        <v>30</v>
      </c>
      <c r="K486" s="88">
        <f t="shared" si="24"/>
        <v>6</v>
      </c>
      <c r="L486" s="85">
        <v>1864</v>
      </c>
      <c r="M486" s="118" t="s">
        <v>448</v>
      </c>
      <c r="N486" s="84"/>
      <c r="O486" s="84" t="s">
        <v>45</v>
      </c>
      <c r="R486"/>
    </row>
    <row r="487" spans="1:18" x14ac:dyDescent="0.25">
      <c r="A487" s="84" t="str">
        <f t="shared" si="22"/>
        <v>OutubroSEMANA 2Tofu Kilo</v>
      </c>
      <c r="B487" s="85" t="s">
        <v>37</v>
      </c>
      <c r="C487" s="85" t="s">
        <v>21</v>
      </c>
      <c r="D487" s="86">
        <v>10</v>
      </c>
      <c r="E487" s="116" t="str">
        <f t="shared" si="23"/>
        <v>Hortifruti</v>
      </c>
      <c r="F487" s="85" t="s">
        <v>1054</v>
      </c>
      <c r="G487" s="85" t="s">
        <v>789</v>
      </c>
      <c r="H487" s="90" t="s">
        <v>1039</v>
      </c>
      <c r="I487" s="85">
        <v>2</v>
      </c>
      <c r="J487" s="87">
        <v>14</v>
      </c>
      <c r="K487" s="88">
        <f t="shared" si="24"/>
        <v>28</v>
      </c>
      <c r="L487" s="85">
        <v>1864</v>
      </c>
      <c r="M487" s="118" t="s">
        <v>449</v>
      </c>
      <c r="N487" s="84"/>
      <c r="O487" s="84" t="s">
        <v>46</v>
      </c>
      <c r="R487"/>
    </row>
    <row r="488" spans="1:18" x14ac:dyDescent="0.25">
      <c r="A488" s="84" t="str">
        <f t="shared" si="22"/>
        <v>OutubroSEMANA 2Abacate Sushi</v>
      </c>
      <c r="B488" s="85" t="s">
        <v>37</v>
      </c>
      <c r="C488" s="85" t="s">
        <v>21</v>
      </c>
      <c r="D488" s="86">
        <v>10</v>
      </c>
      <c r="E488" s="116" t="str">
        <f t="shared" si="23"/>
        <v>Sushi</v>
      </c>
      <c r="F488" s="85" t="s">
        <v>1054</v>
      </c>
      <c r="G488" s="85" t="s">
        <v>64</v>
      </c>
      <c r="H488" s="90" t="s">
        <v>1039</v>
      </c>
      <c r="I488" s="85">
        <v>1</v>
      </c>
      <c r="J488" s="87">
        <v>6.8</v>
      </c>
      <c r="K488" s="88">
        <f t="shared" si="24"/>
        <v>6.8</v>
      </c>
      <c r="L488" s="85">
        <v>1864</v>
      </c>
      <c r="M488" s="118" t="s">
        <v>450</v>
      </c>
      <c r="N488" s="84"/>
      <c r="O488" s="84" t="s">
        <v>46</v>
      </c>
      <c r="R488"/>
    </row>
    <row r="489" spans="1:18" x14ac:dyDescent="0.25">
      <c r="A489" s="84" t="str">
        <f t="shared" si="22"/>
        <v xml:space="preserve">OutubroSEMANA 2Abacaxi </v>
      </c>
      <c r="B489" s="85" t="s">
        <v>37</v>
      </c>
      <c r="C489" s="85" t="s">
        <v>21</v>
      </c>
      <c r="D489" s="86">
        <v>10</v>
      </c>
      <c r="E489" s="116" t="str">
        <f t="shared" si="23"/>
        <v>Hortifruti</v>
      </c>
      <c r="F489" s="85" t="s">
        <v>1054</v>
      </c>
      <c r="G489" s="85" t="s">
        <v>65</v>
      </c>
      <c r="H489" s="90" t="s">
        <v>1039</v>
      </c>
      <c r="I489" s="85">
        <v>6</v>
      </c>
      <c r="J489" s="87">
        <v>2.4</v>
      </c>
      <c r="K489" s="88">
        <f t="shared" si="24"/>
        <v>14.399999999999999</v>
      </c>
      <c r="L489" s="85">
        <v>1864</v>
      </c>
      <c r="M489" s="118" t="s">
        <v>451</v>
      </c>
      <c r="N489" s="84"/>
      <c r="O489" s="84" t="s">
        <v>45</v>
      </c>
      <c r="R489"/>
    </row>
    <row r="490" spans="1:18" x14ac:dyDescent="0.25">
      <c r="A490" s="84" t="str">
        <f t="shared" si="22"/>
        <v>OutubroSEMANA 2Banana da Terra</v>
      </c>
      <c r="B490" s="85" t="s">
        <v>37</v>
      </c>
      <c r="C490" s="85" t="s">
        <v>21</v>
      </c>
      <c r="D490" s="86">
        <v>10</v>
      </c>
      <c r="E490" s="116" t="str">
        <f t="shared" si="23"/>
        <v>Hortifruti</v>
      </c>
      <c r="F490" s="85" t="s">
        <v>1054</v>
      </c>
      <c r="G490" s="85" t="s">
        <v>161</v>
      </c>
      <c r="H490" s="90" t="s">
        <v>1039</v>
      </c>
      <c r="I490" s="85">
        <v>2</v>
      </c>
      <c r="J490" s="87">
        <v>4.5</v>
      </c>
      <c r="K490" s="88">
        <f t="shared" si="24"/>
        <v>9</v>
      </c>
      <c r="L490" s="85">
        <v>1864</v>
      </c>
      <c r="M490" s="118" t="s">
        <v>452</v>
      </c>
      <c r="N490" s="84"/>
      <c r="O490" s="84" t="s">
        <v>60</v>
      </c>
      <c r="R490"/>
    </row>
    <row r="491" spans="1:18" x14ac:dyDescent="0.25">
      <c r="A491" s="84" t="str">
        <f t="shared" si="22"/>
        <v>OutubroSEMANA 2Cream Cheese Sushi</v>
      </c>
      <c r="B491" s="85" t="s">
        <v>37</v>
      </c>
      <c r="C491" s="85" t="s">
        <v>21</v>
      </c>
      <c r="D491" s="86">
        <v>10</v>
      </c>
      <c r="E491" s="116" t="str">
        <f t="shared" si="23"/>
        <v>Sushi</v>
      </c>
      <c r="F491" s="85" t="s">
        <v>1145</v>
      </c>
      <c r="G491" s="85" t="s">
        <v>311</v>
      </c>
      <c r="H491" s="85" t="s">
        <v>1039</v>
      </c>
      <c r="I491" s="85">
        <v>12</v>
      </c>
      <c r="J491" s="87">
        <v>24.5</v>
      </c>
      <c r="K491" s="88">
        <f t="shared" si="24"/>
        <v>294</v>
      </c>
      <c r="L491" s="85">
        <v>306049</v>
      </c>
      <c r="M491" s="118" t="s">
        <v>453</v>
      </c>
      <c r="N491" s="84"/>
      <c r="O491" s="84" t="s">
        <v>42</v>
      </c>
      <c r="R491"/>
    </row>
    <row r="492" spans="1:18" x14ac:dyDescent="0.25">
      <c r="A492" s="84" t="str">
        <f t="shared" si="22"/>
        <v>OutubroSEMANA 2Pescados - Atum Fresco Sushi</v>
      </c>
      <c r="B492" s="85" t="s">
        <v>37</v>
      </c>
      <c r="C492" s="85" t="s">
        <v>21</v>
      </c>
      <c r="D492" s="86">
        <v>10</v>
      </c>
      <c r="E492" s="116" t="str">
        <f t="shared" si="23"/>
        <v>Sushi</v>
      </c>
      <c r="F492" s="85" t="s">
        <v>1133</v>
      </c>
      <c r="G492" s="85" t="s">
        <v>587</v>
      </c>
      <c r="H492" s="85" t="s">
        <v>1039</v>
      </c>
      <c r="I492" s="85">
        <v>14</v>
      </c>
      <c r="J492" s="87">
        <v>14.9</v>
      </c>
      <c r="K492" s="88">
        <f t="shared" si="24"/>
        <v>208.6</v>
      </c>
      <c r="L492" s="85" t="s">
        <v>1186</v>
      </c>
      <c r="M492" s="118" t="s">
        <v>454</v>
      </c>
      <c r="N492" s="84"/>
      <c r="O492" s="84" t="s">
        <v>45</v>
      </c>
      <c r="R492"/>
    </row>
    <row r="493" spans="1:18" x14ac:dyDescent="0.25">
      <c r="A493" s="84" t="str">
        <f t="shared" si="22"/>
        <v>OutubroSEMANA 2Pescados - Filé Truta Cong.</v>
      </c>
      <c r="B493" s="85" t="s">
        <v>37</v>
      </c>
      <c r="C493" s="85" t="s">
        <v>21</v>
      </c>
      <c r="D493" s="86">
        <v>10</v>
      </c>
      <c r="E493" s="116" t="str">
        <f t="shared" si="23"/>
        <v>Carnes</v>
      </c>
      <c r="F493" s="85" t="s">
        <v>1104</v>
      </c>
      <c r="G493" s="85" t="s">
        <v>617</v>
      </c>
      <c r="H493" s="85" t="s">
        <v>1039</v>
      </c>
      <c r="I493" s="85">
        <v>36</v>
      </c>
      <c r="J493" s="87">
        <v>26</v>
      </c>
      <c r="K493" s="88">
        <f t="shared" si="24"/>
        <v>936</v>
      </c>
      <c r="L493" s="85" t="s">
        <v>1146</v>
      </c>
      <c r="M493" s="118" t="s">
        <v>455</v>
      </c>
      <c r="N493" s="84"/>
      <c r="O493" s="84" t="s">
        <v>42</v>
      </c>
      <c r="R493"/>
    </row>
    <row r="494" spans="1:18" x14ac:dyDescent="0.25">
      <c r="A494" s="84" t="str">
        <f t="shared" si="22"/>
        <v>OutubroSEMANA 2Cogumelo Paris</v>
      </c>
      <c r="B494" s="85" t="s">
        <v>37</v>
      </c>
      <c r="C494" s="85" t="s">
        <v>21</v>
      </c>
      <c r="D494" s="86">
        <v>10</v>
      </c>
      <c r="E494" s="116" t="str">
        <f t="shared" si="23"/>
        <v>Mercado</v>
      </c>
      <c r="F494" s="85" t="s">
        <v>1104</v>
      </c>
      <c r="G494" s="85" t="s">
        <v>292</v>
      </c>
      <c r="H494" s="85" t="s">
        <v>1039</v>
      </c>
      <c r="I494" s="85">
        <v>5</v>
      </c>
      <c r="J494" s="87">
        <v>15.5</v>
      </c>
      <c r="K494" s="88">
        <f t="shared" si="24"/>
        <v>77.5</v>
      </c>
      <c r="L494" s="85" t="s">
        <v>1146</v>
      </c>
      <c r="M494" s="118" t="s">
        <v>456</v>
      </c>
      <c r="N494" s="84"/>
      <c r="O494" s="84" t="s">
        <v>874</v>
      </c>
      <c r="R494"/>
    </row>
    <row r="495" spans="1:18" x14ac:dyDescent="0.25">
      <c r="A495" s="84" t="str">
        <f t="shared" si="22"/>
        <v>OutubroSEMANA 2Cogumelo Fatiado Bd 2 Kg</v>
      </c>
      <c r="B495" s="85" t="s">
        <v>37</v>
      </c>
      <c r="C495" s="85" t="s">
        <v>21</v>
      </c>
      <c r="D495" s="86">
        <v>10</v>
      </c>
      <c r="E495" s="116" t="str">
        <f t="shared" si="23"/>
        <v>Mercado</v>
      </c>
      <c r="F495" s="85" t="s">
        <v>1104</v>
      </c>
      <c r="G495" s="85" t="s">
        <v>291</v>
      </c>
      <c r="H495" s="85" t="s">
        <v>1046</v>
      </c>
      <c r="I495" s="85">
        <v>1</v>
      </c>
      <c r="J495" s="87">
        <v>37</v>
      </c>
      <c r="K495" s="88">
        <f t="shared" si="24"/>
        <v>37</v>
      </c>
      <c r="L495" s="85" t="s">
        <v>1146</v>
      </c>
      <c r="M495" s="118" t="s">
        <v>1016</v>
      </c>
      <c r="O495" s="84" t="s">
        <v>875</v>
      </c>
      <c r="R495"/>
    </row>
    <row r="496" spans="1:18" x14ac:dyDescent="0.25">
      <c r="A496" s="84" t="str">
        <f t="shared" si="22"/>
        <v>OutubroSEMANA 2Queijo Minas Padrão</v>
      </c>
      <c r="B496" s="85" t="s">
        <v>37</v>
      </c>
      <c r="C496" s="85" t="s">
        <v>21</v>
      </c>
      <c r="D496" s="86">
        <v>10</v>
      </c>
      <c r="E496" s="116" t="str">
        <f t="shared" si="23"/>
        <v>Mercado</v>
      </c>
      <c r="F496" s="85" t="s">
        <v>1045</v>
      </c>
      <c r="G496" s="85" t="s">
        <v>683</v>
      </c>
      <c r="H496" s="85" t="s">
        <v>1039</v>
      </c>
      <c r="I496" s="85">
        <v>4.8</v>
      </c>
      <c r="J496" s="87">
        <v>41.6</v>
      </c>
      <c r="K496" s="88">
        <f t="shared" si="24"/>
        <v>199.68</v>
      </c>
      <c r="L496" s="85" t="s">
        <v>1147</v>
      </c>
      <c r="M496" s="118" t="s">
        <v>457</v>
      </c>
      <c r="N496" s="84"/>
      <c r="O496" s="84" t="s">
        <v>45</v>
      </c>
      <c r="R496"/>
    </row>
    <row r="497" spans="1:18" x14ac:dyDescent="0.25">
      <c r="A497" s="84" t="str">
        <f t="shared" si="22"/>
        <v>OutubroSEMANA 2Antibacterial Detergentye p/ mãos Bb 5lt</v>
      </c>
      <c r="B497" s="85" t="s">
        <v>37</v>
      </c>
      <c r="C497" s="85" t="s">
        <v>21</v>
      </c>
      <c r="D497" s="86">
        <v>10</v>
      </c>
      <c r="E497" s="116" t="str">
        <f t="shared" si="23"/>
        <v>Limpeza</v>
      </c>
      <c r="F497" s="85" t="s">
        <v>1148</v>
      </c>
      <c r="G497" s="85" t="s">
        <v>125</v>
      </c>
      <c r="H497" s="85" t="s">
        <v>1087</v>
      </c>
      <c r="I497" s="85">
        <v>1</v>
      </c>
      <c r="J497" s="87">
        <v>147.84</v>
      </c>
      <c r="K497" s="88">
        <f t="shared" si="24"/>
        <v>147.84</v>
      </c>
      <c r="L497" s="85">
        <v>12292</v>
      </c>
      <c r="M497" s="118" t="s">
        <v>1017</v>
      </c>
      <c r="O497" s="84" t="s">
        <v>875</v>
      </c>
      <c r="R497"/>
    </row>
    <row r="498" spans="1:18" x14ac:dyDescent="0.25">
      <c r="A498" s="84" t="str">
        <f t="shared" si="22"/>
        <v xml:space="preserve">OutubroSEMANA 2AFVT - Antimicrobial Bb 10,4 KG </v>
      </c>
      <c r="B498" s="85" t="s">
        <v>37</v>
      </c>
      <c r="C498" s="85" t="s">
        <v>21</v>
      </c>
      <c r="D498" s="86">
        <v>10</v>
      </c>
      <c r="E498" s="116" t="str">
        <f t="shared" si="23"/>
        <v>Limpeza</v>
      </c>
      <c r="F498" s="85" t="s">
        <v>1148</v>
      </c>
      <c r="G498" s="85" t="s">
        <v>84</v>
      </c>
      <c r="H498" s="85" t="s">
        <v>1087</v>
      </c>
      <c r="I498" s="85">
        <v>1</v>
      </c>
      <c r="J498" s="87">
        <v>789.87</v>
      </c>
      <c r="K498" s="88">
        <f t="shared" si="24"/>
        <v>789.87</v>
      </c>
      <c r="L498" s="85">
        <v>12293</v>
      </c>
      <c r="M498" s="118" t="s">
        <v>458</v>
      </c>
      <c r="N498" s="84"/>
      <c r="O498" s="84" t="s">
        <v>45</v>
      </c>
      <c r="R498"/>
    </row>
    <row r="499" spans="1:18" x14ac:dyDescent="0.25">
      <c r="A499" s="84" t="str">
        <f t="shared" si="22"/>
        <v>OutubroSEMANA 2Solid Power (Lava Louça) 4 Kg</v>
      </c>
      <c r="B499" s="85" t="s">
        <v>37</v>
      </c>
      <c r="C499" s="85" t="s">
        <v>21</v>
      </c>
      <c r="D499" s="86">
        <v>10</v>
      </c>
      <c r="E499" s="116" t="str">
        <f t="shared" si="23"/>
        <v>Limpeza</v>
      </c>
      <c r="F499" s="85" t="s">
        <v>1148</v>
      </c>
      <c r="G499" s="85" t="s">
        <v>748</v>
      </c>
      <c r="H499" s="85" t="s">
        <v>1087</v>
      </c>
      <c r="I499" s="85">
        <v>2</v>
      </c>
      <c r="J499" s="87">
        <f>1058.15/2</f>
        <v>529.07500000000005</v>
      </c>
      <c r="K499" s="88">
        <f t="shared" si="24"/>
        <v>1058.1500000000001</v>
      </c>
      <c r="L499" s="85">
        <v>12295</v>
      </c>
      <c r="M499" s="118" t="s">
        <v>459</v>
      </c>
      <c r="N499" s="84"/>
      <c r="O499" s="84" t="s">
        <v>42</v>
      </c>
      <c r="R499"/>
    </row>
    <row r="500" spans="1:18" x14ac:dyDescent="0.25">
      <c r="A500" s="84" t="str">
        <f t="shared" si="22"/>
        <v>OutubroSEMANA 2Ammoniated Glas Cln (Limpa vidro) BB 5L</v>
      </c>
      <c r="B500" s="85" t="s">
        <v>37</v>
      </c>
      <c r="C500" s="85" t="s">
        <v>21</v>
      </c>
      <c r="D500" s="86">
        <v>10</v>
      </c>
      <c r="E500" s="116" t="str">
        <f t="shared" si="23"/>
        <v>Limpeza</v>
      </c>
      <c r="F500" s="85" t="s">
        <v>1148</v>
      </c>
      <c r="G500" s="85" t="s">
        <v>120</v>
      </c>
      <c r="H500" s="85" t="s">
        <v>1087</v>
      </c>
      <c r="I500" s="85">
        <v>2</v>
      </c>
      <c r="J500" s="87">
        <f>939.85/2</f>
        <v>469.92500000000001</v>
      </c>
      <c r="K500" s="88">
        <f t="shared" si="24"/>
        <v>939.85</v>
      </c>
      <c r="L500" s="85">
        <v>12294</v>
      </c>
      <c r="M500" s="118" t="s">
        <v>460</v>
      </c>
      <c r="N500" s="84"/>
      <c r="O500" s="84" t="s">
        <v>42</v>
      </c>
      <c r="R500"/>
    </row>
    <row r="501" spans="1:18" x14ac:dyDescent="0.25">
      <c r="A501" s="84" t="str">
        <f t="shared" si="22"/>
        <v>OutubroSEMANA 2Greasestrip Plus Bb 5 L</v>
      </c>
      <c r="B501" s="85" t="s">
        <v>37</v>
      </c>
      <c r="C501" s="85" t="s">
        <v>21</v>
      </c>
      <c r="D501" s="86">
        <v>10</v>
      </c>
      <c r="E501" s="116" t="str">
        <f t="shared" si="23"/>
        <v>Limpeza</v>
      </c>
      <c r="F501" s="85" t="s">
        <v>1148</v>
      </c>
      <c r="G501" s="85" t="s">
        <v>987</v>
      </c>
      <c r="H501" s="85" t="s">
        <v>1087</v>
      </c>
      <c r="I501" s="85">
        <v>1</v>
      </c>
      <c r="J501" s="87">
        <v>265.74</v>
      </c>
      <c r="K501" s="88">
        <f t="shared" si="24"/>
        <v>265.74</v>
      </c>
      <c r="L501" s="85">
        <v>12294</v>
      </c>
      <c r="M501" s="118" t="s">
        <v>461</v>
      </c>
      <c r="N501" s="84"/>
      <c r="O501" s="84" t="s">
        <v>42</v>
      </c>
      <c r="R501"/>
    </row>
    <row r="502" spans="1:18" x14ac:dyDescent="0.25">
      <c r="A502" s="84" t="str">
        <f t="shared" si="22"/>
        <v>OutubroSEMANA 2Vercom Detergente Bb 5 Lt</v>
      </c>
      <c r="B502" s="85" t="s">
        <v>37</v>
      </c>
      <c r="C502" s="85" t="s">
        <v>21</v>
      </c>
      <c r="D502" s="86">
        <v>10</v>
      </c>
      <c r="E502" s="116" t="str">
        <f t="shared" si="23"/>
        <v>Limpeza</v>
      </c>
      <c r="F502" s="85" t="s">
        <v>1148</v>
      </c>
      <c r="G502" s="85" t="s">
        <v>837</v>
      </c>
      <c r="H502" s="85" t="s">
        <v>1087</v>
      </c>
      <c r="I502" s="85">
        <v>2</v>
      </c>
      <c r="J502" s="87">
        <f>234.73/2</f>
        <v>117.36499999999999</v>
      </c>
      <c r="K502" s="88">
        <f t="shared" si="24"/>
        <v>234.73</v>
      </c>
      <c r="L502" s="85">
        <v>12294</v>
      </c>
      <c r="M502" s="118" t="s">
        <v>462</v>
      </c>
      <c r="N502" s="84"/>
      <c r="O502" s="84" t="s">
        <v>42</v>
      </c>
      <c r="R502"/>
    </row>
    <row r="503" spans="1:18" x14ac:dyDescent="0.25">
      <c r="A503" s="84" t="str">
        <f t="shared" si="22"/>
        <v>OutubroSEMANA 2Bala de Alga 500 g</v>
      </c>
      <c r="B503" s="85" t="s">
        <v>37</v>
      </c>
      <c r="C503" s="85" t="s">
        <v>21</v>
      </c>
      <c r="D503" s="86">
        <v>10</v>
      </c>
      <c r="E503" s="116" t="str">
        <f t="shared" si="23"/>
        <v>Vendas Caixa</v>
      </c>
      <c r="F503" s="85" t="s">
        <v>1074</v>
      </c>
      <c r="G503" s="85" t="s">
        <v>159</v>
      </c>
      <c r="H503" s="85" t="s">
        <v>1037</v>
      </c>
      <c r="I503" s="85">
        <v>2</v>
      </c>
      <c r="J503" s="87">
        <v>17.16</v>
      </c>
      <c r="K503" s="88">
        <f t="shared" si="24"/>
        <v>34.32</v>
      </c>
      <c r="L503" s="85" t="s">
        <v>1149</v>
      </c>
      <c r="M503" s="118" t="s">
        <v>463</v>
      </c>
      <c r="N503" s="84"/>
      <c r="O503" s="84" t="s">
        <v>42</v>
      </c>
      <c r="R503"/>
    </row>
    <row r="504" spans="1:18" x14ac:dyDescent="0.25">
      <c r="A504" s="84" t="str">
        <f t="shared" si="22"/>
        <v>OutubroSEMANA 2Farinha Panco</v>
      </c>
      <c r="B504" s="85" t="s">
        <v>37</v>
      </c>
      <c r="C504" s="85" t="s">
        <v>21</v>
      </c>
      <c r="D504" s="86">
        <v>10</v>
      </c>
      <c r="E504" s="116" t="str">
        <f t="shared" si="23"/>
        <v>Mercado</v>
      </c>
      <c r="F504" s="85" t="s">
        <v>1074</v>
      </c>
      <c r="G504" s="85" t="s">
        <v>345</v>
      </c>
      <c r="H504" s="85" t="s">
        <v>1039</v>
      </c>
      <c r="I504" s="85">
        <v>6</v>
      </c>
      <c r="J504" s="87">
        <v>17.7</v>
      </c>
      <c r="K504" s="88">
        <f t="shared" si="24"/>
        <v>106.19999999999999</v>
      </c>
      <c r="L504" s="85" t="s">
        <v>1149</v>
      </c>
      <c r="M504" s="118" t="s">
        <v>464</v>
      </c>
      <c r="N504" s="84"/>
      <c r="O504" s="84" t="s">
        <v>45</v>
      </c>
      <c r="R504"/>
    </row>
    <row r="505" spans="1:18" x14ac:dyDescent="0.25">
      <c r="A505" s="84" t="str">
        <f t="shared" si="22"/>
        <v>OutubroSEMANA 2Gergelim Branco Sushi</v>
      </c>
      <c r="B505" s="85" t="s">
        <v>37</v>
      </c>
      <c r="C505" s="85" t="s">
        <v>21</v>
      </c>
      <c r="D505" s="86">
        <v>10</v>
      </c>
      <c r="E505" s="116" t="str">
        <f t="shared" si="23"/>
        <v>Sushi</v>
      </c>
      <c r="F505" s="85" t="s">
        <v>1074</v>
      </c>
      <c r="G505" s="85" t="s">
        <v>388</v>
      </c>
      <c r="H505" s="85" t="s">
        <v>1039</v>
      </c>
      <c r="I505" s="85">
        <v>1</v>
      </c>
      <c r="J505" s="87">
        <v>16.850000000000001</v>
      </c>
      <c r="K505" s="88">
        <f t="shared" si="24"/>
        <v>16.850000000000001</v>
      </c>
      <c r="L505" s="85" t="s">
        <v>1149</v>
      </c>
      <c r="M505" s="118" t="s">
        <v>465</v>
      </c>
      <c r="N505" s="84"/>
      <c r="O505" s="84" t="s">
        <v>45</v>
      </c>
      <c r="R505"/>
    </row>
    <row r="506" spans="1:18" x14ac:dyDescent="0.25">
      <c r="A506" s="84" t="str">
        <f t="shared" si="22"/>
        <v>OutubroSEMANA 2Gergelim Preto</v>
      </c>
      <c r="B506" s="85" t="s">
        <v>37</v>
      </c>
      <c r="C506" s="85" t="s">
        <v>21</v>
      </c>
      <c r="D506" s="86">
        <v>10</v>
      </c>
      <c r="E506" s="116" t="str">
        <f t="shared" si="23"/>
        <v>Mercado</v>
      </c>
      <c r="F506" s="85" t="s">
        <v>1074</v>
      </c>
      <c r="G506" s="85" t="s">
        <v>389</v>
      </c>
      <c r="H506" s="85" t="s">
        <v>1039</v>
      </c>
      <c r="I506" s="85">
        <v>1</v>
      </c>
      <c r="J506" s="87">
        <v>30.59</v>
      </c>
      <c r="K506" s="88">
        <f t="shared" si="24"/>
        <v>30.59</v>
      </c>
      <c r="L506" s="85" t="s">
        <v>1149</v>
      </c>
      <c r="M506" s="118" t="s">
        <v>466</v>
      </c>
      <c r="N506" s="84"/>
      <c r="O506" s="84" t="s">
        <v>45</v>
      </c>
      <c r="R506"/>
    </row>
    <row r="507" spans="1:18" x14ac:dyDescent="0.25">
      <c r="A507" s="84" t="str">
        <f t="shared" si="22"/>
        <v>OutubroSEMANA 2Macarrão de Feijão (Harusame) 200g</v>
      </c>
      <c r="B507" s="85" t="s">
        <v>37</v>
      </c>
      <c r="C507" s="85" t="s">
        <v>21</v>
      </c>
      <c r="D507" s="86">
        <v>10</v>
      </c>
      <c r="E507" s="116" t="str">
        <f t="shared" si="23"/>
        <v>Mercado</v>
      </c>
      <c r="F507" s="85" t="s">
        <v>1074</v>
      </c>
      <c r="G507" s="85" t="s">
        <v>481</v>
      </c>
      <c r="H507" s="85" t="s">
        <v>1037</v>
      </c>
      <c r="I507" s="85">
        <v>4</v>
      </c>
      <c r="J507" s="87">
        <v>8.48</v>
      </c>
      <c r="K507" s="88">
        <f t="shared" si="24"/>
        <v>33.92</v>
      </c>
      <c r="L507" s="85" t="s">
        <v>1149</v>
      </c>
      <c r="M507" s="118" t="s">
        <v>467</v>
      </c>
      <c r="N507" s="84"/>
      <c r="O507" s="84" t="s">
        <v>42</v>
      </c>
      <c r="R507"/>
    </row>
    <row r="508" spans="1:18" x14ac:dyDescent="0.25">
      <c r="A508" s="84" t="str">
        <f t="shared" si="22"/>
        <v>OutubroSEMANA 2Massa de Harumaki</v>
      </c>
      <c r="B508" s="85" t="s">
        <v>37</v>
      </c>
      <c r="C508" s="85" t="s">
        <v>21</v>
      </c>
      <c r="D508" s="86">
        <v>10</v>
      </c>
      <c r="E508" s="116" t="str">
        <f t="shared" si="23"/>
        <v>Mercado</v>
      </c>
      <c r="F508" s="85" t="s">
        <v>1074</v>
      </c>
      <c r="G508" s="85" t="s">
        <v>507</v>
      </c>
      <c r="H508" s="85" t="s">
        <v>1075</v>
      </c>
      <c r="I508" s="85">
        <f>5*30</f>
        <v>150</v>
      </c>
      <c r="J508" s="87">
        <f>80.05/150</f>
        <v>0.53366666666666662</v>
      </c>
      <c r="K508" s="88">
        <f t="shared" si="24"/>
        <v>80.05</v>
      </c>
      <c r="L508" s="85" t="s">
        <v>1149</v>
      </c>
      <c r="M508" s="118" t="s">
        <v>468</v>
      </c>
      <c r="N508" s="84"/>
      <c r="O508" s="84" t="s">
        <v>42</v>
      </c>
      <c r="R508"/>
    </row>
    <row r="509" spans="1:18" x14ac:dyDescent="0.25">
      <c r="A509" s="84" t="str">
        <f t="shared" si="22"/>
        <v>OutubroSEMANA 2Ovo de Codorna</v>
      </c>
      <c r="B509" s="85" t="s">
        <v>37</v>
      </c>
      <c r="C509" s="85" t="s">
        <v>21</v>
      </c>
      <c r="D509" s="86">
        <v>10</v>
      </c>
      <c r="E509" s="116" t="str">
        <f t="shared" si="23"/>
        <v>Hortifruti</v>
      </c>
      <c r="F509" s="85" t="s">
        <v>1068</v>
      </c>
      <c r="G509" s="85" t="s">
        <v>549</v>
      </c>
      <c r="H509" s="85" t="s">
        <v>1037</v>
      </c>
      <c r="I509" s="85">
        <v>16</v>
      </c>
      <c r="J509" s="87">
        <v>10.4</v>
      </c>
      <c r="K509" s="88">
        <f t="shared" si="24"/>
        <v>166.4</v>
      </c>
      <c r="L509" s="85"/>
      <c r="M509" s="118" t="s">
        <v>469</v>
      </c>
      <c r="N509" s="84"/>
      <c r="O509" s="84" t="s">
        <v>45</v>
      </c>
      <c r="R509"/>
    </row>
    <row r="510" spans="1:18" x14ac:dyDescent="0.25">
      <c r="A510" s="84" t="str">
        <f t="shared" si="22"/>
        <v>OutubroSEMANA 2Farinha de Rosca</v>
      </c>
      <c r="B510" s="85" t="s">
        <v>37</v>
      </c>
      <c r="C510" s="85" t="s">
        <v>21</v>
      </c>
      <c r="D510" s="86">
        <v>10</v>
      </c>
      <c r="E510" s="116" t="str">
        <f t="shared" si="23"/>
        <v>Mercado</v>
      </c>
      <c r="F510" s="85" t="s">
        <v>1068</v>
      </c>
      <c r="G510" s="85" t="s">
        <v>342</v>
      </c>
      <c r="H510" s="85" t="s">
        <v>1039</v>
      </c>
      <c r="I510" s="85">
        <v>10</v>
      </c>
      <c r="J510" s="87">
        <v>9</v>
      </c>
      <c r="K510" s="88">
        <f t="shared" si="24"/>
        <v>90</v>
      </c>
      <c r="L510" s="85"/>
      <c r="M510" s="118" t="s">
        <v>470</v>
      </c>
      <c r="N510" s="84"/>
      <c r="O510" s="84" t="s">
        <v>46</v>
      </c>
      <c r="R510"/>
    </row>
    <row r="511" spans="1:18" x14ac:dyDescent="0.25">
      <c r="A511" s="84" t="str">
        <f t="shared" si="22"/>
        <v>OutubroSEMANA 2Aves - Filé de Peito de Frango</v>
      </c>
      <c r="B511" s="85" t="s">
        <v>37</v>
      </c>
      <c r="C511" s="85" t="s">
        <v>21</v>
      </c>
      <c r="D511" s="86">
        <v>11</v>
      </c>
      <c r="E511" s="116" t="str">
        <f t="shared" si="23"/>
        <v>Carnes</v>
      </c>
      <c r="F511" s="85" t="s">
        <v>1051</v>
      </c>
      <c r="G511" s="85" t="s">
        <v>139</v>
      </c>
      <c r="H511" s="85" t="s">
        <v>1039</v>
      </c>
      <c r="I511" s="85">
        <v>48</v>
      </c>
      <c r="J511" s="87">
        <v>7.8</v>
      </c>
      <c r="K511" s="88">
        <f t="shared" si="24"/>
        <v>374.4</v>
      </c>
      <c r="L511" s="85">
        <v>3276530</v>
      </c>
      <c r="M511" s="118" t="s">
        <v>471</v>
      </c>
      <c r="N511" s="84"/>
      <c r="O511" s="84" t="s">
        <v>873</v>
      </c>
      <c r="R511"/>
    </row>
    <row r="512" spans="1:18" x14ac:dyDescent="0.25">
      <c r="A512" s="84" t="str">
        <f t="shared" si="22"/>
        <v>OutubroSEMANA 2Farinha de Trigo</v>
      </c>
      <c r="B512" s="85" t="s">
        <v>37</v>
      </c>
      <c r="C512" s="85" t="s">
        <v>21</v>
      </c>
      <c r="D512" s="86">
        <v>11</v>
      </c>
      <c r="E512" s="116" t="str">
        <f t="shared" si="23"/>
        <v>Mercado</v>
      </c>
      <c r="F512" s="85" t="s">
        <v>1084</v>
      </c>
      <c r="G512" s="85" t="s">
        <v>343</v>
      </c>
      <c r="H512" s="85" t="s">
        <v>1039</v>
      </c>
      <c r="I512" s="85">
        <v>30</v>
      </c>
      <c r="J512" s="87">
        <v>1.679</v>
      </c>
      <c r="K512" s="88">
        <f t="shared" si="24"/>
        <v>50.370000000000005</v>
      </c>
      <c r="L512" s="85" t="s">
        <v>1150</v>
      </c>
      <c r="M512" s="118" t="s">
        <v>472</v>
      </c>
      <c r="N512" s="84"/>
      <c r="O512" s="84" t="s">
        <v>873</v>
      </c>
      <c r="R512"/>
    </row>
    <row r="513" spans="1:18" x14ac:dyDescent="0.25">
      <c r="A513" s="84" t="str">
        <f t="shared" si="22"/>
        <v>OutubroSEMANA 2Feijão Preto</v>
      </c>
      <c r="B513" s="85" t="s">
        <v>37</v>
      </c>
      <c r="C513" s="85" t="s">
        <v>21</v>
      </c>
      <c r="D513" s="86">
        <v>11</v>
      </c>
      <c r="E513" s="116" t="str">
        <f t="shared" si="23"/>
        <v>Mercado</v>
      </c>
      <c r="F513" s="85" t="s">
        <v>1084</v>
      </c>
      <c r="G513" s="85" t="s">
        <v>352</v>
      </c>
      <c r="H513" s="85" t="s">
        <v>1039</v>
      </c>
      <c r="I513" s="85">
        <v>20</v>
      </c>
      <c r="J513" s="87">
        <v>4.4000000000000004</v>
      </c>
      <c r="K513" s="88">
        <f t="shared" si="24"/>
        <v>88</v>
      </c>
      <c r="L513" s="85" t="s">
        <v>1150</v>
      </c>
      <c r="M513" s="118" t="s">
        <v>473</v>
      </c>
      <c r="N513" s="84"/>
      <c r="O513" s="84" t="s">
        <v>873</v>
      </c>
      <c r="R513"/>
    </row>
    <row r="514" spans="1:18" x14ac:dyDescent="0.25">
      <c r="A514" s="84" t="str">
        <f t="shared" ref="A514:A577" si="25">CONCATENATE(B514,C514,G514)</f>
        <v>OutubroSEMANA 2Farinha de Mandioca</v>
      </c>
      <c r="B514" s="85" t="s">
        <v>37</v>
      </c>
      <c r="C514" s="85" t="s">
        <v>21</v>
      </c>
      <c r="D514" s="86">
        <v>11</v>
      </c>
      <c r="E514" s="116" t="str">
        <f t="shared" ref="E514:E577" si="26">VLOOKUP(G514,$M$1:$O$968,3,0)</f>
        <v>Mercado</v>
      </c>
      <c r="F514" s="85" t="s">
        <v>1084</v>
      </c>
      <c r="G514" s="85" t="s">
        <v>341</v>
      </c>
      <c r="H514" s="85" t="s">
        <v>1039</v>
      </c>
      <c r="I514" s="85">
        <v>20</v>
      </c>
      <c r="J514" s="87">
        <f>82.61/20</f>
        <v>4.1304999999999996</v>
      </c>
      <c r="K514" s="88">
        <f t="shared" ref="K514:K577" si="27">I514*J514</f>
        <v>82.609999999999985</v>
      </c>
      <c r="L514" s="85" t="s">
        <v>1150</v>
      </c>
      <c r="M514" s="118" t="s">
        <v>474</v>
      </c>
      <c r="N514" s="84"/>
      <c r="O514" s="84" t="s">
        <v>873</v>
      </c>
      <c r="R514"/>
    </row>
    <row r="515" spans="1:18" x14ac:dyDescent="0.25">
      <c r="A515" s="84" t="str">
        <f t="shared" si="25"/>
        <v>OutubroSEMANA 2Azeitona Verde Fatiada Bd 2 kg</v>
      </c>
      <c r="B515" s="85" t="s">
        <v>37</v>
      </c>
      <c r="C515" s="85" t="s">
        <v>21</v>
      </c>
      <c r="D515" s="86">
        <v>11</v>
      </c>
      <c r="E515" s="116" t="str">
        <f t="shared" si="26"/>
        <v>Mercado</v>
      </c>
      <c r="F515" s="85" t="s">
        <v>1084</v>
      </c>
      <c r="G515" s="85" t="s">
        <v>158</v>
      </c>
      <c r="H515" s="85" t="s">
        <v>1046</v>
      </c>
      <c r="I515" s="85">
        <v>1</v>
      </c>
      <c r="J515" s="87">
        <v>22.49</v>
      </c>
      <c r="K515" s="88">
        <f t="shared" si="27"/>
        <v>22.49</v>
      </c>
      <c r="L515" s="85" t="s">
        <v>1150</v>
      </c>
      <c r="M515" s="118" t="s">
        <v>1297</v>
      </c>
      <c r="O515" s="84" t="s">
        <v>60</v>
      </c>
      <c r="R515"/>
    </row>
    <row r="516" spans="1:18" x14ac:dyDescent="0.25">
      <c r="A516" s="84" t="str">
        <f t="shared" si="25"/>
        <v>OutubroSEMANA 2Maionese Hellmanns Bd 3 Kg</v>
      </c>
      <c r="B516" s="85" t="s">
        <v>37</v>
      </c>
      <c r="C516" s="85" t="s">
        <v>21</v>
      </c>
      <c r="D516" s="86">
        <v>11</v>
      </c>
      <c r="E516" s="116" t="str">
        <f t="shared" si="26"/>
        <v>Mercado</v>
      </c>
      <c r="F516" s="85" t="s">
        <v>1085</v>
      </c>
      <c r="G516" s="85" t="s">
        <v>492</v>
      </c>
      <c r="H516" s="85" t="s">
        <v>1046</v>
      </c>
      <c r="I516" s="85">
        <v>1</v>
      </c>
      <c r="J516" s="87"/>
      <c r="K516" s="88">
        <f t="shared" si="27"/>
        <v>0</v>
      </c>
      <c r="L516" s="85" t="s">
        <v>1151</v>
      </c>
      <c r="M516" s="118" t="s">
        <v>475</v>
      </c>
      <c r="N516" s="84"/>
      <c r="O516" s="84" t="s">
        <v>45</v>
      </c>
      <c r="R516"/>
    </row>
    <row r="517" spans="1:18" x14ac:dyDescent="0.25">
      <c r="A517" s="84" t="str">
        <f t="shared" si="25"/>
        <v>OutubroSEMANA 2Lentilha</v>
      </c>
      <c r="B517" s="85" t="s">
        <v>37</v>
      </c>
      <c r="C517" s="85" t="s">
        <v>21</v>
      </c>
      <c r="D517" s="86">
        <v>11</v>
      </c>
      <c r="E517" s="116" t="str">
        <f t="shared" si="26"/>
        <v>Mercado</v>
      </c>
      <c r="F517" s="85" t="s">
        <v>1085</v>
      </c>
      <c r="G517" s="85" t="s">
        <v>462</v>
      </c>
      <c r="H517" s="85" t="s">
        <v>1039</v>
      </c>
      <c r="I517" s="85">
        <f>20*0.5</f>
        <v>10</v>
      </c>
      <c r="J517" s="87">
        <v>12.72</v>
      </c>
      <c r="K517" s="88">
        <f t="shared" si="27"/>
        <v>127.2</v>
      </c>
      <c r="L517" s="85" t="s">
        <v>1152</v>
      </c>
      <c r="M517" s="118" t="s">
        <v>476</v>
      </c>
      <c r="N517" s="84"/>
      <c r="O517" s="84" t="s">
        <v>42</v>
      </c>
      <c r="R517"/>
    </row>
    <row r="518" spans="1:18" x14ac:dyDescent="0.25">
      <c r="A518" s="84" t="str">
        <f t="shared" si="25"/>
        <v>OutubroSEMANA 2Maionese Hellmanns Bd 3 Kg</v>
      </c>
      <c r="B518" s="85" t="s">
        <v>37</v>
      </c>
      <c r="C518" s="85" t="s">
        <v>21</v>
      </c>
      <c r="D518" s="86">
        <v>11</v>
      </c>
      <c r="E518" s="116" t="str">
        <f t="shared" si="26"/>
        <v>Mercado</v>
      </c>
      <c r="F518" s="85" t="s">
        <v>1085</v>
      </c>
      <c r="G518" s="85" t="s">
        <v>492</v>
      </c>
      <c r="H518" s="85" t="s">
        <v>1046</v>
      </c>
      <c r="I518" s="85">
        <v>5</v>
      </c>
      <c r="J518" s="87">
        <v>24.36</v>
      </c>
      <c r="K518" s="88">
        <f t="shared" si="27"/>
        <v>121.8</v>
      </c>
      <c r="L518" s="85" t="s">
        <v>1152</v>
      </c>
      <c r="M518" s="118" t="s">
        <v>477</v>
      </c>
      <c r="N518" s="84"/>
      <c r="O518" s="84" t="s">
        <v>45</v>
      </c>
      <c r="R518"/>
    </row>
    <row r="519" spans="1:18" x14ac:dyDescent="0.25">
      <c r="A519" s="84" t="str">
        <f t="shared" si="25"/>
        <v>OutubroSEMANA 2Margarina Bd 15 Kg</v>
      </c>
      <c r="B519" s="85" t="s">
        <v>37</v>
      </c>
      <c r="C519" s="85" t="s">
        <v>21</v>
      </c>
      <c r="D519" s="86">
        <v>11</v>
      </c>
      <c r="E519" s="116" t="str">
        <f t="shared" si="26"/>
        <v>Mercado</v>
      </c>
      <c r="F519" s="85" t="s">
        <v>1085</v>
      </c>
      <c r="G519" s="85" t="s">
        <v>505</v>
      </c>
      <c r="H519" s="85" t="s">
        <v>1046</v>
      </c>
      <c r="I519" s="85">
        <v>1</v>
      </c>
      <c r="J519" s="87">
        <v>73.37</v>
      </c>
      <c r="K519" s="88">
        <f t="shared" si="27"/>
        <v>73.37</v>
      </c>
      <c r="L519" s="85" t="s">
        <v>1152</v>
      </c>
      <c r="M519" s="118" t="s">
        <v>478</v>
      </c>
      <c r="N519" s="84"/>
      <c r="O519" s="84" t="s">
        <v>42</v>
      </c>
      <c r="R519"/>
    </row>
    <row r="520" spans="1:18" x14ac:dyDescent="0.25">
      <c r="A520" s="84" t="str">
        <f t="shared" si="25"/>
        <v>OutubroSEMANA 2Shoyu Premium (Mesa) Bb 5 Lt</v>
      </c>
      <c r="B520" s="85" t="s">
        <v>37</v>
      </c>
      <c r="C520" s="85" t="s">
        <v>21</v>
      </c>
      <c r="D520" s="86">
        <v>11</v>
      </c>
      <c r="E520" s="116" t="str">
        <f t="shared" si="26"/>
        <v>Mercado</v>
      </c>
      <c r="F520" s="85" t="s">
        <v>1085</v>
      </c>
      <c r="G520" s="85" t="s">
        <v>744</v>
      </c>
      <c r="H520" s="85" t="s">
        <v>1087</v>
      </c>
      <c r="I520" s="85">
        <v>1</v>
      </c>
      <c r="J520" s="87">
        <v>53.42</v>
      </c>
      <c r="K520" s="88">
        <f t="shared" si="27"/>
        <v>53.42</v>
      </c>
      <c r="L520" s="85" t="s">
        <v>1152</v>
      </c>
      <c r="M520" s="118" t="s">
        <v>479</v>
      </c>
      <c r="N520" s="84"/>
      <c r="O520" s="84" t="s">
        <v>42</v>
      </c>
      <c r="R520"/>
    </row>
    <row r="521" spans="1:18" x14ac:dyDescent="0.25">
      <c r="A521" s="84" t="str">
        <f t="shared" si="25"/>
        <v>OutubroSEMANA 2Shoyu Tradicional (Cozinha) Bb 5 Lt</v>
      </c>
      <c r="B521" s="85" t="s">
        <v>37</v>
      </c>
      <c r="C521" s="85" t="s">
        <v>21</v>
      </c>
      <c r="D521" s="86">
        <v>11</v>
      </c>
      <c r="E521" s="116" t="str">
        <f t="shared" si="26"/>
        <v>Mercado</v>
      </c>
      <c r="F521" s="85" t="s">
        <v>1085</v>
      </c>
      <c r="G521" s="85" t="s">
        <v>745</v>
      </c>
      <c r="H521" s="85" t="s">
        <v>1087</v>
      </c>
      <c r="I521" s="85">
        <v>1</v>
      </c>
      <c r="J521" s="87">
        <v>45.17</v>
      </c>
      <c r="K521" s="88">
        <f t="shared" si="27"/>
        <v>45.17</v>
      </c>
      <c r="L521" s="85" t="s">
        <v>1152</v>
      </c>
      <c r="M521" s="118" t="s">
        <v>480</v>
      </c>
      <c r="N521" s="84"/>
      <c r="O521" s="84" t="s">
        <v>42</v>
      </c>
      <c r="R521"/>
    </row>
    <row r="522" spans="1:18" x14ac:dyDescent="0.25">
      <c r="A522" s="84" t="str">
        <f t="shared" si="25"/>
        <v>OutubroSEMANA 2Mostarda Bb 3,3, Kg</v>
      </c>
      <c r="B522" s="85" t="s">
        <v>37</v>
      </c>
      <c r="C522" s="85" t="s">
        <v>21</v>
      </c>
      <c r="D522" s="86">
        <v>11</v>
      </c>
      <c r="E522" s="116" t="str">
        <f t="shared" si="26"/>
        <v>Mercado</v>
      </c>
      <c r="F522" s="85" t="s">
        <v>1085</v>
      </c>
      <c r="G522" s="85" t="s">
        <v>532</v>
      </c>
      <c r="H522" s="85" t="s">
        <v>1087</v>
      </c>
      <c r="I522" s="85">
        <v>1</v>
      </c>
      <c r="J522" s="87">
        <v>11.39</v>
      </c>
      <c r="K522" s="88">
        <f t="shared" si="27"/>
        <v>11.39</v>
      </c>
      <c r="L522" s="85" t="s">
        <v>1152</v>
      </c>
      <c r="M522" s="118" t="s">
        <v>481</v>
      </c>
      <c r="N522" s="84"/>
      <c r="O522" s="84" t="s">
        <v>42</v>
      </c>
      <c r="R522"/>
    </row>
    <row r="523" spans="1:18" x14ac:dyDescent="0.25">
      <c r="A523" s="84" t="str">
        <f t="shared" si="25"/>
        <v>OutubroSEMANA 2Palmito lata 500gr</v>
      </c>
      <c r="B523" s="85" t="s">
        <v>37</v>
      </c>
      <c r="C523" s="85" t="s">
        <v>21</v>
      </c>
      <c r="D523" s="86">
        <v>11</v>
      </c>
      <c r="E523" s="116" t="str">
        <f t="shared" si="26"/>
        <v>Mercado</v>
      </c>
      <c r="F523" s="85" t="s">
        <v>1153</v>
      </c>
      <c r="G523" s="85" t="s">
        <v>556</v>
      </c>
      <c r="H523" s="85" t="s">
        <v>1038</v>
      </c>
      <c r="I523" s="85">
        <f>3*12</f>
        <v>36</v>
      </c>
      <c r="J523" s="87">
        <f>636/36</f>
        <v>17.666666666666668</v>
      </c>
      <c r="K523" s="88">
        <f t="shared" si="27"/>
        <v>636</v>
      </c>
      <c r="L523" s="85">
        <v>4242</v>
      </c>
      <c r="M523" s="118" t="s">
        <v>482</v>
      </c>
      <c r="N523" s="84"/>
      <c r="O523" s="84" t="s">
        <v>42</v>
      </c>
      <c r="R523"/>
    </row>
    <row r="524" spans="1:18" x14ac:dyDescent="0.25">
      <c r="A524" s="84" t="str">
        <f t="shared" si="25"/>
        <v>OutubroSEMANA 2Pescados - Camarão IQF Evisc. 51/60</v>
      </c>
      <c r="B524" s="85" t="s">
        <v>37</v>
      </c>
      <c r="C524" s="85" t="s">
        <v>21</v>
      </c>
      <c r="D524" s="86">
        <v>11</v>
      </c>
      <c r="E524" s="116" t="str">
        <f t="shared" si="26"/>
        <v>Carnes</v>
      </c>
      <c r="F524" s="85" t="s">
        <v>1048</v>
      </c>
      <c r="G524" s="85" t="s">
        <v>594</v>
      </c>
      <c r="H524" s="85" t="s">
        <v>1039</v>
      </c>
      <c r="I524" s="85">
        <v>14</v>
      </c>
      <c r="J524" s="87">
        <v>45</v>
      </c>
      <c r="K524" s="88">
        <f t="shared" si="27"/>
        <v>630</v>
      </c>
      <c r="L524" s="85">
        <v>281955</v>
      </c>
      <c r="M524" s="118" t="s">
        <v>483</v>
      </c>
      <c r="N524" s="84"/>
      <c r="O524" s="84" t="s">
        <v>42</v>
      </c>
      <c r="R524"/>
    </row>
    <row r="525" spans="1:18" x14ac:dyDescent="0.25">
      <c r="A525" s="84" t="str">
        <f t="shared" si="25"/>
        <v>OutubroSEMANA 2Açucar Refinado</v>
      </c>
      <c r="B525" s="85" t="s">
        <v>37</v>
      </c>
      <c r="C525" s="85" t="s">
        <v>21</v>
      </c>
      <c r="D525" s="86">
        <v>11</v>
      </c>
      <c r="E525" s="116" t="str">
        <f t="shared" si="26"/>
        <v>Mercado</v>
      </c>
      <c r="F525" s="85" t="s">
        <v>1080</v>
      </c>
      <c r="G525" s="85" t="s">
        <v>79</v>
      </c>
      <c r="H525" s="85" t="s">
        <v>1039</v>
      </c>
      <c r="I525" s="85">
        <f>30-7-1-6</f>
        <v>16</v>
      </c>
      <c r="J525" s="87">
        <v>2.25</v>
      </c>
      <c r="K525" s="88">
        <f t="shared" si="27"/>
        <v>36</v>
      </c>
      <c r="L525" s="85" t="s">
        <v>1154</v>
      </c>
      <c r="M525" s="118" t="s">
        <v>484</v>
      </c>
      <c r="N525" s="84"/>
      <c r="O525" s="84" t="s">
        <v>42</v>
      </c>
      <c r="R525"/>
    </row>
    <row r="526" spans="1:18" x14ac:dyDescent="0.25">
      <c r="A526" s="84" t="str">
        <f t="shared" si="25"/>
        <v>OutubroSEMANA 2Leite Integral</v>
      </c>
      <c r="B526" s="85" t="s">
        <v>37</v>
      </c>
      <c r="C526" s="85" t="s">
        <v>21</v>
      </c>
      <c r="D526" s="86">
        <v>11</v>
      </c>
      <c r="E526" s="116" t="str">
        <f t="shared" si="26"/>
        <v>Mercado</v>
      </c>
      <c r="F526" s="85" t="s">
        <v>1080</v>
      </c>
      <c r="G526" s="85" t="s">
        <v>461</v>
      </c>
      <c r="H526" s="85" t="s">
        <v>1081</v>
      </c>
      <c r="I526" s="85">
        <f>6*12</f>
        <v>72</v>
      </c>
      <c r="J526" s="87">
        <f>211.67/72</f>
        <v>2.939861111111111</v>
      </c>
      <c r="K526" s="88">
        <f t="shared" si="27"/>
        <v>211.67</v>
      </c>
      <c r="L526" s="85" t="s">
        <v>1154</v>
      </c>
      <c r="M526" s="118" t="s">
        <v>485</v>
      </c>
      <c r="N526" s="84"/>
      <c r="O526" s="84" t="s">
        <v>42</v>
      </c>
      <c r="R526"/>
    </row>
    <row r="527" spans="1:18" x14ac:dyDescent="0.25">
      <c r="A527" s="84" t="str">
        <f t="shared" si="25"/>
        <v>OutubroSEMANA 2Óleo de Soja 18 Lt</v>
      </c>
      <c r="B527" s="85" t="s">
        <v>37</v>
      </c>
      <c r="C527" s="85" t="s">
        <v>21</v>
      </c>
      <c r="D527" s="86">
        <v>11</v>
      </c>
      <c r="E527" s="116" t="str">
        <f t="shared" si="26"/>
        <v>Mercado</v>
      </c>
      <c r="F527" s="85" t="s">
        <v>1080</v>
      </c>
      <c r="G527" s="85" t="s">
        <v>545</v>
      </c>
      <c r="H527" s="85" t="s">
        <v>1082</v>
      </c>
      <c r="I527" s="85">
        <v>3</v>
      </c>
      <c r="J527" s="87">
        <v>61.98</v>
      </c>
      <c r="K527" s="88">
        <f t="shared" si="27"/>
        <v>185.94</v>
      </c>
      <c r="L527" s="85" t="s">
        <v>1154</v>
      </c>
      <c r="M527" s="118" t="s">
        <v>486</v>
      </c>
      <c r="N527" s="84"/>
      <c r="O527" s="84" t="s">
        <v>42</v>
      </c>
      <c r="R527"/>
    </row>
    <row r="528" spans="1:18" x14ac:dyDescent="0.25">
      <c r="A528" s="84" t="str">
        <f t="shared" si="25"/>
        <v>OutubroSEMANA 2Maisena Amido de Milho 1 Kg</v>
      </c>
      <c r="B528" s="85" t="s">
        <v>37</v>
      </c>
      <c r="C528" s="85" t="s">
        <v>21</v>
      </c>
      <c r="D528" s="86">
        <v>11</v>
      </c>
      <c r="E528" s="116" t="str">
        <f t="shared" si="26"/>
        <v>Mercado</v>
      </c>
      <c r="F528" s="85" t="s">
        <v>1080</v>
      </c>
      <c r="G528" s="85" t="s">
        <v>493</v>
      </c>
      <c r="H528" s="85" t="s">
        <v>1039</v>
      </c>
      <c r="I528" s="85">
        <v>10</v>
      </c>
      <c r="J528" s="87">
        <v>10.8</v>
      </c>
      <c r="K528" s="88">
        <f t="shared" si="27"/>
        <v>108</v>
      </c>
      <c r="L528" s="85" t="s">
        <v>1154</v>
      </c>
      <c r="M528" s="118" t="s">
        <v>988</v>
      </c>
      <c r="N528" s="84"/>
      <c r="O528" s="84" t="s">
        <v>42</v>
      </c>
      <c r="R528"/>
    </row>
    <row r="529" spans="1:18" x14ac:dyDescent="0.25">
      <c r="A529" s="84" t="str">
        <f t="shared" si="25"/>
        <v>OutubroSEMANA 2Pão Francês</v>
      </c>
      <c r="B529" s="85" t="s">
        <v>37</v>
      </c>
      <c r="C529" s="85" t="s">
        <v>21</v>
      </c>
      <c r="D529" s="86">
        <v>11</v>
      </c>
      <c r="E529" s="116" t="str">
        <f t="shared" si="26"/>
        <v>Mercado</v>
      </c>
      <c r="F529" s="85" t="s">
        <v>1036</v>
      </c>
      <c r="G529" s="85" t="s">
        <v>565</v>
      </c>
      <c r="H529" s="85" t="s">
        <v>1039</v>
      </c>
      <c r="I529" s="85">
        <v>0.23</v>
      </c>
      <c r="J529" s="87">
        <v>13.98</v>
      </c>
      <c r="K529" s="88">
        <f t="shared" si="27"/>
        <v>3.2154000000000003</v>
      </c>
      <c r="L529" s="85">
        <v>50665</v>
      </c>
      <c r="M529" s="118" t="s">
        <v>487</v>
      </c>
      <c r="N529" s="84"/>
      <c r="O529" s="84" t="s">
        <v>42</v>
      </c>
      <c r="R529"/>
    </row>
    <row r="530" spans="1:18" x14ac:dyDescent="0.25">
      <c r="A530" s="84" t="str">
        <f t="shared" si="25"/>
        <v>OutubroSEMANA 2Gelatina em pó s/ sabor (incolor)</v>
      </c>
      <c r="B530" s="85" t="s">
        <v>37</v>
      </c>
      <c r="C530" s="85" t="s">
        <v>21</v>
      </c>
      <c r="D530" s="86">
        <v>11</v>
      </c>
      <c r="E530" s="116" t="str">
        <f t="shared" si="26"/>
        <v>Mercado</v>
      </c>
      <c r="F530" s="85" t="s">
        <v>1036</v>
      </c>
      <c r="G530" s="85" t="s">
        <v>380</v>
      </c>
      <c r="H530" s="85" t="s">
        <v>1037</v>
      </c>
      <c r="I530" s="85">
        <v>2</v>
      </c>
      <c r="J530" s="87">
        <v>5.45</v>
      </c>
      <c r="K530" s="88">
        <f t="shared" si="27"/>
        <v>10.9</v>
      </c>
      <c r="L530" s="85">
        <v>50665</v>
      </c>
      <c r="M530" s="118" t="s">
        <v>488</v>
      </c>
      <c r="N530" s="84"/>
      <c r="O530" s="84" t="s">
        <v>42</v>
      </c>
      <c r="R530"/>
    </row>
    <row r="531" spans="1:18" x14ac:dyDescent="0.25">
      <c r="A531" s="84" t="str">
        <f t="shared" si="25"/>
        <v>OutubroSEMANA 2Creme de Leite Chantily</v>
      </c>
      <c r="B531" s="85" t="s">
        <v>37</v>
      </c>
      <c r="C531" s="85" t="s">
        <v>21</v>
      </c>
      <c r="D531" s="86">
        <v>11</v>
      </c>
      <c r="E531" s="116" t="str">
        <f t="shared" si="26"/>
        <v>Mercado</v>
      </c>
      <c r="F531" s="85" t="s">
        <v>1045</v>
      </c>
      <c r="G531" s="85" t="s">
        <v>314</v>
      </c>
      <c r="H531" s="85" t="s">
        <v>1039</v>
      </c>
      <c r="I531" s="85">
        <v>0.5</v>
      </c>
      <c r="J531" s="87">
        <f>11.14/0.5</f>
        <v>22.28</v>
      </c>
      <c r="K531" s="88">
        <f t="shared" si="27"/>
        <v>11.14</v>
      </c>
      <c r="L531" s="85" t="s">
        <v>1155</v>
      </c>
      <c r="M531" s="118" t="s">
        <v>489</v>
      </c>
      <c r="N531" s="84"/>
      <c r="O531" s="84" t="s">
        <v>42</v>
      </c>
      <c r="R531"/>
    </row>
    <row r="532" spans="1:18" x14ac:dyDescent="0.25">
      <c r="A532" s="84" t="str">
        <f t="shared" si="25"/>
        <v>OutubroSEMANA 2Creme de Leite Culinário 20% Bd 10 Lt</v>
      </c>
      <c r="B532" s="85" t="s">
        <v>37</v>
      </c>
      <c r="C532" s="85" t="s">
        <v>21</v>
      </c>
      <c r="D532" s="86">
        <v>11</v>
      </c>
      <c r="E532" s="116" t="str">
        <f t="shared" si="26"/>
        <v>Mercado</v>
      </c>
      <c r="F532" s="85" t="s">
        <v>1045</v>
      </c>
      <c r="G532" s="85" t="s">
        <v>315</v>
      </c>
      <c r="H532" s="85" t="s">
        <v>1046</v>
      </c>
      <c r="I532" s="85">
        <v>2</v>
      </c>
      <c r="J532" s="87">
        <v>142.44999999999999</v>
      </c>
      <c r="K532" s="88">
        <f t="shared" si="27"/>
        <v>284.89999999999998</v>
      </c>
      <c r="L532" s="85" t="s">
        <v>1155</v>
      </c>
      <c r="M532" s="118" t="s">
        <v>490</v>
      </c>
      <c r="N532" s="84"/>
      <c r="O532" s="84" t="s">
        <v>42</v>
      </c>
      <c r="R532"/>
    </row>
    <row r="533" spans="1:18" x14ac:dyDescent="0.25">
      <c r="A533" s="84" t="str">
        <f t="shared" si="25"/>
        <v>OutubroSEMANA 2Queijo Mussarela</v>
      </c>
      <c r="B533" s="85" t="s">
        <v>37</v>
      </c>
      <c r="C533" s="85" t="s">
        <v>21</v>
      </c>
      <c r="D533" s="86">
        <v>11</v>
      </c>
      <c r="E533" s="116" t="str">
        <f t="shared" si="26"/>
        <v>Mercado</v>
      </c>
      <c r="F533" s="85" t="s">
        <v>1045</v>
      </c>
      <c r="G533" s="85" t="s">
        <v>685</v>
      </c>
      <c r="H533" s="85" t="s">
        <v>1039</v>
      </c>
      <c r="I533" s="85">
        <v>3.5</v>
      </c>
      <c r="J533" s="87">
        <v>26</v>
      </c>
      <c r="K533" s="88">
        <f t="shared" si="27"/>
        <v>91</v>
      </c>
      <c r="L533" s="85" t="s">
        <v>1155</v>
      </c>
      <c r="M533" s="118" t="s">
        <v>491</v>
      </c>
      <c r="N533" s="84"/>
      <c r="O533" s="84" t="s">
        <v>42</v>
      </c>
      <c r="R533"/>
    </row>
    <row r="534" spans="1:18" x14ac:dyDescent="0.25">
      <c r="A534" s="84" t="str">
        <f t="shared" si="25"/>
        <v>OutubroSEMANA 2Queijo Provolone Curado</v>
      </c>
      <c r="B534" s="85" t="s">
        <v>37</v>
      </c>
      <c r="C534" s="85" t="s">
        <v>21</v>
      </c>
      <c r="D534" s="86">
        <v>11</v>
      </c>
      <c r="E534" s="116" t="str">
        <f t="shared" si="26"/>
        <v>Mercado</v>
      </c>
      <c r="F534" s="85" t="s">
        <v>1045</v>
      </c>
      <c r="G534" s="85" t="s">
        <v>990</v>
      </c>
      <c r="H534" s="85" t="s">
        <v>1039</v>
      </c>
      <c r="I534" s="85">
        <v>4.4400000000000004</v>
      </c>
      <c r="J534" s="87">
        <v>40.700000000000003</v>
      </c>
      <c r="K534" s="88">
        <f t="shared" si="27"/>
        <v>180.70800000000003</v>
      </c>
      <c r="L534" s="85" t="s">
        <v>1155</v>
      </c>
      <c r="M534" s="118" t="s">
        <v>492</v>
      </c>
      <c r="N534" s="84"/>
      <c r="O534" s="84" t="s">
        <v>42</v>
      </c>
      <c r="R534"/>
    </row>
    <row r="535" spans="1:18" x14ac:dyDescent="0.25">
      <c r="A535" s="84" t="str">
        <f t="shared" si="25"/>
        <v>OutubroSEMANA 2Queijo Requeijão BD 3,6 Kg</v>
      </c>
      <c r="B535" s="85" t="s">
        <v>37</v>
      </c>
      <c r="C535" s="85" t="s">
        <v>21</v>
      </c>
      <c r="D535" s="86">
        <v>11</v>
      </c>
      <c r="E535" s="116" t="str">
        <f t="shared" si="26"/>
        <v>Mercado</v>
      </c>
      <c r="F535" s="85" t="s">
        <v>1045</v>
      </c>
      <c r="G535" s="85" t="s">
        <v>688</v>
      </c>
      <c r="H535" s="85" t="s">
        <v>1046</v>
      </c>
      <c r="I535" s="85">
        <v>2</v>
      </c>
      <c r="J535" s="87">
        <v>74.400000000000006</v>
      </c>
      <c r="K535" s="88">
        <f t="shared" si="27"/>
        <v>148.80000000000001</v>
      </c>
      <c r="L535" s="85" t="s">
        <v>1155</v>
      </c>
      <c r="M535" s="118" t="s">
        <v>493</v>
      </c>
      <c r="N535" s="84"/>
      <c r="O535" s="84" t="s">
        <v>42</v>
      </c>
      <c r="R535"/>
    </row>
    <row r="536" spans="1:18" x14ac:dyDescent="0.25">
      <c r="A536" s="84" t="str">
        <f t="shared" si="25"/>
        <v>OutubroSEMANA 2Amendoa Fatiada</v>
      </c>
      <c r="B536" s="85" t="s">
        <v>37</v>
      </c>
      <c r="C536" s="85" t="s">
        <v>21</v>
      </c>
      <c r="D536" s="86">
        <v>11</v>
      </c>
      <c r="E536" s="116" t="str">
        <f t="shared" si="26"/>
        <v>Mercado</v>
      </c>
      <c r="F536" s="85" t="s">
        <v>1099</v>
      </c>
      <c r="G536" s="85" t="s">
        <v>117</v>
      </c>
      <c r="H536" s="85" t="s">
        <v>1039</v>
      </c>
      <c r="I536" s="85">
        <v>0.51200000000000001</v>
      </c>
      <c r="J536" s="87">
        <v>70.644499999999994</v>
      </c>
      <c r="K536" s="88">
        <f t="shared" si="27"/>
        <v>36.169983999999999</v>
      </c>
      <c r="L536" s="85">
        <v>91710</v>
      </c>
      <c r="M536" s="118" t="s">
        <v>494</v>
      </c>
      <c r="N536" s="84"/>
      <c r="O536" s="84" t="s">
        <v>45</v>
      </c>
      <c r="R536"/>
    </row>
    <row r="537" spans="1:18" x14ac:dyDescent="0.25">
      <c r="A537" s="84" t="str">
        <f t="shared" si="25"/>
        <v>OutubroSEMANA 2Castanha de Caju Crua</v>
      </c>
      <c r="B537" s="85" t="s">
        <v>37</v>
      </c>
      <c r="C537" s="85" t="s">
        <v>21</v>
      </c>
      <c r="D537" s="86">
        <v>11</v>
      </c>
      <c r="E537" s="116" t="str">
        <f t="shared" si="26"/>
        <v>Mercado</v>
      </c>
      <c r="F537" s="85" t="s">
        <v>1099</v>
      </c>
      <c r="G537" s="85" t="s">
        <v>1028</v>
      </c>
      <c r="H537" s="85" t="s">
        <v>1039</v>
      </c>
      <c r="I537" s="85">
        <v>1.014</v>
      </c>
      <c r="J537" s="87">
        <v>79.378699999999995</v>
      </c>
      <c r="K537" s="88">
        <f t="shared" si="27"/>
        <v>80.490001800000002</v>
      </c>
      <c r="L537" s="85">
        <v>91710</v>
      </c>
      <c r="M537" s="118" t="s">
        <v>495</v>
      </c>
      <c r="N537" s="84"/>
      <c r="O537" s="84" t="s">
        <v>45</v>
      </c>
      <c r="R537"/>
    </row>
    <row r="538" spans="1:18" x14ac:dyDescent="0.25">
      <c r="A538" s="84" t="str">
        <f t="shared" si="25"/>
        <v>OutubroSEMANA 2Funghi Seco</v>
      </c>
      <c r="B538" s="85" t="s">
        <v>37</v>
      </c>
      <c r="C538" s="85" t="s">
        <v>21</v>
      </c>
      <c r="D538" s="86">
        <v>11</v>
      </c>
      <c r="E538" s="116" t="str">
        <f t="shared" si="26"/>
        <v>Mercado</v>
      </c>
      <c r="F538" s="85" t="s">
        <v>1099</v>
      </c>
      <c r="G538" s="85" t="s">
        <v>376</v>
      </c>
      <c r="H538" s="85" t="s">
        <v>1039</v>
      </c>
      <c r="I538" s="85">
        <v>0.50800000000000001</v>
      </c>
      <c r="J538" s="87">
        <v>79.822800000000001</v>
      </c>
      <c r="K538" s="88">
        <f t="shared" si="27"/>
        <v>40.549982399999998</v>
      </c>
      <c r="L538" s="85">
        <v>91710</v>
      </c>
      <c r="M538" s="118" t="s">
        <v>496</v>
      </c>
      <c r="N538" s="84"/>
      <c r="O538" s="84" t="s">
        <v>45</v>
      </c>
      <c r="R538"/>
    </row>
    <row r="539" spans="1:18" x14ac:dyDescent="0.25">
      <c r="A539" s="84" t="str">
        <f t="shared" si="25"/>
        <v>OutubroSEMANA 2Manteiga de Garrafa</v>
      </c>
      <c r="B539" s="85" t="s">
        <v>37</v>
      </c>
      <c r="C539" s="85" t="s">
        <v>21</v>
      </c>
      <c r="D539" s="86">
        <v>11</v>
      </c>
      <c r="E539" s="116" t="str">
        <f t="shared" si="26"/>
        <v>Mercado</v>
      </c>
      <c r="F539" s="85" t="s">
        <v>1099</v>
      </c>
      <c r="G539" s="85" t="s">
        <v>503</v>
      </c>
      <c r="H539" s="85" t="s">
        <v>1038</v>
      </c>
      <c r="I539" s="85">
        <v>1</v>
      </c>
      <c r="J539" s="87">
        <v>22.05</v>
      </c>
      <c r="K539" s="88">
        <f t="shared" si="27"/>
        <v>22.05</v>
      </c>
      <c r="L539" s="85">
        <v>91710</v>
      </c>
      <c r="M539" s="118" t="s">
        <v>497</v>
      </c>
      <c r="N539" s="84"/>
      <c r="O539" s="84" t="s">
        <v>45</v>
      </c>
      <c r="R539"/>
    </row>
    <row r="540" spans="1:18" x14ac:dyDescent="0.25">
      <c r="A540" s="84" t="str">
        <f t="shared" si="25"/>
        <v>OutubroSEMANA 2Tapioca Fina</v>
      </c>
      <c r="B540" s="85" t="s">
        <v>37</v>
      </c>
      <c r="C540" s="85" t="s">
        <v>21</v>
      </c>
      <c r="D540" s="86">
        <v>11</v>
      </c>
      <c r="E540" s="116" t="str">
        <f t="shared" si="26"/>
        <v>Mercado</v>
      </c>
      <c r="F540" s="85" t="s">
        <v>1099</v>
      </c>
      <c r="G540" s="85" t="s">
        <v>1027</v>
      </c>
      <c r="H540" s="85" t="s">
        <v>1039</v>
      </c>
      <c r="I540" s="85">
        <v>1.006</v>
      </c>
      <c r="J540" s="87">
        <v>7.6540999999999997</v>
      </c>
      <c r="K540" s="88">
        <f t="shared" si="27"/>
        <v>7.7000245999999999</v>
      </c>
      <c r="L540" s="85">
        <v>91710</v>
      </c>
      <c r="M540" s="118" t="s">
        <v>498</v>
      </c>
      <c r="N540" s="84"/>
      <c r="O540" s="84" t="s">
        <v>60</v>
      </c>
      <c r="R540"/>
    </row>
    <row r="541" spans="1:18" x14ac:dyDescent="0.25">
      <c r="A541" s="84" t="str">
        <f t="shared" si="25"/>
        <v>OutubroSEMANA 2Vinagrete de Ervas</v>
      </c>
      <c r="B541" s="85" t="s">
        <v>37</v>
      </c>
      <c r="C541" s="85" t="s">
        <v>21</v>
      </c>
      <c r="D541" s="86">
        <v>11</v>
      </c>
      <c r="E541" s="116" t="str">
        <f t="shared" si="26"/>
        <v>Mercado</v>
      </c>
      <c r="F541" s="85" t="s">
        <v>1099</v>
      </c>
      <c r="G541" s="85" t="s">
        <v>843</v>
      </c>
      <c r="H541" s="85" t="s">
        <v>1039</v>
      </c>
      <c r="I541" s="85">
        <v>1.012</v>
      </c>
      <c r="J541" s="87">
        <v>43.201599999999999</v>
      </c>
      <c r="K541" s="88">
        <f t="shared" si="27"/>
        <v>43.720019200000003</v>
      </c>
      <c r="L541" s="85">
        <v>91710</v>
      </c>
      <c r="M541" s="118" t="s">
        <v>499</v>
      </c>
      <c r="N541" s="84"/>
      <c r="O541" s="84" t="s">
        <v>45</v>
      </c>
      <c r="R541"/>
    </row>
    <row r="542" spans="1:18" x14ac:dyDescent="0.25">
      <c r="A542" s="84" t="str">
        <f t="shared" si="25"/>
        <v>OutubroSEMANA 2Alface Americana Orgânica</v>
      </c>
      <c r="B542" s="85" t="s">
        <v>37</v>
      </c>
      <c r="C542" s="85" t="s">
        <v>21</v>
      </c>
      <c r="D542" s="86">
        <v>11</v>
      </c>
      <c r="E542" s="116" t="str">
        <f t="shared" si="26"/>
        <v>Hortifruti</v>
      </c>
      <c r="F542" s="85" t="s">
        <v>1044</v>
      </c>
      <c r="G542" s="85" t="s">
        <v>103</v>
      </c>
      <c r="H542" s="85" t="s">
        <v>1039</v>
      </c>
      <c r="I542" s="85"/>
      <c r="J542" s="87"/>
      <c r="K542" s="88">
        <f t="shared" si="27"/>
        <v>0</v>
      </c>
      <c r="L542" s="85" t="s">
        <v>1156</v>
      </c>
      <c r="M542" s="118" t="s">
        <v>500</v>
      </c>
      <c r="N542" s="84"/>
      <c r="O542" s="84" t="s">
        <v>45</v>
      </c>
      <c r="R542"/>
    </row>
    <row r="543" spans="1:18" x14ac:dyDescent="0.25">
      <c r="A543" s="84" t="str">
        <f t="shared" si="25"/>
        <v>OutubroSEMANA 2Alface crespa Orgânica</v>
      </c>
      <c r="B543" s="85" t="s">
        <v>37</v>
      </c>
      <c r="C543" s="85" t="s">
        <v>21</v>
      </c>
      <c r="D543" s="86">
        <v>11</v>
      </c>
      <c r="E543" s="116" t="str">
        <f t="shared" si="26"/>
        <v>Hortifruti</v>
      </c>
      <c r="F543" s="85" t="s">
        <v>1044</v>
      </c>
      <c r="G543" s="85" t="s">
        <v>105</v>
      </c>
      <c r="H543" s="85" t="s">
        <v>1039</v>
      </c>
      <c r="I543" s="85">
        <v>1.44</v>
      </c>
      <c r="J543" s="87">
        <f>15/1.44</f>
        <v>10.416666666666668</v>
      </c>
      <c r="K543" s="88">
        <f t="shared" si="27"/>
        <v>15.000000000000002</v>
      </c>
      <c r="L543" s="85">
        <v>82880</v>
      </c>
      <c r="M543" s="118" t="s">
        <v>501</v>
      </c>
      <c r="O543" s="115" t="s">
        <v>45</v>
      </c>
      <c r="R543"/>
    </row>
    <row r="544" spans="1:18" x14ac:dyDescent="0.25">
      <c r="A544" s="84" t="str">
        <f t="shared" si="25"/>
        <v>OutubroSEMANA 2Alface Roxa Orgânica</v>
      </c>
      <c r="B544" s="85" t="s">
        <v>37</v>
      </c>
      <c r="C544" s="85" t="s">
        <v>21</v>
      </c>
      <c r="D544" s="86">
        <v>11</v>
      </c>
      <c r="E544" s="116" t="str">
        <f t="shared" si="26"/>
        <v>Hortifruti</v>
      </c>
      <c r="F544" s="85" t="s">
        <v>1044</v>
      </c>
      <c r="G544" s="85" t="s">
        <v>109</v>
      </c>
      <c r="H544" s="85" t="s">
        <v>1039</v>
      </c>
      <c r="I544" s="85">
        <v>2.1</v>
      </c>
      <c r="J544" s="87">
        <f>15/2.1</f>
        <v>7.1428571428571423</v>
      </c>
      <c r="K544" s="88">
        <f t="shared" si="27"/>
        <v>15</v>
      </c>
      <c r="L544" s="85">
        <v>82880</v>
      </c>
      <c r="M544" s="118" t="s">
        <v>502</v>
      </c>
      <c r="N544" s="84"/>
      <c r="O544" s="84" t="s">
        <v>45</v>
      </c>
      <c r="R544"/>
    </row>
    <row r="545" spans="1:18" x14ac:dyDescent="0.25">
      <c r="A545" s="84" t="str">
        <f t="shared" si="25"/>
        <v>OutubroSEMANA 2Cenoura Orgânica</v>
      </c>
      <c r="B545" s="85" t="s">
        <v>37</v>
      </c>
      <c r="C545" s="85" t="s">
        <v>21</v>
      </c>
      <c r="D545" s="86">
        <v>11</v>
      </c>
      <c r="E545" s="116" t="str">
        <f t="shared" si="26"/>
        <v>Hortifruti</v>
      </c>
      <c r="F545" s="85" t="s">
        <v>1044</v>
      </c>
      <c r="G545" s="85" t="s">
        <v>252</v>
      </c>
      <c r="H545" s="85" t="s">
        <v>1039</v>
      </c>
      <c r="I545" s="85">
        <v>6</v>
      </c>
      <c r="J545" s="87">
        <v>7.75</v>
      </c>
      <c r="K545" s="88">
        <f t="shared" si="27"/>
        <v>46.5</v>
      </c>
      <c r="L545" s="85">
        <v>82880</v>
      </c>
      <c r="M545" s="118" t="s">
        <v>503</v>
      </c>
      <c r="N545" s="84"/>
      <c r="O545" s="84" t="s">
        <v>42</v>
      </c>
      <c r="R545"/>
    </row>
    <row r="546" spans="1:18" x14ac:dyDescent="0.25">
      <c r="A546" s="84" t="str">
        <f t="shared" si="25"/>
        <v>OutubroSEMANA 2Rúcula Orgânica</v>
      </c>
      <c r="B546" s="85" t="s">
        <v>37</v>
      </c>
      <c r="C546" s="85" t="s">
        <v>21</v>
      </c>
      <c r="D546" s="86">
        <v>11</v>
      </c>
      <c r="E546" s="116" t="str">
        <f t="shared" si="26"/>
        <v>Hortifruti</v>
      </c>
      <c r="F546" s="85" t="s">
        <v>1044</v>
      </c>
      <c r="G546" s="85" t="s">
        <v>707</v>
      </c>
      <c r="H546" s="85" t="s">
        <v>1039</v>
      </c>
      <c r="I546" s="85">
        <v>4.5</v>
      </c>
      <c r="J546" s="87">
        <f>96/4.5</f>
        <v>21.333333333333332</v>
      </c>
      <c r="K546" s="88">
        <f t="shared" si="27"/>
        <v>96</v>
      </c>
      <c r="L546" s="85">
        <v>82880</v>
      </c>
      <c r="M546" s="118" t="s">
        <v>504</v>
      </c>
      <c r="N546" s="84"/>
      <c r="O546" s="84" t="s">
        <v>45</v>
      </c>
      <c r="R546"/>
    </row>
    <row r="547" spans="1:18" x14ac:dyDescent="0.25">
      <c r="A547" s="84" t="str">
        <f t="shared" si="25"/>
        <v>OutubroSEMANA 2Água Mineral com Gás</v>
      </c>
      <c r="B547" s="85" t="s">
        <v>37</v>
      </c>
      <c r="C547" s="85" t="s">
        <v>21</v>
      </c>
      <c r="D547" s="86">
        <v>11</v>
      </c>
      <c r="E547" s="116" t="str">
        <f t="shared" si="26"/>
        <v>Bebidas</v>
      </c>
      <c r="F547" s="85" t="s">
        <v>1091</v>
      </c>
      <c r="G547" s="85" t="s">
        <v>90</v>
      </c>
      <c r="H547" s="85" t="s">
        <v>1038</v>
      </c>
      <c r="I547" s="85">
        <f>22*6</f>
        <v>132</v>
      </c>
      <c r="J547" s="87">
        <f>165.53/132</f>
        <v>1.2540151515151514</v>
      </c>
      <c r="K547" s="88">
        <f t="shared" si="27"/>
        <v>165.52999999999997</v>
      </c>
      <c r="L547" s="85" t="s">
        <v>1157</v>
      </c>
      <c r="M547" s="118" t="s">
        <v>1299</v>
      </c>
      <c r="O547" s="84" t="s">
        <v>874</v>
      </c>
      <c r="R547"/>
    </row>
    <row r="548" spans="1:18" x14ac:dyDescent="0.25">
      <c r="A548" s="84" t="str">
        <f t="shared" si="25"/>
        <v>OutubroSEMANA 2Água Mineral sem Gás</v>
      </c>
      <c r="B548" s="85" t="s">
        <v>37</v>
      </c>
      <c r="C548" s="85" t="s">
        <v>21</v>
      </c>
      <c r="D548" s="86">
        <v>11</v>
      </c>
      <c r="E548" s="116" t="str">
        <f t="shared" si="26"/>
        <v>Bebidas</v>
      </c>
      <c r="F548" s="85" t="s">
        <v>1091</v>
      </c>
      <c r="G548" s="85" t="s">
        <v>91</v>
      </c>
      <c r="H548" s="85" t="s">
        <v>1038</v>
      </c>
      <c r="I548" s="85">
        <f>20*6</f>
        <v>120</v>
      </c>
      <c r="J548" s="87">
        <f>150.48/120</f>
        <v>1.254</v>
      </c>
      <c r="K548" s="88">
        <f t="shared" si="27"/>
        <v>150.47999999999999</v>
      </c>
      <c r="L548" s="85" t="s">
        <v>1157</v>
      </c>
      <c r="M548" s="118" t="s">
        <v>1001</v>
      </c>
      <c r="N548" s="84"/>
      <c r="O548" s="84" t="s">
        <v>874</v>
      </c>
      <c r="R548"/>
    </row>
    <row r="549" spans="1:18" x14ac:dyDescent="0.25">
      <c r="A549" s="84" t="str">
        <f t="shared" si="25"/>
        <v>OutubroSEMANA 2Bombom Trufado</v>
      </c>
      <c r="B549" s="85" t="s">
        <v>37</v>
      </c>
      <c r="C549" s="85" t="s">
        <v>21</v>
      </c>
      <c r="D549" s="86">
        <v>11</v>
      </c>
      <c r="E549" s="116" t="str">
        <f t="shared" si="26"/>
        <v>Vendas Caixa</v>
      </c>
      <c r="F549" s="85" t="s">
        <v>1158</v>
      </c>
      <c r="G549" s="85" t="s">
        <v>192</v>
      </c>
      <c r="H549" s="85" t="s">
        <v>1038</v>
      </c>
      <c r="I549" s="85">
        <f>50+30+50+50</f>
        <v>180</v>
      </c>
      <c r="J549" s="87">
        <v>1.6625000000000001</v>
      </c>
      <c r="K549" s="88">
        <f t="shared" si="27"/>
        <v>299.25</v>
      </c>
      <c r="L549" s="85">
        <v>138</v>
      </c>
      <c r="M549" s="118" t="s">
        <v>505</v>
      </c>
      <c r="N549" s="84"/>
      <c r="O549" s="84" t="s">
        <v>42</v>
      </c>
      <c r="R549"/>
    </row>
    <row r="550" spans="1:18" x14ac:dyDescent="0.25">
      <c r="A550" s="84" t="str">
        <f t="shared" si="25"/>
        <v>OutubroSEMANA 2Tablet Diet</v>
      </c>
      <c r="B550" s="85" t="s">
        <v>37</v>
      </c>
      <c r="C550" s="85" t="s">
        <v>21</v>
      </c>
      <c r="D550" s="86">
        <v>11</v>
      </c>
      <c r="E550" s="116" t="str">
        <f t="shared" si="26"/>
        <v>Vendas Caixa</v>
      </c>
      <c r="F550" s="85" t="s">
        <v>1158</v>
      </c>
      <c r="G550" s="85" t="s">
        <v>778</v>
      </c>
      <c r="H550" s="85" t="s">
        <v>1038</v>
      </c>
      <c r="I550" s="85">
        <v>30</v>
      </c>
      <c r="J550" s="87">
        <v>2.1375000000000002</v>
      </c>
      <c r="K550" s="88">
        <f t="shared" si="27"/>
        <v>64.125</v>
      </c>
      <c r="L550" s="85">
        <v>138</v>
      </c>
      <c r="M550" s="118" t="s">
        <v>506</v>
      </c>
      <c r="N550" s="84"/>
      <c r="O550" s="84" t="s">
        <v>42</v>
      </c>
      <c r="R550"/>
    </row>
    <row r="551" spans="1:18" x14ac:dyDescent="0.25">
      <c r="A551" s="84" t="str">
        <f t="shared" si="25"/>
        <v>OutubroSEMANA 2Casquinha de Laranja com chocolate</v>
      </c>
      <c r="B551" s="85" t="s">
        <v>37</v>
      </c>
      <c r="C551" s="85" t="s">
        <v>21</v>
      </c>
      <c r="D551" s="86">
        <v>11</v>
      </c>
      <c r="E551" s="116" t="str">
        <f t="shared" si="26"/>
        <v>Vendas Caixa</v>
      </c>
      <c r="F551" s="85" t="s">
        <v>1158</v>
      </c>
      <c r="G551" s="85" t="s">
        <v>237</v>
      </c>
      <c r="H551" s="85" t="s">
        <v>1038</v>
      </c>
      <c r="I551" s="85">
        <v>30</v>
      </c>
      <c r="J551" s="87">
        <v>6.1749999999999998</v>
      </c>
      <c r="K551" s="88">
        <f t="shared" si="27"/>
        <v>185.25</v>
      </c>
      <c r="L551" s="85">
        <v>138</v>
      </c>
      <c r="M551" s="118" t="s">
        <v>507</v>
      </c>
      <c r="N551" s="84"/>
      <c r="O551" s="84" t="s">
        <v>42</v>
      </c>
      <c r="R551"/>
    </row>
    <row r="552" spans="1:18" x14ac:dyDescent="0.25">
      <c r="A552" s="84" t="str">
        <f t="shared" si="25"/>
        <v>OutubroSEMANA 2Aguardente 51</v>
      </c>
      <c r="B552" s="85" t="s">
        <v>37</v>
      </c>
      <c r="C552" s="85" t="s">
        <v>21</v>
      </c>
      <c r="D552" s="86">
        <v>11</v>
      </c>
      <c r="E552" s="116" t="str">
        <f t="shared" si="26"/>
        <v>Bebidas</v>
      </c>
      <c r="F552" s="85" t="s">
        <v>1078</v>
      </c>
      <c r="G552" s="85" t="s">
        <v>94</v>
      </c>
      <c r="H552" s="85" t="s">
        <v>1038</v>
      </c>
      <c r="I552" s="85">
        <v>1</v>
      </c>
      <c r="J552" s="87">
        <v>7.68</v>
      </c>
      <c r="K552" s="88">
        <f t="shared" si="27"/>
        <v>7.68</v>
      </c>
      <c r="L552" s="85" t="s">
        <v>1159</v>
      </c>
      <c r="M552" s="118" t="s">
        <v>1295</v>
      </c>
      <c r="O552" s="84" t="s">
        <v>60</v>
      </c>
      <c r="R552"/>
    </row>
    <row r="553" spans="1:18" x14ac:dyDescent="0.25">
      <c r="A553" s="84" t="str">
        <f t="shared" si="25"/>
        <v>OutubroSEMANA 2Arroz Branco</v>
      </c>
      <c r="B553" s="85" t="s">
        <v>37</v>
      </c>
      <c r="C553" s="85" t="s">
        <v>21</v>
      </c>
      <c r="D553" s="86">
        <v>11</v>
      </c>
      <c r="E553" s="116" t="str">
        <f t="shared" si="26"/>
        <v>Mercado</v>
      </c>
      <c r="F553" s="85" t="s">
        <v>1078</v>
      </c>
      <c r="G553" s="85" t="s">
        <v>126</v>
      </c>
      <c r="H553" s="85" t="s">
        <v>1039</v>
      </c>
      <c r="I553" s="85">
        <v>30</v>
      </c>
      <c r="J553" s="87">
        <f>105.89/30</f>
        <v>3.5296666666666665</v>
      </c>
      <c r="K553" s="88">
        <f t="shared" si="27"/>
        <v>105.89</v>
      </c>
      <c r="L553" s="85" t="s">
        <v>1159</v>
      </c>
      <c r="M553" s="118" t="s">
        <v>508</v>
      </c>
      <c r="O553" s="115" t="s">
        <v>42</v>
      </c>
      <c r="R553"/>
    </row>
    <row r="554" spans="1:18" x14ac:dyDescent="0.25">
      <c r="A554" s="84" t="str">
        <f t="shared" si="25"/>
        <v>OutubroSEMANA 2Carne Bovina - Carne Seca</v>
      </c>
      <c r="B554" s="85" t="s">
        <v>37</v>
      </c>
      <c r="C554" s="85" t="s">
        <v>21</v>
      </c>
      <c r="D554" s="86">
        <v>11</v>
      </c>
      <c r="E554" s="116" t="str">
        <f t="shared" si="26"/>
        <v>Carnes</v>
      </c>
      <c r="F554" s="85" t="s">
        <v>1078</v>
      </c>
      <c r="G554" s="85" t="s">
        <v>218</v>
      </c>
      <c r="H554" s="85" t="s">
        <v>1039</v>
      </c>
      <c r="I554" s="85">
        <v>10</v>
      </c>
      <c r="J554" s="87">
        <v>19</v>
      </c>
      <c r="K554" s="88">
        <f t="shared" si="27"/>
        <v>190</v>
      </c>
      <c r="L554" s="85" t="s">
        <v>1159</v>
      </c>
      <c r="M554" s="118" t="s">
        <v>509</v>
      </c>
      <c r="O554" s="115" t="s">
        <v>42</v>
      </c>
      <c r="R554"/>
    </row>
    <row r="555" spans="1:18" x14ac:dyDescent="0.25">
      <c r="A555" s="84" t="str">
        <f t="shared" si="25"/>
        <v>OutubroSEMANA 2Óleo Composto 500ml</v>
      </c>
      <c r="B555" s="85" t="s">
        <v>37</v>
      </c>
      <c r="C555" s="85" t="s">
        <v>21</v>
      </c>
      <c r="D555" s="86">
        <v>11</v>
      </c>
      <c r="E555" s="116" t="str">
        <f t="shared" si="26"/>
        <v>Mercado</v>
      </c>
      <c r="F555" s="85" t="s">
        <v>1078</v>
      </c>
      <c r="G555" s="85" t="s">
        <v>542</v>
      </c>
      <c r="H555" s="85" t="s">
        <v>1038</v>
      </c>
      <c r="I555" s="85">
        <v>12</v>
      </c>
      <c r="J555" s="87">
        <f>39/12</f>
        <v>3.25</v>
      </c>
      <c r="K555" s="88">
        <f t="shared" si="27"/>
        <v>39</v>
      </c>
      <c r="L555" s="85" t="s">
        <v>1159</v>
      </c>
      <c r="M555" s="118" t="s">
        <v>510</v>
      </c>
      <c r="O555" s="115" t="s">
        <v>42</v>
      </c>
      <c r="R555"/>
    </row>
    <row r="556" spans="1:18" x14ac:dyDescent="0.25">
      <c r="A556" s="84" t="str">
        <f t="shared" si="25"/>
        <v>OutubroSEMANA 2Queijo Parmezon</v>
      </c>
      <c r="B556" s="85" t="s">
        <v>37</v>
      </c>
      <c r="C556" s="85" t="s">
        <v>21</v>
      </c>
      <c r="D556" s="86">
        <v>11</v>
      </c>
      <c r="E556" s="116" t="str">
        <f t="shared" si="26"/>
        <v>Mercado</v>
      </c>
      <c r="F556" s="85" t="s">
        <v>1078</v>
      </c>
      <c r="G556" s="85" t="s">
        <v>686</v>
      </c>
      <c r="H556" s="85" t="s">
        <v>1039</v>
      </c>
      <c r="I556" s="85">
        <v>6</v>
      </c>
      <c r="J556" s="87">
        <v>23.56</v>
      </c>
      <c r="K556" s="88">
        <f t="shared" si="27"/>
        <v>141.35999999999999</v>
      </c>
      <c r="L556" s="85" t="s">
        <v>1159</v>
      </c>
      <c r="M556" s="118" t="s">
        <v>511</v>
      </c>
      <c r="O556" s="115" t="s">
        <v>47</v>
      </c>
      <c r="R556"/>
    </row>
    <row r="557" spans="1:18" x14ac:dyDescent="0.25">
      <c r="A557" s="84" t="str">
        <f t="shared" si="25"/>
        <v>OutubroSEMANA 2Vodka Smirnoff</v>
      </c>
      <c r="B557" s="85" t="s">
        <v>37</v>
      </c>
      <c r="C557" s="85" t="s">
        <v>21</v>
      </c>
      <c r="D557" s="86">
        <v>11</v>
      </c>
      <c r="E557" s="116" t="str">
        <f t="shared" si="26"/>
        <v>Bebidas</v>
      </c>
      <c r="F557" s="85" t="s">
        <v>1078</v>
      </c>
      <c r="G557" s="85" t="s">
        <v>867</v>
      </c>
      <c r="H557" s="85" t="s">
        <v>1038</v>
      </c>
      <c r="I557" s="85">
        <v>1</v>
      </c>
      <c r="J557" s="87">
        <v>30.99</v>
      </c>
      <c r="K557" s="88">
        <f t="shared" si="27"/>
        <v>30.99</v>
      </c>
      <c r="L557" s="85" t="s">
        <v>1159</v>
      </c>
      <c r="M557" s="118" t="s">
        <v>512</v>
      </c>
      <c r="N557" s="84"/>
      <c r="O557" s="84" t="s">
        <v>47</v>
      </c>
      <c r="R557"/>
    </row>
    <row r="558" spans="1:18" x14ac:dyDescent="0.25">
      <c r="A558" s="84" t="str">
        <f t="shared" si="25"/>
        <v>OutubroSEMANA 2Pescados - Salmão Inteiro Sushi</v>
      </c>
      <c r="B558" s="85" t="s">
        <v>37</v>
      </c>
      <c r="C558" s="85" t="s">
        <v>21</v>
      </c>
      <c r="D558" s="86">
        <v>11</v>
      </c>
      <c r="E558" s="116" t="str">
        <f t="shared" si="26"/>
        <v>Sushi</v>
      </c>
      <c r="F558" s="85" t="s">
        <v>1053</v>
      </c>
      <c r="G558" s="85" t="s">
        <v>645</v>
      </c>
      <c r="H558" s="85" t="s">
        <v>1039</v>
      </c>
      <c r="I558" s="85">
        <v>29.68</v>
      </c>
      <c r="J558" s="87">
        <v>27.899899999999999</v>
      </c>
      <c r="K558" s="88">
        <f t="shared" si="27"/>
        <v>828.06903199999999</v>
      </c>
      <c r="L558" s="85">
        <v>1233818</v>
      </c>
      <c r="M558" s="118" t="s">
        <v>513</v>
      </c>
      <c r="N558" s="84"/>
      <c r="O558" s="84" t="s">
        <v>47</v>
      </c>
      <c r="R558"/>
    </row>
    <row r="559" spans="1:18" x14ac:dyDescent="0.25">
      <c r="A559" s="84" t="str">
        <f t="shared" si="25"/>
        <v>OutubroSEMANA 2Pescados - Salmão Inteiro</v>
      </c>
      <c r="B559" s="85" t="s">
        <v>37</v>
      </c>
      <c r="C559" s="85" t="s">
        <v>21</v>
      </c>
      <c r="D559" s="86">
        <v>11</v>
      </c>
      <c r="E559" s="116" t="str">
        <f t="shared" si="26"/>
        <v>Carnes</v>
      </c>
      <c r="F559" s="85" t="s">
        <v>1053</v>
      </c>
      <c r="G559" s="85" t="s">
        <v>644</v>
      </c>
      <c r="H559" s="85" t="s">
        <v>1039</v>
      </c>
      <c r="I559" s="85">
        <v>28.49</v>
      </c>
      <c r="J559" s="87">
        <v>25.9</v>
      </c>
      <c r="K559" s="88">
        <f t="shared" si="27"/>
        <v>737.89099999999996</v>
      </c>
      <c r="L559" s="85">
        <v>1233818</v>
      </c>
      <c r="M559" s="118" t="s">
        <v>514</v>
      </c>
      <c r="N559" s="84"/>
      <c r="O559" s="84" t="s">
        <v>47</v>
      </c>
      <c r="R559"/>
    </row>
    <row r="560" spans="1:18" x14ac:dyDescent="0.25">
      <c r="A560" s="84" t="str">
        <f t="shared" si="25"/>
        <v>OutubroSEMANA 2Pescados - Lula Calamares</v>
      </c>
      <c r="B560" s="85" t="s">
        <v>37</v>
      </c>
      <c r="C560" s="85" t="s">
        <v>21</v>
      </c>
      <c r="D560" s="86">
        <v>11</v>
      </c>
      <c r="E560" s="116" t="str">
        <f t="shared" si="26"/>
        <v>Carnes</v>
      </c>
      <c r="F560" s="85" t="s">
        <v>1053</v>
      </c>
      <c r="G560" s="85" t="s">
        <v>621</v>
      </c>
      <c r="H560" s="85" t="s">
        <v>1039</v>
      </c>
      <c r="I560" s="85">
        <v>10</v>
      </c>
      <c r="J560" s="87">
        <v>27</v>
      </c>
      <c r="K560" s="88">
        <f t="shared" si="27"/>
        <v>270</v>
      </c>
      <c r="L560" s="85">
        <v>1233818</v>
      </c>
      <c r="M560" s="118" t="s">
        <v>515</v>
      </c>
      <c r="N560" s="84"/>
      <c r="O560" s="84" t="s">
        <v>45</v>
      </c>
      <c r="R560"/>
    </row>
    <row r="561" spans="1:18" x14ac:dyDescent="0.25">
      <c r="A561" s="84" t="str">
        <f t="shared" si="25"/>
        <v>OutubroSEMANA 2Gelo em Escamas</v>
      </c>
      <c r="B561" s="85" t="s">
        <v>37</v>
      </c>
      <c r="C561" s="85" t="s">
        <v>21</v>
      </c>
      <c r="D561" s="86">
        <v>11</v>
      </c>
      <c r="E561" s="116" t="str">
        <f t="shared" si="26"/>
        <v>Mercado</v>
      </c>
      <c r="F561" s="85" t="s">
        <v>1040</v>
      </c>
      <c r="G561" s="85" t="s">
        <v>384</v>
      </c>
      <c r="H561" s="85" t="s">
        <v>1041</v>
      </c>
      <c r="I561" s="85">
        <v>2</v>
      </c>
      <c r="J561" s="87">
        <v>7.5</v>
      </c>
      <c r="K561" s="88">
        <f t="shared" si="27"/>
        <v>15</v>
      </c>
      <c r="L561" s="85">
        <v>10447</v>
      </c>
      <c r="M561" s="118" t="s">
        <v>516</v>
      </c>
      <c r="N561" s="84"/>
      <c r="O561" s="84" t="s">
        <v>42</v>
      </c>
      <c r="R561"/>
    </row>
    <row r="562" spans="1:18" x14ac:dyDescent="0.25">
      <c r="A562" s="84" t="str">
        <f t="shared" si="25"/>
        <v>OutubroSEMANA 2Gelo em Cubo</v>
      </c>
      <c r="B562" s="85" t="s">
        <v>37</v>
      </c>
      <c r="C562" s="85" t="s">
        <v>21</v>
      </c>
      <c r="D562" s="86">
        <v>11</v>
      </c>
      <c r="E562" s="116" t="str">
        <f t="shared" si="26"/>
        <v>Mercado</v>
      </c>
      <c r="F562" s="85" t="s">
        <v>1040</v>
      </c>
      <c r="G562" s="85" t="s">
        <v>383</v>
      </c>
      <c r="H562" s="85" t="s">
        <v>1041</v>
      </c>
      <c r="I562" s="85">
        <v>2</v>
      </c>
      <c r="J562" s="87">
        <v>7.5</v>
      </c>
      <c r="K562" s="88">
        <f t="shared" si="27"/>
        <v>15</v>
      </c>
      <c r="L562" s="85">
        <v>10447</v>
      </c>
      <c r="M562" s="118" t="s">
        <v>517</v>
      </c>
      <c r="N562" s="84"/>
      <c r="O562" s="84" t="s">
        <v>45</v>
      </c>
      <c r="R562"/>
    </row>
    <row r="563" spans="1:18" x14ac:dyDescent="0.25">
      <c r="A563" s="84" t="str">
        <f t="shared" si="25"/>
        <v>OutubroSEMANA 2Batata Doce</v>
      </c>
      <c r="B563" s="85" t="s">
        <v>37</v>
      </c>
      <c r="C563" s="85" t="s">
        <v>21</v>
      </c>
      <c r="D563" s="86">
        <v>11</v>
      </c>
      <c r="E563" s="116" t="str">
        <f t="shared" si="26"/>
        <v>Hortifruti</v>
      </c>
      <c r="F563" s="85" t="s">
        <v>1054</v>
      </c>
      <c r="G563" s="85" t="s">
        <v>170</v>
      </c>
      <c r="H563" s="85" t="s">
        <v>1039</v>
      </c>
      <c r="I563" s="85">
        <v>1</v>
      </c>
      <c r="J563" s="87">
        <v>1.8</v>
      </c>
      <c r="K563" s="88">
        <f t="shared" si="27"/>
        <v>1.8</v>
      </c>
      <c r="L563" s="85">
        <v>1878</v>
      </c>
      <c r="M563" s="118" t="s">
        <v>518</v>
      </c>
      <c r="N563" s="84"/>
      <c r="O563" s="84" t="s">
        <v>45</v>
      </c>
      <c r="R563"/>
    </row>
    <row r="564" spans="1:18" x14ac:dyDescent="0.25">
      <c r="A564" s="84" t="str">
        <f t="shared" si="25"/>
        <v>OutubroSEMANA 2Cenoura</v>
      </c>
      <c r="B564" s="85" t="s">
        <v>37</v>
      </c>
      <c r="C564" s="85" t="s">
        <v>21</v>
      </c>
      <c r="D564" s="86">
        <v>11</v>
      </c>
      <c r="E564" s="116" t="str">
        <f t="shared" si="26"/>
        <v>Hortifruti</v>
      </c>
      <c r="F564" s="85" t="s">
        <v>1054</v>
      </c>
      <c r="G564" s="85" t="s">
        <v>249</v>
      </c>
      <c r="H564" s="85" t="s">
        <v>1039</v>
      </c>
      <c r="I564" s="85">
        <v>18.48</v>
      </c>
      <c r="J564" s="87">
        <f>40/18.48</f>
        <v>2.1645021645021645</v>
      </c>
      <c r="K564" s="88">
        <f t="shared" si="27"/>
        <v>40</v>
      </c>
      <c r="L564" s="85">
        <v>1878</v>
      </c>
      <c r="M564" s="118" t="s">
        <v>519</v>
      </c>
      <c r="N564" s="84"/>
      <c r="O564" s="84" t="s">
        <v>45</v>
      </c>
      <c r="R564"/>
    </row>
    <row r="565" spans="1:18" x14ac:dyDescent="0.25">
      <c r="A565" s="84" t="str">
        <f t="shared" si="25"/>
        <v>OutubroSEMANA 2Tomate Salada</v>
      </c>
      <c r="B565" s="85" t="s">
        <v>37</v>
      </c>
      <c r="C565" s="85" t="s">
        <v>21</v>
      </c>
      <c r="D565" s="86">
        <v>11</v>
      </c>
      <c r="E565" s="116" t="str">
        <f t="shared" si="26"/>
        <v>Hortifruti</v>
      </c>
      <c r="F565" s="85" t="s">
        <v>1054</v>
      </c>
      <c r="G565" s="85" t="s">
        <v>795</v>
      </c>
      <c r="H565" s="85" t="s">
        <v>1039</v>
      </c>
      <c r="I565" s="85">
        <v>22.22</v>
      </c>
      <c r="J565" s="87">
        <f>70/22.22</f>
        <v>3.1503150315031503</v>
      </c>
      <c r="K565" s="88">
        <f t="shared" si="27"/>
        <v>70</v>
      </c>
      <c r="L565" s="85">
        <v>1878</v>
      </c>
      <c r="M565" s="118" t="s">
        <v>901</v>
      </c>
      <c r="N565" s="84"/>
      <c r="O565" s="84" t="s">
        <v>45</v>
      </c>
      <c r="R565"/>
    </row>
    <row r="566" spans="1:18" x14ac:dyDescent="0.25">
      <c r="A566" s="84" t="str">
        <f t="shared" si="25"/>
        <v xml:space="preserve">OutubroSEMANA 2Alho Poró </v>
      </c>
      <c r="B566" s="85" t="s">
        <v>37</v>
      </c>
      <c r="C566" s="85" t="s">
        <v>21</v>
      </c>
      <c r="D566" s="86">
        <v>11</v>
      </c>
      <c r="E566" s="116" t="str">
        <f t="shared" si="26"/>
        <v>Hortifruti</v>
      </c>
      <c r="F566" s="85" t="s">
        <v>1054</v>
      </c>
      <c r="G566" s="85" t="s">
        <v>113</v>
      </c>
      <c r="H566" s="85" t="s">
        <v>1039</v>
      </c>
      <c r="I566" s="85">
        <v>1</v>
      </c>
      <c r="J566" s="87">
        <v>8</v>
      </c>
      <c r="K566" s="88">
        <f t="shared" si="27"/>
        <v>8</v>
      </c>
      <c r="L566" s="85">
        <v>1878</v>
      </c>
      <c r="M566" s="118" t="s">
        <v>520</v>
      </c>
      <c r="N566" s="84"/>
      <c r="O566" s="84" t="s">
        <v>46</v>
      </c>
      <c r="R566"/>
    </row>
    <row r="567" spans="1:18" x14ac:dyDescent="0.25">
      <c r="A567" s="84" t="str">
        <f t="shared" si="25"/>
        <v>OutubroSEMANA 2Brócolis Americano</v>
      </c>
      <c r="B567" s="85" t="s">
        <v>37</v>
      </c>
      <c r="C567" s="85" t="s">
        <v>21</v>
      </c>
      <c r="D567" s="86">
        <v>11</v>
      </c>
      <c r="E567" s="116" t="str">
        <f t="shared" si="26"/>
        <v>Hortifruti</v>
      </c>
      <c r="F567" s="85" t="s">
        <v>1054</v>
      </c>
      <c r="G567" s="85" t="s">
        <v>194</v>
      </c>
      <c r="H567" s="85" t="s">
        <v>1039</v>
      </c>
      <c r="I567" s="85">
        <v>10</v>
      </c>
      <c r="J567" s="87">
        <v>7</v>
      </c>
      <c r="K567" s="88">
        <f t="shared" si="27"/>
        <v>70</v>
      </c>
      <c r="L567" s="85">
        <v>1878</v>
      </c>
      <c r="M567" s="118" t="s">
        <v>521</v>
      </c>
      <c r="N567" s="84"/>
      <c r="O567" s="84" t="s">
        <v>45</v>
      </c>
      <c r="R567"/>
    </row>
    <row r="568" spans="1:18" x14ac:dyDescent="0.25">
      <c r="A568" s="84" t="str">
        <f t="shared" si="25"/>
        <v>OutubroSEMANA 2Broto de Feijão</v>
      </c>
      <c r="B568" s="85" t="s">
        <v>37</v>
      </c>
      <c r="C568" s="85" t="s">
        <v>21</v>
      </c>
      <c r="D568" s="86">
        <v>11</v>
      </c>
      <c r="E568" s="116" t="str">
        <f t="shared" si="26"/>
        <v>Hortifruti</v>
      </c>
      <c r="F568" s="85" t="s">
        <v>1054</v>
      </c>
      <c r="G568" s="85" t="s">
        <v>197</v>
      </c>
      <c r="H568" s="85" t="s">
        <v>1039</v>
      </c>
      <c r="I568" s="85">
        <v>1</v>
      </c>
      <c r="J568" s="87">
        <v>14</v>
      </c>
      <c r="K568" s="88">
        <f t="shared" si="27"/>
        <v>14</v>
      </c>
      <c r="L568" s="85">
        <v>1878</v>
      </c>
      <c r="M568" s="118" t="s">
        <v>522</v>
      </c>
      <c r="N568" s="84"/>
      <c r="O568" s="84" t="s">
        <v>42</v>
      </c>
      <c r="R568"/>
    </row>
    <row r="569" spans="1:18" x14ac:dyDescent="0.25">
      <c r="A569" s="84" t="str">
        <f t="shared" si="25"/>
        <v>OutubroSEMANA 2Capim Limão</v>
      </c>
      <c r="B569" s="85" t="s">
        <v>37</v>
      </c>
      <c r="C569" s="85" t="s">
        <v>21</v>
      </c>
      <c r="D569" s="86">
        <v>11</v>
      </c>
      <c r="E569" s="116" t="str">
        <f t="shared" si="26"/>
        <v>Hortifruti</v>
      </c>
      <c r="F569" s="85" t="s">
        <v>1054</v>
      </c>
      <c r="G569" s="85" t="s">
        <v>211</v>
      </c>
      <c r="H569" s="85" t="s">
        <v>1039</v>
      </c>
      <c r="I569" s="85">
        <v>0.1</v>
      </c>
      <c r="J569" s="87">
        <v>15</v>
      </c>
      <c r="K569" s="88">
        <f t="shared" si="27"/>
        <v>1.5</v>
      </c>
      <c r="L569" s="85">
        <v>1878</v>
      </c>
      <c r="M569" s="118" t="s">
        <v>523</v>
      </c>
      <c r="N569" s="84"/>
      <c r="O569" s="84" t="s">
        <v>42</v>
      </c>
      <c r="R569"/>
    </row>
    <row r="570" spans="1:18" x14ac:dyDescent="0.25">
      <c r="A570" s="84" t="str">
        <f t="shared" si="25"/>
        <v xml:space="preserve">OutubroSEMANA 2Abacaxi </v>
      </c>
      <c r="B570" s="85" t="s">
        <v>37</v>
      </c>
      <c r="C570" s="85" t="s">
        <v>21</v>
      </c>
      <c r="D570" s="86">
        <v>11</v>
      </c>
      <c r="E570" s="116" t="str">
        <f t="shared" si="26"/>
        <v>Hortifruti</v>
      </c>
      <c r="F570" s="85" t="s">
        <v>1054</v>
      </c>
      <c r="G570" s="85" t="s">
        <v>65</v>
      </c>
      <c r="H570" s="85" t="s">
        <v>1039</v>
      </c>
      <c r="I570" s="85">
        <v>6</v>
      </c>
      <c r="J570" s="87">
        <v>2.4</v>
      </c>
      <c r="K570" s="88">
        <f t="shared" si="27"/>
        <v>14.399999999999999</v>
      </c>
      <c r="L570" s="85">
        <v>1878</v>
      </c>
      <c r="M570" s="118" t="s">
        <v>952</v>
      </c>
      <c r="O570" s="115" t="s">
        <v>875</v>
      </c>
      <c r="R570"/>
    </row>
    <row r="571" spans="1:18" x14ac:dyDescent="0.25">
      <c r="A571" s="84" t="str">
        <f t="shared" si="25"/>
        <v>OutubroSEMANA 2Côco Verde</v>
      </c>
      <c r="B571" s="85" t="s">
        <v>37</v>
      </c>
      <c r="C571" s="85" t="s">
        <v>21</v>
      </c>
      <c r="D571" s="86">
        <v>11</v>
      </c>
      <c r="E571" s="116" t="str">
        <f t="shared" si="26"/>
        <v>Hortifruti</v>
      </c>
      <c r="F571" s="85" t="s">
        <v>1055</v>
      </c>
      <c r="G571" s="85" t="s">
        <v>288</v>
      </c>
      <c r="H571" s="85" t="s">
        <v>1038</v>
      </c>
      <c r="I571" s="85">
        <v>10</v>
      </c>
      <c r="J571" s="87">
        <v>1.91</v>
      </c>
      <c r="K571" s="88">
        <f t="shared" si="27"/>
        <v>19.099999999999998</v>
      </c>
      <c r="L571" s="85">
        <v>4475</v>
      </c>
      <c r="M571" s="118" t="s">
        <v>953</v>
      </c>
      <c r="N571" s="84"/>
      <c r="O571" s="84" t="s">
        <v>875</v>
      </c>
      <c r="R571"/>
    </row>
    <row r="572" spans="1:18" x14ac:dyDescent="0.25">
      <c r="A572" s="84" t="str">
        <f t="shared" si="25"/>
        <v>OutubroSEMANA 2Manga Palmer</v>
      </c>
      <c r="B572" s="85" t="s">
        <v>37</v>
      </c>
      <c r="C572" s="85" t="s">
        <v>21</v>
      </c>
      <c r="D572" s="86">
        <v>11</v>
      </c>
      <c r="E572" s="116" t="str">
        <f t="shared" si="26"/>
        <v>Hortifruti</v>
      </c>
      <c r="F572" s="85" t="s">
        <v>1055</v>
      </c>
      <c r="G572" s="85" t="s">
        <v>496</v>
      </c>
      <c r="H572" s="85" t="s">
        <v>1039</v>
      </c>
      <c r="I572" s="85">
        <v>5.5</v>
      </c>
      <c r="J572" s="87">
        <f>24/5.5</f>
        <v>4.3636363636363633</v>
      </c>
      <c r="K572" s="88">
        <f t="shared" si="27"/>
        <v>24</v>
      </c>
      <c r="L572" s="85">
        <v>4475</v>
      </c>
      <c r="M572" s="118" t="s">
        <v>954</v>
      </c>
      <c r="N572" s="84"/>
      <c r="O572" s="84" t="s">
        <v>875</v>
      </c>
      <c r="R572"/>
    </row>
    <row r="573" spans="1:18" x14ac:dyDescent="0.25">
      <c r="A573" s="84" t="str">
        <f t="shared" si="25"/>
        <v>OutubroSEMANA 2Manjericão</v>
      </c>
      <c r="B573" s="85" t="s">
        <v>37</v>
      </c>
      <c r="C573" s="85" t="s">
        <v>21</v>
      </c>
      <c r="D573" s="86">
        <v>11</v>
      </c>
      <c r="E573" s="116" t="str">
        <f t="shared" si="26"/>
        <v>Hortifruti</v>
      </c>
      <c r="F573" s="85" t="s">
        <v>1055</v>
      </c>
      <c r="G573" s="85" t="s">
        <v>499</v>
      </c>
      <c r="H573" s="85" t="s">
        <v>1039</v>
      </c>
      <c r="I573" s="85">
        <v>0.5</v>
      </c>
      <c r="J573" s="87">
        <v>12.5</v>
      </c>
      <c r="K573" s="88">
        <f t="shared" si="27"/>
        <v>6.25</v>
      </c>
      <c r="L573" s="85">
        <v>4475</v>
      </c>
      <c r="M573" s="118" t="s">
        <v>955</v>
      </c>
      <c r="N573" s="84"/>
      <c r="O573" s="84" t="s">
        <v>875</v>
      </c>
      <c r="R573"/>
    </row>
    <row r="574" spans="1:18" x14ac:dyDescent="0.25">
      <c r="A574" s="84" t="str">
        <f t="shared" si="25"/>
        <v>OutubroSEMANA 2Salsa</v>
      </c>
      <c r="B574" s="85" t="s">
        <v>37</v>
      </c>
      <c r="C574" s="85" t="s">
        <v>21</v>
      </c>
      <c r="D574" s="86">
        <v>11</v>
      </c>
      <c r="E574" s="116" t="str">
        <f t="shared" si="26"/>
        <v>Hortifruti</v>
      </c>
      <c r="F574" s="85" t="s">
        <v>1055</v>
      </c>
      <c r="G574" s="85" t="s">
        <v>729</v>
      </c>
      <c r="H574" s="85" t="s">
        <v>1039</v>
      </c>
      <c r="I574" s="85">
        <v>1</v>
      </c>
      <c r="J574" s="87">
        <v>7.5</v>
      </c>
      <c r="K574" s="88">
        <f t="shared" si="27"/>
        <v>7.5</v>
      </c>
      <c r="L574" s="85">
        <v>4475</v>
      </c>
      <c r="M574" s="118" t="s">
        <v>524</v>
      </c>
      <c r="N574" s="84"/>
      <c r="O574" s="84" t="s">
        <v>42</v>
      </c>
      <c r="R574"/>
    </row>
    <row r="575" spans="1:18" x14ac:dyDescent="0.25">
      <c r="A575" s="84" t="str">
        <f t="shared" si="25"/>
        <v>OutubroSEMANA 2Côco Seco</v>
      </c>
      <c r="B575" s="85" t="s">
        <v>37</v>
      </c>
      <c r="C575" s="85" t="s">
        <v>21</v>
      </c>
      <c r="D575" s="86">
        <v>11</v>
      </c>
      <c r="E575" s="116" t="str">
        <f t="shared" si="26"/>
        <v>Mercado</v>
      </c>
      <c r="F575" s="85" t="s">
        <v>1055</v>
      </c>
      <c r="G575" s="85" t="s">
        <v>287</v>
      </c>
      <c r="H575" s="85" t="s">
        <v>1039</v>
      </c>
      <c r="I575" s="85">
        <v>3</v>
      </c>
      <c r="J575" s="87">
        <v>6.9</v>
      </c>
      <c r="K575" s="88">
        <f t="shared" si="27"/>
        <v>20.700000000000003</v>
      </c>
      <c r="L575" s="85">
        <v>4475</v>
      </c>
      <c r="M575" s="118" t="s">
        <v>525</v>
      </c>
      <c r="N575" s="84"/>
      <c r="O575" s="84" t="s">
        <v>874</v>
      </c>
      <c r="R575"/>
    </row>
    <row r="576" spans="1:18" x14ac:dyDescent="0.25">
      <c r="A576" s="84" t="str">
        <f t="shared" si="25"/>
        <v>OutubroSEMANA 2Kiwi</v>
      </c>
      <c r="B576" s="85" t="s">
        <v>37</v>
      </c>
      <c r="C576" s="85" t="s">
        <v>21</v>
      </c>
      <c r="D576" s="86">
        <v>11</v>
      </c>
      <c r="E576" s="116" t="str">
        <f t="shared" si="26"/>
        <v>Hortifruti</v>
      </c>
      <c r="F576" s="85" t="s">
        <v>1055</v>
      </c>
      <c r="G576" s="85" t="s">
        <v>454</v>
      </c>
      <c r="H576" s="85" t="s">
        <v>1039</v>
      </c>
      <c r="I576" s="85">
        <v>1</v>
      </c>
      <c r="J576" s="87">
        <v>13.7</v>
      </c>
      <c r="K576" s="88">
        <f t="shared" si="27"/>
        <v>13.7</v>
      </c>
      <c r="L576" s="85">
        <v>4475</v>
      </c>
      <c r="M576" s="118" t="s">
        <v>526</v>
      </c>
      <c r="N576" s="84"/>
      <c r="O576" s="84" t="s">
        <v>42</v>
      </c>
      <c r="R576"/>
    </row>
    <row r="577" spans="1:18" x14ac:dyDescent="0.25">
      <c r="A577" s="84" t="str">
        <f t="shared" si="25"/>
        <v>OutubroSEMANA 2Maçã Nacional</v>
      </c>
      <c r="B577" s="85" t="s">
        <v>37</v>
      </c>
      <c r="C577" s="85" t="s">
        <v>21</v>
      </c>
      <c r="D577" s="86">
        <v>11</v>
      </c>
      <c r="E577" s="116" t="str">
        <f t="shared" si="26"/>
        <v>Hortifruti</v>
      </c>
      <c r="F577" s="85" t="s">
        <v>1055</v>
      </c>
      <c r="G577" s="85" t="s">
        <v>477</v>
      </c>
      <c r="H577" s="85" t="s">
        <v>1039</v>
      </c>
      <c r="I577" s="85">
        <v>18.420000000000002</v>
      </c>
      <c r="J577" s="87">
        <f>61.5/18.42</f>
        <v>3.3387622149837131</v>
      </c>
      <c r="K577" s="88">
        <f t="shared" si="27"/>
        <v>61.5</v>
      </c>
      <c r="L577" s="85">
        <v>4475</v>
      </c>
      <c r="M577" s="118" t="s">
        <v>527</v>
      </c>
      <c r="N577" s="84"/>
      <c r="O577" s="84" t="s">
        <v>42</v>
      </c>
      <c r="R577"/>
    </row>
    <row r="578" spans="1:18" x14ac:dyDescent="0.25">
      <c r="A578" s="84" t="str">
        <f t="shared" ref="A578:A641" si="28">CONCATENATE(B578,C578,G578)</f>
        <v>OutubroSEMANA 2Mamão Bahia</v>
      </c>
      <c r="B578" s="85" t="s">
        <v>37</v>
      </c>
      <c r="C578" s="85" t="s">
        <v>21</v>
      </c>
      <c r="D578" s="86">
        <v>11</v>
      </c>
      <c r="E578" s="116" t="str">
        <f t="shared" ref="E578:E641" si="29">VLOOKUP(G578,$M$1:$O$968,3,0)</f>
        <v>Hortifruti</v>
      </c>
      <c r="F578" s="85" t="s">
        <v>1055</v>
      </c>
      <c r="G578" s="85" t="s">
        <v>494</v>
      </c>
      <c r="H578" s="85" t="s">
        <v>1039</v>
      </c>
      <c r="I578" s="85"/>
      <c r="J578" s="87"/>
      <c r="K578" s="88">
        <f t="shared" ref="K578:K641" si="30">I578*J578</f>
        <v>0</v>
      </c>
      <c r="L578" s="85" t="s">
        <v>1185</v>
      </c>
      <c r="M578" s="118" t="s">
        <v>528</v>
      </c>
      <c r="N578" s="84"/>
      <c r="O578" s="84" t="s">
        <v>42</v>
      </c>
      <c r="R578"/>
    </row>
    <row r="579" spans="1:18" x14ac:dyDescent="0.25">
      <c r="A579" s="84" t="str">
        <f t="shared" si="28"/>
        <v>OutubroSEMANA 2Melância</v>
      </c>
      <c r="B579" s="85" t="s">
        <v>37</v>
      </c>
      <c r="C579" s="85" t="s">
        <v>21</v>
      </c>
      <c r="D579" s="86">
        <v>11</v>
      </c>
      <c r="E579" s="116" t="str">
        <f t="shared" si="29"/>
        <v>Hortifruti</v>
      </c>
      <c r="F579" s="85" t="s">
        <v>1055</v>
      </c>
      <c r="G579" s="85" t="s">
        <v>517</v>
      </c>
      <c r="H579" s="85" t="s">
        <v>1039</v>
      </c>
      <c r="I579" s="85">
        <v>10</v>
      </c>
      <c r="J579" s="87">
        <v>1.64</v>
      </c>
      <c r="K579" s="88">
        <f t="shared" si="30"/>
        <v>16.399999999999999</v>
      </c>
      <c r="L579" s="85">
        <v>4475</v>
      </c>
      <c r="M579" s="118" t="s">
        <v>529</v>
      </c>
      <c r="N579" s="84"/>
      <c r="O579" s="84" t="s">
        <v>42</v>
      </c>
      <c r="R579"/>
    </row>
    <row r="580" spans="1:18" x14ac:dyDescent="0.25">
      <c r="A580" s="84" t="str">
        <f t="shared" si="28"/>
        <v>OutubroSEMANA 2Tomate Cereja</v>
      </c>
      <c r="B580" s="85" t="s">
        <v>37</v>
      </c>
      <c r="C580" s="85" t="s">
        <v>21</v>
      </c>
      <c r="D580" s="86">
        <v>11</v>
      </c>
      <c r="E580" s="116" t="str">
        <f t="shared" si="29"/>
        <v>Hortifruti</v>
      </c>
      <c r="F580" s="85" t="s">
        <v>1055</v>
      </c>
      <c r="G580" s="85" t="s">
        <v>790</v>
      </c>
      <c r="H580" s="85" t="s">
        <v>1039</v>
      </c>
      <c r="I580" s="85">
        <v>5</v>
      </c>
      <c r="J580" s="87">
        <v>7.85</v>
      </c>
      <c r="K580" s="88">
        <f t="shared" si="30"/>
        <v>39.25</v>
      </c>
      <c r="L580" s="85">
        <v>4475</v>
      </c>
      <c r="M580" s="118" t="s">
        <v>530</v>
      </c>
      <c r="N580" s="84"/>
      <c r="O580" s="84" t="s">
        <v>42</v>
      </c>
      <c r="R580"/>
    </row>
    <row r="581" spans="1:18" x14ac:dyDescent="0.25">
      <c r="A581" s="84" t="str">
        <f t="shared" si="28"/>
        <v>OutubroSEMANA 2Repolho</v>
      </c>
      <c r="B581" s="85" t="s">
        <v>37</v>
      </c>
      <c r="C581" s="85" t="s">
        <v>21</v>
      </c>
      <c r="D581" s="86">
        <v>11</v>
      </c>
      <c r="E581" s="116" t="str">
        <f t="shared" si="29"/>
        <v>Hortifruti</v>
      </c>
      <c r="F581" s="85" t="s">
        <v>1055</v>
      </c>
      <c r="G581" s="85" t="s">
        <v>701</v>
      </c>
      <c r="H581" s="85" t="s">
        <v>1039</v>
      </c>
      <c r="I581" s="90">
        <v>3.8</v>
      </c>
      <c r="J581" s="89">
        <v>1.21</v>
      </c>
      <c r="K581" s="88">
        <f t="shared" si="30"/>
        <v>4.5979999999999999</v>
      </c>
      <c r="L581" s="85">
        <v>4475</v>
      </c>
      <c r="M581" s="118" t="s">
        <v>531</v>
      </c>
      <c r="N581" s="84"/>
      <c r="O581" s="84" t="s">
        <v>45</v>
      </c>
      <c r="R581"/>
    </row>
    <row r="582" spans="1:18" x14ac:dyDescent="0.25">
      <c r="A582" s="84" t="str">
        <f t="shared" si="28"/>
        <v>OutubroSEMANA 2Laranja Pera</v>
      </c>
      <c r="B582" s="85" t="s">
        <v>37</v>
      </c>
      <c r="C582" s="85" t="s">
        <v>21</v>
      </c>
      <c r="D582" s="86">
        <v>11</v>
      </c>
      <c r="E582" s="116" t="str">
        <f t="shared" si="29"/>
        <v>Hortifruti</v>
      </c>
      <c r="F582" s="85" t="s">
        <v>1110</v>
      </c>
      <c r="G582" s="85" t="s">
        <v>457</v>
      </c>
      <c r="H582" s="85" t="s">
        <v>1039</v>
      </c>
      <c r="I582" s="85">
        <v>18.75</v>
      </c>
      <c r="J582" s="87">
        <f>30/18.75</f>
        <v>1.6</v>
      </c>
      <c r="K582" s="88">
        <f t="shared" si="30"/>
        <v>30</v>
      </c>
      <c r="L582" s="85">
        <v>19718</v>
      </c>
      <c r="M582" s="118" t="s">
        <v>1011</v>
      </c>
      <c r="O582" s="84" t="s">
        <v>875</v>
      </c>
      <c r="R582"/>
    </row>
    <row r="583" spans="1:18" x14ac:dyDescent="0.25">
      <c r="A583" s="84" t="str">
        <f t="shared" si="28"/>
        <v>OutubroSEMANA 2Beterraba</v>
      </c>
      <c r="B583" s="85" t="s">
        <v>37</v>
      </c>
      <c r="C583" s="85" t="s">
        <v>21</v>
      </c>
      <c r="D583" s="86">
        <v>11</v>
      </c>
      <c r="E583" s="116" t="str">
        <f t="shared" si="29"/>
        <v>Hortifruti</v>
      </c>
      <c r="F583" s="85" t="s">
        <v>1110</v>
      </c>
      <c r="G583" s="85" t="s">
        <v>181</v>
      </c>
      <c r="H583" s="85" t="s">
        <v>1039</v>
      </c>
      <c r="I583" s="85">
        <v>4</v>
      </c>
      <c r="J583" s="87">
        <v>1.4</v>
      </c>
      <c r="K583" s="88">
        <f t="shared" si="30"/>
        <v>5.6</v>
      </c>
      <c r="L583" s="85">
        <v>19718</v>
      </c>
      <c r="M583" s="118" t="s">
        <v>532</v>
      </c>
      <c r="N583" s="84"/>
      <c r="O583" s="84" t="s">
        <v>42</v>
      </c>
      <c r="R583"/>
    </row>
    <row r="584" spans="1:18" x14ac:dyDescent="0.25">
      <c r="A584" s="84" t="str">
        <f t="shared" si="28"/>
        <v>OutubroSEMANA 2Cebola</v>
      </c>
      <c r="B584" s="85" t="s">
        <v>37</v>
      </c>
      <c r="C584" s="85" t="s">
        <v>21</v>
      </c>
      <c r="D584" s="86">
        <v>11</v>
      </c>
      <c r="E584" s="116" t="str">
        <f t="shared" si="29"/>
        <v>Hortifruti</v>
      </c>
      <c r="F584" s="85" t="s">
        <v>1110</v>
      </c>
      <c r="G584" s="85" t="s">
        <v>241</v>
      </c>
      <c r="H584" s="85" t="s">
        <v>1039</v>
      </c>
      <c r="I584" s="85">
        <v>20.440000000000001</v>
      </c>
      <c r="J584" s="87">
        <f>28.75/20.44</f>
        <v>1.4065557729941291</v>
      </c>
      <c r="K584" s="88">
        <f t="shared" si="30"/>
        <v>28.75</v>
      </c>
      <c r="L584" s="85">
        <v>19718</v>
      </c>
      <c r="M584" s="118" t="s">
        <v>533</v>
      </c>
      <c r="N584" s="84"/>
      <c r="O584" s="84" t="s">
        <v>42</v>
      </c>
      <c r="R584"/>
    </row>
    <row r="585" spans="1:18" x14ac:dyDescent="0.25">
      <c r="A585" s="84" t="str">
        <f t="shared" si="28"/>
        <v>OutubroSEMANA 2Coentro</v>
      </c>
      <c r="B585" s="85" t="s">
        <v>37</v>
      </c>
      <c r="C585" s="85" t="s">
        <v>21</v>
      </c>
      <c r="D585" s="86">
        <v>11</v>
      </c>
      <c r="E585" s="116" t="str">
        <f t="shared" si="29"/>
        <v>Hortifruti</v>
      </c>
      <c r="F585" s="85" t="s">
        <v>1110</v>
      </c>
      <c r="G585" s="85" t="s">
        <v>289</v>
      </c>
      <c r="H585" s="85" t="s">
        <v>1039</v>
      </c>
      <c r="I585" s="85">
        <v>0.5</v>
      </c>
      <c r="J585" s="87">
        <v>11.25</v>
      </c>
      <c r="K585" s="88">
        <f t="shared" si="30"/>
        <v>5.625</v>
      </c>
      <c r="L585" s="85">
        <v>19718</v>
      </c>
      <c r="M585" s="118" t="s">
        <v>534</v>
      </c>
      <c r="N585" s="84"/>
      <c r="O585" s="84" t="s">
        <v>42</v>
      </c>
      <c r="R585"/>
    </row>
    <row r="586" spans="1:18" x14ac:dyDescent="0.25">
      <c r="A586" s="84" t="str">
        <f t="shared" si="28"/>
        <v>OutubroSEMANA 2Goiaba</v>
      </c>
      <c r="B586" s="85" t="s">
        <v>37</v>
      </c>
      <c r="C586" s="85" t="s">
        <v>21</v>
      </c>
      <c r="D586" s="86">
        <v>11</v>
      </c>
      <c r="E586" s="116" t="str">
        <f t="shared" si="29"/>
        <v>Hortifruti</v>
      </c>
      <c r="F586" s="85" t="s">
        <v>1110</v>
      </c>
      <c r="G586" s="85" t="s">
        <v>391</v>
      </c>
      <c r="H586" s="85" t="s">
        <v>1039</v>
      </c>
      <c r="I586" s="85">
        <v>2.5</v>
      </c>
      <c r="J586" s="87">
        <f>15/2.5</f>
        <v>6</v>
      </c>
      <c r="K586" s="88">
        <f t="shared" si="30"/>
        <v>15</v>
      </c>
      <c r="L586" s="85">
        <v>19718</v>
      </c>
      <c r="M586" s="118" t="s">
        <v>535</v>
      </c>
      <c r="N586" s="84"/>
      <c r="O586" s="84" t="s">
        <v>45</v>
      </c>
      <c r="R586"/>
    </row>
    <row r="587" spans="1:18" x14ac:dyDescent="0.25">
      <c r="A587" s="84" t="str">
        <f t="shared" si="28"/>
        <v xml:space="preserve">OutubroSEMANA 2Melão de Rede </v>
      </c>
      <c r="B587" s="85" t="s">
        <v>37</v>
      </c>
      <c r="C587" s="85" t="s">
        <v>21</v>
      </c>
      <c r="D587" s="86">
        <v>11</v>
      </c>
      <c r="E587" s="116" t="str">
        <f t="shared" si="29"/>
        <v>Hortifruti</v>
      </c>
      <c r="F587" s="85" t="s">
        <v>1110</v>
      </c>
      <c r="G587" s="85" t="s">
        <v>518</v>
      </c>
      <c r="H587" s="85" t="s">
        <v>1039</v>
      </c>
      <c r="I587" s="85">
        <v>2</v>
      </c>
      <c r="J587" s="87">
        <v>5</v>
      </c>
      <c r="K587" s="88">
        <f t="shared" si="30"/>
        <v>10</v>
      </c>
      <c r="L587" s="85">
        <v>19718</v>
      </c>
      <c r="M587" s="118" t="s">
        <v>536</v>
      </c>
      <c r="N587" s="84"/>
      <c r="O587" s="84" t="s">
        <v>45</v>
      </c>
      <c r="R587"/>
    </row>
    <row r="588" spans="1:18" x14ac:dyDescent="0.25">
      <c r="A588" s="84" t="str">
        <f t="shared" si="28"/>
        <v>OutubroSEMANA 2Vagem Macarrão</v>
      </c>
      <c r="B588" s="85" t="s">
        <v>37</v>
      </c>
      <c r="C588" s="85" t="s">
        <v>21</v>
      </c>
      <c r="D588" s="86">
        <v>11</v>
      </c>
      <c r="E588" s="116" t="str">
        <f t="shared" si="29"/>
        <v>Hortifruti</v>
      </c>
      <c r="F588" s="85" t="s">
        <v>1110</v>
      </c>
      <c r="G588" s="85" t="s">
        <v>832</v>
      </c>
      <c r="H588" s="85" t="s">
        <v>1039</v>
      </c>
      <c r="I588" s="85">
        <v>0.5</v>
      </c>
      <c r="J588" s="87">
        <v>5</v>
      </c>
      <c r="K588" s="88">
        <f t="shared" si="30"/>
        <v>2.5</v>
      </c>
      <c r="L588" s="85">
        <v>19718</v>
      </c>
      <c r="M588" s="118" t="s">
        <v>537</v>
      </c>
      <c r="N588" s="84"/>
      <c r="O588" s="84" t="s">
        <v>60</v>
      </c>
      <c r="R588"/>
    </row>
    <row r="589" spans="1:18" x14ac:dyDescent="0.25">
      <c r="A589" s="84" t="str">
        <f t="shared" si="28"/>
        <v>OutubroSEMANA 2Queijo Mozzarela Italiana pcte 880 gr</v>
      </c>
      <c r="B589" s="85" t="s">
        <v>37</v>
      </c>
      <c r="C589" s="85" t="s">
        <v>21</v>
      </c>
      <c r="D589" s="86">
        <v>11</v>
      </c>
      <c r="E589" s="116" t="str">
        <f t="shared" si="29"/>
        <v>Mercado</v>
      </c>
      <c r="F589" s="85" t="s">
        <v>1160</v>
      </c>
      <c r="G589" s="85" t="s">
        <v>684</v>
      </c>
      <c r="H589" s="85" t="s">
        <v>1039</v>
      </c>
      <c r="I589" s="85">
        <f>7*0.88</f>
        <v>6.16</v>
      </c>
      <c r="J589" s="87">
        <f>257.04/6.16</f>
        <v>41.727272727272727</v>
      </c>
      <c r="K589" s="88">
        <f t="shared" si="30"/>
        <v>257.04000000000002</v>
      </c>
      <c r="L589" s="85">
        <v>52902</v>
      </c>
      <c r="M589" s="118" t="s">
        <v>931</v>
      </c>
      <c r="N589" s="84"/>
      <c r="O589" s="84" t="s">
        <v>60</v>
      </c>
      <c r="R589"/>
    </row>
    <row r="590" spans="1:18" x14ac:dyDescent="0.25">
      <c r="A590" s="84" t="str">
        <f t="shared" si="28"/>
        <v>OutubroSEMANA 2Torta Capuccino Diet</v>
      </c>
      <c r="B590" s="85" t="s">
        <v>37</v>
      </c>
      <c r="C590" s="85" t="s">
        <v>21</v>
      </c>
      <c r="D590" s="86">
        <v>11</v>
      </c>
      <c r="E590" s="116" t="str">
        <f t="shared" si="29"/>
        <v>Sobremesa</v>
      </c>
      <c r="F590" s="85" t="s">
        <v>1161</v>
      </c>
      <c r="G590" s="85" t="s">
        <v>812</v>
      </c>
      <c r="H590" s="85" t="s">
        <v>1071</v>
      </c>
      <c r="I590" s="85">
        <v>10</v>
      </c>
      <c r="J590" s="87">
        <v>5.891</v>
      </c>
      <c r="K590" s="88">
        <f t="shared" si="30"/>
        <v>58.91</v>
      </c>
      <c r="L590" s="85">
        <v>89808</v>
      </c>
      <c r="M590" s="118" t="s">
        <v>538</v>
      </c>
      <c r="N590" s="84"/>
      <c r="O590" s="84" t="s">
        <v>42</v>
      </c>
      <c r="R590"/>
    </row>
    <row r="591" spans="1:18" x14ac:dyDescent="0.25">
      <c r="A591" s="84" t="str">
        <f t="shared" si="28"/>
        <v xml:space="preserve">OutubroSEMANA 2Torta Mousse de Chocolate </v>
      </c>
      <c r="B591" s="85" t="s">
        <v>37</v>
      </c>
      <c r="C591" s="85" t="s">
        <v>21</v>
      </c>
      <c r="D591" s="86">
        <v>11</v>
      </c>
      <c r="E591" s="116" t="str">
        <f t="shared" si="29"/>
        <v>Sobremesa</v>
      </c>
      <c r="F591" s="85" t="s">
        <v>1161</v>
      </c>
      <c r="G591" s="85" t="s">
        <v>817</v>
      </c>
      <c r="H591" s="85" t="s">
        <v>1071</v>
      </c>
      <c r="I591" s="85">
        <f>12*2</f>
        <v>24</v>
      </c>
      <c r="J591" s="87">
        <f>99.32/24</f>
        <v>4.1383333333333328</v>
      </c>
      <c r="K591" s="88">
        <f t="shared" si="30"/>
        <v>99.32</v>
      </c>
      <c r="L591" s="85">
        <v>89808</v>
      </c>
      <c r="M591" s="118" t="s">
        <v>539</v>
      </c>
      <c r="N591" s="84"/>
      <c r="O591" s="84" t="s">
        <v>45</v>
      </c>
      <c r="R591"/>
    </row>
    <row r="592" spans="1:18" x14ac:dyDescent="0.25">
      <c r="A592" s="84" t="str">
        <f t="shared" si="28"/>
        <v>OutubroSEMANA 2Torta Brownie com Nozes</v>
      </c>
      <c r="B592" s="85" t="s">
        <v>37</v>
      </c>
      <c r="C592" s="85" t="s">
        <v>21</v>
      </c>
      <c r="D592" s="86">
        <v>11</v>
      </c>
      <c r="E592" s="116" t="str">
        <f t="shared" si="29"/>
        <v>Sobremesa</v>
      </c>
      <c r="F592" s="85" t="s">
        <v>1162</v>
      </c>
      <c r="G592" s="85" t="s">
        <v>811</v>
      </c>
      <c r="H592" s="85" t="s">
        <v>1038</v>
      </c>
      <c r="I592" s="85">
        <v>8</v>
      </c>
      <c r="J592" s="87">
        <f>47.3/8</f>
        <v>5.9124999999999996</v>
      </c>
      <c r="K592" s="88">
        <f t="shared" si="30"/>
        <v>47.3</v>
      </c>
      <c r="L592" s="85">
        <v>33875</v>
      </c>
      <c r="M592" s="118" t="s">
        <v>898</v>
      </c>
      <c r="N592" s="84"/>
      <c r="O592" s="84" t="s">
        <v>60</v>
      </c>
      <c r="R592"/>
    </row>
    <row r="593" spans="1:18" x14ac:dyDescent="0.25">
      <c r="A593" s="84" t="str">
        <f t="shared" si="28"/>
        <v>OutubroSEMANA 2Torta Alemã</v>
      </c>
      <c r="B593" s="85" t="s">
        <v>37</v>
      </c>
      <c r="C593" s="85" t="s">
        <v>21</v>
      </c>
      <c r="D593" s="86">
        <v>11</v>
      </c>
      <c r="E593" s="116" t="str">
        <f t="shared" si="29"/>
        <v>Sobremesa</v>
      </c>
      <c r="F593" s="85" t="s">
        <v>1127</v>
      </c>
      <c r="G593" s="85" t="s">
        <v>804</v>
      </c>
      <c r="H593" s="85" t="s">
        <v>1071</v>
      </c>
      <c r="I593" s="85">
        <v>12</v>
      </c>
      <c r="J593" s="87">
        <f>66.83/12</f>
        <v>5.5691666666666668</v>
      </c>
      <c r="K593" s="88">
        <f t="shared" si="30"/>
        <v>66.83</v>
      </c>
      <c r="L593" s="85">
        <v>146364</v>
      </c>
      <c r="M593" s="118" t="s">
        <v>540</v>
      </c>
      <c r="N593" s="84"/>
      <c r="O593" s="84" t="s">
        <v>42</v>
      </c>
      <c r="R593"/>
    </row>
    <row r="594" spans="1:18" x14ac:dyDescent="0.25">
      <c r="A594" s="84" t="str">
        <f t="shared" si="28"/>
        <v>OutubroSEMANA 2Torta Bem Casado de Damasco</v>
      </c>
      <c r="B594" s="85" t="s">
        <v>37</v>
      </c>
      <c r="C594" s="85" t="s">
        <v>21</v>
      </c>
      <c r="D594" s="86">
        <v>11</v>
      </c>
      <c r="E594" s="116" t="str">
        <f t="shared" si="29"/>
        <v>Sobremesa</v>
      </c>
      <c r="F594" s="85" t="s">
        <v>1127</v>
      </c>
      <c r="G594" s="85" t="s">
        <v>808</v>
      </c>
      <c r="H594" s="85" t="s">
        <v>1071</v>
      </c>
      <c r="I594" s="85">
        <f>12*3</f>
        <v>36</v>
      </c>
      <c r="J594" s="87">
        <f>206.85/36</f>
        <v>5.7458333333333336</v>
      </c>
      <c r="K594" s="88">
        <f t="shared" si="30"/>
        <v>206.85000000000002</v>
      </c>
      <c r="L594" s="85">
        <v>146364</v>
      </c>
      <c r="M594" s="118" t="s">
        <v>541</v>
      </c>
      <c r="N594" s="84"/>
      <c r="O594" s="84" t="s">
        <v>46</v>
      </c>
      <c r="R594"/>
    </row>
    <row r="595" spans="1:18" x14ac:dyDescent="0.25">
      <c r="A595" s="84" t="str">
        <f t="shared" si="28"/>
        <v>OutubroSEMANA 2Torta de Brigadeiro c/ Raspas</v>
      </c>
      <c r="B595" s="85" t="s">
        <v>37</v>
      </c>
      <c r="C595" s="85" t="s">
        <v>21</v>
      </c>
      <c r="D595" s="86">
        <v>11</v>
      </c>
      <c r="E595" s="116" t="str">
        <f t="shared" si="29"/>
        <v>Sobremesa</v>
      </c>
      <c r="F595" s="85" t="s">
        <v>1127</v>
      </c>
      <c r="G595" s="85" t="s">
        <v>813</v>
      </c>
      <c r="H595" s="85" t="s">
        <v>1071</v>
      </c>
      <c r="I595" s="85">
        <f>12*2</f>
        <v>24</v>
      </c>
      <c r="J595" s="87">
        <f>133.65/24</f>
        <v>5.5687500000000005</v>
      </c>
      <c r="K595" s="88">
        <f t="shared" si="30"/>
        <v>133.65</v>
      </c>
      <c r="L595" s="85">
        <v>146364</v>
      </c>
      <c r="M595" s="118" t="s">
        <v>542</v>
      </c>
      <c r="N595" s="84"/>
      <c r="O595" s="84" t="s">
        <v>42</v>
      </c>
      <c r="R595"/>
    </row>
    <row r="596" spans="1:18" x14ac:dyDescent="0.25">
      <c r="A596" s="84" t="str">
        <f t="shared" si="28"/>
        <v>OutubroSEMANA 2Torta de Limão</v>
      </c>
      <c r="B596" s="85" t="s">
        <v>37</v>
      </c>
      <c r="C596" s="85" t="s">
        <v>21</v>
      </c>
      <c r="D596" s="86">
        <v>11</v>
      </c>
      <c r="E596" s="116" t="str">
        <f t="shared" si="29"/>
        <v>Sobremesa</v>
      </c>
      <c r="F596" s="85" t="s">
        <v>1127</v>
      </c>
      <c r="G596" s="85" t="s">
        <v>814</v>
      </c>
      <c r="H596" s="85" t="s">
        <v>1071</v>
      </c>
      <c r="I596" s="85">
        <f>12*2</f>
        <v>24</v>
      </c>
      <c r="J596" s="87">
        <f>127.28/24</f>
        <v>5.3033333333333337</v>
      </c>
      <c r="K596" s="88">
        <f t="shared" si="30"/>
        <v>127.28</v>
      </c>
      <c r="L596" s="85">
        <v>146364</v>
      </c>
      <c r="M596" s="118" t="s">
        <v>543</v>
      </c>
      <c r="N596" s="84"/>
      <c r="O596" s="84" t="s">
        <v>42</v>
      </c>
      <c r="R596"/>
    </row>
    <row r="597" spans="1:18" x14ac:dyDescent="0.25">
      <c r="A597" s="84" t="str">
        <f t="shared" si="28"/>
        <v>OutubroSEMANA 2Quindão com Damasco</v>
      </c>
      <c r="B597" s="85" t="s">
        <v>37</v>
      </c>
      <c r="C597" s="85" t="s">
        <v>21</v>
      </c>
      <c r="D597" s="86">
        <v>11</v>
      </c>
      <c r="E597" s="116" t="str">
        <f t="shared" si="29"/>
        <v>Sobremesa</v>
      </c>
      <c r="F597" s="85" t="s">
        <v>1127</v>
      </c>
      <c r="G597" s="85" t="s">
        <v>691</v>
      </c>
      <c r="H597" s="85" t="s">
        <v>1071</v>
      </c>
      <c r="I597" s="85">
        <v>12</v>
      </c>
      <c r="J597" s="87">
        <f>66.82/12</f>
        <v>5.5683333333333325</v>
      </c>
      <c r="K597" s="88">
        <f t="shared" si="30"/>
        <v>66.819999999999993</v>
      </c>
      <c r="L597" s="85">
        <v>146364</v>
      </c>
      <c r="M597" s="118" t="s">
        <v>544</v>
      </c>
      <c r="N597" s="84"/>
      <c r="O597" s="84" t="s">
        <v>42</v>
      </c>
      <c r="R597"/>
    </row>
    <row r="598" spans="1:18" x14ac:dyDescent="0.25">
      <c r="A598" s="84" t="str">
        <f t="shared" si="28"/>
        <v>OutubroSEMANA 2Torta Bem Casado de Doce de Leite</v>
      </c>
      <c r="B598" s="85" t="s">
        <v>37</v>
      </c>
      <c r="C598" s="85" t="s">
        <v>21</v>
      </c>
      <c r="D598" s="86">
        <v>11</v>
      </c>
      <c r="E598" s="116" t="str">
        <f t="shared" si="29"/>
        <v>Sobremesa</v>
      </c>
      <c r="F598" s="85" t="s">
        <v>1127</v>
      </c>
      <c r="G598" s="85" t="s">
        <v>809</v>
      </c>
      <c r="H598" s="85" t="s">
        <v>1071</v>
      </c>
      <c r="I598" s="85">
        <f>12*2</f>
        <v>24</v>
      </c>
      <c r="J598" s="87">
        <f>137.9/24</f>
        <v>5.7458333333333336</v>
      </c>
      <c r="K598" s="88">
        <f t="shared" si="30"/>
        <v>137.9</v>
      </c>
      <c r="L598" s="85">
        <v>146364</v>
      </c>
      <c r="M598" s="118" t="s">
        <v>545</v>
      </c>
      <c r="N598" s="84"/>
      <c r="O598" s="84" t="s">
        <v>42</v>
      </c>
      <c r="R598"/>
    </row>
    <row r="599" spans="1:18" x14ac:dyDescent="0.25">
      <c r="A599" s="84" t="str">
        <f t="shared" si="28"/>
        <v>OutubroSEMANA 2Torta Banana Crock</v>
      </c>
      <c r="B599" s="85" t="s">
        <v>37</v>
      </c>
      <c r="C599" s="85" t="s">
        <v>21</v>
      </c>
      <c r="D599" s="86">
        <v>11</v>
      </c>
      <c r="E599" s="116" t="str">
        <f t="shared" si="29"/>
        <v>Sobremesa</v>
      </c>
      <c r="F599" s="85" t="s">
        <v>1127</v>
      </c>
      <c r="G599" s="85" t="s">
        <v>805</v>
      </c>
      <c r="H599" s="85" t="s">
        <v>1071</v>
      </c>
      <c r="I599" s="85">
        <v>24</v>
      </c>
      <c r="J599" s="87">
        <f>137.9/24</f>
        <v>5.7458333333333336</v>
      </c>
      <c r="K599" s="88">
        <f t="shared" si="30"/>
        <v>137.9</v>
      </c>
      <c r="L599" s="85">
        <v>146364</v>
      </c>
      <c r="M599" s="118" t="s">
        <v>546</v>
      </c>
      <c r="N599" s="84"/>
      <c r="O599" s="84" t="s">
        <v>42</v>
      </c>
      <c r="R599"/>
    </row>
    <row r="600" spans="1:18" x14ac:dyDescent="0.25">
      <c r="A600" s="84" t="str">
        <f t="shared" si="28"/>
        <v>OutubroSEMANA 2Torta de Cenoura c/ Chocolate</v>
      </c>
      <c r="B600" s="85" t="s">
        <v>37</v>
      </c>
      <c r="C600" s="85" t="s">
        <v>21</v>
      </c>
      <c r="D600" s="86">
        <v>11</v>
      </c>
      <c r="E600" s="116" t="str">
        <f t="shared" si="29"/>
        <v>Sobremesa</v>
      </c>
      <c r="F600" s="85" t="s">
        <v>1127</v>
      </c>
      <c r="G600" s="85" t="s">
        <v>1006</v>
      </c>
      <c r="H600" s="85" t="s">
        <v>1071</v>
      </c>
      <c r="I600" s="85">
        <v>12</v>
      </c>
      <c r="J600" s="87">
        <f>68.53/12</f>
        <v>5.7108333333333334</v>
      </c>
      <c r="K600" s="88">
        <f t="shared" si="30"/>
        <v>68.53</v>
      </c>
      <c r="L600" s="85">
        <v>146364</v>
      </c>
      <c r="M600" s="118" t="s">
        <v>547</v>
      </c>
      <c r="N600" s="84"/>
      <c r="O600" s="84" t="s">
        <v>42</v>
      </c>
      <c r="R600"/>
    </row>
    <row r="601" spans="1:18" x14ac:dyDescent="0.25">
      <c r="A601" s="84" t="str">
        <f t="shared" si="28"/>
        <v>OutubroSEMANA 2Torta de Maça Integral</v>
      </c>
      <c r="B601" s="85" t="s">
        <v>37</v>
      </c>
      <c r="C601" s="85" t="s">
        <v>21</v>
      </c>
      <c r="D601" s="86">
        <v>11</v>
      </c>
      <c r="E601" s="116" t="str">
        <f t="shared" si="29"/>
        <v>Sobremesa</v>
      </c>
      <c r="F601" s="85" t="s">
        <v>1125</v>
      </c>
      <c r="G601" s="85" t="s">
        <v>815</v>
      </c>
      <c r="H601" s="85" t="s">
        <v>1071</v>
      </c>
      <c r="I601" s="85">
        <f>2*10</f>
        <v>20</v>
      </c>
      <c r="J601" s="87">
        <f>96/20</f>
        <v>4.8</v>
      </c>
      <c r="K601" s="88">
        <f t="shared" si="30"/>
        <v>96</v>
      </c>
      <c r="L601" s="85">
        <v>39476</v>
      </c>
      <c r="M601" s="118" t="s">
        <v>1024</v>
      </c>
      <c r="O601" s="84" t="s">
        <v>45</v>
      </c>
      <c r="R601"/>
    </row>
    <row r="602" spans="1:18" x14ac:dyDescent="0.25">
      <c r="A602" s="84" t="str">
        <f t="shared" si="28"/>
        <v>OutubroSEMANA 2Ovos Extra Sushi</v>
      </c>
      <c r="B602" s="85" t="s">
        <v>37</v>
      </c>
      <c r="C602" s="85" t="s">
        <v>21</v>
      </c>
      <c r="D602" s="86">
        <v>9</v>
      </c>
      <c r="E602" s="116" t="str">
        <f t="shared" si="29"/>
        <v>Sushi</v>
      </c>
      <c r="F602" s="85" t="s">
        <v>1055</v>
      </c>
      <c r="G602" s="85" t="s">
        <v>551</v>
      </c>
      <c r="H602" s="85" t="s">
        <v>1038</v>
      </c>
      <c r="I602" s="85">
        <v>10</v>
      </c>
      <c r="J602" s="87">
        <f>101/360</f>
        <v>0.28055555555555556</v>
      </c>
      <c r="K602" s="88">
        <f t="shared" si="30"/>
        <v>2.8055555555555554</v>
      </c>
      <c r="L602" s="85">
        <v>4254</v>
      </c>
      <c r="M602" s="118" t="s">
        <v>548</v>
      </c>
      <c r="N602" s="84"/>
      <c r="O602" s="84" t="s">
        <v>45</v>
      </c>
      <c r="R602"/>
    </row>
    <row r="603" spans="1:18" x14ac:dyDescent="0.25">
      <c r="A603" s="84" t="str">
        <f t="shared" si="28"/>
        <v>OutubroSEMANA 2Misso Shiro</v>
      </c>
      <c r="B603" s="85" t="s">
        <v>37</v>
      </c>
      <c r="C603" s="85" t="s">
        <v>21</v>
      </c>
      <c r="D603" s="86">
        <v>11</v>
      </c>
      <c r="E603" s="116" t="str">
        <f t="shared" si="29"/>
        <v>Mercado</v>
      </c>
      <c r="F603" s="85" t="s">
        <v>1128</v>
      </c>
      <c r="G603" s="85" t="s">
        <v>524</v>
      </c>
      <c r="H603" s="85" t="s">
        <v>1039</v>
      </c>
      <c r="I603" s="85">
        <v>10</v>
      </c>
      <c r="J603" s="87">
        <v>22</v>
      </c>
      <c r="K603" s="88">
        <f t="shared" si="30"/>
        <v>220</v>
      </c>
      <c r="L603" s="85">
        <v>7825</v>
      </c>
      <c r="M603" s="118" t="s">
        <v>549</v>
      </c>
      <c r="N603" s="84"/>
      <c r="O603" s="84" t="s">
        <v>45</v>
      </c>
      <c r="R603"/>
    </row>
    <row r="604" spans="1:18" x14ac:dyDescent="0.25">
      <c r="A604" s="84" t="str">
        <f t="shared" si="28"/>
        <v>OutubroSEMANA 2Clara de Ovo</v>
      </c>
      <c r="B604" s="85" t="s">
        <v>37</v>
      </c>
      <c r="C604" s="85" t="s">
        <v>21</v>
      </c>
      <c r="D604" s="86">
        <v>11</v>
      </c>
      <c r="E604" s="116" t="str">
        <f t="shared" si="29"/>
        <v>Mercado</v>
      </c>
      <c r="F604" s="85" t="s">
        <v>1067</v>
      </c>
      <c r="G604" s="85" t="s">
        <v>282</v>
      </c>
      <c r="H604" s="85" t="s">
        <v>1039</v>
      </c>
      <c r="I604" s="85">
        <v>7.57</v>
      </c>
      <c r="J604" s="87">
        <f>50/7.57</f>
        <v>6.6050198150594452</v>
      </c>
      <c r="K604" s="88">
        <f t="shared" si="30"/>
        <v>50</v>
      </c>
      <c r="L604" s="85"/>
      <c r="M604" s="118" t="s">
        <v>550</v>
      </c>
      <c r="N604" s="84"/>
      <c r="O604" s="84" t="s">
        <v>45</v>
      </c>
      <c r="R604"/>
    </row>
    <row r="605" spans="1:18" x14ac:dyDescent="0.25">
      <c r="A605" s="84" t="str">
        <f t="shared" si="28"/>
        <v>OutubroSEMANA 2Gelo em Escamas</v>
      </c>
      <c r="B605" s="85" t="s">
        <v>37</v>
      </c>
      <c r="C605" s="85" t="s">
        <v>21</v>
      </c>
      <c r="D605" s="86">
        <v>12</v>
      </c>
      <c r="E605" s="116" t="str">
        <f t="shared" si="29"/>
        <v>Mercado</v>
      </c>
      <c r="F605" s="85" t="s">
        <v>1040</v>
      </c>
      <c r="G605" s="85" t="s">
        <v>384</v>
      </c>
      <c r="H605" s="85" t="s">
        <v>1041</v>
      </c>
      <c r="I605" s="85">
        <v>1</v>
      </c>
      <c r="J605" s="87">
        <v>7.5</v>
      </c>
      <c r="K605" s="88">
        <f t="shared" si="30"/>
        <v>7.5</v>
      </c>
      <c r="L605" s="85">
        <v>10659</v>
      </c>
      <c r="M605" s="118" t="s">
        <v>551</v>
      </c>
      <c r="N605" s="84"/>
      <c r="O605" s="84" t="s">
        <v>60</v>
      </c>
      <c r="R605"/>
    </row>
    <row r="606" spans="1:18" x14ac:dyDescent="0.25">
      <c r="A606" s="84" t="str">
        <f t="shared" si="28"/>
        <v>OutubroSEMANA 2Gelo em Cubo</v>
      </c>
      <c r="B606" s="85" t="s">
        <v>37</v>
      </c>
      <c r="C606" s="85" t="s">
        <v>21</v>
      </c>
      <c r="D606" s="86">
        <v>12</v>
      </c>
      <c r="E606" s="116" t="str">
        <f t="shared" si="29"/>
        <v>Mercado</v>
      </c>
      <c r="F606" s="85" t="s">
        <v>1040</v>
      </c>
      <c r="G606" s="85" t="s">
        <v>383</v>
      </c>
      <c r="H606" s="85" t="s">
        <v>1041</v>
      </c>
      <c r="I606" s="85">
        <v>3</v>
      </c>
      <c r="J606" s="87">
        <v>7.5</v>
      </c>
      <c r="K606" s="88">
        <f t="shared" si="30"/>
        <v>22.5</v>
      </c>
      <c r="L606" s="85">
        <v>10659</v>
      </c>
      <c r="M606" s="118" t="s">
        <v>552</v>
      </c>
      <c r="N606" s="84"/>
      <c r="O606" s="84" t="s">
        <v>872</v>
      </c>
      <c r="R606"/>
    </row>
    <row r="607" spans="1:18" x14ac:dyDescent="0.25">
      <c r="A607" s="84" t="str">
        <f t="shared" si="28"/>
        <v>OutubroSEMANA 2Amendoim Torrado</v>
      </c>
      <c r="B607" s="85" t="s">
        <v>37</v>
      </c>
      <c r="C607" s="85" t="s">
        <v>21</v>
      </c>
      <c r="D607" s="86">
        <v>12</v>
      </c>
      <c r="E607" s="116" t="str">
        <f t="shared" si="29"/>
        <v>Mercado</v>
      </c>
      <c r="F607" s="85" t="s">
        <v>1096</v>
      </c>
      <c r="G607" s="85" t="s">
        <v>119</v>
      </c>
      <c r="H607" s="85" t="s">
        <v>1039</v>
      </c>
      <c r="I607" s="85">
        <v>1</v>
      </c>
      <c r="J607" s="87">
        <v>15.5</v>
      </c>
      <c r="K607" s="88">
        <f t="shared" si="30"/>
        <v>15.5</v>
      </c>
      <c r="L607" s="85" t="s">
        <v>1163</v>
      </c>
      <c r="M607" s="118" t="s">
        <v>553</v>
      </c>
      <c r="N607" s="84"/>
      <c r="O607" s="84" t="s">
        <v>46</v>
      </c>
      <c r="R607"/>
    </row>
    <row r="608" spans="1:18" x14ac:dyDescent="0.25">
      <c r="A608" s="84" t="str">
        <f t="shared" si="28"/>
        <v>OutubroSEMANA 2Cevadinha</v>
      </c>
      <c r="B608" s="85" t="s">
        <v>37</v>
      </c>
      <c r="C608" s="85" t="s">
        <v>21</v>
      </c>
      <c r="D608" s="86">
        <v>12</v>
      </c>
      <c r="E608" s="116" t="str">
        <f t="shared" si="29"/>
        <v>Mercado</v>
      </c>
      <c r="F608" s="85" t="s">
        <v>1096</v>
      </c>
      <c r="G608" s="85" t="s">
        <v>269</v>
      </c>
      <c r="H608" s="85" t="s">
        <v>1039</v>
      </c>
      <c r="I608" s="85">
        <v>2</v>
      </c>
      <c r="J608" s="87">
        <v>5.9</v>
      </c>
      <c r="K608" s="88">
        <f t="shared" si="30"/>
        <v>11.8</v>
      </c>
      <c r="L608" s="85" t="s">
        <v>1163</v>
      </c>
      <c r="M608" s="118" t="s">
        <v>554</v>
      </c>
      <c r="N608" s="84"/>
      <c r="O608" s="84" t="s">
        <v>873</v>
      </c>
      <c r="R608"/>
    </row>
    <row r="609" spans="1:18" x14ac:dyDescent="0.25">
      <c r="A609" s="84" t="str">
        <f t="shared" si="28"/>
        <v>OutubroSEMANA 2Coloral</v>
      </c>
      <c r="B609" s="85" t="s">
        <v>37</v>
      </c>
      <c r="C609" s="85" t="s">
        <v>21</v>
      </c>
      <c r="D609" s="86">
        <v>12</v>
      </c>
      <c r="E609" s="116" t="str">
        <f t="shared" si="29"/>
        <v>Mercado</v>
      </c>
      <c r="F609" s="85" t="s">
        <v>1096</v>
      </c>
      <c r="G609" s="85" t="s">
        <v>295</v>
      </c>
      <c r="H609" s="85" t="s">
        <v>1039</v>
      </c>
      <c r="I609" s="85">
        <v>0.3</v>
      </c>
      <c r="J609" s="87">
        <v>5.5</v>
      </c>
      <c r="K609" s="88">
        <f t="shared" si="30"/>
        <v>1.65</v>
      </c>
      <c r="L609" s="85" t="s">
        <v>1163</v>
      </c>
      <c r="M609" s="118" t="s">
        <v>555</v>
      </c>
      <c r="N609" s="84"/>
      <c r="O609" s="84" t="s">
        <v>873</v>
      </c>
      <c r="R609"/>
    </row>
    <row r="610" spans="1:18" x14ac:dyDescent="0.25">
      <c r="A610" s="84" t="str">
        <f t="shared" si="28"/>
        <v>OutubroSEMANA 2Nozes sem casca</v>
      </c>
      <c r="B610" s="85" t="s">
        <v>37</v>
      </c>
      <c r="C610" s="85" t="s">
        <v>21</v>
      </c>
      <c r="D610" s="86">
        <v>12</v>
      </c>
      <c r="E610" s="116" t="str">
        <f t="shared" si="29"/>
        <v>Mercado</v>
      </c>
      <c r="F610" s="85" t="s">
        <v>1096</v>
      </c>
      <c r="G610" s="85" t="s">
        <v>540</v>
      </c>
      <c r="H610" s="85" t="s">
        <v>1039</v>
      </c>
      <c r="I610" s="85">
        <v>1</v>
      </c>
      <c r="J610" s="87">
        <v>59.9</v>
      </c>
      <c r="K610" s="88">
        <f t="shared" si="30"/>
        <v>59.9</v>
      </c>
      <c r="L610" s="85" t="s">
        <v>1163</v>
      </c>
      <c r="M610" s="118" t="s">
        <v>1010</v>
      </c>
      <c r="O610" s="84" t="s">
        <v>873</v>
      </c>
      <c r="R610"/>
    </row>
    <row r="611" spans="1:18" x14ac:dyDescent="0.25">
      <c r="A611" s="84" t="str">
        <f t="shared" si="28"/>
        <v>OutubroSEMANA 2Quinoa</v>
      </c>
      <c r="B611" s="85" t="s">
        <v>37</v>
      </c>
      <c r="C611" s="85" t="s">
        <v>21</v>
      </c>
      <c r="D611" s="86">
        <v>12</v>
      </c>
      <c r="E611" s="116" t="str">
        <f t="shared" si="29"/>
        <v>Mercado</v>
      </c>
      <c r="F611" s="85" t="s">
        <v>1096</v>
      </c>
      <c r="G611" s="85" t="s">
        <v>693</v>
      </c>
      <c r="H611" s="85" t="s">
        <v>1039</v>
      </c>
      <c r="I611" s="85">
        <v>2</v>
      </c>
      <c r="J611" s="87">
        <v>23.9</v>
      </c>
      <c r="K611" s="88">
        <f t="shared" si="30"/>
        <v>47.8</v>
      </c>
      <c r="L611" s="85" t="s">
        <v>1163</v>
      </c>
      <c r="M611" s="118" t="s">
        <v>556</v>
      </c>
      <c r="N611" s="84"/>
      <c r="O611" s="84" t="s">
        <v>42</v>
      </c>
      <c r="R611"/>
    </row>
    <row r="612" spans="1:18" x14ac:dyDescent="0.25">
      <c r="A612" s="84" t="str">
        <f t="shared" si="28"/>
        <v>OutubroSEMANA 2Trigo em Grão</v>
      </c>
      <c r="B612" s="85" t="s">
        <v>37</v>
      </c>
      <c r="C612" s="85" t="s">
        <v>21</v>
      </c>
      <c r="D612" s="86">
        <v>12</v>
      </c>
      <c r="E612" s="116" t="str">
        <f t="shared" si="29"/>
        <v>Mercado</v>
      </c>
      <c r="F612" s="85" t="s">
        <v>1096</v>
      </c>
      <c r="G612" s="85" t="s">
        <v>825</v>
      </c>
      <c r="H612" s="85" t="s">
        <v>1039</v>
      </c>
      <c r="I612" s="85">
        <v>1</v>
      </c>
      <c r="J612" s="87">
        <v>3.9</v>
      </c>
      <c r="K612" s="88">
        <f t="shared" si="30"/>
        <v>3.9</v>
      </c>
      <c r="L612" s="85" t="s">
        <v>1163</v>
      </c>
      <c r="M612" s="118" t="s">
        <v>557</v>
      </c>
      <c r="O612" s="115" t="s">
        <v>45</v>
      </c>
      <c r="R612"/>
    </row>
    <row r="613" spans="1:18" x14ac:dyDescent="0.25">
      <c r="A613" s="84" t="str">
        <f t="shared" si="28"/>
        <v>OutubroSEMANA 2Damasco Seco</v>
      </c>
      <c r="B613" s="85" t="s">
        <v>37</v>
      </c>
      <c r="C613" s="85" t="s">
        <v>21</v>
      </c>
      <c r="D613" s="86">
        <v>12</v>
      </c>
      <c r="E613" s="116" t="str">
        <f t="shared" si="29"/>
        <v>Mercado</v>
      </c>
      <c r="F613" s="85" t="s">
        <v>1096</v>
      </c>
      <c r="G613" s="85" t="s">
        <v>319</v>
      </c>
      <c r="H613" s="85" t="s">
        <v>1039</v>
      </c>
      <c r="I613" s="85">
        <v>1</v>
      </c>
      <c r="J613" s="87">
        <v>22.9</v>
      </c>
      <c r="K613" s="88">
        <f t="shared" si="30"/>
        <v>22.9</v>
      </c>
      <c r="L613" s="85" t="s">
        <v>1163</v>
      </c>
      <c r="M613" s="118" t="s">
        <v>558</v>
      </c>
      <c r="N613" s="84"/>
      <c r="O613" s="84" t="s">
        <v>42</v>
      </c>
      <c r="R613"/>
    </row>
    <row r="614" spans="1:18" x14ac:dyDescent="0.25">
      <c r="A614" s="84" t="str">
        <f t="shared" si="28"/>
        <v xml:space="preserve">OutubroSEMANA 2Abobrinha </v>
      </c>
      <c r="B614" s="85" t="s">
        <v>37</v>
      </c>
      <c r="C614" s="85" t="s">
        <v>21</v>
      </c>
      <c r="D614" s="86">
        <v>12</v>
      </c>
      <c r="E614" s="116" t="str">
        <f t="shared" si="29"/>
        <v>Hortifruti</v>
      </c>
      <c r="F614" s="85" t="s">
        <v>1054</v>
      </c>
      <c r="G614" s="85" t="s">
        <v>72</v>
      </c>
      <c r="H614" s="85" t="s">
        <v>1039</v>
      </c>
      <c r="I614" s="85">
        <v>15.08</v>
      </c>
      <c r="J614" s="87">
        <f>20/15.08</f>
        <v>1.3262599469496021</v>
      </c>
      <c r="K614" s="88">
        <f t="shared" si="30"/>
        <v>20</v>
      </c>
      <c r="L614" s="85">
        <v>1886</v>
      </c>
      <c r="M614" s="118" t="s">
        <v>559</v>
      </c>
      <c r="N614" s="84"/>
      <c r="O614" s="84" t="s">
        <v>873</v>
      </c>
      <c r="R614"/>
    </row>
    <row r="615" spans="1:18" x14ac:dyDescent="0.25">
      <c r="A615" s="84" t="str">
        <f t="shared" si="28"/>
        <v>OutubroSEMANA 2Batata Doce</v>
      </c>
      <c r="B615" s="85" t="s">
        <v>37</v>
      </c>
      <c r="C615" s="85" t="s">
        <v>21</v>
      </c>
      <c r="D615" s="86">
        <v>12</v>
      </c>
      <c r="E615" s="116" t="str">
        <f t="shared" si="29"/>
        <v>Hortifruti</v>
      </c>
      <c r="F615" s="85" t="s">
        <v>1054</v>
      </c>
      <c r="G615" s="85" t="s">
        <v>170</v>
      </c>
      <c r="H615" s="85" t="s">
        <v>1039</v>
      </c>
      <c r="I615" s="85">
        <v>19.3</v>
      </c>
      <c r="J615" s="87">
        <f>30/19.3</f>
        <v>1.5544041450777202</v>
      </c>
      <c r="K615" s="88">
        <f t="shared" si="30"/>
        <v>30</v>
      </c>
      <c r="L615" s="85">
        <v>1886</v>
      </c>
      <c r="M615" s="118" t="s">
        <v>560</v>
      </c>
      <c r="N615" s="84"/>
      <c r="O615" s="84" t="s">
        <v>873</v>
      </c>
      <c r="R615"/>
    </row>
    <row r="616" spans="1:18" x14ac:dyDescent="0.25">
      <c r="A616" s="84" t="str">
        <f t="shared" si="28"/>
        <v>OutubroSEMANA 2Batata HBT</v>
      </c>
      <c r="B616" s="85" t="s">
        <v>37</v>
      </c>
      <c r="C616" s="85" t="s">
        <v>21</v>
      </c>
      <c r="D616" s="86">
        <v>12</v>
      </c>
      <c r="E616" s="116" t="str">
        <f t="shared" si="29"/>
        <v>Hortifruti</v>
      </c>
      <c r="F616" s="85" t="s">
        <v>1054</v>
      </c>
      <c r="G616" s="85" t="s">
        <v>171</v>
      </c>
      <c r="H616" s="85" t="s">
        <v>1039</v>
      </c>
      <c r="I616" s="85">
        <v>25</v>
      </c>
      <c r="J616" s="87">
        <v>1.8</v>
      </c>
      <c r="K616" s="88">
        <f t="shared" si="30"/>
        <v>45</v>
      </c>
      <c r="L616" s="85">
        <v>1886</v>
      </c>
      <c r="M616" s="118" t="s">
        <v>561</v>
      </c>
      <c r="N616" s="84"/>
      <c r="O616" s="84" t="s">
        <v>42</v>
      </c>
      <c r="R616"/>
    </row>
    <row r="617" spans="1:18" x14ac:dyDescent="0.25">
      <c r="A617" s="84" t="str">
        <f t="shared" si="28"/>
        <v>OutubroSEMANA 2Berinjela</v>
      </c>
      <c r="B617" s="85" t="s">
        <v>37</v>
      </c>
      <c r="C617" s="85" t="s">
        <v>21</v>
      </c>
      <c r="D617" s="86">
        <v>12</v>
      </c>
      <c r="E617" s="116" t="str">
        <f t="shared" si="29"/>
        <v>Hortifruti</v>
      </c>
      <c r="F617" s="85" t="s">
        <v>1054</v>
      </c>
      <c r="G617" s="85" t="s">
        <v>178</v>
      </c>
      <c r="H617" s="85" t="s">
        <v>1039</v>
      </c>
      <c r="I617" s="85">
        <v>10.52</v>
      </c>
      <c r="J617" s="87">
        <f>35/10.52</f>
        <v>3.3269961977186315</v>
      </c>
      <c r="K617" s="88">
        <f t="shared" si="30"/>
        <v>35</v>
      </c>
      <c r="L617" s="85">
        <v>1886</v>
      </c>
      <c r="M617" s="118" t="s">
        <v>562</v>
      </c>
      <c r="N617" s="84"/>
      <c r="O617" s="84" t="s">
        <v>42</v>
      </c>
      <c r="R617"/>
    </row>
    <row r="618" spans="1:18" x14ac:dyDescent="0.25">
      <c r="A618" s="84" t="str">
        <f t="shared" si="28"/>
        <v>OutubroSEMANA 2Aipo</v>
      </c>
      <c r="B618" s="85" t="s">
        <v>37</v>
      </c>
      <c r="C618" s="85" t="s">
        <v>21</v>
      </c>
      <c r="D618" s="86">
        <v>12</v>
      </c>
      <c r="E618" s="116" t="str">
        <f t="shared" si="29"/>
        <v>Hortifruti</v>
      </c>
      <c r="F618" s="85" t="s">
        <v>1054</v>
      </c>
      <c r="G618" s="85" t="s">
        <v>96</v>
      </c>
      <c r="H618" s="85" t="s">
        <v>1039</v>
      </c>
      <c r="I618" s="85">
        <v>1.4</v>
      </c>
      <c r="J618" s="87">
        <v>4</v>
      </c>
      <c r="K618" s="88">
        <f t="shared" si="30"/>
        <v>5.6</v>
      </c>
      <c r="L618" s="85">
        <v>1886</v>
      </c>
      <c r="M618" s="118" t="s">
        <v>563</v>
      </c>
      <c r="N618" s="84"/>
      <c r="O618" s="84" t="s">
        <v>42</v>
      </c>
      <c r="R618"/>
    </row>
    <row r="619" spans="1:18" x14ac:dyDescent="0.25">
      <c r="A619" s="84" t="str">
        <f t="shared" si="28"/>
        <v>OutubroSEMANA 2Brócolis Americano</v>
      </c>
      <c r="B619" s="85" t="s">
        <v>37</v>
      </c>
      <c r="C619" s="85" t="s">
        <v>21</v>
      </c>
      <c r="D619" s="86">
        <v>12</v>
      </c>
      <c r="E619" s="116" t="str">
        <f t="shared" si="29"/>
        <v>Hortifruti</v>
      </c>
      <c r="F619" s="85" t="s">
        <v>1054</v>
      </c>
      <c r="G619" s="85" t="s">
        <v>194</v>
      </c>
      <c r="H619" s="85" t="s">
        <v>1039</v>
      </c>
      <c r="I619" s="85">
        <v>3</v>
      </c>
      <c r="J619" s="87">
        <v>7</v>
      </c>
      <c r="K619" s="88">
        <f t="shared" si="30"/>
        <v>21</v>
      </c>
      <c r="L619" s="85">
        <v>1886</v>
      </c>
      <c r="M619" s="118" t="s">
        <v>1002</v>
      </c>
      <c r="N619" s="84"/>
      <c r="O619" s="84" t="s">
        <v>875</v>
      </c>
      <c r="R619"/>
    </row>
    <row r="620" spans="1:18" x14ac:dyDescent="0.25">
      <c r="A620" s="84" t="str">
        <f t="shared" si="28"/>
        <v>OutubroSEMANA 2Nabo Japonês</v>
      </c>
      <c r="B620" s="85" t="s">
        <v>37</v>
      </c>
      <c r="C620" s="85" t="s">
        <v>21</v>
      </c>
      <c r="D620" s="86">
        <v>12</v>
      </c>
      <c r="E620" s="116" t="str">
        <f t="shared" si="29"/>
        <v>Hortifruti</v>
      </c>
      <c r="F620" s="85" t="s">
        <v>1054</v>
      </c>
      <c r="G620" s="85" t="s">
        <v>536</v>
      </c>
      <c r="H620" s="85" t="s">
        <v>1039</v>
      </c>
      <c r="I620" s="85">
        <v>2</v>
      </c>
      <c r="J620" s="87">
        <v>7</v>
      </c>
      <c r="K620" s="88">
        <f t="shared" si="30"/>
        <v>14</v>
      </c>
      <c r="L620" s="85">
        <v>1886</v>
      </c>
      <c r="M620" s="118" t="s">
        <v>1003</v>
      </c>
      <c r="N620" s="84"/>
      <c r="O620" s="84" t="s">
        <v>875</v>
      </c>
      <c r="R620"/>
    </row>
    <row r="621" spans="1:18" x14ac:dyDescent="0.25">
      <c r="A621" s="84" t="str">
        <f t="shared" si="28"/>
        <v xml:space="preserve">OutubroSEMANA 2Abacate </v>
      </c>
      <c r="B621" s="85" t="s">
        <v>37</v>
      </c>
      <c r="C621" s="85" t="s">
        <v>21</v>
      </c>
      <c r="D621" s="86">
        <v>12</v>
      </c>
      <c r="E621" s="116" t="str">
        <f t="shared" si="29"/>
        <v>Hortifruti</v>
      </c>
      <c r="F621" s="85" t="s">
        <v>1054</v>
      </c>
      <c r="G621" s="85" t="s">
        <v>62</v>
      </c>
      <c r="H621" s="85" t="s">
        <v>1039</v>
      </c>
      <c r="I621" s="85">
        <v>7</v>
      </c>
      <c r="J621" s="87">
        <v>6.8</v>
      </c>
      <c r="K621" s="88">
        <f t="shared" si="30"/>
        <v>47.6</v>
      </c>
      <c r="L621" s="85">
        <v>1886</v>
      </c>
      <c r="M621" s="118" t="s">
        <v>564</v>
      </c>
      <c r="N621" s="84"/>
      <c r="O621" s="84" t="s">
        <v>42</v>
      </c>
      <c r="R621"/>
    </row>
    <row r="622" spans="1:18" x14ac:dyDescent="0.25">
      <c r="A622" s="84" t="str">
        <f t="shared" si="28"/>
        <v xml:space="preserve">OutubroSEMANA 2Abacaxi </v>
      </c>
      <c r="B622" s="85" t="s">
        <v>37</v>
      </c>
      <c r="C622" s="85" t="s">
        <v>21</v>
      </c>
      <c r="D622" s="86">
        <v>12</v>
      </c>
      <c r="E622" s="116" t="str">
        <f t="shared" si="29"/>
        <v>Hortifruti</v>
      </c>
      <c r="F622" s="85" t="s">
        <v>1054</v>
      </c>
      <c r="G622" s="85" t="s">
        <v>65</v>
      </c>
      <c r="H622" s="85" t="s">
        <v>1039</v>
      </c>
      <c r="I622" s="85">
        <v>6</v>
      </c>
      <c r="J622" s="87">
        <v>2.4</v>
      </c>
      <c r="K622" s="88">
        <f t="shared" si="30"/>
        <v>14.399999999999999</v>
      </c>
      <c r="L622" s="85">
        <v>1886</v>
      </c>
      <c r="M622" s="118" t="s">
        <v>565</v>
      </c>
      <c r="N622" s="84"/>
      <c r="O622" s="84" t="s">
        <v>42</v>
      </c>
      <c r="R622"/>
    </row>
    <row r="623" spans="1:18" x14ac:dyDescent="0.25">
      <c r="A623" s="84" t="str">
        <f t="shared" si="28"/>
        <v>OutubroSEMANA 2Manga Tommy</v>
      </c>
      <c r="B623" s="85" t="s">
        <v>37</v>
      </c>
      <c r="C623" s="85" t="s">
        <v>21</v>
      </c>
      <c r="D623" s="86">
        <v>12</v>
      </c>
      <c r="E623" s="116" t="str">
        <f t="shared" si="29"/>
        <v>Hortifruti</v>
      </c>
      <c r="F623" s="85" t="s">
        <v>1054</v>
      </c>
      <c r="G623" s="85" t="s">
        <v>497</v>
      </c>
      <c r="H623" s="85" t="s">
        <v>1039</v>
      </c>
      <c r="I623" s="85">
        <v>5</v>
      </c>
      <c r="J623" s="87">
        <v>4</v>
      </c>
      <c r="K623" s="88">
        <f t="shared" si="30"/>
        <v>20</v>
      </c>
      <c r="L623" s="85">
        <v>1886</v>
      </c>
      <c r="M623" s="118" t="s">
        <v>566</v>
      </c>
      <c r="N623" s="84"/>
      <c r="O623" s="84" t="s">
        <v>42</v>
      </c>
      <c r="R623"/>
    </row>
    <row r="624" spans="1:18" x14ac:dyDescent="0.25">
      <c r="A624" s="84" t="str">
        <f t="shared" si="28"/>
        <v xml:space="preserve">OutubroSEMANA 2Biscoito de Milho Café </v>
      </c>
      <c r="B624" s="85" t="s">
        <v>37</v>
      </c>
      <c r="C624" s="85" t="s">
        <v>21</v>
      </c>
      <c r="D624" s="85">
        <v>12</v>
      </c>
      <c r="E624" s="116" t="str">
        <f t="shared" si="29"/>
        <v>Mercado</v>
      </c>
      <c r="F624" s="85" t="s">
        <v>1164</v>
      </c>
      <c r="G624" s="85" t="s">
        <v>183</v>
      </c>
      <c r="H624" s="85" t="s">
        <v>1039</v>
      </c>
      <c r="I624" s="85">
        <f>2*2.8</f>
        <v>5.6</v>
      </c>
      <c r="J624" s="87">
        <f>248.58/11.2</f>
        <v>22.19464285714286</v>
      </c>
      <c r="K624" s="88">
        <f t="shared" si="30"/>
        <v>124.29</v>
      </c>
      <c r="L624" s="85">
        <v>30951</v>
      </c>
      <c r="M624" s="118" t="s">
        <v>983</v>
      </c>
      <c r="N624" s="84"/>
      <c r="O624" s="84" t="s">
        <v>874</v>
      </c>
      <c r="R624"/>
    </row>
    <row r="625" spans="1:18" x14ac:dyDescent="0.25">
      <c r="A625" s="84" t="str">
        <f t="shared" si="28"/>
        <v xml:space="preserve">OutubroSEMANA 2Biscoito de Milho Venda </v>
      </c>
      <c r="B625" s="85" t="s">
        <v>37</v>
      </c>
      <c r="C625" s="85" t="s">
        <v>21</v>
      </c>
      <c r="D625" s="85">
        <v>12</v>
      </c>
      <c r="E625" s="116" t="str">
        <f t="shared" si="29"/>
        <v>Vendas Caixa</v>
      </c>
      <c r="F625" s="85" t="s">
        <v>1164</v>
      </c>
      <c r="G625" s="85" t="s">
        <v>184</v>
      </c>
      <c r="H625" s="85" t="s">
        <v>1039</v>
      </c>
      <c r="I625" s="85">
        <f>2*2.8</f>
        <v>5.6</v>
      </c>
      <c r="J625" s="87">
        <f>248.58/11.2</f>
        <v>22.19464285714286</v>
      </c>
      <c r="K625" s="88">
        <f t="shared" si="30"/>
        <v>124.29</v>
      </c>
      <c r="L625" s="85">
        <v>30951</v>
      </c>
      <c r="M625" s="118" t="s">
        <v>567</v>
      </c>
      <c r="N625" s="84"/>
      <c r="O625" s="84" t="s">
        <v>873</v>
      </c>
      <c r="R625"/>
    </row>
    <row r="626" spans="1:18" x14ac:dyDescent="0.25">
      <c r="A626" s="84" t="str">
        <f t="shared" si="28"/>
        <v>OutubroSEMANA 2Abobora</v>
      </c>
      <c r="B626" s="85" t="s">
        <v>37</v>
      </c>
      <c r="C626" s="85" t="s">
        <v>21</v>
      </c>
      <c r="D626" s="85">
        <v>12</v>
      </c>
      <c r="E626" s="116" t="str">
        <f t="shared" si="29"/>
        <v>Hortifruti</v>
      </c>
      <c r="F626" s="85" t="s">
        <v>1055</v>
      </c>
      <c r="G626" s="85" t="s">
        <v>68</v>
      </c>
      <c r="H626" s="85" t="s">
        <v>1039</v>
      </c>
      <c r="I626" s="85">
        <v>10</v>
      </c>
      <c r="J626" s="87">
        <v>2.2000000000000002</v>
      </c>
      <c r="K626" s="88">
        <f t="shared" si="30"/>
        <v>22</v>
      </c>
      <c r="L626" s="85">
        <v>4562</v>
      </c>
      <c r="M626" s="118" t="s">
        <v>568</v>
      </c>
      <c r="N626" s="84"/>
      <c r="O626" s="84" t="s">
        <v>874</v>
      </c>
      <c r="R626"/>
    </row>
    <row r="627" spans="1:18" x14ac:dyDescent="0.25">
      <c r="A627" s="84" t="str">
        <f t="shared" si="28"/>
        <v>OutubroSEMANA 2Côco Verde</v>
      </c>
      <c r="B627" s="85" t="s">
        <v>37</v>
      </c>
      <c r="C627" s="85" t="s">
        <v>21</v>
      </c>
      <c r="D627" s="85">
        <v>12</v>
      </c>
      <c r="E627" s="116" t="str">
        <f t="shared" si="29"/>
        <v>Hortifruti</v>
      </c>
      <c r="F627" s="85" t="s">
        <v>1055</v>
      </c>
      <c r="G627" s="85" t="s">
        <v>288</v>
      </c>
      <c r="H627" s="85" t="s">
        <v>1038</v>
      </c>
      <c r="I627" s="85">
        <v>20</v>
      </c>
      <c r="J627" s="87">
        <v>1.91</v>
      </c>
      <c r="K627" s="88">
        <f t="shared" si="30"/>
        <v>38.199999999999996</v>
      </c>
      <c r="L627" s="85">
        <v>4562</v>
      </c>
      <c r="M627" s="118" t="s">
        <v>569</v>
      </c>
      <c r="N627" s="84"/>
      <c r="O627" s="84" t="s">
        <v>60</v>
      </c>
      <c r="R627"/>
    </row>
    <row r="628" spans="1:18" x14ac:dyDescent="0.25">
      <c r="A628" s="84" t="str">
        <f t="shared" si="28"/>
        <v>OutubroSEMANA 2Laranja Pera</v>
      </c>
      <c r="B628" s="85" t="s">
        <v>37</v>
      </c>
      <c r="C628" s="85" t="s">
        <v>21</v>
      </c>
      <c r="D628" s="85">
        <v>12</v>
      </c>
      <c r="E628" s="116" t="str">
        <f t="shared" si="29"/>
        <v>Hortifruti</v>
      </c>
      <c r="F628" s="85" t="s">
        <v>1055</v>
      </c>
      <c r="G628" s="85" t="s">
        <v>457</v>
      </c>
      <c r="H628" s="85" t="s">
        <v>1039</v>
      </c>
      <c r="I628" s="85">
        <v>21.06</v>
      </c>
      <c r="J628" s="87">
        <f>27/21.06</f>
        <v>1.2820512820512822</v>
      </c>
      <c r="K628" s="88">
        <f t="shared" si="30"/>
        <v>27</v>
      </c>
      <c r="L628" s="85">
        <v>4562</v>
      </c>
      <c r="M628" s="118" t="s">
        <v>570</v>
      </c>
      <c r="N628" s="84"/>
      <c r="O628" s="84" t="s">
        <v>873</v>
      </c>
      <c r="R628"/>
    </row>
    <row r="629" spans="1:18" x14ac:dyDescent="0.25">
      <c r="A629" s="84" t="str">
        <f t="shared" si="28"/>
        <v>OutubroSEMANA 2Manga Palmer</v>
      </c>
      <c r="B629" s="85" t="s">
        <v>37</v>
      </c>
      <c r="C629" s="85" t="s">
        <v>21</v>
      </c>
      <c r="D629" s="85">
        <v>12</v>
      </c>
      <c r="E629" s="116" t="str">
        <f t="shared" si="29"/>
        <v>Hortifruti</v>
      </c>
      <c r="F629" s="85" t="s">
        <v>1055</v>
      </c>
      <c r="G629" s="85" t="s">
        <v>496</v>
      </c>
      <c r="H629" s="85" t="s">
        <v>1039</v>
      </c>
      <c r="I629" s="85">
        <v>6</v>
      </c>
      <c r="J629" s="87">
        <v>4</v>
      </c>
      <c r="K629" s="88">
        <f t="shared" si="30"/>
        <v>24</v>
      </c>
      <c r="L629" s="85">
        <v>4562</v>
      </c>
      <c r="M629" s="118" t="s">
        <v>571</v>
      </c>
      <c r="N629" s="84"/>
      <c r="O629" s="84" t="s">
        <v>873</v>
      </c>
      <c r="R629"/>
    </row>
    <row r="630" spans="1:18" x14ac:dyDescent="0.25">
      <c r="A630" s="84" t="str">
        <f t="shared" si="28"/>
        <v>OutubroSEMANA 2Banana D'Água</v>
      </c>
      <c r="B630" s="85" t="s">
        <v>37</v>
      </c>
      <c r="C630" s="85" t="s">
        <v>21</v>
      </c>
      <c r="D630" s="85">
        <v>12</v>
      </c>
      <c r="E630" s="116" t="str">
        <f t="shared" si="29"/>
        <v>Hortifruti</v>
      </c>
      <c r="F630" s="85" t="s">
        <v>1055</v>
      </c>
      <c r="G630" s="85" t="s">
        <v>162</v>
      </c>
      <c r="H630" s="85" t="s">
        <v>1039</v>
      </c>
      <c r="I630" s="85">
        <v>2</v>
      </c>
      <c r="J630" s="87">
        <v>2.2000000000000002</v>
      </c>
      <c r="K630" s="88">
        <f t="shared" si="30"/>
        <v>4.4000000000000004</v>
      </c>
      <c r="L630" s="85">
        <v>4562</v>
      </c>
      <c r="M630" s="118" t="s">
        <v>572</v>
      </c>
      <c r="N630" s="84"/>
      <c r="O630" s="84" t="s">
        <v>873</v>
      </c>
      <c r="R630"/>
    </row>
    <row r="631" spans="1:18" x14ac:dyDescent="0.25">
      <c r="A631" s="84" t="str">
        <f t="shared" si="28"/>
        <v>OutubroSEMANA 2Batata Calabresa</v>
      </c>
      <c r="B631" s="85" t="s">
        <v>37</v>
      </c>
      <c r="C631" s="85" t="s">
        <v>21</v>
      </c>
      <c r="D631" s="85">
        <v>12</v>
      </c>
      <c r="E631" s="116" t="str">
        <f t="shared" si="29"/>
        <v>Hortifruti</v>
      </c>
      <c r="F631" s="85" t="s">
        <v>1055</v>
      </c>
      <c r="G631" s="85" t="s">
        <v>903</v>
      </c>
      <c r="H631" s="85" t="s">
        <v>1039</v>
      </c>
      <c r="I631" s="85">
        <v>2.5</v>
      </c>
      <c r="J631" s="87">
        <v>1.75</v>
      </c>
      <c r="K631" s="88">
        <f t="shared" si="30"/>
        <v>4.375</v>
      </c>
      <c r="L631" s="85">
        <v>4562</v>
      </c>
      <c r="M631" s="118" t="s">
        <v>573</v>
      </c>
      <c r="N631" s="84"/>
      <c r="O631" s="84" t="s">
        <v>42</v>
      </c>
      <c r="R631"/>
    </row>
    <row r="632" spans="1:18" x14ac:dyDescent="0.25">
      <c r="A632" s="84" t="str">
        <f t="shared" si="28"/>
        <v>OutubroSEMANA 2Cebola Roxa</v>
      </c>
      <c r="B632" s="85" t="s">
        <v>37</v>
      </c>
      <c r="C632" s="85" t="s">
        <v>21</v>
      </c>
      <c r="D632" s="85">
        <v>12</v>
      </c>
      <c r="E632" s="116" t="str">
        <f t="shared" si="29"/>
        <v>Hortifruti</v>
      </c>
      <c r="F632" s="85" t="s">
        <v>1055</v>
      </c>
      <c r="G632" s="85" t="s">
        <v>244</v>
      </c>
      <c r="H632" s="85" t="s">
        <v>1039</v>
      </c>
      <c r="I632" s="85">
        <v>1.5</v>
      </c>
      <c r="J632" s="87">
        <v>4.1500000000000004</v>
      </c>
      <c r="K632" s="88">
        <f t="shared" si="30"/>
        <v>6.2250000000000005</v>
      </c>
      <c r="L632" s="85">
        <v>4562</v>
      </c>
      <c r="M632" s="118" t="s">
        <v>574</v>
      </c>
      <c r="N632" s="84"/>
      <c r="O632" s="84" t="s">
        <v>42</v>
      </c>
      <c r="R632"/>
    </row>
    <row r="633" spans="1:18" x14ac:dyDescent="0.25">
      <c r="A633" s="84" t="str">
        <f t="shared" si="28"/>
        <v>OutubroSEMANA 2Couve Manteiga</v>
      </c>
      <c r="B633" s="85" t="s">
        <v>37</v>
      </c>
      <c r="C633" s="85" t="s">
        <v>21</v>
      </c>
      <c r="D633" s="85">
        <v>12</v>
      </c>
      <c r="E633" s="116" t="str">
        <f t="shared" si="29"/>
        <v>Hortifruti</v>
      </c>
      <c r="F633" s="85" t="s">
        <v>1055</v>
      </c>
      <c r="G633" s="85" t="s">
        <v>307</v>
      </c>
      <c r="H633" s="85" t="s">
        <v>1039</v>
      </c>
      <c r="I633" s="85">
        <v>8</v>
      </c>
      <c r="J633" s="87">
        <v>3</v>
      </c>
      <c r="K633" s="88">
        <f t="shared" si="30"/>
        <v>24</v>
      </c>
      <c r="L633" s="85">
        <v>4562</v>
      </c>
      <c r="M633" s="118" t="s">
        <v>1300</v>
      </c>
      <c r="O633" s="84" t="s">
        <v>874</v>
      </c>
      <c r="R633"/>
    </row>
    <row r="634" spans="1:18" x14ac:dyDescent="0.25">
      <c r="A634" s="84" t="str">
        <f t="shared" si="28"/>
        <v>OutubroSEMANA 2Inhame</v>
      </c>
      <c r="B634" s="85" t="s">
        <v>37</v>
      </c>
      <c r="C634" s="85" t="s">
        <v>21</v>
      </c>
      <c r="D634" s="85">
        <v>12</v>
      </c>
      <c r="E634" s="116" t="str">
        <f t="shared" si="29"/>
        <v>Hortifruti</v>
      </c>
      <c r="F634" s="85" t="s">
        <v>1055</v>
      </c>
      <c r="G634" s="85" t="s">
        <v>448</v>
      </c>
      <c r="H634" s="85" t="s">
        <v>1039</v>
      </c>
      <c r="I634" s="85">
        <v>2</v>
      </c>
      <c r="J634" s="87">
        <v>1.9</v>
      </c>
      <c r="K634" s="88">
        <f t="shared" si="30"/>
        <v>3.8</v>
      </c>
      <c r="L634" s="85">
        <v>4562</v>
      </c>
      <c r="M634" s="118" t="s">
        <v>575</v>
      </c>
      <c r="N634" s="84"/>
      <c r="O634" s="84" t="s">
        <v>46</v>
      </c>
      <c r="R634"/>
    </row>
    <row r="635" spans="1:18" x14ac:dyDescent="0.25">
      <c r="A635" s="84" t="str">
        <f t="shared" si="28"/>
        <v>OutubroSEMANA 2Limão Siciliano</v>
      </c>
      <c r="B635" s="85" t="s">
        <v>37</v>
      </c>
      <c r="C635" s="85" t="s">
        <v>21</v>
      </c>
      <c r="D635" s="85">
        <v>12</v>
      </c>
      <c r="E635" s="116" t="str">
        <f t="shared" si="29"/>
        <v>Hortifruti</v>
      </c>
      <c r="F635" s="85" t="s">
        <v>1055</v>
      </c>
      <c r="G635" s="85" t="s">
        <v>466</v>
      </c>
      <c r="H635" s="85" t="s">
        <v>1039</v>
      </c>
      <c r="I635" s="85">
        <v>1</v>
      </c>
      <c r="J635" s="87">
        <v>6.66</v>
      </c>
      <c r="K635" s="88">
        <f t="shared" si="30"/>
        <v>6.66</v>
      </c>
      <c r="L635" s="85">
        <v>4562</v>
      </c>
      <c r="M635" s="118" t="s">
        <v>576</v>
      </c>
      <c r="N635" s="84"/>
      <c r="O635" s="84" t="s">
        <v>46</v>
      </c>
      <c r="R635"/>
    </row>
    <row r="636" spans="1:18" x14ac:dyDescent="0.25">
      <c r="A636" s="84" t="str">
        <f t="shared" si="28"/>
        <v>OutubroSEMANA 2Mamão Bahia</v>
      </c>
      <c r="B636" s="85" t="s">
        <v>37</v>
      </c>
      <c r="C636" s="85" t="s">
        <v>21</v>
      </c>
      <c r="D636" s="85">
        <v>12</v>
      </c>
      <c r="E636" s="116" t="str">
        <f t="shared" si="29"/>
        <v>Hortifruti</v>
      </c>
      <c r="F636" s="85" t="s">
        <v>1055</v>
      </c>
      <c r="G636" s="85" t="s">
        <v>494</v>
      </c>
      <c r="H636" s="85" t="s">
        <v>1039</v>
      </c>
      <c r="I636" s="85">
        <v>4.5999999999999996</v>
      </c>
      <c r="J636" s="87">
        <v>2.65</v>
      </c>
      <c r="K636" s="88">
        <f t="shared" si="30"/>
        <v>12.19</v>
      </c>
      <c r="L636" s="85">
        <v>4562</v>
      </c>
      <c r="M636" s="118" t="s">
        <v>577</v>
      </c>
      <c r="N636" s="84"/>
      <c r="O636" s="84" t="s">
        <v>45</v>
      </c>
      <c r="R636"/>
    </row>
    <row r="637" spans="1:18" x14ac:dyDescent="0.25">
      <c r="A637" s="84" t="str">
        <f t="shared" si="28"/>
        <v>OutubroSEMANA 2Ovos Extra</v>
      </c>
      <c r="B637" s="85" t="s">
        <v>37</v>
      </c>
      <c r="C637" s="85" t="s">
        <v>21</v>
      </c>
      <c r="D637" s="85">
        <v>12</v>
      </c>
      <c r="E637" s="116" t="str">
        <f t="shared" si="29"/>
        <v>Hortifruti</v>
      </c>
      <c r="F637" s="85" t="s">
        <v>1055</v>
      </c>
      <c r="G637" s="85" t="s">
        <v>550</v>
      </c>
      <c r="H637" s="85" t="s">
        <v>1038</v>
      </c>
      <c r="I637" s="85">
        <v>360</v>
      </c>
      <c r="J637" s="87">
        <f>101/360</f>
        <v>0.28055555555555556</v>
      </c>
      <c r="K637" s="88">
        <f t="shared" si="30"/>
        <v>101</v>
      </c>
      <c r="L637" s="85">
        <v>4562</v>
      </c>
      <c r="M637" s="118" t="s">
        <v>887</v>
      </c>
      <c r="N637" s="84"/>
      <c r="O637" s="84" t="s">
        <v>875</v>
      </c>
      <c r="R637"/>
    </row>
    <row r="638" spans="1:18" x14ac:dyDescent="0.25">
      <c r="A638" s="84" t="str">
        <f t="shared" si="28"/>
        <v>OutubroSEMANA 2Repolho</v>
      </c>
      <c r="B638" s="85" t="s">
        <v>37</v>
      </c>
      <c r="C638" s="85" t="s">
        <v>21</v>
      </c>
      <c r="D638" s="85">
        <v>12</v>
      </c>
      <c r="E638" s="116" t="str">
        <f t="shared" si="29"/>
        <v>Hortifruti</v>
      </c>
      <c r="F638" s="85" t="s">
        <v>1055</v>
      </c>
      <c r="G638" s="85" t="s">
        <v>701</v>
      </c>
      <c r="H638" s="85" t="s">
        <v>1039</v>
      </c>
      <c r="I638" s="85">
        <v>2</v>
      </c>
      <c r="J638" s="87">
        <v>1.21</v>
      </c>
      <c r="K638" s="88">
        <f t="shared" si="30"/>
        <v>2.42</v>
      </c>
      <c r="L638" s="85">
        <v>4562</v>
      </c>
      <c r="M638" s="118" t="s">
        <v>578</v>
      </c>
      <c r="N638" s="84"/>
      <c r="O638" s="84" t="s">
        <v>45</v>
      </c>
      <c r="R638"/>
    </row>
    <row r="639" spans="1:18" x14ac:dyDescent="0.25">
      <c r="A639" s="84" t="str">
        <f t="shared" si="28"/>
        <v>OutubroSEMANA 2Tangerina</v>
      </c>
      <c r="B639" s="85" t="s">
        <v>37</v>
      </c>
      <c r="C639" s="85" t="s">
        <v>21</v>
      </c>
      <c r="D639" s="85">
        <v>12</v>
      </c>
      <c r="E639" s="116" t="str">
        <f t="shared" si="29"/>
        <v>Hortifruti</v>
      </c>
      <c r="F639" s="85" t="s">
        <v>1055</v>
      </c>
      <c r="G639" s="85" t="s">
        <v>784</v>
      </c>
      <c r="H639" s="85" t="s">
        <v>1039</v>
      </c>
      <c r="I639" s="85">
        <v>2.2000000000000002</v>
      </c>
      <c r="J639" s="87">
        <v>3.7</v>
      </c>
      <c r="K639" s="88">
        <f t="shared" si="30"/>
        <v>8.14</v>
      </c>
      <c r="L639" s="85">
        <v>4562</v>
      </c>
      <c r="M639" s="118" t="s">
        <v>579</v>
      </c>
      <c r="N639" s="84"/>
      <c r="O639" s="84" t="s">
        <v>60</v>
      </c>
      <c r="R639"/>
    </row>
    <row r="640" spans="1:18" x14ac:dyDescent="0.25">
      <c r="A640" s="84" t="str">
        <f t="shared" si="28"/>
        <v>OutubroSEMANA 2Vagem Macarrão</v>
      </c>
      <c r="B640" s="85" t="s">
        <v>37</v>
      </c>
      <c r="C640" s="85" t="s">
        <v>21</v>
      </c>
      <c r="D640" s="85">
        <v>12</v>
      </c>
      <c r="E640" s="116" t="str">
        <f t="shared" si="29"/>
        <v>Hortifruti</v>
      </c>
      <c r="F640" s="85" t="s">
        <v>1055</v>
      </c>
      <c r="G640" s="85" t="s">
        <v>832</v>
      </c>
      <c r="H640" s="85" t="s">
        <v>1039</v>
      </c>
      <c r="I640" s="85">
        <v>3</v>
      </c>
      <c r="J640" s="87">
        <v>6.9</v>
      </c>
      <c r="K640" s="88">
        <f t="shared" si="30"/>
        <v>20.700000000000003</v>
      </c>
      <c r="L640" s="85">
        <v>4562</v>
      </c>
      <c r="M640" s="118" t="s">
        <v>580</v>
      </c>
      <c r="N640" s="84"/>
      <c r="O640" s="84" t="s">
        <v>42</v>
      </c>
      <c r="R640"/>
    </row>
    <row r="641" spans="1:18" x14ac:dyDescent="0.25">
      <c r="A641" s="84" t="str">
        <f t="shared" si="28"/>
        <v>OutubroSEMANA 2Ervilha Torta</v>
      </c>
      <c r="B641" s="85" t="s">
        <v>37</v>
      </c>
      <c r="C641" s="85" t="s">
        <v>21</v>
      </c>
      <c r="D641" s="85">
        <v>12</v>
      </c>
      <c r="E641" s="116" t="str">
        <f t="shared" si="29"/>
        <v>Hortifruti</v>
      </c>
      <c r="F641" s="85" t="s">
        <v>1036</v>
      </c>
      <c r="G641" s="85" t="s">
        <v>932</v>
      </c>
      <c r="H641" s="85" t="s">
        <v>1039</v>
      </c>
      <c r="I641" s="85">
        <v>0.34399999999999997</v>
      </c>
      <c r="J641" s="87">
        <v>6.98</v>
      </c>
      <c r="K641" s="88">
        <f t="shared" si="30"/>
        <v>2.4011200000000001</v>
      </c>
      <c r="L641" s="85">
        <v>64271</v>
      </c>
      <c r="M641" s="118" t="s">
        <v>581</v>
      </c>
      <c r="N641" s="84"/>
      <c r="O641" s="84" t="s">
        <v>45</v>
      </c>
      <c r="R641"/>
    </row>
    <row r="642" spans="1:18" x14ac:dyDescent="0.25">
      <c r="A642" s="84" t="str">
        <f t="shared" ref="A642:A705" si="31">CONCATENATE(B642,C642,G642)</f>
        <v>OutubroSEMANA 2Batata Palha 140 g</v>
      </c>
      <c r="B642" s="85" t="s">
        <v>37</v>
      </c>
      <c r="C642" s="85" t="s">
        <v>21</v>
      </c>
      <c r="D642" s="85">
        <v>12</v>
      </c>
      <c r="E642" s="116" t="str">
        <f t="shared" ref="E642:E705" si="32">VLOOKUP(G642,$M$1:$O$968,3,0)</f>
        <v>Mercado</v>
      </c>
      <c r="F642" s="85" t="s">
        <v>1036</v>
      </c>
      <c r="G642" s="85" t="s">
        <v>174</v>
      </c>
      <c r="H642" s="85" t="s">
        <v>1037</v>
      </c>
      <c r="I642" s="85">
        <v>4</v>
      </c>
      <c r="J642" s="87">
        <v>7.8</v>
      </c>
      <c r="K642" s="88">
        <f t="shared" ref="K642:K705" si="33">I642*J642</f>
        <v>31.2</v>
      </c>
      <c r="L642" s="85">
        <v>64271</v>
      </c>
      <c r="M642" s="118" t="s">
        <v>582</v>
      </c>
      <c r="N642" s="84"/>
      <c r="O642" s="84" t="s">
        <v>42</v>
      </c>
      <c r="R642"/>
    </row>
    <row r="643" spans="1:18" x14ac:dyDescent="0.25">
      <c r="A643" s="84" t="str">
        <f t="shared" si="31"/>
        <v>OutubroSEMANA 2Feijão Mulatinho</v>
      </c>
      <c r="B643" s="85" t="s">
        <v>37</v>
      </c>
      <c r="C643" s="85" t="s">
        <v>21</v>
      </c>
      <c r="D643" s="85">
        <v>13</v>
      </c>
      <c r="E643" s="116" t="str">
        <f t="shared" si="32"/>
        <v>Mercado</v>
      </c>
      <c r="F643" s="85" t="s">
        <v>1089</v>
      </c>
      <c r="G643" s="85" t="s">
        <v>351</v>
      </c>
      <c r="H643" s="85" t="s">
        <v>1039</v>
      </c>
      <c r="I643" s="85">
        <f>30*0.5</f>
        <v>15</v>
      </c>
      <c r="J643" s="87">
        <f>168/15</f>
        <v>11.2</v>
      </c>
      <c r="K643" s="88">
        <f t="shared" si="33"/>
        <v>168</v>
      </c>
      <c r="L643" s="85" t="s">
        <v>1165</v>
      </c>
      <c r="M643" s="118" t="s">
        <v>583</v>
      </c>
      <c r="N643" s="84"/>
      <c r="O643" s="84" t="s">
        <v>46</v>
      </c>
      <c r="R643"/>
    </row>
    <row r="644" spans="1:18" x14ac:dyDescent="0.25">
      <c r="A644" s="84" t="str">
        <f t="shared" si="31"/>
        <v>OutubroSEMANA 2Macarrão Espaghetti Nissim</v>
      </c>
      <c r="B644" s="85" t="s">
        <v>37</v>
      </c>
      <c r="C644" s="85" t="s">
        <v>21</v>
      </c>
      <c r="D644" s="85">
        <v>13</v>
      </c>
      <c r="E644" s="116" t="str">
        <f t="shared" si="32"/>
        <v>Mercado</v>
      </c>
      <c r="F644" s="85" t="s">
        <v>1089</v>
      </c>
      <c r="G644" s="85" t="s">
        <v>483</v>
      </c>
      <c r="H644" s="85" t="s">
        <v>1039</v>
      </c>
      <c r="I644" s="85">
        <f>5*0.5</f>
        <v>2.5</v>
      </c>
      <c r="J644" s="87">
        <f>27.39/2.5</f>
        <v>10.956</v>
      </c>
      <c r="K644" s="88">
        <f t="shared" si="33"/>
        <v>27.39</v>
      </c>
      <c r="L644" s="85" t="s">
        <v>1165</v>
      </c>
      <c r="M644" s="118" t="s">
        <v>584</v>
      </c>
      <c r="N644" s="84"/>
      <c r="O644" s="84" t="s">
        <v>44</v>
      </c>
      <c r="R644"/>
    </row>
    <row r="645" spans="1:18" x14ac:dyDescent="0.25">
      <c r="A645" s="84" t="str">
        <f t="shared" si="31"/>
        <v>OutubroSEMANA 2Sal Refinado</v>
      </c>
      <c r="B645" s="85" t="s">
        <v>37</v>
      </c>
      <c r="C645" s="85" t="s">
        <v>21</v>
      </c>
      <c r="D645" s="85">
        <v>13</v>
      </c>
      <c r="E645" s="116" t="str">
        <f t="shared" si="32"/>
        <v>Mercado</v>
      </c>
      <c r="F645" s="85" t="s">
        <v>1089</v>
      </c>
      <c r="G645" s="85" t="s">
        <v>725</v>
      </c>
      <c r="H645" s="85" t="s">
        <v>1039</v>
      </c>
      <c r="I645" s="85">
        <v>10</v>
      </c>
      <c r="J645" s="87">
        <v>0.89</v>
      </c>
      <c r="K645" s="88">
        <f t="shared" si="33"/>
        <v>8.9</v>
      </c>
      <c r="L645" s="85" t="s">
        <v>1165</v>
      </c>
      <c r="M645" s="118" t="s">
        <v>585</v>
      </c>
      <c r="N645" s="84"/>
      <c r="O645" s="84" t="s">
        <v>44</v>
      </c>
      <c r="R645"/>
    </row>
    <row r="646" spans="1:18" x14ac:dyDescent="0.25">
      <c r="A646" s="84" t="str">
        <f t="shared" si="31"/>
        <v>OutubroSEMANA 2Pescados - Salmão Inteiro Sushi</v>
      </c>
      <c r="B646" s="85" t="s">
        <v>37</v>
      </c>
      <c r="C646" s="85" t="s">
        <v>21</v>
      </c>
      <c r="D646" s="85">
        <v>13</v>
      </c>
      <c r="E646" s="116" t="str">
        <f t="shared" si="32"/>
        <v>Sushi</v>
      </c>
      <c r="F646" s="85" t="s">
        <v>1053</v>
      </c>
      <c r="G646" s="85" t="s">
        <v>645</v>
      </c>
      <c r="H646" s="85" t="s">
        <v>1039</v>
      </c>
      <c r="I646" s="85">
        <v>22.84</v>
      </c>
      <c r="J646" s="87">
        <v>27.900200000000002</v>
      </c>
      <c r="K646" s="88">
        <f t="shared" si="33"/>
        <v>637.24056800000005</v>
      </c>
      <c r="L646" s="85">
        <v>1234811</v>
      </c>
      <c r="M646" s="118" t="s">
        <v>586</v>
      </c>
      <c r="N646" s="84"/>
      <c r="O646" s="84" t="s">
        <v>44</v>
      </c>
      <c r="R646"/>
    </row>
    <row r="647" spans="1:18" x14ac:dyDescent="0.25">
      <c r="A647" s="84" t="str">
        <f t="shared" si="31"/>
        <v>OutubroSEMANA 2Pescados - Salmão Inteiro</v>
      </c>
      <c r="B647" s="85" t="s">
        <v>37</v>
      </c>
      <c r="C647" s="85" t="s">
        <v>21</v>
      </c>
      <c r="D647" s="85">
        <v>13</v>
      </c>
      <c r="E647" s="116" t="str">
        <f t="shared" si="32"/>
        <v>Carnes</v>
      </c>
      <c r="F647" s="85" t="s">
        <v>1053</v>
      </c>
      <c r="G647" s="85" t="s">
        <v>644</v>
      </c>
      <c r="H647" s="85" t="s">
        <v>1039</v>
      </c>
      <c r="I647" s="85">
        <v>26.48</v>
      </c>
      <c r="J647" s="87">
        <v>25.899899999999999</v>
      </c>
      <c r="K647" s="88">
        <f t="shared" si="33"/>
        <v>685.82935199999997</v>
      </c>
      <c r="L647" s="85">
        <v>1234811</v>
      </c>
      <c r="M647" s="118" t="s">
        <v>587</v>
      </c>
      <c r="N647" s="84"/>
      <c r="O647" s="84" t="s">
        <v>60</v>
      </c>
      <c r="R647"/>
    </row>
    <row r="648" spans="1:18" x14ac:dyDescent="0.25">
      <c r="A648" s="84" t="str">
        <f t="shared" si="31"/>
        <v>OutubroSEMANA 2Pescados - Atum Fresco Sushi</v>
      </c>
      <c r="B648" s="85" t="s">
        <v>37</v>
      </c>
      <c r="C648" s="85" t="s">
        <v>21</v>
      </c>
      <c r="D648" s="85">
        <v>13</v>
      </c>
      <c r="E648" s="116" t="str">
        <f t="shared" si="32"/>
        <v>Sushi</v>
      </c>
      <c r="F648" s="85" t="s">
        <v>1166</v>
      </c>
      <c r="G648" s="85" t="s">
        <v>587</v>
      </c>
      <c r="H648" s="85" t="s">
        <v>1039</v>
      </c>
      <c r="I648" s="85">
        <v>24</v>
      </c>
      <c r="J648" s="87">
        <v>17</v>
      </c>
      <c r="K648" s="88">
        <f t="shared" si="33"/>
        <v>408</v>
      </c>
      <c r="L648" s="85">
        <v>4651</v>
      </c>
      <c r="M648" s="118" t="s">
        <v>588</v>
      </c>
      <c r="N648" s="84"/>
      <c r="O648" s="84" t="s">
        <v>44</v>
      </c>
      <c r="R648"/>
    </row>
    <row r="649" spans="1:18" x14ac:dyDescent="0.25">
      <c r="A649" s="84" t="str">
        <f t="shared" si="31"/>
        <v>OutubroSEMANA 2Pescados - Olho de Cão Sushi</v>
      </c>
      <c r="B649" s="85" t="s">
        <v>37</v>
      </c>
      <c r="C649" s="85" t="s">
        <v>21</v>
      </c>
      <c r="D649" s="85">
        <v>13</v>
      </c>
      <c r="E649" s="116" t="str">
        <f t="shared" si="32"/>
        <v>Sushi</v>
      </c>
      <c r="F649" s="85" t="s">
        <v>1166</v>
      </c>
      <c r="G649" s="85" t="s">
        <v>631</v>
      </c>
      <c r="H649" s="85" t="s">
        <v>1039</v>
      </c>
      <c r="I649" s="85">
        <v>3</v>
      </c>
      <c r="J649" s="87">
        <v>15</v>
      </c>
      <c r="K649" s="88">
        <f t="shared" si="33"/>
        <v>45</v>
      </c>
      <c r="L649" s="85">
        <v>4651</v>
      </c>
      <c r="M649" s="118" t="s">
        <v>589</v>
      </c>
      <c r="N649" s="84"/>
      <c r="O649" s="84" t="s">
        <v>44</v>
      </c>
      <c r="R649"/>
    </row>
    <row r="650" spans="1:18" x14ac:dyDescent="0.25">
      <c r="A650" s="84" t="str">
        <f t="shared" si="31"/>
        <v>OutubroSEMANA 2Cerveja Bohemia 600 ml</v>
      </c>
      <c r="B650" s="85" t="s">
        <v>37</v>
      </c>
      <c r="C650" s="85" t="s">
        <v>21</v>
      </c>
      <c r="D650" s="85">
        <v>13</v>
      </c>
      <c r="E650" s="116" t="str">
        <f t="shared" si="32"/>
        <v>Bebidas</v>
      </c>
      <c r="F650" s="85" t="s">
        <v>1123</v>
      </c>
      <c r="G650" s="85" t="s">
        <v>259</v>
      </c>
      <c r="H650" s="85" t="s">
        <v>1038</v>
      </c>
      <c r="I650" s="85">
        <v>24</v>
      </c>
      <c r="J650" s="87">
        <f>115.37/24</f>
        <v>4.8070833333333338</v>
      </c>
      <c r="K650" s="88">
        <f t="shared" si="33"/>
        <v>115.37</v>
      </c>
      <c r="L650" s="85" t="s">
        <v>1167</v>
      </c>
      <c r="M650" s="118" t="s">
        <v>590</v>
      </c>
      <c r="N650" s="84"/>
      <c r="O650" s="84" t="s">
        <v>44</v>
      </c>
      <c r="R650"/>
    </row>
    <row r="651" spans="1:18" x14ac:dyDescent="0.25">
      <c r="A651" s="84" t="str">
        <f t="shared" si="31"/>
        <v>OutubroSEMANA 2Água Tonica</v>
      </c>
      <c r="B651" s="85" t="s">
        <v>37</v>
      </c>
      <c r="C651" s="85" t="s">
        <v>21</v>
      </c>
      <c r="D651" s="85">
        <v>13</v>
      </c>
      <c r="E651" s="116" t="str">
        <f t="shared" si="32"/>
        <v>Bebidas</v>
      </c>
      <c r="F651" s="85" t="s">
        <v>1123</v>
      </c>
      <c r="G651" s="85" t="s">
        <v>92</v>
      </c>
      <c r="H651" s="85" t="s">
        <v>1038</v>
      </c>
      <c r="I651" s="85">
        <v>12</v>
      </c>
      <c r="J651" s="87">
        <f>22.33/12</f>
        <v>1.8608333333333331</v>
      </c>
      <c r="K651" s="88">
        <f t="shared" si="33"/>
        <v>22.33</v>
      </c>
      <c r="L651" s="85" t="s">
        <v>1167</v>
      </c>
      <c r="M651" s="118" t="s">
        <v>591</v>
      </c>
      <c r="N651" s="84"/>
      <c r="O651" s="84" t="s">
        <v>44</v>
      </c>
      <c r="R651"/>
    </row>
    <row r="652" spans="1:18" x14ac:dyDescent="0.25">
      <c r="A652" s="84" t="str">
        <f t="shared" si="31"/>
        <v>OutubroSEMANA 2Guaraná Antarctica (lata)</v>
      </c>
      <c r="B652" s="85" t="s">
        <v>37</v>
      </c>
      <c r="C652" s="85" t="s">
        <v>21</v>
      </c>
      <c r="D652" s="85">
        <v>13</v>
      </c>
      <c r="E652" s="116" t="str">
        <f t="shared" si="32"/>
        <v>Bebidas</v>
      </c>
      <c r="F652" s="85" t="s">
        <v>1123</v>
      </c>
      <c r="G652" s="85" t="s">
        <v>397</v>
      </c>
      <c r="H652" s="140" t="s">
        <v>1038</v>
      </c>
      <c r="I652" s="85">
        <f>12*5</f>
        <v>60</v>
      </c>
      <c r="J652" s="87">
        <f>109.73/60</f>
        <v>1.8288333333333333</v>
      </c>
      <c r="K652" s="88">
        <f t="shared" si="33"/>
        <v>109.73</v>
      </c>
      <c r="L652" s="85" t="s">
        <v>1167</v>
      </c>
      <c r="M652" s="118" t="s">
        <v>592</v>
      </c>
      <c r="N652" s="84"/>
      <c r="O652" s="84" t="s">
        <v>44</v>
      </c>
      <c r="R652"/>
    </row>
    <row r="653" spans="1:18" x14ac:dyDescent="0.25">
      <c r="A653" s="84" t="str">
        <f t="shared" si="31"/>
        <v>OutubroSEMANA 2Guaraná Antarctica Zero (lata)</v>
      </c>
      <c r="B653" s="85" t="s">
        <v>37</v>
      </c>
      <c r="C653" s="85" t="s">
        <v>21</v>
      </c>
      <c r="D653" s="85">
        <v>13</v>
      </c>
      <c r="E653" s="116" t="str">
        <f t="shared" si="32"/>
        <v>Bebidas</v>
      </c>
      <c r="F653" s="85" t="s">
        <v>1123</v>
      </c>
      <c r="G653" s="85" t="s">
        <v>398</v>
      </c>
      <c r="H653" s="85" t="s">
        <v>1038</v>
      </c>
      <c r="I653" s="85">
        <v>24</v>
      </c>
      <c r="J653" s="87">
        <f>43.89/24</f>
        <v>1.8287500000000001</v>
      </c>
      <c r="K653" s="88">
        <f t="shared" si="33"/>
        <v>43.89</v>
      </c>
      <c r="L653" s="85" t="s">
        <v>1167</v>
      </c>
      <c r="M653" s="118" t="s">
        <v>593</v>
      </c>
      <c r="N653" s="84"/>
      <c r="O653" s="84" t="s">
        <v>44</v>
      </c>
      <c r="R653"/>
    </row>
    <row r="654" spans="1:18" x14ac:dyDescent="0.25">
      <c r="A654" s="84" t="str">
        <f t="shared" si="31"/>
        <v>OutubroSEMANA 2Pescados - Bacalhau Salgado</v>
      </c>
      <c r="B654" s="85" t="s">
        <v>37</v>
      </c>
      <c r="C654" s="85" t="s">
        <v>21</v>
      </c>
      <c r="D654" s="85">
        <v>13</v>
      </c>
      <c r="E654" s="116" t="str">
        <f t="shared" si="32"/>
        <v>Carnes</v>
      </c>
      <c r="F654" s="85" t="s">
        <v>1049</v>
      </c>
      <c r="G654" s="85" t="s">
        <v>589</v>
      </c>
      <c r="H654" s="85" t="s">
        <v>1039</v>
      </c>
      <c r="I654" s="85">
        <v>25</v>
      </c>
      <c r="J654" s="87">
        <f>1098.04/25</f>
        <v>43.921599999999998</v>
      </c>
      <c r="K654" s="88">
        <f t="shared" si="33"/>
        <v>1098.04</v>
      </c>
      <c r="L654" s="85" t="s">
        <v>1168</v>
      </c>
      <c r="M654" s="118" t="s">
        <v>594</v>
      </c>
      <c r="N654" s="84"/>
      <c r="O654" s="84" t="s">
        <v>44</v>
      </c>
      <c r="R654"/>
    </row>
    <row r="655" spans="1:18" x14ac:dyDescent="0.25">
      <c r="A655" s="84" t="str">
        <f t="shared" si="31"/>
        <v>OutubroSEMANA 2Carne Bovina - Filé Mignon 3/4</v>
      </c>
      <c r="B655" s="85" t="s">
        <v>37</v>
      </c>
      <c r="C655" s="85" t="s">
        <v>21</v>
      </c>
      <c r="D655" s="85">
        <v>13</v>
      </c>
      <c r="E655" s="116" t="str">
        <f t="shared" si="32"/>
        <v>Carnes</v>
      </c>
      <c r="F655" s="85" t="s">
        <v>1116</v>
      </c>
      <c r="G655" s="85" t="s">
        <v>223</v>
      </c>
      <c r="H655" s="85" t="s">
        <v>1039</v>
      </c>
      <c r="I655" s="85">
        <v>49.1</v>
      </c>
      <c r="J655" s="87">
        <v>32</v>
      </c>
      <c r="K655" s="88">
        <f t="shared" si="33"/>
        <v>1571.2</v>
      </c>
      <c r="L655" s="85">
        <v>504477</v>
      </c>
      <c r="M655" s="118" t="s">
        <v>595</v>
      </c>
      <c r="N655" s="84"/>
      <c r="O655" s="84" t="s">
        <v>44</v>
      </c>
      <c r="R655"/>
    </row>
    <row r="656" spans="1:18" x14ac:dyDescent="0.25">
      <c r="A656" s="84" t="str">
        <f t="shared" si="31"/>
        <v>OutubroSEMANA 2Carne Bovina - Picanha Grill/Churrascaria</v>
      </c>
      <c r="B656" s="85" t="s">
        <v>37</v>
      </c>
      <c r="C656" s="85" t="s">
        <v>21</v>
      </c>
      <c r="D656" s="85">
        <v>13</v>
      </c>
      <c r="E656" s="116" t="str">
        <f t="shared" si="32"/>
        <v>Carnes</v>
      </c>
      <c r="F656" s="85" t="s">
        <v>1116</v>
      </c>
      <c r="G656" s="85" t="s">
        <v>233</v>
      </c>
      <c r="H656" s="85" t="s">
        <v>1039</v>
      </c>
      <c r="I656" s="85">
        <v>19.940000000000001</v>
      </c>
      <c r="J656" s="87">
        <v>38</v>
      </c>
      <c r="K656" s="88">
        <f t="shared" si="33"/>
        <v>757.72</v>
      </c>
      <c r="L656" s="85">
        <v>504476</v>
      </c>
      <c r="M656" s="118" t="s">
        <v>596</v>
      </c>
      <c r="N656" s="84"/>
      <c r="O656" s="84" t="s">
        <v>44</v>
      </c>
      <c r="R656"/>
    </row>
    <row r="657" spans="1:18" x14ac:dyDescent="0.25">
      <c r="A657" s="84" t="str">
        <f t="shared" si="31"/>
        <v>OutubroSEMANA 2Carne Bovina - Picanha Grill/Churrascaria</v>
      </c>
      <c r="B657" s="85" t="s">
        <v>37</v>
      </c>
      <c r="C657" s="85" t="s">
        <v>21</v>
      </c>
      <c r="D657" s="85">
        <v>13</v>
      </c>
      <c r="E657" s="116" t="str">
        <f t="shared" si="32"/>
        <v>Carnes</v>
      </c>
      <c r="F657" s="85" t="s">
        <v>1116</v>
      </c>
      <c r="G657" s="85" t="s">
        <v>233</v>
      </c>
      <c r="H657" s="85" t="s">
        <v>1039</v>
      </c>
      <c r="I657" s="85">
        <v>20.190000000000001</v>
      </c>
      <c r="J657" s="87">
        <v>38</v>
      </c>
      <c r="K657" s="88">
        <f t="shared" si="33"/>
        <v>767.22</v>
      </c>
      <c r="L657" s="85">
        <v>504487</v>
      </c>
      <c r="M657" s="118" t="s">
        <v>597</v>
      </c>
      <c r="N657" s="84"/>
      <c r="O657" s="84" t="s">
        <v>44</v>
      </c>
      <c r="R657"/>
    </row>
    <row r="658" spans="1:18" x14ac:dyDescent="0.25">
      <c r="A658" s="84" t="str">
        <f t="shared" si="31"/>
        <v>OutubroSEMANA 2Carne Bovina - Perinha da Chã</v>
      </c>
      <c r="B658" s="85" t="s">
        <v>37</v>
      </c>
      <c r="C658" s="85" t="s">
        <v>21</v>
      </c>
      <c r="D658" s="85">
        <v>13</v>
      </c>
      <c r="E658" s="116" t="str">
        <f t="shared" si="32"/>
        <v>Carnes</v>
      </c>
      <c r="F658" s="85" t="s">
        <v>1116</v>
      </c>
      <c r="G658" s="85" t="s">
        <v>976</v>
      </c>
      <c r="H658" s="85" t="s">
        <v>1039</v>
      </c>
      <c r="I658" s="85">
        <v>22.32</v>
      </c>
      <c r="J658" s="87">
        <v>13.8</v>
      </c>
      <c r="K658" s="88">
        <f t="shared" si="33"/>
        <v>308.01600000000002</v>
      </c>
      <c r="L658" s="85">
        <v>504487</v>
      </c>
      <c r="M658" s="118" t="s">
        <v>598</v>
      </c>
      <c r="N658" s="84"/>
      <c r="O658" s="84" t="s">
        <v>44</v>
      </c>
      <c r="R658"/>
    </row>
    <row r="659" spans="1:18" x14ac:dyDescent="0.25">
      <c r="A659" s="84" t="str">
        <f t="shared" si="31"/>
        <v>OutubroSEMANA 2Pescados - Filé Linguado Cong. G</v>
      </c>
      <c r="B659" s="85" t="s">
        <v>37</v>
      </c>
      <c r="C659" s="85" t="s">
        <v>21</v>
      </c>
      <c r="D659" s="85">
        <v>13</v>
      </c>
      <c r="E659" s="116" t="str">
        <f t="shared" si="32"/>
        <v>Carnes</v>
      </c>
      <c r="F659" s="85" t="s">
        <v>1048</v>
      </c>
      <c r="G659" s="85" t="s">
        <v>607</v>
      </c>
      <c r="H659" s="85" t="s">
        <v>1039</v>
      </c>
      <c r="I659" s="85">
        <v>60</v>
      </c>
      <c r="J659" s="87">
        <v>41</v>
      </c>
      <c r="K659" s="88">
        <f t="shared" si="33"/>
        <v>2460</v>
      </c>
      <c r="L659" s="85" t="s">
        <v>1169</v>
      </c>
      <c r="M659" s="118" t="s">
        <v>599</v>
      </c>
      <c r="N659" s="84"/>
      <c r="O659" s="84" t="s">
        <v>44</v>
      </c>
      <c r="R659"/>
    </row>
    <row r="660" spans="1:18" x14ac:dyDescent="0.25">
      <c r="A660" s="84" t="str">
        <f t="shared" si="31"/>
        <v>OutubroSEMANA 2Pescados - Filé Linguado Cong. M</v>
      </c>
      <c r="B660" s="85" t="s">
        <v>37</v>
      </c>
      <c r="C660" s="85" t="s">
        <v>21</v>
      </c>
      <c r="D660" s="85">
        <v>13</v>
      </c>
      <c r="E660" s="116" t="str">
        <f t="shared" si="32"/>
        <v>Carnes</v>
      </c>
      <c r="F660" s="85" t="s">
        <v>1048</v>
      </c>
      <c r="G660" s="85" t="s">
        <v>608</v>
      </c>
      <c r="H660" s="85" t="s">
        <v>1039</v>
      </c>
      <c r="I660" s="85">
        <v>20</v>
      </c>
      <c r="J660" s="87">
        <v>29</v>
      </c>
      <c r="K660" s="88">
        <f t="shared" si="33"/>
        <v>580</v>
      </c>
      <c r="L660" s="85" t="s">
        <v>1169</v>
      </c>
      <c r="M660" s="118" t="s">
        <v>600</v>
      </c>
      <c r="N660" s="84"/>
      <c r="O660" s="84" t="s">
        <v>44</v>
      </c>
      <c r="R660"/>
    </row>
    <row r="661" spans="1:18" x14ac:dyDescent="0.25">
      <c r="A661" s="84" t="str">
        <f t="shared" si="31"/>
        <v>OutubroSEMANA 2Creme de Leite Culinário 20% Bd 10 Lt</v>
      </c>
      <c r="B661" s="85" t="s">
        <v>37</v>
      </c>
      <c r="C661" s="85" t="s">
        <v>21</v>
      </c>
      <c r="D661" s="85">
        <v>13</v>
      </c>
      <c r="E661" s="116" t="str">
        <f t="shared" si="32"/>
        <v>Mercado</v>
      </c>
      <c r="F661" s="85" t="s">
        <v>1045</v>
      </c>
      <c r="G661" s="85" t="s">
        <v>315</v>
      </c>
      <c r="H661" s="85" t="s">
        <v>1046</v>
      </c>
      <c r="I661" s="85">
        <v>2</v>
      </c>
      <c r="J661" s="87">
        <v>142.44999999999999</v>
      </c>
      <c r="K661" s="88">
        <f t="shared" si="33"/>
        <v>284.89999999999998</v>
      </c>
      <c r="L661" s="85" t="s">
        <v>1170</v>
      </c>
      <c r="M661" s="118" t="s">
        <v>601</v>
      </c>
      <c r="N661" s="84"/>
      <c r="O661" s="84" t="s">
        <v>44</v>
      </c>
      <c r="R661"/>
    </row>
    <row r="662" spans="1:18" x14ac:dyDescent="0.25">
      <c r="A662" s="84" t="str">
        <f t="shared" si="31"/>
        <v>OutubroSEMANA 2Queijo Gorgonzola</v>
      </c>
      <c r="B662" s="85" t="s">
        <v>37</v>
      </c>
      <c r="C662" s="85" t="s">
        <v>21</v>
      </c>
      <c r="D662" s="85">
        <v>13</v>
      </c>
      <c r="E662" s="116" t="str">
        <f t="shared" si="32"/>
        <v>Mercado</v>
      </c>
      <c r="F662" s="85" t="s">
        <v>1045</v>
      </c>
      <c r="G662" s="85" t="s">
        <v>679</v>
      </c>
      <c r="H662" s="85" t="s">
        <v>1039</v>
      </c>
      <c r="I662" s="85">
        <v>3.24</v>
      </c>
      <c r="J662" s="87">
        <v>47.5</v>
      </c>
      <c r="K662" s="88">
        <f t="shared" si="33"/>
        <v>153.9</v>
      </c>
      <c r="L662" s="85" t="s">
        <v>1170</v>
      </c>
      <c r="M662" s="118" t="s">
        <v>602</v>
      </c>
      <c r="N662" s="84"/>
      <c r="O662" s="84" t="s">
        <v>44</v>
      </c>
      <c r="R662"/>
    </row>
    <row r="663" spans="1:18" x14ac:dyDescent="0.25">
      <c r="A663" s="84" t="str">
        <f t="shared" si="31"/>
        <v>OutubroSEMANA 2Queijo Mussarela</v>
      </c>
      <c r="B663" s="85" t="s">
        <v>37</v>
      </c>
      <c r="C663" s="85" t="s">
        <v>21</v>
      </c>
      <c r="D663" s="85">
        <v>13</v>
      </c>
      <c r="E663" s="116" t="str">
        <f t="shared" si="32"/>
        <v>Mercado</v>
      </c>
      <c r="F663" s="85" t="s">
        <v>1045</v>
      </c>
      <c r="G663" s="85" t="s">
        <v>685</v>
      </c>
      <c r="H663" s="85" t="s">
        <v>1039</v>
      </c>
      <c r="I663" s="85">
        <v>3.46</v>
      </c>
      <c r="J663" s="87">
        <v>26</v>
      </c>
      <c r="K663" s="88">
        <f t="shared" si="33"/>
        <v>89.96</v>
      </c>
      <c r="L663" s="85" t="s">
        <v>1170</v>
      </c>
      <c r="M663" s="118" t="s">
        <v>603</v>
      </c>
      <c r="N663" s="84"/>
      <c r="O663" s="84" t="s">
        <v>44</v>
      </c>
      <c r="R663"/>
    </row>
    <row r="664" spans="1:18" x14ac:dyDescent="0.25">
      <c r="A664" s="84" t="str">
        <f t="shared" si="31"/>
        <v>OutubroSEMANA 2Queijo Minas</v>
      </c>
      <c r="B664" s="85" t="s">
        <v>37</v>
      </c>
      <c r="C664" s="85" t="s">
        <v>21</v>
      </c>
      <c r="D664" s="85">
        <v>13</v>
      </c>
      <c r="E664" s="116" t="str">
        <f t="shared" si="32"/>
        <v>Mercado</v>
      </c>
      <c r="F664" s="85" t="s">
        <v>1045</v>
      </c>
      <c r="G664" s="85" t="s">
        <v>682</v>
      </c>
      <c r="H664" s="85" t="s">
        <v>1039</v>
      </c>
      <c r="I664" s="85">
        <v>3</v>
      </c>
      <c r="J664" s="87">
        <v>20.8</v>
      </c>
      <c r="K664" s="88">
        <f t="shared" si="33"/>
        <v>62.400000000000006</v>
      </c>
      <c r="L664" s="85" t="s">
        <v>1170</v>
      </c>
      <c r="M664" s="118" t="s">
        <v>604</v>
      </c>
      <c r="N664" s="84"/>
      <c r="O664" s="84" t="s">
        <v>44</v>
      </c>
      <c r="R664"/>
    </row>
    <row r="665" spans="1:18" x14ac:dyDescent="0.25">
      <c r="A665" s="84" t="str">
        <f t="shared" si="31"/>
        <v>OutubroSEMANA 2Queijo Requeijão BD 3,6 Kg</v>
      </c>
      <c r="B665" s="85" t="s">
        <v>37</v>
      </c>
      <c r="C665" s="85" t="s">
        <v>21</v>
      </c>
      <c r="D665" s="85">
        <v>13</v>
      </c>
      <c r="E665" s="116" t="str">
        <f t="shared" si="32"/>
        <v>Mercado</v>
      </c>
      <c r="F665" s="85" t="s">
        <v>1045</v>
      </c>
      <c r="G665" s="85" t="s">
        <v>688</v>
      </c>
      <c r="H665" s="85" t="s">
        <v>1039</v>
      </c>
      <c r="I665" s="85">
        <v>2</v>
      </c>
      <c r="J665" s="87">
        <v>74.400000000000006</v>
      </c>
      <c r="K665" s="88">
        <f t="shared" si="33"/>
        <v>148.80000000000001</v>
      </c>
      <c r="L665" s="85" t="s">
        <v>1170</v>
      </c>
      <c r="M665" s="118" t="s">
        <v>605</v>
      </c>
      <c r="N665" s="84"/>
      <c r="O665" s="84" t="s">
        <v>60</v>
      </c>
      <c r="R665"/>
    </row>
    <row r="666" spans="1:18" x14ac:dyDescent="0.25">
      <c r="A666" s="84" t="str">
        <f t="shared" si="31"/>
        <v>OutubroSEMANA 2Azeite Extra Virgem (Santiago) 500 ml</v>
      </c>
      <c r="B666" s="85" t="s">
        <v>37</v>
      </c>
      <c r="C666" s="85" t="s">
        <v>21</v>
      </c>
      <c r="D666" s="86">
        <v>13</v>
      </c>
      <c r="E666" s="116" t="str">
        <f t="shared" si="32"/>
        <v>Mercado</v>
      </c>
      <c r="F666" s="85" t="s">
        <v>1085</v>
      </c>
      <c r="G666" s="85" t="s">
        <v>153</v>
      </c>
      <c r="H666" s="85" t="s">
        <v>1038</v>
      </c>
      <c r="I666" s="85">
        <v>12</v>
      </c>
      <c r="J666" s="87">
        <f>196.19/12</f>
        <v>16.349166666666665</v>
      </c>
      <c r="K666" s="88">
        <f t="shared" si="33"/>
        <v>196.19</v>
      </c>
      <c r="L666" s="85" t="s">
        <v>1171</v>
      </c>
      <c r="M666" s="118" t="s">
        <v>606</v>
      </c>
      <c r="N666" s="84"/>
      <c r="O666" s="84" t="s">
        <v>44</v>
      </c>
      <c r="R666"/>
    </row>
    <row r="667" spans="1:18" x14ac:dyDescent="0.25">
      <c r="A667" s="84" t="str">
        <f t="shared" si="31"/>
        <v>OutubroSEMANA 2Abobora</v>
      </c>
      <c r="B667" s="85" t="s">
        <v>37</v>
      </c>
      <c r="C667" s="85" t="s">
        <v>21</v>
      </c>
      <c r="D667" s="86">
        <v>13</v>
      </c>
      <c r="E667" s="116" t="str">
        <f t="shared" si="32"/>
        <v>Hortifruti</v>
      </c>
      <c r="F667" s="85" t="s">
        <v>1054</v>
      </c>
      <c r="G667" s="85" t="s">
        <v>68</v>
      </c>
      <c r="H667" s="85" t="s">
        <v>1039</v>
      </c>
      <c r="I667" s="85">
        <v>4.5</v>
      </c>
      <c r="J667" s="87">
        <v>3.2</v>
      </c>
      <c r="K667" s="88">
        <f t="shared" si="33"/>
        <v>14.4</v>
      </c>
      <c r="L667" s="85">
        <v>1896</v>
      </c>
      <c r="M667" s="118" t="s">
        <v>607</v>
      </c>
      <c r="N667" s="84"/>
      <c r="O667" s="84" t="s">
        <v>44</v>
      </c>
      <c r="R667"/>
    </row>
    <row r="668" spans="1:18" x14ac:dyDescent="0.25">
      <c r="A668" s="84" t="str">
        <f t="shared" si="31"/>
        <v>OutubroSEMANA 2Cenoura</v>
      </c>
      <c r="B668" s="85" t="s">
        <v>37</v>
      </c>
      <c r="C668" s="85" t="s">
        <v>21</v>
      </c>
      <c r="D668" s="86">
        <v>13</v>
      </c>
      <c r="E668" s="116" t="str">
        <f t="shared" si="32"/>
        <v>Hortifruti</v>
      </c>
      <c r="F668" s="85" t="s">
        <v>1054</v>
      </c>
      <c r="G668" s="85" t="s">
        <v>249</v>
      </c>
      <c r="H668" s="85" t="s">
        <v>1039</v>
      </c>
      <c r="I668" s="85">
        <v>19.16</v>
      </c>
      <c r="J668" s="87">
        <f>40/19.16</f>
        <v>2.0876826722338206</v>
      </c>
      <c r="K668" s="88">
        <f t="shared" si="33"/>
        <v>40.000000000000007</v>
      </c>
      <c r="L668" s="85">
        <v>1896</v>
      </c>
      <c r="M668" s="118" t="s">
        <v>608</v>
      </c>
      <c r="N668" s="84"/>
      <c r="O668" s="84" t="s">
        <v>44</v>
      </c>
      <c r="R668"/>
    </row>
    <row r="669" spans="1:18" x14ac:dyDescent="0.25">
      <c r="A669" s="84" t="str">
        <f t="shared" si="31"/>
        <v>OutubroSEMANA 2Gengibre Sushi</v>
      </c>
      <c r="B669" s="85" t="s">
        <v>37</v>
      </c>
      <c r="C669" s="85" t="s">
        <v>21</v>
      </c>
      <c r="D669" s="86">
        <v>13</v>
      </c>
      <c r="E669" s="116" t="str">
        <f t="shared" si="32"/>
        <v>Sushi</v>
      </c>
      <c r="F669" s="85" t="s">
        <v>1054</v>
      </c>
      <c r="G669" s="85" t="s">
        <v>386</v>
      </c>
      <c r="H669" s="85" t="s">
        <v>1039</v>
      </c>
      <c r="I669" s="85">
        <v>11.88</v>
      </c>
      <c r="J669" s="87">
        <f>80/11.88</f>
        <v>6.7340067340067336</v>
      </c>
      <c r="K669" s="88">
        <f t="shared" si="33"/>
        <v>80</v>
      </c>
      <c r="L669" s="85">
        <v>1896</v>
      </c>
      <c r="M669" s="118" t="s">
        <v>609</v>
      </c>
      <c r="N669" s="84"/>
      <c r="O669" s="84" t="s">
        <v>44</v>
      </c>
      <c r="R669"/>
    </row>
    <row r="670" spans="1:18" x14ac:dyDescent="0.25">
      <c r="A670" s="84" t="str">
        <f t="shared" si="31"/>
        <v>OutubroSEMANA 2Pimentão Verde</v>
      </c>
      <c r="B670" s="85" t="s">
        <v>37</v>
      </c>
      <c r="C670" s="85" t="s">
        <v>21</v>
      </c>
      <c r="D670" s="86">
        <v>13</v>
      </c>
      <c r="E670" s="116" t="str">
        <f t="shared" si="32"/>
        <v>Hortifruti</v>
      </c>
      <c r="F670" s="85" t="s">
        <v>1054</v>
      </c>
      <c r="G670" s="85" t="s">
        <v>666</v>
      </c>
      <c r="H670" s="85" t="s">
        <v>1039</v>
      </c>
      <c r="I670" s="85">
        <v>1</v>
      </c>
      <c r="J670" s="87">
        <v>5</v>
      </c>
      <c r="K670" s="88">
        <f t="shared" si="33"/>
        <v>5</v>
      </c>
      <c r="L670" s="85">
        <v>1896</v>
      </c>
      <c r="M670" s="118" t="s">
        <v>610</v>
      </c>
      <c r="N670" s="84"/>
      <c r="O670" s="84" t="s">
        <v>44</v>
      </c>
      <c r="R670"/>
    </row>
    <row r="671" spans="1:18" x14ac:dyDescent="0.25">
      <c r="A671" s="84" t="str">
        <f t="shared" si="31"/>
        <v>OutubroSEMANA 2Pimentão Amarelo</v>
      </c>
      <c r="B671" s="85" t="s">
        <v>37</v>
      </c>
      <c r="C671" s="85" t="s">
        <v>21</v>
      </c>
      <c r="D671" s="86">
        <v>13</v>
      </c>
      <c r="E671" s="116" t="str">
        <f t="shared" si="32"/>
        <v>Hortifruti</v>
      </c>
      <c r="F671" s="85" t="s">
        <v>1054</v>
      </c>
      <c r="G671" s="85" t="s">
        <v>664</v>
      </c>
      <c r="H671" s="85" t="s">
        <v>1039</v>
      </c>
      <c r="I671" s="85">
        <v>1</v>
      </c>
      <c r="J671" s="87">
        <v>10</v>
      </c>
      <c r="K671" s="88">
        <f t="shared" si="33"/>
        <v>10</v>
      </c>
      <c r="L671" s="85">
        <v>1896</v>
      </c>
      <c r="M671" s="118" t="s">
        <v>611</v>
      </c>
      <c r="N671" s="84"/>
      <c r="O671" s="84" t="s">
        <v>44</v>
      </c>
      <c r="R671"/>
    </row>
    <row r="672" spans="1:18" x14ac:dyDescent="0.25">
      <c r="A672" s="84" t="str">
        <f t="shared" si="31"/>
        <v>OutubroSEMANA 2Pimentão Vermelho</v>
      </c>
      <c r="B672" s="85" t="s">
        <v>37</v>
      </c>
      <c r="C672" s="85" t="s">
        <v>21</v>
      </c>
      <c r="D672" s="86">
        <v>13</v>
      </c>
      <c r="E672" s="116" t="str">
        <f t="shared" si="32"/>
        <v>Hortifruti</v>
      </c>
      <c r="F672" s="85" t="s">
        <v>1054</v>
      </c>
      <c r="G672" s="85" t="s">
        <v>667</v>
      </c>
      <c r="H672" s="85" t="s">
        <v>1039</v>
      </c>
      <c r="I672" s="85">
        <v>1</v>
      </c>
      <c r="J672" s="87">
        <v>10</v>
      </c>
      <c r="K672" s="88">
        <f t="shared" si="33"/>
        <v>10</v>
      </c>
      <c r="L672" s="85">
        <v>1896</v>
      </c>
      <c r="M672" s="118" t="s">
        <v>612</v>
      </c>
      <c r="N672" s="84"/>
      <c r="O672" s="84" t="s">
        <v>60</v>
      </c>
      <c r="R672"/>
    </row>
    <row r="673" spans="1:18" x14ac:dyDescent="0.25">
      <c r="A673" s="84" t="str">
        <f t="shared" si="31"/>
        <v>OutubroSEMANA 2Repolho</v>
      </c>
      <c r="B673" s="85" t="s">
        <v>37</v>
      </c>
      <c r="C673" s="85" t="s">
        <v>21</v>
      </c>
      <c r="D673" s="86">
        <v>13</v>
      </c>
      <c r="E673" s="116" t="str">
        <f t="shared" si="32"/>
        <v>Hortifruti</v>
      </c>
      <c r="F673" s="85" t="s">
        <v>1054</v>
      </c>
      <c r="G673" s="85" t="s">
        <v>701</v>
      </c>
      <c r="H673" s="85" t="s">
        <v>1039</v>
      </c>
      <c r="I673" s="85">
        <v>2</v>
      </c>
      <c r="J673" s="87">
        <v>3</v>
      </c>
      <c r="K673" s="88">
        <f t="shared" si="33"/>
        <v>6</v>
      </c>
      <c r="L673" s="85">
        <v>1896</v>
      </c>
      <c r="M673" s="118" t="s">
        <v>613</v>
      </c>
      <c r="N673" s="84"/>
      <c r="O673" s="84" t="s">
        <v>44</v>
      </c>
      <c r="R673"/>
    </row>
    <row r="674" spans="1:18" x14ac:dyDescent="0.25">
      <c r="A674" s="84" t="str">
        <f t="shared" si="31"/>
        <v>OutubroSEMANA 2Repolho Roxo</v>
      </c>
      <c r="B674" s="85" t="s">
        <v>37</v>
      </c>
      <c r="C674" s="85" t="s">
        <v>21</v>
      </c>
      <c r="D674" s="86">
        <v>13</v>
      </c>
      <c r="E674" s="116" t="str">
        <f t="shared" si="32"/>
        <v>Hortifruti</v>
      </c>
      <c r="F674" s="85" t="s">
        <v>1054</v>
      </c>
      <c r="G674" s="85" t="s">
        <v>703</v>
      </c>
      <c r="H674" s="85" t="s">
        <v>1039</v>
      </c>
      <c r="I674" s="85">
        <v>3</v>
      </c>
      <c r="J674" s="87">
        <v>4</v>
      </c>
      <c r="K674" s="88">
        <f t="shared" si="33"/>
        <v>12</v>
      </c>
      <c r="L674" s="85">
        <v>1896</v>
      </c>
      <c r="M674" s="118" t="s">
        <v>614</v>
      </c>
      <c r="N674" s="84"/>
      <c r="O674" s="84" t="s">
        <v>44</v>
      </c>
      <c r="R674"/>
    </row>
    <row r="675" spans="1:18" x14ac:dyDescent="0.25">
      <c r="A675" s="84" t="str">
        <f t="shared" si="31"/>
        <v>OutubroSEMANA 2Tomate Salada</v>
      </c>
      <c r="B675" s="85" t="s">
        <v>37</v>
      </c>
      <c r="C675" s="85" t="s">
        <v>21</v>
      </c>
      <c r="D675" s="86">
        <v>13</v>
      </c>
      <c r="E675" s="116" t="str">
        <f t="shared" si="32"/>
        <v>Hortifruti</v>
      </c>
      <c r="F675" s="85" t="s">
        <v>1054</v>
      </c>
      <c r="G675" s="85" t="s">
        <v>795</v>
      </c>
      <c r="H675" s="85" t="s">
        <v>1039</v>
      </c>
      <c r="I675" s="85">
        <v>21.1</v>
      </c>
      <c r="J675" s="87">
        <f>70/21.1</f>
        <v>3.3175355450236963</v>
      </c>
      <c r="K675" s="88">
        <f t="shared" si="33"/>
        <v>70</v>
      </c>
      <c r="L675" s="85">
        <v>1896</v>
      </c>
      <c r="M675" s="118" t="s">
        <v>615</v>
      </c>
      <c r="N675" s="84"/>
      <c r="O675" s="84" t="s">
        <v>44</v>
      </c>
      <c r="R675"/>
    </row>
    <row r="676" spans="1:18" x14ac:dyDescent="0.25">
      <c r="A676" s="84" t="str">
        <f t="shared" si="31"/>
        <v>OutubroSEMANA 2Brócolis Americano</v>
      </c>
      <c r="B676" s="85" t="s">
        <v>37</v>
      </c>
      <c r="C676" s="85" t="s">
        <v>21</v>
      </c>
      <c r="D676" s="86">
        <v>13</v>
      </c>
      <c r="E676" s="116" t="str">
        <f t="shared" si="32"/>
        <v>Hortifruti</v>
      </c>
      <c r="F676" s="85" t="s">
        <v>1054</v>
      </c>
      <c r="G676" s="85" t="s">
        <v>194</v>
      </c>
      <c r="H676" s="85" t="s">
        <v>1039</v>
      </c>
      <c r="I676" s="85">
        <v>3</v>
      </c>
      <c r="J676" s="87">
        <v>7</v>
      </c>
      <c r="K676" s="88">
        <f t="shared" si="33"/>
        <v>21</v>
      </c>
      <c r="L676" s="85">
        <v>1896</v>
      </c>
      <c r="M676" s="118" t="s">
        <v>616</v>
      </c>
      <c r="N676" s="84"/>
      <c r="O676" s="84" t="s">
        <v>60</v>
      </c>
      <c r="R676"/>
    </row>
    <row r="677" spans="1:18" x14ac:dyDescent="0.25">
      <c r="A677" s="84" t="str">
        <f t="shared" si="31"/>
        <v>OutubroSEMANA 2Coentro</v>
      </c>
      <c r="B677" s="85" t="s">
        <v>37</v>
      </c>
      <c r="C677" s="85" t="s">
        <v>21</v>
      </c>
      <c r="D677" s="86">
        <v>13</v>
      </c>
      <c r="E677" s="116" t="str">
        <f t="shared" si="32"/>
        <v>Hortifruti</v>
      </c>
      <c r="F677" s="85" t="s">
        <v>1054</v>
      </c>
      <c r="G677" s="85" t="s">
        <v>289</v>
      </c>
      <c r="H677" s="85" t="s">
        <v>1039</v>
      </c>
      <c r="I677" s="85">
        <v>0.5</v>
      </c>
      <c r="J677" s="87">
        <v>14</v>
      </c>
      <c r="K677" s="88">
        <f t="shared" si="33"/>
        <v>7</v>
      </c>
      <c r="L677" s="85">
        <v>1896</v>
      </c>
      <c r="M677" s="118" t="s">
        <v>617</v>
      </c>
      <c r="N677" s="84"/>
      <c r="O677" s="84" t="s">
        <v>44</v>
      </c>
      <c r="R677"/>
    </row>
    <row r="678" spans="1:18" x14ac:dyDescent="0.25">
      <c r="A678" s="84" t="str">
        <f t="shared" si="31"/>
        <v>OutubroSEMANA 2Espinafre</v>
      </c>
      <c r="B678" s="85" t="s">
        <v>37</v>
      </c>
      <c r="C678" s="85" t="s">
        <v>21</v>
      </c>
      <c r="D678" s="86">
        <v>13</v>
      </c>
      <c r="E678" s="116" t="str">
        <f t="shared" si="32"/>
        <v>Hortifruti</v>
      </c>
      <c r="F678" s="85" t="s">
        <v>1054</v>
      </c>
      <c r="G678" s="85" t="s">
        <v>332</v>
      </c>
      <c r="H678" s="85" t="s">
        <v>1039</v>
      </c>
      <c r="I678" s="85">
        <v>2</v>
      </c>
      <c r="J678" s="87">
        <v>4.8</v>
      </c>
      <c r="K678" s="88">
        <f t="shared" si="33"/>
        <v>9.6</v>
      </c>
      <c r="L678" s="85">
        <v>1896</v>
      </c>
      <c r="M678" s="118" t="s">
        <v>618</v>
      </c>
      <c r="N678" s="84"/>
      <c r="O678" s="84" t="s">
        <v>44</v>
      </c>
      <c r="R678"/>
    </row>
    <row r="679" spans="1:18" x14ac:dyDescent="0.25">
      <c r="A679" s="84" t="str">
        <f t="shared" si="31"/>
        <v>OutubroSEMANA 2Funcho</v>
      </c>
      <c r="B679" s="85" t="s">
        <v>37</v>
      </c>
      <c r="C679" s="85" t="s">
        <v>21</v>
      </c>
      <c r="D679" s="86">
        <v>13</v>
      </c>
      <c r="E679" s="116" t="str">
        <f t="shared" si="32"/>
        <v>Hortifruti</v>
      </c>
      <c r="F679" s="85" t="s">
        <v>1054</v>
      </c>
      <c r="G679" s="85" t="s">
        <v>374</v>
      </c>
      <c r="H679" s="85" t="s">
        <v>1039</v>
      </c>
      <c r="I679" s="85">
        <v>1</v>
      </c>
      <c r="J679" s="87">
        <v>10</v>
      </c>
      <c r="K679" s="88">
        <f t="shared" si="33"/>
        <v>10</v>
      </c>
      <c r="L679" s="85">
        <v>1896</v>
      </c>
      <c r="M679" s="118" t="s">
        <v>619</v>
      </c>
      <c r="N679" s="84"/>
      <c r="O679" s="84" t="s">
        <v>44</v>
      </c>
      <c r="R679"/>
    </row>
    <row r="680" spans="1:18" x14ac:dyDescent="0.25">
      <c r="A680" s="84" t="str">
        <f t="shared" si="31"/>
        <v>OutubroSEMANA 2Rabanete</v>
      </c>
      <c r="B680" s="85" t="s">
        <v>37</v>
      </c>
      <c r="C680" s="85" t="s">
        <v>21</v>
      </c>
      <c r="D680" s="86">
        <v>13</v>
      </c>
      <c r="E680" s="116" t="str">
        <f t="shared" si="32"/>
        <v>Hortifruti</v>
      </c>
      <c r="F680" s="85" t="s">
        <v>1054</v>
      </c>
      <c r="G680" s="85" t="s">
        <v>694</v>
      </c>
      <c r="H680" s="85" t="s">
        <v>1039</v>
      </c>
      <c r="I680" s="85">
        <v>2</v>
      </c>
      <c r="J680" s="87">
        <v>6.8</v>
      </c>
      <c r="K680" s="88">
        <f t="shared" si="33"/>
        <v>13.6</v>
      </c>
      <c r="L680" s="85">
        <v>1896</v>
      </c>
      <c r="M680" s="118" t="s">
        <v>620</v>
      </c>
      <c r="N680" s="84"/>
      <c r="O680" s="84" t="s">
        <v>60</v>
      </c>
      <c r="R680"/>
    </row>
    <row r="681" spans="1:18" x14ac:dyDescent="0.25">
      <c r="A681" s="84" t="str">
        <f t="shared" si="31"/>
        <v>OutubroSEMANA 2Alfafa</v>
      </c>
      <c r="B681" s="85" t="s">
        <v>37</v>
      </c>
      <c r="C681" s="85" t="s">
        <v>21</v>
      </c>
      <c r="D681" s="86">
        <v>13</v>
      </c>
      <c r="E681" s="116" t="str">
        <f t="shared" si="32"/>
        <v>Hortifruti</v>
      </c>
      <c r="F681" s="85" t="s">
        <v>1054</v>
      </c>
      <c r="G681" s="85" t="s">
        <v>110</v>
      </c>
      <c r="H681" s="85" t="s">
        <v>1039</v>
      </c>
      <c r="I681" s="85">
        <v>0.15</v>
      </c>
      <c r="J681" s="87">
        <f>6/0.15</f>
        <v>40</v>
      </c>
      <c r="K681" s="88">
        <f t="shared" si="33"/>
        <v>6</v>
      </c>
      <c r="L681" s="85">
        <v>1896</v>
      </c>
      <c r="M681" s="118" t="s">
        <v>621</v>
      </c>
      <c r="N681" s="84"/>
      <c r="O681" s="84" t="s">
        <v>44</v>
      </c>
      <c r="R681"/>
    </row>
    <row r="682" spans="1:18" x14ac:dyDescent="0.25">
      <c r="A682" s="84" t="str">
        <f t="shared" si="31"/>
        <v xml:space="preserve">OutubroSEMANA 2Abacaxi </v>
      </c>
      <c r="B682" s="85" t="s">
        <v>37</v>
      </c>
      <c r="C682" s="85" t="s">
        <v>21</v>
      </c>
      <c r="D682" s="86">
        <v>13</v>
      </c>
      <c r="E682" s="116" t="str">
        <f t="shared" si="32"/>
        <v>Hortifruti</v>
      </c>
      <c r="F682" s="85" t="s">
        <v>1054</v>
      </c>
      <c r="G682" s="85" t="s">
        <v>65</v>
      </c>
      <c r="H682" s="85" t="s">
        <v>1039</v>
      </c>
      <c r="I682" s="85">
        <v>10</v>
      </c>
      <c r="J682" s="87">
        <v>2.4</v>
      </c>
      <c r="K682" s="88">
        <f t="shared" si="33"/>
        <v>24</v>
      </c>
      <c r="L682" s="85">
        <v>1896</v>
      </c>
      <c r="M682" s="118" t="s">
        <v>622</v>
      </c>
      <c r="N682" s="84"/>
      <c r="O682" s="84" t="s">
        <v>60</v>
      </c>
      <c r="R682"/>
    </row>
    <row r="683" spans="1:18" x14ac:dyDescent="0.25">
      <c r="A683" s="84" t="str">
        <f t="shared" si="31"/>
        <v>OutubroSEMANA 2Coca Cola (lata)</v>
      </c>
      <c r="B683" s="85" t="s">
        <v>37</v>
      </c>
      <c r="C683" s="85" t="s">
        <v>21</v>
      </c>
      <c r="D683" s="86">
        <v>13</v>
      </c>
      <c r="E683" s="116" t="str">
        <f t="shared" si="32"/>
        <v>Bebidas</v>
      </c>
      <c r="F683" s="85" t="s">
        <v>1130</v>
      </c>
      <c r="G683" s="85" t="s">
        <v>285</v>
      </c>
      <c r="H683" s="85" t="s">
        <v>1038</v>
      </c>
      <c r="I683" s="85">
        <f>12*7</f>
        <v>84</v>
      </c>
      <c r="J683" s="87">
        <f>243.88/84</f>
        <v>2.9033333333333333</v>
      </c>
      <c r="K683" s="88">
        <f t="shared" si="33"/>
        <v>243.88</v>
      </c>
      <c r="L683" s="85">
        <v>1165289</v>
      </c>
      <c r="M683" s="118" t="s">
        <v>623</v>
      </c>
      <c r="N683" s="84"/>
      <c r="O683" s="84" t="s">
        <v>44</v>
      </c>
      <c r="R683"/>
    </row>
    <row r="684" spans="1:18" x14ac:dyDescent="0.25">
      <c r="A684" s="84" t="str">
        <f t="shared" si="31"/>
        <v>OutubroSEMANA 2Coca Cola Zero (lata)</v>
      </c>
      <c r="B684" s="85" t="s">
        <v>37</v>
      </c>
      <c r="C684" s="85" t="s">
        <v>21</v>
      </c>
      <c r="D684" s="86">
        <v>13</v>
      </c>
      <c r="E684" s="116" t="str">
        <f t="shared" si="32"/>
        <v>Bebidas</v>
      </c>
      <c r="F684" s="85" t="s">
        <v>1130</v>
      </c>
      <c r="G684" s="85" t="s">
        <v>286</v>
      </c>
      <c r="H684" s="85" t="s">
        <v>1038</v>
      </c>
      <c r="I684" s="85">
        <f>12*7</f>
        <v>84</v>
      </c>
      <c r="J684" s="87">
        <f>242.76/84</f>
        <v>2.8899999999999997</v>
      </c>
      <c r="K684" s="88">
        <f t="shared" si="33"/>
        <v>242.75999999999996</v>
      </c>
      <c r="L684" s="85">
        <v>1165289</v>
      </c>
      <c r="M684" s="118" t="s">
        <v>624</v>
      </c>
      <c r="N684" s="84"/>
      <c r="O684" s="84" t="s">
        <v>44</v>
      </c>
      <c r="R684"/>
    </row>
    <row r="685" spans="1:18" x14ac:dyDescent="0.25">
      <c r="A685" s="84" t="str">
        <f t="shared" si="31"/>
        <v>OutubroSEMANA 2Cerveja Heineken Long Neck 330 ml</v>
      </c>
      <c r="B685" s="85" t="s">
        <v>37</v>
      </c>
      <c r="C685" s="85" t="s">
        <v>21</v>
      </c>
      <c r="D685" s="86">
        <v>13</v>
      </c>
      <c r="E685" s="116" t="str">
        <f t="shared" si="32"/>
        <v>Bebidas</v>
      </c>
      <c r="F685" s="85" t="s">
        <v>1130</v>
      </c>
      <c r="G685" s="85" t="s">
        <v>264</v>
      </c>
      <c r="H685" s="85" t="s">
        <v>1038</v>
      </c>
      <c r="I685" s="85">
        <v>24</v>
      </c>
      <c r="J685" s="87">
        <f>96/24</f>
        <v>4</v>
      </c>
      <c r="K685" s="88">
        <f t="shared" si="33"/>
        <v>96</v>
      </c>
      <c r="L685" s="85">
        <v>1165289</v>
      </c>
      <c r="M685" s="118" t="s">
        <v>625</v>
      </c>
      <c r="N685" s="84"/>
      <c r="O685" s="84" t="s">
        <v>44</v>
      </c>
      <c r="R685"/>
    </row>
    <row r="686" spans="1:18" x14ac:dyDescent="0.25">
      <c r="A686" s="84" t="str">
        <f t="shared" si="31"/>
        <v>OutubroSEMANA 2Carne Bovina - Coração Alcatra</v>
      </c>
      <c r="B686" s="85" t="s">
        <v>37</v>
      </c>
      <c r="C686" s="85" t="s">
        <v>21</v>
      </c>
      <c r="D686" s="86">
        <v>13</v>
      </c>
      <c r="E686" s="116" t="str">
        <f t="shared" si="32"/>
        <v>Carnes</v>
      </c>
      <c r="F686" s="85" t="s">
        <v>1107</v>
      </c>
      <c r="G686" s="85" t="s">
        <v>219</v>
      </c>
      <c r="H686" s="85" t="s">
        <v>1039</v>
      </c>
      <c r="I686" s="85">
        <v>41.281999999999996</v>
      </c>
      <c r="J686" s="87">
        <v>18.6633</v>
      </c>
      <c r="K686" s="88">
        <f t="shared" si="33"/>
        <v>770.4583505999999</v>
      </c>
      <c r="L686" s="85" t="s">
        <v>1172</v>
      </c>
      <c r="M686" s="118" t="s">
        <v>626</v>
      </c>
      <c r="N686" s="84"/>
      <c r="O686" s="84" t="s">
        <v>44</v>
      </c>
      <c r="R686"/>
    </row>
    <row r="687" spans="1:18" x14ac:dyDescent="0.25">
      <c r="A687" s="84" t="str">
        <f t="shared" si="31"/>
        <v>OutubroSEMANA 2Aves - Filé de Peito de Frango</v>
      </c>
      <c r="B687" s="85" t="s">
        <v>37</v>
      </c>
      <c r="C687" s="85" t="s">
        <v>21</v>
      </c>
      <c r="D687" s="86">
        <v>13</v>
      </c>
      <c r="E687" s="116" t="str">
        <f t="shared" si="32"/>
        <v>Carnes</v>
      </c>
      <c r="F687" s="85" t="s">
        <v>1051</v>
      </c>
      <c r="G687" s="85" t="s">
        <v>139</v>
      </c>
      <c r="H687" s="85" t="s">
        <v>1039</v>
      </c>
      <c r="I687" s="85">
        <v>48</v>
      </c>
      <c r="J687" s="87">
        <v>7.8</v>
      </c>
      <c r="K687" s="88">
        <f t="shared" si="33"/>
        <v>374.4</v>
      </c>
      <c r="L687" s="85" t="s">
        <v>1173</v>
      </c>
      <c r="M687" s="118" t="s">
        <v>627</v>
      </c>
      <c r="N687" s="84"/>
      <c r="O687" s="84" t="s">
        <v>60</v>
      </c>
      <c r="R687"/>
    </row>
    <row r="688" spans="1:18" x14ac:dyDescent="0.25">
      <c r="A688" s="84" t="str">
        <f t="shared" si="31"/>
        <v>OutubroSEMANA 2Favas</v>
      </c>
      <c r="B688" s="85" t="s">
        <v>37</v>
      </c>
      <c r="C688" s="85" t="s">
        <v>21</v>
      </c>
      <c r="D688" s="86">
        <v>13</v>
      </c>
      <c r="E688" s="116" t="str">
        <f t="shared" si="32"/>
        <v>Mercado</v>
      </c>
      <c r="F688" s="85" t="s">
        <v>1174</v>
      </c>
      <c r="G688" s="85" t="s">
        <v>346</v>
      </c>
      <c r="H688" s="85" t="s">
        <v>1039</v>
      </c>
      <c r="I688" s="85">
        <f>16*0.4</f>
        <v>6.4</v>
      </c>
      <c r="J688" s="87">
        <f>95.98/6.4</f>
        <v>14.996874999999999</v>
      </c>
      <c r="K688" s="88">
        <f t="shared" si="33"/>
        <v>95.98</v>
      </c>
      <c r="L688" s="85">
        <v>75934</v>
      </c>
      <c r="M688" s="118" t="s">
        <v>628</v>
      </c>
      <c r="N688" s="84"/>
      <c r="O688" s="84" t="s">
        <v>44</v>
      </c>
      <c r="R688"/>
    </row>
    <row r="689" spans="1:18" x14ac:dyDescent="0.25">
      <c r="A689" s="84" t="str">
        <f t="shared" si="31"/>
        <v>OutubroSEMANA 2Fundo de Alcachofra</v>
      </c>
      <c r="B689" s="85" t="s">
        <v>37</v>
      </c>
      <c r="C689" s="85" t="s">
        <v>21</v>
      </c>
      <c r="D689" s="86">
        <v>13</v>
      </c>
      <c r="E689" s="116" t="str">
        <f t="shared" si="32"/>
        <v>Hortifruti</v>
      </c>
      <c r="F689" s="85" t="s">
        <v>1174</v>
      </c>
      <c r="G689" s="85" t="s">
        <v>375</v>
      </c>
      <c r="H689" s="85" t="s">
        <v>1039</v>
      </c>
      <c r="I689" s="85">
        <f>16*0.4</f>
        <v>6.4</v>
      </c>
      <c r="J689" s="87">
        <f>142.98/6.4</f>
        <v>22.340624999999996</v>
      </c>
      <c r="K689" s="88">
        <f t="shared" si="33"/>
        <v>142.97999999999999</v>
      </c>
      <c r="L689" s="85">
        <v>75934</v>
      </c>
      <c r="M689" s="118" t="s">
        <v>629</v>
      </c>
      <c r="N689" s="84"/>
      <c r="O689" s="84" t="s">
        <v>60</v>
      </c>
      <c r="R689"/>
    </row>
    <row r="690" spans="1:18" x14ac:dyDescent="0.25">
      <c r="A690" s="84" t="str">
        <f t="shared" si="31"/>
        <v>OutubroSEMANA 2Ervilha congelada</v>
      </c>
      <c r="B690" s="85" t="s">
        <v>37</v>
      </c>
      <c r="C690" s="85" t="s">
        <v>21</v>
      </c>
      <c r="D690" s="86">
        <v>13</v>
      </c>
      <c r="E690" s="116" t="str">
        <f t="shared" si="32"/>
        <v>Mercado</v>
      </c>
      <c r="F690" s="85" t="s">
        <v>1174</v>
      </c>
      <c r="G690" s="85" t="s">
        <v>329</v>
      </c>
      <c r="H690" s="85" t="s">
        <v>1039</v>
      </c>
      <c r="I690" s="85">
        <f>6*2</f>
        <v>12</v>
      </c>
      <c r="J690" s="87">
        <f>110.34/12</f>
        <v>9.1950000000000003</v>
      </c>
      <c r="K690" s="88">
        <f t="shared" si="33"/>
        <v>110.34</v>
      </c>
      <c r="L690" s="85">
        <v>75934</v>
      </c>
      <c r="M690" s="118" t="s">
        <v>630</v>
      </c>
      <c r="N690" s="84"/>
      <c r="O690" s="84" t="s">
        <v>44</v>
      </c>
      <c r="R690"/>
    </row>
    <row r="691" spans="1:18" x14ac:dyDescent="0.25">
      <c r="A691" s="84" t="str">
        <f t="shared" si="31"/>
        <v>OutubroSEMANA 2Abobrinha Org. Feirinha</v>
      </c>
      <c r="B691" s="85" t="s">
        <v>37</v>
      </c>
      <c r="C691" s="85" t="s">
        <v>21</v>
      </c>
      <c r="D691" s="86">
        <v>13</v>
      </c>
      <c r="E691" s="116" t="str">
        <f t="shared" si="32"/>
        <v>Feirinha</v>
      </c>
      <c r="F691" s="85" t="s">
        <v>1044</v>
      </c>
      <c r="G691" s="85" t="s">
        <v>984</v>
      </c>
      <c r="H691" s="85" t="s">
        <v>1039</v>
      </c>
      <c r="I691" s="85">
        <v>1.696</v>
      </c>
      <c r="J691" s="87">
        <v>7.85</v>
      </c>
      <c r="K691" s="88">
        <f t="shared" si="33"/>
        <v>13.313599999999999</v>
      </c>
      <c r="L691" s="85">
        <v>82947</v>
      </c>
      <c r="M691" s="118" t="s">
        <v>631</v>
      </c>
      <c r="N691" s="84"/>
      <c r="O691" s="84" t="s">
        <v>60</v>
      </c>
      <c r="R691"/>
    </row>
    <row r="692" spans="1:18" x14ac:dyDescent="0.25">
      <c r="A692" s="84" t="str">
        <f t="shared" si="31"/>
        <v>OutubroSEMANA 2Alface Americana Orgânica</v>
      </c>
      <c r="B692" s="85" t="s">
        <v>37</v>
      </c>
      <c r="C692" s="85" t="s">
        <v>21</v>
      </c>
      <c r="D692" s="86">
        <v>13</v>
      </c>
      <c r="E692" s="116" t="str">
        <f t="shared" si="32"/>
        <v>Hortifruti</v>
      </c>
      <c r="F692" s="85" t="s">
        <v>1044</v>
      </c>
      <c r="G692" s="85" t="s">
        <v>103</v>
      </c>
      <c r="H692" s="85" t="s">
        <v>1039</v>
      </c>
      <c r="I692" s="85">
        <f>10.62-1.78</f>
        <v>8.84</v>
      </c>
      <c r="J692" s="87">
        <f>75.4/10.62</f>
        <v>7.0998116760828633</v>
      </c>
      <c r="K692" s="88">
        <f t="shared" si="33"/>
        <v>62.762335216572509</v>
      </c>
      <c r="L692" s="85">
        <v>82947</v>
      </c>
      <c r="M692" s="118" t="s">
        <v>632</v>
      </c>
      <c r="N692" s="84"/>
      <c r="O692" s="84" t="s">
        <v>44</v>
      </c>
      <c r="R692"/>
    </row>
    <row r="693" spans="1:18" x14ac:dyDescent="0.25">
      <c r="A693" s="84" t="str">
        <f t="shared" si="31"/>
        <v>OutubroSEMANA 2Alface Americana Org. Feirinha</v>
      </c>
      <c r="B693" s="85" t="s">
        <v>37</v>
      </c>
      <c r="C693" s="85" t="s">
        <v>21</v>
      </c>
      <c r="D693" s="86">
        <v>13</v>
      </c>
      <c r="E693" s="116" t="str">
        <f t="shared" si="32"/>
        <v>Feirinha</v>
      </c>
      <c r="F693" s="85" t="s">
        <v>1044</v>
      </c>
      <c r="G693" s="85" t="s">
        <v>879</v>
      </c>
      <c r="H693" s="85" t="s">
        <v>1039</v>
      </c>
      <c r="I693" s="85">
        <v>1.78</v>
      </c>
      <c r="J693" s="87">
        <f>75.4/10.62</f>
        <v>7.0998116760828633</v>
      </c>
      <c r="K693" s="88">
        <f t="shared" si="33"/>
        <v>12.637664783427496</v>
      </c>
      <c r="L693" s="85">
        <v>82947</v>
      </c>
      <c r="M693" s="118" t="s">
        <v>633</v>
      </c>
      <c r="O693" s="115" t="s">
        <v>60</v>
      </c>
      <c r="R693"/>
    </row>
    <row r="694" spans="1:18" x14ac:dyDescent="0.25">
      <c r="A694" s="84" t="str">
        <f t="shared" si="31"/>
        <v>OutubroSEMANA 2Alface crespa Orgânica</v>
      </c>
      <c r="B694" s="85" t="s">
        <v>37</v>
      </c>
      <c r="C694" s="85" t="s">
        <v>21</v>
      </c>
      <c r="D694" s="86">
        <v>13</v>
      </c>
      <c r="E694" s="116" t="str">
        <f t="shared" si="32"/>
        <v>Hortifruti</v>
      </c>
      <c r="F694" s="85" t="s">
        <v>1044</v>
      </c>
      <c r="G694" s="85" t="s">
        <v>105</v>
      </c>
      <c r="H694" s="85" t="s">
        <v>1039</v>
      </c>
      <c r="I694" s="85">
        <f>3.34-1.28</f>
        <v>2.0599999999999996</v>
      </c>
      <c r="J694" s="87">
        <f>35/3.34</f>
        <v>10.479041916167665</v>
      </c>
      <c r="K694" s="88">
        <f t="shared" si="33"/>
        <v>21.586826347305387</v>
      </c>
      <c r="L694" s="85">
        <v>82947</v>
      </c>
      <c r="M694" s="118" t="s">
        <v>634</v>
      </c>
      <c r="O694" s="115" t="s">
        <v>44</v>
      </c>
      <c r="R694"/>
    </row>
    <row r="695" spans="1:18" x14ac:dyDescent="0.25">
      <c r="A695" s="84" t="str">
        <f t="shared" si="31"/>
        <v>OutubroSEMANA 2Alface Crespa Org. Feirinha</v>
      </c>
      <c r="B695" s="85" t="s">
        <v>37</v>
      </c>
      <c r="C695" s="85" t="s">
        <v>21</v>
      </c>
      <c r="D695" s="86">
        <v>13</v>
      </c>
      <c r="E695" s="116" t="str">
        <f t="shared" si="32"/>
        <v>Feirinha</v>
      </c>
      <c r="F695" s="85" t="s">
        <v>1044</v>
      </c>
      <c r="G695" s="85" t="s">
        <v>880</v>
      </c>
      <c r="H695" s="85" t="s">
        <v>1039</v>
      </c>
      <c r="I695" s="85">
        <v>1.28</v>
      </c>
      <c r="J695" s="87">
        <f>35/3.34</f>
        <v>10.479041916167665</v>
      </c>
      <c r="K695" s="88">
        <f t="shared" si="33"/>
        <v>13.413173652694612</v>
      </c>
      <c r="L695" s="85">
        <v>82947</v>
      </c>
      <c r="M695" s="118" t="s">
        <v>635</v>
      </c>
      <c r="O695" s="115" t="s">
        <v>44</v>
      </c>
      <c r="R695"/>
    </row>
    <row r="696" spans="1:18" x14ac:dyDescent="0.25">
      <c r="A696" s="84" t="str">
        <f t="shared" si="31"/>
        <v>OutubroSEMANA 2Alface Roxa Orgânica</v>
      </c>
      <c r="B696" s="85" t="s">
        <v>37</v>
      </c>
      <c r="C696" s="85" t="s">
        <v>21</v>
      </c>
      <c r="D696" s="86">
        <v>13</v>
      </c>
      <c r="E696" s="116" t="str">
        <f t="shared" si="32"/>
        <v>Hortifruti</v>
      </c>
      <c r="F696" s="85" t="s">
        <v>1044</v>
      </c>
      <c r="G696" s="85" t="s">
        <v>109</v>
      </c>
      <c r="H696" s="85" t="s">
        <v>1039</v>
      </c>
      <c r="I696" s="85">
        <f>3.88-1</f>
        <v>2.88</v>
      </c>
      <c r="J696" s="87">
        <f>32.5/3.88</f>
        <v>8.3762886597938149</v>
      </c>
      <c r="K696" s="88">
        <f t="shared" si="33"/>
        <v>24.123711340206185</v>
      </c>
      <c r="L696" s="85">
        <v>82947</v>
      </c>
      <c r="M696" s="118" t="s">
        <v>636</v>
      </c>
      <c r="N696" s="84"/>
      <c r="O696" s="84" t="s">
        <v>44</v>
      </c>
      <c r="R696"/>
    </row>
    <row r="697" spans="1:18" x14ac:dyDescent="0.25">
      <c r="A697" s="84" t="str">
        <f t="shared" si="31"/>
        <v>OutubroSEMANA 2Alface Roxa Org. Feirinha</v>
      </c>
      <c r="B697" s="85" t="s">
        <v>37</v>
      </c>
      <c r="C697" s="85" t="s">
        <v>21</v>
      </c>
      <c r="D697" s="86">
        <v>13</v>
      </c>
      <c r="E697" s="116" t="str">
        <f t="shared" si="32"/>
        <v>Feirinha</v>
      </c>
      <c r="F697" s="85" t="s">
        <v>1044</v>
      </c>
      <c r="G697" s="85" t="s">
        <v>881</v>
      </c>
      <c r="H697" s="85" t="s">
        <v>1039</v>
      </c>
      <c r="I697" s="85">
        <v>1</v>
      </c>
      <c r="J697" s="87">
        <f>32.5/3.88</f>
        <v>8.3762886597938149</v>
      </c>
      <c r="K697" s="88">
        <f t="shared" si="33"/>
        <v>8.3762886597938149</v>
      </c>
      <c r="L697" s="85">
        <v>82947</v>
      </c>
      <c r="M697" s="118" t="s">
        <v>637</v>
      </c>
      <c r="N697" s="84"/>
      <c r="O697" s="84" t="s">
        <v>60</v>
      </c>
      <c r="R697"/>
    </row>
    <row r="698" spans="1:18" x14ac:dyDescent="0.25">
      <c r="A698" s="84" t="str">
        <f t="shared" si="31"/>
        <v>OutubroSEMANA 2Banana Prata Org. Feirinha</v>
      </c>
      <c r="B698" s="85" t="s">
        <v>37</v>
      </c>
      <c r="C698" s="85" t="s">
        <v>21</v>
      </c>
      <c r="D698" s="86">
        <v>13</v>
      </c>
      <c r="E698" s="116" t="str">
        <f t="shared" si="32"/>
        <v>Feirinha</v>
      </c>
      <c r="F698" s="85" t="s">
        <v>1044</v>
      </c>
      <c r="G698" s="85" t="s">
        <v>897</v>
      </c>
      <c r="H698" s="85" t="s">
        <v>1039</v>
      </c>
      <c r="I698" s="85">
        <v>2.4060000000000001</v>
      </c>
      <c r="J698" s="87">
        <v>6.55</v>
      </c>
      <c r="K698" s="88">
        <f t="shared" si="33"/>
        <v>15.7593</v>
      </c>
      <c r="L698" s="85">
        <v>82947</v>
      </c>
      <c r="M698" s="118" t="s">
        <v>638</v>
      </c>
      <c r="N698" s="84"/>
      <c r="O698" s="84" t="s">
        <v>44</v>
      </c>
      <c r="R698"/>
    </row>
    <row r="699" spans="1:18" x14ac:dyDescent="0.25">
      <c r="A699" s="84" t="str">
        <f t="shared" si="31"/>
        <v>OutubroSEMANA 2Berinjela Org. Feirinha</v>
      </c>
      <c r="B699" s="85" t="s">
        <v>37</v>
      </c>
      <c r="C699" s="85" t="s">
        <v>21</v>
      </c>
      <c r="D699" s="86">
        <v>13</v>
      </c>
      <c r="E699" s="116" t="str">
        <f t="shared" si="32"/>
        <v>Feirinha</v>
      </c>
      <c r="F699" s="85" t="s">
        <v>1044</v>
      </c>
      <c r="G699" s="85" t="s">
        <v>882</v>
      </c>
      <c r="H699" s="85" t="s">
        <v>1039</v>
      </c>
      <c r="I699" s="85">
        <v>1.74</v>
      </c>
      <c r="J699" s="87">
        <v>8.1999999999999993</v>
      </c>
      <c r="K699" s="88">
        <f t="shared" si="33"/>
        <v>14.267999999999999</v>
      </c>
      <c r="L699" s="85">
        <v>82947</v>
      </c>
      <c r="M699" s="118" t="s">
        <v>639</v>
      </c>
      <c r="N699" s="84"/>
      <c r="O699" s="84" t="s">
        <v>60</v>
      </c>
      <c r="R699"/>
    </row>
    <row r="700" spans="1:18" x14ac:dyDescent="0.25">
      <c r="A700" s="84" t="str">
        <f t="shared" si="31"/>
        <v>OutubroSEMANA 2Beterraba Orgânica</v>
      </c>
      <c r="B700" s="85" t="s">
        <v>37</v>
      </c>
      <c r="C700" s="85" t="s">
        <v>21</v>
      </c>
      <c r="D700" s="86">
        <v>13</v>
      </c>
      <c r="E700" s="116" t="str">
        <f t="shared" si="32"/>
        <v>Hortifruti</v>
      </c>
      <c r="F700" s="85" t="s">
        <v>1044</v>
      </c>
      <c r="G700" s="85" t="s">
        <v>182</v>
      </c>
      <c r="H700" s="85" t="s">
        <v>1039</v>
      </c>
      <c r="I700" s="85">
        <v>6.1449999999999996</v>
      </c>
      <c r="J700" s="87">
        <v>7.7</v>
      </c>
      <c r="K700" s="88">
        <f t="shared" si="33"/>
        <v>47.316499999999998</v>
      </c>
      <c r="L700" s="85">
        <v>82947</v>
      </c>
      <c r="M700" s="118" t="s">
        <v>640</v>
      </c>
      <c r="N700" s="84"/>
      <c r="O700" s="84" t="s">
        <v>44</v>
      </c>
      <c r="R700"/>
    </row>
    <row r="701" spans="1:18" x14ac:dyDescent="0.25">
      <c r="A701" s="84" t="str">
        <f t="shared" si="31"/>
        <v>OutubroSEMANA 2Beterraba Orgânica Feirinha</v>
      </c>
      <c r="B701" s="85" t="s">
        <v>37</v>
      </c>
      <c r="C701" s="85" t="s">
        <v>21</v>
      </c>
      <c r="D701" s="86">
        <v>13</v>
      </c>
      <c r="E701" s="116" t="str">
        <f t="shared" si="32"/>
        <v>Feirinha</v>
      </c>
      <c r="F701" s="85" t="s">
        <v>1044</v>
      </c>
      <c r="G701" s="85" t="s">
        <v>893</v>
      </c>
      <c r="H701" s="85" t="s">
        <v>1039</v>
      </c>
      <c r="I701" s="85">
        <v>2</v>
      </c>
      <c r="J701" s="87">
        <v>7.7</v>
      </c>
      <c r="K701" s="88">
        <f t="shared" si="33"/>
        <v>15.4</v>
      </c>
      <c r="L701" s="85">
        <v>82947</v>
      </c>
      <c r="M701" s="118" t="s">
        <v>641</v>
      </c>
      <c r="N701" s="84"/>
      <c r="O701" s="84" t="s">
        <v>44</v>
      </c>
      <c r="R701"/>
    </row>
    <row r="702" spans="1:18" x14ac:dyDescent="0.25">
      <c r="A702" s="84" t="str">
        <f t="shared" si="31"/>
        <v>OutubroSEMANA 2Cenoura Orgânica</v>
      </c>
      <c r="B702" s="85" t="s">
        <v>37</v>
      </c>
      <c r="C702" s="85" t="s">
        <v>21</v>
      </c>
      <c r="D702" s="86">
        <v>13</v>
      </c>
      <c r="E702" s="116" t="str">
        <f t="shared" si="32"/>
        <v>Hortifruti</v>
      </c>
      <c r="F702" s="85" t="s">
        <v>1044</v>
      </c>
      <c r="G702" s="85" t="s">
        <v>252</v>
      </c>
      <c r="H702" s="85" t="s">
        <v>1039</v>
      </c>
      <c r="I702" s="85">
        <v>6</v>
      </c>
      <c r="J702" s="87">
        <v>7.75</v>
      </c>
      <c r="K702" s="88">
        <f t="shared" si="33"/>
        <v>46.5</v>
      </c>
      <c r="L702" s="85">
        <v>82947</v>
      </c>
      <c r="M702" s="118" t="s">
        <v>642</v>
      </c>
      <c r="N702" s="84"/>
      <c r="O702" s="84" t="s">
        <v>44</v>
      </c>
      <c r="R702"/>
    </row>
    <row r="703" spans="1:18" x14ac:dyDescent="0.25">
      <c r="A703" s="84" t="str">
        <f t="shared" si="31"/>
        <v>OutubroSEMANA 2Cenoura Org. Feirinha</v>
      </c>
      <c r="B703" s="85" t="s">
        <v>37</v>
      </c>
      <c r="C703" s="85" t="s">
        <v>21</v>
      </c>
      <c r="D703" s="86">
        <v>13</v>
      </c>
      <c r="E703" s="116" t="str">
        <f t="shared" si="32"/>
        <v>Feirinha</v>
      </c>
      <c r="F703" s="85" t="s">
        <v>1044</v>
      </c>
      <c r="G703" s="85" t="s">
        <v>883</v>
      </c>
      <c r="H703" s="85" t="s">
        <v>1039</v>
      </c>
      <c r="I703" s="85">
        <v>2</v>
      </c>
      <c r="J703" s="87">
        <v>7.75</v>
      </c>
      <c r="K703" s="88">
        <f t="shared" si="33"/>
        <v>15.5</v>
      </c>
      <c r="L703" s="85">
        <v>82947</v>
      </c>
      <c r="M703" s="118" t="s">
        <v>643</v>
      </c>
      <c r="N703" s="84"/>
      <c r="O703" s="84" t="s">
        <v>44</v>
      </c>
      <c r="R703"/>
    </row>
    <row r="704" spans="1:18" x14ac:dyDescent="0.25">
      <c r="A704" s="84" t="str">
        <f t="shared" si="31"/>
        <v>OutubroSEMANA 2Couve Orgânica Feirinha</v>
      </c>
      <c r="B704" s="85" t="s">
        <v>37</v>
      </c>
      <c r="C704" s="85" t="s">
        <v>21</v>
      </c>
      <c r="D704" s="86">
        <v>13</v>
      </c>
      <c r="E704" s="116" t="str">
        <f t="shared" si="32"/>
        <v>Feirinha</v>
      </c>
      <c r="F704" s="85" t="s">
        <v>1044</v>
      </c>
      <c r="G704" s="85" t="s">
        <v>892</v>
      </c>
      <c r="H704" s="85" t="s">
        <v>1039</v>
      </c>
      <c r="I704" s="85">
        <v>0.9</v>
      </c>
      <c r="J704" s="87">
        <f>8.4/0.9</f>
        <v>9.3333333333333339</v>
      </c>
      <c r="K704" s="88">
        <f t="shared" si="33"/>
        <v>8.4</v>
      </c>
      <c r="L704" s="85">
        <v>82947</v>
      </c>
      <c r="M704" s="118" t="s">
        <v>644</v>
      </c>
      <c r="N704" s="84"/>
      <c r="O704" s="84" t="s">
        <v>44</v>
      </c>
      <c r="R704"/>
    </row>
    <row r="705" spans="1:18" x14ac:dyDescent="0.25">
      <c r="A705" s="84" t="str">
        <f t="shared" si="31"/>
        <v>OutubroSEMANA 2Pepino Japonês Org. Feirinha</v>
      </c>
      <c r="B705" s="85" t="s">
        <v>37</v>
      </c>
      <c r="C705" s="85" t="s">
        <v>21</v>
      </c>
      <c r="D705" s="86">
        <v>13</v>
      </c>
      <c r="E705" s="116" t="str">
        <f t="shared" si="32"/>
        <v>Feirinha</v>
      </c>
      <c r="F705" s="85" t="s">
        <v>1044</v>
      </c>
      <c r="G705" s="85" t="s">
        <v>887</v>
      </c>
      <c r="H705" s="85" t="s">
        <v>1039</v>
      </c>
      <c r="I705" s="85">
        <v>1.5</v>
      </c>
      <c r="J705" s="87">
        <v>14</v>
      </c>
      <c r="K705" s="88">
        <f t="shared" si="33"/>
        <v>21</v>
      </c>
      <c r="L705" s="85">
        <v>82947</v>
      </c>
      <c r="M705" s="118" t="s">
        <v>645</v>
      </c>
      <c r="N705" s="84"/>
      <c r="O705" s="84" t="s">
        <v>60</v>
      </c>
      <c r="R705"/>
    </row>
    <row r="706" spans="1:18" x14ac:dyDescent="0.25">
      <c r="A706" s="84" t="str">
        <f t="shared" ref="A706:A769" si="34">CONCATENATE(B706,C706,G706)</f>
        <v>OutubroSEMANA 2Rúcula Orgânica</v>
      </c>
      <c r="B706" s="85" t="s">
        <v>37</v>
      </c>
      <c r="C706" s="85" t="s">
        <v>21</v>
      </c>
      <c r="D706" s="86">
        <v>13</v>
      </c>
      <c r="E706" s="116" t="str">
        <f t="shared" ref="E706:E769" si="35">VLOOKUP(G706,$M$1:$O$968,3,0)</f>
        <v>Hortifruti</v>
      </c>
      <c r="F706" s="85" t="s">
        <v>1044</v>
      </c>
      <c r="G706" s="85" t="s">
        <v>707</v>
      </c>
      <c r="H706" s="85" t="s">
        <v>1039</v>
      </c>
      <c r="I706" s="85">
        <f>4.35-0.45</f>
        <v>3.8999999999999995</v>
      </c>
      <c r="J706" s="87">
        <f>92.8/4.35</f>
        <v>21.333333333333336</v>
      </c>
      <c r="K706" s="88">
        <f t="shared" ref="K706:K769" si="36">I706*J706</f>
        <v>83.2</v>
      </c>
      <c r="L706" s="85">
        <v>82947</v>
      </c>
      <c r="M706" s="118" t="s">
        <v>646</v>
      </c>
      <c r="N706" s="84"/>
      <c r="O706" s="84" t="s">
        <v>44</v>
      </c>
      <c r="R706"/>
    </row>
    <row r="707" spans="1:18" x14ac:dyDescent="0.25">
      <c r="A707" s="84" t="str">
        <f t="shared" si="34"/>
        <v>OutubroSEMANA 2Rucula Org. Feirinha</v>
      </c>
      <c r="B707" s="85" t="s">
        <v>37</v>
      </c>
      <c r="C707" s="85" t="s">
        <v>21</v>
      </c>
      <c r="D707" s="86">
        <v>13</v>
      </c>
      <c r="E707" s="116" t="str">
        <f t="shared" si="35"/>
        <v>Feirinha</v>
      </c>
      <c r="F707" s="85" t="s">
        <v>1044</v>
      </c>
      <c r="G707" s="85" t="s">
        <v>884</v>
      </c>
      <c r="H707" s="85" t="s">
        <v>1039</v>
      </c>
      <c r="I707" s="85">
        <v>0.45</v>
      </c>
      <c r="J707" s="87">
        <f>92.8/4.35</f>
        <v>21.333333333333336</v>
      </c>
      <c r="K707" s="88">
        <f t="shared" si="36"/>
        <v>9.6000000000000014</v>
      </c>
      <c r="L707" s="85">
        <v>82947</v>
      </c>
      <c r="M707" s="118" t="s">
        <v>647</v>
      </c>
      <c r="N707" s="84"/>
      <c r="O707" s="84" t="s">
        <v>60</v>
      </c>
      <c r="R707"/>
    </row>
    <row r="708" spans="1:18" x14ac:dyDescent="0.25">
      <c r="A708" s="84" t="str">
        <f t="shared" si="34"/>
        <v>OutubroSEMANA 2Acelga</v>
      </c>
      <c r="B708" s="85" t="s">
        <v>37</v>
      </c>
      <c r="C708" s="85" t="s">
        <v>21</v>
      </c>
      <c r="D708" s="86">
        <v>13</v>
      </c>
      <c r="E708" s="116" t="str">
        <f t="shared" si="35"/>
        <v>Hortifruti</v>
      </c>
      <c r="F708" s="85" t="s">
        <v>1055</v>
      </c>
      <c r="G708" s="85" t="s">
        <v>75</v>
      </c>
      <c r="H708" s="85" t="s">
        <v>1039</v>
      </c>
      <c r="I708" s="85">
        <v>2</v>
      </c>
      <c r="J708" s="87">
        <v>2.2000000000000002</v>
      </c>
      <c r="K708" s="88">
        <f t="shared" si="36"/>
        <v>4.4000000000000004</v>
      </c>
      <c r="L708" s="85">
        <v>4598</v>
      </c>
      <c r="M708" s="118" t="s">
        <v>648</v>
      </c>
      <c r="N708" s="84"/>
      <c r="O708" s="84" t="s">
        <v>44</v>
      </c>
      <c r="R708"/>
    </row>
    <row r="709" spans="1:18" x14ac:dyDescent="0.25">
      <c r="A709" s="84" t="str">
        <f t="shared" si="34"/>
        <v>OutubroSEMANA 2Berinjela</v>
      </c>
      <c r="B709" s="85" t="s">
        <v>37</v>
      </c>
      <c r="C709" s="85" t="s">
        <v>21</v>
      </c>
      <c r="D709" s="86">
        <v>13</v>
      </c>
      <c r="E709" s="116" t="str">
        <f t="shared" si="35"/>
        <v>Hortifruti</v>
      </c>
      <c r="F709" s="85" t="s">
        <v>1055</v>
      </c>
      <c r="G709" s="85" t="s">
        <v>178</v>
      </c>
      <c r="H709" s="85" t="s">
        <v>1039</v>
      </c>
      <c r="I709" s="85">
        <v>10.199999999999999</v>
      </c>
      <c r="J709" s="87">
        <f>48/10.2</f>
        <v>4.7058823529411766</v>
      </c>
      <c r="K709" s="88">
        <f t="shared" si="36"/>
        <v>48</v>
      </c>
      <c r="L709" s="85">
        <v>4598</v>
      </c>
      <c r="M709" s="118" t="s">
        <v>649</v>
      </c>
      <c r="N709" s="84"/>
      <c r="O709" s="84" t="s">
        <v>60</v>
      </c>
      <c r="R709"/>
    </row>
    <row r="710" spans="1:18" x14ac:dyDescent="0.25">
      <c r="A710" s="84" t="str">
        <f t="shared" si="34"/>
        <v>OutubroSEMANA 2Cebolinha Verde</v>
      </c>
      <c r="B710" s="85" t="s">
        <v>37</v>
      </c>
      <c r="C710" s="85" t="s">
        <v>21</v>
      </c>
      <c r="D710" s="86">
        <v>13</v>
      </c>
      <c r="E710" s="116" t="str">
        <f t="shared" si="35"/>
        <v>Hortifruti</v>
      </c>
      <c r="F710" s="85" t="s">
        <v>1055</v>
      </c>
      <c r="G710" s="85" t="s">
        <v>247</v>
      </c>
      <c r="H710" s="85" t="s">
        <v>1039</v>
      </c>
      <c r="I710" s="85">
        <v>1</v>
      </c>
      <c r="J710" s="87">
        <v>7.5</v>
      </c>
      <c r="K710" s="88">
        <f t="shared" si="36"/>
        <v>7.5</v>
      </c>
      <c r="L710" s="85">
        <v>4598</v>
      </c>
      <c r="M710" s="118" t="s">
        <v>650</v>
      </c>
      <c r="N710" s="84"/>
      <c r="O710" s="84" t="s">
        <v>60</v>
      </c>
      <c r="R710"/>
    </row>
    <row r="711" spans="1:18" x14ac:dyDescent="0.25">
      <c r="A711" s="84" t="str">
        <f t="shared" si="34"/>
        <v>OutubroSEMANA 2Côco Verde</v>
      </c>
      <c r="B711" s="85" t="s">
        <v>37</v>
      </c>
      <c r="C711" s="85" t="s">
        <v>21</v>
      </c>
      <c r="D711" s="86">
        <v>13</v>
      </c>
      <c r="E711" s="116" t="str">
        <f t="shared" si="35"/>
        <v>Hortifruti</v>
      </c>
      <c r="F711" s="85" t="s">
        <v>1055</v>
      </c>
      <c r="G711" s="85" t="s">
        <v>288</v>
      </c>
      <c r="H711" s="85" t="s">
        <v>1039</v>
      </c>
      <c r="I711" s="85">
        <v>10</v>
      </c>
      <c r="J711" s="87">
        <v>1.91</v>
      </c>
      <c r="K711" s="88">
        <f t="shared" si="36"/>
        <v>19.099999999999998</v>
      </c>
      <c r="L711" s="85">
        <v>4598</v>
      </c>
      <c r="M711" s="118" t="s">
        <v>651</v>
      </c>
      <c r="N711" s="84"/>
      <c r="O711" s="84" t="s">
        <v>45</v>
      </c>
      <c r="R711"/>
    </row>
    <row r="712" spans="1:18" x14ac:dyDescent="0.25">
      <c r="A712" s="84" t="str">
        <f t="shared" si="34"/>
        <v>OutubroSEMANA 2Hortelã</v>
      </c>
      <c r="B712" s="85" t="s">
        <v>37</v>
      </c>
      <c r="C712" s="85" t="s">
        <v>21</v>
      </c>
      <c r="D712" s="86">
        <v>13</v>
      </c>
      <c r="E712" s="116" t="str">
        <f t="shared" si="35"/>
        <v>Hortifruti</v>
      </c>
      <c r="F712" s="85" t="s">
        <v>1055</v>
      </c>
      <c r="G712" s="85" t="s">
        <v>405</v>
      </c>
      <c r="H712" s="85" t="s">
        <v>1038</v>
      </c>
      <c r="I712" s="85">
        <v>0.5</v>
      </c>
      <c r="J712" s="87">
        <v>4.5</v>
      </c>
      <c r="K712" s="88">
        <f t="shared" si="36"/>
        <v>2.25</v>
      </c>
      <c r="L712" s="85">
        <v>4598</v>
      </c>
      <c r="M712" s="118" t="s">
        <v>652</v>
      </c>
      <c r="N712" s="84"/>
      <c r="O712" s="84" t="s">
        <v>42</v>
      </c>
      <c r="R712"/>
    </row>
    <row r="713" spans="1:18" x14ac:dyDescent="0.25">
      <c r="A713" s="84" t="str">
        <f t="shared" si="34"/>
        <v>OutubroSEMANA 2Laranja Pera</v>
      </c>
      <c r="B713" s="85" t="s">
        <v>37</v>
      </c>
      <c r="C713" s="85" t="s">
        <v>21</v>
      </c>
      <c r="D713" s="86">
        <v>13</v>
      </c>
      <c r="E713" s="116" t="str">
        <f t="shared" si="35"/>
        <v>Hortifruti</v>
      </c>
      <c r="F713" s="85" t="s">
        <v>1055</v>
      </c>
      <c r="G713" s="85" t="s">
        <v>457</v>
      </c>
      <c r="H713" s="85" t="s">
        <v>1039</v>
      </c>
      <c r="I713" s="85">
        <v>21.3</v>
      </c>
      <c r="J713" s="87">
        <f>27/21.3</f>
        <v>1.2676056338028168</v>
      </c>
      <c r="K713" s="88">
        <f t="shared" si="36"/>
        <v>26.999999999999996</v>
      </c>
      <c r="L713" s="85">
        <v>4598</v>
      </c>
      <c r="M713" s="118" t="s">
        <v>956</v>
      </c>
      <c r="N713" s="84"/>
      <c r="O713" s="84" t="s">
        <v>875</v>
      </c>
      <c r="R713"/>
    </row>
    <row r="714" spans="1:18" x14ac:dyDescent="0.25">
      <c r="A714" s="84" t="str">
        <f t="shared" si="34"/>
        <v>OutubroSEMANA 2Manga Palmer</v>
      </c>
      <c r="B714" s="85" t="s">
        <v>37</v>
      </c>
      <c r="C714" s="85" t="s">
        <v>21</v>
      </c>
      <c r="D714" s="86">
        <v>13</v>
      </c>
      <c r="E714" s="116" t="str">
        <f t="shared" si="35"/>
        <v>Hortifruti</v>
      </c>
      <c r="F714" s="85" t="s">
        <v>1055</v>
      </c>
      <c r="G714" s="85" t="s">
        <v>496</v>
      </c>
      <c r="H714" s="85" t="s">
        <v>1039</v>
      </c>
      <c r="I714" s="85">
        <v>6</v>
      </c>
      <c r="J714" s="87">
        <v>4</v>
      </c>
      <c r="K714" s="88">
        <f t="shared" si="36"/>
        <v>24</v>
      </c>
      <c r="L714" s="85">
        <v>4598</v>
      </c>
      <c r="M714" s="118" t="s">
        <v>957</v>
      </c>
      <c r="N714" s="84"/>
      <c r="O714" s="84" t="s">
        <v>875</v>
      </c>
      <c r="R714"/>
    </row>
    <row r="715" spans="1:18" x14ac:dyDescent="0.25">
      <c r="A715" s="84" t="str">
        <f t="shared" si="34"/>
        <v>OutubroSEMANA 2Salsa</v>
      </c>
      <c r="B715" s="85" t="s">
        <v>37</v>
      </c>
      <c r="C715" s="85" t="s">
        <v>21</v>
      </c>
      <c r="D715" s="86">
        <v>13</v>
      </c>
      <c r="E715" s="116" t="s">
        <v>1320</v>
      </c>
      <c r="F715" s="85" t="s">
        <v>1055</v>
      </c>
      <c r="G715" s="85" t="s">
        <v>729</v>
      </c>
      <c r="H715" s="85" t="s">
        <v>1039</v>
      </c>
      <c r="I715" s="85">
        <v>1</v>
      </c>
      <c r="J715" s="87">
        <v>7.5</v>
      </c>
      <c r="K715" s="88">
        <f t="shared" si="36"/>
        <v>7.5</v>
      </c>
      <c r="L715" s="85">
        <v>4598</v>
      </c>
      <c r="M715" s="118" t="s">
        <v>958</v>
      </c>
      <c r="N715" s="84"/>
      <c r="O715" s="84" t="s">
        <v>875</v>
      </c>
      <c r="R715"/>
    </row>
    <row r="716" spans="1:18" x14ac:dyDescent="0.25">
      <c r="A716" s="84" t="str">
        <f t="shared" si="34"/>
        <v>OutubroSEMANA 2Banana D'Água</v>
      </c>
      <c r="B716" s="85" t="s">
        <v>37</v>
      </c>
      <c r="C716" s="85" t="s">
        <v>21</v>
      </c>
      <c r="D716" s="86">
        <v>13</v>
      </c>
      <c r="E716" s="116" t="str">
        <f t="shared" si="35"/>
        <v>Hortifruti</v>
      </c>
      <c r="F716" s="85" t="s">
        <v>1055</v>
      </c>
      <c r="G716" s="85" t="s">
        <v>162</v>
      </c>
      <c r="H716" s="85" t="s">
        <v>1039</v>
      </c>
      <c r="I716" s="85">
        <v>3</v>
      </c>
      <c r="J716" s="87">
        <v>2.2000000000000002</v>
      </c>
      <c r="K716" s="88">
        <f t="shared" si="36"/>
        <v>6.6000000000000005</v>
      </c>
      <c r="L716" s="85">
        <v>4598</v>
      </c>
      <c r="M716" s="118" t="s">
        <v>653</v>
      </c>
      <c r="N716" s="84"/>
      <c r="O716" s="84" t="s">
        <v>42</v>
      </c>
      <c r="R716"/>
    </row>
    <row r="717" spans="1:18" x14ac:dyDescent="0.25">
      <c r="A717" s="84" t="str">
        <f t="shared" si="34"/>
        <v>OutubroSEMANA 2Cebola</v>
      </c>
      <c r="B717" s="85" t="s">
        <v>37</v>
      </c>
      <c r="C717" s="85" t="s">
        <v>21</v>
      </c>
      <c r="D717" s="86">
        <v>13</v>
      </c>
      <c r="E717" s="116" t="str">
        <f t="shared" si="35"/>
        <v>Hortifruti</v>
      </c>
      <c r="F717" s="85" t="s">
        <v>1055</v>
      </c>
      <c r="G717" s="85" t="s">
        <v>241</v>
      </c>
      <c r="H717" s="85" t="s">
        <v>1039</v>
      </c>
      <c r="I717" s="85">
        <v>18.440000000000001</v>
      </c>
      <c r="J717" s="87">
        <f>26.99/18.44</f>
        <v>1.4636659436008674</v>
      </c>
      <c r="K717" s="88">
        <f t="shared" si="36"/>
        <v>26.99</v>
      </c>
      <c r="L717" s="85">
        <v>4598</v>
      </c>
      <c r="M717" s="118" t="s">
        <v>654</v>
      </c>
      <c r="N717" s="84"/>
      <c r="O717" s="84" t="s">
        <v>45</v>
      </c>
      <c r="R717"/>
    </row>
    <row r="718" spans="1:18" x14ac:dyDescent="0.25">
      <c r="A718" s="84" t="str">
        <f t="shared" si="34"/>
        <v>OutubroSEMANA 2Côco Seco</v>
      </c>
      <c r="B718" s="85" t="s">
        <v>37</v>
      </c>
      <c r="C718" s="85" t="s">
        <v>21</v>
      </c>
      <c r="D718" s="86">
        <v>13</v>
      </c>
      <c r="E718" s="116" t="str">
        <f t="shared" si="35"/>
        <v>Mercado</v>
      </c>
      <c r="F718" s="85" t="s">
        <v>1055</v>
      </c>
      <c r="G718" s="85" t="s">
        <v>287</v>
      </c>
      <c r="H718" s="85" t="s">
        <v>1039</v>
      </c>
      <c r="I718" s="85">
        <v>1</v>
      </c>
      <c r="J718" s="87">
        <v>6.9</v>
      </c>
      <c r="K718" s="88">
        <f t="shared" si="36"/>
        <v>6.9</v>
      </c>
      <c r="L718" s="85">
        <v>4598</v>
      </c>
      <c r="M718" s="118" t="s">
        <v>655</v>
      </c>
      <c r="N718" s="84"/>
      <c r="O718" s="84" t="s">
        <v>42</v>
      </c>
      <c r="R718"/>
    </row>
    <row r="719" spans="1:18" x14ac:dyDescent="0.25">
      <c r="A719" s="84" t="str">
        <f t="shared" si="34"/>
        <v>OutubroSEMANA 2Endivia</v>
      </c>
      <c r="B719" s="85" t="s">
        <v>37</v>
      </c>
      <c r="C719" s="85" t="s">
        <v>21</v>
      </c>
      <c r="D719" s="86">
        <v>13</v>
      </c>
      <c r="E719" s="116" t="str">
        <f t="shared" si="35"/>
        <v>Hortifruti</v>
      </c>
      <c r="F719" s="85" t="s">
        <v>1055</v>
      </c>
      <c r="G719" s="85" t="s">
        <v>326</v>
      </c>
      <c r="H719" s="85" t="s">
        <v>1039</v>
      </c>
      <c r="I719" s="85"/>
      <c r="J719" s="87"/>
      <c r="K719" s="88">
        <f t="shared" si="36"/>
        <v>0</v>
      </c>
      <c r="L719" s="85" t="s">
        <v>1189</v>
      </c>
      <c r="M719" s="118" t="s">
        <v>656</v>
      </c>
      <c r="N719" s="84"/>
      <c r="O719" s="84" t="s">
        <v>45</v>
      </c>
      <c r="R719"/>
    </row>
    <row r="720" spans="1:18" x14ac:dyDescent="0.25">
      <c r="A720" s="84" t="str">
        <f t="shared" si="34"/>
        <v>OutubroSEMANA 2Kiwi</v>
      </c>
      <c r="B720" s="85" t="s">
        <v>37</v>
      </c>
      <c r="C720" s="85" t="s">
        <v>21</v>
      </c>
      <c r="D720" s="86">
        <v>13</v>
      </c>
      <c r="E720" s="116" t="str">
        <f t="shared" si="35"/>
        <v>Hortifruti</v>
      </c>
      <c r="F720" s="85" t="s">
        <v>1055</v>
      </c>
      <c r="G720" s="85" t="s">
        <v>454</v>
      </c>
      <c r="H720" s="85" t="s">
        <v>1039</v>
      </c>
      <c r="I720" s="85">
        <v>1</v>
      </c>
      <c r="J720" s="87">
        <v>13.7</v>
      </c>
      <c r="K720" s="88">
        <f t="shared" si="36"/>
        <v>13.7</v>
      </c>
      <c r="L720" s="85">
        <v>4598</v>
      </c>
      <c r="M720" s="118" t="s">
        <v>657</v>
      </c>
      <c r="N720" s="84"/>
      <c r="O720" s="84" t="s">
        <v>45</v>
      </c>
      <c r="R720"/>
    </row>
    <row r="721" spans="1:18" x14ac:dyDescent="0.25">
      <c r="A721" s="84" t="str">
        <f t="shared" si="34"/>
        <v>OutubroSEMANA 2Mamão Bahia</v>
      </c>
      <c r="B721" s="85" t="s">
        <v>37</v>
      </c>
      <c r="C721" s="85" t="s">
        <v>21</v>
      </c>
      <c r="D721" s="86">
        <v>13</v>
      </c>
      <c r="E721" s="116" t="str">
        <f t="shared" si="35"/>
        <v>Hortifruti</v>
      </c>
      <c r="F721" s="85" t="s">
        <v>1055</v>
      </c>
      <c r="G721" s="85" t="s">
        <v>494</v>
      </c>
      <c r="H721" s="85" t="s">
        <v>1039</v>
      </c>
      <c r="I721" s="85">
        <v>2.9</v>
      </c>
      <c r="J721" s="87">
        <v>2.65</v>
      </c>
      <c r="K721" s="88">
        <f t="shared" si="36"/>
        <v>7.6849999999999996</v>
      </c>
      <c r="L721" s="85">
        <v>4598</v>
      </c>
      <c r="M721" s="118" t="s">
        <v>658</v>
      </c>
      <c r="N721" s="84"/>
      <c r="O721" s="84" t="s">
        <v>42</v>
      </c>
      <c r="R721"/>
    </row>
    <row r="722" spans="1:18" x14ac:dyDescent="0.25">
      <c r="A722" s="84" t="str">
        <f t="shared" si="34"/>
        <v>OutubroSEMANA 2Melância</v>
      </c>
      <c r="B722" s="85" t="s">
        <v>37</v>
      </c>
      <c r="C722" s="85" t="s">
        <v>21</v>
      </c>
      <c r="D722" s="86">
        <v>13</v>
      </c>
      <c r="E722" s="116" t="str">
        <f t="shared" si="35"/>
        <v>Hortifruti</v>
      </c>
      <c r="F722" s="85" t="s">
        <v>1055</v>
      </c>
      <c r="G722" s="85" t="s">
        <v>517</v>
      </c>
      <c r="H722" s="85" t="s">
        <v>1039</v>
      </c>
      <c r="I722" s="85">
        <v>10</v>
      </c>
      <c r="J722" s="87">
        <v>1.64</v>
      </c>
      <c r="K722" s="88">
        <f t="shared" si="36"/>
        <v>16.399999999999999</v>
      </c>
      <c r="L722" s="85">
        <v>4598</v>
      </c>
      <c r="M722" s="118" t="s">
        <v>659</v>
      </c>
      <c r="N722" s="84"/>
      <c r="O722" s="84" t="s">
        <v>60</v>
      </c>
      <c r="R722"/>
    </row>
    <row r="723" spans="1:18" x14ac:dyDescent="0.25">
      <c r="A723" s="84" t="str">
        <f t="shared" si="34"/>
        <v>OutubroSEMANA 2Repolho</v>
      </c>
      <c r="B723" s="85" t="s">
        <v>37</v>
      </c>
      <c r="C723" s="85" t="s">
        <v>21</v>
      </c>
      <c r="D723" s="86">
        <v>13</v>
      </c>
      <c r="E723" s="116" t="str">
        <f t="shared" si="35"/>
        <v>Hortifruti</v>
      </c>
      <c r="F723" s="85" t="s">
        <v>1055</v>
      </c>
      <c r="G723" s="85" t="s">
        <v>701</v>
      </c>
      <c r="H723" s="85" t="s">
        <v>1039</v>
      </c>
      <c r="I723" s="85">
        <v>2</v>
      </c>
      <c r="J723" s="87">
        <v>1.21</v>
      </c>
      <c r="K723" s="88">
        <f t="shared" si="36"/>
        <v>2.42</v>
      </c>
      <c r="L723" s="85">
        <v>4598</v>
      </c>
      <c r="M723" s="118" t="s">
        <v>660</v>
      </c>
      <c r="N723" s="84"/>
      <c r="O723" s="84" t="s">
        <v>45</v>
      </c>
      <c r="R723"/>
    </row>
    <row r="724" spans="1:18" x14ac:dyDescent="0.25">
      <c r="A724" s="84" t="str">
        <f t="shared" si="34"/>
        <v>OutubroSEMANA 2Vagem Macarrão</v>
      </c>
      <c r="B724" s="85" t="s">
        <v>37</v>
      </c>
      <c r="C724" s="85" t="s">
        <v>21</v>
      </c>
      <c r="D724" s="86">
        <v>13</v>
      </c>
      <c r="E724" s="116" t="str">
        <f t="shared" si="35"/>
        <v>Hortifruti</v>
      </c>
      <c r="F724" s="85" t="s">
        <v>1055</v>
      </c>
      <c r="G724" s="85" t="s">
        <v>832</v>
      </c>
      <c r="H724" s="85" t="s">
        <v>1039</v>
      </c>
      <c r="I724" s="85">
        <v>2.5</v>
      </c>
      <c r="J724" s="87">
        <v>6.9</v>
      </c>
      <c r="K724" s="88">
        <f t="shared" si="36"/>
        <v>17.25</v>
      </c>
      <c r="L724" s="85">
        <v>4598</v>
      </c>
      <c r="M724" s="118" t="s">
        <v>661</v>
      </c>
      <c r="N724" s="84"/>
      <c r="O724" s="84" t="s">
        <v>42</v>
      </c>
      <c r="R724"/>
    </row>
    <row r="725" spans="1:18" x14ac:dyDescent="0.25">
      <c r="A725" s="84" t="str">
        <f t="shared" si="34"/>
        <v>OutubroSEMANA 2Gelo em Escamas</v>
      </c>
      <c r="B725" s="85" t="s">
        <v>37</v>
      </c>
      <c r="C725" s="85" t="s">
        <v>21</v>
      </c>
      <c r="D725" s="86">
        <v>14</v>
      </c>
      <c r="E725" s="116" t="str">
        <f t="shared" si="35"/>
        <v>Mercado</v>
      </c>
      <c r="F725" s="85" t="s">
        <v>1040</v>
      </c>
      <c r="G725" s="85" t="s">
        <v>384</v>
      </c>
      <c r="H725" s="85" t="s">
        <v>1041</v>
      </c>
      <c r="I725" s="85">
        <v>2</v>
      </c>
      <c r="J725" s="87">
        <v>7.5</v>
      </c>
      <c r="K725" s="88">
        <f t="shared" si="36"/>
        <v>15</v>
      </c>
      <c r="L725" s="85">
        <v>10908</v>
      </c>
      <c r="M725" s="118" t="s">
        <v>662</v>
      </c>
      <c r="N725" s="84"/>
      <c r="O725" s="84" t="s">
        <v>42</v>
      </c>
      <c r="R725"/>
    </row>
    <row r="726" spans="1:18" x14ac:dyDescent="0.25">
      <c r="A726" s="84" t="str">
        <f t="shared" si="34"/>
        <v>OutubroSEMANA 2Gelo em Cubo</v>
      </c>
      <c r="B726" s="85" t="s">
        <v>37</v>
      </c>
      <c r="C726" s="85" t="s">
        <v>21</v>
      </c>
      <c r="D726" s="86">
        <v>14</v>
      </c>
      <c r="E726" s="116" t="str">
        <f t="shared" si="35"/>
        <v>Mercado</v>
      </c>
      <c r="F726" s="85" t="s">
        <v>1040</v>
      </c>
      <c r="G726" s="85" t="s">
        <v>383</v>
      </c>
      <c r="H726" s="85" t="s">
        <v>1041</v>
      </c>
      <c r="I726" s="85">
        <v>3</v>
      </c>
      <c r="J726" s="87">
        <v>7.5</v>
      </c>
      <c r="K726" s="88">
        <f t="shared" si="36"/>
        <v>22.5</v>
      </c>
      <c r="L726" s="85">
        <v>10908</v>
      </c>
      <c r="M726" s="118" t="s">
        <v>663</v>
      </c>
      <c r="N726" s="84"/>
      <c r="O726" s="84" t="s">
        <v>60</v>
      </c>
      <c r="R726"/>
    </row>
    <row r="727" spans="1:18" x14ac:dyDescent="0.25">
      <c r="A727" s="84" t="str">
        <f t="shared" si="34"/>
        <v>OutubroSEMANA 2Batata Palha 140 g</v>
      </c>
      <c r="B727" s="85" t="s">
        <v>37</v>
      </c>
      <c r="C727" s="85" t="s">
        <v>21</v>
      </c>
      <c r="D727" s="86">
        <v>14</v>
      </c>
      <c r="E727" s="116" t="str">
        <f t="shared" si="35"/>
        <v>Mercado</v>
      </c>
      <c r="F727" s="85" t="s">
        <v>1036</v>
      </c>
      <c r="G727" s="85" t="s">
        <v>174</v>
      </c>
      <c r="H727" s="85" t="s">
        <v>1175</v>
      </c>
      <c r="I727" s="85">
        <v>1</v>
      </c>
      <c r="J727" s="87">
        <v>7.8</v>
      </c>
      <c r="K727" s="88">
        <f t="shared" si="36"/>
        <v>7.8</v>
      </c>
      <c r="L727" s="85">
        <v>52015</v>
      </c>
      <c r="M727" s="118" t="s">
        <v>1004</v>
      </c>
      <c r="N727" s="84"/>
      <c r="O727" s="84" t="s">
        <v>42</v>
      </c>
      <c r="R727"/>
    </row>
    <row r="728" spans="1:18" x14ac:dyDescent="0.25">
      <c r="A728" s="84" t="str">
        <f t="shared" si="34"/>
        <v>OutubroSEMANA 2Salame Italiano</v>
      </c>
      <c r="B728" s="85" t="s">
        <v>37</v>
      </c>
      <c r="C728" s="85" t="s">
        <v>21</v>
      </c>
      <c r="D728" s="86">
        <v>14</v>
      </c>
      <c r="E728" s="116" t="str">
        <f t="shared" si="35"/>
        <v>Mercado</v>
      </c>
      <c r="F728" s="85" t="s">
        <v>1036</v>
      </c>
      <c r="G728" s="85" t="s">
        <v>728</v>
      </c>
      <c r="H728" s="85" t="s">
        <v>1039</v>
      </c>
      <c r="I728" s="85">
        <v>0.22800000000000001</v>
      </c>
      <c r="J728" s="87">
        <v>59.98</v>
      </c>
      <c r="K728" s="88">
        <f t="shared" si="36"/>
        <v>13.67544</v>
      </c>
      <c r="L728" s="85">
        <v>52015</v>
      </c>
      <c r="M728" s="118" t="s">
        <v>664</v>
      </c>
      <c r="N728" s="84"/>
      <c r="O728" s="84" t="s">
        <v>45</v>
      </c>
      <c r="R728"/>
    </row>
    <row r="729" spans="1:18" x14ac:dyDescent="0.25">
      <c r="A729" s="84" t="str">
        <f t="shared" si="34"/>
        <v>OutubroSEMANA 2Pão Árabe</v>
      </c>
      <c r="B729" s="85" t="s">
        <v>37</v>
      </c>
      <c r="C729" s="85" t="s">
        <v>21</v>
      </c>
      <c r="D729" s="86">
        <v>14</v>
      </c>
      <c r="E729" s="116" t="str">
        <f t="shared" si="35"/>
        <v>Mercado</v>
      </c>
      <c r="F729" s="85" t="s">
        <v>1036</v>
      </c>
      <c r="G729" s="85" t="s">
        <v>561</v>
      </c>
      <c r="H729" s="85" t="s">
        <v>1175</v>
      </c>
      <c r="I729" s="85">
        <v>1</v>
      </c>
      <c r="J729" s="87">
        <v>6.7</v>
      </c>
      <c r="K729" s="88">
        <f t="shared" si="36"/>
        <v>6.7</v>
      </c>
      <c r="L729" s="85">
        <v>64944</v>
      </c>
      <c r="M729" s="118" t="s">
        <v>665</v>
      </c>
      <c r="N729" s="84"/>
      <c r="O729" s="84" t="s">
        <v>45</v>
      </c>
      <c r="R729"/>
    </row>
    <row r="730" spans="1:18" x14ac:dyDescent="0.25">
      <c r="A730" s="84" t="str">
        <f t="shared" si="34"/>
        <v>OutubroSEMANA 2Pão Francês</v>
      </c>
      <c r="B730" s="85" t="s">
        <v>37</v>
      </c>
      <c r="C730" s="85" t="s">
        <v>21</v>
      </c>
      <c r="D730" s="86">
        <v>14</v>
      </c>
      <c r="E730" s="116" t="str">
        <f t="shared" si="35"/>
        <v>Mercado</v>
      </c>
      <c r="F730" s="85" t="s">
        <v>1036</v>
      </c>
      <c r="G730" s="85" t="s">
        <v>565</v>
      </c>
      <c r="H730" s="85" t="s">
        <v>1039</v>
      </c>
      <c r="I730" s="85">
        <v>0.23499999999999999</v>
      </c>
      <c r="J730" s="87">
        <v>13.98</v>
      </c>
      <c r="K730" s="88">
        <f t="shared" si="36"/>
        <v>3.2852999999999999</v>
      </c>
      <c r="L730" s="85">
        <v>64944</v>
      </c>
      <c r="M730" s="118" t="s">
        <v>666</v>
      </c>
      <c r="N730" s="84"/>
      <c r="O730" s="84" t="s">
        <v>45</v>
      </c>
      <c r="R730"/>
    </row>
    <row r="731" spans="1:18" x14ac:dyDescent="0.25">
      <c r="A731" s="84" t="str">
        <f t="shared" si="34"/>
        <v>OutubroSEMANA 2Couve Manteiga</v>
      </c>
      <c r="B731" s="85" t="s">
        <v>37</v>
      </c>
      <c r="C731" s="85" t="s">
        <v>21</v>
      </c>
      <c r="D731" s="86">
        <v>14</v>
      </c>
      <c r="E731" s="116" t="str">
        <f t="shared" si="35"/>
        <v>Hortifruti</v>
      </c>
      <c r="F731" s="85" t="s">
        <v>1036</v>
      </c>
      <c r="G731" s="85" t="s">
        <v>307</v>
      </c>
      <c r="H731" s="85" t="s">
        <v>1039</v>
      </c>
      <c r="I731" s="85">
        <v>0.3</v>
      </c>
      <c r="J731" s="87">
        <f>1.65/0.3</f>
        <v>5.5</v>
      </c>
      <c r="K731" s="88">
        <f t="shared" si="36"/>
        <v>1.65</v>
      </c>
      <c r="L731" s="85">
        <v>64944</v>
      </c>
      <c r="M731" s="118" t="s">
        <v>667</v>
      </c>
      <c r="N731" s="84"/>
      <c r="O731" s="84" t="s">
        <v>45</v>
      </c>
      <c r="R731"/>
    </row>
    <row r="732" spans="1:18" x14ac:dyDescent="0.25">
      <c r="A732" s="84" t="str">
        <f t="shared" si="34"/>
        <v>OutubroSEMANA 2Gelo em Escamas</v>
      </c>
      <c r="B732" s="85" t="s">
        <v>37</v>
      </c>
      <c r="C732" s="85" t="s">
        <v>21</v>
      </c>
      <c r="D732" s="86">
        <v>13</v>
      </c>
      <c r="E732" s="116" t="str">
        <f t="shared" si="35"/>
        <v>Mercado</v>
      </c>
      <c r="F732" s="85" t="s">
        <v>1040</v>
      </c>
      <c r="G732" s="85" t="s">
        <v>384</v>
      </c>
      <c r="H732" s="85" t="s">
        <v>1041</v>
      </c>
      <c r="I732" s="85">
        <v>2</v>
      </c>
      <c r="J732" s="87">
        <v>7.5</v>
      </c>
      <c r="K732" s="88">
        <f t="shared" si="36"/>
        <v>15</v>
      </c>
      <c r="L732" s="85">
        <v>10704</v>
      </c>
      <c r="M732" s="118" t="s">
        <v>668</v>
      </c>
      <c r="N732" s="84"/>
      <c r="O732" s="84" t="s">
        <v>42</v>
      </c>
      <c r="R732"/>
    </row>
    <row r="733" spans="1:18" x14ac:dyDescent="0.25">
      <c r="A733" s="84" t="str">
        <f t="shared" si="34"/>
        <v>OutubroSEMANA 2Gelo em Cubo</v>
      </c>
      <c r="B733" s="85" t="s">
        <v>37</v>
      </c>
      <c r="C733" s="85" t="s">
        <v>21</v>
      </c>
      <c r="D733" s="86">
        <v>13</v>
      </c>
      <c r="E733" s="116" t="str">
        <f t="shared" si="35"/>
        <v>Mercado</v>
      </c>
      <c r="F733" s="85" t="s">
        <v>1040</v>
      </c>
      <c r="G733" s="85" t="s">
        <v>383</v>
      </c>
      <c r="H733" s="85" t="s">
        <v>1041</v>
      </c>
      <c r="I733" s="85">
        <v>3</v>
      </c>
      <c r="J733" s="87">
        <v>7.5</v>
      </c>
      <c r="K733" s="88">
        <f t="shared" si="36"/>
        <v>22.5</v>
      </c>
      <c r="L733" s="85">
        <v>10704</v>
      </c>
      <c r="M733" s="118" t="s">
        <v>669</v>
      </c>
      <c r="N733" s="84"/>
      <c r="O733" s="84" t="s">
        <v>874</v>
      </c>
      <c r="R733"/>
    </row>
    <row r="734" spans="1:18" x14ac:dyDescent="0.25">
      <c r="A734" s="84" t="str">
        <f t="shared" si="34"/>
        <v>OutubroSEMANA 2Batata Palha 140 g</v>
      </c>
      <c r="B734" s="85" t="s">
        <v>37</v>
      </c>
      <c r="C734" s="85" t="s">
        <v>21</v>
      </c>
      <c r="D734" s="86">
        <v>13</v>
      </c>
      <c r="E734" s="116" t="str">
        <f t="shared" si="35"/>
        <v>Mercado</v>
      </c>
      <c r="F734" s="85" t="s">
        <v>1036</v>
      </c>
      <c r="G734" s="85" t="s">
        <v>174</v>
      </c>
      <c r="H734" s="85" t="s">
        <v>1175</v>
      </c>
      <c r="I734" s="85">
        <v>2</v>
      </c>
      <c r="J734" s="87">
        <v>7.8</v>
      </c>
      <c r="K734" s="88">
        <f t="shared" si="36"/>
        <v>15.6</v>
      </c>
      <c r="L734" s="85">
        <v>64576</v>
      </c>
      <c r="M734" s="118" t="s">
        <v>670</v>
      </c>
      <c r="N734" s="84"/>
      <c r="O734" s="84" t="s">
        <v>44</v>
      </c>
      <c r="R734"/>
    </row>
    <row r="735" spans="1:18" x14ac:dyDescent="0.25">
      <c r="A735" s="84" t="str">
        <f t="shared" si="34"/>
        <v>OutubroSEMANA 2Gelatina em pó s/ sabor (incolor)</v>
      </c>
      <c r="B735" s="85" t="s">
        <v>37</v>
      </c>
      <c r="C735" s="85" t="s">
        <v>21</v>
      </c>
      <c r="D735" s="86">
        <v>13</v>
      </c>
      <c r="E735" s="116" t="str">
        <f t="shared" si="35"/>
        <v>Mercado</v>
      </c>
      <c r="F735" s="85" t="s">
        <v>1036</v>
      </c>
      <c r="G735" s="85" t="s">
        <v>380</v>
      </c>
      <c r="H735" s="85" t="s">
        <v>1175</v>
      </c>
      <c r="I735" s="85">
        <v>2</v>
      </c>
      <c r="J735" s="87">
        <v>5.45</v>
      </c>
      <c r="K735" s="88">
        <f t="shared" si="36"/>
        <v>10.9</v>
      </c>
      <c r="L735" s="85">
        <v>64576</v>
      </c>
      <c r="M735" s="118" t="s">
        <v>671</v>
      </c>
      <c r="N735" s="84"/>
      <c r="O735" s="84" t="s">
        <v>44</v>
      </c>
      <c r="R735"/>
    </row>
    <row r="736" spans="1:18" x14ac:dyDescent="0.25">
      <c r="A736" s="84" t="str">
        <f t="shared" si="34"/>
        <v xml:space="preserve">OutubroSEMANA 2Tapioca Granulada </v>
      </c>
      <c r="B736" s="85" t="s">
        <v>37</v>
      </c>
      <c r="C736" s="85" t="s">
        <v>21</v>
      </c>
      <c r="D736" s="86">
        <v>13</v>
      </c>
      <c r="E736" s="116" t="str">
        <f t="shared" si="35"/>
        <v>Mercado</v>
      </c>
      <c r="F736" s="85" t="s">
        <v>1036</v>
      </c>
      <c r="G736" s="85" t="s">
        <v>785</v>
      </c>
      <c r="H736" s="85" t="s">
        <v>1039</v>
      </c>
      <c r="I736" s="85">
        <f>3*0.5</f>
        <v>1.5</v>
      </c>
      <c r="J736" s="87">
        <v>11</v>
      </c>
      <c r="K736" s="88">
        <f t="shared" si="36"/>
        <v>16.5</v>
      </c>
      <c r="L736" s="85">
        <v>64576</v>
      </c>
      <c r="M736" s="118" t="s">
        <v>1031</v>
      </c>
      <c r="O736" s="84" t="s">
        <v>42</v>
      </c>
      <c r="R736"/>
    </row>
    <row r="737" spans="1:18" x14ac:dyDescent="0.25">
      <c r="A737" s="84" t="str">
        <f t="shared" si="34"/>
        <v>OutubroSEMANA 2Suco de Maracujá</v>
      </c>
      <c r="B737" s="85" t="s">
        <v>37</v>
      </c>
      <c r="C737" s="85" t="s">
        <v>21</v>
      </c>
      <c r="D737" s="86">
        <v>13</v>
      </c>
      <c r="E737" s="116" t="str">
        <f t="shared" si="35"/>
        <v>Mercado</v>
      </c>
      <c r="F737" s="85" t="s">
        <v>1036</v>
      </c>
      <c r="G737" s="85" t="s">
        <v>753</v>
      </c>
      <c r="H737" s="85" t="s">
        <v>1038</v>
      </c>
      <c r="I737" s="85">
        <v>2</v>
      </c>
      <c r="J737" s="87">
        <v>8.75</v>
      </c>
      <c r="K737" s="88">
        <f t="shared" si="36"/>
        <v>17.5</v>
      </c>
      <c r="L737" s="85">
        <v>64576</v>
      </c>
      <c r="M737" s="118" t="s">
        <v>672</v>
      </c>
      <c r="N737" s="84"/>
      <c r="O737" s="84" t="s">
        <v>46</v>
      </c>
      <c r="R737"/>
    </row>
    <row r="738" spans="1:18" x14ac:dyDescent="0.25">
      <c r="A738" s="84" t="str">
        <f t="shared" si="34"/>
        <v>OutubroSEMANA 2Aveia Quaker Flocos cx 200g</v>
      </c>
      <c r="B738" s="85" t="s">
        <v>37</v>
      </c>
      <c r="C738" s="85" t="s">
        <v>21</v>
      </c>
      <c r="D738" s="86">
        <v>13</v>
      </c>
      <c r="E738" s="116" t="str">
        <f t="shared" si="35"/>
        <v>Mercado</v>
      </c>
      <c r="F738" s="85" t="s">
        <v>1036</v>
      </c>
      <c r="G738" s="85" t="s">
        <v>132</v>
      </c>
      <c r="H738" s="85" t="s">
        <v>1038</v>
      </c>
      <c r="I738" s="85">
        <v>6</v>
      </c>
      <c r="J738" s="87">
        <v>3.5</v>
      </c>
      <c r="K738" s="88">
        <f t="shared" si="36"/>
        <v>21</v>
      </c>
      <c r="L738" s="85" t="s">
        <v>1176</v>
      </c>
      <c r="M738" s="118" t="s">
        <v>673</v>
      </c>
      <c r="N738" s="84"/>
      <c r="O738" s="84" t="s">
        <v>42</v>
      </c>
      <c r="R738"/>
    </row>
    <row r="739" spans="1:18" x14ac:dyDescent="0.25">
      <c r="A739" s="84" t="str">
        <f t="shared" si="34"/>
        <v>OutubroSEMANA 2Chá diversos sache</v>
      </c>
      <c r="B739" s="85" t="s">
        <v>37</v>
      </c>
      <c r="C739" s="85" t="s">
        <v>21</v>
      </c>
      <c r="D739" s="86">
        <v>13</v>
      </c>
      <c r="E739" s="116" t="str">
        <f t="shared" si="35"/>
        <v>Mercado</v>
      </c>
      <c r="F739" s="85" t="s">
        <v>1036</v>
      </c>
      <c r="G739" s="85" t="s">
        <v>270</v>
      </c>
      <c r="H739" s="85" t="s">
        <v>1037</v>
      </c>
      <c r="I739" s="85">
        <v>1</v>
      </c>
      <c r="J739" s="87">
        <v>4.9800000000000004</v>
      </c>
      <c r="K739" s="88">
        <f t="shared" si="36"/>
        <v>4.9800000000000004</v>
      </c>
      <c r="L739" s="85">
        <v>55037</v>
      </c>
      <c r="M739" s="118" t="s">
        <v>674</v>
      </c>
      <c r="N739" s="84"/>
      <c r="O739" s="84" t="s">
        <v>42</v>
      </c>
      <c r="R739"/>
    </row>
    <row r="740" spans="1:18" x14ac:dyDescent="0.25">
      <c r="A740" s="84" t="str">
        <f t="shared" si="34"/>
        <v>OutubroSEMANA 2Suíno - Linguiça Calabresa</v>
      </c>
      <c r="B740" s="85" t="s">
        <v>37</v>
      </c>
      <c r="C740" s="85" t="s">
        <v>21</v>
      </c>
      <c r="D740" s="86">
        <v>14</v>
      </c>
      <c r="E740" s="116" t="str">
        <f t="shared" si="35"/>
        <v>Carnes</v>
      </c>
      <c r="F740" s="85" t="s">
        <v>1078</v>
      </c>
      <c r="G740" s="85" t="s">
        <v>762</v>
      </c>
      <c r="H740" s="85" t="s">
        <v>1039</v>
      </c>
      <c r="I740" s="85">
        <v>2.5</v>
      </c>
      <c r="J740" s="87">
        <v>10.48</v>
      </c>
      <c r="K740" s="88">
        <f t="shared" si="36"/>
        <v>26.200000000000003</v>
      </c>
      <c r="L740" s="85" t="s">
        <v>1177</v>
      </c>
      <c r="M740" s="118" t="s">
        <v>675</v>
      </c>
      <c r="N740" s="84"/>
      <c r="O740" s="84" t="s">
        <v>42</v>
      </c>
      <c r="R740"/>
    </row>
    <row r="741" spans="1:18" x14ac:dyDescent="0.25">
      <c r="A741" s="84" t="str">
        <f t="shared" si="34"/>
        <v>OutubroSEMANA 2Carne Bovina - Peito</v>
      </c>
      <c r="B741" s="85" t="s">
        <v>37</v>
      </c>
      <c r="C741" s="85" t="s">
        <v>21</v>
      </c>
      <c r="D741" s="86">
        <v>14</v>
      </c>
      <c r="E741" s="116" t="str">
        <f t="shared" si="35"/>
        <v>Carnes</v>
      </c>
      <c r="F741" s="85" t="s">
        <v>1078</v>
      </c>
      <c r="G741" s="85" t="s">
        <v>231</v>
      </c>
      <c r="H741" s="85" t="s">
        <v>1039</v>
      </c>
      <c r="I741" s="85">
        <v>14.8</v>
      </c>
      <c r="J741" s="87">
        <v>11.98</v>
      </c>
      <c r="K741" s="88">
        <f t="shared" si="36"/>
        <v>177.304</v>
      </c>
      <c r="L741" s="85" t="s">
        <v>1177</v>
      </c>
      <c r="M741" s="118" t="s">
        <v>989</v>
      </c>
      <c r="N741" s="84"/>
      <c r="O741" s="84" t="s">
        <v>42</v>
      </c>
      <c r="R741"/>
    </row>
    <row r="742" spans="1:18" x14ac:dyDescent="0.25">
      <c r="A742" s="84" t="str">
        <f t="shared" si="34"/>
        <v>OutubroSEMANA 2Presunto Cozido</v>
      </c>
      <c r="B742" s="85" t="s">
        <v>37</v>
      </c>
      <c r="C742" s="85" t="s">
        <v>21</v>
      </c>
      <c r="D742" s="86">
        <v>14</v>
      </c>
      <c r="E742" s="116" t="str">
        <f t="shared" si="35"/>
        <v>Carnes</v>
      </c>
      <c r="F742" s="85" t="s">
        <v>1078</v>
      </c>
      <c r="G742" s="85" t="s">
        <v>670</v>
      </c>
      <c r="H742" s="85" t="s">
        <v>1039</v>
      </c>
      <c r="I742" s="85">
        <v>6.8</v>
      </c>
      <c r="J742" s="87">
        <f>94.59/6.8</f>
        <v>13.91029411764706</v>
      </c>
      <c r="K742" s="88">
        <f t="shared" si="36"/>
        <v>94.59</v>
      </c>
      <c r="L742" s="85" t="s">
        <v>1177</v>
      </c>
      <c r="M742" s="118" t="s">
        <v>676</v>
      </c>
      <c r="N742" s="84"/>
      <c r="O742" s="84" t="s">
        <v>42</v>
      </c>
      <c r="R742"/>
    </row>
    <row r="743" spans="1:18" x14ac:dyDescent="0.25">
      <c r="A743" s="84" t="str">
        <f t="shared" si="34"/>
        <v>OutubroSEMANA 2Aves - Sobrecoxa</v>
      </c>
      <c r="B743" s="85" t="s">
        <v>37</v>
      </c>
      <c r="C743" s="85" t="s">
        <v>21</v>
      </c>
      <c r="D743" s="86">
        <v>14</v>
      </c>
      <c r="E743" s="116" t="str">
        <f t="shared" si="35"/>
        <v>Carnes</v>
      </c>
      <c r="F743" s="85" t="s">
        <v>1078</v>
      </c>
      <c r="G743" s="85" t="s">
        <v>150</v>
      </c>
      <c r="H743" s="85" t="s">
        <v>1039</v>
      </c>
      <c r="I743" s="85">
        <v>18</v>
      </c>
      <c r="J743" s="87">
        <v>5.98</v>
      </c>
      <c r="K743" s="88">
        <f t="shared" si="36"/>
        <v>107.64000000000001</v>
      </c>
      <c r="L743" s="85" t="s">
        <v>1177</v>
      </c>
      <c r="M743" s="118" t="s">
        <v>677</v>
      </c>
      <c r="N743" s="84"/>
      <c r="O743" s="84" t="s">
        <v>42</v>
      </c>
      <c r="R743"/>
    </row>
    <row r="744" spans="1:18" x14ac:dyDescent="0.25">
      <c r="A744" s="84" t="str">
        <f t="shared" si="34"/>
        <v>OutubroSEMANA 2Pescados - Camarão IQF Evisc. 51/60</v>
      </c>
      <c r="B744" s="85" t="s">
        <v>37</v>
      </c>
      <c r="C744" s="85" t="s">
        <v>21</v>
      </c>
      <c r="D744" s="86">
        <v>14</v>
      </c>
      <c r="E744" s="116" t="str">
        <f t="shared" si="35"/>
        <v>Carnes</v>
      </c>
      <c r="F744" s="85" t="s">
        <v>1053</v>
      </c>
      <c r="G744" s="85" t="s">
        <v>594</v>
      </c>
      <c r="H744" s="85" t="s">
        <v>1039</v>
      </c>
      <c r="I744" s="85">
        <v>12</v>
      </c>
      <c r="J744" s="87">
        <v>66.900000000000006</v>
      </c>
      <c r="K744" s="88">
        <f t="shared" si="36"/>
        <v>802.80000000000007</v>
      </c>
      <c r="L744" s="85" t="s">
        <v>1178</v>
      </c>
      <c r="M744" s="118" t="s">
        <v>678</v>
      </c>
      <c r="N744" s="84"/>
      <c r="O744" s="84" t="s">
        <v>42</v>
      </c>
      <c r="R744"/>
    </row>
    <row r="745" spans="1:18" x14ac:dyDescent="0.25">
      <c r="A745" s="84" t="str">
        <f t="shared" si="34"/>
        <v>OutubroSEMANA 2Pescados - Kani</v>
      </c>
      <c r="B745" s="85" t="s">
        <v>37</v>
      </c>
      <c r="C745" s="85" t="s">
        <v>21</v>
      </c>
      <c r="D745" s="86">
        <v>14</v>
      </c>
      <c r="E745" s="116" t="str">
        <f t="shared" si="35"/>
        <v>Carnes</v>
      </c>
      <c r="F745" s="85" t="s">
        <v>1179</v>
      </c>
      <c r="G745" s="85" t="s">
        <v>619</v>
      </c>
      <c r="H745" s="85" t="s">
        <v>1039</v>
      </c>
      <c r="I745" s="85">
        <v>8</v>
      </c>
      <c r="J745" s="87">
        <v>21.99</v>
      </c>
      <c r="K745" s="88">
        <f t="shared" si="36"/>
        <v>175.92</v>
      </c>
      <c r="L745" s="85">
        <v>315601</v>
      </c>
      <c r="M745" s="118" t="s">
        <v>679</v>
      </c>
      <c r="N745" s="84"/>
      <c r="O745" s="84" t="s">
        <v>42</v>
      </c>
      <c r="R745"/>
    </row>
    <row r="746" spans="1:18" x14ac:dyDescent="0.25">
      <c r="A746" s="84" t="str">
        <f t="shared" si="34"/>
        <v>OutubroSEMANA 2Pescados - Kani Sushi</v>
      </c>
      <c r="B746" s="85" t="s">
        <v>37</v>
      </c>
      <c r="C746" s="85" t="s">
        <v>21</v>
      </c>
      <c r="D746" s="86">
        <v>14</v>
      </c>
      <c r="E746" s="116" t="str">
        <f t="shared" si="35"/>
        <v>Sushi</v>
      </c>
      <c r="F746" s="85" t="s">
        <v>1179</v>
      </c>
      <c r="G746" s="85" t="s">
        <v>620</v>
      </c>
      <c r="H746" s="85" t="s">
        <v>1039</v>
      </c>
      <c r="I746" s="85">
        <v>2</v>
      </c>
      <c r="J746" s="87">
        <v>21.99</v>
      </c>
      <c r="K746" s="88">
        <f t="shared" si="36"/>
        <v>43.98</v>
      </c>
      <c r="L746" s="85">
        <v>315601</v>
      </c>
      <c r="M746" s="118" t="s">
        <v>680</v>
      </c>
      <c r="N746" s="84"/>
      <c r="O746" s="84" t="s">
        <v>42</v>
      </c>
      <c r="R746"/>
    </row>
    <row r="747" spans="1:18" x14ac:dyDescent="0.25">
      <c r="A747" s="84" t="str">
        <f t="shared" si="34"/>
        <v>OutubroSEMANA 2Alho Descascado</v>
      </c>
      <c r="B747" s="85" t="s">
        <v>37</v>
      </c>
      <c r="C747" s="85" t="s">
        <v>21</v>
      </c>
      <c r="D747" s="86">
        <v>14</v>
      </c>
      <c r="E747" s="116" t="str">
        <f t="shared" si="35"/>
        <v>Hortifruti</v>
      </c>
      <c r="F747" s="85" t="s">
        <v>1129</v>
      </c>
      <c r="G747" s="85" t="s">
        <v>112</v>
      </c>
      <c r="H747" s="85" t="s">
        <v>1039</v>
      </c>
      <c r="I747" s="85">
        <v>20</v>
      </c>
      <c r="J747" s="87">
        <v>15.5</v>
      </c>
      <c r="K747" s="88">
        <f t="shared" si="36"/>
        <v>310</v>
      </c>
      <c r="L747" s="85"/>
      <c r="M747" s="118" t="s">
        <v>681</v>
      </c>
      <c r="N747" s="84"/>
      <c r="O747" s="84" t="s">
        <v>42</v>
      </c>
      <c r="R747"/>
    </row>
    <row r="748" spans="1:18" x14ac:dyDescent="0.25">
      <c r="A748" s="84" t="str">
        <f t="shared" si="34"/>
        <v xml:space="preserve">OutubroSEMANA 2Abobrinha </v>
      </c>
      <c r="B748" s="85" t="s">
        <v>37</v>
      </c>
      <c r="C748" s="85" t="s">
        <v>21</v>
      </c>
      <c r="D748" s="86">
        <v>14</v>
      </c>
      <c r="E748" s="116" t="str">
        <f t="shared" si="35"/>
        <v>Hortifruti</v>
      </c>
      <c r="F748" s="85" t="s">
        <v>1054</v>
      </c>
      <c r="G748" s="85" t="s">
        <v>72</v>
      </c>
      <c r="H748" s="85" t="s">
        <v>1039</v>
      </c>
      <c r="I748" s="85">
        <v>17.399999999999999</v>
      </c>
      <c r="J748" s="87">
        <f>20/17.4</f>
        <v>1.149425287356322</v>
      </c>
      <c r="K748" s="88">
        <f t="shared" si="36"/>
        <v>20</v>
      </c>
      <c r="L748" s="85">
        <v>1905</v>
      </c>
      <c r="M748" s="118" t="s">
        <v>682</v>
      </c>
      <c r="N748" s="84"/>
      <c r="O748" s="84" t="s">
        <v>42</v>
      </c>
      <c r="R748"/>
    </row>
    <row r="749" spans="1:18" x14ac:dyDescent="0.25">
      <c r="A749" s="84" t="str">
        <f t="shared" si="34"/>
        <v>OutubroSEMANA 2Batata Inglesa</v>
      </c>
      <c r="B749" s="85" t="s">
        <v>37</v>
      </c>
      <c r="C749" s="85" t="s">
        <v>21</v>
      </c>
      <c r="D749" s="86">
        <v>14</v>
      </c>
      <c r="E749" s="116" t="str">
        <f t="shared" si="35"/>
        <v>Hortifruti</v>
      </c>
      <c r="F749" s="85" t="s">
        <v>1054</v>
      </c>
      <c r="G749" s="85" t="s">
        <v>172</v>
      </c>
      <c r="H749" s="85" t="s">
        <v>1039</v>
      </c>
      <c r="I749" s="85">
        <v>7</v>
      </c>
      <c r="J749" s="87">
        <v>1.8</v>
      </c>
      <c r="K749" s="88">
        <f t="shared" si="36"/>
        <v>12.6</v>
      </c>
      <c r="L749" s="85">
        <v>1905</v>
      </c>
      <c r="M749" s="118" t="s">
        <v>683</v>
      </c>
      <c r="O749" s="115" t="s">
        <v>42</v>
      </c>
      <c r="R749"/>
    </row>
    <row r="750" spans="1:18" x14ac:dyDescent="0.25">
      <c r="A750" s="84" t="str">
        <f t="shared" si="34"/>
        <v>OutubroSEMANA 2Batata HBT</v>
      </c>
      <c r="B750" s="85" t="s">
        <v>37</v>
      </c>
      <c r="C750" s="85" t="s">
        <v>21</v>
      </c>
      <c r="D750" s="86">
        <v>14</v>
      </c>
      <c r="E750" s="116" t="str">
        <f t="shared" si="35"/>
        <v>Hortifruti</v>
      </c>
      <c r="F750" s="85" t="s">
        <v>1054</v>
      </c>
      <c r="G750" s="85" t="s">
        <v>171</v>
      </c>
      <c r="H750" s="85" t="s">
        <v>1039</v>
      </c>
      <c r="I750" s="85">
        <v>25</v>
      </c>
      <c r="J750" s="87">
        <v>1.8</v>
      </c>
      <c r="K750" s="88">
        <f t="shared" si="36"/>
        <v>45</v>
      </c>
      <c r="L750" s="85">
        <v>1905</v>
      </c>
      <c r="M750" s="118" t="s">
        <v>684</v>
      </c>
      <c r="N750" s="84"/>
      <c r="O750" s="84" t="s">
        <v>42</v>
      </c>
      <c r="R750"/>
    </row>
    <row r="751" spans="1:18" x14ac:dyDescent="0.25">
      <c r="A751" s="84" t="str">
        <f t="shared" si="34"/>
        <v>OutubroSEMANA 2Batata Yacon</v>
      </c>
      <c r="B751" s="85" t="s">
        <v>37</v>
      </c>
      <c r="C751" s="85" t="s">
        <v>21</v>
      </c>
      <c r="D751" s="86">
        <v>14</v>
      </c>
      <c r="E751" s="116" t="str">
        <f t="shared" si="35"/>
        <v>Hortifruti</v>
      </c>
      <c r="F751" s="85" t="s">
        <v>1054</v>
      </c>
      <c r="G751" s="85" t="s">
        <v>177</v>
      </c>
      <c r="H751" s="85" t="s">
        <v>1039</v>
      </c>
      <c r="I751" s="85">
        <v>0.5</v>
      </c>
      <c r="J751" s="87">
        <v>8</v>
      </c>
      <c r="K751" s="88">
        <f t="shared" si="36"/>
        <v>4</v>
      </c>
      <c r="L751" s="85">
        <v>1905</v>
      </c>
      <c r="M751" s="118" t="s">
        <v>685</v>
      </c>
      <c r="N751" s="84"/>
      <c r="O751" s="84" t="s">
        <v>42</v>
      </c>
      <c r="R751"/>
    </row>
    <row r="752" spans="1:18" x14ac:dyDescent="0.25">
      <c r="A752" s="84" t="str">
        <f t="shared" si="34"/>
        <v>OutubroSEMANA 2Pepino Japonês</v>
      </c>
      <c r="B752" s="85" t="s">
        <v>37</v>
      </c>
      <c r="C752" s="85" t="s">
        <v>21</v>
      </c>
      <c r="D752" s="86">
        <v>14</v>
      </c>
      <c r="E752" s="116" t="str">
        <f t="shared" si="35"/>
        <v>Hortifruti</v>
      </c>
      <c r="F752" s="85" t="s">
        <v>1054</v>
      </c>
      <c r="G752" s="85" t="s">
        <v>577</v>
      </c>
      <c r="H752" s="85" t="s">
        <v>1039</v>
      </c>
      <c r="I752" s="85">
        <f>18.04-0.56-0.48-0.89</f>
        <v>16.11</v>
      </c>
      <c r="J752" s="87">
        <f>50/18.04</f>
        <v>2.7716186252771622</v>
      </c>
      <c r="K752" s="88">
        <f t="shared" si="36"/>
        <v>44.650776053215083</v>
      </c>
      <c r="L752" s="85">
        <v>1905</v>
      </c>
      <c r="M752" s="118" t="s">
        <v>686</v>
      </c>
      <c r="N752" s="84"/>
      <c r="O752" s="84" t="s">
        <v>42</v>
      </c>
      <c r="R752"/>
    </row>
    <row r="753" spans="1:18" x14ac:dyDescent="0.25">
      <c r="A753" s="84" t="str">
        <f t="shared" si="34"/>
        <v>OutubroSEMANA 2Pimentão Amarelo</v>
      </c>
      <c r="B753" s="85" t="s">
        <v>37</v>
      </c>
      <c r="C753" s="85" t="s">
        <v>21</v>
      </c>
      <c r="D753" s="86">
        <v>14</v>
      </c>
      <c r="E753" s="116" t="str">
        <f t="shared" si="35"/>
        <v>Hortifruti</v>
      </c>
      <c r="F753" s="85" t="s">
        <v>1054</v>
      </c>
      <c r="G753" s="85" t="s">
        <v>664</v>
      </c>
      <c r="H753" s="85" t="s">
        <v>1039</v>
      </c>
      <c r="I753" s="85">
        <v>1.5</v>
      </c>
      <c r="J753" s="87">
        <v>10</v>
      </c>
      <c r="K753" s="88">
        <f t="shared" si="36"/>
        <v>15</v>
      </c>
      <c r="L753" s="85">
        <v>1905</v>
      </c>
      <c r="M753" s="118" t="s">
        <v>687</v>
      </c>
      <c r="N753" s="84"/>
      <c r="O753" s="84" t="s">
        <v>42</v>
      </c>
      <c r="R753"/>
    </row>
    <row r="754" spans="1:18" x14ac:dyDescent="0.25">
      <c r="A754" s="84" t="str">
        <f t="shared" si="34"/>
        <v>OutubroSEMANA 2Pimentão Vermelho</v>
      </c>
      <c r="B754" s="85" t="s">
        <v>37</v>
      </c>
      <c r="C754" s="85" t="s">
        <v>21</v>
      </c>
      <c r="D754" s="86">
        <v>14</v>
      </c>
      <c r="E754" s="116" t="str">
        <f t="shared" si="35"/>
        <v>Hortifruti</v>
      </c>
      <c r="F754" s="85" t="s">
        <v>1054</v>
      </c>
      <c r="G754" s="85" t="s">
        <v>667</v>
      </c>
      <c r="H754" s="85" t="s">
        <v>1039</v>
      </c>
      <c r="I754" s="85">
        <v>1.5</v>
      </c>
      <c r="J754" s="87">
        <v>10</v>
      </c>
      <c r="K754" s="88">
        <f t="shared" si="36"/>
        <v>15</v>
      </c>
      <c r="L754" s="85">
        <v>1905</v>
      </c>
      <c r="M754" s="118" t="s">
        <v>990</v>
      </c>
      <c r="N754" s="84"/>
      <c r="O754" s="84" t="s">
        <v>42</v>
      </c>
      <c r="R754"/>
    </row>
    <row r="755" spans="1:18" x14ac:dyDescent="0.25">
      <c r="A755" s="84" t="str">
        <f t="shared" si="34"/>
        <v>OutubroSEMANA 2Tomate Salada</v>
      </c>
      <c r="B755" s="85" t="s">
        <v>37</v>
      </c>
      <c r="C755" s="85" t="s">
        <v>21</v>
      </c>
      <c r="D755" s="86">
        <v>14</v>
      </c>
      <c r="E755" s="116" t="str">
        <f t="shared" si="35"/>
        <v>Hortifruti</v>
      </c>
      <c r="F755" s="85" t="s">
        <v>1054</v>
      </c>
      <c r="G755" s="85" t="s">
        <v>795</v>
      </c>
      <c r="H755" s="85" t="s">
        <v>1039</v>
      </c>
      <c r="I755" s="85">
        <v>19.88</v>
      </c>
      <c r="J755" s="87">
        <f>70/19.88</f>
        <v>3.5211267605633805</v>
      </c>
      <c r="K755" s="88">
        <f t="shared" si="36"/>
        <v>70</v>
      </c>
      <c r="L755" s="85">
        <v>1905</v>
      </c>
      <c r="M755" s="118" t="s">
        <v>688</v>
      </c>
      <c r="N755" s="84"/>
      <c r="O755" s="84" t="s">
        <v>42</v>
      </c>
      <c r="R755"/>
    </row>
    <row r="756" spans="1:18" x14ac:dyDescent="0.25">
      <c r="A756" s="84" t="str">
        <f t="shared" si="34"/>
        <v xml:space="preserve">OutubroSEMANA 2Alho Poró </v>
      </c>
      <c r="B756" s="85" t="s">
        <v>37</v>
      </c>
      <c r="C756" s="85" t="s">
        <v>21</v>
      </c>
      <c r="D756" s="86">
        <v>14</v>
      </c>
      <c r="E756" s="116" t="str">
        <f t="shared" si="35"/>
        <v>Hortifruti</v>
      </c>
      <c r="F756" s="85" t="s">
        <v>1054</v>
      </c>
      <c r="G756" s="85" t="s">
        <v>113</v>
      </c>
      <c r="H756" s="85" t="s">
        <v>1039</v>
      </c>
      <c r="I756" s="85">
        <v>2</v>
      </c>
      <c r="J756" s="87">
        <v>8</v>
      </c>
      <c r="K756" s="88">
        <f t="shared" si="36"/>
        <v>16</v>
      </c>
      <c r="L756" s="85">
        <v>1905</v>
      </c>
      <c r="M756" s="118" t="s">
        <v>689</v>
      </c>
      <c r="N756" s="84"/>
      <c r="O756" s="84" t="s">
        <v>42</v>
      </c>
      <c r="R756"/>
    </row>
    <row r="757" spans="1:18" x14ac:dyDescent="0.25">
      <c r="A757" s="84" t="str">
        <f t="shared" si="34"/>
        <v>OutubroSEMANA 2Broto de Feijão</v>
      </c>
      <c r="B757" s="85" t="s">
        <v>37</v>
      </c>
      <c r="C757" s="85" t="s">
        <v>21</v>
      </c>
      <c r="D757" s="86">
        <v>14</v>
      </c>
      <c r="E757" s="116" t="str">
        <f t="shared" si="35"/>
        <v>Hortifruti</v>
      </c>
      <c r="F757" s="85" t="s">
        <v>1054</v>
      </c>
      <c r="G757" s="85" t="s">
        <v>197</v>
      </c>
      <c r="H757" s="85" t="s">
        <v>1039</v>
      </c>
      <c r="I757" s="85">
        <v>1</v>
      </c>
      <c r="J757" s="87">
        <v>14</v>
      </c>
      <c r="K757" s="88">
        <f t="shared" si="36"/>
        <v>14</v>
      </c>
      <c r="L757" s="85">
        <v>1905</v>
      </c>
      <c r="M757" s="118" t="s">
        <v>690</v>
      </c>
      <c r="N757" s="84"/>
      <c r="O757" s="84" t="s">
        <v>45</v>
      </c>
      <c r="R757"/>
    </row>
    <row r="758" spans="1:18" x14ac:dyDescent="0.25">
      <c r="A758" s="84" t="str">
        <f t="shared" si="34"/>
        <v>OutubroSEMANA 2Capim Limão</v>
      </c>
      <c r="B758" s="85" t="s">
        <v>37</v>
      </c>
      <c r="C758" s="85" t="s">
        <v>21</v>
      </c>
      <c r="D758" s="86">
        <v>14</v>
      </c>
      <c r="E758" s="116" t="str">
        <f t="shared" si="35"/>
        <v>Hortifruti</v>
      </c>
      <c r="F758" s="85" t="s">
        <v>1054</v>
      </c>
      <c r="G758" s="85" t="s">
        <v>211</v>
      </c>
      <c r="H758" s="85" t="s">
        <v>1039</v>
      </c>
      <c r="I758" s="85">
        <v>0.1</v>
      </c>
      <c r="J758" s="87">
        <v>15</v>
      </c>
      <c r="K758" s="88">
        <f t="shared" si="36"/>
        <v>1.5</v>
      </c>
      <c r="L758" s="85">
        <v>1905</v>
      </c>
      <c r="M758" s="118" t="s">
        <v>691</v>
      </c>
      <c r="N758" s="84"/>
      <c r="O758" s="84" t="s">
        <v>43</v>
      </c>
      <c r="R758"/>
    </row>
    <row r="759" spans="1:18" x14ac:dyDescent="0.25">
      <c r="A759" s="84" t="str">
        <f t="shared" si="34"/>
        <v>OutubroSEMANA 2Abacate Sushi</v>
      </c>
      <c r="B759" s="85" t="s">
        <v>37</v>
      </c>
      <c r="C759" s="85" t="s">
        <v>21</v>
      </c>
      <c r="D759" s="86">
        <v>14</v>
      </c>
      <c r="E759" s="116" t="str">
        <f t="shared" si="35"/>
        <v>Sushi</v>
      </c>
      <c r="F759" s="85" t="s">
        <v>1054</v>
      </c>
      <c r="G759" s="85" t="s">
        <v>64</v>
      </c>
      <c r="H759" s="85" t="s">
        <v>1039</v>
      </c>
      <c r="I759" s="85">
        <v>1</v>
      </c>
      <c r="J759" s="87">
        <v>6.8</v>
      </c>
      <c r="K759" s="88">
        <f t="shared" si="36"/>
        <v>6.8</v>
      </c>
      <c r="L759" s="85">
        <v>1905</v>
      </c>
      <c r="M759" s="118" t="s">
        <v>692</v>
      </c>
      <c r="N759" s="84"/>
      <c r="O759" s="84" t="s">
        <v>43</v>
      </c>
      <c r="R759"/>
    </row>
    <row r="760" spans="1:18" x14ac:dyDescent="0.25">
      <c r="A760" s="84" t="str">
        <f t="shared" si="34"/>
        <v xml:space="preserve">OutubroSEMANA 2Abacaxi </v>
      </c>
      <c r="B760" s="85" t="s">
        <v>37</v>
      </c>
      <c r="C760" s="85" t="s">
        <v>21</v>
      </c>
      <c r="D760" s="86">
        <v>14</v>
      </c>
      <c r="E760" s="116" t="str">
        <f t="shared" si="35"/>
        <v>Hortifruti</v>
      </c>
      <c r="F760" s="85" t="s">
        <v>1054</v>
      </c>
      <c r="G760" s="85" t="s">
        <v>65</v>
      </c>
      <c r="H760" s="85" t="s">
        <v>1039</v>
      </c>
      <c r="I760" s="85">
        <v>20</v>
      </c>
      <c r="J760" s="87">
        <v>2.4</v>
      </c>
      <c r="K760" s="88">
        <f t="shared" si="36"/>
        <v>48</v>
      </c>
      <c r="L760" s="85">
        <v>1905</v>
      </c>
      <c r="M760" s="118" t="s">
        <v>693</v>
      </c>
      <c r="N760" s="84"/>
      <c r="O760" s="84" t="s">
        <v>42</v>
      </c>
      <c r="R760"/>
    </row>
    <row r="761" spans="1:18" x14ac:dyDescent="0.25">
      <c r="A761" s="84" t="str">
        <f t="shared" si="34"/>
        <v>OutubroSEMANA 2Limão</v>
      </c>
      <c r="B761" s="85" t="s">
        <v>37</v>
      </c>
      <c r="C761" s="85" t="s">
        <v>21</v>
      </c>
      <c r="D761" s="86">
        <v>14</v>
      </c>
      <c r="E761" s="116" t="str">
        <f t="shared" si="35"/>
        <v>Hortifruti</v>
      </c>
      <c r="F761" s="85" t="s">
        <v>1054</v>
      </c>
      <c r="G761" s="85" t="s">
        <v>464</v>
      </c>
      <c r="H761" s="85" t="s">
        <v>1039</v>
      </c>
      <c r="I761" s="85">
        <v>23.88</v>
      </c>
      <c r="J761" s="87">
        <f>135/23.88</f>
        <v>5.6532663316582914</v>
      </c>
      <c r="K761" s="88">
        <f t="shared" si="36"/>
        <v>135</v>
      </c>
      <c r="L761" s="85">
        <v>1905</v>
      </c>
      <c r="M761" s="118" t="s">
        <v>694</v>
      </c>
      <c r="N761" s="84"/>
      <c r="O761" s="84" t="s">
        <v>45</v>
      </c>
      <c r="R761"/>
    </row>
    <row r="762" spans="1:18" x14ac:dyDescent="0.25">
      <c r="A762" s="84" t="str">
        <f t="shared" si="34"/>
        <v>OutubroSEMANA 2Cará</v>
      </c>
      <c r="B762" s="85" t="s">
        <v>37</v>
      </c>
      <c r="C762" s="85" t="s">
        <v>21</v>
      </c>
      <c r="D762" s="86">
        <v>14</v>
      </c>
      <c r="E762" s="116" t="str">
        <f t="shared" si="35"/>
        <v>Hortifruti</v>
      </c>
      <c r="F762" s="85" t="s">
        <v>1110</v>
      </c>
      <c r="G762" s="85" t="s">
        <v>213</v>
      </c>
      <c r="H762" s="85" t="s">
        <v>1039</v>
      </c>
      <c r="I762" s="85">
        <v>2</v>
      </c>
      <c r="J762" s="87">
        <v>3.75</v>
      </c>
      <c r="K762" s="88">
        <f t="shared" si="36"/>
        <v>7.5</v>
      </c>
      <c r="L762" s="85" t="s">
        <v>1188</v>
      </c>
      <c r="M762" s="118" t="s">
        <v>695</v>
      </c>
      <c r="N762" s="84"/>
      <c r="O762" s="84" t="s">
        <v>45</v>
      </c>
      <c r="R762"/>
    </row>
    <row r="763" spans="1:18" x14ac:dyDescent="0.25">
      <c r="A763" s="84" t="str">
        <f t="shared" si="34"/>
        <v>OutubroSEMANA 2Nabo Japonês</v>
      </c>
      <c r="B763" s="85" t="s">
        <v>37</v>
      </c>
      <c r="C763" s="85" t="s">
        <v>21</v>
      </c>
      <c r="D763" s="86">
        <v>14</v>
      </c>
      <c r="E763" s="116" t="str">
        <f t="shared" si="35"/>
        <v>Hortifruti</v>
      </c>
      <c r="F763" s="85" t="s">
        <v>1110</v>
      </c>
      <c r="G763" s="85" t="s">
        <v>536</v>
      </c>
      <c r="H763" s="85" t="s">
        <v>1039</v>
      </c>
      <c r="I763" s="85">
        <v>1</v>
      </c>
      <c r="J763" s="87">
        <v>5</v>
      </c>
      <c r="K763" s="88">
        <f t="shared" si="36"/>
        <v>5</v>
      </c>
      <c r="L763" s="85" t="s">
        <v>1188</v>
      </c>
      <c r="M763" s="118" t="s">
        <v>696</v>
      </c>
      <c r="N763" s="84"/>
      <c r="O763" s="84" t="s">
        <v>45</v>
      </c>
      <c r="R763"/>
    </row>
    <row r="764" spans="1:18" x14ac:dyDescent="0.25">
      <c r="A764" s="84" t="str">
        <f t="shared" si="34"/>
        <v>OutubroSEMANA 2Rabanete</v>
      </c>
      <c r="B764" s="85" t="s">
        <v>37</v>
      </c>
      <c r="C764" s="85" t="s">
        <v>21</v>
      </c>
      <c r="D764" s="86">
        <v>14</v>
      </c>
      <c r="E764" s="116" t="str">
        <f t="shared" si="35"/>
        <v>Hortifruti</v>
      </c>
      <c r="F764" s="85" t="s">
        <v>1110</v>
      </c>
      <c r="G764" s="85" t="s">
        <v>694</v>
      </c>
      <c r="H764" s="85" t="s">
        <v>1039</v>
      </c>
      <c r="I764" s="85">
        <v>4</v>
      </c>
      <c r="J764" s="87">
        <v>6.5</v>
      </c>
      <c r="K764" s="88">
        <f t="shared" si="36"/>
        <v>26</v>
      </c>
      <c r="L764" s="85" t="s">
        <v>1188</v>
      </c>
      <c r="M764" s="118" t="s">
        <v>697</v>
      </c>
      <c r="N764" s="84"/>
      <c r="O764" s="84" t="s">
        <v>45</v>
      </c>
      <c r="R764"/>
    </row>
    <row r="765" spans="1:18" x14ac:dyDescent="0.25">
      <c r="A765" s="84" t="str">
        <f t="shared" si="34"/>
        <v>OutubroSEMANA 2Abobora</v>
      </c>
      <c r="B765" s="85" t="s">
        <v>37</v>
      </c>
      <c r="C765" s="85" t="s">
        <v>21</v>
      </c>
      <c r="D765" s="86">
        <v>14</v>
      </c>
      <c r="E765" s="116" t="str">
        <f t="shared" si="35"/>
        <v>Hortifruti</v>
      </c>
      <c r="F765" s="85" t="s">
        <v>1110</v>
      </c>
      <c r="G765" s="85" t="s">
        <v>68</v>
      </c>
      <c r="H765" s="85" t="s">
        <v>1039</v>
      </c>
      <c r="I765" s="85">
        <v>5</v>
      </c>
      <c r="J765" s="87">
        <v>2.5099999999999998</v>
      </c>
      <c r="K765" s="88">
        <f t="shared" si="36"/>
        <v>12.549999999999999</v>
      </c>
      <c r="L765" s="85" t="s">
        <v>1188</v>
      </c>
      <c r="M765" s="118" t="s">
        <v>698</v>
      </c>
      <c r="N765" s="84"/>
      <c r="O765" s="84" t="s">
        <v>42</v>
      </c>
      <c r="R765"/>
    </row>
    <row r="766" spans="1:18" x14ac:dyDescent="0.25">
      <c r="A766" s="84" t="str">
        <f t="shared" si="34"/>
        <v>OutubroSEMANA 2Aipo</v>
      </c>
      <c r="B766" s="85" t="s">
        <v>37</v>
      </c>
      <c r="C766" s="85" t="s">
        <v>21</v>
      </c>
      <c r="D766" s="86">
        <v>14</v>
      </c>
      <c r="E766" s="116" t="str">
        <f t="shared" si="35"/>
        <v>Hortifruti</v>
      </c>
      <c r="F766" s="85" t="s">
        <v>1110</v>
      </c>
      <c r="G766" s="85" t="s">
        <v>96</v>
      </c>
      <c r="H766" s="85" t="s">
        <v>1039</v>
      </c>
      <c r="I766" s="85">
        <v>1</v>
      </c>
      <c r="J766" s="87">
        <v>3.9</v>
      </c>
      <c r="K766" s="88">
        <f t="shared" si="36"/>
        <v>3.9</v>
      </c>
      <c r="L766" s="85" t="s">
        <v>1188</v>
      </c>
      <c r="M766" s="118" t="s">
        <v>699</v>
      </c>
      <c r="N766" s="84"/>
      <c r="O766" s="84" t="s">
        <v>42</v>
      </c>
      <c r="R766"/>
    </row>
    <row r="767" spans="1:18" x14ac:dyDescent="0.25">
      <c r="A767" s="84" t="str">
        <f t="shared" si="34"/>
        <v>OutubroSEMANA 2Banana D'Água</v>
      </c>
      <c r="B767" s="85" t="s">
        <v>37</v>
      </c>
      <c r="C767" s="85" t="s">
        <v>21</v>
      </c>
      <c r="D767" s="86">
        <v>14</v>
      </c>
      <c r="E767" s="116" t="str">
        <f t="shared" si="35"/>
        <v>Hortifruti</v>
      </c>
      <c r="F767" s="85" t="s">
        <v>1110</v>
      </c>
      <c r="G767" s="85" t="s">
        <v>162</v>
      </c>
      <c r="H767" s="85" t="s">
        <v>1039</v>
      </c>
      <c r="I767" s="85">
        <v>3</v>
      </c>
      <c r="J767" s="87">
        <v>1.88</v>
      </c>
      <c r="K767" s="88">
        <f t="shared" si="36"/>
        <v>5.64</v>
      </c>
      <c r="L767" s="85" t="s">
        <v>1188</v>
      </c>
      <c r="M767" s="118" t="s">
        <v>700</v>
      </c>
      <c r="N767" s="84"/>
      <c r="O767" s="84" t="s">
        <v>42</v>
      </c>
      <c r="R767"/>
    </row>
    <row r="768" spans="1:18" x14ac:dyDescent="0.25">
      <c r="A768" s="84" t="str">
        <f t="shared" si="34"/>
        <v>OutubroSEMANA 2Beterraba</v>
      </c>
      <c r="B768" s="85" t="s">
        <v>37</v>
      </c>
      <c r="C768" s="85" t="s">
        <v>21</v>
      </c>
      <c r="D768" s="86">
        <v>14</v>
      </c>
      <c r="E768" s="116" t="str">
        <f t="shared" si="35"/>
        <v>Hortifruti</v>
      </c>
      <c r="F768" s="85" t="s">
        <v>1110</v>
      </c>
      <c r="G768" s="85" t="s">
        <v>181</v>
      </c>
      <c r="H768" s="85" t="s">
        <v>1039</v>
      </c>
      <c r="I768" s="85">
        <v>12</v>
      </c>
      <c r="J768" s="87">
        <v>1.4</v>
      </c>
      <c r="K768" s="88">
        <f t="shared" si="36"/>
        <v>16.799999999999997</v>
      </c>
      <c r="L768" s="85" t="s">
        <v>1188</v>
      </c>
      <c r="M768" s="118" t="s">
        <v>934</v>
      </c>
      <c r="O768" s="115" t="s">
        <v>46</v>
      </c>
      <c r="R768"/>
    </row>
    <row r="769" spans="1:18" x14ac:dyDescent="0.25">
      <c r="A769" s="84" t="str">
        <f t="shared" si="34"/>
        <v>OutubroSEMANA 2Coentro</v>
      </c>
      <c r="B769" s="85" t="s">
        <v>37</v>
      </c>
      <c r="C769" s="85" t="s">
        <v>21</v>
      </c>
      <c r="D769" s="86">
        <v>14</v>
      </c>
      <c r="E769" s="116" t="str">
        <f t="shared" si="35"/>
        <v>Hortifruti</v>
      </c>
      <c r="F769" s="85" t="s">
        <v>1110</v>
      </c>
      <c r="G769" s="85" t="s">
        <v>289</v>
      </c>
      <c r="H769" s="85" t="s">
        <v>1039</v>
      </c>
      <c r="I769" s="85">
        <v>0.5</v>
      </c>
      <c r="J769" s="87">
        <v>11.25</v>
      </c>
      <c r="K769" s="88">
        <f t="shared" si="36"/>
        <v>5.625</v>
      </c>
      <c r="L769" s="85" t="s">
        <v>1188</v>
      </c>
      <c r="M769" s="118" t="s">
        <v>701</v>
      </c>
      <c r="N769" s="84"/>
      <c r="O769" s="84" t="s">
        <v>45</v>
      </c>
      <c r="R769"/>
    </row>
    <row r="770" spans="1:18" x14ac:dyDescent="0.25">
      <c r="A770" s="84" t="str">
        <f t="shared" ref="A770:A833" si="37">CONCATENATE(B770,C770,G770)</f>
        <v xml:space="preserve">OutubroSEMANA 2Melão de Rede </v>
      </c>
      <c r="B770" s="85" t="s">
        <v>37</v>
      </c>
      <c r="C770" s="85" t="s">
        <v>21</v>
      </c>
      <c r="D770" s="86">
        <v>14</v>
      </c>
      <c r="E770" s="116" t="str">
        <f t="shared" ref="E770:E833" si="38">VLOOKUP(G770,$M$1:$O$968,3,0)</f>
        <v>Hortifruti</v>
      </c>
      <c r="F770" s="85" t="s">
        <v>1110</v>
      </c>
      <c r="G770" s="85" t="s">
        <v>518</v>
      </c>
      <c r="H770" s="85" t="s">
        <v>1039</v>
      </c>
      <c r="I770" s="85">
        <v>2</v>
      </c>
      <c r="J770" s="87">
        <v>5</v>
      </c>
      <c r="K770" s="88">
        <f t="shared" ref="K770:K833" si="39">I770*J770</f>
        <v>10</v>
      </c>
      <c r="L770" s="85" t="s">
        <v>1188</v>
      </c>
      <c r="M770" s="118" t="s">
        <v>702</v>
      </c>
      <c r="N770" s="84"/>
      <c r="O770" s="84" t="s">
        <v>45</v>
      </c>
      <c r="R770"/>
    </row>
    <row r="771" spans="1:18" x14ac:dyDescent="0.25">
      <c r="A771" s="84" t="str">
        <f t="shared" si="37"/>
        <v>OutubroSEMANA 2Pimentão Verde</v>
      </c>
      <c r="B771" s="85" t="s">
        <v>37</v>
      </c>
      <c r="C771" s="85" t="s">
        <v>21</v>
      </c>
      <c r="D771" s="86">
        <v>14</v>
      </c>
      <c r="E771" s="116" t="str">
        <f t="shared" si="38"/>
        <v>Hortifruti</v>
      </c>
      <c r="F771" s="85" t="s">
        <v>1110</v>
      </c>
      <c r="G771" s="85" t="s">
        <v>666</v>
      </c>
      <c r="H771" s="85" t="s">
        <v>1039</v>
      </c>
      <c r="I771" s="85">
        <v>1</v>
      </c>
      <c r="J771" s="87">
        <v>3.48</v>
      </c>
      <c r="K771" s="88">
        <f t="shared" si="39"/>
        <v>3.48</v>
      </c>
      <c r="L771" s="85" t="s">
        <v>1188</v>
      </c>
      <c r="M771" s="118" t="s">
        <v>703</v>
      </c>
      <c r="N771" s="84"/>
      <c r="O771" s="84" t="s">
        <v>45</v>
      </c>
      <c r="R771"/>
    </row>
    <row r="772" spans="1:18" x14ac:dyDescent="0.25">
      <c r="A772" s="84" t="str">
        <f t="shared" si="37"/>
        <v>OutubroSEMANA 2Cebolinha Verde</v>
      </c>
      <c r="B772" s="85" t="s">
        <v>37</v>
      </c>
      <c r="C772" s="85" t="s">
        <v>21</v>
      </c>
      <c r="D772" s="86">
        <v>14</v>
      </c>
      <c r="E772" s="116" t="str">
        <f t="shared" si="38"/>
        <v>Hortifruti</v>
      </c>
      <c r="F772" s="85" t="s">
        <v>1055</v>
      </c>
      <c r="G772" s="85" t="s">
        <v>247</v>
      </c>
      <c r="H772" s="85" t="s">
        <v>1039</v>
      </c>
      <c r="I772" s="85">
        <f>1-0.45</f>
        <v>0.55000000000000004</v>
      </c>
      <c r="J772" s="87">
        <v>7.5</v>
      </c>
      <c r="K772" s="88">
        <f t="shared" si="39"/>
        <v>4.125</v>
      </c>
      <c r="L772" s="85">
        <v>4749</v>
      </c>
      <c r="M772" s="118" t="s">
        <v>1018</v>
      </c>
      <c r="O772" s="84" t="s">
        <v>875</v>
      </c>
      <c r="R772"/>
    </row>
    <row r="773" spans="1:18" x14ac:dyDescent="0.25">
      <c r="A773" s="84" t="str">
        <f t="shared" si="37"/>
        <v>OutubroSEMANA 2Côco Verde</v>
      </c>
      <c r="B773" s="85" t="s">
        <v>37</v>
      </c>
      <c r="C773" s="85" t="s">
        <v>21</v>
      </c>
      <c r="D773" s="86">
        <v>14</v>
      </c>
      <c r="E773" s="116" t="str">
        <f t="shared" si="38"/>
        <v>Hortifruti</v>
      </c>
      <c r="F773" s="85" t="s">
        <v>1055</v>
      </c>
      <c r="G773" s="85" t="s">
        <v>288</v>
      </c>
      <c r="H773" s="85" t="s">
        <v>1038</v>
      </c>
      <c r="I773" s="85">
        <v>30</v>
      </c>
      <c r="J773" s="87">
        <v>1.91</v>
      </c>
      <c r="K773" s="88">
        <f t="shared" si="39"/>
        <v>57.3</v>
      </c>
      <c r="L773" s="85">
        <v>4749</v>
      </c>
      <c r="M773" s="118" t="s">
        <v>1019</v>
      </c>
      <c r="O773" s="84" t="s">
        <v>875</v>
      </c>
      <c r="R773"/>
    </row>
    <row r="774" spans="1:18" x14ac:dyDescent="0.25">
      <c r="A774" s="84" t="str">
        <f t="shared" si="37"/>
        <v>OutubroSEMANA 2Laranja Pera</v>
      </c>
      <c r="B774" s="85" t="s">
        <v>37</v>
      </c>
      <c r="C774" s="85" t="s">
        <v>21</v>
      </c>
      <c r="D774" s="86">
        <v>14</v>
      </c>
      <c r="E774" s="116" t="str">
        <f t="shared" si="38"/>
        <v>Hortifruti</v>
      </c>
      <c r="F774" s="85" t="s">
        <v>1055</v>
      </c>
      <c r="G774" s="85" t="s">
        <v>457</v>
      </c>
      <c r="H774" s="85" t="s">
        <v>1039</v>
      </c>
      <c r="I774" s="85">
        <v>42</v>
      </c>
      <c r="J774" s="87">
        <f>54/42</f>
        <v>1.2857142857142858</v>
      </c>
      <c r="K774" s="88">
        <f t="shared" si="39"/>
        <v>54.000000000000007</v>
      </c>
      <c r="L774" s="85">
        <v>4749</v>
      </c>
      <c r="M774" s="118" t="s">
        <v>704</v>
      </c>
      <c r="N774" s="84"/>
      <c r="O774" s="84" t="s">
        <v>42</v>
      </c>
      <c r="R774"/>
    </row>
    <row r="775" spans="1:18" x14ac:dyDescent="0.25">
      <c r="A775" s="84" t="str">
        <f t="shared" si="37"/>
        <v>OutubroSEMANA 2Manga Palmer</v>
      </c>
      <c r="B775" s="85" t="s">
        <v>37</v>
      </c>
      <c r="C775" s="85" t="s">
        <v>21</v>
      </c>
      <c r="D775" s="86">
        <v>14</v>
      </c>
      <c r="E775" s="116" t="str">
        <f t="shared" si="38"/>
        <v>Hortifruti</v>
      </c>
      <c r="F775" s="85" t="s">
        <v>1055</v>
      </c>
      <c r="G775" s="85" t="s">
        <v>496</v>
      </c>
      <c r="H775" s="85" t="s">
        <v>1039</v>
      </c>
      <c r="I775" s="85">
        <v>6</v>
      </c>
      <c r="J775" s="87">
        <v>4</v>
      </c>
      <c r="K775" s="88">
        <f t="shared" si="39"/>
        <v>24</v>
      </c>
      <c r="L775" s="85">
        <v>4749</v>
      </c>
      <c r="M775" s="118" t="s">
        <v>705</v>
      </c>
      <c r="N775" s="84"/>
      <c r="O775" s="84" t="s">
        <v>42</v>
      </c>
      <c r="R775"/>
    </row>
    <row r="776" spans="1:18" x14ac:dyDescent="0.25">
      <c r="A776" s="84" t="str">
        <f t="shared" si="37"/>
        <v>OutubroSEMANA 2Salsa</v>
      </c>
      <c r="B776" s="85" t="s">
        <v>37</v>
      </c>
      <c r="C776" s="85" t="s">
        <v>21</v>
      </c>
      <c r="D776" s="86">
        <v>14</v>
      </c>
      <c r="E776" s="116" t="str">
        <f t="shared" si="38"/>
        <v>Hortifruti</v>
      </c>
      <c r="F776" s="85" t="s">
        <v>1055</v>
      </c>
      <c r="G776" s="85" t="s">
        <v>729</v>
      </c>
      <c r="H776" s="85" t="s">
        <v>1039</v>
      </c>
      <c r="I776" s="85">
        <v>1</v>
      </c>
      <c r="J776" s="87">
        <v>7.5</v>
      </c>
      <c r="K776" s="88">
        <f t="shared" si="39"/>
        <v>7.5</v>
      </c>
      <c r="L776" s="85">
        <v>4749</v>
      </c>
      <c r="M776" s="118" t="s">
        <v>706</v>
      </c>
      <c r="N776" s="84"/>
      <c r="O776" s="84" t="s">
        <v>45</v>
      </c>
      <c r="R776"/>
    </row>
    <row r="777" spans="1:18" x14ac:dyDescent="0.25">
      <c r="A777" s="84" t="str">
        <f t="shared" si="37"/>
        <v>OutubroSEMANA 2Aspargos Frescos</v>
      </c>
      <c r="B777" s="85" t="s">
        <v>37</v>
      </c>
      <c r="C777" s="85" t="s">
        <v>21</v>
      </c>
      <c r="D777" s="86">
        <v>14</v>
      </c>
      <c r="E777" s="116" t="str">
        <f t="shared" si="38"/>
        <v>Hortifruti</v>
      </c>
      <c r="F777" s="85" t="s">
        <v>1055</v>
      </c>
      <c r="G777" s="85" t="s">
        <v>1303</v>
      </c>
      <c r="H777" s="85" t="s">
        <v>1039</v>
      </c>
      <c r="I777" s="85">
        <v>1.5</v>
      </c>
      <c r="J777" s="87">
        <v>32</v>
      </c>
      <c r="K777" s="88">
        <f t="shared" si="39"/>
        <v>48</v>
      </c>
      <c r="L777" s="85">
        <v>4749</v>
      </c>
      <c r="M777" s="118" t="s">
        <v>884</v>
      </c>
      <c r="N777" s="84"/>
      <c r="O777" s="84" t="s">
        <v>875</v>
      </c>
      <c r="R777"/>
    </row>
    <row r="778" spans="1:18" x14ac:dyDescent="0.25">
      <c r="A778" s="84" t="str">
        <f t="shared" si="37"/>
        <v>OutubroSEMANA 2Cebola</v>
      </c>
      <c r="B778" s="85" t="s">
        <v>37</v>
      </c>
      <c r="C778" s="85" t="s">
        <v>21</v>
      </c>
      <c r="D778" s="86">
        <v>14</v>
      </c>
      <c r="E778" s="116" t="str">
        <f t="shared" si="38"/>
        <v>Hortifruti</v>
      </c>
      <c r="F778" s="85" t="s">
        <v>1055</v>
      </c>
      <c r="G778" s="85" t="s">
        <v>241</v>
      </c>
      <c r="H778" s="85" t="s">
        <v>1039</v>
      </c>
      <c r="I778" s="85">
        <v>18.34</v>
      </c>
      <c r="J778" s="87">
        <f>26.99/18.34</f>
        <v>1.4716466739367502</v>
      </c>
      <c r="K778" s="88">
        <f t="shared" si="39"/>
        <v>26.99</v>
      </c>
      <c r="L778" s="85">
        <v>4749</v>
      </c>
      <c r="M778" s="118" t="s">
        <v>707</v>
      </c>
      <c r="N778" s="84"/>
      <c r="O778" s="84" t="s">
        <v>45</v>
      </c>
      <c r="R778"/>
    </row>
    <row r="779" spans="1:18" x14ac:dyDescent="0.25">
      <c r="A779" s="84" t="str">
        <f t="shared" si="37"/>
        <v>OutubroSEMANA 2Couve Flor</v>
      </c>
      <c r="B779" s="85" t="s">
        <v>37</v>
      </c>
      <c r="C779" s="85" t="s">
        <v>21</v>
      </c>
      <c r="D779" s="86">
        <v>14</v>
      </c>
      <c r="E779" s="116" t="str">
        <f t="shared" si="38"/>
        <v>Hortifruti</v>
      </c>
      <c r="F779" s="85" t="s">
        <v>1055</v>
      </c>
      <c r="G779" s="85" t="s">
        <v>306</v>
      </c>
      <c r="H779" s="85" t="s">
        <v>1039</v>
      </c>
      <c r="I779" s="85">
        <v>3.5</v>
      </c>
      <c r="J779" s="87">
        <v>4.25</v>
      </c>
      <c r="K779" s="88">
        <f t="shared" si="39"/>
        <v>14.875</v>
      </c>
      <c r="L779" s="85">
        <v>4749</v>
      </c>
      <c r="M779" s="118" t="s">
        <v>708</v>
      </c>
      <c r="N779" s="84"/>
      <c r="O779" s="84" t="s">
        <v>46</v>
      </c>
      <c r="R779"/>
    </row>
    <row r="780" spans="1:18" x14ac:dyDescent="0.25">
      <c r="A780" s="84" t="str">
        <f t="shared" si="37"/>
        <v>OutubroSEMANA 2Goiaba</v>
      </c>
      <c r="B780" s="85" t="s">
        <v>37</v>
      </c>
      <c r="C780" s="85" t="s">
        <v>21</v>
      </c>
      <c r="D780" s="86">
        <v>14</v>
      </c>
      <c r="E780" s="116" t="str">
        <f t="shared" si="38"/>
        <v>Hortifruti</v>
      </c>
      <c r="F780" s="85" t="s">
        <v>1055</v>
      </c>
      <c r="G780" s="85" t="s">
        <v>391</v>
      </c>
      <c r="H780" s="85" t="s">
        <v>1039</v>
      </c>
      <c r="I780" s="90">
        <v>2.5</v>
      </c>
      <c r="J780" s="89">
        <f>15/2.5</f>
        <v>6</v>
      </c>
      <c r="K780" s="88">
        <f t="shared" si="39"/>
        <v>15</v>
      </c>
      <c r="L780" s="85">
        <v>4749</v>
      </c>
      <c r="M780" s="118" t="s">
        <v>709</v>
      </c>
      <c r="N780" s="84"/>
      <c r="O780" s="84" t="s">
        <v>46</v>
      </c>
      <c r="R780"/>
    </row>
    <row r="781" spans="1:18" x14ac:dyDescent="0.25">
      <c r="A781" s="84" t="str">
        <f t="shared" si="37"/>
        <v>OutubroSEMANA 2Salsa Crespa Sushi</v>
      </c>
      <c r="B781" s="85" t="s">
        <v>37</v>
      </c>
      <c r="C781" s="85" t="s">
        <v>21</v>
      </c>
      <c r="D781" s="86">
        <v>14</v>
      </c>
      <c r="E781" s="116" t="str">
        <f t="shared" si="38"/>
        <v>Sushi</v>
      </c>
      <c r="F781" s="85" t="s">
        <v>1055</v>
      </c>
      <c r="G781" s="85" t="s">
        <v>731</v>
      </c>
      <c r="H781" s="85" t="s">
        <v>1039</v>
      </c>
      <c r="I781" s="85">
        <v>0.1</v>
      </c>
      <c r="J781" s="87">
        <v>17.5</v>
      </c>
      <c r="K781" s="88">
        <f t="shared" si="39"/>
        <v>1.75</v>
      </c>
      <c r="L781" s="85" t="s">
        <v>1201</v>
      </c>
      <c r="M781" s="118" t="s">
        <v>710</v>
      </c>
      <c r="N781" s="84"/>
      <c r="O781" s="84" t="s">
        <v>46</v>
      </c>
      <c r="R781"/>
    </row>
    <row r="782" spans="1:18" x14ac:dyDescent="0.25">
      <c r="A782" s="84" t="str">
        <f t="shared" si="37"/>
        <v>OutubroSEMANA 2Limão Siciliano</v>
      </c>
      <c r="B782" s="85" t="s">
        <v>37</v>
      </c>
      <c r="C782" s="85" t="s">
        <v>21</v>
      </c>
      <c r="D782" s="86">
        <v>14</v>
      </c>
      <c r="E782" s="116" t="str">
        <f t="shared" si="38"/>
        <v>Hortifruti</v>
      </c>
      <c r="F782" s="85" t="s">
        <v>1056</v>
      </c>
      <c r="G782" s="85" t="s">
        <v>466</v>
      </c>
      <c r="H782" s="85" t="s">
        <v>1039</v>
      </c>
      <c r="I782" s="85">
        <v>0.72499999999999998</v>
      </c>
      <c r="J782" s="87">
        <v>9.49</v>
      </c>
      <c r="K782" s="88">
        <f t="shared" si="39"/>
        <v>6.8802500000000002</v>
      </c>
      <c r="L782" s="85">
        <v>22793</v>
      </c>
      <c r="M782" s="118" t="s">
        <v>711</v>
      </c>
      <c r="N782" s="84"/>
      <c r="O782" s="84" t="s">
        <v>46</v>
      </c>
      <c r="R782"/>
    </row>
    <row r="783" spans="1:18" x14ac:dyDescent="0.25">
      <c r="A783" s="84" t="str">
        <f t="shared" si="37"/>
        <v>OutubroSEMANA 2Cebolinha Verde Sushi</v>
      </c>
      <c r="B783" s="85" t="s">
        <v>37</v>
      </c>
      <c r="C783" s="85" t="s">
        <v>21</v>
      </c>
      <c r="D783" s="86">
        <v>14</v>
      </c>
      <c r="E783" s="116" t="str">
        <f t="shared" si="38"/>
        <v>Sushi</v>
      </c>
      <c r="F783" s="85" t="s">
        <v>1055</v>
      </c>
      <c r="G783" s="85" t="s">
        <v>248</v>
      </c>
      <c r="H783" s="85" t="s">
        <v>1039</v>
      </c>
      <c r="I783" s="85">
        <v>0.45</v>
      </c>
      <c r="J783" s="87">
        <v>7.5</v>
      </c>
      <c r="K783" s="88">
        <f t="shared" si="39"/>
        <v>3.375</v>
      </c>
      <c r="L783" s="85">
        <v>4749</v>
      </c>
      <c r="M783" s="118" t="s">
        <v>712</v>
      </c>
      <c r="N783" s="84"/>
      <c r="O783" s="84" t="s">
        <v>46</v>
      </c>
      <c r="R783"/>
    </row>
    <row r="784" spans="1:18" x14ac:dyDescent="0.25">
      <c r="A784" s="84" t="str">
        <f t="shared" si="37"/>
        <v>OutubroSEMANA 2Pepino Japonês Sushi</v>
      </c>
      <c r="B784" s="85" t="s">
        <v>37</v>
      </c>
      <c r="C784" s="85" t="s">
        <v>21</v>
      </c>
      <c r="D784" s="86">
        <v>14</v>
      </c>
      <c r="E784" s="116" t="str">
        <f t="shared" si="38"/>
        <v>Sushi</v>
      </c>
      <c r="F784" s="85" t="s">
        <v>1054</v>
      </c>
      <c r="G784" s="85" t="s">
        <v>579</v>
      </c>
      <c r="H784" s="85" t="s">
        <v>1039</v>
      </c>
      <c r="I784" s="85">
        <f>0.56+0.48+0.89</f>
        <v>1.9300000000000002</v>
      </c>
      <c r="J784" s="87">
        <f>50/18.04</f>
        <v>2.7716186252771622</v>
      </c>
      <c r="K784" s="88">
        <f t="shared" si="39"/>
        <v>5.3492239467849236</v>
      </c>
      <c r="L784" s="85">
        <v>1905</v>
      </c>
      <c r="M784" s="118" t="s">
        <v>713</v>
      </c>
      <c r="N784" s="84"/>
      <c r="O784" s="84" t="s">
        <v>46</v>
      </c>
      <c r="R784"/>
    </row>
    <row r="785" spans="1:18" x14ac:dyDescent="0.25">
      <c r="A785" s="84" t="str">
        <f t="shared" si="37"/>
        <v>OutubroSEMANA 2Açucar Refinado Sushi</v>
      </c>
      <c r="B785" s="85" t="s">
        <v>37</v>
      </c>
      <c r="C785" s="85" t="s">
        <v>21</v>
      </c>
      <c r="D785" s="86">
        <v>11</v>
      </c>
      <c r="E785" s="116" t="str">
        <f t="shared" si="38"/>
        <v>Sushi</v>
      </c>
      <c r="F785" s="85" t="s">
        <v>1080</v>
      </c>
      <c r="G785" s="85" t="s">
        <v>80</v>
      </c>
      <c r="H785" s="85" t="s">
        <v>1039</v>
      </c>
      <c r="I785" s="85">
        <f>7+1+6</f>
        <v>14</v>
      </c>
      <c r="J785" s="87">
        <v>2.25</v>
      </c>
      <c r="K785" s="88">
        <f t="shared" si="39"/>
        <v>31.5</v>
      </c>
      <c r="L785" s="85" t="s">
        <v>1154</v>
      </c>
      <c r="M785" s="118" t="s">
        <v>714</v>
      </c>
      <c r="N785" s="84"/>
      <c r="O785" s="84" t="s">
        <v>46</v>
      </c>
      <c r="R785"/>
    </row>
    <row r="786" spans="1:18" x14ac:dyDescent="0.25">
      <c r="A786" s="84" t="str">
        <f t="shared" si="37"/>
        <v>OutubroSEMANA 3Gelo em Escamas</v>
      </c>
      <c r="B786" s="85" t="s">
        <v>37</v>
      </c>
      <c r="C786" s="85" t="s">
        <v>22</v>
      </c>
      <c r="D786" s="86">
        <v>15</v>
      </c>
      <c r="E786" s="116" t="str">
        <f t="shared" si="38"/>
        <v>Mercado</v>
      </c>
      <c r="F786" s="85" t="s">
        <v>1040</v>
      </c>
      <c r="G786" s="85" t="s">
        <v>384</v>
      </c>
      <c r="H786" s="85" t="s">
        <v>1041</v>
      </c>
      <c r="I786" s="85">
        <v>2</v>
      </c>
      <c r="J786" s="87">
        <v>7.5</v>
      </c>
      <c r="K786" s="88">
        <f t="shared" si="39"/>
        <v>15</v>
      </c>
      <c r="L786" s="85">
        <v>10671</v>
      </c>
      <c r="M786" s="118" t="s">
        <v>715</v>
      </c>
      <c r="N786" s="84"/>
      <c r="O786" s="84" t="s">
        <v>875</v>
      </c>
      <c r="R786"/>
    </row>
    <row r="787" spans="1:18" x14ac:dyDescent="0.25">
      <c r="A787" s="84" t="str">
        <f t="shared" si="37"/>
        <v>OutubroSEMANA 3Gelo em Cubo</v>
      </c>
      <c r="B787" s="85" t="s">
        <v>37</v>
      </c>
      <c r="C787" s="85" t="s">
        <v>22</v>
      </c>
      <c r="D787" s="86">
        <v>15</v>
      </c>
      <c r="E787" s="116" t="str">
        <f t="shared" si="38"/>
        <v>Mercado</v>
      </c>
      <c r="F787" s="85" t="s">
        <v>1040</v>
      </c>
      <c r="G787" s="85" t="s">
        <v>383</v>
      </c>
      <c r="H787" s="85" t="s">
        <v>1041</v>
      </c>
      <c r="I787" s="85">
        <v>2</v>
      </c>
      <c r="J787" s="87">
        <v>7.5</v>
      </c>
      <c r="K787" s="88">
        <f t="shared" si="39"/>
        <v>15</v>
      </c>
      <c r="L787" s="85">
        <v>10671</v>
      </c>
      <c r="M787" s="118" t="s">
        <v>716</v>
      </c>
      <c r="N787" s="84"/>
      <c r="O787" s="84" t="s">
        <v>875</v>
      </c>
      <c r="R787"/>
    </row>
    <row r="788" spans="1:18" x14ac:dyDescent="0.25">
      <c r="A788" s="84" t="str">
        <f t="shared" si="37"/>
        <v>OutubroSEMANA 3Batata Doce</v>
      </c>
      <c r="B788" s="85" t="s">
        <v>37</v>
      </c>
      <c r="C788" s="85" t="s">
        <v>22</v>
      </c>
      <c r="D788" s="86">
        <v>16</v>
      </c>
      <c r="E788" s="116" t="str">
        <f t="shared" si="38"/>
        <v>Hortifruti</v>
      </c>
      <c r="F788" s="85" t="s">
        <v>1054</v>
      </c>
      <c r="G788" s="85" t="s">
        <v>170</v>
      </c>
      <c r="H788" s="85" t="s">
        <v>1039</v>
      </c>
      <c r="I788" s="85">
        <v>20.36</v>
      </c>
      <c r="J788" s="87">
        <f>35/20.36</f>
        <v>1.7190569744597251</v>
      </c>
      <c r="K788" s="88">
        <f t="shared" si="39"/>
        <v>35</v>
      </c>
      <c r="L788" s="85">
        <v>1916</v>
      </c>
      <c r="M788" s="118" t="s">
        <v>717</v>
      </c>
      <c r="N788" s="84"/>
      <c r="O788" s="84" t="s">
        <v>873</v>
      </c>
      <c r="R788"/>
    </row>
    <row r="789" spans="1:18" x14ac:dyDescent="0.25">
      <c r="A789" s="84" t="str">
        <f t="shared" si="37"/>
        <v>OutubroSEMANA 3Cenoura</v>
      </c>
      <c r="B789" s="85" t="s">
        <v>37</v>
      </c>
      <c r="C789" s="85" t="s">
        <v>22</v>
      </c>
      <c r="D789" s="86">
        <v>16</v>
      </c>
      <c r="E789" s="116" t="str">
        <f t="shared" si="38"/>
        <v>Hortifruti</v>
      </c>
      <c r="F789" s="85" t="s">
        <v>1054</v>
      </c>
      <c r="G789" s="85" t="s">
        <v>249</v>
      </c>
      <c r="H789" s="85" t="s">
        <v>1039</v>
      </c>
      <c r="I789" s="85">
        <v>19.78</v>
      </c>
      <c r="J789" s="87">
        <f>45/19.78</f>
        <v>2.2750252780586449</v>
      </c>
      <c r="K789" s="88">
        <f t="shared" si="39"/>
        <v>45</v>
      </c>
      <c r="L789" s="85">
        <v>1916</v>
      </c>
      <c r="M789" s="118" t="s">
        <v>718</v>
      </c>
      <c r="N789" s="84"/>
      <c r="O789" s="84" t="s">
        <v>873</v>
      </c>
      <c r="R789"/>
    </row>
    <row r="790" spans="1:18" x14ac:dyDescent="0.25">
      <c r="A790" s="84" t="str">
        <f t="shared" si="37"/>
        <v>OutubroSEMANA 3Chuchu</v>
      </c>
      <c r="B790" s="85" t="s">
        <v>37</v>
      </c>
      <c r="C790" s="85" t="s">
        <v>22</v>
      </c>
      <c r="D790" s="86">
        <v>16</v>
      </c>
      <c r="E790" s="116" t="str">
        <f t="shared" si="38"/>
        <v>Hortifruti</v>
      </c>
      <c r="F790" s="85" t="s">
        <v>1054</v>
      </c>
      <c r="G790" s="85" t="s">
        <v>280</v>
      </c>
      <c r="H790" s="85" t="s">
        <v>1039</v>
      </c>
      <c r="I790" s="85">
        <v>16.239999999999998</v>
      </c>
      <c r="J790" s="87">
        <f>30/16.24</f>
        <v>1.8472906403940887</v>
      </c>
      <c r="K790" s="88">
        <f t="shared" si="39"/>
        <v>30</v>
      </c>
      <c r="L790" s="85">
        <v>1916</v>
      </c>
      <c r="M790" s="118" t="s">
        <v>719</v>
      </c>
      <c r="N790" s="84"/>
      <c r="O790" s="84" t="s">
        <v>873</v>
      </c>
      <c r="R790"/>
    </row>
    <row r="791" spans="1:18" x14ac:dyDescent="0.25">
      <c r="A791" s="84" t="str">
        <f t="shared" si="37"/>
        <v>OutubroSEMANA 3Pimentão Amarelo</v>
      </c>
      <c r="B791" s="85" t="s">
        <v>37</v>
      </c>
      <c r="C791" s="85" t="s">
        <v>22</v>
      </c>
      <c r="D791" s="86">
        <v>16</v>
      </c>
      <c r="E791" s="116" t="str">
        <f t="shared" si="38"/>
        <v>Hortifruti</v>
      </c>
      <c r="F791" s="85" t="s">
        <v>1054</v>
      </c>
      <c r="G791" s="85" t="s">
        <v>664</v>
      </c>
      <c r="H791" s="85" t="s">
        <v>1039</v>
      </c>
      <c r="I791" s="85">
        <v>2</v>
      </c>
      <c r="J791" s="87">
        <v>15</v>
      </c>
      <c r="K791" s="88">
        <f t="shared" si="39"/>
        <v>30</v>
      </c>
      <c r="L791" s="85">
        <v>1916</v>
      </c>
      <c r="M791" s="118" t="s">
        <v>972</v>
      </c>
      <c r="N791" s="84"/>
      <c r="O791" s="84" t="s">
        <v>875</v>
      </c>
      <c r="R791"/>
    </row>
    <row r="792" spans="1:18" x14ac:dyDescent="0.25">
      <c r="A792" s="84" t="str">
        <f t="shared" si="37"/>
        <v>OutubroSEMANA 3Tomate Salada</v>
      </c>
      <c r="B792" s="85" t="s">
        <v>37</v>
      </c>
      <c r="C792" s="85" t="s">
        <v>22</v>
      </c>
      <c r="D792" s="86">
        <v>16</v>
      </c>
      <c r="E792" s="116" t="str">
        <f t="shared" si="38"/>
        <v>Hortifruti</v>
      </c>
      <c r="F792" s="85" t="s">
        <v>1054</v>
      </c>
      <c r="G792" s="85" t="s">
        <v>795</v>
      </c>
      <c r="H792" s="85" t="s">
        <v>1039</v>
      </c>
      <c r="I792" s="85">
        <v>21.7</v>
      </c>
      <c r="J792" s="87">
        <f>70/21.7</f>
        <v>3.2258064516129035</v>
      </c>
      <c r="K792" s="88">
        <f t="shared" si="39"/>
        <v>70</v>
      </c>
      <c r="L792" s="85">
        <v>1916</v>
      </c>
      <c r="M792" s="118" t="s">
        <v>720</v>
      </c>
      <c r="N792" s="84"/>
      <c r="O792" s="84" t="s">
        <v>873</v>
      </c>
      <c r="R792"/>
    </row>
    <row r="793" spans="1:18" x14ac:dyDescent="0.25">
      <c r="A793" s="84" t="str">
        <f t="shared" si="37"/>
        <v>OutubroSEMANA 3Coentro</v>
      </c>
      <c r="B793" s="85" t="s">
        <v>37</v>
      </c>
      <c r="C793" s="85" t="s">
        <v>22</v>
      </c>
      <c r="D793" s="86">
        <v>16</v>
      </c>
      <c r="E793" s="116" t="str">
        <f t="shared" si="38"/>
        <v>Hortifruti</v>
      </c>
      <c r="F793" s="85" t="s">
        <v>1054</v>
      </c>
      <c r="G793" s="85" t="s">
        <v>289</v>
      </c>
      <c r="H793" s="85" t="s">
        <v>1039</v>
      </c>
      <c r="I793" s="85">
        <v>0.5</v>
      </c>
      <c r="J793" s="87">
        <v>14</v>
      </c>
      <c r="K793" s="88">
        <f t="shared" si="39"/>
        <v>7</v>
      </c>
      <c r="L793" s="85">
        <v>1916</v>
      </c>
      <c r="M793" s="118" t="s">
        <v>721</v>
      </c>
      <c r="N793" s="84"/>
      <c r="O793" s="84" t="s">
        <v>873</v>
      </c>
      <c r="R793"/>
    </row>
    <row r="794" spans="1:18" x14ac:dyDescent="0.25">
      <c r="A794" s="84" t="str">
        <f t="shared" si="37"/>
        <v>OutubroSEMANA 3Tomilho</v>
      </c>
      <c r="B794" s="85" t="s">
        <v>37</v>
      </c>
      <c r="C794" s="85" t="s">
        <v>22</v>
      </c>
      <c r="D794" s="86">
        <v>16</v>
      </c>
      <c r="E794" s="116" t="str">
        <f t="shared" si="38"/>
        <v>Hortifruti</v>
      </c>
      <c r="F794" s="85" t="s">
        <v>1054</v>
      </c>
      <c r="G794" s="85" t="s">
        <v>798</v>
      </c>
      <c r="H794" s="85" t="s">
        <v>1039</v>
      </c>
      <c r="I794" s="85">
        <v>0.2</v>
      </c>
      <c r="J794" s="87">
        <v>25</v>
      </c>
      <c r="K794" s="88">
        <f t="shared" si="39"/>
        <v>5</v>
      </c>
      <c r="L794" s="85">
        <v>1916</v>
      </c>
      <c r="M794" s="118" t="s">
        <v>722</v>
      </c>
      <c r="N794" s="84"/>
      <c r="O794" s="84" t="s">
        <v>873</v>
      </c>
      <c r="R794"/>
    </row>
    <row r="795" spans="1:18" x14ac:dyDescent="0.25">
      <c r="A795" s="84" t="str">
        <f t="shared" si="37"/>
        <v>OutubroSEMANA 3Pimenta Dedo de Moça</v>
      </c>
      <c r="B795" s="85" t="s">
        <v>37</v>
      </c>
      <c r="C795" s="85" t="s">
        <v>22</v>
      </c>
      <c r="D795" s="86">
        <v>16</v>
      </c>
      <c r="E795" s="116" t="str">
        <f t="shared" si="38"/>
        <v>Hortifruti</v>
      </c>
      <c r="F795" s="85" t="s">
        <v>1054</v>
      </c>
      <c r="G795" s="85" t="s">
        <v>657</v>
      </c>
      <c r="H795" s="85" t="s">
        <v>1039</v>
      </c>
      <c r="I795" s="85">
        <v>1</v>
      </c>
      <c r="J795" s="87">
        <v>20</v>
      </c>
      <c r="K795" s="88">
        <f t="shared" si="39"/>
        <v>20</v>
      </c>
      <c r="L795" s="85">
        <v>1916</v>
      </c>
      <c r="M795" s="118" t="s">
        <v>723</v>
      </c>
      <c r="N795" s="84"/>
      <c r="O795" s="84" t="s">
        <v>42</v>
      </c>
      <c r="R795"/>
    </row>
    <row r="796" spans="1:18" x14ac:dyDescent="0.25">
      <c r="A796" s="84" t="str">
        <f t="shared" si="37"/>
        <v>OutubroSEMANA 3Abacate Sushi</v>
      </c>
      <c r="B796" s="85" t="s">
        <v>37</v>
      </c>
      <c r="C796" s="85" t="s">
        <v>22</v>
      </c>
      <c r="D796" s="86">
        <v>16</v>
      </c>
      <c r="E796" s="116" t="str">
        <f t="shared" si="38"/>
        <v>Sushi</v>
      </c>
      <c r="F796" s="85" t="s">
        <v>1054</v>
      </c>
      <c r="G796" s="85" t="s">
        <v>64</v>
      </c>
      <c r="H796" s="85" t="s">
        <v>1039</v>
      </c>
      <c r="I796" s="85">
        <v>1</v>
      </c>
      <c r="J796" s="87">
        <v>6.8</v>
      </c>
      <c r="K796" s="88">
        <f t="shared" si="39"/>
        <v>6.8</v>
      </c>
      <c r="L796" s="85">
        <v>1916</v>
      </c>
      <c r="M796" s="118" t="s">
        <v>724</v>
      </c>
      <c r="O796" s="115" t="s">
        <v>42</v>
      </c>
      <c r="R796"/>
    </row>
    <row r="797" spans="1:18" x14ac:dyDescent="0.25">
      <c r="A797" s="84" t="str">
        <f t="shared" si="37"/>
        <v xml:space="preserve">OutubroSEMANA 3Abacaxi </v>
      </c>
      <c r="B797" s="85" t="s">
        <v>37</v>
      </c>
      <c r="C797" s="85" t="s">
        <v>22</v>
      </c>
      <c r="D797" s="86">
        <v>16</v>
      </c>
      <c r="E797" s="116" t="str">
        <f t="shared" si="38"/>
        <v>Hortifruti</v>
      </c>
      <c r="F797" s="85" t="s">
        <v>1054</v>
      </c>
      <c r="G797" s="85" t="s">
        <v>65</v>
      </c>
      <c r="H797" s="85" t="s">
        <v>1039</v>
      </c>
      <c r="I797" s="85">
        <v>6</v>
      </c>
      <c r="J797" s="87">
        <v>2.4</v>
      </c>
      <c r="K797" s="88">
        <f t="shared" si="39"/>
        <v>14.399999999999999</v>
      </c>
      <c r="L797" s="85">
        <v>1916</v>
      </c>
      <c r="M797" s="118" t="s">
        <v>914</v>
      </c>
      <c r="N797" s="84"/>
      <c r="O797" s="84" t="s">
        <v>42</v>
      </c>
      <c r="R797"/>
    </row>
    <row r="798" spans="1:18" x14ac:dyDescent="0.25">
      <c r="A798" s="84" t="str">
        <f t="shared" si="37"/>
        <v xml:space="preserve">OutubroSEMANA 3Melão de Rede </v>
      </c>
      <c r="B798" s="85" t="s">
        <v>37</v>
      </c>
      <c r="C798" s="85" t="s">
        <v>22</v>
      </c>
      <c r="D798" s="86">
        <v>16</v>
      </c>
      <c r="E798" s="116" t="str">
        <f t="shared" si="38"/>
        <v>Hortifruti</v>
      </c>
      <c r="F798" s="85" t="s">
        <v>1054</v>
      </c>
      <c r="G798" s="85" t="s">
        <v>518</v>
      </c>
      <c r="H798" s="85" t="s">
        <v>1039</v>
      </c>
      <c r="I798" s="85">
        <v>2</v>
      </c>
      <c r="J798" s="87">
        <v>5.9</v>
      </c>
      <c r="K798" s="88">
        <f t="shared" si="39"/>
        <v>11.8</v>
      </c>
      <c r="L798" s="85">
        <v>1916</v>
      </c>
      <c r="M798" s="118" t="s">
        <v>725</v>
      </c>
      <c r="N798" s="84"/>
      <c r="O798" s="84" t="s">
        <v>42</v>
      </c>
      <c r="R798"/>
    </row>
    <row r="799" spans="1:18" x14ac:dyDescent="0.25">
      <c r="A799" s="84" t="str">
        <f t="shared" si="37"/>
        <v>OutubroSEMANA 3Berinjela</v>
      </c>
      <c r="B799" s="85" t="s">
        <v>37</v>
      </c>
      <c r="C799" s="85" t="s">
        <v>22</v>
      </c>
      <c r="D799" s="86">
        <v>16</v>
      </c>
      <c r="E799" s="116" t="str">
        <f t="shared" si="38"/>
        <v>Hortifruti</v>
      </c>
      <c r="F799" s="85" t="s">
        <v>1055</v>
      </c>
      <c r="G799" s="85" t="s">
        <v>178</v>
      </c>
      <c r="H799" s="85" t="s">
        <v>1039</v>
      </c>
      <c r="I799" s="85">
        <v>11.28</v>
      </c>
      <c r="J799" s="87">
        <f>48/11.28</f>
        <v>4.2553191489361701</v>
      </c>
      <c r="K799" s="88">
        <f t="shared" si="39"/>
        <v>47.999999999999993</v>
      </c>
      <c r="L799" s="85" t="s">
        <v>1200</v>
      </c>
      <c r="M799" s="118" t="s">
        <v>726</v>
      </c>
      <c r="N799" s="84"/>
      <c r="O799" s="84" t="s">
        <v>42</v>
      </c>
      <c r="R799"/>
    </row>
    <row r="800" spans="1:18" x14ac:dyDescent="0.25">
      <c r="A800" s="84" t="str">
        <f t="shared" si="37"/>
        <v>OutubroSEMANA 3Cebolinha Verde</v>
      </c>
      <c r="B800" s="85" t="s">
        <v>37</v>
      </c>
      <c r="C800" s="85" t="s">
        <v>22</v>
      </c>
      <c r="D800" s="86">
        <v>16</v>
      </c>
      <c r="E800" s="116" t="str">
        <f t="shared" si="38"/>
        <v>Hortifruti</v>
      </c>
      <c r="F800" s="85" t="s">
        <v>1055</v>
      </c>
      <c r="G800" s="85" t="s">
        <v>247</v>
      </c>
      <c r="H800" s="85" t="s">
        <v>1039</v>
      </c>
      <c r="I800" s="85">
        <v>1</v>
      </c>
      <c r="J800" s="87">
        <v>7.5</v>
      </c>
      <c r="K800" s="88">
        <f t="shared" si="39"/>
        <v>7.5</v>
      </c>
      <c r="L800" s="85" t="s">
        <v>1200</v>
      </c>
      <c r="M800" s="118" t="s">
        <v>727</v>
      </c>
      <c r="N800" s="84"/>
      <c r="O800" s="84" t="s">
        <v>60</v>
      </c>
      <c r="R800"/>
    </row>
    <row r="801" spans="1:18" x14ac:dyDescent="0.25">
      <c r="A801" s="84" t="str">
        <f t="shared" si="37"/>
        <v>OutubroSEMANA 3Côco Verde</v>
      </c>
      <c r="B801" s="85" t="s">
        <v>37</v>
      </c>
      <c r="C801" s="85" t="s">
        <v>22</v>
      </c>
      <c r="D801" s="86">
        <v>16</v>
      </c>
      <c r="E801" s="116" t="str">
        <f t="shared" si="38"/>
        <v>Hortifruti</v>
      </c>
      <c r="F801" s="85" t="s">
        <v>1055</v>
      </c>
      <c r="G801" s="85" t="s">
        <v>288</v>
      </c>
      <c r="H801" s="85" t="s">
        <v>1038</v>
      </c>
      <c r="I801" s="85">
        <v>10</v>
      </c>
      <c r="J801" s="87">
        <v>1.91</v>
      </c>
      <c r="K801" s="88">
        <f t="shared" si="39"/>
        <v>19.099999999999998</v>
      </c>
      <c r="L801" s="85" t="s">
        <v>1200</v>
      </c>
      <c r="M801" s="118" t="s">
        <v>728</v>
      </c>
      <c r="N801" s="84"/>
      <c r="O801" s="84" t="s">
        <v>42</v>
      </c>
      <c r="R801"/>
    </row>
    <row r="802" spans="1:18" x14ac:dyDescent="0.25">
      <c r="A802" s="84" t="str">
        <f t="shared" si="37"/>
        <v>OutubroSEMANA 3Hortelã</v>
      </c>
      <c r="B802" s="85" t="s">
        <v>37</v>
      </c>
      <c r="C802" s="85" t="s">
        <v>22</v>
      </c>
      <c r="D802" s="86">
        <v>16</v>
      </c>
      <c r="E802" s="116" t="str">
        <f t="shared" si="38"/>
        <v>Hortifruti</v>
      </c>
      <c r="F802" s="85" t="s">
        <v>1055</v>
      </c>
      <c r="G802" s="85" t="s">
        <v>405</v>
      </c>
      <c r="H802" s="85" t="s">
        <v>1039</v>
      </c>
      <c r="I802" s="85">
        <v>0.5</v>
      </c>
      <c r="J802" s="87">
        <v>4.5</v>
      </c>
      <c r="K802" s="88">
        <f t="shared" si="39"/>
        <v>2.25</v>
      </c>
      <c r="L802" s="85" t="s">
        <v>1200</v>
      </c>
      <c r="M802" s="118" t="s">
        <v>729</v>
      </c>
      <c r="N802" s="84"/>
      <c r="O802" s="84" t="s">
        <v>45</v>
      </c>
      <c r="R802"/>
    </row>
    <row r="803" spans="1:18" x14ac:dyDescent="0.25">
      <c r="A803" s="84" t="str">
        <f t="shared" si="37"/>
        <v>OutubroSEMANA 3Laranja Pera</v>
      </c>
      <c r="B803" s="85" t="s">
        <v>37</v>
      </c>
      <c r="C803" s="85" t="s">
        <v>22</v>
      </c>
      <c r="D803" s="86">
        <v>16</v>
      </c>
      <c r="E803" s="116" t="str">
        <f t="shared" si="38"/>
        <v>Hortifruti</v>
      </c>
      <c r="F803" s="85" t="s">
        <v>1055</v>
      </c>
      <c r="G803" s="85" t="s">
        <v>457</v>
      </c>
      <c r="H803" s="85" t="s">
        <v>1039</v>
      </c>
      <c r="I803" s="85">
        <v>22.28</v>
      </c>
      <c r="J803" s="87">
        <f>27/22.28</f>
        <v>1.2118491921005385</v>
      </c>
      <c r="K803" s="88">
        <f t="shared" si="39"/>
        <v>27</v>
      </c>
      <c r="L803" s="85" t="s">
        <v>1200</v>
      </c>
      <c r="M803" s="118" t="s">
        <v>730</v>
      </c>
      <c r="N803" s="84"/>
      <c r="O803" s="84" t="s">
        <v>45</v>
      </c>
      <c r="R803"/>
    </row>
    <row r="804" spans="1:18" x14ac:dyDescent="0.25">
      <c r="A804" s="84" t="str">
        <f t="shared" si="37"/>
        <v>OutubroSEMANA 3Manga Palmer</v>
      </c>
      <c r="B804" s="85" t="s">
        <v>37</v>
      </c>
      <c r="C804" s="85" t="s">
        <v>22</v>
      </c>
      <c r="D804" s="86">
        <v>16</v>
      </c>
      <c r="E804" s="116" t="str">
        <f t="shared" si="38"/>
        <v>Hortifruti</v>
      </c>
      <c r="F804" s="85" t="s">
        <v>1055</v>
      </c>
      <c r="G804" s="85" t="s">
        <v>496</v>
      </c>
      <c r="H804" s="85" t="s">
        <v>1039</v>
      </c>
      <c r="I804" s="85">
        <v>5.6</v>
      </c>
      <c r="J804" s="87">
        <f>24/5.6</f>
        <v>4.2857142857142856</v>
      </c>
      <c r="K804" s="88">
        <f t="shared" si="39"/>
        <v>23.999999999999996</v>
      </c>
      <c r="L804" s="85" t="s">
        <v>1200</v>
      </c>
      <c r="M804" s="118" t="s">
        <v>731</v>
      </c>
      <c r="N804" s="84"/>
      <c r="O804" s="84" t="s">
        <v>60</v>
      </c>
      <c r="R804"/>
    </row>
    <row r="805" spans="1:18" x14ac:dyDescent="0.25">
      <c r="A805" s="84" t="str">
        <f t="shared" si="37"/>
        <v>OutubroSEMANA 3Salsa</v>
      </c>
      <c r="B805" s="85" t="s">
        <v>37</v>
      </c>
      <c r="C805" s="85" t="s">
        <v>22</v>
      </c>
      <c r="D805" s="86">
        <v>16</v>
      </c>
      <c r="E805" s="116" t="str">
        <f t="shared" si="38"/>
        <v>Hortifruti</v>
      </c>
      <c r="F805" s="85" t="s">
        <v>1055</v>
      </c>
      <c r="G805" s="85" t="s">
        <v>729</v>
      </c>
      <c r="H805" s="85" t="s">
        <v>1039</v>
      </c>
      <c r="I805" s="85">
        <v>1</v>
      </c>
      <c r="J805" s="87">
        <v>7.5</v>
      </c>
      <c r="K805" s="88">
        <f t="shared" si="39"/>
        <v>7.5</v>
      </c>
      <c r="L805" s="85" t="s">
        <v>1200</v>
      </c>
      <c r="M805" s="118" t="s">
        <v>732</v>
      </c>
      <c r="N805" s="84"/>
      <c r="O805" s="84" t="s">
        <v>45</v>
      </c>
      <c r="R805"/>
    </row>
    <row r="806" spans="1:18" x14ac:dyDescent="0.25">
      <c r="A806" s="84" t="str">
        <f t="shared" si="37"/>
        <v>OutubroSEMANA 3Cebola</v>
      </c>
      <c r="B806" s="85" t="s">
        <v>37</v>
      </c>
      <c r="C806" s="85" t="s">
        <v>22</v>
      </c>
      <c r="D806" s="86">
        <v>16</v>
      </c>
      <c r="E806" s="116" t="str">
        <f t="shared" si="38"/>
        <v>Hortifruti</v>
      </c>
      <c r="F806" s="85" t="s">
        <v>1055</v>
      </c>
      <c r="G806" s="85" t="s">
        <v>241</v>
      </c>
      <c r="H806" s="85" t="s">
        <v>1039</v>
      </c>
      <c r="I806" s="85">
        <v>18.78</v>
      </c>
      <c r="J806" s="87">
        <f>26.99/18.78</f>
        <v>1.4371671991480297</v>
      </c>
      <c r="K806" s="88">
        <f t="shared" si="39"/>
        <v>26.99</v>
      </c>
      <c r="L806" s="85" t="s">
        <v>1200</v>
      </c>
      <c r="M806" s="118" t="s">
        <v>733</v>
      </c>
      <c r="N806" s="84"/>
      <c r="O806" s="84" t="s">
        <v>45</v>
      </c>
      <c r="R806"/>
    </row>
    <row r="807" spans="1:18" x14ac:dyDescent="0.25">
      <c r="A807" s="84" t="str">
        <f t="shared" si="37"/>
        <v>OutubroSEMANA 3Inhame</v>
      </c>
      <c r="B807" s="85" t="s">
        <v>37</v>
      </c>
      <c r="C807" s="85" t="s">
        <v>22</v>
      </c>
      <c r="D807" s="86">
        <v>16</v>
      </c>
      <c r="E807" s="116" t="str">
        <f t="shared" si="38"/>
        <v>Hortifruti</v>
      </c>
      <c r="F807" s="85" t="s">
        <v>1055</v>
      </c>
      <c r="G807" s="85" t="s">
        <v>448</v>
      </c>
      <c r="H807" s="85" t="s">
        <v>1039</v>
      </c>
      <c r="I807" s="85">
        <v>10</v>
      </c>
      <c r="J807" s="87">
        <v>1.9</v>
      </c>
      <c r="K807" s="88">
        <f t="shared" si="39"/>
        <v>19</v>
      </c>
      <c r="L807" s="85" t="s">
        <v>1200</v>
      </c>
      <c r="M807" s="118" t="s">
        <v>734</v>
      </c>
      <c r="N807" s="84"/>
      <c r="O807" s="84" t="s">
        <v>46</v>
      </c>
      <c r="R807"/>
    </row>
    <row r="808" spans="1:18" x14ac:dyDescent="0.25">
      <c r="A808" s="84" t="str">
        <f t="shared" si="37"/>
        <v>OutubroSEMANA 3Kiwi</v>
      </c>
      <c r="B808" s="85" t="s">
        <v>37</v>
      </c>
      <c r="C808" s="85" t="s">
        <v>22</v>
      </c>
      <c r="D808" s="86">
        <v>16</v>
      </c>
      <c r="E808" s="116" t="str">
        <f t="shared" si="38"/>
        <v>Hortifruti</v>
      </c>
      <c r="F808" s="85" t="s">
        <v>1055</v>
      </c>
      <c r="G808" s="85" t="s">
        <v>454</v>
      </c>
      <c r="H808" s="85" t="s">
        <v>1039</v>
      </c>
      <c r="I808" s="85">
        <v>1</v>
      </c>
      <c r="J808" s="87">
        <v>13.7</v>
      </c>
      <c r="K808" s="88">
        <f t="shared" si="39"/>
        <v>13.7</v>
      </c>
      <c r="L808" s="85" t="s">
        <v>1200</v>
      </c>
      <c r="M808" s="118" t="s">
        <v>735</v>
      </c>
      <c r="N808" s="84"/>
      <c r="O808" s="84" t="s">
        <v>42</v>
      </c>
      <c r="R808"/>
    </row>
    <row r="809" spans="1:18" x14ac:dyDescent="0.25">
      <c r="A809" s="84" t="str">
        <f t="shared" si="37"/>
        <v>OutubroSEMANA 3Limão Siciliano</v>
      </c>
      <c r="B809" s="85" t="s">
        <v>37</v>
      </c>
      <c r="C809" s="85" t="s">
        <v>22</v>
      </c>
      <c r="D809" s="86">
        <v>16</v>
      </c>
      <c r="E809" s="116" t="str">
        <f t="shared" si="38"/>
        <v>Hortifruti</v>
      </c>
      <c r="F809" s="85" t="s">
        <v>1055</v>
      </c>
      <c r="G809" s="85" t="s">
        <v>466</v>
      </c>
      <c r="H809" s="85" t="s">
        <v>1039</v>
      </c>
      <c r="I809" s="85">
        <v>1</v>
      </c>
      <c r="J809" s="87">
        <v>6.66</v>
      </c>
      <c r="K809" s="88">
        <f t="shared" si="39"/>
        <v>6.66</v>
      </c>
      <c r="L809" s="85" t="s">
        <v>1200</v>
      </c>
      <c r="M809" s="118" t="s">
        <v>736</v>
      </c>
      <c r="N809" s="84"/>
      <c r="O809" s="84" t="s">
        <v>60</v>
      </c>
      <c r="R809"/>
    </row>
    <row r="810" spans="1:18" x14ac:dyDescent="0.25">
      <c r="A810" s="84" t="str">
        <f t="shared" si="37"/>
        <v>OutubroSEMANA 3Melância</v>
      </c>
      <c r="B810" s="85" t="s">
        <v>37</v>
      </c>
      <c r="C810" s="85" t="s">
        <v>22</v>
      </c>
      <c r="D810" s="86">
        <v>16</v>
      </c>
      <c r="E810" s="116" t="str">
        <f t="shared" si="38"/>
        <v>Hortifruti</v>
      </c>
      <c r="F810" s="85" t="s">
        <v>1055</v>
      </c>
      <c r="G810" s="85" t="s">
        <v>517</v>
      </c>
      <c r="H810" s="85" t="s">
        <v>1039</v>
      </c>
      <c r="I810" s="85">
        <v>10</v>
      </c>
      <c r="J810" s="87">
        <v>1.64</v>
      </c>
      <c r="K810" s="88">
        <f t="shared" si="39"/>
        <v>16.399999999999999</v>
      </c>
      <c r="L810" s="85" t="s">
        <v>1200</v>
      </c>
      <c r="M810" s="118" t="s">
        <v>737</v>
      </c>
      <c r="N810" s="84"/>
      <c r="O810" s="84" t="s">
        <v>42</v>
      </c>
      <c r="R810"/>
    </row>
    <row r="811" spans="1:18" x14ac:dyDescent="0.25">
      <c r="A811" s="84" t="str">
        <f t="shared" si="37"/>
        <v>OutubroSEMANA 3Ovos Extra</v>
      </c>
      <c r="B811" s="85" t="s">
        <v>37</v>
      </c>
      <c r="C811" s="85" t="s">
        <v>22</v>
      </c>
      <c r="D811" s="86">
        <v>16</v>
      </c>
      <c r="E811" s="116" t="str">
        <f t="shared" si="38"/>
        <v>Hortifruti</v>
      </c>
      <c r="F811" s="85" t="s">
        <v>1055</v>
      </c>
      <c r="G811" s="85" t="s">
        <v>550</v>
      </c>
      <c r="H811" s="85" t="s">
        <v>1038</v>
      </c>
      <c r="I811" s="85">
        <f>360-7-14-14</f>
        <v>325</v>
      </c>
      <c r="J811" s="87">
        <f>101/360</f>
        <v>0.28055555555555556</v>
      </c>
      <c r="K811" s="88">
        <f t="shared" si="39"/>
        <v>91.180555555555557</v>
      </c>
      <c r="L811" s="85" t="s">
        <v>1200</v>
      </c>
      <c r="M811" s="118" t="s">
        <v>738</v>
      </c>
      <c r="N811" s="84"/>
      <c r="O811" s="84" t="s">
        <v>60</v>
      </c>
      <c r="R811"/>
    </row>
    <row r="812" spans="1:18" x14ac:dyDescent="0.25">
      <c r="A812" s="84" t="str">
        <f t="shared" si="37"/>
        <v>OutubroSEMANA 3Salsa Crespa Sushi</v>
      </c>
      <c r="B812" s="85" t="s">
        <v>37</v>
      </c>
      <c r="C812" s="85" t="s">
        <v>22</v>
      </c>
      <c r="D812" s="86">
        <v>16</v>
      </c>
      <c r="E812" s="116" t="str">
        <f t="shared" si="38"/>
        <v>Sushi</v>
      </c>
      <c r="F812" s="85" t="s">
        <v>1055</v>
      </c>
      <c r="G812" s="85" t="s">
        <v>731</v>
      </c>
      <c r="H812" s="85" t="s">
        <v>1039</v>
      </c>
      <c r="I812" s="85">
        <v>0.1</v>
      </c>
      <c r="J812" s="87">
        <f>1.75/0.1</f>
        <v>17.5</v>
      </c>
      <c r="K812" s="88">
        <f t="shared" si="39"/>
        <v>1.75</v>
      </c>
      <c r="L812" s="85" t="s">
        <v>1199</v>
      </c>
      <c r="M812" s="118" t="s">
        <v>739</v>
      </c>
      <c r="N812" s="84"/>
      <c r="O812" s="84" t="s">
        <v>47</v>
      </c>
      <c r="R812"/>
    </row>
    <row r="813" spans="1:18" x14ac:dyDescent="0.25">
      <c r="A813" s="84" t="str">
        <f t="shared" si="37"/>
        <v>OutubroSEMANA 3Alface Americana Orgânica</v>
      </c>
      <c r="B813" s="85" t="s">
        <v>37</v>
      </c>
      <c r="C813" s="85" t="s">
        <v>22</v>
      </c>
      <c r="D813" s="86">
        <v>16</v>
      </c>
      <c r="E813" s="116" t="str">
        <f t="shared" si="38"/>
        <v>Hortifruti</v>
      </c>
      <c r="F813" s="85" t="s">
        <v>1044</v>
      </c>
      <c r="G813" s="85" t="s">
        <v>103</v>
      </c>
      <c r="H813" s="85" t="s">
        <v>1039</v>
      </c>
      <c r="I813" s="85">
        <v>7.58</v>
      </c>
      <c r="J813" s="87">
        <f>58/7.58</f>
        <v>7.6517150395778364</v>
      </c>
      <c r="K813" s="88">
        <f t="shared" si="39"/>
        <v>58</v>
      </c>
      <c r="L813" s="85">
        <v>83005</v>
      </c>
      <c r="M813" s="118" t="s">
        <v>740</v>
      </c>
      <c r="N813" s="84"/>
      <c r="O813" s="84" t="s">
        <v>47</v>
      </c>
      <c r="R813"/>
    </row>
    <row r="814" spans="1:18" x14ac:dyDescent="0.25">
      <c r="A814" s="84" t="str">
        <f t="shared" si="37"/>
        <v>OutubroSEMANA 3Alface crespa Orgânica</v>
      </c>
      <c r="B814" s="85" t="s">
        <v>37</v>
      </c>
      <c r="C814" s="85" t="s">
        <v>22</v>
      </c>
      <c r="D814" s="86">
        <v>16</v>
      </c>
      <c r="E814" s="116" t="str">
        <f t="shared" si="38"/>
        <v>Hortifruti</v>
      </c>
      <c r="F814" s="85" t="s">
        <v>1044</v>
      </c>
      <c r="G814" s="85" t="s">
        <v>105</v>
      </c>
      <c r="H814" s="85" t="s">
        <v>1039</v>
      </c>
      <c r="I814" s="85">
        <v>3.98</v>
      </c>
      <c r="J814" s="87">
        <f>25/3.98</f>
        <v>6.2814070351758797</v>
      </c>
      <c r="K814" s="88">
        <f t="shared" si="39"/>
        <v>25</v>
      </c>
      <c r="L814" s="85">
        <v>83005</v>
      </c>
      <c r="M814" s="118" t="s">
        <v>1034</v>
      </c>
      <c r="N814" s="84"/>
      <c r="O814" s="84" t="s">
        <v>42</v>
      </c>
      <c r="R814"/>
    </row>
    <row r="815" spans="1:18" x14ac:dyDescent="0.25">
      <c r="A815" s="84" t="str">
        <f t="shared" si="37"/>
        <v>OutubroSEMANA 3Alface Roxa Orgânica</v>
      </c>
      <c r="B815" s="85" t="s">
        <v>37</v>
      </c>
      <c r="C815" s="85" t="s">
        <v>22</v>
      </c>
      <c r="D815" s="86">
        <v>16</v>
      </c>
      <c r="E815" s="116" t="str">
        <f t="shared" si="38"/>
        <v>Hortifruti</v>
      </c>
      <c r="F815" s="85" t="s">
        <v>1044</v>
      </c>
      <c r="G815" s="85" t="s">
        <v>109</v>
      </c>
      <c r="H815" s="85" t="s">
        <v>1039</v>
      </c>
      <c r="I815" s="85">
        <v>1.66</v>
      </c>
      <c r="J815" s="87">
        <f>15/1.66</f>
        <v>9.0361445783132535</v>
      </c>
      <c r="K815" s="88">
        <f t="shared" si="39"/>
        <v>15</v>
      </c>
      <c r="L815" s="85">
        <v>83005</v>
      </c>
      <c r="M815" s="118" t="s">
        <v>741</v>
      </c>
      <c r="N815" s="84"/>
      <c r="O815" s="84" t="s">
        <v>60</v>
      </c>
      <c r="R815"/>
    </row>
    <row r="816" spans="1:18" x14ac:dyDescent="0.25">
      <c r="A816" s="84" t="str">
        <f t="shared" si="37"/>
        <v>OutubroSEMANA 3Beterraba Orgânica</v>
      </c>
      <c r="B816" s="85" t="s">
        <v>37</v>
      </c>
      <c r="C816" s="85" t="s">
        <v>22</v>
      </c>
      <c r="D816" s="86">
        <v>16</v>
      </c>
      <c r="E816" s="116" t="str">
        <f t="shared" si="38"/>
        <v>Hortifruti</v>
      </c>
      <c r="F816" s="85" t="s">
        <v>1044</v>
      </c>
      <c r="G816" s="85" t="s">
        <v>182</v>
      </c>
      <c r="H816" s="85" t="s">
        <v>1039</v>
      </c>
      <c r="I816" s="85">
        <v>3.1</v>
      </c>
      <c r="J816" s="87">
        <v>7.7</v>
      </c>
      <c r="K816" s="88">
        <f t="shared" si="39"/>
        <v>23.87</v>
      </c>
      <c r="L816" s="85">
        <v>83005</v>
      </c>
      <c r="M816" s="118" t="s">
        <v>935</v>
      </c>
      <c r="N816" s="84"/>
      <c r="O816" s="84" t="s">
        <v>42</v>
      </c>
      <c r="R816"/>
    </row>
    <row r="817" spans="1:18" x14ac:dyDescent="0.25">
      <c r="A817" s="84" t="str">
        <f t="shared" si="37"/>
        <v>OutubroSEMANA 3Cenoura Orgânica</v>
      </c>
      <c r="B817" s="85" t="s">
        <v>37</v>
      </c>
      <c r="C817" s="85" t="s">
        <v>22</v>
      </c>
      <c r="D817" s="86">
        <v>16</v>
      </c>
      <c r="E817" s="116" t="str">
        <f t="shared" si="38"/>
        <v>Hortifruti</v>
      </c>
      <c r="F817" s="85" t="s">
        <v>1044</v>
      </c>
      <c r="G817" s="85" t="s">
        <v>252</v>
      </c>
      <c r="H817" s="85" t="s">
        <v>1039</v>
      </c>
      <c r="I817" s="85">
        <v>3.15</v>
      </c>
      <c r="J817" s="87">
        <v>7.75</v>
      </c>
      <c r="K817" s="88">
        <f t="shared" si="39"/>
        <v>24.412499999999998</v>
      </c>
      <c r="L817" s="85">
        <v>83005</v>
      </c>
      <c r="M817" s="118" t="s">
        <v>742</v>
      </c>
      <c r="N817" s="84"/>
      <c r="O817" s="84" t="s">
        <v>42</v>
      </c>
      <c r="R817"/>
    </row>
    <row r="818" spans="1:18" x14ac:dyDescent="0.25">
      <c r="A818" s="84" t="str">
        <f t="shared" si="37"/>
        <v>OutubroSEMANA 3Rúcula Orgânica</v>
      </c>
      <c r="B818" s="85" t="s">
        <v>37</v>
      </c>
      <c r="C818" s="85" t="s">
        <v>22</v>
      </c>
      <c r="D818" s="86">
        <v>16</v>
      </c>
      <c r="E818" s="116" t="str">
        <f t="shared" si="38"/>
        <v>Hortifruti</v>
      </c>
      <c r="F818" s="85" t="s">
        <v>1044</v>
      </c>
      <c r="G818" s="85" t="s">
        <v>707</v>
      </c>
      <c r="H818" s="85" t="s">
        <v>1039</v>
      </c>
      <c r="I818" s="85">
        <v>4.5</v>
      </c>
      <c r="J818" s="87">
        <f>96/4.5</f>
        <v>21.333333333333332</v>
      </c>
      <c r="K818" s="88">
        <f t="shared" si="39"/>
        <v>96</v>
      </c>
      <c r="L818" s="85">
        <v>83005</v>
      </c>
      <c r="M818" s="118" t="s">
        <v>743</v>
      </c>
      <c r="N818" s="84"/>
      <c r="O818" s="84" t="s">
        <v>60</v>
      </c>
      <c r="R818"/>
    </row>
    <row r="819" spans="1:18" x14ac:dyDescent="0.25">
      <c r="A819" s="84" t="str">
        <f t="shared" si="37"/>
        <v>OutubroSEMANA 3Pescados - Salmão Inteiro Sushi</v>
      </c>
      <c r="B819" s="85" t="s">
        <v>37</v>
      </c>
      <c r="C819" s="85" t="s">
        <v>22</v>
      </c>
      <c r="D819" s="86">
        <v>16</v>
      </c>
      <c r="E819" s="116" t="str">
        <f t="shared" si="38"/>
        <v>Sushi</v>
      </c>
      <c r="F819" s="85" t="s">
        <v>1133</v>
      </c>
      <c r="G819" s="85" t="s">
        <v>645</v>
      </c>
      <c r="H819" s="85" t="s">
        <v>1039</v>
      </c>
      <c r="I819" s="90">
        <v>26.64</v>
      </c>
      <c r="J819" s="87">
        <v>26.5</v>
      </c>
      <c r="K819" s="88">
        <f t="shared" si="39"/>
        <v>705.96</v>
      </c>
      <c r="L819" s="85" t="s">
        <v>1180</v>
      </c>
      <c r="M819" s="118" t="s">
        <v>744</v>
      </c>
      <c r="N819" s="84"/>
      <c r="O819" s="84" t="s">
        <v>42</v>
      </c>
      <c r="R819"/>
    </row>
    <row r="820" spans="1:18" x14ac:dyDescent="0.25">
      <c r="A820" s="84" t="str">
        <f t="shared" si="37"/>
        <v>OutubroSEMANA 3Gelo em Cubo</v>
      </c>
      <c r="B820" s="85" t="s">
        <v>37</v>
      </c>
      <c r="C820" s="85" t="s">
        <v>22</v>
      </c>
      <c r="D820" s="86">
        <v>16</v>
      </c>
      <c r="E820" s="116" t="str">
        <f t="shared" si="38"/>
        <v>Mercado</v>
      </c>
      <c r="F820" s="85" t="s">
        <v>1040</v>
      </c>
      <c r="G820" s="85" t="s">
        <v>383</v>
      </c>
      <c r="H820" s="85" t="s">
        <v>1041</v>
      </c>
      <c r="I820" s="85">
        <v>5</v>
      </c>
      <c r="J820" s="87">
        <v>7.5</v>
      </c>
      <c r="K820" s="88">
        <f t="shared" si="39"/>
        <v>37.5</v>
      </c>
      <c r="L820" s="85">
        <v>10929</v>
      </c>
      <c r="M820" s="118" t="s">
        <v>915</v>
      </c>
      <c r="N820" s="84"/>
      <c r="O820" s="84" t="s">
        <v>42</v>
      </c>
      <c r="R820"/>
    </row>
    <row r="821" spans="1:18" x14ac:dyDescent="0.25">
      <c r="A821" s="84" t="str">
        <f t="shared" si="37"/>
        <v>OutubroSEMANA 2Etiqueta Toledo 40 X 40</v>
      </c>
      <c r="B821" s="85" t="s">
        <v>37</v>
      </c>
      <c r="C821" s="85" t="s">
        <v>21</v>
      </c>
      <c r="D821" s="86">
        <v>10</v>
      </c>
      <c r="E821" s="116" t="str">
        <f t="shared" si="38"/>
        <v>Descartável</v>
      </c>
      <c r="F821" s="85" t="s">
        <v>1181</v>
      </c>
      <c r="G821" s="85" t="s">
        <v>339</v>
      </c>
      <c r="H821" s="85" t="s">
        <v>1038</v>
      </c>
      <c r="I821" s="85">
        <f>2*40</f>
        <v>80</v>
      </c>
      <c r="J821" s="87">
        <f>640/80</f>
        <v>8</v>
      </c>
      <c r="K821" s="88">
        <f t="shared" si="39"/>
        <v>640</v>
      </c>
      <c r="L821" s="85">
        <v>2901</v>
      </c>
      <c r="M821" s="118" t="s">
        <v>745</v>
      </c>
      <c r="N821" s="84"/>
      <c r="O821" s="84" t="s">
        <v>42</v>
      </c>
      <c r="R821"/>
    </row>
    <row r="822" spans="1:18" x14ac:dyDescent="0.25">
      <c r="A822" s="84" t="str">
        <f t="shared" si="37"/>
        <v>OutubroSEMANA 3Gelo em Escamas</v>
      </c>
      <c r="B822" s="85" t="s">
        <v>37</v>
      </c>
      <c r="C822" s="85" t="s">
        <v>22</v>
      </c>
      <c r="D822" s="86">
        <v>17</v>
      </c>
      <c r="E822" s="116" t="str">
        <f t="shared" si="38"/>
        <v>Mercado</v>
      </c>
      <c r="F822" s="85" t="s">
        <v>1040</v>
      </c>
      <c r="G822" s="85" t="s">
        <v>384</v>
      </c>
      <c r="H822" s="85" t="s">
        <v>1041</v>
      </c>
      <c r="I822" s="85">
        <v>2</v>
      </c>
      <c r="J822" s="87">
        <v>7.5</v>
      </c>
      <c r="K822" s="88">
        <f t="shared" si="39"/>
        <v>15</v>
      </c>
      <c r="L822" s="85">
        <v>10728</v>
      </c>
      <c r="M822" s="118" t="s">
        <v>886</v>
      </c>
      <c r="N822" s="84"/>
      <c r="O822" s="84" t="s">
        <v>60</v>
      </c>
      <c r="R822"/>
    </row>
    <row r="823" spans="1:18" x14ac:dyDescent="0.25">
      <c r="A823" s="84" t="str">
        <f t="shared" si="37"/>
        <v>OutubroSEMANA 3Gelo em Cubo</v>
      </c>
      <c r="B823" s="85" t="s">
        <v>37</v>
      </c>
      <c r="C823" s="85" t="s">
        <v>22</v>
      </c>
      <c r="D823" s="86">
        <v>17</v>
      </c>
      <c r="E823" s="116" t="str">
        <f t="shared" si="38"/>
        <v>Mercado</v>
      </c>
      <c r="F823" s="85" t="s">
        <v>1040</v>
      </c>
      <c r="G823" s="85" t="s">
        <v>383</v>
      </c>
      <c r="H823" s="85" t="s">
        <v>1041</v>
      </c>
      <c r="I823" s="85">
        <v>2</v>
      </c>
      <c r="J823" s="87">
        <v>7.5</v>
      </c>
      <c r="K823" s="88">
        <f t="shared" si="39"/>
        <v>15</v>
      </c>
      <c r="L823" s="85">
        <v>10728</v>
      </c>
      <c r="M823" s="118" t="s">
        <v>746</v>
      </c>
      <c r="N823" s="84"/>
      <c r="O823" s="84" t="s">
        <v>47</v>
      </c>
      <c r="R823"/>
    </row>
    <row r="824" spans="1:18" x14ac:dyDescent="0.25">
      <c r="A824" s="84" t="str">
        <f t="shared" si="37"/>
        <v>OutubroSEMANA 3Carne Bovina - Carne Seca</v>
      </c>
      <c r="B824" s="85" t="s">
        <v>37</v>
      </c>
      <c r="C824" s="85" t="s">
        <v>22</v>
      </c>
      <c r="D824" s="86">
        <v>17</v>
      </c>
      <c r="E824" s="116" t="str">
        <f t="shared" si="38"/>
        <v>Carnes</v>
      </c>
      <c r="F824" s="85" t="s">
        <v>1078</v>
      </c>
      <c r="G824" s="85" t="s">
        <v>218</v>
      </c>
      <c r="H824" s="85" t="s">
        <v>1039</v>
      </c>
      <c r="I824" s="85">
        <v>20</v>
      </c>
      <c r="J824" s="87">
        <v>18.920000000000002</v>
      </c>
      <c r="K824" s="88">
        <f t="shared" si="39"/>
        <v>378.40000000000003</v>
      </c>
      <c r="L824" s="85" t="s">
        <v>1182</v>
      </c>
      <c r="M824" s="118" t="s">
        <v>747</v>
      </c>
      <c r="N824" s="84"/>
      <c r="O824" s="84" t="s">
        <v>46</v>
      </c>
      <c r="R824"/>
    </row>
    <row r="825" spans="1:18" x14ac:dyDescent="0.25">
      <c r="A825" s="84" t="str">
        <f t="shared" si="37"/>
        <v>OutubroSEMANA 3Suíno - Costelinha Salgada</v>
      </c>
      <c r="B825" s="85" t="s">
        <v>37</v>
      </c>
      <c r="C825" s="85" t="s">
        <v>22</v>
      </c>
      <c r="D825" s="86">
        <v>17</v>
      </c>
      <c r="E825" s="116" t="str">
        <f t="shared" si="38"/>
        <v>Carnes</v>
      </c>
      <c r="F825" s="85" t="s">
        <v>1078</v>
      </c>
      <c r="G825" s="85" t="s">
        <v>760</v>
      </c>
      <c r="H825" s="85" t="s">
        <v>1039</v>
      </c>
      <c r="I825" s="85">
        <v>20</v>
      </c>
      <c r="J825" s="87">
        <v>10.97</v>
      </c>
      <c r="K825" s="88">
        <f t="shared" si="39"/>
        <v>219.4</v>
      </c>
      <c r="L825" s="85" t="s">
        <v>1182</v>
      </c>
      <c r="M825" s="118" t="s">
        <v>748</v>
      </c>
      <c r="N825" s="84"/>
      <c r="O825" s="84" t="s">
        <v>46</v>
      </c>
      <c r="R825"/>
    </row>
    <row r="826" spans="1:18" x14ac:dyDescent="0.25">
      <c r="A826" s="84" t="str">
        <f t="shared" si="37"/>
        <v>OutubroSEMANA 3Aves - Filé de Peito de Frango</v>
      </c>
      <c r="B826" s="85" t="s">
        <v>37</v>
      </c>
      <c r="C826" s="85" t="s">
        <v>22</v>
      </c>
      <c r="D826" s="86">
        <v>17</v>
      </c>
      <c r="E826" s="116" t="str">
        <f t="shared" si="38"/>
        <v>Carnes</v>
      </c>
      <c r="F826" s="85" t="s">
        <v>1051</v>
      </c>
      <c r="G826" s="85" t="s">
        <v>139</v>
      </c>
      <c r="H826" s="85" t="s">
        <v>1039</v>
      </c>
      <c r="I826" s="85">
        <v>48</v>
      </c>
      <c r="J826" s="87">
        <v>7.8</v>
      </c>
      <c r="K826" s="88">
        <f t="shared" si="39"/>
        <v>374.4</v>
      </c>
      <c r="L826" s="85" t="s">
        <v>1183</v>
      </c>
      <c r="M826" s="118" t="s">
        <v>749</v>
      </c>
      <c r="N826" s="84"/>
      <c r="O826" s="84" t="s">
        <v>42</v>
      </c>
      <c r="R826"/>
    </row>
    <row r="827" spans="1:18" x14ac:dyDescent="0.25">
      <c r="A827" s="84" t="str">
        <f t="shared" si="37"/>
        <v>OutubroSEMANA 3Creme de Leite Culinário 20% Bd 10 Lt</v>
      </c>
      <c r="B827" s="85" t="s">
        <v>37</v>
      </c>
      <c r="C827" s="85" t="s">
        <v>22</v>
      </c>
      <c r="D827" s="86">
        <v>17</v>
      </c>
      <c r="E827" s="116" t="str">
        <f t="shared" si="38"/>
        <v>Mercado</v>
      </c>
      <c r="F827" s="85" t="s">
        <v>1045</v>
      </c>
      <c r="G827" s="85" t="s">
        <v>315</v>
      </c>
      <c r="H827" s="85" t="s">
        <v>1046</v>
      </c>
      <c r="I827" s="85">
        <v>2</v>
      </c>
      <c r="J827" s="87">
        <v>142.44999999999999</v>
      </c>
      <c r="K827" s="88">
        <f t="shared" si="39"/>
        <v>284.89999999999998</v>
      </c>
      <c r="L827" s="85" t="s">
        <v>1184</v>
      </c>
      <c r="M827" s="118" t="s">
        <v>750</v>
      </c>
      <c r="N827" s="84"/>
      <c r="O827" s="84" t="s">
        <v>873</v>
      </c>
      <c r="R827"/>
    </row>
    <row r="828" spans="1:18" x14ac:dyDescent="0.25">
      <c r="A828" s="84" t="str">
        <f t="shared" si="37"/>
        <v>OutubroSEMANA 3Queijo Ricota</v>
      </c>
      <c r="B828" s="85" t="s">
        <v>37</v>
      </c>
      <c r="C828" s="85" t="s">
        <v>22</v>
      </c>
      <c r="D828" s="86">
        <v>17</v>
      </c>
      <c r="E828" s="116" t="str">
        <f t="shared" si="38"/>
        <v>Mercado</v>
      </c>
      <c r="F828" s="85" t="s">
        <v>1045</v>
      </c>
      <c r="G828" s="85" t="s">
        <v>689</v>
      </c>
      <c r="H828" s="85" t="s">
        <v>1039</v>
      </c>
      <c r="I828" s="90">
        <v>1.4</v>
      </c>
      <c r="J828" s="89">
        <v>10.6</v>
      </c>
      <c r="K828" s="88">
        <f t="shared" si="39"/>
        <v>14.839999999999998</v>
      </c>
      <c r="L828" s="85" t="s">
        <v>1184</v>
      </c>
      <c r="M828" s="118" t="s">
        <v>751</v>
      </c>
      <c r="N828" s="84"/>
      <c r="O828" s="84" t="s">
        <v>42</v>
      </c>
      <c r="R828"/>
    </row>
    <row r="829" spans="1:18" x14ac:dyDescent="0.25">
      <c r="A829" s="84" t="str">
        <f t="shared" si="37"/>
        <v>OutubroSEMANA 3Queijo Requeijão BD 3,6 Kg</v>
      </c>
      <c r="B829" s="85" t="s">
        <v>37</v>
      </c>
      <c r="C829" s="85" t="s">
        <v>22</v>
      </c>
      <c r="D829" s="86">
        <v>17</v>
      </c>
      <c r="E829" s="116" t="str">
        <f t="shared" si="38"/>
        <v>Mercado</v>
      </c>
      <c r="F829" s="85" t="s">
        <v>1045</v>
      </c>
      <c r="G829" s="85" t="s">
        <v>688</v>
      </c>
      <c r="H829" s="85" t="s">
        <v>1046</v>
      </c>
      <c r="I829" s="85">
        <v>2</v>
      </c>
      <c r="J829" s="87">
        <v>74.400000000000006</v>
      </c>
      <c r="K829" s="88">
        <f t="shared" si="39"/>
        <v>148.80000000000001</v>
      </c>
      <c r="L829" s="85" t="s">
        <v>1184</v>
      </c>
      <c r="M829" s="118" t="s">
        <v>752</v>
      </c>
      <c r="N829" s="84"/>
      <c r="O829" s="84" t="s">
        <v>42</v>
      </c>
      <c r="R829"/>
    </row>
    <row r="830" spans="1:18" x14ac:dyDescent="0.25">
      <c r="A830" s="84" t="str">
        <f t="shared" si="37"/>
        <v>OutubroSEMANA 3Queijo Minas Padrão</v>
      </c>
      <c r="B830" s="85" t="s">
        <v>37</v>
      </c>
      <c r="C830" s="85" t="s">
        <v>22</v>
      </c>
      <c r="D830" s="86">
        <v>17</v>
      </c>
      <c r="E830" s="116" t="str">
        <f t="shared" si="38"/>
        <v>Mercado</v>
      </c>
      <c r="F830" s="85" t="s">
        <v>1045</v>
      </c>
      <c r="G830" s="85" t="s">
        <v>683</v>
      </c>
      <c r="H830" s="85" t="s">
        <v>1039</v>
      </c>
      <c r="I830" s="85">
        <v>4.8</v>
      </c>
      <c r="J830" s="87">
        <v>41.6</v>
      </c>
      <c r="K830" s="88">
        <f t="shared" si="39"/>
        <v>199.68</v>
      </c>
      <c r="L830" s="85" t="s">
        <v>1184</v>
      </c>
      <c r="M830" s="118" t="s">
        <v>753</v>
      </c>
      <c r="N830" s="84"/>
      <c r="O830" s="84" t="s">
        <v>42</v>
      </c>
      <c r="R830"/>
    </row>
    <row r="831" spans="1:18" x14ac:dyDescent="0.25">
      <c r="A831" s="84" t="str">
        <f t="shared" si="37"/>
        <v>OutubroSEMANA 3Batata Yacon</v>
      </c>
      <c r="B831" s="85" t="s">
        <v>37</v>
      </c>
      <c r="C831" s="85" t="s">
        <v>22</v>
      </c>
      <c r="D831" s="86">
        <v>17</v>
      </c>
      <c r="E831" s="116" t="str">
        <f t="shared" si="38"/>
        <v>Hortifruti</v>
      </c>
      <c r="F831" s="85" t="s">
        <v>1054</v>
      </c>
      <c r="G831" s="85" t="s">
        <v>177</v>
      </c>
      <c r="H831" s="85" t="s">
        <v>1039</v>
      </c>
      <c r="I831" s="85">
        <v>0.5</v>
      </c>
      <c r="J831" s="87">
        <v>8</v>
      </c>
      <c r="K831" s="88">
        <f t="shared" si="39"/>
        <v>4</v>
      </c>
      <c r="L831" s="85">
        <v>1927</v>
      </c>
      <c r="M831" s="118" t="s">
        <v>754</v>
      </c>
      <c r="N831" s="84"/>
      <c r="O831" s="84" t="s">
        <v>42</v>
      </c>
      <c r="R831"/>
    </row>
    <row r="832" spans="1:18" x14ac:dyDescent="0.25">
      <c r="A832" s="84" t="str">
        <f t="shared" si="37"/>
        <v>OutubroSEMANA 3Aipo</v>
      </c>
      <c r="B832" s="85" t="s">
        <v>37</v>
      </c>
      <c r="C832" s="85" t="s">
        <v>22</v>
      </c>
      <c r="D832" s="86">
        <v>17</v>
      </c>
      <c r="E832" s="116" t="str">
        <f t="shared" si="38"/>
        <v>Hortifruti</v>
      </c>
      <c r="F832" s="85" t="s">
        <v>1054</v>
      </c>
      <c r="G832" s="85" t="s">
        <v>96</v>
      </c>
      <c r="H832" s="85" t="s">
        <v>1039</v>
      </c>
      <c r="I832" s="85">
        <v>1.4</v>
      </c>
      <c r="J832" s="87">
        <v>4</v>
      </c>
      <c r="K832" s="88">
        <f t="shared" si="39"/>
        <v>5.6</v>
      </c>
      <c r="L832" s="85">
        <v>1927</v>
      </c>
      <c r="M832" s="118" t="s">
        <v>755</v>
      </c>
      <c r="N832" s="84"/>
      <c r="O832" s="84" t="s">
        <v>44</v>
      </c>
      <c r="R832"/>
    </row>
    <row r="833" spans="1:18" x14ac:dyDescent="0.25">
      <c r="A833" s="84" t="str">
        <f t="shared" si="37"/>
        <v xml:space="preserve">OutubroSEMANA 3Alho Poró </v>
      </c>
      <c r="B833" s="85" t="s">
        <v>37</v>
      </c>
      <c r="C833" s="85" t="s">
        <v>22</v>
      </c>
      <c r="D833" s="86">
        <v>17</v>
      </c>
      <c r="E833" s="116" t="str">
        <f t="shared" si="38"/>
        <v>Hortifruti</v>
      </c>
      <c r="F833" s="85" t="s">
        <v>1054</v>
      </c>
      <c r="G833" s="85" t="s">
        <v>113</v>
      </c>
      <c r="H833" s="85" t="s">
        <v>1039</v>
      </c>
      <c r="I833" s="85">
        <v>1</v>
      </c>
      <c r="J833" s="87">
        <v>8</v>
      </c>
      <c r="K833" s="88">
        <f t="shared" si="39"/>
        <v>8</v>
      </c>
      <c r="L833" s="85">
        <v>1927</v>
      </c>
      <c r="M833" s="118" t="s">
        <v>756</v>
      </c>
      <c r="N833" s="84"/>
      <c r="O833" s="84" t="s">
        <v>44</v>
      </c>
      <c r="R833"/>
    </row>
    <row r="834" spans="1:18" x14ac:dyDescent="0.25">
      <c r="A834" s="84" t="str">
        <f t="shared" ref="A834:A897" si="40">CONCATENATE(B834,C834,G834)</f>
        <v>OutubroSEMANA 3Brócolis Americano</v>
      </c>
      <c r="B834" s="85" t="s">
        <v>37</v>
      </c>
      <c r="C834" s="85" t="s">
        <v>22</v>
      </c>
      <c r="D834" s="86">
        <v>17</v>
      </c>
      <c r="E834" s="116" t="str">
        <f t="shared" ref="E834:E897" si="41">VLOOKUP(G834,$M$1:$O$968,3,0)</f>
        <v>Hortifruti</v>
      </c>
      <c r="F834" s="85" t="s">
        <v>1054</v>
      </c>
      <c r="G834" s="85" t="s">
        <v>194</v>
      </c>
      <c r="H834" s="85" t="s">
        <v>1039</v>
      </c>
      <c r="I834" s="85">
        <v>8</v>
      </c>
      <c r="J834" s="87">
        <v>7</v>
      </c>
      <c r="K834" s="88">
        <f t="shared" ref="K834:K897" si="42">I834*J834</f>
        <v>56</v>
      </c>
      <c r="L834" s="85">
        <v>1927</v>
      </c>
      <c r="M834" s="118" t="s">
        <v>757</v>
      </c>
      <c r="O834" s="115" t="s">
        <v>44</v>
      </c>
      <c r="R834"/>
    </row>
    <row r="835" spans="1:18" x14ac:dyDescent="0.25">
      <c r="A835" s="84" t="str">
        <f t="shared" si="40"/>
        <v>OutubroSEMANA 3Cebolinha Verde</v>
      </c>
      <c r="B835" s="85" t="s">
        <v>37</v>
      </c>
      <c r="C835" s="85" t="s">
        <v>22</v>
      </c>
      <c r="D835" s="86">
        <v>17</v>
      </c>
      <c r="E835" s="116" t="str">
        <f t="shared" si="41"/>
        <v>Hortifruti</v>
      </c>
      <c r="F835" s="85" t="s">
        <v>1054</v>
      </c>
      <c r="G835" s="85" t="s">
        <v>247</v>
      </c>
      <c r="H835" s="85" t="s">
        <v>1039</v>
      </c>
      <c r="I835" s="85">
        <f>1-0.432</f>
        <v>0.56800000000000006</v>
      </c>
      <c r="J835" s="87">
        <v>7</v>
      </c>
      <c r="K835" s="88">
        <f t="shared" si="42"/>
        <v>3.9760000000000004</v>
      </c>
      <c r="L835" s="85">
        <v>1927</v>
      </c>
      <c r="M835" s="118" t="s">
        <v>758</v>
      </c>
      <c r="O835" s="115" t="s">
        <v>44</v>
      </c>
      <c r="R835"/>
    </row>
    <row r="836" spans="1:18" x14ac:dyDescent="0.25">
      <c r="A836" s="84" t="str">
        <f t="shared" si="40"/>
        <v>OutubroSEMANA 3Manjericão</v>
      </c>
      <c r="B836" s="85" t="s">
        <v>37</v>
      </c>
      <c r="C836" s="85" t="s">
        <v>22</v>
      </c>
      <c r="D836" s="86">
        <v>17</v>
      </c>
      <c r="E836" s="116" t="str">
        <f t="shared" si="41"/>
        <v>Hortifruti</v>
      </c>
      <c r="F836" s="85" t="s">
        <v>1054</v>
      </c>
      <c r="G836" s="85" t="s">
        <v>499</v>
      </c>
      <c r="H836" s="85" t="s">
        <v>1039</v>
      </c>
      <c r="I836" s="85">
        <v>0.3</v>
      </c>
      <c r="J836" s="87">
        <v>12</v>
      </c>
      <c r="K836" s="88">
        <f t="shared" si="42"/>
        <v>3.5999999999999996</v>
      </c>
      <c r="L836" s="85">
        <v>1927</v>
      </c>
      <c r="M836" s="118" t="s">
        <v>1005</v>
      </c>
      <c r="N836" s="84"/>
      <c r="O836" s="84" t="s">
        <v>44</v>
      </c>
      <c r="R836"/>
    </row>
    <row r="837" spans="1:18" x14ac:dyDescent="0.25">
      <c r="A837" s="84" t="str">
        <f t="shared" si="40"/>
        <v>OutubroSEMANA 3Tofu Kilo</v>
      </c>
      <c r="B837" s="85" t="s">
        <v>37</v>
      </c>
      <c r="C837" s="85" t="s">
        <v>22</v>
      </c>
      <c r="D837" s="86">
        <v>17</v>
      </c>
      <c r="E837" s="116" t="str">
        <f t="shared" si="41"/>
        <v>Hortifruti</v>
      </c>
      <c r="F837" s="85" t="s">
        <v>1054</v>
      </c>
      <c r="G837" s="85" t="s">
        <v>789</v>
      </c>
      <c r="H837" s="85" t="s">
        <v>1039</v>
      </c>
      <c r="I837" s="85">
        <v>3</v>
      </c>
      <c r="J837" s="87">
        <v>14</v>
      </c>
      <c r="K837" s="88">
        <f t="shared" si="42"/>
        <v>42</v>
      </c>
      <c r="L837" s="85">
        <v>1927</v>
      </c>
      <c r="M837" s="118" t="s">
        <v>759</v>
      </c>
      <c r="N837" s="84"/>
      <c r="O837" s="84" t="s">
        <v>44</v>
      </c>
      <c r="R837"/>
    </row>
    <row r="838" spans="1:18" x14ac:dyDescent="0.25">
      <c r="A838" s="84" t="str">
        <f t="shared" si="40"/>
        <v>OutubroSEMANA 3Limão Siciliano</v>
      </c>
      <c r="B838" s="85" t="s">
        <v>37</v>
      </c>
      <c r="C838" s="85" t="s">
        <v>22</v>
      </c>
      <c r="D838" s="86">
        <v>17</v>
      </c>
      <c r="E838" s="116" t="str">
        <f t="shared" si="41"/>
        <v>Hortifruti</v>
      </c>
      <c r="F838" s="85" t="s">
        <v>1054</v>
      </c>
      <c r="G838" s="85" t="s">
        <v>466</v>
      </c>
      <c r="H838" s="85" t="s">
        <v>1039</v>
      </c>
      <c r="I838" s="85">
        <v>1</v>
      </c>
      <c r="J838" s="87">
        <v>10</v>
      </c>
      <c r="K838" s="88">
        <f t="shared" si="42"/>
        <v>10</v>
      </c>
      <c r="L838" s="85">
        <v>1927</v>
      </c>
      <c r="M838" s="118" t="s">
        <v>760</v>
      </c>
      <c r="N838" s="84"/>
      <c r="O838" s="84" t="s">
        <v>44</v>
      </c>
      <c r="R838"/>
    </row>
    <row r="839" spans="1:18" x14ac:dyDescent="0.25">
      <c r="A839" s="84" t="str">
        <f t="shared" si="40"/>
        <v>OutubroSEMANA 3Banana da Terra</v>
      </c>
      <c r="B839" s="85" t="s">
        <v>37</v>
      </c>
      <c r="C839" s="85" t="s">
        <v>22</v>
      </c>
      <c r="D839" s="86">
        <v>17</v>
      </c>
      <c r="E839" s="116" t="str">
        <f t="shared" si="41"/>
        <v>Hortifruti</v>
      </c>
      <c r="F839" s="85" t="s">
        <v>1054</v>
      </c>
      <c r="G839" s="85" t="s">
        <v>161</v>
      </c>
      <c r="H839" s="85" t="s">
        <v>1039</v>
      </c>
      <c r="I839" s="85">
        <v>2.5</v>
      </c>
      <c r="J839" s="87">
        <v>4.5</v>
      </c>
      <c r="K839" s="88">
        <f t="shared" si="42"/>
        <v>11.25</v>
      </c>
      <c r="L839" s="85">
        <v>1927</v>
      </c>
      <c r="M839" s="118" t="s">
        <v>761</v>
      </c>
      <c r="N839" s="84"/>
      <c r="O839" s="84" t="s">
        <v>44</v>
      </c>
      <c r="R839"/>
    </row>
    <row r="840" spans="1:18" x14ac:dyDescent="0.25">
      <c r="A840" s="84" t="str">
        <f t="shared" si="40"/>
        <v>OutubroSEMANA 3Manga Tommy Sushi</v>
      </c>
      <c r="B840" s="85" t="s">
        <v>37</v>
      </c>
      <c r="C840" s="85" t="s">
        <v>22</v>
      </c>
      <c r="D840" s="86">
        <v>17</v>
      </c>
      <c r="E840" s="116" t="str">
        <f t="shared" si="41"/>
        <v>Sushi</v>
      </c>
      <c r="F840" s="85" t="s">
        <v>1054</v>
      </c>
      <c r="G840" s="85" t="s">
        <v>498</v>
      </c>
      <c r="H840" s="85" t="s">
        <v>1039</v>
      </c>
      <c r="I840" s="85">
        <v>1</v>
      </c>
      <c r="J840" s="87">
        <v>4</v>
      </c>
      <c r="K840" s="88">
        <f t="shared" si="42"/>
        <v>4</v>
      </c>
      <c r="L840" s="85">
        <v>1927</v>
      </c>
      <c r="M840" s="118" t="s">
        <v>977</v>
      </c>
      <c r="N840" s="84"/>
      <c r="O840" s="84" t="s">
        <v>44</v>
      </c>
      <c r="R840"/>
    </row>
    <row r="841" spans="1:18" x14ac:dyDescent="0.25">
      <c r="A841" s="84" t="str">
        <f t="shared" si="40"/>
        <v>OutubroSEMANA 3Pera</v>
      </c>
      <c r="B841" s="85" t="s">
        <v>37</v>
      </c>
      <c r="C841" s="85" t="s">
        <v>22</v>
      </c>
      <c r="D841" s="86">
        <v>17</v>
      </c>
      <c r="E841" s="116" t="str">
        <f t="shared" si="41"/>
        <v>Hortifruti</v>
      </c>
      <c r="F841" s="85" t="s">
        <v>1054</v>
      </c>
      <c r="G841" s="85" t="s">
        <v>581</v>
      </c>
      <c r="H841" s="85" t="s">
        <v>1039</v>
      </c>
      <c r="I841" s="85">
        <v>3</v>
      </c>
      <c r="J841" s="87">
        <v>8</v>
      </c>
      <c r="K841" s="88">
        <f t="shared" si="42"/>
        <v>24</v>
      </c>
      <c r="L841" s="85">
        <v>1927</v>
      </c>
      <c r="M841" s="118" t="s">
        <v>762</v>
      </c>
      <c r="N841" s="84"/>
      <c r="O841" s="84" t="s">
        <v>44</v>
      </c>
      <c r="R841"/>
    </row>
    <row r="842" spans="1:18" x14ac:dyDescent="0.25">
      <c r="A842" s="84" t="str">
        <f t="shared" si="40"/>
        <v>OutubroSEMANA 3Endivia</v>
      </c>
      <c r="B842" s="85" t="s">
        <v>37</v>
      </c>
      <c r="C842" s="85" t="s">
        <v>22</v>
      </c>
      <c r="D842" s="86">
        <v>17</v>
      </c>
      <c r="E842" s="116" t="str">
        <f t="shared" si="41"/>
        <v>Hortifruti</v>
      </c>
      <c r="F842" s="85" t="s">
        <v>1054</v>
      </c>
      <c r="G842" s="85" t="s">
        <v>326</v>
      </c>
      <c r="H842" s="85" t="s">
        <v>1039</v>
      </c>
      <c r="I842" s="85">
        <v>2.5</v>
      </c>
      <c r="J842" s="87">
        <v>20</v>
      </c>
      <c r="K842" s="88">
        <f t="shared" si="42"/>
        <v>50</v>
      </c>
      <c r="L842" s="85">
        <v>1927</v>
      </c>
      <c r="M842" s="118" t="s">
        <v>763</v>
      </c>
      <c r="N842" s="84"/>
      <c r="O842" s="84" t="s">
        <v>44</v>
      </c>
      <c r="R842"/>
    </row>
    <row r="843" spans="1:18" x14ac:dyDescent="0.25">
      <c r="A843" s="84" t="str">
        <f t="shared" si="40"/>
        <v>OutubroSEMANA 3Abobora</v>
      </c>
      <c r="B843" s="85" t="s">
        <v>37</v>
      </c>
      <c r="C843" s="85" t="s">
        <v>22</v>
      </c>
      <c r="D843" s="86">
        <v>17</v>
      </c>
      <c r="E843" s="116" t="str">
        <f t="shared" si="41"/>
        <v>Hortifruti</v>
      </c>
      <c r="F843" s="85" t="s">
        <v>1055</v>
      </c>
      <c r="G843" s="85" t="s">
        <v>68</v>
      </c>
      <c r="H843" s="85" t="s">
        <v>1039</v>
      </c>
      <c r="I843" s="85">
        <v>5</v>
      </c>
      <c r="J843" s="87">
        <v>2.2000000000000002</v>
      </c>
      <c r="K843" s="88">
        <f t="shared" si="42"/>
        <v>11</v>
      </c>
      <c r="L843" s="85">
        <v>4938</v>
      </c>
      <c r="M843" s="118" t="s">
        <v>764</v>
      </c>
      <c r="N843" s="84"/>
      <c r="O843" s="84" t="s">
        <v>44</v>
      </c>
      <c r="R843"/>
    </row>
    <row r="844" spans="1:18" x14ac:dyDescent="0.25">
      <c r="A844" s="84" t="str">
        <f t="shared" si="40"/>
        <v>OutubroSEMANA 3Acelga</v>
      </c>
      <c r="B844" s="85" t="s">
        <v>37</v>
      </c>
      <c r="C844" s="85" t="s">
        <v>22</v>
      </c>
      <c r="D844" s="86">
        <v>17</v>
      </c>
      <c r="E844" s="116" t="str">
        <f t="shared" si="41"/>
        <v>Hortifruti</v>
      </c>
      <c r="F844" s="85" t="s">
        <v>1055</v>
      </c>
      <c r="G844" s="85" t="s">
        <v>75</v>
      </c>
      <c r="H844" s="85" t="s">
        <v>1039</v>
      </c>
      <c r="I844" s="85">
        <v>4</v>
      </c>
      <c r="J844" s="87">
        <v>2.2000000000000002</v>
      </c>
      <c r="K844" s="88">
        <f t="shared" si="42"/>
        <v>8.8000000000000007</v>
      </c>
      <c r="L844" s="85">
        <v>4938</v>
      </c>
      <c r="M844" s="118" t="s">
        <v>765</v>
      </c>
      <c r="N844" s="84"/>
      <c r="O844" s="84" t="s">
        <v>44</v>
      </c>
      <c r="R844"/>
    </row>
    <row r="845" spans="1:18" x14ac:dyDescent="0.25">
      <c r="A845" s="84" t="str">
        <f t="shared" si="40"/>
        <v>OutubroSEMANA 3Banana D'Água</v>
      </c>
      <c r="B845" s="85" t="s">
        <v>37</v>
      </c>
      <c r="C845" s="85" t="s">
        <v>22</v>
      </c>
      <c r="D845" s="86">
        <v>17</v>
      </c>
      <c r="E845" s="116" t="str">
        <f t="shared" si="41"/>
        <v>Hortifruti</v>
      </c>
      <c r="F845" s="85" t="s">
        <v>1055</v>
      </c>
      <c r="G845" s="85" t="s">
        <v>162</v>
      </c>
      <c r="H845" s="85" t="s">
        <v>1039</v>
      </c>
      <c r="I845" s="85">
        <v>7</v>
      </c>
      <c r="J845" s="87">
        <v>2.2000000000000002</v>
      </c>
      <c r="K845" s="88">
        <f t="shared" si="42"/>
        <v>15.400000000000002</v>
      </c>
      <c r="L845" s="85">
        <v>4938</v>
      </c>
      <c r="M845" s="118" t="s">
        <v>766</v>
      </c>
      <c r="N845" s="84"/>
      <c r="O845" s="84" t="s">
        <v>44</v>
      </c>
      <c r="R845"/>
    </row>
    <row r="846" spans="1:18" x14ac:dyDescent="0.25">
      <c r="A846" s="84" t="str">
        <f t="shared" si="40"/>
        <v>OutubroSEMANA 3Batata Baroa</v>
      </c>
      <c r="B846" s="85" t="s">
        <v>37</v>
      </c>
      <c r="C846" s="85" t="s">
        <v>22</v>
      </c>
      <c r="D846" s="86">
        <v>17</v>
      </c>
      <c r="E846" s="116" t="str">
        <f t="shared" si="41"/>
        <v>Hortifruti</v>
      </c>
      <c r="F846" s="85" t="s">
        <v>1055</v>
      </c>
      <c r="G846" s="85" t="s">
        <v>169</v>
      </c>
      <c r="H846" s="85" t="s">
        <v>1039</v>
      </c>
      <c r="I846" s="85">
        <v>14.92</v>
      </c>
      <c r="J846" s="87">
        <f>66/14.92</f>
        <v>4.423592493297587</v>
      </c>
      <c r="K846" s="88">
        <f t="shared" si="42"/>
        <v>66</v>
      </c>
      <c r="L846" s="85">
        <v>4938</v>
      </c>
      <c r="M846" s="118" t="s">
        <v>767</v>
      </c>
      <c r="N846" s="84"/>
      <c r="O846" s="84" t="s">
        <v>44</v>
      </c>
      <c r="R846"/>
    </row>
    <row r="847" spans="1:18" x14ac:dyDescent="0.25">
      <c r="A847" s="84" t="str">
        <f t="shared" si="40"/>
        <v>OutubroSEMANA 3Berinjela</v>
      </c>
      <c r="B847" s="85" t="s">
        <v>37</v>
      </c>
      <c r="C847" s="85" t="s">
        <v>22</v>
      </c>
      <c r="D847" s="86">
        <v>17</v>
      </c>
      <c r="E847" s="116" t="str">
        <f t="shared" si="41"/>
        <v>Hortifruti</v>
      </c>
      <c r="F847" s="85" t="s">
        <v>1055</v>
      </c>
      <c r="G847" s="85" t="s">
        <v>178</v>
      </c>
      <c r="H847" s="85" t="s">
        <v>1039</v>
      </c>
      <c r="I847" s="85">
        <v>11.98</v>
      </c>
      <c r="J847" s="87">
        <f>46.9/11.98</f>
        <v>3.9148580968280466</v>
      </c>
      <c r="K847" s="88">
        <f t="shared" si="42"/>
        <v>46.9</v>
      </c>
      <c r="L847" s="85">
        <v>4938</v>
      </c>
      <c r="M847" s="118" t="s">
        <v>768</v>
      </c>
      <c r="N847" s="84"/>
      <c r="O847" s="84" t="s">
        <v>44</v>
      </c>
      <c r="R847"/>
    </row>
    <row r="848" spans="1:18" x14ac:dyDescent="0.25">
      <c r="A848" s="84" t="str">
        <f t="shared" si="40"/>
        <v>OutubroSEMANA 3Côco Seco</v>
      </c>
      <c r="B848" s="85" t="s">
        <v>37</v>
      </c>
      <c r="C848" s="85" t="s">
        <v>22</v>
      </c>
      <c r="D848" s="86">
        <v>17</v>
      </c>
      <c r="E848" s="116" t="str">
        <f t="shared" si="41"/>
        <v>Mercado</v>
      </c>
      <c r="F848" s="85" t="s">
        <v>1055</v>
      </c>
      <c r="G848" s="85" t="s">
        <v>287</v>
      </c>
      <c r="H848" s="85" t="s">
        <v>1039</v>
      </c>
      <c r="I848" s="85">
        <v>3</v>
      </c>
      <c r="J848" s="87">
        <v>6.9</v>
      </c>
      <c r="K848" s="88">
        <f t="shared" si="42"/>
        <v>20.700000000000003</v>
      </c>
      <c r="L848" s="85">
        <v>4938</v>
      </c>
      <c r="M848" s="118" t="s">
        <v>769</v>
      </c>
      <c r="N848" s="84"/>
      <c r="O848" s="84" t="s">
        <v>44</v>
      </c>
      <c r="R848"/>
    </row>
    <row r="849" spans="1:18" x14ac:dyDescent="0.25">
      <c r="A849" s="84" t="str">
        <f t="shared" si="40"/>
        <v>OutubroSEMANA 3Jiló</v>
      </c>
      <c r="B849" s="85" t="s">
        <v>37</v>
      </c>
      <c r="C849" s="85" t="s">
        <v>22</v>
      </c>
      <c r="D849" s="86">
        <v>17</v>
      </c>
      <c r="E849" s="116" t="str">
        <f t="shared" si="41"/>
        <v>Hortifruti</v>
      </c>
      <c r="F849" s="85" t="s">
        <v>1055</v>
      </c>
      <c r="G849" s="85" t="s">
        <v>451</v>
      </c>
      <c r="H849" s="85" t="s">
        <v>1039</v>
      </c>
      <c r="I849" s="85">
        <v>2</v>
      </c>
      <c r="J849" s="87">
        <v>4.9000000000000004</v>
      </c>
      <c r="K849" s="88">
        <f t="shared" si="42"/>
        <v>9.8000000000000007</v>
      </c>
      <c r="L849" s="85">
        <v>4938</v>
      </c>
      <c r="M849" s="118" t="s">
        <v>770</v>
      </c>
      <c r="N849" s="84"/>
      <c r="O849" s="84" t="s">
        <v>44</v>
      </c>
      <c r="R849"/>
    </row>
    <row r="850" spans="1:18" x14ac:dyDescent="0.25">
      <c r="A850" s="84" t="str">
        <f t="shared" si="40"/>
        <v>OutubroSEMANA 3Melância</v>
      </c>
      <c r="B850" s="85" t="s">
        <v>37</v>
      </c>
      <c r="C850" s="85" t="s">
        <v>22</v>
      </c>
      <c r="D850" s="86">
        <v>17</v>
      </c>
      <c r="E850" s="116" t="str">
        <f t="shared" si="41"/>
        <v>Hortifruti</v>
      </c>
      <c r="F850" s="85" t="s">
        <v>1055</v>
      </c>
      <c r="G850" s="85" t="s">
        <v>517</v>
      </c>
      <c r="H850" s="85" t="s">
        <v>1039</v>
      </c>
      <c r="I850" s="85">
        <v>10</v>
      </c>
      <c r="J850" s="87">
        <v>1.32</v>
      </c>
      <c r="K850" s="88">
        <f t="shared" si="42"/>
        <v>13.200000000000001</v>
      </c>
      <c r="L850" s="85">
        <v>4938</v>
      </c>
      <c r="M850" s="118" t="s">
        <v>771</v>
      </c>
      <c r="N850" s="84"/>
      <c r="O850" s="84" t="s">
        <v>44</v>
      </c>
      <c r="R850"/>
    </row>
    <row r="851" spans="1:18" x14ac:dyDescent="0.25">
      <c r="A851" s="84" t="str">
        <f t="shared" si="40"/>
        <v xml:space="preserve">OutubroSEMANA 3Café em Grão </v>
      </c>
      <c r="B851" s="85" t="s">
        <v>37</v>
      </c>
      <c r="C851" s="85" t="s">
        <v>22</v>
      </c>
      <c r="D851" s="86">
        <v>17</v>
      </c>
      <c r="E851" s="116" t="str">
        <f t="shared" si="41"/>
        <v>Mercado</v>
      </c>
      <c r="F851" s="85" t="s">
        <v>1192</v>
      </c>
      <c r="G851" s="85" t="s">
        <v>1033</v>
      </c>
      <c r="H851" s="85" t="s">
        <v>1039</v>
      </c>
      <c r="I851" s="85">
        <v>3</v>
      </c>
      <c r="J851" s="87"/>
      <c r="K851" s="88">
        <f t="shared" si="42"/>
        <v>0</v>
      </c>
      <c r="L851" s="85" t="s">
        <v>1072</v>
      </c>
      <c r="M851" s="118" t="s">
        <v>772</v>
      </c>
      <c r="N851" s="84"/>
      <c r="O851" s="84" t="s">
        <v>44</v>
      </c>
      <c r="R851"/>
    </row>
    <row r="852" spans="1:18" x14ac:dyDescent="0.25">
      <c r="A852" s="84" t="str">
        <f t="shared" si="40"/>
        <v>OutubroSEMANA 3Ovo de Codorna</v>
      </c>
      <c r="B852" s="85" t="s">
        <v>37</v>
      </c>
      <c r="C852" s="85" t="s">
        <v>22</v>
      </c>
      <c r="D852" s="86">
        <v>17</v>
      </c>
      <c r="E852" s="116" t="str">
        <f t="shared" si="41"/>
        <v>Hortifruti</v>
      </c>
      <c r="F852" s="85" t="s">
        <v>1068</v>
      </c>
      <c r="G852" s="85" t="s">
        <v>549</v>
      </c>
      <c r="H852" s="85" t="s">
        <v>1037</v>
      </c>
      <c r="I852" s="85">
        <v>16</v>
      </c>
      <c r="J852" s="87">
        <v>10.4</v>
      </c>
      <c r="K852" s="88">
        <f t="shared" si="42"/>
        <v>166.4</v>
      </c>
      <c r="L852" s="85"/>
      <c r="M852" s="118" t="s">
        <v>773</v>
      </c>
      <c r="N852" s="84"/>
      <c r="O852" s="84" t="s">
        <v>44</v>
      </c>
      <c r="R852"/>
    </row>
    <row r="853" spans="1:18" x14ac:dyDescent="0.25">
      <c r="A853" s="84" t="str">
        <f t="shared" si="40"/>
        <v>OutubroSEMANA 3Tapioca Fina</v>
      </c>
      <c r="B853" s="85" t="s">
        <v>37</v>
      </c>
      <c r="C853" s="85" t="s">
        <v>22</v>
      </c>
      <c r="D853" s="86">
        <v>17</v>
      </c>
      <c r="E853" s="116" t="str">
        <f t="shared" si="41"/>
        <v>Mercado</v>
      </c>
      <c r="F853" s="85" t="s">
        <v>1036</v>
      </c>
      <c r="G853" s="85" t="s">
        <v>1027</v>
      </c>
      <c r="H853" s="85" t="s">
        <v>1039</v>
      </c>
      <c r="I853" s="85">
        <v>0.5</v>
      </c>
      <c r="J853" s="87">
        <v>11</v>
      </c>
      <c r="K853" s="88">
        <f t="shared" si="42"/>
        <v>5.5</v>
      </c>
      <c r="L853" s="85" t="s">
        <v>1305</v>
      </c>
      <c r="M853" s="118" t="s">
        <v>774</v>
      </c>
      <c r="N853" s="84"/>
      <c r="O853" s="84" t="s">
        <v>44</v>
      </c>
      <c r="R853"/>
    </row>
    <row r="854" spans="1:18" x14ac:dyDescent="0.25">
      <c r="A854" s="84" t="str">
        <f t="shared" si="40"/>
        <v>OutubroSEMANA 3Yogurt de Pessego</v>
      </c>
      <c r="B854" s="85" t="s">
        <v>37</v>
      </c>
      <c r="C854" s="85" t="s">
        <v>22</v>
      </c>
      <c r="D854" s="86">
        <v>17</v>
      </c>
      <c r="E854" s="116" t="str">
        <f t="shared" si="41"/>
        <v>Mercado</v>
      </c>
      <c r="F854" s="85" t="s">
        <v>1036</v>
      </c>
      <c r="G854" s="85" t="s">
        <v>870</v>
      </c>
      <c r="H854" s="85" t="s">
        <v>1038</v>
      </c>
      <c r="I854" s="85">
        <v>2</v>
      </c>
      <c r="J854" s="87">
        <v>7.98</v>
      </c>
      <c r="K854" s="88">
        <f t="shared" si="42"/>
        <v>15.96</v>
      </c>
      <c r="L854" s="85"/>
      <c r="M854" s="118" t="s">
        <v>775</v>
      </c>
      <c r="N854" s="84"/>
      <c r="O854" s="84" t="s">
        <v>44</v>
      </c>
      <c r="R854"/>
    </row>
    <row r="855" spans="1:18" x14ac:dyDescent="0.25">
      <c r="A855" s="84" t="str">
        <f t="shared" si="40"/>
        <v>OutubroSEMANA 3Manga Tommy</v>
      </c>
      <c r="B855" s="85" t="s">
        <v>37</v>
      </c>
      <c r="C855" s="85" t="s">
        <v>22</v>
      </c>
      <c r="D855" s="86">
        <v>17</v>
      </c>
      <c r="E855" s="116" t="str">
        <f t="shared" si="41"/>
        <v>Hortifruti</v>
      </c>
      <c r="F855" s="85" t="s">
        <v>1036</v>
      </c>
      <c r="G855" s="85" t="s">
        <v>497</v>
      </c>
      <c r="H855" s="85" t="s">
        <v>1039</v>
      </c>
      <c r="I855" s="85">
        <v>1.55</v>
      </c>
      <c r="J855" s="87">
        <v>3.98</v>
      </c>
      <c r="K855" s="88">
        <f t="shared" si="42"/>
        <v>6.1690000000000005</v>
      </c>
      <c r="L855" s="85"/>
      <c r="M855" s="118" t="s">
        <v>776</v>
      </c>
      <c r="N855" s="84"/>
      <c r="O855" s="84" t="s">
        <v>44</v>
      </c>
      <c r="R855"/>
    </row>
    <row r="856" spans="1:18" x14ac:dyDescent="0.25">
      <c r="A856" s="84" t="str">
        <f t="shared" si="40"/>
        <v>OutubroSEMANA 3Cebolinha Verde Sushi</v>
      </c>
      <c r="B856" s="85" t="s">
        <v>37</v>
      </c>
      <c r="C856" s="85" t="s">
        <v>22</v>
      </c>
      <c r="D856" s="86">
        <v>17</v>
      </c>
      <c r="E856" s="116" t="str">
        <f t="shared" si="41"/>
        <v>Sushi</v>
      </c>
      <c r="F856" s="85" t="s">
        <v>1054</v>
      </c>
      <c r="G856" s="85" t="s">
        <v>248</v>
      </c>
      <c r="H856" s="85" t="s">
        <v>1039</v>
      </c>
      <c r="I856" s="85">
        <v>0.432</v>
      </c>
      <c r="J856" s="87">
        <v>7</v>
      </c>
      <c r="K856" s="88">
        <f t="shared" si="42"/>
        <v>3.024</v>
      </c>
      <c r="L856" s="85">
        <v>1927</v>
      </c>
      <c r="M856" s="118" t="s">
        <v>940</v>
      </c>
      <c r="N856" s="84"/>
      <c r="O856" s="84" t="s">
        <v>47</v>
      </c>
      <c r="R856"/>
    </row>
    <row r="857" spans="1:18" x14ac:dyDescent="0.25">
      <c r="A857" s="84" t="str">
        <f t="shared" si="40"/>
        <v>OutubroSEMANA 3Ovos Extra Sushi</v>
      </c>
      <c r="B857" s="85" t="s">
        <v>37</v>
      </c>
      <c r="C857" s="85" t="s">
        <v>22</v>
      </c>
      <c r="D857" s="86">
        <v>16</v>
      </c>
      <c r="E857" s="116" t="str">
        <f t="shared" si="41"/>
        <v>Sushi</v>
      </c>
      <c r="F857" s="85" t="s">
        <v>1055</v>
      </c>
      <c r="G857" s="85" t="s">
        <v>551</v>
      </c>
      <c r="H857" s="85" t="s">
        <v>1038</v>
      </c>
      <c r="I857" s="85">
        <f>7+14+14</f>
        <v>35</v>
      </c>
      <c r="J857" s="87">
        <f>101/360</f>
        <v>0.28055555555555556</v>
      </c>
      <c r="K857" s="88">
        <f t="shared" si="42"/>
        <v>9.8194444444444446</v>
      </c>
      <c r="L857" s="85" t="s">
        <v>1200</v>
      </c>
      <c r="M857" s="118" t="s">
        <v>971</v>
      </c>
      <c r="O857" s="115" t="s">
        <v>60</v>
      </c>
      <c r="R857"/>
    </row>
    <row r="858" spans="1:18" x14ac:dyDescent="0.25">
      <c r="A858" s="84" t="str">
        <f t="shared" si="40"/>
        <v>OutubroSEMANA 3Feijão Preto</v>
      </c>
      <c r="B858" s="85" t="s">
        <v>37</v>
      </c>
      <c r="C858" s="85" t="s">
        <v>22</v>
      </c>
      <c r="D858" s="86">
        <v>18</v>
      </c>
      <c r="E858" s="116" t="str">
        <f t="shared" si="41"/>
        <v>Mercado</v>
      </c>
      <c r="F858" s="85" t="s">
        <v>1084</v>
      </c>
      <c r="G858" s="85" t="s">
        <v>352</v>
      </c>
      <c r="H858" s="85" t="s">
        <v>1039</v>
      </c>
      <c r="I858" s="85">
        <v>30</v>
      </c>
      <c r="J858" s="87">
        <v>4.0999999999999996</v>
      </c>
      <c r="K858" s="88">
        <f t="shared" si="42"/>
        <v>122.99999999999999</v>
      </c>
      <c r="L858" s="85" t="s">
        <v>1193</v>
      </c>
      <c r="M858" s="118" t="s">
        <v>777</v>
      </c>
      <c r="N858" s="84"/>
      <c r="O858" s="84" t="s">
        <v>873</v>
      </c>
      <c r="R858"/>
    </row>
    <row r="859" spans="1:18" x14ac:dyDescent="0.25">
      <c r="A859" s="84" t="str">
        <f t="shared" si="40"/>
        <v>OutubroSEMANA 3Farinha de Mandioca</v>
      </c>
      <c r="B859" s="85" t="s">
        <v>37</v>
      </c>
      <c r="C859" s="85" t="s">
        <v>22</v>
      </c>
      <c r="D859" s="86">
        <v>18</v>
      </c>
      <c r="E859" s="116" t="str">
        <f t="shared" si="41"/>
        <v>Mercado</v>
      </c>
      <c r="F859" s="85" t="s">
        <v>1084</v>
      </c>
      <c r="G859" s="85" t="s">
        <v>341</v>
      </c>
      <c r="H859" s="85" t="s">
        <v>1039</v>
      </c>
      <c r="I859" s="85">
        <v>20</v>
      </c>
      <c r="J859" s="87">
        <f>75/20</f>
        <v>3.75</v>
      </c>
      <c r="K859" s="88">
        <f t="shared" si="42"/>
        <v>75</v>
      </c>
      <c r="L859" s="85" t="s">
        <v>1193</v>
      </c>
      <c r="M859" s="118" t="s">
        <v>778</v>
      </c>
      <c r="N859" s="84"/>
      <c r="O859" s="84" t="s">
        <v>872</v>
      </c>
      <c r="R859"/>
    </row>
    <row r="860" spans="1:18" x14ac:dyDescent="0.25">
      <c r="A860" s="84" t="str">
        <f t="shared" si="40"/>
        <v>OutubroSEMANA 3Café Moído 1 Kg</v>
      </c>
      <c r="B860" s="85" t="s">
        <v>37</v>
      </c>
      <c r="C860" s="85" t="s">
        <v>22</v>
      </c>
      <c r="D860" s="86">
        <v>18</v>
      </c>
      <c r="E860" s="116" t="str">
        <f t="shared" si="41"/>
        <v>Mercado</v>
      </c>
      <c r="F860" s="85" t="s">
        <v>1084</v>
      </c>
      <c r="G860" s="85" t="s">
        <v>198</v>
      </c>
      <c r="H860" s="85" t="s">
        <v>1039</v>
      </c>
      <c r="I860" s="85">
        <f>20*0.25</f>
        <v>5</v>
      </c>
      <c r="J860" s="87">
        <f>73/5</f>
        <v>14.6</v>
      </c>
      <c r="K860" s="88">
        <f t="shared" si="42"/>
        <v>73</v>
      </c>
      <c r="L860" s="85" t="s">
        <v>1193</v>
      </c>
      <c r="M860" s="118" t="s">
        <v>779</v>
      </c>
      <c r="N860" s="84"/>
      <c r="O860" s="84" t="s">
        <v>42</v>
      </c>
      <c r="R860"/>
    </row>
    <row r="861" spans="1:18" x14ac:dyDescent="0.25">
      <c r="A861" s="84" t="str">
        <f t="shared" si="40"/>
        <v>OutubroSEMANA 3Milho Mini Conserva lata 1,5 Kg</v>
      </c>
      <c r="B861" s="85" t="s">
        <v>37</v>
      </c>
      <c r="C861" s="85" t="s">
        <v>22</v>
      </c>
      <c r="D861" s="86">
        <v>18</v>
      </c>
      <c r="E861" s="116" t="str">
        <f t="shared" si="41"/>
        <v>Mercado</v>
      </c>
      <c r="F861" s="85" t="s">
        <v>1084</v>
      </c>
      <c r="G861" s="85" t="s">
        <v>522</v>
      </c>
      <c r="H861" s="85" t="s">
        <v>1038</v>
      </c>
      <c r="I861" s="85">
        <v>1</v>
      </c>
      <c r="J861" s="87">
        <v>28</v>
      </c>
      <c r="K861" s="88">
        <f t="shared" si="42"/>
        <v>28</v>
      </c>
      <c r="L861" s="85" t="s">
        <v>1193</v>
      </c>
      <c r="M861" s="118" t="s">
        <v>780</v>
      </c>
      <c r="N861" s="84"/>
      <c r="O861" s="84" t="s">
        <v>42</v>
      </c>
      <c r="R861"/>
    </row>
    <row r="862" spans="1:18" x14ac:dyDescent="0.25">
      <c r="A862" s="84" t="str">
        <f t="shared" si="40"/>
        <v>OutubroSEMANA 3Óleo Composto 500ml</v>
      </c>
      <c r="B862" s="85" t="s">
        <v>37</v>
      </c>
      <c r="C862" s="85" t="s">
        <v>22</v>
      </c>
      <c r="D862" s="86">
        <v>18</v>
      </c>
      <c r="E862" s="116" t="str">
        <f t="shared" si="41"/>
        <v>Mercado</v>
      </c>
      <c r="F862" s="85" t="s">
        <v>1084</v>
      </c>
      <c r="G862" s="85" t="s">
        <v>542</v>
      </c>
      <c r="H862" s="85" t="s">
        <v>1038</v>
      </c>
      <c r="I862" s="85">
        <v>12</v>
      </c>
      <c r="J862" s="87">
        <f>35/12</f>
        <v>2.9166666666666665</v>
      </c>
      <c r="K862" s="88">
        <f t="shared" si="42"/>
        <v>35</v>
      </c>
      <c r="L862" s="85" t="s">
        <v>1193</v>
      </c>
      <c r="M862" s="118" t="s">
        <v>1025</v>
      </c>
      <c r="O862" s="84" t="s">
        <v>45</v>
      </c>
      <c r="R862"/>
    </row>
    <row r="863" spans="1:18" x14ac:dyDescent="0.25">
      <c r="A863" s="84" t="str">
        <f t="shared" si="40"/>
        <v>OutubroSEMANA 3Sal Refinado</v>
      </c>
      <c r="B863" s="85" t="s">
        <v>37</v>
      </c>
      <c r="C863" s="85" t="s">
        <v>22</v>
      </c>
      <c r="D863" s="86">
        <v>18</v>
      </c>
      <c r="E863" s="116" t="str">
        <f t="shared" si="41"/>
        <v>Mercado</v>
      </c>
      <c r="F863" s="85" t="s">
        <v>1084</v>
      </c>
      <c r="G863" s="85" t="s">
        <v>725</v>
      </c>
      <c r="H863" s="85" t="s">
        <v>1039</v>
      </c>
      <c r="I863" s="85">
        <v>20</v>
      </c>
      <c r="J863" s="87">
        <v>1.099</v>
      </c>
      <c r="K863" s="88">
        <f t="shared" si="42"/>
        <v>21.98</v>
      </c>
      <c r="L863" s="85" t="s">
        <v>1193</v>
      </c>
      <c r="M863" s="118" t="s">
        <v>781</v>
      </c>
      <c r="N863" s="84"/>
      <c r="O863" s="84" t="s">
        <v>873</v>
      </c>
      <c r="R863"/>
    </row>
    <row r="864" spans="1:18" x14ac:dyDescent="0.25">
      <c r="A864" s="84" t="str">
        <f t="shared" si="40"/>
        <v>OutubroSEMANA 3Vinagre Aceto Balsamico</v>
      </c>
      <c r="B864" s="85" t="s">
        <v>37</v>
      </c>
      <c r="C864" s="85" t="s">
        <v>22</v>
      </c>
      <c r="D864" s="86">
        <v>18</v>
      </c>
      <c r="E864" s="116" t="str">
        <f t="shared" si="41"/>
        <v>Mercado</v>
      </c>
      <c r="F864" s="85" t="s">
        <v>1085</v>
      </c>
      <c r="G864" s="85" t="s">
        <v>838</v>
      </c>
      <c r="H864" s="85" t="s">
        <v>1038</v>
      </c>
      <c r="I864" s="85">
        <v>1</v>
      </c>
      <c r="J864" s="87">
        <v>8.0299999999999994</v>
      </c>
      <c r="K864" s="88">
        <f t="shared" si="42"/>
        <v>8.0299999999999994</v>
      </c>
      <c r="L864" s="85" t="s">
        <v>1194</v>
      </c>
      <c r="M864" s="118" t="s">
        <v>782</v>
      </c>
      <c r="N864" s="84"/>
      <c r="O864" s="84" t="s">
        <v>873</v>
      </c>
      <c r="R864"/>
    </row>
    <row r="865" spans="1:18" x14ac:dyDescent="0.25">
      <c r="A865" s="84" t="str">
        <f t="shared" si="40"/>
        <v>OutubroSEMANA 3Vinagre de Arroz Sushi</v>
      </c>
      <c r="B865" s="85" t="s">
        <v>37</v>
      </c>
      <c r="C865" s="85" t="s">
        <v>22</v>
      </c>
      <c r="D865" s="86">
        <v>18</v>
      </c>
      <c r="E865" s="116" t="str">
        <f t="shared" si="41"/>
        <v>Sushi</v>
      </c>
      <c r="F865" s="85" t="s">
        <v>1085</v>
      </c>
      <c r="G865" s="85" t="s">
        <v>840</v>
      </c>
      <c r="H865" s="85" t="s">
        <v>1081</v>
      </c>
      <c r="I865" s="85">
        <f>(24*0.75)-(7*0.75)</f>
        <v>12.75</v>
      </c>
      <c r="J865" s="87">
        <f>94.72/18</f>
        <v>5.2622222222222224</v>
      </c>
      <c r="K865" s="88">
        <f t="shared" si="42"/>
        <v>67.093333333333334</v>
      </c>
      <c r="L865" s="85" t="s">
        <v>1194</v>
      </c>
      <c r="M865" s="118" t="s">
        <v>783</v>
      </c>
      <c r="N865" s="84"/>
      <c r="O865" s="84" t="s">
        <v>873</v>
      </c>
      <c r="R865"/>
    </row>
    <row r="866" spans="1:18" x14ac:dyDescent="0.25">
      <c r="A866" s="84" t="str">
        <f t="shared" si="40"/>
        <v>OutubroSEMANA 3Azeitona Verde Fatiada Bd 2 kg</v>
      </c>
      <c r="B866" s="85" t="s">
        <v>37</v>
      </c>
      <c r="C866" s="85" t="s">
        <v>22</v>
      </c>
      <c r="D866" s="86">
        <v>18</v>
      </c>
      <c r="E866" s="116" t="str">
        <f t="shared" si="41"/>
        <v>Mercado</v>
      </c>
      <c r="F866" s="85" t="s">
        <v>1085</v>
      </c>
      <c r="G866" s="85" t="s">
        <v>158</v>
      </c>
      <c r="H866" s="85" t="s">
        <v>1046</v>
      </c>
      <c r="I866" s="85">
        <v>1</v>
      </c>
      <c r="J866" s="87">
        <v>26.22</v>
      </c>
      <c r="K866" s="88">
        <f t="shared" si="42"/>
        <v>26.22</v>
      </c>
      <c r="L866" s="85" t="s">
        <v>1195</v>
      </c>
      <c r="M866" s="118" t="s">
        <v>784</v>
      </c>
      <c r="N866" s="84"/>
      <c r="O866" s="84" t="s">
        <v>45</v>
      </c>
      <c r="R866"/>
    </row>
    <row r="867" spans="1:18" x14ac:dyDescent="0.25">
      <c r="A867" s="84" t="str">
        <f t="shared" si="40"/>
        <v>OutubroSEMANA 3Grão de Bico</v>
      </c>
      <c r="B867" s="85" t="s">
        <v>37</v>
      </c>
      <c r="C867" s="85" t="s">
        <v>22</v>
      </c>
      <c r="D867" s="86">
        <v>18</v>
      </c>
      <c r="E867" s="116" t="str">
        <f t="shared" si="41"/>
        <v>Mercado</v>
      </c>
      <c r="F867" s="85" t="s">
        <v>1085</v>
      </c>
      <c r="G867" s="85" t="s">
        <v>396</v>
      </c>
      <c r="H867" s="85" t="s">
        <v>1039</v>
      </c>
      <c r="I867" s="85">
        <f>20*0.5</f>
        <v>10</v>
      </c>
      <c r="J867" s="87">
        <f>138.13/10</f>
        <v>13.812999999999999</v>
      </c>
      <c r="K867" s="88">
        <f t="shared" si="42"/>
        <v>138.13</v>
      </c>
      <c r="L867" s="85" t="s">
        <v>1195</v>
      </c>
      <c r="M867" s="118" t="s">
        <v>1027</v>
      </c>
      <c r="O867" s="84" t="s">
        <v>42</v>
      </c>
      <c r="R867"/>
    </row>
    <row r="868" spans="1:18" x14ac:dyDescent="0.25">
      <c r="A868" s="84" t="str">
        <f t="shared" si="40"/>
        <v>OutubroSEMANA 3Margarina Bd 15 Kg</v>
      </c>
      <c r="B868" s="85" t="s">
        <v>37</v>
      </c>
      <c r="C868" s="85" t="s">
        <v>22</v>
      </c>
      <c r="D868" s="86">
        <v>18</v>
      </c>
      <c r="E868" s="116" t="str">
        <f t="shared" si="41"/>
        <v>Mercado</v>
      </c>
      <c r="F868" s="85" t="s">
        <v>1085</v>
      </c>
      <c r="G868" s="85" t="s">
        <v>505</v>
      </c>
      <c r="H868" s="85" t="s">
        <v>1046</v>
      </c>
      <c r="I868" s="85">
        <v>1</v>
      </c>
      <c r="J868" s="87">
        <v>73.37</v>
      </c>
      <c r="K868" s="88">
        <f t="shared" si="42"/>
        <v>73.37</v>
      </c>
      <c r="L868" s="85" t="s">
        <v>1195</v>
      </c>
      <c r="M868" s="118" t="s">
        <v>785</v>
      </c>
      <c r="N868" s="84"/>
      <c r="O868" s="84" t="s">
        <v>42</v>
      </c>
      <c r="R868"/>
    </row>
    <row r="869" spans="1:18" x14ac:dyDescent="0.25">
      <c r="A869" s="84" t="str">
        <f t="shared" si="40"/>
        <v>OutubroSEMANA 3Milho Verde 2 Kg</v>
      </c>
      <c r="B869" s="85" t="s">
        <v>37</v>
      </c>
      <c r="C869" s="85" t="s">
        <v>22</v>
      </c>
      <c r="D869" s="86">
        <v>18</v>
      </c>
      <c r="E869" s="116" t="str">
        <f t="shared" si="41"/>
        <v>Mercado</v>
      </c>
      <c r="F869" s="85" t="s">
        <v>1085</v>
      </c>
      <c r="G869" s="85" t="s">
        <v>523</v>
      </c>
      <c r="H869" s="85" t="s">
        <v>1038</v>
      </c>
      <c r="I869" s="85">
        <v>6</v>
      </c>
      <c r="J869" s="87">
        <v>7.87</v>
      </c>
      <c r="K869" s="88">
        <f t="shared" si="42"/>
        <v>47.22</v>
      </c>
      <c r="L869" s="85" t="s">
        <v>1195</v>
      </c>
      <c r="M869" s="118" t="s">
        <v>918</v>
      </c>
      <c r="N869" s="84"/>
      <c r="O869" s="84" t="s">
        <v>42</v>
      </c>
      <c r="R869"/>
    </row>
    <row r="870" spans="1:18" x14ac:dyDescent="0.25">
      <c r="A870" s="84" t="str">
        <f t="shared" si="40"/>
        <v>OutubroSEMANA 3Shoyu Light Bb 5 Lt</v>
      </c>
      <c r="B870" s="85" t="s">
        <v>37</v>
      </c>
      <c r="C870" s="85" t="s">
        <v>22</v>
      </c>
      <c r="D870" s="86">
        <v>18</v>
      </c>
      <c r="E870" s="116" t="str">
        <f t="shared" si="41"/>
        <v>Mercado</v>
      </c>
      <c r="F870" s="85" t="s">
        <v>1085</v>
      </c>
      <c r="G870" s="85" t="s">
        <v>742</v>
      </c>
      <c r="H870" s="85" t="s">
        <v>1087</v>
      </c>
      <c r="I870" s="85">
        <v>1</v>
      </c>
      <c r="J870" s="87">
        <v>54.57</v>
      </c>
      <c r="K870" s="88">
        <f t="shared" si="42"/>
        <v>54.57</v>
      </c>
      <c r="L870" s="85" t="s">
        <v>1195</v>
      </c>
      <c r="M870" s="118" t="s">
        <v>917</v>
      </c>
      <c r="N870" s="84"/>
      <c r="O870" s="84" t="s">
        <v>60</v>
      </c>
      <c r="R870"/>
    </row>
    <row r="871" spans="1:18" x14ac:dyDescent="0.25">
      <c r="A871" s="84" t="str">
        <f t="shared" si="40"/>
        <v>OutubroSEMANA 3Shoyu Premium (Mesa) Bb 5 Lt</v>
      </c>
      <c r="B871" s="85" t="s">
        <v>37</v>
      </c>
      <c r="C871" s="85" t="s">
        <v>22</v>
      </c>
      <c r="D871" s="86">
        <v>18</v>
      </c>
      <c r="E871" s="116" t="str">
        <f t="shared" si="41"/>
        <v>Mercado</v>
      </c>
      <c r="F871" s="85" t="s">
        <v>1085</v>
      </c>
      <c r="G871" s="85" t="s">
        <v>744</v>
      </c>
      <c r="H871" s="85" t="s">
        <v>1087</v>
      </c>
      <c r="I871" s="85">
        <v>1</v>
      </c>
      <c r="J871" s="87">
        <v>53.42</v>
      </c>
      <c r="K871" s="88">
        <f t="shared" si="42"/>
        <v>53.42</v>
      </c>
      <c r="L871" s="85" t="s">
        <v>1195</v>
      </c>
      <c r="M871" s="118" t="s">
        <v>786</v>
      </c>
      <c r="N871" s="84"/>
      <c r="O871" s="84" t="s">
        <v>872</v>
      </c>
      <c r="R871"/>
    </row>
    <row r="872" spans="1:18" x14ac:dyDescent="0.25">
      <c r="A872" s="84" t="str">
        <f t="shared" si="40"/>
        <v>OutubroSEMANA 3Folha de Alga 50F</v>
      </c>
      <c r="B872" s="85" t="s">
        <v>37</v>
      </c>
      <c r="C872" s="85" t="s">
        <v>22</v>
      </c>
      <c r="D872" s="86">
        <v>18</v>
      </c>
      <c r="E872" s="116" t="str">
        <f t="shared" si="41"/>
        <v>Sushi</v>
      </c>
      <c r="F872" s="85" t="s">
        <v>1121</v>
      </c>
      <c r="G872" s="85" t="s">
        <v>968</v>
      </c>
      <c r="H872" s="85" t="s">
        <v>1037</v>
      </c>
      <c r="I872" s="85">
        <v>5</v>
      </c>
      <c r="J872" s="87">
        <v>33</v>
      </c>
      <c r="K872" s="88">
        <f t="shared" si="42"/>
        <v>165</v>
      </c>
      <c r="L872" s="85" t="s">
        <v>1269</v>
      </c>
      <c r="M872" s="118" t="s">
        <v>787</v>
      </c>
      <c r="N872" s="84"/>
      <c r="O872" s="84" t="s">
        <v>873</v>
      </c>
      <c r="R872"/>
    </row>
    <row r="873" spans="1:18" x14ac:dyDescent="0.25">
      <c r="A873" s="84" t="str">
        <f t="shared" si="40"/>
        <v>OutubroSEMANA 3Açucar Refinado</v>
      </c>
      <c r="B873" s="85" t="s">
        <v>37</v>
      </c>
      <c r="C873" s="85" t="s">
        <v>22</v>
      </c>
      <c r="D873" s="86">
        <v>18</v>
      </c>
      <c r="E873" s="116" t="str">
        <f t="shared" si="41"/>
        <v>Mercado</v>
      </c>
      <c r="F873" s="85" t="s">
        <v>1089</v>
      </c>
      <c r="G873" s="85" t="s">
        <v>79</v>
      </c>
      <c r="H873" s="85" t="s">
        <v>1039</v>
      </c>
      <c r="I873" s="85">
        <v>30</v>
      </c>
      <c r="J873" s="87">
        <v>2.165</v>
      </c>
      <c r="K873" s="88">
        <f t="shared" si="42"/>
        <v>64.95</v>
      </c>
      <c r="L873" s="85" t="s">
        <v>1196</v>
      </c>
      <c r="M873" s="118" t="s">
        <v>788</v>
      </c>
      <c r="N873" s="84"/>
      <c r="O873" s="84" t="s">
        <v>45</v>
      </c>
      <c r="R873"/>
    </row>
    <row r="874" spans="1:18" x14ac:dyDescent="0.25">
      <c r="A874" s="84" t="str">
        <f t="shared" si="40"/>
        <v>OutubroSEMANA 3Arroz Branco</v>
      </c>
      <c r="B874" s="85" t="s">
        <v>37</v>
      </c>
      <c r="C874" s="85" t="s">
        <v>22</v>
      </c>
      <c r="D874" s="86">
        <v>18</v>
      </c>
      <c r="E874" s="116" t="str">
        <f t="shared" si="41"/>
        <v>Mercado</v>
      </c>
      <c r="F874" s="85" t="s">
        <v>1089</v>
      </c>
      <c r="G874" s="85" t="s">
        <v>126</v>
      </c>
      <c r="H874" s="85" t="s">
        <v>1039</v>
      </c>
      <c r="I874" s="85">
        <f>6*5</f>
        <v>30</v>
      </c>
      <c r="J874" s="87">
        <f>99.6/30</f>
        <v>3.32</v>
      </c>
      <c r="K874" s="88">
        <f t="shared" si="42"/>
        <v>99.6</v>
      </c>
      <c r="L874" s="85" t="s">
        <v>1196</v>
      </c>
      <c r="M874" s="118" t="s">
        <v>789</v>
      </c>
      <c r="N874" s="84"/>
      <c r="O874" s="84" t="s">
        <v>45</v>
      </c>
      <c r="R874"/>
    </row>
    <row r="875" spans="1:18" x14ac:dyDescent="0.25">
      <c r="A875" s="84" t="str">
        <f t="shared" si="40"/>
        <v>OutubroSEMANA 3Farinha de Trigo</v>
      </c>
      <c r="B875" s="85" t="s">
        <v>37</v>
      </c>
      <c r="C875" s="85" t="s">
        <v>22</v>
      </c>
      <c r="D875" s="86">
        <v>18</v>
      </c>
      <c r="E875" s="116" t="str">
        <f t="shared" si="41"/>
        <v>Mercado</v>
      </c>
      <c r="F875" s="85" t="s">
        <v>1089</v>
      </c>
      <c r="G875" s="85" t="s">
        <v>343</v>
      </c>
      <c r="H875" s="85" t="s">
        <v>1039</v>
      </c>
      <c r="I875" s="85">
        <v>30</v>
      </c>
      <c r="J875" s="87">
        <v>1.607</v>
      </c>
      <c r="K875" s="88">
        <f t="shared" si="42"/>
        <v>48.21</v>
      </c>
      <c r="L875" s="85" t="s">
        <v>1196</v>
      </c>
      <c r="M875" s="118" t="s">
        <v>790</v>
      </c>
      <c r="N875" s="84"/>
      <c r="O875" s="84" t="s">
        <v>45</v>
      </c>
      <c r="R875"/>
    </row>
    <row r="876" spans="1:18" x14ac:dyDescent="0.25">
      <c r="A876" s="84" t="str">
        <f t="shared" si="40"/>
        <v>OutubroSEMANA 3Karo Mel</v>
      </c>
      <c r="B876" s="85" t="s">
        <v>37</v>
      </c>
      <c r="C876" s="85" t="s">
        <v>22</v>
      </c>
      <c r="D876" s="86">
        <v>18</v>
      </c>
      <c r="E876" s="116" t="str">
        <f t="shared" si="41"/>
        <v>Mercado</v>
      </c>
      <c r="F876" s="85" t="s">
        <v>1089</v>
      </c>
      <c r="G876" s="85" t="s">
        <v>453</v>
      </c>
      <c r="H876" s="85" t="s">
        <v>1038</v>
      </c>
      <c r="I876" s="85">
        <v>12</v>
      </c>
      <c r="J876" s="87">
        <v>6.35</v>
      </c>
      <c r="K876" s="88">
        <f t="shared" si="42"/>
        <v>76.199999999999989</v>
      </c>
      <c r="L876" s="85" t="s">
        <v>1196</v>
      </c>
      <c r="M876" s="118" t="s">
        <v>791</v>
      </c>
      <c r="N876" s="84"/>
      <c r="O876" s="84" t="s">
        <v>45</v>
      </c>
      <c r="R876"/>
    </row>
    <row r="877" spans="1:18" x14ac:dyDescent="0.25">
      <c r="A877" s="84" t="str">
        <f t="shared" si="40"/>
        <v>OutubroSEMANA 3Vinagre de Vinho Tinto 750 ml</v>
      </c>
      <c r="B877" s="85" t="s">
        <v>37</v>
      </c>
      <c r="C877" s="85" t="s">
        <v>22</v>
      </c>
      <c r="D877" s="86">
        <v>18</v>
      </c>
      <c r="E877" s="116" t="str">
        <f t="shared" si="41"/>
        <v>Mercado</v>
      </c>
      <c r="F877" s="85" t="s">
        <v>1089</v>
      </c>
      <c r="G877" s="85" t="s">
        <v>842</v>
      </c>
      <c r="H877" s="85" t="s">
        <v>1038</v>
      </c>
      <c r="I877" s="85">
        <v>12</v>
      </c>
      <c r="J877" s="87">
        <f>32.98/12</f>
        <v>2.7483333333333331</v>
      </c>
      <c r="K877" s="88">
        <f t="shared" si="42"/>
        <v>32.979999999999997</v>
      </c>
      <c r="L877" s="85" t="s">
        <v>1196</v>
      </c>
      <c r="M877" s="118" t="s">
        <v>792</v>
      </c>
      <c r="N877" s="84"/>
      <c r="O877" s="84" t="s">
        <v>45</v>
      </c>
      <c r="R877"/>
    </row>
    <row r="878" spans="1:18" x14ac:dyDescent="0.25">
      <c r="A878" s="84" t="str">
        <f t="shared" si="40"/>
        <v>OutubroSEMANA 3Nescau (Nestle)</v>
      </c>
      <c r="B878" s="85" t="s">
        <v>37</v>
      </c>
      <c r="C878" s="85" t="s">
        <v>22</v>
      </c>
      <c r="D878" s="86">
        <v>18</v>
      </c>
      <c r="E878" s="116" t="str">
        <f t="shared" si="41"/>
        <v>Mercado</v>
      </c>
      <c r="F878" s="85" t="s">
        <v>1085</v>
      </c>
      <c r="G878" s="85" t="s">
        <v>538</v>
      </c>
      <c r="H878" s="85" t="s">
        <v>1039</v>
      </c>
      <c r="I878" s="85">
        <v>2</v>
      </c>
      <c r="J878" s="87">
        <f>33.31/2</f>
        <v>16.655000000000001</v>
      </c>
      <c r="K878" s="88">
        <f t="shared" si="42"/>
        <v>33.31</v>
      </c>
      <c r="L878" s="85" t="s">
        <v>1197</v>
      </c>
      <c r="M878" s="118" t="s">
        <v>793</v>
      </c>
      <c r="N878" s="84"/>
      <c r="O878" s="84" t="s">
        <v>45</v>
      </c>
      <c r="R878"/>
    </row>
    <row r="879" spans="1:18" x14ac:dyDescent="0.25">
      <c r="A879" s="84" t="str">
        <f t="shared" si="40"/>
        <v>OutubroSEMANA 3Azeite Extra Virgem (Santiago) 500 ml</v>
      </c>
      <c r="B879" s="85" t="s">
        <v>37</v>
      </c>
      <c r="C879" s="85" t="s">
        <v>22</v>
      </c>
      <c r="D879" s="86">
        <v>18</v>
      </c>
      <c r="E879" s="116" t="str">
        <f t="shared" si="41"/>
        <v>Mercado</v>
      </c>
      <c r="F879" s="85" t="s">
        <v>1085</v>
      </c>
      <c r="G879" s="85" t="s">
        <v>153</v>
      </c>
      <c r="H879" s="85" t="s">
        <v>1038</v>
      </c>
      <c r="I879" s="85">
        <v>24</v>
      </c>
      <c r="J879" s="87">
        <f>392.38/24</f>
        <v>16.349166666666665</v>
      </c>
      <c r="K879" s="88">
        <f t="shared" si="42"/>
        <v>392.38</v>
      </c>
      <c r="L879" s="85">
        <v>3921741</v>
      </c>
      <c r="M879" s="118" t="s">
        <v>794</v>
      </c>
      <c r="N879" s="84"/>
      <c r="O879" s="84" t="s">
        <v>42</v>
      </c>
      <c r="R879"/>
    </row>
    <row r="880" spans="1:18" x14ac:dyDescent="0.25">
      <c r="A880" s="84" t="str">
        <f t="shared" si="40"/>
        <v>OutubroSEMANA 3Tapioca Fina</v>
      </c>
      <c r="B880" s="85" t="s">
        <v>37</v>
      </c>
      <c r="C880" s="85" t="s">
        <v>22</v>
      </c>
      <c r="D880" s="86">
        <v>18</v>
      </c>
      <c r="E880" s="116" t="str">
        <f t="shared" si="41"/>
        <v>Mercado</v>
      </c>
      <c r="F880" s="85" t="s">
        <v>1036</v>
      </c>
      <c r="G880" s="85" t="s">
        <v>1027</v>
      </c>
      <c r="H880" s="85" t="s">
        <v>1039</v>
      </c>
      <c r="I880" s="85">
        <f>3*0.5</f>
        <v>1.5</v>
      </c>
      <c r="J880" s="87">
        <v>11</v>
      </c>
      <c r="K880" s="88">
        <f t="shared" si="42"/>
        <v>16.5</v>
      </c>
      <c r="L880" s="85" t="s">
        <v>1306</v>
      </c>
      <c r="M880" s="118" t="s">
        <v>795</v>
      </c>
      <c r="N880" s="84"/>
      <c r="O880" s="84" t="s">
        <v>45</v>
      </c>
      <c r="R880"/>
    </row>
    <row r="881" spans="1:18" x14ac:dyDescent="0.25">
      <c r="A881" s="84" t="str">
        <f t="shared" si="40"/>
        <v>OutubroSEMANA 3Suco de Maracujá</v>
      </c>
      <c r="B881" s="85" t="s">
        <v>37</v>
      </c>
      <c r="C881" s="85" t="s">
        <v>22</v>
      </c>
      <c r="D881" s="86">
        <v>18</v>
      </c>
      <c r="E881" s="116" t="str">
        <f t="shared" si="41"/>
        <v>Mercado</v>
      </c>
      <c r="F881" s="85" t="s">
        <v>1036</v>
      </c>
      <c r="G881" s="85" t="s">
        <v>753</v>
      </c>
      <c r="H881" s="85" t="s">
        <v>1038</v>
      </c>
      <c r="I881" s="85">
        <v>2</v>
      </c>
      <c r="J881" s="87">
        <v>8.75</v>
      </c>
      <c r="K881" s="88">
        <f t="shared" si="42"/>
        <v>17.5</v>
      </c>
      <c r="L881" s="85">
        <v>9660</v>
      </c>
      <c r="M881" s="118" t="s">
        <v>959</v>
      </c>
      <c r="N881" s="84"/>
      <c r="O881" s="84" t="s">
        <v>875</v>
      </c>
      <c r="R881"/>
    </row>
    <row r="882" spans="1:18" x14ac:dyDescent="0.25">
      <c r="A882" s="84" t="str">
        <f t="shared" si="40"/>
        <v>OutubroSEMANA 3Acelga</v>
      </c>
      <c r="B882" s="85" t="s">
        <v>37</v>
      </c>
      <c r="C882" s="85" t="s">
        <v>22</v>
      </c>
      <c r="D882" s="86">
        <v>16</v>
      </c>
      <c r="E882" s="116" t="str">
        <f t="shared" si="41"/>
        <v>Hortifruti</v>
      </c>
      <c r="F882" s="85" t="s">
        <v>1055</v>
      </c>
      <c r="G882" s="85" t="s">
        <v>75</v>
      </c>
      <c r="H882" s="85" t="s">
        <v>1039</v>
      </c>
      <c r="I882" s="85"/>
      <c r="J882" s="87"/>
      <c r="K882" s="88">
        <f t="shared" si="42"/>
        <v>0</v>
      </c>
      <c r="L882" s="85" t="s">
        <v>1198</v>
      </c>
      <c r="M882" s="118" t="s">
        <v>796</v>
      </c>
      <c r="N882" s="84"/>
      <c r="O882" s="84" t="s">
        <v>60</v>
      </c>
      <c r="R882"/>
    </row>
    <row r="883" spans="1:18" x14ac:dyDescent="0.25">
      <c r="A883" s="84" t="str">
        <f t="shared" si="40"/>
        <v>OutubroSEMANA 3Banana D'Água</v>
      </c>
      <c r="B883" s="85" t="s">
        <v>37</v>
      </c>
      <c r="C883" s="85" t="s">
        <v>22</v>
      </c>
      <c r="D883" s="86">
        <v>16</v>
      </c>
      <c r="E883" s="116" t="str">
        <f t="shared" si="41"/>
        <v>Hortifruti</v>
      </c>
      <c r="F883" s="85" t="s">
        <v>1055</v>
      </c>
      <c r="G883" s="85" t="s">
        <v>162</v>
      </c>
      <c r="H883" s="85" t="s">
        <v>1039</v>
      </c>
      <c r="I883" s="85"/>
      <c r="J883" s="87"/>
      <c r="K883" s="88">
        <f t="shared" si="42"/>
        <v>0</v>
      </c>
      <c r="L883" s="85" t="s">
        <v>1202</v>
      </c>
      <c r="M883" s="118" t="s">
        <v>797</v>
      </c>
      <c r="N883" s="84"/>
      <c r="O883" s="84" t="s">
        <v>42</v>
      </c>
      <c r="R883"/>
    </row>
    <row r="884" spans="1:18" x14ac:dyDescent="0.25">
      <c r="A884" s="84" t="str">
        <f t="shared" si="40"/>
        <v>OutubroSEMANA 3Batata HBT</v>
      </c>
      <c r="B884" s="85" t="s">
        <v>37</v>
      </c>
      <c r="C884" s="85" t="s">
        <v>22</v>
      </c>
      <c r="D884" s="86">
        <v>18</v>
      </c>
      <c r="E884" s="116" t="str">
        <f t="shared" si="41"/>
        <v>Hortifruti</v>
      </c>
      <c r="F884" s="85" t="s">
        <v>1055</v>
      </c>
      <c r="G884" s="85" t="s">
        <v>171</v>
      </c>
      <c r="H884" s="85" t="s">
        <v>1039</v>
      </c>
      <c r="I884" s="85">
        <v>25</v>
      </c>
      <c r="J884" s="87">
        <v>1.5</v>
      </c>
      <c r="K884" s="88">
        <f t="shared" si="42"/>
        <v>37.5</v>
      </c>
      <c r="L884" s="85">
        <v>4959</v>
      </c>
      <c r="M884" s="118" t="s">
        <v>798</v>
      </c>
      <c r="N884" s="84"/>
      <c r="O884" s="84" t="s">
        <v>45</v>
      </c>
      <c r="R884"/>
    </row>
    <row r="885" spans="1:18" x14ac:dyDescent="0.25">
      <c r="A885" s="84" t="str">
        <f t="shared" si="40"/>
        <v>OutubroSEMANA 3Cebola</v>
      </c>
      <c r="B885" s="85" t="s">
        <v>37</v>
      </c>
      <c r="C885" s="85" t="s">
        <v>22</v>
      </c>
      <c r="D885" s="86">
        <v>18</v>
      </c>
      <c r="E885" s="116" t="str">
        <f t="shared" si="41"/>
        <v>Hortifruti</v>
      </c>
      <c r="F885" s="85" t="s">
        <v>1055</v>
      </c>
      <c r="G885" s="85" t="s">
        <v>241</v>
      </c>
      <c r="H885" s="85" t="s">
        <v>1039</v>
      </c>
      <c r="I885" s="85">
        <v>19.72</v>
      </c>
      <c r="J885" s="87">
        <f>29.8/19.72</f>
        <v>1.5111561866125762</v>
      </c>
      <c r="K885" s="88">
        <f t="shared" si="42"/>
        <v>29.8</v>
      </c>
      <c r="L885" s="85">
        <v>4959</v>
      </c>
      <c r="M885" s="118" t="s">
        <v>799</v>
      </c>
      <c r="N885" s="84"/>
      <c r="O885" s="84" t="s">
        <v>874</v>
      </c>
      <c r="R885"/>
    </row>
    <row r="886" spans="1:18" x14ac:dyDescent="0.25">
      <c r="A886" s="84" t="str">
        <f t="shared" si="40"/>
        <v>OutubroSEMANA 3Cebola Roxa</v>
      </c>
      <c r="B886" s="85" t="s">
        <v>37</v>
      </c>
      <c r="C886" s="85" t="s">
        <v>22</v>
      </c>
      <c r="D886" s="86">
        <v>18</v>
      </c>
      <c r="E886" s="116" t="str">
        <f t="shared" si="41"/>
        <v>Hortifruti</v>
      </c>
      <c r="F886" s="85" t="s">
        <v>1055</v>
      </c>
      <c r="G886" s="85" t="s">
        <v>244</v>
      </c>
      <c r="H886" s="85" t="s">
        <v>1039</v>
      </c>
      <c r="I886" s="85">
        <v>1</v>
      </c>
      <c r="J886" s="87">
        <v>4.0999999999999996</v>
      </c>
      <c r="K886" s="88">
        <f t="shared" si="42"/>
        <v>4.0999999999999996</v>
      </c>
      <c r="L886" s="85">
        <v>4959</v>
      </c>
      <c r="M886" s="118" t="s">
        <v>800</v>
      </c>
      <c r="N886" s="84"/>
      <c r="O886" s="84" t="s">
        <v>874</v>
      </c>
      <c r="R886"/>
    </row>
    <row r="887" spans="1:18" x14ac:dyDescent="0.25">
      <c r="A887" s="84" t="str">
        <f t="shared" si="40"/>
        <v>OutubroSEMANA 3Couve Flor</v>
      </c>
      <c r="B887" s="85" t="s">
        <v>37</v>
      </c>
      <c r="C887" s="85" t="s">
        <v>22</v>
      </c>
      <c r="D887" s="86">
        <v>18</v>
      </c>
      <c r="E887" s="116" t="str">
        <f t="shared" si="41"/>
        <v>Hortifruti</v>
      </c>
      <c r="F887" s="85" t="s">
        <v>1055</v>
      </c>
      <c r="G887" s="85" t="s">
        <v>306</v>
      </c>
      <c r="H887" s="85" t="s">
        <v>1039</v>
      </c>
      <c r="I887" s="85">
        <v>4.5</v>
      </c>
      <c r="J887" s="87">
        <v>4.25</v>
      </c>
      <c r="K887" s="88">
        <f t="shared" si="42"/>
        <v>19.125</v>
      </c>
      <c r="L887" s="85">
        <v>4959</v>
      </c>
      <c r="M887" s="118" t="s">
        <v>801</v>
      </c>
      <c r="N887" s="84"/>
      <c r="O887" s="84" t="s">
        <v>874</v>
      </c>
      <c r="R887"/>
    </row>
    <row r="888" spans="1:18" x14ac:dyDescent="0.25">
      <c r="A888" s="84" t="str">
        <f t="shared" si="40"/>
        <v>OutubroSEMANA 3Hortelã</v>
      </c>
      <c r="B888" s="85" t="s">
        <v>37</v>
      </c>
      <c r="C888" s="85" t="s">
        <v>22</v>
      </c>
      <c r="D888" s="86">
        <v>18</v>
      </c>
      <c r="E888" s="116" t="str">
        <f t="shared" si="41"/>
        <v>Hortifruti</v>
      </c>
      <c r="F888" s="85" t="s">
        <v>1055</v>
      </c>
      <c r="G888" s="85" t="s">
        <v>405</v>
      </c>
      <c r="H888" s="85" t="s">
        <v>1039</v>
      </c>
      <c r="I888" s="85">
        <v>0.5</v>
      </c>
      <c r="J888" s="87">
        <v>4.5</v>
      </c>
      <c r="K888" s="88">
        <f t="shared" si="42"/>
        <v>2.25</v>
      </c>
      <c r="L888" s="85">
        <v>4959</v>
      </c>
      <c r="M888" s="118" t="s">
        <v>802</v>
      </c>
      <c r="N888" s="84"/>
      <c r="O888" s="84" t="s">
        <v>874</v>
      </c>
      <c r="R888"/>
    </row>
    <row r="889" spans="1:18" x14ac:dyDescent="0.25">
      <c r="A889" s="84" t="str">
        <f t="shared" si="40"/>
        <v>OutubroSEMANA 3Kiwi</v>
      </c>
      <c r="B889" s="85" t="s">
        <v>37</v>
      </c>
      <c r="C889" s="85" t="s">
        <v>22</v>
      </c>
      <c r="D889" s="86">
        <v>18</v>
      </c>
      <c r="E889" s="116" t="str">
        <f t="shared" si="41"/>
        <v>Hortifruti</v>
      </c>
      <c r="F889" s="85" t="s">
        <v>1055</v>
      </c>
      <c r="G889" s="85" t="s">
        <v>454</v>
      </c>
      <c r="H889" s="85" t="s">
        <v>1039</v>
      </c>
      <c r="I889" s="85">
        <v>1</v>
      </c>
      <c r="J889" s="87">
        <v>13.7</v>
      </c>
      <c r="K889" s="88">
        <f t="shared" si="42"/>
        <v>13.7</v>
      </c>
      <c r="L889" s="85">
        <v>4959</v>
      </c>
      <c r="M889" s="118" t="s">
        <v>991</v>
      </c>
      <c r="N889" s="84"/>
      <c r="O889" s="84" t="s">
        <v>42</v>
      </c>
      <c r="R889"/>
    </row>
    <row r="890" spans="1:18" x14ac:dyDescent="0.25">
      <c r="A890" s="84" t="str">
        <f t="shared" si="40"/>
        <v>OutubroSEMANA 3Laranja Pera</v>
      </c>
      <c r="B890" s="85" t="s">
        <v>37</v>
      </c>
      <c r="C890" s="85" t="s">
        <v>22</v>
      </c>
      <c r="D890" s="86">
        <v>18</v>
      </c>
      <c r="E890" s="116" t="str">
        <f t="shared" si="41"/>
        <v>Hortifruti</v>
      </c>
      <c r="F890" s="85" t="s">
        <v>1055</v>
      </c>
      <c r="G890" s="85" t="s">
        <v>457</v>
      </c>
      <c r="H890" s="85" t="s">
        <v>1039</v>
      </c>
      <c r="I890" s="85">
        <v>21.66</v>
      </c>
      <c r="J890" s="87">
        <f>28/21.66</f>
        <v>1.2927054478301017</v>
      </c>
      <c r="K890" s="88">
        <f t="shared" si="42"/>
        <v>28.000000000000004</v>
      </c>
      <c r="L890" s="85">
        <v>4959</v>
      </c>
      <c r="M890" s="118" t="s">
        <v>803</v>
      </c>
      <c r="N890" s="84"/>
      <c r="O890" s="84" t="s">
        <v>46</v>
      </c>
      <c r="R890"/>
    </row>
    <row r="891" spans="1:18" x14ac:dyDescent="0.25">
      <c r="A891" s="84" t="str">
        <f t="shared" si="40"/>
        <v>OutubroSEMANA 3Mamão Bahia</v>
      </c>
      <c r="B891" s="85" t="s">
        <v>37</v>
      </c>
      <c r="C891" s="85" t="s">
        <v>22</v>
      </c>
      <c r="D891" s="86">
        <v>18</v>
      </c>
      <c r="E891" s="116" t="str">
        <f t="shared" si="41"/>
        <v>Hortifruti</v>
      </c>
      <c r="F891" s="85" t="s">
        <v>1055</v>
      </c>
      <c r="G891" s="85" t="s">
        <v>494</v>
      </c>
      <c r="H891" s="85" t="s">
        <v>1039</v>
      </c>
      <c r="I891" s="85">
        <v>2</v>
      </c>
      <c r="J891" s="87">
        <v>2.4</v>
      </c>
      <c r="K891" s="88">
        <f t="shared" si="42"/>
        <v>4.8</v>
      </c>
      <c r="L891" s="85">
        <v>4959</v>
      </c>
      <c r="M891" s="118" t="s">
        <v>804</v>
      </c>
      <c r="N891" s="84"/>
      <c r="O891" s="84" t="s">
        <v>43</v>
      </c>
      <c r="R891"/>
    </row>
    <row r="892" spans="1:18" x14ac:dyDescent="0.25">
      <c r="A892" s="84" t="str">
        <f t="shared" si="40"/>
        <v>OutubroSEMANA 3Manga Palmer</v>
      </c>
      <c r="B892" s="85" t="s">
        <v>37</v>
      </c>
      <c r="C892" s="85" t="s">
        <v>22</v>
      </c>
      <c r="D892" s="86">
        <v>18</v>
      </c>
      <c r="E892" s="116" t="str">
        <f t="shared" si="41"/>
        <v>Hortifruti</v>
      </c>
      <c r="F892" s="85" t="s">
        <v>1055</v>
      </c>
      <c r="G892" s="85" t="s">
        <v>496</v>
      </c>
      <c r="H892" s="85" t="s">
        <v>1039</v>
      </c>
      <c r="I892" s="85">
        <v>6</v>
      </c>
      <c r="J892" s="87">
        <v>4</v>
      </c>
      <c r="K892" s="88">
        <f t="shared" si="42"/>
        <v>24</v>
      </c>
      <c r="L892" s="85">
        <v>4959</v>
      </c>
      <c r="M892" s="118" t="s">
        <v>805</v>
      </c>
      <c r="N892" s="84"/>
      <c r="O892" s="84" t="s">
        <v>43</v>
      </c>
      <c r="R892"/>
    </row>
    <row r="893" spans="1:18" x14ac:dyDescent="0.25">
      <c r="A893" s="84" t="str">
        <f t="shared" si="40"/>
        <v>OutubroSEMANA 3Quiabo</v>
      </c>
      <c r="B893" s="85" t="s">
        <v>37</v>
      </c>
      <c r="C893" s="85" t="s">
        <v>22</v>
      </c>
      <c r="D893" s="86">
        <v>18</v>
      </c>
      <c r="E893" s="116" t="str">
        <f t="shared" si="41"/>
        <v>Hortifruti</v>
      </c>
      <c r="F893" s="85" t="s">
        <v>1055</v>
      </c>
      <c r="G893" s="85" t="s">
        <v>690</v>
      </c>
      <c r="H893" s="85" t="s">
        <v>1039</v>
      </c>
      <c r="I893" s="85">
        <v>10.94</v>
      </c>
      <c r="J893" s="87">
        <f>63/10.94</f>
        <v>5.7586837294332724</v>
      </c>
      <c r="K893" s="88">
        <f t="shared" si="42"/>
        <v>63</v>
      </c>
      <c r="L893" s="85" t="s">
        <v>1203</v>
      </c>
      <c r="M893" s="118" t="s">
        <v>806</v>
      </c>
      <c r="N893" s="84"/>
      <c r="O893" s="84" t="s">
        <v>43</v>
      </c>
      <c r="R893"/>
    </row>
    <row r="894" spans="1:18" x14ac:dyDescent="0.25">
      <c r="A894" s="84" t="str">
        <f t="shared" si="40"/>
        <v>OutubroSEMANA 3Repolho</v>
      </c>
      <c r="B894" s="85" t="s">
        <v>37</v>
      </c>
      <c r="C894" s="85" t="s">
        <v>22</v>
      </c>
      <c r="D894" s="86">
        <v>18</v>
      </c>
      <c r="E894" s="116" t="str">
        <f t="shared" si="41"/>
        <v>Hortifruti</v>
      </c>
      <c r="F894" s="85" t="s">
        <v>1055</v>
      </c>
      <c r="G894" s="85" t="s">
        <v>701</v>
      </c>
      <c r="H894" s="85" t="s">
        <v>1039</v>
      </c>
      <c r="I894" s="85">
        <v>3</v>
      </c>
      <c r="J894" s="87">
        <v>1.21</v>
      </c>
      <c r="K894" s="88">
        <f t="shared" si="42"/>
        <v>3.63</v>
      </c>
      <c r="L894" s="85">
        <v>4959</v>
      </c>
      <c r="M894" s="118" t="s">
        <v>807</v>
      </c>
      <c r="N894" s="84"/>
      <c r="O894" s="84" t="s">
        <v>43</v>
      </c>
      <c r="R894"/>
    </row>
    <row r="895" spans="1:18" x14ac:dyDescent="0.25">
      <c r="A895" s="84" t="str">
        <f t="shared" si="40"/>
        <v>OutubroSEMANA 3Repolho Roxo</v>
      </c>
      <c r="B895" s="85" t="s">
        <v>37</v>
      </c>
      <c r="C895" s="85" t="s">
        <v>22</v>
      </c>
      <c r="D895" s="86">
        <v>18</v>
      </c>
      <c r="E895" s="116" t="str">
        <f t="shared" si="41"/>
        <v>Hortifruti</v>
      </c>
      <c r="F895" s="85" t="s">
        <v>1055</v>
      </c>
      <c r="G895" s="85" t="s">
        <v>703</v>
      </c>
      <c r="H895" s="85" t="s">
        <v>1039</v>
      </c>
      <c r="I895" s="85">
        <v>3</v>
      </c>
      <c r="J895" s="87">
        <v>2.2000000000000002</v>
      </c>
      <c r="K895" s="88">
        <f t="shared" si="42"/>
        <v>6.6000000000000005</v>
      </c>
      <c r="L895" s="85">
        <v>4959</v>
      </c>
      <c r="M895" s="118" t="s">
        <v>808</v>
      </c>
      <c r="N895" s="84"/>
      <c r="O895" s="84" t="s">
        <v>43</v>
      </c>
      <c r="R895"/>
    </row>
    <row r="896" spans="1:18" x14ac:dyDescent="0.25">
      <c r="A896" s="84" t="str">
        <f t="shared" si="40"/>
        <v>OutubroSEMANA 3Uva s/ Caroço</v>
      </c>
      <c r="B896" s="85" t="s">
        <v>37</v>
      </c>
      <c r="C896" s="85" t="s">
        <v>22</v>
      </c>
      <c r="D896" s="86">
        <v>18</v>
      </c>
      <c r="E896" s="116" t="str">
        <f t="shared" si="41"/>
        <v>Hortifruti</v>
      </c>
      <c r="F896" s="85" t="s">
        <v>1055</v>
      </c>
      <c r="G896" s="85" t="s">
        <v>830</v>
      </c>
      <c r="H896" s="85" t="s">
        <v>1039</v>
      </c>
      <c r="I896" s="85">
        <v>1.5</v>
      </c>
      <c r="J896" s="87">
        <v>11.8</v>
      </c>
      <c r="K896" s="88">
        <f t="shared" si="42"/>
        <v>17.700000000000003</v>
      </c>
      <c r="L896" s="85">
        <v>4959</v>
      </c>
      <c r="M896" s="118" t="s">
        <v>809</v>
      </c>
      <c r="N896" s="84"/>
      <c r="O896" s="84" t="s">
        <v>43</v>
      </c>
      <c r="R896"/>
    </row>
    <row r="897" spans="1:18" x14ac:dyDescent="0.25">
      <c r="A897" s="84" t="str">
        <f t="shared" si="40"/>
        <v>OutubroSEMANA 3Gelo em Escamas</v>
      </c>
      <c r="B897" s="85" t="s">
        <v>37</v>
      </c>
      <c r="C897" s="85" t="s">
        <v>22</v>
      </c>
      <c r="D897" s="86">
        <v>18</v>
      </c>
      <c r="E897" s="116" t="str">
        <f t="shared" si="41"/>
        <v>Mercado</v>
      </c>
      <c r="F897" s="85" t="s">
        <v>1040</v>
      </c>
      <c r="G897" s="85" t="s">
        <v>384</v>
      </c>
      <c r="H897" s="85" t="s">
        <v>1041</v>
      </c>
      <c r="I897" s="85">
        <v>1</v>
      </c>
      <c r="J897" s="87">
        <v>7.5</v>
      </c>
      <c r="K897" s="88">
        <f t="shared" si="42"/>
        <v>7.5</v>
      </c>
      <c r="L897" s="85">
        <v>10695</v>
      </c>
      <c r="M897" s="118" t="s">
        <v>810</v>
      </c>
      <c r="O897" s="115" t="s">
        <v>43</v>
      </c>
      <c r="R897"/>
    </row>
    <row r="898" spans="1:18" x14ac:dyDescent="0.25">
      <c r="A898" s="84" t="str">
        <f t="shared" ref="A898:A961" si="43">CONCATENATE(B898,C898,G898)</f>
        <v>OutubroSEMANA 3Gelo em Cubo</v>
      </c>
      <c r="B898" s="85" t="s">
        <v>37</v>
      </c>
      <c r="C898" s="85" t="s">
        <v>22</v>
      </c>
      <c r="D898" s="86">
        <v>18</v>
      </c>
      <c r="E898" s="116" t="str">
        <f t="shared" ref="E898:E961" si="44">VLOOKUP(G898,$M$1:$O$968,3,0)</f>
        <v>Mercado</v>
      </c>
      <c r="F898" s="85" t="s">
        <v>1040</v>
      </c>
      <c r="G898" s="85" t="s">
        <v>383</v>
      </c>
      <c r="H898" s="85" t="s">
        <v>1041</v>
      </c>
      <c r="I898" s="85">
        <v>2</v>
      </c>
      <c r="J898" s="87">
        <v>7.5</v>
      </c>
      <c r="K898" s="88">
        <f t="shared" ref="K898:K961" si="45">I898*J898</f>
        <v>15</v>
      </c>
      <c r="L898" s="85">
        <v>10695</v>
      </c>
      <c r="M898" s="118" t="s">
        <v>811</v>
      </c>
      <c r="N898" s="84"/>
      <c r="O898" s="84" t="s">
        <v>43</v>
      </c>
      <c r="R898"/>
    </row>
    <row r="899" spans="1:18" x14ac:dyDescent="0.25">
      <c r="A899" s="84" t="str">
        <f t="shared" si="43"/>
        <v>OutubroSEMANA 3Batata Doce</v>
      </c>
      <c r="B899" s="85" t="s">
        <v>37</v>
      </c>
      <c r="C899" s="85" t="s">
        <v>22</v>
      </c>
      <c r="D899" s="86">
        <v>18</v>
      </c>
      <c r="E899" s="116" t="str">
        <f t="shared" si="44"/>
        <v>Hortifruti</v>
      </c>
      <c r="F899" s="85" t="s">
        <v>1054</v>
      </c>
      <c r="G899" s="85" t="s">
        <v>170</v>
      </c>
      <c r="H899" s="85" t="s">
        <v>1039</v>
      </c>
      <c r="I899" s="85">
        <v>20.48</v>
      </c>
      <c r="J899" s="87">
        <f>35/20.48</f>
        <v>1.708984375</v>
      </c>
      <c r="K899" s="88">
        <f t="shared" si="45"/>
        <v>35</v>
      </c>
      <c r="L899" s="85">
        <v>1941</v>
      </c>
      <c r="M899" s="118" t="s">
        <v>812</v>
      </c>
      <c r="O899" s="115" t="s">
        <v>43</v>
      </c>
      <c r="R899"/>
    </row>
    <row r="900" spans="1:18" x14ac:dyDescent="0.25">
      <c r="A900" s="84" t="str">
        <f t="shared" si="43"/>
        <v>OutubroSEMANA 3Batata Inglesa</v>
      </c>
      <c r="B900" s="85" t="s">
        <v>37</v>
      </c>
      <c r="C900" s="85" t="s">
        <v>22</v>
      </c>
      <c r="D900" s="86">
        <v>18</v>
      </c>
      <c r="E900" s="116" t="str">
        <f t="shared" si="44"/>
        <v>Hortifruti</v>
      </c>
      <c r="F900" s="85" t="s">
        <v>1054</v>
      </c>
      <c r="G900" s="85" t="s">
        <v>172</v>
      </c>
      <c r="H900" s="85" t="s">
        <v>1039</v>
      </c>
      <c r="I900" s="85">
        <v>8</v>
      </c>
      <c r="J900" s="87">
        <v>1.8</v>
      </c>
      <c r="K900" s="88">
        <f t="shared" si="45"/>
        <v>14.4</v>
      </c>
      <c r="L900" s="85">
        <v>1941</v>
      </c>
      <c r="M900" s="118" t="s">
        <v>813</v>
      </c>
      <c r="N900" s="84"/>
      <c r="O900" s="84" t="s">
        <v>43</v>
      </c>
      <c r="R900"/>
    </row>
    <row r="901" spans="1:18" x14ac:dyDescent="0.25">
      <c r="A901" s="84" t="str">
        <f t="shared" si="43"/>
        <v>OutubroSEMANA 3Pepino Japonês</v>
      </c>
      <c r="B901" s="85" t="s">
        <v>37</v>
      </c>
      <c r="C901" s="85" t="s">
        <v>22</v>
      </c>
      <c r="D901" s="86">
        <v>18</v>
      </c>
      <c r="E901" s="116" t="str">
        <f t="shared" si="44"/>
        <v>Hortifruti</v>
      </c>
      <c r="F901" s="85" t="s">
        <v>1054</v>
      </c>
      <c r="G901" s="85" t="s">
        <v>577</v>
      </c>
      <c r="H901" s="85" t="s">
        <v>1039</v>
      </c>
      <c r="I901" s="85">
        <v>17.28</v>
      </c>
      <c r="J901" s="87">
        <f>50/17.28</f>
        <v>2.8935185185185182</v>
      </c>
      <c r="K901" s="88">
        <f t="shared" si="45"/>
        <v>50</v>
      </c>
      <c r="L901" s="85">
        <v>1941</v>
      </c>
      <c r="M901" s="118" t="s">
        <v>1006</v>
      </c>
      <c r="N901" s="84"/>
      <c r="O901" s="84" t="s">
        <v>43</v>
      </c>
      <c r="R901"/>
    </row>
    <row r="902" spans="1:18" x14ac:dyDescent="0.25">
      <c r="A902" s="84" t="str">
        <f t="shared" si="43"/>
        <v>OutubroSEMANA 3Pimentão Vermelho</v>
      </c>
      <c r="B902" s="85" t="s">
        <v>37</v>
      </c>
      <c r="C902" s="85" t="s">
        <v>22</v>
      </c>
      <c r="D902" s="86">
        <v>18</v>
      </c>
      <c r="E902" s="116" t="str">
        <f t="shared" si="44"/>
        <v>Hortifruti</v>
      </c>
      <c r="F902" s="85" t="s">
        <v>1054</v>
      </c>
      <c r="G902" s="85" t="s">
        <v>667</v>
      </c>
      <c r="H902" s="85" t="s">
        <v>1039</v>
      </c>
      <c r="I902" s="85">
        <v>3</v>
      </c>
      <c r="J902" s="87">
        <v>15</v>
      </c>
      <c r="K902" s="88">
        <f t="shared" si="45"/>
        <v>45</v>
      </c>
      <c r="L902" s="85">
        <v>1941</v>
      </c>
      <c r="M902" s="118" t="s">
        <v>814</v>
      </c>
      <c r="N902" s="84"/>
      <c r="O902" s="84" t="s">
        <v>43</v>
      </c>
      <c r="R902"/>
    </row>
    <row r="903" spans="1:18" x14ac:dyDescent="0.25">
      <c r="A903" s="84" t="str">
        <f t="shared" si="43"/>
        <v>OutubroSEMANA 3Tomate Molho</v>
      </c>
      <c r="B903" s="85" t="s">
        <v>37</v>
      </c>
      <c r="C903" s="85" t="s">
        <v>22</v>
      </c>
      <c r="D903" s="86">
        <v>18</v>
      </c>
      <c r="E903" s="116" t="str">
        <f t="shared" si="44"/>
        <v>Hortifruti</v>
      </c>
      <c r="F903" s="85" t="s">
        <v>1054</v>
      </c>
      <c r="G903" s="85" t="s">
        <v>792</v>
      </c>
      <c r="H903" s="85" t="s">
        <v>1039</v>
      </c>
      <c r="I903" s="85">
        <v>21.26</v>
      </c>
      <c r="J903" s="87">
        <f>70/21.26</f>
        <v>3.2925682031984946</v>
      </c>
      <c r="K903" s="88">
        <f t="shared" si="45"/>
        <v>70</v>
      </c>
      <c r="L903" s="85">
        <v>1941</v>
      </c>
      <c r="M903" s="141" t="s">
        <v>815</v>
      </c>
      <c r="N903" s="84"/>
      <c r="O903" s="84" t="s">
        <v>43</v>
      </c>
      <c r="R903"/>
    </row>
    <row r="904" spans="1:18" x14ac:dyDescent="0.25">
      <c r="A904" s="84" t="str">
        <f t="shared" si="43"/>
        <v>OutubroSEMANA 3Tomate Salada</v>
      </c>
      <c r="B904" s="85" t="s">
        <v>37</v>
      </c>
      <c r="C904" s="85" t="s">
        <v>22</v>
      </c>
      <c r="D904" s="86">
        <v>18</v>
      </c>
      <c r="E904" s="116" t="str">
        <f t="shared" si="44"/>
        <v>Hortifruti</v>
      </c>
      <c r="F904" s="85" t="s">
        <v>1054</v>
      </c>
      <c r="G904" s="85" t="s">
        <v>795</v>
      </c>
      <c r="H904" s="85" t="s">
        <v>1039</v>
      </c>
      <c r="I904" s="85">
        <v>21.62</v>
      </c>
      <c r="J904" s="87">
        <f>70/21.62</f>
        <v>3.2377428307123033</v>
      </c>
      <c r="K904" s="88">
        <f t="shared" si="45"/>
        <v>70</v>
      </c>
      <c r="L904" s="85">
        <v>1941</v>
      </c>
      <c r="M904" s="141" t="s">
        <v>992</v>
      </c>
      <c r="N904" s="84"/>
      <c r="O904" s="84" t="s">
        <v>43</v>
      </c>
      <c r="R904"/>
    </row>
    <row r="905" spans="1:18" x14ac:dyDescent="0.25">
      <c r="A905" s="84" t="str">
        <f t="shared" si="43"/>
        <v>OutubroSEMANA 3Aipo</v>
      </c>
      <c r="B905" s="85" t="s">
        <v>37</v>
      </c>
      <c r="C905" s="85" t="s">
        <v>22</v>
      </c>
      <c r="D905" s="86">
        <v>18</v>
      </c>
      <c r="E905" s="116" t="str">
        <f t="shared" si="44"/>
        <v>Hortifruti</v>
      </c>
      <c r="F905" s="85" t="s">
        <v>1054</v>
      </c>
      <c r="G905" s="85" t="s">
        <v>96</v>
      </c>
      <c r="H905" s="85" t="s">
        <v>1039</v>
      </c>
      <c r="I905" s="85">
        <v>1</v>
      </c>
      <c r="J905" s="87">
        <v>4</v>
      </c>
      <c r="K905" s="88">
        <f t="shared" si="45"/>
        <v>4</v>
      </c>
      <c r="L905" s="85">
        <v>1941</v>
      </c>
      <c r="M905" s="141" t="s">
        <v>816</v>
      </c>
      <c r="N905" s="84"/>
      <c r="O905" s="84" t="s">
        <v>43</v>
      </c>
      <c r="R905"/>
    </row>
    <row r="906" spans="1:18" x14ac:dyDescent="0.25">
      <c r="A906" s="84" t="str">
        <f t="shared" si="43"/>
        <v>OutubroSEMANA 3Cebolinha Verde</v>
      </c>
      <c r="B906" s="85" t="s">
        <v>37</v>
      </c>
      <c r="C906" s="85" t="s">
        <v>22</v>
      </c>
      <c r="D906" s="86">
        <v>18</v>
      </c>
      <c r="E906" s="116" t="str">
        <f t="shared" si="44"/>
        <v>Hortifruti</v>
      </c>
      <c r="F906" s="85" t="s">
        <v>1054</v>
      </c>
      <c r="G906" s="85" t="s">
        <v>247</v>
      </c>
      <c r="H906" s="85" t="s">
        <v>1039</v>
      </c>
      <c r="I906" s="85">
        <v>1</v>
      </c>
      <c r="J906" s="87">
        <v>7</v>
      </c>
      <c r="K906" s="88">
        <f t="shared" si="45"/>
        <v>7</v>
      </c>
      <c r="L906" s="85">
        <v>1941</v>
      </c>
      <c r="M906" s="141" t="s">
        <v>993</v>
      </c>
      <c r="N906" s="84"/>
      <c r="O906" s="84" t="s">
        <v>43</v>
      </c>
      <c r="R906"/>
    </row>
    <row r="907" spans="1:18" x14ac:dyDescent="0.25">
      <c r="A907" s="84" t="str">
        <f t="shared" si="43"/>
        <v>OutubroSEMANA 3Espinafre</v>
      </c>
      <c r="B907" s="85" t="s">
        <v>37</v>
      </c>
      <c r="C907" s="85" t="s">
        <v>22</v>
      </c>
      <c r="D907" s="86">
        <v>18</v>
      </c>
      <c r="E907" s="116" t="str">
        <f t="shared" si="44"/>
        <v>Hortifruti</v>
      </c>
      <c r="F907" s="85" t="s">
        <v>1054</v>
      </c>
      <c r="G907" s="85" t="s">
        <v>332</v>
      </c>
      <c r="H907" s="85" t="s">
        <v>1039</v>
      </c>
      <c r="I907" s="85">
        <v>3</v>
      </c>
      <c r="J907" s="87">
        <v>4.8</v>
      </c>
      <c r="K907" s="88">
        <f t="shared" si="45"/>
        <v>14.399999999999999</v>
      </c>
      <c r="L907" s="85">
        <v>1941</v>
      </c>
      <c r="M907" s="141" t="s">
        <v>817</v>
      </c>
      <c r="N907" s="84"/>
      <c r="O907" s="84" t="s">
        <v>43</v>
      </c>
      <c r="R907"/>
    </row>
    <row r="908" spans="1:18" x14ac:dyDescent="0.25">
      <c r="A908" s="84" t="str">
        <f t="shared" si="43"/>
        <v>OutubroSEMANA 3Manjericão</v>
      </c>
      <c r="B908" s="85" t="s">
        <v>37</v>
      </c>
      <c r="C908" s="85" t="s">
        <v>22</v>
      </c>
      <c r="D908" s="86">
        <v>18</v>
      </c>
      <c r="E908" s="116" t="str">
        <f t="shared" si="44"/>
        <v>Hortifruti</v>
      </c>
      <c r="F908" s="85" t="s">
        <v>1054</v>
      </c>
      <c r="G908" s="85" t="s">
        <v>499</v>
      </c>
      <c r="H908" s="85" t="s">
        <v>1039</v>
      </c>
      <c r="I908" s="85">
        <v>0.5</v>
      </c>
      <c r="J908" s="87">
        <v>12</v>
      </c>
      <c r="K908" s="88">
        <f t="shared" si="45"/>
        <v>6</v>
      </c>
      <c r="L908" s="85">
        <v>1941</v>
      </c>
      <c r="M908" s="141" t="s">
        <v>818</v>
      </c>
      <c r="N908" s="84"/>
      <c r="O908" s="84" t="s">
        <v>43</v>
      </c>
      <c r="R908"/>
    </row>
    <row r="909" spans="1:18" x14ac:dyDescent="0.25">
      <c r="A909" s="84" t="str">
        <f t="shared" si="43"/>
        <v>OutubroSEMANA 3Rabanete</v>
      </c>
      <c r="B909" s="85" t="s">
        <v>37</v>
      </c>
      <c r="C909" s="85" t="s">
        <v>22</v>
      </c>
      <c r="D909" s="86">
        <v>18</v>
      </c>
      <c r="E909" s="116" t="str">
        <f t="shared" si="44"/>
        <v>Hortifruti</v>
      </c>
      <c r="F909" s="85" t="s">
        <v>1054</v>
      </c>
      <c r="G909" s="85" t="s">
        <v>694</v>
      </c>
      <c r="H909" s="85" t="s">
        <v>1039</v>
      </c>
      <c r="I909" s="85">
        <v>1</v>
      </c>
      <c r="J909" s="87">
        <v>6.8</v>
      </c>
      <c r="K909" s="88">
        <f t="shared" si="45"/>
        <v>6.8</v>
      </c>
      <c r="L909" s="85">
        <v>1941</v>
      </c>
      <c r="M909" s="141" t="s">
        <v>819</v>
      </c>
      <c r="N909" s="84"/>
      <c r="O909" s="84" t="s">
        <v>43</v>
      </c>
      <c r="R909"/>
    </row>
    <row r="910" spans="1:18" x14ac:dyDescent="0.25">
      <c r="A910" s="84" t="str">
        <f t="shared" si="43"/>
        <v>OutubroSEMANA 3Salsa</v>
      </c>
      <c r="B910" s="85" t="s">
        <v>37</v>
      </c>
      <c r="C910" s="85" t="s">
        <v>22</v>
      </c>
      <c r="D910" s="86">
        <v>18</v>
      </c>
      <c r="E910" s="116" t="str">
        <f t="shared" si="44"/>
        <v>Hortifruti</v>
      </c>
      <c r="F910" s="85" t="s">
        <v>1054</v>
      </c>
      <c r="G910" s="85" t="s">
        <v>729</v>
      </c>
      <c r="H910" s="85" t="s">
        <v>1039</v>
      </c>
      <c r="I910" s="85">
        <v>1</v>
      </c>
      <c r="J910" s="87">
        <v>7</v>
      </c>
      <c r="K910" s="88">
        <f t="shared" si="45"/>
        <v>7</v>
      </c>
      <c r="L910" s="85">
        <v>1941</v>
      </c>
      <c r="M910" s="141" t="s">
        <v>820</v>
      </c>
      <c r="N910" s="84"/>
      <c r="O910" s="84" t="s">
        <v>42</v>
      </c>
      <c r="R910"/>
    </row>
    <row r="911" spans="1:18" x14ac:dyDescent="0.25">
      <c r="A911" s="84" t="str">
        <f t="shared" si="43"/>
        <v>OutubroSEMANA 3Broto de Feijão</v>
      </c>
      <c r="B911" s="85" t="s">
        <v>37</v>
      </c>
      <c r="C911" s="85" t="s">
        <v>22</v>
      </c>
      <c r="D911" s="86">
        <v>18</v>
      </c>
      <c r="E911" s="116" t="str">
        <f t="shared" si="44"/>
        <v>Hortifruti</v>
      </c>
      <c r="F911" s="85" t="s">
        <v>1054</v>
      </c>
      <c r="G911" s="85" t="s">
        <v>197</v>
      </c>
      <c r="H911" s="85" t="s">
        <v>1039</v>
      </c>
      <c r="I911" s="85">
        <v>3</v>
      </c>
      <c r="J911" s="87">
        <v>14</v>
      </c>
      <c r="K911" s="88">
        <f t="shared" si="45"/>
        <v>42</v>
      </c>
      <c r="L911" s="85">
        <v>1941</v>
      </c>
      <c r="M911" s="141" t="s">
        <v>821</v>
      </c>
      <c r="N911" s="84"/>
      <c r="O911" s="84" t="s">
        <v>42</v>
      </c>
      <c r="R911"/>
    </row>
    <row r="912" spans="1:18" x14ac:dyDescent="0.25">
      <c r="A912" s="84" t="str">
        <f t="shared" si="43"/>
        <v>OutubroSEMANA 3Tofu Kilo</v>
      </c>
      <c r="B912" s="85" t="s">
        <v>37</v>
      </c>
      <c r="C912" s="85" t="s">
        <v>22</v>
      </c>
      <c r="D912" s="86">
        <v>18</v>
      </c>
      <c r="E912" s="116" t="str">
        <f t="shared" si="44"/>
        <v>Hortifruti</v>
      </c>
      <c r="F912" s="85" t="s">
        <v>1054</v>
      </c>
      <c r="G912" s="85" t="s">
        <v>789</v>
      </c>
      <c r="H912" s="85" t="s">
        <v>1039</v>
      </c>
      <c r="I912" s="85">
        <v>1</v>
      </c>
      <c r="J912" s="87">
        <v>14</v>
      </c>
      <c r="K912" s="88">
        <f t="shared" si="45"/>
        <v>14</v>
      </c>
      <c r="L912" s="85">
        <v>1941</v>
      </c>
      <c r="M912" s="141" t="s">
        <v>822</v>
      </c>
      <c r="N912" s="84"/>
      <c r="O912" s="84" t="s">
        <v>42</v>
      </c>
      <c r="R912"/>
    </row>
    <row r="913" spans="1:15" x14ac:dyDescent="0.25">
      <c r="A913" s="84" t="str">
        <f t="shared" si="43"/>
        <v xml:space="preserve">OutubroSEMANA 3Abacate </v>
      </c>
      <c r="B913" s="85" t="s">
        <v>37</v>
      </c>
      <c r="C913" s="85" t="s">
        <v>22</v>
      </c>
      <c r="D913" s="86">
        <v>18</v>
      </c>
      <c r="E913" s="116" t="str">
        <f t="shared" si="44"/>
        <v>Hortifruti</v>
      </c>
      <c r="F913" s="85" t="s">
        <v>1054</v>
      </c>
      <c r="G913" s="85" t="s">
        <v>62</v>
      </c>
      <c r="H913" s="85" t="s">
        <v>1039</v>
      </c>
      <c r="I913" s="85">
        <v>7</v>
      </c>
      <c r="J913" s="87">
        <v>6.8</v>
      </c>
      <c r="K913" s="88">
        <f t="shared" si="45"/>
        <v>47.6</v>
      </c>
      <c r="L913" s="85">
        <v>1941</v>
      </c>
      <c r="M913" s="141" t="s">
        <v>823</v>
      </c>
      <c r="N913" s="84"/>
      <c r="O913" s="84" t="s">
        <v>873</v>
      </c>
    </row>
    <row r="914" spans="1:15" x14ac:dyDescent="0.25">
      <c r="A914" s="84" t="str">
        <f t="shared" si="43"/>
        <v xml:space="preserve">OutubroSEMANA 3Abacaxi </v>
      </c>
      <c r="B914" s="85" t="s">
        <v>37</v>
      </c>
      <c r="C914" s="85" t="s">
        <v>22</v>
      </c>
      <c r="D914" s="86">
        <v>18</v>
      </c>
      <c r="E914" s="116" t="str">
        <f t="shared" si="44"/>
        <v>Hortifruti</v>
      </c>
      <c r="F914" s="85" t="s">
        <v>1054</v>
      </c>
      <c r="G914" s="85" t="s">
        <v>65</v>
      </c>
      <c r="H914" s="85" t="s">
        <v>1039</v>
      </c>
      <c r="I914" s="85">
        <v>6</v>
      </c>
      <c r="J914" s="87">
        <v>2.4</v>
      </c>
      <c r="K914" s="88">
        <f t="shared" si="45"/>
        <v>14.399999999999999</v>
      </c>
      <c r="L914" s="85">
        <v>1941</v>
      </c>
      <c r="M914" s="141" t="s">
        <v>824</v>
      </c>
      <c r="N914" s="84"/>
      <c r="O914" s="84" t="s">
        <v>872</v>
      </c>
    </row>
    <row r="915" spans="1:15" x14ac:dyDescent="0.25">
      <c r="A915" s="84" t="str">
        <f t="shared" si="43"/>
        <v>OutubroSEMANA 3Pescados - Filé Tilápia Cong.</v>
      </c>
      <c r="B915" s="85" t="s">
        <v>37</v>
      </c>
      <c r="C915" s="85" t="s">
        <v>22</v>
      </c>
      <c r="D915" s="86">
        <v>18</v>
      </c>
      <c r="E915" s="116" t="str">
        <f t="shared" si="44"/>
        <v>Carnes</v>
      </c>
      <c r="F915" s="85" t="s">
        <v>1062</v>
      </c>
      <c r="G915" s="85" t="s">
        <v>614</v>
      </c>
      <c r="H915" s="85" t="s">
        <v>1039</v>
      </c>
      <c r="I915" s="85">
        <v>40</v>
      </c>
      <c r="J915" s="87">
        <v>26.3</v>
      </c>
      <c r="K915" s="88">
        <f t="shared" si="45"/>
        <v>1052</v>
      </c>
      <c r="L915" s="85">
        <v>58933</v>
      </c>
      <c r="M915" s="141" t="s">
        <v>825</v>
      </c>
      <c r="N915" s="84"/>
      <c r="O915" s="84" t="s">
        <v>42</v>
      </c>
    </row>
    <row r="916" spans="1:15" x14ac:dyDescent="0.25">
      <c r="A916" s="84" t="str">
        <f t="shared" si="43"/>
        <v>OutubroSEMANA 3Pescados - Carne de siri</v>
      </c>
      <c r="B916" s="85" t="s">
        <v>37</v>
      </c>
      <c r="C916" s="85" t="s">
        <v>22</v>
      </c>
      <c r="D916" s="86">
        <v>18</v>
      </c>
      <c r="E916" s="116" t="str">
        <f t="shared" si="44"/>
        <v>Carnes</v>
      </c>
      <c r="F916" s="85" t="s">
        <v>1179</v>
      </c>
      <c r="G916" s="85" t="s">
        <v>600</v>
      </c>
      <c r="H916" s="85" t="s">
        <v>1039</v>
      </c>
      <c r="I916" s="85">
        <v>10</v>
      </c>
      <c r="J916" s="87">
        <v>22.9</v>
      </c>
      <c r="K916" s="88">
        <f t="shared" si="45"/>
        <v>229</v>
      </c>
      <c r="L916" s="85">
        <v>315932</v>
      </c>
      <c r="M916" s="141" t="s">
        <v>826</v>
      </c>
      <c r="N916" s="84"/>
      <c r="O916" s="84" t="s">
        <v>42</v>
      </c>
    </row>
    <row r="917" spans="1:15" x14ac:dyDescent="0.25">
      <c r="A917" s="84" t="str">
        <f t="shared" si="43"/>
        <v>OutubroSEMANA 3Pescados - Bacalhau Salgado</v>
      </c>
      <c r="B917" s="85" t="s">
        <v>37</v>
      </c>
      <c r="C917" s="85" t="s">
        <v>22</v>
      </c>
      <c r="D917" s="86">
        <v>18</v>
      </c>
      <c r="E917" s="116" t="str">
        <f t="shared" si="44"/>
        <v>Carnes</v>
      </c>
      <c r="F917" s="85" t="s">
        <v>1049</v>
      </c>
      <c r="G917" s="85" t="s">
        <v>589</v>
      </c>
      <c r="H917" s="85" t="s">
        <v>1039</v>
      </c>
      <c r="I917" s="85">
        <v>25</v>
      </c>
      <c r="J917" s="87">
        <f>1098.04/25</f>
        <v>43.921599999999998</v>
      </c>
      <c r="K917" s="88">
        <f t="shared" si="45"/>
        <v>1098.04</v>
      </c>
      <c r="L917" s="85" t="s">
        <v>1204</v>
      </c>
      <c r="M917" s="141" t="s">
        <v>827</v>
      </c>
      <c r="N917" s="84"/>
      <c r="O917" s="84" t="s">
        <v>872</v>
      </c>
    </row>
    <row r="918" spans="1:15" x14ac:dyDescent="0.25">
      <c r="A918" s="84" t="str">
        <f t="shared" si="43"/>
        <v>OutubroSEMANA 3Aguardente 51</v>
      </c>
      <c r="B918" s="85" t="s">
        <v>37</v>
      </c>
      <c r="C918" s="85" t="s">
        <v>22</v>
      </c>
      <c r="D918" s="86">
        <v>18</v>
      </c>
      <c r="E918" s="116" t="str">
        <f t="shared" si="44"/>
        <v>Bebidas</v>
      </c>
      <c r="F918" s="85" t="s">
        <v>1078</v>
      </c>
      <c r="G918" s="85" t="s">
        <v>94</v>
      </c>
      <c r="H918" s="85" t="s">
        <v>1038</v>
      </c>
      <c r="I918" s="85">
        <v>1</v>
      </c>
      <c r="J918" s="87">
        <v>7.68</v>
      </c>
      <c r="K918" s="88">
        <f t="shared" si="45"/>
        <v>7.68</v>
      </c>
      <c r="L918" s="85" t="s">
        <v>1205</v>
      </c>
      <c r="M918" s="141" t="s">
        <v>828</v>
      </c>
      <c r="N918" s="84"/>
      <c r="O918" s="84" t="s">
        <v>45</v>
      </c>
    </row>
    <row r="919" spans="1:15" x14ac:dyDescent="0.25">
      <c r="A919" s="84" t="str">
        <f t="shared" si="43"/>
        <v>OutubroSEMANA 3Queijo Parmezon</v>
      </c>
      <c r="B919" s="85" t="s">
        <v>37</v>
      </c>
      <c r="C919" s="85" t="s">
        <v>22</v>
      </c>
      <c r="D919" s="86">
        <v>18</v>
      </c>
      <c r="E919" s="116" t="str">
        <f t="shared" si="44"/>
        <v>Mercado</v>
      </c>
      <c r="F919" s="85" t="s">
        <v>1078</v>
      </c>
      <c r="G919" s="85" t="s">
        <v>686</v>
      </c>
      <c r="H919" s="85" t="s">
        <v>1039</v>
      </c>
      <c r="I919" s="85">
        <v>5.6</v>
      </c>
      <c r="J919" s="87">
        <v>23.58</v>
      </c>
      <c r="K919" s="88">
        <f t="shared" si="45"/>
        <v>132.04799999999997</v>
      </c>
      <c r="L919" s="85" t="s">
        <v>1205</v>
      </c>
      <c r="M919" s="141" t="s">
        <v>829</v>
      </c>
      <c r="N919" s="84"/>
      <c r="O919" s="84" t="s">
        <v>45</v>
      </c>
    </row>
    <row r="920" spans="1:15" x14ac:dyDescent="0.25">
      <c r="A920" s="84" t="str">
        <f t="shared" si="43"/>
        <v>OutubroSEMANA 3Queijo Coalho</v>
      </c>
      <c r="B920" s="85" t="s">
        <v>37</v>
      </c>
      <c r="C920" s="85" t="s">
        <v>22</v>
      </c>
      <c r="D920" s="86">
        <v>18</v>
      </c>
      <c r="E920" s="116" t="str">
        <f t="shared" si="44"/>
        <v>Mercado</v>
      </c>
      <c r="F920" s="85" t="s">
        <v>1078</v>
      </c>
      <c r="G920" s="85" t="s">
        <v>676</v>
      </c>
      <c r="H920" s="85" t="s">
        <v>1039</v>
      </c>
      <c r="I920" s="85">
        <v>6</v>
      </c>
      <c r="J920" s="87">
        <v>24.13</v>
      </c>
      <c r="K920" s="88">
        <f t="shared" si="45"/>
        <v>144.78</v>
      </c>
      <c r="L920" s="85" t="s">
        <v>1205</v>
      </c>
      <c r="M920" s="141" t="s">
        <v>830</v>
      </c>
      <c r="N920" s="84"/>
      <c r="O920" s="84" t="s">
        <v>45</v>
      </c>
    </row>
    <row r="921" spans="1:15" x14ac:dyDescent="0.25">
      <c r="A921" s="84" t="str">
        <f t="shared" si="43"/>
        <v>OutubroSEMANA 3Vodka Smirnoff</v>
      </c>
      <c r="B921" s="85" t="s">
        <v>37</v>
      </c>
      <c r="C921" s="85" t="s">
        <v>22</v>
      </c>
      <c r="D921" s="86">
        <v>18</v>
      </c>
      <c r="E921" s="116" t="str">
        <f t="shared" si="44"/>
        <v>Bebidas</v>
      </c>
      <c r="F921" s="85" t="s">
        <v>1078</v>
      </c>
      <c r="G921" s="85" t="s">
        <v>867</v>
      </c>
      <c r="H921" s="85" t="s">
        <v>1038</v>
      </c>
      <c r="I921" s="85">
        <v>1</v>
      </c>
      <c r="J921" s="87">
        <v>30.99</v>
      </c>
      <c r="K921" s="88">
        <f t="shared" si="45"/>
        <v>30.99</v>
      </c>
      <c r="L921" s="85" t="s">
        <v>1205</v>
      </c>
      <c r="M921" s="141" t="s">
        <v>831</v>
      </c>
      <c r="N921" s="84"/>
      <c r="O921" s="84" t="s">
        <v>45</v>
      </c>
    </row>
    <row r="922" spans="1:15" x14ac:dyDescent="0.25">
      <c r="A922" s="84" t="str">
        <f t="shared" si="43"/>
        <v>OutubroSEMANA 3Alface Americana Orgânica</v>
      </c>
      <c r="B922" s="85" t="s">
        <v>37</v>
      </c>
      <c r="C922" s="85" t="s">
        <v>22</v>
      </c>
      <c r="D922" s="86">
        <v>18</v>
      </c>
      <c r="E922" s="116" t="str">
        <f t="shared" si="44"/>
        <v>Hortifruti</v>
      </c>
      <c r="F922" s="85" t="s">
        <v>1044</v>
      </c>
      <c r="G922" s="85" t="s">
        <v>103</v>
      </c>
      <c r="H922" s="85" t="s">
        <v>1039</v>
      </c>
      <c r="I922" s="85">
        <v>6.86</v>
      </c>
      <c r="J922" s="87">
        <f>43.5/6.86</f>
        <v>6.3411078717201166</v>
      </c>
      <c r="K922" s="88">
        <f t="shared" si="45"/>
        <v>43.5</v>
      </c>
      <c r="L922" s="85">
        <v>83074</v>
      </c>
      <c r="M922" s="141" t="s">
        <v>960</v>
      </c>
      <c r="N922" s="84"/>
      <c r="O922" s="84" t="s">
        <v>875</v>
      </c>
    </row>
    <row r="923" spans="1:15" x14ac:dyDescent="0.25">
      <c r="A923" s="84" t="str">
        <f t="shared" si="43"/>
        <v>OutubroSEMANA 3Alface crespa Orgânica</v>
      </c>
      <c r="B923" s="85" t="s">
        <v>37</v>
      </c>
      <c r="C923" s="85" t="s">
        <v>22</v>
      </c>
      <c r="D923" s="86">
        <v>18</v>
      </c>
      <c r="E923" s="116" t="str">
        <f t="shared" si="44"/>
        <v>Hortifruti</v>
      </c>
      <c r="F923" s="85" t="s">
        <v>1044</v>
      </c>
      <c r="G923" s="85" t="s">
        <v>105</v>
      </c>
      <c r="H923" s="85" t="s">
        <v>1039</v>
      </c>
      <c r="I923" s="85">
        <v>2.16</v>
      </c>
      <c r="J923" s="87">
        <f>15/2.16</f>
        <v>6.9444444444444438</v>
      </c>
      <c r="K923" s="88">
        <f t="shared" si="45"/>
        <v>15</v>
      </c>
      <c r="L923" s="85">
        <v>83074</v>
      </c>
      <c r="M923" s="141" t="s">
        <v>832</v>
      </c>
      <c r="N923" s="84"/>
      <c r="O923" s="84" t="s">
        <v>45</v>
      </c>
    </row>
    <row r="924" spans="1:15" x14ac:dyDescent="0.25">
      <c r="A924" s="84" t="str">
        <f t="shared" si="43"/>
        <v>OutubroSEMANA 3Beterraba Orgânica</v>
      </c>
      <c r="B924" s="85" t="s">
        <v>37</v>
      </c>
      <c r="C924" s="85" t="s">
        <v>22</v>
      </c>
      <c r="D924" s="86">
        <v>18</v>
      </c>
      <c r="E924" s="116" t="str">
        <f t="shared" si="44"/>
        <v>Hortifruti</v>
      </c>
      <c r="F924" s="85" t="s">
        <v>1044</v>
      </c>
      <c r="G924" s="85" t="s">
        <v>182</v>
      </c>
      <c r="H924" s="85" t="s">
        <v>1039</v>
      </c>
      <c r="I924" s="85">
        <v>3.2</v>
      </c>
      <c r="J924" s="87">
        <v>7.7</v>
      </c>
      <c r="K924" s="88">
        <f t="shared" si="45"/>
        <v>24.64</v>
      </c>
      <c r="L924" s="85">
        <v>83074</v>
      </c>
      <c r="M924" s="141" t="s">
        <v>833</v>
      </c>
      <c r="N924" s="84"/>
      <c r="O924" s="84" t="s">
        <v>45</v>
      </c>
    </row>
    <row r="925" spans="1:15" x14ac:dyDescent="0.25">
      <c r="A925" s="84" t="str">
        <f t="shared" si="43"/>
        <v>OutubroSEMANA 3Cenoura Orgânica</v>
      </c>
      <c r="B925" s="85" t="s">
        <v>37</v>
      </c>
      <c r="C925" s="85" t="s">
        <v>22</v>
      </c>
      <c r="D925" s="86">
        <v>18</v>
      </c>
      <c r="E925" s="116" t="str">
        <f t="shared" si="44"/>
        <v>Hortifruti</v>
      </c>
      <c r="F925" s="85" t="s">
        <v>1044</v>
      </c>
      <c r="G925" s="85" t="s">
        <v>252</v>
      </c>
      <c r="H925" s="85" t="s">
        <v>1039</v>
      </c>
      <c r="I925" s="85">
        <v>3.11</v>
      </c>
      <c r="J925" s="87">
        <v>7.75</v>
      </c>
      <c r="K925" s="88">
        <f t="shared" si="45"/>
        <v>24.102499999999999</v>
      </c>
      <c r="L925" s="85">
        <v>83074</v>
      </c>
      <c r="M925" s="141" t="s">
        <v>986</v>
      </c>
      <c r="N925" s="84"/>
      <c r="O925" s="84" t="s">
        <v>45</v>
      </c>
    </row>
    <row r="926" spans="1:15" x14ac:dyDescent="0.25">
      <c r="A926" s="84" t="str">
        <f t="shared" si="43"/>
        <v>OutubroSEMANA 3Rúcula Orgânica</v>
      </c>
      <c r="B926" s="85" t="s">
        <v>37</v>
      </c>
      <c r="C926" s="85" t="s">
        <v>22</v>
      </c>
      <c r="D926" s="86">
        <v>18</v>
      </c>
      <c r="E926" s="116" t="str">
        <f t="shared" si="44"/>
        <v>Hortifruti</v>
      </c>
      <c r="F926" s="85" t="s">
        <v>1044</v>
      </c>
      <c r="G926" s="85" t="s">
        <v>707</v>
      </c>
      <c r="H926" s="85" t="s">
        <v>1039</v>
      </c>
      <c r="I926" s="85">
        <v>4.5</v>
      </c>
      <c r="J926" s="87">
        <f>96/4.5</f>
        <v>21.333333333333332</v>
      </c>
      <c r="K926" s="88">
        <f t="shared" si="45"/>
        <v>96</v>
      </c>
      <c r="L926" s="85">
        <v>83074</v>
      </c>
      <c r="M926" s="141" t="s">
        <v>834</v>
      </c>
      <c r="N926" s="84"/>
      <c r="O926" s="84" t="s">
        <v>46</v>
      </c>
    </row>
    <row r="927" spans="1:15" x14ac:dyDescent="0.25">
      <c r="A927" s="84" t="str">
        <f t="shared" si="43"/>
        <v>OutubroSEMANA 3Aves - Sobrecoxa</v>
      </c>
      <c r="B927" s="85" t="s">
        <v>37</v>
      </c>
      <c r="C927" s="85" t="s">
        <v>22</v>
      </c>
      <c r="D927" s="86">
        <v>18</v>
      </c>
      <c r="E927" s="116" t="str">
        <f t="shared" si="44"/>
        <v>Carnes</v>
      </c>
      <c r="F927" s="85" t="s">
        <v>1051</v>
      </c>
      <c r="G927" s="85" t="s">
        <v>150</v>
      </c>
      <c r="H927" s="85" t="s">
        <v>1039</v>
      </c>
      <c r="I927" s="85">
        <v>24</v>
      </c>
      <c r="J927" s="87">
        <v>5.55</v>
      </c>
      <c r="K927" s="88">
        <f t="shared" si="45"/>
        <v>133.19999999999999</v>
      </c>
      <c r="L927" s="85" t="s">
        <v>1206</v>
      </c>
      <c r="M927" s="141" t="s">
        <v>835</v>
      </c>
      <c r="O927" s="115" t="s">
        <v>46</v>
      </c>
    </row>
    <row r="928" spans="1:15" x14ac:dyDescent="0.25">
      <c r="A928" s="84" t="str">
        <f t="shared" si="43"/>
        <v>OutubroSEMANA 3Aves - Filé de Coxa</v>
      </c>
      <c r="B928" s="85" t="s">
        <v>37</v>
      </c>
      <c r="C928" s="85" t="s">
        <v>22</v>
      </c>
      <c r="D928" s="86">
        <v>18</v>
      </c>
      <c r="E928" s="116" t="str">
        <f t="shared" si="44"/>
        <v>Carnes</v>
      </c>
      <c r="F928" s="85" t="s">
        <v>1051</v>
      </c>
      <c r="G928" s="85" t="s">
        <v>137</v>
      </c>
      <c r="H928" s="85" t="s">
        <v>1039</v>
      </c>
      <c r="I928" s="85">
        <f>24*0.7</f>
        <v>16.799999999999997</v>
      </c>
      <c r="J928" s="87">
        <f>146.16/16.8</f>
        <v>8.6999999999999993</v>
      </c>
      <c r="K928" s="88">
        <f t="shared" si="45"/>
        <v>146.15999999999997</v>
      </c>
      <c r="L928" s="85" t="s">
        <v>1206</v>
      </c>
      <c r="M928" s="141" t="s">
        <v>836</v>
      </c>
      <c r="N928" s="84"/>
      <c r="O928" s="84" t="s">
        <v>46</v>
      </c>
    </row>
    <row r="929" spans="1:15" x14ac:dyDescent="0.25">
      <c r="A929" s="84" t="str">
        <f t="shared" si="43"/>
        <v>OutubroSEMANA 3Aves - Filé de Peito de Frango</v>
      </c>
      <c r="B929" s="85" t="s">
        <v>37</v>
      </c>
      <c r="C929" s="85" t="s">
        <v>22</v>
      </c>
      <c r="D929" s="86">
        <v>18</v>
      </c>
      <c r="E929" s="116" t="str">
        <f t="shared" si="44"/>
        <v>Carnes</v>
      </c>
      <c r="F929" s="85" t="s">
        <v>1051</v>
      </c>
      <c r="G929" s="85" t="s">
        <v>139</v>
      </c>
      <c r="H929" s="85" t="s">
        <v>1039</v>
      </c>
      <c r="I929" s="85">
        <v>48</v>
      </c>
      <c r="J929" s="87">
        <v>7.8</v>
      </c>
      <c r="K929" s="88">
        <f t="shared" si="45"/>
        <v>374.4</v>
      </c>
      <c r="L929" s="85">
        <v>3281241</v>
      </c>
      <c r="M929" s="141" t="s">
        <v>837</v>
      </c>
      <c r="N929" s="84"/>
      <c r="O929" s="84" t="s">
        <v>46</v>
      </c>
    </row>
    <row r="930" spans="1:15" x14ac:dyDescent="0.25">
      <c r="A930" s="84" t="str">
        <f t="shared" si="43"/>
        <v>OutubroSEMANA 3Azeite Deleyda 500 ml</v>
      </c>
      <c r="B930" s="85" t="s">
        <v>37</v>
      </c>
      <c r="C930" s="85" t="s">
        <v>22</v>
      </c>
      <c r="D930" s="85">
        <v>18</v>
      </c>
      <c r="E930" s="116" t="str">
        <f t="shared" si="44"/>
        <v>Mercado</v>
      </c>
      <c r="F930" s="85" t="s">
        <v>1207</v>
      </c>
      <c r="G930" s="85" t="s">
        <v>151</v>
      </c>
      <c r="H930" s="85" t="s">
        <v>1038</v>
      </c>
      <c r="I930" s="85">
        <v>24</v>
      </c>
      <c r="J930" s="87">
        <f>571.58/24</f>
        <v>23.815833333333334</v>
      </c>
      <c r="K930" s="88">
        <f t="shared" si="45"/>
        <v>571.58000000000004</v>
      </c>
      <c r="L930" s="85">
        <v>57637</v>
      </c>
      <c r="M930" s="141" t="s">
        <v>838</v>
      </c>
      <c r="N930" s="84"/>
      <c r="O930" s="84" t="s">
        <v>42</v>
      </c>
    </row>
    <row r="931" spans="1:15" x14ac:dyDescent="0.25">
      <c r="A931" s="84" t="str">
        <f t="shared" si="43"/>
        <v>OutubroSEMANA 3Chocolate em Pó Solúvel 200g</v>
      </c>
      <c r="B931" s="85" t="s">
        <v>37</v>
      </c>
      <c r="C931" s="85" t="s">
        <v>22</v>
      </c>
      <c r="D931" s="85">
        <v>18</v>
      </c>
      <c r="E931" s="116" t="str">
        <f t="shared" si="44"/>
        <v>Mercado</v>
      </c>
      <c r="F931" s="85" t="s">
        <v>1036</v>
      </c>
      <c r="G931" s="85" t="s">
        <v>933</v>
      </c>
      <c r="H931" s="85" t="s">
        <v>1038</v>
      </c>
      <c r="I931" s="85">
        <v>1</v>
      </c>
      <c r="J931" s="87">
        <v>13.5</v>
      </c>
      <c r="K931" s="88">
        <f t="shared" si="45"/>
        <v>13.5</v>
      </c>
      <c r="L931" s="85">
        <v>54267</v>
      </c>
      <c r="M931" s="120" t="s">
        <v>1030</v>
      </c>
      <c r="O931" s="84" t="s">
        <v>42</v>
      </c>
    </row>
    <row r="932" spans="1:15" x14ac:dyDescent="0.25">
      <c r="A932" s="84" t="str">
        <f t="shared" si="43"/>
        <v>OutubroSEMANA 3Pão Rabanada</v>
      </c>
      <c r="B932" s="85" t="s">
        <v>37</v>
      </c>
      <c r="C932" s="85" t="s">
        <v>22</v>
      </c>
      <c r="D932" s="85">
        <v>18</v>
      </c>
      <c r="E932" s="116" t="str">
        <f t="shared" si="44"/>
        <v>Mercado</v>
      </c>
      <c r="F932" s="85" t="s">
        <v>1036</v>
      </c>
      <c r="G932" s="85" t="s">
        <v>566</v>
      </c>
      <c r="H932" s="85" t="s">
        <v>1038</v>
      </c>
      <c r="I932" s="85">
        <v>10</v>
      </c>
      <c r="J932" s="87">
        <v>5.5839999999999996</v>
      </c>
      <c r="K932" s="88">
        <f t="shared" si="45"/>
        <v>55.839999999999996</v>
      </c>
      <c r="L932" s="85">
        <v>54267</v>
      </c>
      <c r="M932" s="141" t="s">
        <v>896</v>
      </c>
      <c r="N932" s="84"/>
      <c r="O932" s="84" t="s">
        <v>42</v>
      </c>
    </row>
    <row r="933" spans="1:15" x14ac:dyDescent="0.25">
      <c r="A933" s="84" t="str">
        <f t="shared" si="43"/>
        <v xml:space="preserve">OutubroSEMANA 3Café em Grão </v>
      </c>
      <c r="B933" s="85" t="s">
        <v>37</v>
      </c>
      <c r="C933" s="85" t="s">
        <v>22</v>
      </c>
      <c r="D933" s="86">
        <v>18</v>
      </c>
      <c r="E933" s="116" t="str">
        <f t="shared" si="44"/>
        <v>Mercado</v>
      </c>
      <c r="F933" s="85" t="s">
        <v>1192</v>
      </c>
      <c r="G933" s="85" t="s">
        <v>1033</v>
      </c>
      <c r="H933" s="85" t="s">
        <v>1039</v>
      </c>
      <c r="I933" s="85">
        <v>30</v>
      </c>
      <c r="J933" s="87">
        <f>1450.29/30</f>
        <v>48.342999999999996</v>
      </c>
      <c r="K933" s="88">
        <f t="shared" si="45"/>
        <v>1450.29</v>
      </c>
      <c r="L933" s="85">
        <v>1627</v>
      </c>
      <c r="M933" s="141" t="s">
        <v>839</v>
      </c>
      <c r="N933" s="84"/>
      <c r="O933" s="84" t="s">
        <v>60</v>
      </c>
    </row>
    <row r="934" spans="1:15" x14ac:dyDescent="0.25">
      <c r="A934" s="84" t="str">
        <f t="shared" si="43"/>
        <v>OutubroSEMANA 3Bala de Alga 500 g</v>
      </c>
      <c r="B934" s="85" t="s">
        <v>37</v>
      </c>
      <c r="C934" s="85" t="s">
        <v>22</v>
      </c>
      <c r="D934" s="86">
        <v>18</v>
      </c>
      <c r="E934" s="116" t="str">
        <f t="shared" si="44"/>
        <v>Vendas Caixa</v>
      </c>
      <c r="F934" s="85" t="s">
        <v>1208</v>
      </c>
      <c r="G934" s="85" t="s">
        <v>159</v>
      </c>
      <c r="H934" s="85" t="s">
        <v>1037</v>
      </c>
      <c r="I934" s="85">
        <v>1</v>
      </c>
      <c r="J934" s="87">
        <v>17.16</v>
      </c>
      <c r="K934" s="88">
        <f t="shared" si="45"/>
        <v>17.16</v>
      </c>
      <c r="L934" s="85" t="s">
        <v>1209</v>
      </c>
      <c r="M934" s="141" t="s">
        <v>840</v>
      </c>
      <c r="N934" s="84"/>
      <c r="O934" s="84" t="s">
        <v>60</v>
      </c>
    </row>
    <row r="935" spans="1:15" x14ac:dyDescent="0.25">
      <c r="A935" s="84" t="str">
        <f t="shared" si="43"/>
        <v>OutubroSEMANA 3Chá verde 200gr</v>
      </c>
      <c r="B935" s="85" t="s">
        <v>37</v>
      </c>
      <c r="C935" s="85" t="s">
        <v>22</v>
      </c>
      <c r="D935" s="86">
        <v>18</v>
      </c>
      <c r="E935" s="116" t="str">
        <f t="shared" si="44"/>
        <v>Mercado</v>
      </c>
      <c r="F935" s="85" t="s">
        <v>1208</v>
      </c>
      <c r="G935" s="85" t="s">
        <v>271</v>
      </c>
      <c r="H935" s="85" t="s">
        <v>1037</v>
      </c>
      <c r="I935" s="85">
        <v>1</v>
      </c>
      <c r="J935" s="87">
        <v>13.92</v>
      </c>
      <c r="K935" s="88">
        <f t="shared" si="45"/>
        <v>13.92</v>
      </c>
      <c r="L935" s="85" t="s">
        <v>1209</v>
      </c>
      <c r="M935" s="141" t="s">
        <v>841</v>
      </c>
      <c r="N935" s="84"/>
      <c r="O935" s="84" t="s">
        <v>42</v>
      </c>
    </row>
    <row r="936" spans="1:15" x14ac:dyDescent="0.25">
      <c r="A936" s="84" t="str">
        <f t="shared" si="43"/>
        <v>OutubroSEMANA 3Farinha Panco</v>
      </c>
      <c r="B936" s="85" t="s">
        <v>37</v>
      </c>
      <c r="C936" s="85" t="s">
        <v>22</v>
      </c>
      <c r="D936" s="86">
        <v>18</v>
      </c>
      <c r="E936" s="116" t="str">
        <f t="shared" si="44"/>
        <v>Mercado</v>
      </c>
      <c r="F936" s="85" t="s">
        <v>1208</v>
      </c>
      <c r="G936" s="85" t="s">
        <v>345</v>
      </c>
      <c r="H936" s="85" t="s">
        <v>1039</v>
      </c>
      <c r="I936" s="85">
        <f>5-2</f>
        <v>3</v>
      </c>
      <c r="J936" s="87">
        <v>17.7</v>
      </c>
      <c r="K936" s="88">
        <f t="shared" si="45"/>
        <v>53.099999999999994</v>
      </c>
      <c r="L936" s="85" t="s">
        <v>1209</v>
      </c>
      <c r="M936" s="141" t="s">
        <v>842</v>
      </c>
      <c r="N936" s="84"/>
      <c r="O936" s="84" t="s">
        <v>42</v>
      </c>
    </row>
    <row r="937" spans="1:15" x14ac:dyDescent="0.25">
      <c r="A937" s="84" t="str">
        <f t="shared" si="43"/>
        <v>OutubroSEMANA 3Gergelim Branco</v>
      </c>
      <c r="B937" s="85" t="s">
        <v>37</v>
      </c>
      <c r="C937" s="85" t="s">
        <v>22</v>
      </c>
      <c r="D937" s="86">
        <v>18</v>
      </c>
      <c r="E937" s="116" t="str">
        <f t="shared" si="44"/>
        <v>Mercado</v>
      </c>
      <c r="F937" s="85" t="s">
        <v>1208</v>
      </c>
      <c r="G937" s="85" t="s">
        <v>387</v>
      </c>
      <c r="H937" s="85" t="s">
        <v>1039</v>
      </c>
      <c r="I937" s="85">
        <v>1</v>
      </c>
      <c r="J937" s="87">
        <v>16.850000000000001</v>
      </c>
      <c r="K937" s="88">
        <f t="shared" si="45"/>
        <v>16.850000000000001</v>
      </c>
      <c r="L937" s="85" t="s">
        <v>1209</v>
      </c>
      <c r="M937" s="141" t="s">
        <v>843</v>
      </c>
      <c r="N937" s="84"/>
      <c r="O937" s="84" t="s">
        <v>42</v>
      </c>
    </row>
    <row r="938" spans="1:15" x14ac:dyDescent="0.25">
      <c r="A938" s="84" t="str">
        <f t="shared" si="43"/>
        <v>OutubroSEMANA 3Macarrão de Feijão (Harusame) 200g</v>
      </c>
      <c r="B938" s="85" t="s">
        <v>37</v>
      </c>
      <c r="C938" s="85" t="s">
        <v>22</v>
      </c>
      <c r="D938" s="86">
        <v>18</v>
      </c>
      <c r="E938" s="116" t="str">
        <f t="shared" si="44"/>
        <v>Mercado</v>
      </c>
      <c r="F938" s="85" t="s">
        <v>1208</v>
      </c>
      <c r="G938" s="85" t="s">
        <v>481</v>
      </c>
      <c r="H938" s="85" t="s">
        <v>1037</v>
      </c>
      <c r="I938" s="85">
        <v>10</v>
      </c>
      <c r="J938" s="87">
        <v>8.48</v>
      </c>
      <c r="K938" s="88">
        <f t="shared" si="45"/>
        <v>84.800000000000011</v>
      </c>
      <c r="L938" s="85" t="s">
        <v>1209</v>
      </c>
      <c r="M938" s="141" t="s">
        <v>844</v>
      </c>
      <c r="N938" s="84"/>
      <c r="O938" s="84" t="s">
        <v>47</v>
      </c>
    </row>
    <row r="939" spans="1:15" x14ac:dyDescent="0.25">
      <c r="A939" s="84" t="str">
        <f t="shared" si="43"/>
        <v>OutubroSEMANA 3Massa de Harumaki</v>
      </c>
      <c r="B939" s="85" t="s">
        <v>37</v>
      </c>
      <c r="C939" s="85" t="s">
        <v>22</v>
      </c>
      <c r="D939" s="86">
        <v>18</v>
      </c>
      <c r="E939" s="116" t="str">
        <f t="shared" si="44"/>
        <v>Mercado</v>
      </c>
      <c r="F939" s="85" t="s">
        <v>1208</v>
      </c>
      <c r="G939" s="85" t="s">
        <v>507</v>
      </c>
      <c r="H939" s="85" t="s">
        <v>1075</v>
      </c>
      <c r="I939" s="85">
        <f>(12*12)-24</f>
        <v>120</v>
      </c>
      <c r="J939" s="87">
        <f>82.92/144</f>
        <v>0.57583333333333331</v>
      </c>
      <c r="K939" s="88">
        <f t="shared" si="45"/>
        <v>69.099999999999994</v>
      </c>
      <c r="L939" s="85" t="s">
        <v>1209</v>
      </c>
      <c r="M939" s="141" t="s">
        <v>845</v>
      </c>
      <c r="N939" s="84"/>
      <c r="O939" s="84" t="s">
        <v>47</v>
      </c>
    </row>
    <row r="940" spans="1:15" x14ac:dyDescent="0.25">
      <c r="A940" s="84" t="str">
        <f t="shared" si="43"/>
        <v>OutubroSEMANA 3Óleo de Gergelim</v>
      </c>
      <c r="B940" s="85" t="s">
        <v>37</v>
      </c>
      <c r="C940" s="85" t="s">
        <v>22</v>
      </c>
      <c r="D940" s="86">
        <v>18</v>
      </c>
      <c r="E940" s="116" t="str">
        <f t="shared" si="44"/>
        <v>Mercado</v>
      </c>
      <c r="F940" s="85" t="s">
        <v>1208</v>
      </c>
      <c r="G940" s="85" t="s">
        <v>544</v>
      </c>
      <c r="H940" s="85" t="s">
        <v>1038</v>
      </c>
      <c r="I940" s="85">
        <v>1</v>
      </c>
      <c r="J940" s="87">
        <v>54</v>
      </c>
      <c r="K940" s="88">
        <f t="shared" si="45"/>
        <v>54</v>
      </c>
      <c r="L940" s="85" t="s">
        <v>1209</v>
      </c>
      <c r="M940" s="141" t="s">
        <v>846</v>
      </c>
      <c r="N940" s="84"/>
      <c r="O940" s="84" t="s">
        <v>47</v>
      </c>
    </row>
    <row r="941" spans="1:15" x14ac:dyDescent="0.25">
      <c r="A941" s="84" t="str">
        <f t="shared" si="43"/>
        <v>OutubroSEMANA 3Pescados - Atum Fresco Sushi</v>
      </c>
      <c r="B941" s="85" t="s">
        <v>37</v>
      </c>
      <c r="C941" s="85" t="s">
        <v>22</v>
      </c>
      <c r="D941" s="86">
        <v>17</v>
      </c>
      <c r="E941" s="116" t="str">
        <f t="shared" si="44"/>
        <v>Sushi</v>
      </c>
      <c r="F941" s="85" t="s">
        <v>1133</v>
      </c>
      <c r="G941" s="85" t="s">
        <v>587</v>
      </c>
      <c r="H941" s="85" t="s">
        <v>1039</v>
      </c>
      <c r="I941" s="85">
        <v>17.12</v>
      </c>
      <c r="J941" s="87">
        <v>14.9</v>
      </c>
      <c r="K941" s="88">
        <f t="shared" si="45"/>
        <v>255.08800000000002</v>
      </c>
      <c r="L941" s="85" t="s">
        <v>1243</v>
      </c>
      <c r="M941" s="141" t="s">
        <v>847</v>
      </c>
      <c r="N941" s="84"/>
      <c r="O941" s="84" t="s">
        <v>47</v>
      </c>
    </row>
    <row r="942" spans="1:15" x14ac:dyDescent="0.25">
      <c r="A942" s="84" t="str">
        <f t="shared" si="43"/>
        <v>OutubroSEMANA 3Clara de Ovo</v>
      </c>
      <c r="B942" s="85" t="s">
        <v>37</v>
      </c>
      <c r="C942" s="85" t="s">
        <v>22</v>
      </c>
      <c r="D942" s="86">
        <v>18</v>
      </c>
      <c r="E942" s="116" t="str">
        <f t="shared" si="44"/>
        <v>Mercado</v>
      </c>
      <c r="F942" s="85" t="s">
        <v>1067</v>
      </c>
      <c r="G942" s="85" t="s">
        <v>282</v>
      </c>
      <c r="H942" s="85" t="s">
        <v>1039</v>
      </c>
      <c r="I942" s="85">
        <v>13.9</v>
      </c>
      <c r="J942" s="87">
        <f>100/13.9</f>
        <v>7.1942446043165464</v>
      </c>
      <c r="K942" s="88">
        <f t="shared" si="45"/>
        <v>100</v>
      </c>
      <c r="L942" s="85"/>
      <c r="M942" s="141" t="s">
        <v>848</v>
      </c>
      <c r="N942" s="84"/>
      <c r="O942" s="84" t="s">
        <v>47</v>
      </c>
    </row>
    <row r="943" spans="1:15" x14ac:dyDescent="0.25">
      <c r="A943" s="84" t="str">
        <f t="shared" si="43"/>
        <v>OutubroSEMANA 3Arroz Integral Curto</v>
      </c>
      <c r="B943" s="85" t="s">
        <v>37</v>
      </c>
      <c r="C943" s="85" t="s">
        <v>22</v>
      </c>
      <c r="D943" s="86">
        <v>18</v>
      </c>
      <c r="E943" s="116" t="str">
        <f t="shared" si="44"/>
        <v>Mercado</v>
      </c>
      <c r="F943" s="85" t="s">
        <v>1099</v>
      </c>
      <c r="G943" s="85" t="s">
        <v>127</v>
      </c>
      <c r="H943" s="85" t="s">
        <v>1039</v>
      </c>
      <c r="I943" s="85">
        <v>24.14</v>
      </c>
      <c r="J943" s="87">
        <v>8.42</v>
      </c>
      <c r="K943" s="88">
        <f t="shared" si="45"/>
        <v>203.25880000000001</v>
      </c>
      <c r="L943" s="85">
        <v>92113</v>
      </c>
      <c r="M943" s="120" t="s">
        <v>849</v>
      </c>
      <c r="O943" s="84" t="s">
        <v>47</v>
      </c>
    </row>
    <row r="944" spans="1:15" x14ac:dyDescent="0.25">
      <c r="A944" s="84" t="str">
        <f t="shared" si="43"/>
        <v>OutubroSEMANA 3Castanha de Caju Crua</v>
      </c>
      <c r="B944" s="85" t="s">
        <v>37</v>
      </c>
      <c r="C944" s="85" t="s">
        <v>22</v>
      </c>
      <c r="D944" s="86">
        <v>18</v>
      </c>
      <c r="E944" s="116" t="str">
        <f t="shared" si="44"/>
        <v>Mercado</v>
      </c>
      <c r="F944" s="85" t="s">
        <v>1099</v>
      </c>
      <c r="G944" s="85" t="s">
        <v>1028</v>
      </c>
      <c r="H944" s="85" t="s">
        <v>1039</v>
      </c>
      <c r="I944" s="85">
        <v>1.014</v>
      </c>
      <c r="J944" s="87">
        <v>79.378699999999995</v>
      </c>
      <c r="K944" s="88">
        <f t="shared" si="45"/>
        <v>80.490001800000002</v>
      </c>
      <c r="L944" s="85">
        <v>92113</v>
      </c>
      <c r="M944" s="120" t="s">
        <v>850</v>
      </c>
      <c r="O944" s="84" t="s">
        <v>47</v>
      </c>
    </row>
    <row r="945" spans="1:15" x14ac:dyDescent="0.25">
      <c r="A945" s="84" t="str">
        <f t="shared" si="43"/>
        <v>OutubroSEMANA 3Flocos de Arroz (cozinha)</v>
      </c>
      <c r="B945" s="85" t="s">
        <v>37</v>
      </c>
      <c r="C945" s="85" t="s">
        <v>22</v>
      </c>
      <c r="D945" s="86">
        <v>18</v>
      </c>
      <c r="E945" s="116" t="str">
        <f t="shared" si="44"/>
        <v>Mercado</v>
      </c>
      <c r="F945" s="85" t="s">
        <v>1099</v>
      </c>
      <c r="G945" s="85" t="s">
        <v>894</v>
      </c>
      <c r="H945" s="85" t="s">
        <v>1039</v>
      </c>
      <c r="I945" s="85">
        <f>2*0.5</f>
        <v>1</v>
      </c>
      <c r="J945" s="87">
        <v>17.82</v>
      </c>
      <c r="K945" s="88">
        <f t="shared" si="45"/>
        <v>17.82</v>
      </c>
      <c r="L945" s="85">
        <v>92113</v>
      </c>
      <c r="M945" s="120" t="s">
        <v>851</v>
      </c>
      <c r="O945" s="84" t="s">
        <v>42</v>
      </c>
    </row>
    <row r="946" spans="1:15" x14ac:dyDescent="0.25">
      <c r="A946" s="84" t="str">
        <f t="shared" si="43"/>
        <v>OutubroSEMANA 3Tapioca Fina</v>
      </c>
      <c r="B946" s="85" t="s">
        <v>37</v>
      </c>
      <c r="C946" s="85" t="s">
        <v>22</v>
      </c>
      <c r="D946" s="86">
        <v>18</v>
      </c>
      <c r="E946" s="116" t="str">
        <f t="shared" si="44"/>
        <v>Mercado</v>
      </c>
      <c r="F946" s="85" t="s">
        <v>1099</v>
      </c>
      <c r="G946" s="85" t="s">
        <v>1027</v>
      </c>
      <c r="H946" s="85" t="s">
        <v>1039</v>
      </c>
      <c r="I946" s="85">
        <v>2.012</v>
      </c>
      <c r="J946" s="87">
        <v>7.6490999999999998</v>
      </c>
      <c r="K946" s="88">
        <f t="shared" si="45"/>
        <v>15.3899892</v>
      </c>
      <c r="L946" s="85">
        <v>92113</v>
      </c>
      <c r="M946" s="120" t="s">
        <v>852</v>
      </c>
      <c r="O946" s="84" t="s">
        <v>47</v>
      </c>
    </row>
    <row r="947" spans="1:15" x14ac:dyDescent="0.25">
      <c r="A947" s="84" t="str">
        <f t="shared" si="43"/>
        <v>OutubroSEMANA 3Amendoim Torrado</v>
      </c>
      <c r="B947" s="85" t="s">
        <v>37</v>
      </c>
      <c r="C947" s="85" t="s">
        <v>22</v>
      </c>
      <c r="D947" s="86">
        <v>18</v>
      </c>
      <c r="E947" s="116" t="str">
        <f t="shared" si="44"/>
        <v>Mercado</v>
      </c>
      <c r="F947" s="85" t="s">
        <v>1096</v>
      </c>
      <c r="G947" s="85" t="s">
        <v>119</v>
      </c>
      <c r="H947" s="85" t="s">
        <v>1039</v>
      </c>
      <c r="I947" s="85">
        <v>1</v>
      </c>
      <c r="J947" s="87">
        <v>15.5</v>
      </c>
      <c r="K947" s="88">
        <f t="shared" si="45"/>
        <v>15.5</v>
      </c>
      <c r="L947" s="85" t="s">
        <v>1210</v>
      </c>
      <c r="M947" s="120" t="s">
        <v>853</v>
      </c>
      <c r="O947" s="84" t="s">
        <v>47</v>
      </c>
    </row>
    <row r="948" spans="1:15" x14ac:dyDescent="0.25">
      <c r="A948" s="84" t="str">
        <f t="shared" si="43"/>
        <v>OutubroSEMANA 3Castanha de Caju Picada</v>
      </c>
      <c r="B948" s="85" t="s">
        <v>37</v>
      </c>
      <c r="C948" s="85" t="s">
        <v>22</v>
      </c>
      <c r="D948" s="86">
        <v>18</v>
      </c>
      <c r="E948" s="116" t="str">
        <f t="shared" si="44"/>
        <v>Mercado</v>
      </c>
      <c r="F948" s="85" t="s">
        <v>1096</v>
      </c>
      <c r="G948" s="85" t="s">
        <v>238</v>
      </c>
      <c r="H948" s="85" t="s">
        <v>1039</v>
      </c>
      <c r="I948" s="85">
        <v>1</v>
      </c>
      <c r="J948" s="87">
        <v>42.65</v>
      </c>
      <c r="K948" s="88">
        <f t="shared" si="45"/>
        <v>42.65</v>
      </c>
      <c r="L948" s="85" t="s">
        <v>1210</v>
      </c>
      <c r="M948" s="120" t="s">
        <v>854</v>
      </c>
      <c r="O948" s="84" t="s">
        <v>47</v>
      </c>
    </row>
    <row r="949" spans="1:15" x14ac:dyDescent="0.25">
      <c r="A949" s="84" t="str">
        <f t="shared" si="43"/>
        <v>OutubroSEMANA 3Cevadinha</v>
      </c>
      <c r="B949" s="85" t="s">
        <v>37</v>
      </c>
      <c r="C949" s="85" t="s">
        <v>22</v>
      </c>
      <c r="D949" s="86">
        <v>18</v>
      </c>
      <c r="E949" s="116" t="str">
        <f t="shared" si="44"/>
        <v>Mercado</v>
      </c>
      <c r="F949" s="85" t="s">
        <v>1096</v>
      </c>
      <c r="G949" s="85" t="s">
        <v>269</v>
      </c>
      <c r="H949" s="85" t="s">
        <v>1039</v>
      </c>
      <c r="I949" s="85">
        <v>2</v>
      </c>
      <c r="J949" s="87">
        <v>5.9</v>
      </c>
      <c r="K949" s="88">
        <f t="shared" si="45"/>
        <v>11.8</v>
      </c>
      <c r="L949" s="85" t="s">
        <v>1210</v>
      </c>
      <c r="M949" s="120" t="s">
        <v>855</v>
      </c>
      <c r="O949" s="84" t="s">
        <v>47</v>
      </c>
    </row>
    <row r="950" spans="1:15" x14ac:dyDescent="0.25">
      <c r="A950" s="84" t="str">
        <f t="shared" si="43"/>
        <v>OutubroSEMANA 3Coloral</v>
      </c>
      <c r="B950" s="85" t="s">
        <v>37</v>
      </c>
      <c r="C950" s="85" t="s">
        <v>22</v>
      </c>
      <c r="D950" s="86">
        <v>18</v>
      </c>
      <c r="E950" s="116" t="str">
        <f t="shared" si="44"/>
        <v>Mercado</v>
      </c>
      <c r="F950" s="85" t="s">
        <v>1096</v>
      </c>
      <c r="G950" s="85" t="s">
        <v>295</v>
      </c>
      <c r="H950" s="85" t="s">
        <v>1039</v>
      </c>
      <c r="I950" s="85">
        <v>0.3</v>
      </c>
      <c r="J950" s="87">
        <v>5.5</v>
      </c>
      <c r="K950" s="88">
        <f t="shared" si="45"/>
        <v>1.65</v>
      </c>
      <c r="L950" s="85" t="s">
        <v>1210</v>
      </c>
      <c r="M950" s="120" t="s">
        <v>856</v>
      </c>
      <c r="O950" s="84" t="s">
        <v>47</v>
      </c>
    </row>
    <row r="951" spans="1:15" x14ac:dyDescent="0.25">
      <c r="A951" s="84" t="str">
        <f t="shared" si="43"/>
        <v>OutubroSEMANA 3Cuscus</v>
      </c>
      <c r="B951" s="85" t="s">
        <v>37</v>
      </c>
      <c r="C951" s="85" t="s">
        <v>22</v>
      </c>
      <c r="D951" s="86">
        <v>18</v>
      </c>
      <c r="E951" s="116" t="str">
        <f t="shared" si="44"/>
        <v>Mercado</v>
      </c>
      <c r="F951" s="85" t="s">
        <v>1096</v>
      </c>
      <c r="G951" s="85" t="s">
        <v>318</v>
      </c>
      <c r="H951" s="85" t="s">
        <v>1039</v>
      </c>
      <c r="I951" s="85">
        <v>2</v>
      </c>
      <c r="J951" s="87">
        <v>26.5</v>
      </c>
      <c r="K951" s="88">
        <f t="shared" si="45"/>
        <v>53</v>
      </c>
      <c r="L951" s="85" t="s">
        <v>1210</v>
      </c>
      <c r="M951" s="120" t="s">
        <v>857</v>
      </c>
      <c r="O951" s="84" t="s">
        <v>47</v>
      </c>
    </row>
    <row r="952" spans="1:15" x14ac:dyDescent="0.25">
      <c r="A952" s="84" t="str">
        <f t="shared" si="43"/>
        <v>OutubroSEMANA 3Feijão Azuki</v>
      </c>
      <c r="B952" s="85" t="s">
        <v>37</v>
      </c>
      <c r="C952" s="85" t="s">
        <v>22</v>
      </c>
      <c r="D952" s="86">
        <v>18</v>
      </c>
      <c r="E952" s="116" t="str">
        <f t="shared" si="44"/>
        <v>Mercado</v>
      </c>
      <c r="F952" s="85" t="s">
        <v>1096</v>
      </c>
      <c r="G952" s="85" t="s">
        <v>347</v>
      </c>
      <c r="H952" s="85" t="s">
        <v>1039</v>
      </c>
      <c r="I952" s="85">
        <v>2</v>
      </c>
      <c r="J952" s="87">
        <v>11.5</v>
      </c>
      <c r="K952" s="88">
        <f t="shared" si="45"/>
        <v>23</v>
      </c>
      <c r="L952" s="85" t="s">
        <v>1210</v>
      </c>
      <c r="M952" s="120" t="s">
        <v>858</v>
      </c>
      <c r="O952" s="84" t="s">
        <v>47</v>
      </c>
    </row>
    <row r="953" spans="1:15" x14ac:dyDescent="0.25">
      <c r="A953" s="84" t="str">
        <f t="shared" si="43"/>
        <v>OutubroSEMANA 3Mostarda Dijom em Grão</v>
      </c>
      <c r="B953" s="85" t="s">
        <v>37</v>
      </c>
      <c r="C953" s="85" t="s">
        <v>22</v>
      </c>
      <c r="D953" s="86">
        <v>18</v>
      </c>
      <c r="E953" s="116" t="str">
        <f t="shared" si="44"/>
        <v>Mercado</v>
      </c>
      <c r="F953" s="85" t="s">
        <v>1096</v>
      </c>
      <c r="G953" s="85" t="s">
        <v>533</v>
      </c>
      <c r="H953" s="85" t="s">
        <v>1038</v>
      </c>
      <c r="I953" s="85">
        <v>1</v>
      </c>
      <c r="J953" s="87">
        <v>21.9</v>
      </c>
      <c r="K953" s="88">
        <f t="shared" si="45"/>
        <v>21.9</v>
      </c>
      <c r="L953" s="85" t="s">
        <v>1210</v>
      </c>
      <c r="M953" s="120" t="s">
        <v>859</v>
      </c>
      <c r="O953" s="84" t="s">
        <v>47</v>
      </c>
    </row>
    <row r="954" spans="1:15" x14ac:dyDescent="0.25">
      <c r="A954" s="84" t="str">
        <f t="shared" si="43"/>
        <v>OutubroSEMANA 3Nozes sem casca</v>
      </c>
      <c r="B954" s="85" t="s">
        <v>37</v>
      </c>
      <c r="C954" s="85" t="s">
        <v>22</v>
      </c>
      <c r="D954" s="86">
        <v>18</v>
      </c>
      <c r="E954" s="116" t="str">
        <f t="shared" si="44"/>
        <v>Mercado</v>
      </c>
      <c r="F954" s="85" t="s">
        <v>1096</v>
      </c>
      <c r="G954" s="85" t="s">
        <v>540</v>
      </c>
      <c r="H954" s="85" t="s">
        <v>1039</v>
      </c>
      <c r="I954" s="85">
        <v>1</v>
      </c>
      <c r="J954" s="87">
        <v>59.9</v>
      </c>
      <c r="K954" s="88">
        <f t="shared" si="45"/>
        <v>59.9</v>
      </c>
      <c r="L954" s="85" t="s">
        <v>1210</v>
      </c>
      <c r="M954" s="120" t="s">
        <v>860</v>
      </c>
      <c r="O954" s="84" t="s">
        <v>47</v>
      </c>
    </row>
    <row r="955" spans="1:15" x14ac:dyDescent="0.25">
      <c r="A955" s="84" t="str">
        <f t="shared" si="43"/>
        <v>OutubroSEMANA 3Passas Preta</v>
      </c>
      <c r="B955" s="85" t="s">
        <v>37</v>
      </c>
      <c r="C955" s="85" t="s">
        <v>22</v>
      </c>
      <c r="D955" s="86">
        <v>18</v>
      </c>
      <c r="E955" s="116" t="str">
        <f t="shared" si="44"/>
        <v>Mercado</v>
      </c>
      <c r="F955" s="85" t="s">
        <v>1096</v>
      </c>
      <c r="G955" s="85" t="s">
        <v>574</v>
      </c>
      <c r="H955" s="85" t="s">
        <v>1039</v>
      </c>
      <c r="I955" s="85">
        <v>2</v>
      </c>
      <c r="J955" s="87">
        <v>13.5</v>
      </c>
      <c r="K955" s="88">
        <f t="shared" si="45"/>
        <v>27</v>
      </c>
      <c r="L955" s="85" t="s">
        <v>1210</v>
      </c>
      <c r="M955" s="120" t="s">
        <v>861</v>
      </c>
      <c r="O955" s="84" t="s">
        <v>47</v>
      </c>
    </row>
    <row r="956" spans="1:15" x14ac:dyDescent="0.25">
      <c r="A956" s="84" t="str">
        <f t="shared" si="43"/>
        <v>OutubroSEMANA 3Quinoa</v>
      </c>
      <c r="B956" s="85" t="s">
        <v>37</v>
      </c>
      <c r="C956" s="85" t="s">
        <v>22</v>
      </c>
      <c r="D956" s="86">
        <v>18</v>
      </c>
      <c r="E956" s="116" t="str">
        <f t="shared" si="44"/>
        <v>Mercado</v>
      </c>
      <c r="F956" s="85" t="s">
        <v>1096</v>
      </c>
      <c r="G956" s="85" t="s">
        <v>693</v>
      </c>
      <c r="H956" s="85" t="s">
        <v>1039</v>
      </c>
      <c r="I956" s="85">
        <v>2</v>
      </c>
      <c r="J956" s="87">
        <v>23.9</v>
      </c>
      <c r="K956" s="88">
        <f t="shared" si="45"/>
        <v>47.8</v>
      </c>
      <c r="L956" s="85" t="s">
        <v>1210</v>
      </c>
      <c r="M956" s="141" t="s">
        <v>1304</v>
      </c>
      <c r="O956" s="84" t="s">
        <v>47</v>
      </c>
    </row>
    <row r="957" spans="1:15" x14ac:dyDescent="0.25">
      <c r="A957" s="84" t="str">
        <f t="shared" si="43"/>
        <v>OutubroSEMANA 3Flocos de Milho</v>
      </c>
      <c r="B957" s="85" t="s">
        <v>37</v>
      </c>
      <c r="C957" s="85" t="s">
        <v>22</v>
      </c>
      <c r="D957" s="86">
        <v>19</v>
      </c>
      <c r="E957" s="116" t="str">
        <f t="shared" si="44"/>
        <v>Mercado</v>
      </c>
      <c r="F957" s="85" t="s">
        <v>1056</v>
      </c>
      <c r="G957" s="85" t="s">
        <v>364</v>
      </c>
      <c r="H957" s="85" t="s">
        <v>1039</v>
      </c>
      <c r="I957" s="85">
        <f>5*0.5</f>
        <v>2.5</v>
      </c>
      <c r="J957" s="87">
        <f>25.65/2.5</f>
        <v>10.26</v>
      </c>
      <c r="K957" s="88">
        <f t="shared" si="45"/>
        <v>25.65</v>
      </c>
      <c r="L957" s="85">
        <v>18255</v>
      </c>
      <c r="M957" s="141" t="s">
        <v>862</v>
      </c>
      <c r="O957" s="84" t="s">
        <v>47</v>
      </c>
    </row>
    <row r="958" spans="1:15" x14ac:dyDescent="0.25">
      <c r="A958" s="84" t="str">
        <f t="shared" si="43"/>
        <v>OutubroSEMANA 3Pescados - Salmão Inteiro</v>
      </c>
      <c r="B958" s="85" t="s">
        <v>37</v>
      </c>
      <c r="C958" s="85" t="s">
        <v>22</v>
      </c>
      <c r="D958" s="86">
        <v>17</v>
      </c>
      <c r="E958" s="116" t="str">
        <f t="shared" si="44"/>
        <v>Carnes</v>
      </c>
      <c r="F958" s="85" t="s">
        <v>1133</v>
      </c>
      <c r="G958" s="85" t="s">
        <v>644</v>
      </c>
      <c r="H958" s="85" t="s">
        <v>1039</v>
      </c>
      <c r="I958" s="85">
        <v>30.38</v>
      </c>
      <c r="J958" s="87">
        <v>26.5</v>
      </c>
      <c r="K958" s="88">
        <f t="shared" si="45"/>
        <v>805.06999999999994</v>
      </c>
      <c r="L958" s="85" t="s">
        <v>1243</v>
      </c>
      <c r="M958" s="141" t="s">
        <v>863</v>
      </c>
      <c r="O958" s="84" t="s">
        <v>47</v>
      </c>
    </row>
    <row r="959" spans="1:15" x14ac:dyDescent="0.25">
      <c r="A959" s="84" t="str">
        <f t="shared" si="43"/>
        <v>OutubroSEMANA 3Pescados - Atum Fresco Sushi</v>
      </c>
      <c r="B959" s="85" t="s">
        <v>37</v>
      </c>
      <c r="C959" s="85" t="s">
        <v>22</v>
      </c>
      <c r="D959" s="86">
        <v>19</v>
      </c>
      <c r="E959" s="116" t="str">
        <f t="shared" si="44"/>
        <v>Sushi</v>
      </c>
      <c r="F959" s="85" t="s">
        <v>1211</v>
      </c>
      <c r="G959" s="85" t="s">
        <v>587</v>
      </c>
      <c r="H959" s="85" t="s">
        <v>1039</v>
      </c>
      <c r="I959" s="85">
        <v>11</v>
      </c>
      <c r="J959" s="87">
        <v>15</v>
      </c>
      <c r="K959" s="88">
        <f t="shared" si="45"/>
        <v>165</v>
      </c>
      <c r="L959" s="85">
        <v>95</v>
      </c>
      <c r="M959" s="141" t="s">
        <v>877</v>
      </c>
      <c r="O959" s="84" t="s">
        <v>47</v>
      </c>
    </row>
    <row r="960" spans="1:15" x14ac:dyDescent="0.25">
      <c r="A960" s="84" t="str">
        <f t="shared" si="43"/>
        <v>OutubroSEMANA 3Pescados - Atum Fresco</v>
      </c>
      <c r="B960" s="85" t="s">
        <v>37</v>
      </c>
      <c r="C960" s="85" t="s">
        <v>22</v>
      </c>
      <c r="D960" s="86">
        <v>19</v>
      </c>
      <c r="E960" s="116" t="str">
        <f t="shared" si="44"/>
        <v>Carnes</v>
      </c>
      <c r="F960" s="85" t="s">
        <v>1211</v>
      </c>
      <c r="G960" s="85" t="s">
        <v>586</v>
      </c>
      <c r="H960" s="85" t="s">
        <v>1039</v>
      </c>
      <c r="I960" s="85">
        <f>52.08-11</f>
        <v>41.08</v>
      </c>
      <c r="J960" s="87">
        <v>15</v>
      </c>
      <c r="K960" s="88">
        <f t="shared" si="45"/>
        <v>616.19999999999993</v>
      </c>
      <c r="L960" s="85">
        <v>95</v>
      </c>
      <c r="M960" s="141" t="s">
        <v>864</v>
      </c>
      <c r="O960" s="84" t="s">
        <v>47</v>
      </c>
    </row>
    <row r="961" spans="1:15" x14ac:dyDescent="0.25">
      <c r="A961" s="84" t="str">
        <f t="shared" si="43"/>
        <v>OutubroSEMANA 3Pescados - Dourado Fresco Sushi</v>
      </c>
      <c r="B961" s="85" t="s">
        <v>37</v>
      </c>
      <c r="C961" s="85" t="s">
        <v>22</v>
      </c>
      <c r="D961" s="86">
        <v>19</v>
      </c>
      <c r="E961" s="116" t="str">
        <f t="shared" si="44"/>
        <v>Sushi</v>
      </c>
      <c r="F961" s="85" t="s">
        <v>1211</v>
      </c>
      <c r="G961" s="85" t="s">
        <v>605</v>
      </c>
      <c r="H961" s="85" t="s">
        <v>1039</v>
      </c>
      <c r="I961" s="85">
        <v>5.9</v>
      </c>
      <c r="J961" s="87">
        <v>19</v>
      </c>
      <c r="K961" s="88">
        <f t="shared" si="45"/>
        <v>112.10000000000001</v>
      </c>
      <c r="L961" s="85">
        <v>95</v>
      </c>
      <c r="M961" s="141" t="s">
        <v>1008</v>
      </c>
      <c r="O961" s="84" t="s">
        <v>47</v>
      </c>
    </row>
    <row r="962" spans="1:15" x14ac:dyDescent="0.25">
      <c r="A962" s="84" t="str">
        <f t="shared" ref="A962:A1025" si="46">CONCATENATE(B962,C962,G962)</f>
        <v>OutubroSEMANA 3Água Mineral com Gás</v>
      </c>
      <c r="B962" s="85" t="s">
        <v>37</v>
      </c>
      <c r="C962" s="85" t="s">
        <v>22</v>
      </c>
      <c r="D962" s="86">
        <v>19</v>
      </c>
      <c r="E962" s="116" t="str">
        <f t="shared" ref="E962:E1025" si="47">VLOOKUP(G962,$M$1:$O$968,3,0)</f>
        <v>Bebidas</v>
      </c>
      <c r="F962" s="85" t="s">
        <v>1091</v>
      </c>
      <c r="G962" s="85" t="s">
        <v>90</v>
      </c>
      <c r="H962" s="85" t="s">
        <v>1038</v>
      </c>
      <c r="I962" s="85">
        <f>21*6</f>
        <v>126</v>
      </c>
      <c r="J962" s="87">
        <f>158.01/126</f>
        <v>1.2540476190476191</v>
      </c>
      <c r="K962" s="88">
        <f t="shared" ref="K962:K1025" si="48">I962*J962</f>
        <v>158.01</v>
      </c>
      <c r="L962" s="85" t="s">
        <v>1212</v>
      </c>
      <c r="M962" s="141" t="s">
        <v>865</v>
      </c>
      <c r="O962" s="84" t="s">
        <v>47</v>
      </c>
    </row>
    <row r="963" spans="1:15" x14ac:dyDescent="0.25">
      <c r="A963" s="84" t="str">
        <f t="shared" si="46"/>
        <v>OutubroSEMANA 3Água Mineral sem Gás</v>
      </c>
      <c r="B963" s="85" t="s">
        <v>37</v>
      </c>
      <c r="C963" s="85" t="s">
        <v>22</v>
      </c>
      <c r="D963" s="86">
        <v>19</v>
      </c>
      <c r="E963" s="116" t="str">
        <f t="shared" si="47"/>
        <v>Bebidas</v>
      </c>
      <c r="F963" s="85" t="s">
        <v>1091</v>
      </c>
      <c r="G963" s="85" t="s">
        <v>91</v>
      </c>
      <c r="H963" s="85" t="s">
        <v>1038</v>
      </c>
      <c r="I963" s="85">
        <f>30*6</f>
        <v>180</v>
      </c>
      <c r="J963" s="87">
        <f>225.72/180</f>
        <v>1.254</v>
      </c>
      <c r="K963" s="88">
        <f t="shared" si="48"/>
        <v>225.72</v>
      </c>
      <c r="L963" s="85" t="s">
        <v>1212</v>
      </c>
      <c r="M963" s="141" t="s">
        <v>866</v>
      </c>
      <c r="O963" s="84" t="s">
        <v>42</v>
      </c>
    </row>
    <row r="964" spans="1:15" x14ac:dyDescent="0.25">
      <c r="A964" s="84" t="str">
        <f t="shared" si="46"/>
        <v>OutubroSEMANA 3Pescados - Salmão Inteiro Sushi</v>
      </c>
      <c r="B964" s="85" t="s">
        <v>37</v>
      </c>
      <c r="C964" s="85" t="s">
        <v>22</v>
      </c>
      <c r="D964" s="86">
        <v>19</v>
      </c>
      <c r="E964" s="116" t="str">
        <f t="shared" si="47"/>
        <v>Sushi</v>
      </c>
      <c r="F964" s="85" t="s">
        <v>1053</v>
      </c>
      <c r="G964" s="85" t="s">
        <v>645</v>
      </c>
      <c r="H964" s="85" t="s">
        <v>1039</v>
      </c>
      <c r="I964" s="85">
        <v>32.14</v>
      </c>
      <c r="J964" s="87">
        <v>26.5</v>
      </c>
      <c r="K964" s="88">
        <f t="shared" si="48"/>
        <v>851.71</v>
      </c>
      <c r="L964" s="85" t="s">
        <v>1213</v>
      </c>
      <c r="M964" s="141" t="s">
        <v>867</v>
      </c>
      <c r="O964" s="84" t="s">
        <v>47</v>
      </c>
    </row>
    <row r="965" spans="1:15" x14ac:dyDescent="0.25">
      <c r="A965" s="84" t="str">
        <f t="shared" si="46"/>
        <v>OutubroSEMANA 3Pescados - Camarão IQF Evisc. 51/60</v>
      </c>
      <c r="B965" s="85" t="s">
        <v>37</v>
      </c>
      <c r="C965" s="85" t="s">
        <v>22</v>
      </c>
      <c r="D965" s="86">
        <v>19</v>
      </c>
      <c r="E965" s="116" t="str">
        <f t="shared" si="47"/>
        <v>Carnes</v>
      </c>
      <c r="F965" s="85" t="s">
        <v>1053</v>
      </c>
      <c r="G965" s="85" t="s">
        <v>594</v>
      </c>
      <c r="H965" s="85" t="s">
        <v>1039</v>
      </c>
      <c r="I965" s="85">
        <v>6</v>
      </c>
      <c r="J965" s="87">
        <v>66.5</v>
      </c>
      <c r="K965" s="88">
        <f t="shared" si="48"/>
        <v>399</v>
      </c>
      <c r="L965" s="85" t="s">
        <v>1213</v>
      </c>
      <c r="M965" s="141" t="s">
        <v>868</v>
      </c>
      <c r="O965" s="84" t="s">
        <v>60</v>
      </c>
    </row>
    <row r="966" spans="1:15" x14ac:dyDescent="0.25">
      <c r="A966" s="84" t="str">
        <f t="shared" si="46"/>
        <v>OutubroSEMANA 3Gelo em Escamas</v>
      </c>
      <c r="B966" s="85" t="s">
        <v>37</v>
      </c>
      <c r="C966" s="85" t="s">
        <v>22</v>
      </c>
      <c r="D966" s="86">
        <v>19</v>
      </c>
      <c r="E966" s="116" t="str">
        <f t="shared" si="47"/>
        <v>Mercado</v>
      </c>
      <c r="F966" s="85" t="s">
        <v>1040</v>
      </c>
      <c r="G966" s="85" t="s">
        <v>384</v>
      </c>
      <c r="H966" s="85" t="s">
        <v>1041</v>
      </c>
      <c r="I966" s="85">
        <v>2</v>
      </c>
      <c r="J966" s="87">
        <v>7.5</v>
      </c>
      <c r="K966" s="88">
        <f t="shared" si="48"/>
        <v>15</v>
      </c>
      <c r="L966" s="85">
        <v>11041</v>
      </c>
      <c r="M966" s="141" t="s">
        <v>869</v>
      </c>
      <c r="O966" s="84" t="s">
        <v>42</v>
      </c>
    </row>
    <row r="967" spans="1:15" x14ac:dyDescent="0.25">
      <c r="A967" s="84" t="str">
        <f t="shared" si="46"/>
        <v>OutubroSEMANA 3Gelo em Cubo</v>
      </c>
      <c r="B967" s="85" t="s">
        <v>37</v>
      </c>
      <c r="C967" s="85" t="s">
        <v>22</v>
      </c>
      <c r="D967" s="86">
        <v>19</v>
      </c>
      <c r="E967" s="116" t="str">
        <f t="shared" si="47"/>
        <v>Mercado</v>
      </c>
      <c r="F967" s="85" t="s">
        <v>1040</v>
      </c>
      <c r="G967" s="85" t="s">
        <v>383</v>
      </c>
      <c r="H967" s="85" t="s">
        <v>1041</v>
      </c>
      <c r="I967" s="85">
        <v>1</v>
      </c>
      <c r="J967" s="87">
        <v>7.5</v>
      </c>
      <c r="K967" s="88">
        <f t="shared" si="48"/>
        <v>7.5</v>
      </c>
      <c r="L967" s="85">
        <v>11041</v>
      </c>
      <c r="M967" s="141" t="s">
        <v>870</v>
      </c>
      <c r="O967" s="84" t="s">
        <v>42</v>
      </c>
    </row>
    <row r="968" spans="1:15" x14ac:dyDescent="0.25">
      <c r="A968" s="84" t="str">
        <f t="shared" si="46"/>
        <v>OutubroSEMANA 3Suíno - Lombo Salgado</v>
      </c>
      <c r="B968" s="85" t="s">
        <v>37</v>
      </c>
      <c r="C968" s="85" t="s">
        <v>22</v>
      </c>
      <c r="D968" s="86">
        <v>19</v>
      </c>
      <c r="E968" s="116" t="str">
        <f t="shared" si="47"/>
        <v>Carnes</v>
      </c>
      <c r="F968" s="85" t="s">
        <v>1058</v>
      </c>
      <c r="G968" s="85" t="s">
        <v>768</v>
      </c>
      <c r="H968" s="85" t="s">
        <v>1039</v>
      </c>
      <c r="I968" s="85">
        <v>20</v>
      </c>
      <c r="J968" s="87">
        <v>10.97</v>
      </c>
      <c r="K968" s="88">
        <f t="shared" si="48"/>
        <v>219.4</v>
      </c>
      <c r="L968" s="85">
        <v>65524</v>
      </c>
      <c r="M968" s="141" t="s">
        <v>871</v>
      </c>
      <c r="O968" s="84" t="s">
        <v>46</v>
      </c>
    </row>
    <row r="969" spans="1:15" x14ac:dyDescent="0.25">
      <c r="A969" s="84" t="str">
        <f t="shared" si="46"/>
        <v>OutubroSEMANA 3Suíno - Linguiça de Pernil</v>
      </c>
      <c r="B969" s="85" t="s">
        <v>37</v>
      </c>
      <c r="C969" s="85" t="s">
        <v>22</v>
      </c>
      <c r="D969" s="86">
        <v>19</v>
      </c>
      <c r="E969" s="116" t="str">
        <f t="shared" si="47"/>
        <v>Carnes</v>
      </c>
      <c r="F969" s="85" t="s">
        <v>1058</v>
      </c>
      <c r="G969" s="85" t="s">
        <v>763</v>
      </c>
      <c r="H969" s="85" t="s">
        <v>1039</v>
      </c>
      <c r="I969" s="85">
        <v>10</v>
      </c>
      <c r="J969" s="87">
        <v>9.93</v>
      </c>
      <c r="K969" s="88">
        <f t="shared" si="48"/>
        <v>99.3</v>
      </c>
      <c r="L969" s="85">
        <v>65524</v>
      </c>
    </row>
    <row r="970" spans="1:15" x14ac:dyDescent="0.25">
      <c r="A970" s="84" t="str">
        <f t="shared" si="46"/>
        <v>OutubroSEMANA 3Suíno - Linguiça Paio</v>
      </c>
      <c r="B970" s="85" t="s">
        <v>37</v>
      </c>
      <c r="C970" s="85" t="s">
        <v>22</v>
      </c>
      <c r="D970" s="86">
        <v>19</v>
      </c>
      <c r="E970" s="116" t="str">
        <f t="shared" si="47"/>
        <v>Carnes</v>
      </c>
      <c r="F970" s="85" t="s">
        <v>1058</v>
      </c>
      <c r="G970" s="85" t="s">
        <v>765</v>
      </c>
      <c r="H970" s="85" t="s">
        <v>1039</v>
      </c>
      <c r="I970" s="85">
        <v>5</v>
      </c>
      <c r="J970" s="87">
        <v>14.68</v>
      </c>
      <c r="K970" s="88">
        <f t="shared" si="48"/>
        <v>73.400000000000006</v>
      </c>
      <c r="L970" s="85">
        <v>65524</v>
      </c>
    </row>
    <row r="971" spans="1:15" x14ac:dyDescent="0.25">
      <c r="A971" s="84" t="str">
        <f t="shared" si="46"/>
        <v>OutubroSEMANA 3Sacola Camiseta Branca Doce</v>
      </c>
      <c r="B971" s="85" t="s">
        <v>37</v>
      </c>
      <c r="C971" s="85" t="s">
        <v>22</v>
      </c>
      <c r="D971" s="86">
        <v>17</v>
      </c>
      <c r="E971" s="116" t="str">
        <f t="shared" si="47"/>
        <v>Descartável</v>
      </c>
      <c r="F971" s="85" t="s">
        <v>1214</v>
      </c>
      <c r="G971" s="85" t="s">
        <v>720</v>
      </c>
      <c r="H971" s="85" t="s">
        <v>1038</v>
      </c>
      <c r="I971" s="85">
        <f>3*100</f>
        <v>300</v>
      </c>
      <c r="J971" s="87">
        <f>5.2/300</f>
        <v>1.7333333333333333E-2</v>
      </c>
      <c r="K971" s="88">
        <f t="shared" si="48"/>
        <v>5.2</v>
      </c>
      <c r="L971" s="85" t="s">
        <v>1215</v>
      </c>
    </row>
    <row r="972" spans="1:15" x14ac:dyDescent="0.25">
      <c r="A972" s="84" t="str">
        <f t="shared" si="46"/>
        <v>OutubroSEMANA 3Sacola Camiseta Branca Sobremesa</v>
      </c>
      <c r="B972" s="85" t="s">
        <v>37</v>
      </c>
      <c r="C972" s="85" t="s">
        <v>22</v>
      </c>
      <c r="D972" s="86">
        <v>17</v>
      </c>
      <c r="E972" s="116" t="str">
        <f t="shared" si="47"/>
        <v>Descartável</v>
      </c>
      <c r="F972" s="85" t="s">
        <v>1214</v>
      </c>
      <c r="G972" s="85" t="s">
        <v>721</v>
      </c>
      <c r="H972" s="85" t="s">
        <v>1038</v>
      </c>
      <c r="I972" s="85">
        <f>2*100</f>
        <v>200</v>
      </c>
      <c r="J972" s="87">
        <f>5.2/200</f>
        <v>2.6000000000000002E-2</v>
      </c>
      <c r="K972" s="88">
        <f t="shared" si="48"/>
        <v>5.2</v>
      </c>
      <c r="L972" s="85" t="s">
        <v>1215</v>
      </c>
    </row>
    <row r="973" spans="1:15" x14ac:dyDescent="0.25">
      <c r="A973" s="84" t="str">
        <f t="shared" si="46"/>
        <v xml:space="preserve">OutubroSEMANA 3Melão de Rede </v>
      </c>
      <c r="B973" s="85" t="s">
        <v>37</v>
      </c>
      <c r="C973" s="85" t="s">
        <v>22</v>
      </c>
      <c r="D973" s="86">
        <v>19</v>
      </c>
      <c r="E973" s="116" t="str">
        <f t="shared" si="47"/>
        <v>Hortifruti</v>
      </c>
      <c r="F973" s="85" t="s">
        <v>1036</v>
      </c>
      <c r="G973" s="85" t="s">
        <v>518</v>
      </c>
      <c r="H973" s="85" t="s">
        <v>1039</v>
      </c>
      <c r="I973" s="85">
        <v>2.4550000000000001</v>
      </c>
      <c r="J973" s="87">
        <v>6.98</v>
      </c>
      <c r="K973" s="88">
        <f t="shared" si="48"/>
        <v>17.135900000000003</v>
      </c>
      <c r="L973" s="85">
        <v>54856</v>
      </c>
    </row>
    <row r="974" spans="1:15" x14ac:dyDescent="0.25">
      <c r="A974" s="84" t="str">
        <f t="shared" si="46"/>
        <v>OutubroSEMANA 3Coca Cola (lata)</v>
      </c>
      <c r="B974" s="85" t="s">
        <v>37</v>
      </c>
      <c r="C974" s="85" t="s">
        <v>22</v>
      </c>
      <c r="D974" s="86">
        <v>19</v>
      </c>
      <c r="E974" s="116" t="str">
        <f t="shared" si="47"/>
        <v>Bebidas</v>
      </c>
      <c r="F974" s="85" t="s">
        <v>1130</v>
      </c>
      <c r="G974" s="85" t="s">
        <v>285</v>
      </c>
      <c r="H974" s="85" t="s">
        <v>1038</v>
      </c>
      <c r="I974" s="85">
        <f>12*8</f>
        <v>96</v>
      </c>
      <c r="J974" s="87">
        <f>278.72/96</f>
        <v>2.9033333333333338</v>
      </c>
      <c r="K974" s="88">
        <f t="shared" si="48"/>
        <v>278.72000000000003</v>
      </c>
      <c r="L974" s="85">
        <v>1177896</v>
      </c>
    </row>
    <row r="975" spans="1:15" x14ac:dyDescent="0.25">
      <c r="A975" s="84" t="str">
        <f t="shared" si="46"/>
        <v>OutubroSEMANA 3Coca Cola Zero (lata)</v>
      </c>
      <c r="B975" s="85" t="s">
        <v>37</v>
      </c>
      <c r="C975" s="85" t="s">
        <v>22</v>
      </c>
      <c r="D975" s="86">
        <v>19</v>
      </c>
      <c r="E975" s="116" t="str">
        <f t="shared" si="47"/>
        <v>Bebidas</v>
      </c>
      <c r="F975" s="85" t="s">
        <v>1130</v>
      </c>
      <c r="G975" s="85" t="s">
        <v>286</v>
      </c>
      <c r="H975" s="85" t="s">
        <v>1038</v>
      </c>
      <c r="I975" s="90">
        <f>12*14</f>
        <v>168</v>
      </c>
      <c r="J975" s="89">
        <f>485.52/168</f>
        <v>2.8899999999999997</v>
      </c>
      <c r="K975" s="88">
        <f t="shared" si="48"/>
        <v>485.51999999999992</v>
      </c>
      <c r="L975" s="85">
        <v>1177896</v>
      </c>
    </row>
    <row r="976" spans="1:15" x14ac:dyDescent="0.25">
      <c r="A976" s="84" t="str">
        <f t="shared" si="46"/>
        <v>OutubroSEMANA 3Schweppes Citrus</v>
      </c>
      <c r="B976" s="85" t="s">
        <v>37</v>
      </c>
      <c r="C976" s="85" t="s">
        <v>22</v>
      </c>
      <c r="D976" s="86">
        <v>19</v>
      </c>
      <c r="E976" s="116" t="str">
        <f t="shared" si="47"/>
        <v>Bebidas</v>
      </c>
      <c r="F976" s="85" t="s">
        <v>1130</v>
      </c>
      <c r="G976" s="85" t="s">
        <v>739</v>
      </c>
      <c r="H976" s="85" t="s">
        <v>1038</v>
      </c>
      <c r="I976" s="85">
        <f>12*3</f>
        <v>36</v>
      </c>
      <c r="J976" s="87">
        <f>104.13/36</f>
        <v>2.8925000000000001</v>
      </c>
      <c r="K976" s="88">
        <f t="shared" si="48"/>
        <v>104.13</v>
      </c>
      <c r="L976" s="85">
        <v>1177896</v>
      </c>
    </row>
    <row r="977" spans="1:12" x14ac:dyDescent="0.25">
      <c r="A977" s="84" t="str">
        <f t="shared" si="46"/>
        <v>OutubroSEMANA 3Cerveja Heineken Long Neck 330 ml</v>
      </c>
      <c r="B977" s="85" t="s">
        <v>37</v>
      </c>
      <c r="C977" s="85" t="s">
        <v>22</v>
      </c>
      <c r="D977" s="86">
        <v>19</v>
      </c>
      <c r="E977" s="116" t="str">
        <f t="shared" si="47"/>
        <v>Bebidas</v>
      </c>
      <c r="F977" s="85" t="s">
        <v>1130</v>
      </c>
      <c r="G977" s="85" t="s">
        <v>264</v>
      </c>
      <c r="H977" s="85" t="s">
        <v>1038</v>
      </c>
      <c r="I977" s="85">
        <f>24*2</f>
        <v>48</v>
      </c>
      <c r="J977" s="87">
        <f>192/48</f>
        <v>4</v>
      </c>
      <c r="K977" s="88">
        <f t="shared" si="48"/>
        <v>192</v>
      </c>
      <c r="L977" s="85">
        <v>1177896</v>
      </c>
    </row>
    <row r="978" spans="1:12" x14ac:dyDescent="0.25">
      <c r="A978" s="84" t="str">
        <f t="shared" si="46"/>
        <v xml:space="preserve">OutubroSEMANA 3Biscoito de Milho Café </v>
      </c>
      <c r="B978" s="85" t="s">
        <v>37</v>
      </c>
      <c r="C978" s="85" t="s">
        <v>22</v>
      </c>
      <c r="D978" s="86">
        <v>19</v>
      </c>
      <c r="E978" s="116" t="str">
        <f t="shared" si="47"/>
        <v>Mercado</v>
      </c>
      <c r="F978" s="85" t="s">
        <v>1164</v>
      </c>
      <c r="G978" s="85" t="s">
        <v>183</v>
      </c>
      <c r="H978" s="85" t="s">
        <v>1039</v>
      </c>
      <c r="I978" s="85">
        <f>3*2.8</f>
        <v>8.3999999999999986</v>
      </c>
      <c r="J978" s="87">
        <f>248.58/11.2</f>
        <v>22.19464285714286</v>
      </c>
      <c r="K978" s="88">
        <f t="shared" si="48"/>
        <v>186.435</v>
      </c>
      <c r="L978" s="85">
        <v>31016</v>
      </c>
    </row>
    <row r="979" spans="1:12" x14ac:dyDescent="0.25">
      <c r="A979" s="84" t="str">
        <f t="shared" si="46"/>
        <v xml:space="preserve">OutubroSEMANA 3Biscoito de Milho Venda </v>
      </c>
      <c r="B979" s="85" t="s">
        <v>37</v>
      </c>
      <c r="C979" s="85" t="s">
        <v>22</v>
      </c>
      <c r="D979" s="86">
        <v>19</v>
      </c>
      <c r="E979" s="116" t="str">
        <f t="shared" si="47"/>
        <v>Vendas Caixa</v>
      </c>
      <c r="F979" s="85" t="s">
        <v>1164</v>
      </c>
      <c r="G979" s="85" t="s">
        <v>184</v>
      </c>
      <c r="H979" s="85" t="s">
        <v>1039</v>
      </c>
      <c r="I979" s="85">
        <v>2.8</v>
      </c>
      <c r="J979" s="87">
        <f>248.58/11.2</f>
        <v>22.19464285714286</v>
      </c>
      <c r="K979" s="88">
        <f t="shared" si="48"/>
        <v>62.145000000000003</v>
      </c>
      <c r="L979" s="85">
        <v>31016</v>
      </c>
    </row>
    <row r="980" spans="1:12" x14ac:dyDescent="0.25">
      <c r="A980" s="84" t="str">
        <f t="shared" si="46"/>
        <v>OutubroSEMANA 3Pescados - Filé Truta Cong.</v>
      </c>
      <c r="B980" s="85" t="s">
        <v>37</v>
      </c>
      <c r="C980" s="85" t="s">
        <v>22</v>
      </c>
      <c r="D980" s="86">
        <v>19</v>
      </c>
      <c r="E980" s="116" t="str">
        <f t="shared" si="47"/>
        <v>Carnes</v>
      </c>
      <c r="F980" s="85" t="s">
        <v>1216</v>
      </c>
      <c r="G980" s="85" t="s">
        <v>617</v>
      </c>
      <c r="H980" s="85" t="s">
        <v>1039</v>
      </c>
      <c r="I980" s="85">
        <v>24</v>
      </c>
      <c r="J980" s="87">
        <v>26</v>
      </c>
      <c r="K980" s="88">
        <f t="shared" si="48"/>
        <v>624</v>
      </c>
      <c r="L980" s="85" t="s">
        <v>1217</v>
      </c>
    </row>
    <row r="981" spans="1:12" x14ac:dyDescent="0.25">
      <c r="A981" s="84" t="str">
        <f t="shared" si="46"/>
        <v>OutubroSEMANA 3Cogumelo Paris</v>
      </c>
      <c r="B981" s="85" t="s">
        <v>37</v>
      </c>
      <c r="C981" s="85" t="s">
        <v>22</v>
      </c>
      <c r="D981" s="86">
        <v>19</v>
      </c>
      <c r="E981" s="116" t="str">
        <f t="shared" si="47"/>
        <v>Mercado</v>
      </c>
      <c r="F981" s="85" t="s">
        <v>1216</v>
      </c>
      <c r="G981" s="85" t="s">
        <v>292</v>
      </c>
      <c r="H981" s="85" t="s">
        <v>1039</v>
      </c>
      <c r="I981" s="85">
        <v>6</v>
      </c>
      <c r="J981" s="87">
        <v>15.5</v>
      </c>
      <c r="K981" s="88">
        <f t="shared" si="48"/>
        <v>93</v>
      </c>
      <c r="L981" s="85" t="s">
        <v>1217</v>
      </c>
    </row>
    <row r="982" spans="1:12" x14ac:dyDescent="0.25">
      <c r="A982" s="84" t="str">
        <f t="shared" si="46"/>
        <v>OutubroSEMANA 3Torta Capuccino Diet</v>
      </c>
      <c r="B982" s="85" t="s">
        <v>37</v>
      </c>
      <c r="C982" s="85" t="s">
        <v>22</v>
      </c>
      <c r="D982" s="86">
        <v>19</v>
      </c>
      <c r="E982" s="116" t="str">
        <f t="shared" si="47"/>
        <v>Sobremesa</v>
      </c>
      <c r="F982" s="85" t="s">
        <v>1161</v>
      </c>
      <c r="G982" s="85" t="s">
        <v>812</v>
      </c>
      <c r="H982" s="85" t="s">
        <v>1071</v>
      </c>
      <c r="I982" s="85">
        <v>10</v>
      </c>
      <c r="J982" s="87">
        <f>58.91/10</f>
        <v>5.891</v>
      </c>
      <c r="K982" s="88">
        <f t="shared" si="48"/>
        <v>58.91</v>
      </c>
      <c r="L982" s="85">
        <v>90279</v>
      </c>
    </row>
    <row r="983" spans="1:12" x14ac:dyDescent="0.25">
      <c r="A983" s="84" t="str">
        <f t="shared" si="46"/>
        <v>OutubroSEMANA 3Torta Mousse de Chocolate Diet</v>
      </c>
      <c r="B983" s="85" t="s">
        <v>37</v>
      </c>
      <c r="C983" s="85" t="s">
        <v>22</v>
      </c>
      <c r="D983" s="86">
        <v>19</v>
      </c>
      <c r="E983" s="116" t="str">
        <f t="shared" si="47"/>
        <v>Sobremesa</v>
      </c>
      <c r="F983" s="85" t="s">
        <v>1161</v>
      </c>
      <c r="G983" s="85" t="s">
        <v>818</v>
      </c>
      <c r="H983" s="85" t="s">
        <v>1071</v>
      </c>
      <c r="I983" s="85">
        <f>12*2</f>
        <v>24</v>
      </c>
      <c r="J983" s="87">
        <f>117.82/24</f>
        <v>4.9091666666666667</v>
      </c>
      <c r="K983" s="88">
        <f t="shared" si="48"/>
        <v>117.82</v>
      </c>
      <c r="L983" s="85">
        <v>90279</v>
      </c>
    </row>
    <row r="984" spans="1:12" x14ac:dyDescent="0.25">
      <c r="A984" s="84" t="str">
        <f t="shared" si="46"/>
        <v xml:space="preserve">OutubroSEMANA 3Torta Mousse de Chocolate </v>
      </c>
      <c r="B984" s="85" t="s">
        <v>37</v>
      </c>
      <c r="C984" s="85" t="s">
        <v>22</v>
      </c>
      <c r="D984" s="86">
        <v>19</v>
      </c>
      <c r="E984" s="116" t="str">
        <f t="shared" si="47"/>
        <v>Sobremesa</v>
      </c>
      <c r="F984" s="85" t="s">
        <v>1161</v>
      </c>
      <c r="G984" s="85" t="s">
        <v>817</v>
      </c>
      <c r="H984" s="85" t="s">
        <v>1071</v>
      </c>
      <c r="I984" s="85">
        <v>12</v>
      </c>
      <c r="J984" s="87">
        <f>49.66/12</f>
        <v>4.1383333333333328</v>
      </c>
      <c r="K984" s="88">
        <f t="shared" si="48"/>
        <v>49.66</v>
      </c>
      <c r="L984" s="85">
        <v>90279</v>
      </c>
    </row>
    <row r="985" spans="1:12" x14ac:dyDescent="0.25">
      <c r="A985" s="84" t="str">
        <f t="shared" si="46"/>
        <v>OutubroSEMANA 3Leite de Côco</v>
      </c>
      <c r="B985" s="85" t="s">
        <v>37</v>
      </c>
      <c r="C985" s="85" t="s">
        <v>22</v>
      </c>
      <c r="D985" s="86">
        <v>19</v>
      </c>
      <c r="E985" s="116" t="str">
        <f t="shared" si="47"/>
        <v>Mercado</v>
      </c>
      <c r="F985" s="85" t="s">
        <v>1080</v>
      </c>
      <c r="G985" s="85" t="s">
        <v>460</v>
      </c>
      <c r="H985" s="85" t="s">
        <v>1081</v>
      </c>
      <c r="I985" s="85">
        <v>12</v>
      </c>
      <c r="J985" s="87">
        <f>181.32/12</f>
        <v>15.11</v>
      </c>
      <c r="K985" s="88">
        <f t="shared" si="48"/>
        <v>181.32</v>
      </c>
      <c r="L985" s="85" t="s">
        <v>1218</v>
      </c>
    </row>
    <row r="986" spans="1:12" x14ac:dyDescent="0.25">
      <c r="A986" s="84" t="str">
        <f t="shared" si="46"/>
        <v>OutubroSEMANA 3Leite Integral</v>
      </c>
      <c r="B986" s="85" t="s">
        <v>37</v>
      </c>
      <c r="C986" s="85" t="s">
        <v>22</v>
      </c>
      <c r="D986" s="86">
        <v>19</v>
      </c>
      <c r="E986" s="116" t="str">
        <f t="shared" si="47"/>
        <v>Mercado</v>
      </c>
      <c r="F986" s="85" t="s">
        <v>1080</v>
      </c>
      <c r="G986" s="85" t="s">
        <v>461</v>
      </c>
      <c r="H986" s="85" t="s">
        <v>1081</v>
      </c>
      <c r="I986" s="85">
        <f>12*9</f>
        <v>108</v>
      </c>
      <c r="J986" s="87">
        <f>315.5/108</f>
        <v>2.9212962962962963</v>
      </c>
      <c r="K986" s="88">
        <f t="shared" si="48"/>
        <v>315.5</v>
      </c>
      <c r="L986" s="85" t="s">
        <v>1218</v>
      </c>
    </row>
    <row r="987" spans="1:12" x14ac:dyDescent="0.25">
      <c r="A987" s="84" t="str">
        <f t="shared" si="46"/>
        <v>OutubroSEMANA 3Óleo de Soja 18 Lt</v>
      </c>
      <c r="B987" s="85" t="s">
        <v>37</v>
      </c>
      <c r="C987" s="85" t="s">
        <v>22</v>
      </c>
      <c r="D987" s="86">
        <v>19</v>
      </c>
      <c r="E987" s="116" t="str">
        <f t="shared" si="47"/>
        <v>Mercado</v>
      </c>
      <c r="F987" s="85" t="s">
        <v>1080</v>
      </c>
      <c r="G987" s="85" t="s">
        <v>545</v>
      </c>
      <c r="H987" s="85" t="s">
        <v>1082</v>
      </c>
      <c r="I987" s="85">
        <v>5</v>
      </c>
      <c r="J987" s="87">
        <v>61.98</v>
      </c>
      <c r="K987" s="88">
        <f t="shared" si="48"/>
        <v>309.89999999999998</v>
      </c>
      <c r="L987" s="85" t="s">
        <v>1218</v>
      </c>
    </row>
    <row r="988" spans="1:12" x14ac:dyDescent="0.25">
      <c r="A988" s="84" t="str">
        <f t="shared" si="46"/>
        <v>OutubroSEMANA 3Mostarda Bb 3,3, Kg</v>
      </c>
      <c r="B988" s="85" t="s">
        <v>37</v>
      </c>
      <c r="C988" s="85" t="s">
        <v>22</v>
      </c>
      <c r="D988" s="86">
        <v>19</v>
      </c>
      <c r="E988" s="116" t="str">
        <f t="shared" si="47"/>
        <v>Mercado</v>
      </c>
      <c r="F988" s="85" t="s">
        <v>1080</v>
      </c>
      <c r="G988" s="85" t="s">
        <v>532</v>
      </c>
      <c r="H988" s="85" t="s">
        <v>1087</v>
      </c>
      <c r="I988" s="85">
        <v>1</v>
      </c>
      <c r="J988" s="87">
        <v>12.65</v>
      </c>
      <c r="K988" s="88">
        <f t="shared" si="48"/>
        <v>12.65</v>
      </c>
      <c r="L988" s="85" t="s">
        <v>1218</v>
      </c>
    </row>
    <row r="989" spans="1:12" x14ac:dyDescent="0.25">
      <c r="A989" s="84" t="str">
        <f t="shared" si="46"/>
        <v>OutubroSEMANA 3Trigo para Kibe</v>
      </c>
      <c r="B989" s="85" t="s">
        <v>37</v>
      </c>
      <c r="C989" s="85" t="s">
        <v>22</v>
      </c>
      <c r="D989" s="86">
        <v>19</v>
      </c>
      <c r="E989" s="116" t="str">
        <f t="shared" si="47"/>
        <v>Mercado</v>
      </c>
      <c r="F989" s="85" t="s">
        <v>1080</v>
      </c>
      <c r="G989" s="85" t="s">
        <v>826</v>
      </c>
      <c r="H989" s="85" t="s">
        <v>1039</v>
      </c>
      <c r="I989" s="85">
        <v>5</v>
      </c>
      <c r="J989" s="87">
        <f>16.95/5</f>
        <v>3.3899999999999997</v>
      </c>
      <c r="K989" s="88">
        <f t="shared" si="48"/>
        <v>16.95</v>
      </c>
      <c r="L989" s="85" t="s">
        <v>1218</v>
      </c>
    </row>
    <row r="990" spans="1:12" x14ac:dyDescent="0.25">
      <c r="A990" s="84" t="str">
        <f t="shared" si="46"/>
        <v>OutubroSEMANA 3Xarope de Groselha</v>
      </c>
      <c r="B990" s="85" t="s">
        <v>37</v>
      </c>
      <c r="C990" s="85" t="s">
        <v>22</v>
      </c>
      <c r="D990" s="86">
        <v>19</v>
      </c>
      <c r="E990" s="116" t="str">
        <f t="shared" si="47"/>
        <v>Mercado</v>
      </c>
      <c r="F990" s="85" t="s">
        <v>1080</v>
      </c>
      <c r="G990" s="85" t="s">
        <v>869</v>
      </c>
      <c r="H990" s="85" t="s">
        <v>1038</v>
      </c>
      <c r="I990" s="85">
        <v>1</v>
      </c>
      <c r="J990" s="87">
        <v>4.8499999999999996</v>
      </c>
      <c r="K990" s="88">
        <f t="shared" si="48"/>
        <v>4.8499999999999996</v>
      </c>
      <c r="L990" s="85" t="s">
        <v>1218</v>
      </c>
    </row>
    <row r="991" spans="1:12" x14ac:dyDescent="0.25">
      <c r="A991" s="84" t="str">
        <f t="shared" si="46"/>
        <v>OutubroSEMANA 3Toalha Bobina</v>
      </c>
      <c r="B991" s="85" t="s">
        <v>37</v>
      </c>
      <c r="C991" s="85" t="s">
        <v>22</v>
      </c>
      <c r="D991" s="86">
        <v>19</v>
      </c>
      <c r="E991" s="116" t="str">
        <f t="shared" si="47"/>
        <v>Descartável</v>
      </c>
      <c r="F991" s="85" t="s">
        <v>1112</v>
      </c>
      <c r="G991" s="85" t="s">
        <v>787</v>
      </c>
      <c r="H991" s="85" t="s">
        <v>1038</v>
      </c>
      <c r="I991" s="85">
        <f>6*6</f>
        <v>36</v>
      </c>
      <c r="J991" s="87">
        <f>432/36</f>
        <v>12</v>
      </c>
      <c r="K991" s="88">
        <f t="shared" si="48"/>
        <v>432</v>
      </c>
      <c r="L991" s="85" t="s">
        <v>1219</v>
      </c>
    </row>
    <row r="992" spans="1:12" x14ac:dyDescent="0.25">
      <c r="A992" s="84" t="str">
        <f t="shared" si="46"/>
        <v>OutubroSEMANA 3Creme de Leite Culinário 20% Bd 10 Lt</v>
      </c>
      <c r="B992" s="85" t="s">
        <v>37</v>
      </c>
      <c r="C992" s="85" t="s">
        <v>22</v>
      </c>
      <c r="D992" s="86">
        <v>19</v>
      </c>
      <c r="E992" s="116" t="str">
        <f t="shared" si="47"/>
        <v>Mercado</v>
      </c>
      <c r="F992" s="85" t="s">
        <v>1045</v>
      </c>
      <c r="G992" s="85" t="s">
        <v>315</v>
      </c>
      <c r="H992" s="85" t="s">
        <v>1046</v>
      </c>
      <c r="I992" s="85">
        <v>1</v>
      </c>
      <c r="J992" s="87">
        <v>142.44999999999999</v>
      </c>
      <c r="K992" s="88">
        <f t="shared" si="48"/>
        <v>142.44999999999999</v>
      </c>
      <c r="L992" s="85" t="s">
        <v>1220</v>
      </c>
    </row>
    <row r="993" spans="1:12" x14ac:dyDescent="0.25">
      <c r="A993" s="84" t="str">
        <f t="shared" si="46"/>
        <v>OutubroSEMANA 3Queijo Mussarela</v>
      </c>
      <c r="B993" s="85" t="s">
        <v>37</v>
      </c>
      <c r="C993" s="85" t="s">
        <v>22</v>
      </c>
      <c r="D993" s="86">
        <v>19</v>
      </c>
      <c r="E993" s="116" t="str">
        <f t="shared" si="47"/>
        <v>Mercado</v>
      </c>
      <c r="F993" s="85" t="s">
        <v>1045</v>
      </c>
      <c r="G993" s="85" t="s">
        <v>685</v>
      </c>
      <c r="H993" s="85" t="s">
        <v>1039</v>
      </c>
      <c r="I993" s="85">
        <v>3.5</v>
      </c>
      <c r="J993" s="87">
        <v>26</v>
      </c>
      <c r="K993" s="88">
        <f t="shared" si="48"/>
        <v>91</v>
      </c>
      <c r="L993" s="85" t="s">
        <v>1220</v>
      </c>
    </row>
    <row r="994" spans="1:12" x14ac:dyDescent="0.25">
      <c r="A994" s="84" t="str">
        <f t="shared" si="46"/>
        <v>OutubroSEMANA 3Queijo Minas</v>
      </c>
      <c r="B994" s="85" t="s">
        <v>37</v>
      </c>
      <c r="C994" s="85" t="s">
        <v>22</v>
      </c>
      <c r="D994" s="86">
        <v>19</v>
      </c>
      <c r="E994" s="116" t="str">
        <f t="shared" si="47"/>
        <v>Mercado</v>
      </c>
      <c r="F994" s="85" t="s">
        <v>1045</v>
      </c>
      <c r="G994" s="85" t="s">
        <v>682</v>
      </c>
      <c r="H994" s="85" t="s">
        <v>1039</v>
      </c>
      <c r="I994" s="85">
        <v>2.8</v>
      </c>
      <c r="J994" s="87">
        <v>20.8</v>
      </c>
      <c r="K994" s="88">
        <f t="shared" si="48"/>
        <v>58.239999999999995</v>
      </c>
      <c r="L994" s="85" t="s">
        <v>1220</v>
      </c>
    </row>
    <row r="995" spans="1:12" x14ac:dyDescent="0.25">
      <c r="A995" s="84" t="str">
        <f t="shared" si="46"/>
        <v>OutubroSEMANA 3Queijo Prato</v>
      </c>
      <c r="B995" s="85" t="s">
        <v>37</v>
      </c>
      <c r="C995" s="85" t="s">
        <v>22</v>
      </c>
      <c r="D995" s="86">
        <v>19</v>
      </c>
      <c r="E995" s="116" t="str">
        <f t="shared" si="47"/>
        <v>Mercado</v>
      </c>
      <c r="F995" s="85" t="s">
        <v>1045</v>
      </c>
      <c r="G995" s="85" t="s">
        <v>687</v>
      </c>
      <c r="H995" s="85" t="s">
        <v>1039</v>
      </c>
      <c r="I995" s="85">
        <v>3.5</v>
      </c>
      <c r="J995" s="87">
        <v>26</v>
      </c>
      <c r="K995" s="88">
        <f t="shared" si="48"/>
        <v>91</v>
      </c>
      <c r="L995" s="85" t="s">
        <v>1220</v>
      </c>
    </row>
    <row r="996" spans="1:12" x14ac:dyDescent="0.25">
      <c r="A996" s="84" t="str">
        <f t="shared" si="46"/>
        <v>OutubroSEMANA 3Queijo Ricota</v>
      </c>
      <c r="B996" s="85" t="s">
        <v>37</v>
      </c>
      <c r="C996" s="85" t="s">
        <v>22</v>
      </c>
      <c r="D996" s="86">
        <v>19</v>
      </c>
      <c r="E996" s="116" t="str">
        <f t="shared" si="47"/>
        <v>Mercado</v>
      </c>
      <c r="F996" s="85" t="s">
        <v>1045</v>
      </c>
      <c r="G996" s="85" t="s">
        <v>689</v>
      </c>
      <c r="H996" s="85" t="s">
        <v>1039</v>
      </c>
      <c r="I996" s="85">
        <v>3</v>
      </c>
      <c r="J996" s="87">
        <v>10.6</v>
      </c>
      <c r="K996" s="88">
        <f t="shared" si="48"/>
        <v>31.799999999999997</v>
      </c>
      <c r="L996" s="85" t="s">
        <v>1220</v>
      </c>
    </row>
    <row r="997" spans="1:12" x14ac:dyDescent="0.25">
      <c r="A997" s="84" t="str">
        <f t="shared" si="46"/>
        <v>OutubroSEMANA 3Cenoura</v>
      </c>
      <c r="B997" s="85" t="s">
        <v>37</v>
      </c>
      <c r="C997" s="85" t="s">
        <v>22</v>
      </c>
      <c r="D997" s="86">
        <v>19</v>
      </c>
      <c r="E997" s="116" t="str">
        <f t="shared" si="47"/>
        <v>Hortifruti</v>
      </c>
      <c r="F997" s="85" t="s">
        <v>1054</v>
      </c>
      <c r="G997" s="85" t="s">
        <v>249</v>
      </c>
      <c r="H997" s="85" t="s">
        <v>1039</v>
      </c>
      <c r="I997" s="85">
        <f>20.36-0.26-0.216</f>
        <v>19.883999999999997</v>
      </c>
      <c r="J997" s="87">
        <f>45/20.36</f>
        <v>2.2102161100196462</v>
      </c>
      <c r="K997" s="88">
        <f t="shared" si="48"/>
        <v>43.947937131630638</v>
      </c>
      <c r="L997" s="85">
        <v>1956</v>
      </c>
    </row>
    <row r="998" spans="1:12" x14ac:dyDescent="0.25">
      <c r="A998" s="84" t="str">
        <f t="shared" si="46"/>
        <v>OutubroSEMANA 3Pimentão Vermelho</v>
      </c>
      <c r="B998" s="85" t="s">
        <v>37</v>
      </c>
      <c r="C998" s="85" t="s">
        <v>22</v>
      </c>
      <c r="D998" s="86">
        <v>19</v>
      </c>
      <c r="E998" s="116" t="str">
        <f t="shared" si="47"/>
        <v>Hortifruti</v>
      </c>
      <c r="F998" s="85" t="s">
        <v>1054</v>
      </c>
      <c r="G998" s="85" t="s">
        <v>667</v>
      </c>
      <c r="H998" s="85" t="s">
        <v>1039</v>
      </c>
      <c r="I998" s="85">
        <v>2</v>
      </c>
      <c r="J998" s="87">
        <v>15</v>
      </c>
      <c r="K998" s="88">
        <f t="shared" si="48"/>
        <v>30</v>
      </c>
      <c r="L998" s="85">
        <v>1956</v>
      </c>
    </row>
    <row r="999" spans="1:12" x14ac:dyDescent="0.25">
      <c r="A999" s="84" t="str">
        <f t="shared" si="46"/>
        <v>OutubroSEMANA 3Vagem Macarrão</v>
      </c>
      <c r="B999" s="85" t="s">
        <v>37</v>
      </c>
      <c r="C999" s="85" t="s">
        <v>22</v>
      </c>
      <c r="D999" s="86">
        <v>19</v>
      </c>
      <c r="E999" s="116" t="str">
        <f t="shared" si="47"/>
        <v>Hortifruti</v>
      </c>
      <c r="F999" s="85" t="s">
        <v>1054</v>
      </c>
      <c r="G999" s="85" t="s">
        <v>832</v>
      </c>
      <c r="H999" s="85" t="s">
        <v>1039</v>
      </c>
      <c r="I999" s="85">
        <v>4</v>
      </c>
      <c r="J999" s="87">
        <v>6</v>
      </c>
      <c r="K999" s="88">
        <f t="shared" si="48"/>
        <v>24</v>
      </c>
      <c r="L999" s="85">
        <v>1956</v>
      </c>
    </row>
    <row r="1000" spans="1:12" x14ac:dyDescent="0.25">
      <c r="A1000" s="84" t="str">
        <f t="shared" si="46"/>
        <v>OutubroSEMANA 3Cebolinha Verde</v>
      </c>
      <c r="B1000" s="85" t="s">
        <v>37</v>
      </c>
      <c r="C1000" s="85" t="s">
        <v>22</v>
      </c>
      <c r="D1000" s="86">
        <v>19</v>
      </c>
      <c r="E1000" s="116" t="str">
        <f t="shared" si="47"/>
        <v>Hortifruti</v>
      </c>
      <c r="F1000" s="85" t="s">
        <v>1054</v>
      </c>
      <c r="G1000" s="85" t="s">
        <v>247</v>
      </c>
      <c r="H1000" s="85" t="s">
        <v>1039</v>
      </c>
      <c r="I1000" s="85">
        <f>1-0.41</f>
        <v>0.59000000000000008</v>
      </c>
      <c r="J1000" s="87">
        <v>7</v>
      </c>
      <c r="K1000" s="88">
        <f t="shared" si="48"/>
        <v>4.1300000000000008</v>
      </c>
      <c r="L1000" s="85">
        <v>1956</v>
      </c>
    </row>
    <row r="1001" spans="1:12" x14ac:dyDescent="0.25">
      <c r="A1001" s="84" t="str">
        <f t="shared" si="46"/>
        <v>OutubroSEMANA 3Coentro</v>
      </c>
      <c r="B1001" s="85" t="s">
        <v>37</v>
      </c>
      <c r="C1001" s="85" t="s">
        <v>22</v>
      </c>
      <c r="D1001" s="86">
        <v>19</v>
      </c>
      <c r="E1001" s="116" t="str">
        <f t="shared" si="47"/>
        <v>Hortifruti</v>
      </c>
      <c r="F1001" s="85" t="s">
        <v>1054</v>
      </c>
      <c r="G1001" s="85" t="s">
        <v>289</v>
      </c>
      <c r="H1001" s="85" t="s">
        <v>1039</v>
      </c>
      <c r="I1001" s="85">
        <v>1</v>
      </c>
      <c r="J1001" s="87">
        <v>14</v>
      </c>
      <c r="K1001" s="88">
        <f t="shared" si="48"/>
        <v>14</v>
      </c>
      <c r="L1001" s="85">
        <v>1956</v>
      </c>
    </row>
    <row r="1002" spans="1:12" x14ac:dyDescent="0.25">
      <c r="A1002" s="84" t="str">
        <f t="shared" si="46"/>
        <v xml:space="preserve">OutubroSEMANA 3Abacaxi </v>
      </c>
      <c r="B1002" s="85" t="s">
        <v>37</v>
      </c>
      <c r="C1002" s="85" t="s">
        <v>22</v>
      </c>
      <c r="D1002" s="86">
        <v>19</v>
      </c>
      <c r="E1002" s="116" t="str">
        <f t="shared" si="47"/>
        <v>Hortifruti</v>
      </c>
      <c r="F1002" s="85" t="s">
        <v>1054</v>
      </c>
      <c r="G1002" s="85" t="s">
        <v>65</v>
      </c>
      <c r="H1002" s="85" t="s">
        <v>1039</v>
      </c>
      <c r="I1002" s="85">
        <v>6</v>
      </c>
      <c r="J1002" s="87">
        <v>2.4</v>
      </c>
      <c r="K1002" s="88">
        <f t="shared" si="48"/>
        <v>14.399999999999999</v>
      </c>
      <c r="L1002" s="85">
        <v>1956</v>
      </c>
    </row>
    <row r="1003" spans="1:12" x14ac:dyDescent="0.25">
      <c r="A1003" s="84" t="str">
        <f t="shared" si="46"/>
        <v>OutubroSEMANA 3Manga Palmer</v>
      </c>
      <c r="B1003" s="85" t="s">
        <v>37</v>
      </c>
      <c r="C1003" s="85" t="s">
        <v>22</v>
      </c>
      <c r="D1003" s="86">
        <v>19</v>
      </c>
      <c r="E1003" s="116" t="str">
        <f t="shared" si="47"/>
        <v>Hortifruti</v>
      </c>
      <c r="F1003" s="85" t="s">
        <v>1054</v>
      </c>
      <c r="G1003" s="85" t="s">
        <v>496</v>
      </c>
      <c r="H1003" s="85" t="s">
        <v>1039</v>
      </c>
      <c r="I1003" s="85">
        <v>5.5</v>
      </c>
      <c r="J1003" s="87">
        <f>28/5.5</f>
        <v>5.0909090909090908</v>
      </c>
      <c r="K1003" s="88">
        <f t="shared" si="48"/>
        <v>28</v>
      </c>
      <c r="L1003" s="85">
        <v>1956</v>
      </c>
    </row>
    <row r="1004" spans="1:12" x14ac:dyDescent="0.25">
      <c r="A1004" s="84" t="str">
        <f t="shared" si="46"/>
        <v>OutubroSEMANA 3Banana D'Água</v>
      </c>
      <c r="B1004" s="85" t="s">
        <v>37</v>
      </c>
      <c r="C1004" s="85" t="s">
        <v>22</v>
      </c>
      <c r="D1004" s="86">
        <v>19</v>
      </c>
      <c r="E1004" s="116" t="str">
        <f t="shared" si="47"/>
        <v>Hortifruti</v>
      </c>
      <c r="F1004" s="85" t="s">
        <v>1055</v>
      </c>
      <c r="G1004" s="85" t="s">
        <v>162</v>
      </c>
      <c r="H1004" s="85" t="s">
        <v>1039</v>
      </c>
      <c r="I1004" s="85">
        <v>2</v>
      </c>
      <c r="J1004" s="87">
        <v>2.2000000000000002</v>
      </c>
      <c r="K1004" s="88">
        <f t="shared" si="48"/>
        <v>4.4000000000000004</v>
      </c>
      <c r="L1004" s="85">
        <v>5142</v>
      </c>
    </row>
    <row r="1005" spans="1:12" x14ac:dyDescent="0.25">
      <c r="A1005" s="84" t="str">
        <f t="shared" si="46"/>
        <v>OutubroSEMANA 3Côco Verde</v>
      </c>
      <c r="B1005" s="85" t="s">
        <v>37</v>
      </c>
      <c r="C1005" s="85" t="s">
        <v>22</v>
      </c>
      <c r="D1005" s="86">
        <v>19</v>
      </c>
      <c r="E1005" s="116" t="str">
        <f t="shared" si="47"/>
        <v>Hortifruti</v>
      </c>
      <c r="F1005" s="85" t="s">
        <v>1055</v>
      </c>
      <c r="G1005" s="85" t="s">
        <v>288</v>
      </c>
      <c r="H1005" s="85" t="s">
        <v>1038</v>
      </c>
      <c r="I1005" s="85">
        <v>10</v>
      </c>
      <c r="J1005" s="87">
        <v>1.98</v>
      </c>
      <c r="K1005" s="88">
        <f t="shared" si="48"/>
        <v>19.8</v>
      </c>
      <c r="L1005" s="85">
        <v>5142</v>
      </c>
    </row>
    <row r="1006" spans="1:12" x14ac:dyDescent="0.25">
      <c r="A1006" s="84" t="str">
        <f t="shared" si="46"/>
        <v>OutubroSEMANA 3Couve Manteiga</v>
      </c>
      <c r="B1006" s="85" t="s">
        <v>37</v>
      </c>
      <c r="C1006" s="85" t="s">
        <v>22</v>
      </c>
      <c r="D1006" s="86">
        <v>19</v>
      </c>
      <c r="E1006" s="116" t="str">
        <f t="shared" si="47"/>
        <v>Hortifruti</v>
      </c>
      <c r="F1006" s="85" t="s">
        <v>1055</v>
      </c>
      <c r="G1006" s="85" t="s">
        <v>307</v>
      </c>
      <c r="H1006" s="85" t="s">
        <v>1039</v>
      </c>
      <c r="I1006" s="85">
        <v>12</v>
      </c>
      <c r="J1006" s="87">
        <v>3</v>
      </c>
      <c r="K1006" s="88">
        <f t="shared" si="48"/>
        <v>36</v>
      </c>
      <c r="L1006" s="85">
        <v>5142</v>
      </c>
    </row>
    <row r="1007" spans="1:12" x14ac:dyDescent="0.25">
      <c r="A1007" s="84" t="str">
        <f t="shared" si="46"/>
        <v>OutubroSEMANA 3Goiaba</v>
      </c>
      <c r="B1007" s="85" t="s">
        <v>37</v>
      </c>
      <c r="C1007" s="85" t="s">
        <v>22</v>
      </c>
      <c r="D1007" s="86">
        <v>19</v>
      </c>
      <c r="E1007" s="116" t="str">
        <f t="shared" si="47"/>
        <v>Hortifruti</v>
      </c>
      <c r="F1007" s="85" t="s">
        <v>1055</v>
      </c>
      <c r="G1007" s="85" t="s">
        <v>391</v>
      </c>
      <c r="H1007" s="85" t="s">
        <v>1039</v>
      </c>
      <c r="I1007" s="85">
        <v>2.5</v>
      </c>
      <c r="J1007" s="87">
        <f>10/2.5</f>
        <v>4</v>
      </c>
      <c r="K1007" s="88">
        <f t="shared" si="48"/>
        <v>10</v>
      </c>
      <c r="L1007" s="85">
        <v>5142</v>
      </c>
    </row>
    <row r="1008" spans="1:12" x14ac:dyDescent="0.25">
      <c r="A1008" s="84" t="str">
        <f t="shared" si="46"/>
        <v>OutubroSEMANA 3Ovos Extra</v>
      </c>
      <c r="B1008" s="85" t="s">
        <v>37</v>
      </c>
      <c r="C1008" s="85" t="s">
        <v>22</v>
      </c>
      <c r="D1008" s="86">
        <v>19</v>
      </c>
      <c r="E1008" s="116" t="str">
        <f t="shared" si="47"/>
        <v>Hortifruti</v>
      </c>
      <c r="F1008" s="85" t="s">
        <v>1055</v>
      </c>
      <c r="G1008" s="85" t="s">
        <v>550</v>
      </c>
      <c r="H1008" s="85" t="s">
        <v>1038</v>
      </c>
      <c r="I1008" s="85">
        <v>360</v>
      </c>
      <c r="J1008" s="87">
        <f>99/360</f>
        <v>0.27500000000000002</v>
      </c>
      <c r="K1008" s="88">
        <f t="shared" si="48"/>
        <v>99.000000000000014</v>
      </c>
      <c r="L1008" s="85">
        <v>5142</v>
      </c>
    </row>
    <row r="1009" spans="1:12" x14ac:dyDescent="0.25">
      <c r="A1009" s="84" t="str">
        <f t="shared" si="46"/>
        <v>OutubroSEMANA 3Rúcula</v>
      </c>
      <c r="B1009" s="85" t="s">
        <v>37</v>
      </c>
      <c r="C1009" s="85" t="s">
        <v>22</v>
      </c>
      <c r="D1009" s="86">
        <v>19</v>
      </c>
      <c r="E1009" s="116" t="str">
        <f t="shared" si="47"/>
        <v>Hortifruti</v>
      </c>
      <c r="F1009" s="85" t="s">
        <v>1055</v>
      </c>
      <c r="G1009" s="85" t="s">
        <v>706</v>
      </c>
      <c r="H1009" s="85" t="s">
        <v>1039</v>
      </c>
      <c r="I1009" s="85">
        <v>2</v>
      </c>
      <c r="J1009" s="87">
        <v>4.9000000000000004</v>
      </c>
      <c r="K1009" s="88">
        <f t="shared" si="48"/>
        <v>9.8000000000000007</v>
      </c>
      <c r="L1009" s="85">
        <v>5142</v>
      </c>
    </row>
    <row r="1010" spans="1:12" x14ac:dyDescent="0.25">
      <c r="A1010" s="84" t="str">
        <f t="shared" si="46"/>
        <v>OutubroSEMANA 3Tomate Cereja</v>
      </c>
      <c r="B1010" s="85" t="s">
        <v>37</v>
      </c>
      <c r="C1010" s="85" t="s">
        <v>22</v>
      </c>
      <c r="D1010" s="86">
        <v>19</v>
      </c>
      <c r="E1010" s="116" t="str">
        <f t="shared" si="47"/>
        <v>Hortifruti</v>
      </c>
      <c r="F1010" s="85" t="s">
        <v>1055</v>
      </c>
      <c r="G1010" s="85" t="s">
        <v>790</v>
      </c>
      <c r="H1010" s="85" t="s">
        <v>1039</v>
      </c>
      <c r="I1010" s="85">
        <v>7</v>
      </c>
      <c r="J1010" s="87">
        <v>7.85</v>
      </c>
      <c r="K1010" s="88">
        <f t="shared" si="48"/>
        <v>54.949999999999996</v>
      </c>
      <c r="L1010" s="85">
        <v>5142</v>
      </c>
    </row>
    <row r="1011" spans="1:12" x14ac:dyDescent="0.25">
      <c r="A1011" s="84" t="str">
        <f t="shared" si="46"/>
        <v>OutubroSEMANA 3Álcool 70</v>
      </c>
      <c r="B1011" s="85" t="s">
        <v>37</v>
      </c>
      <c r="C1011" s="85" t="s">
        <v>22</v>
      </c>
      <c r="D1011" s="86">
        <v>19</v>
      </c>
      <c r="E1011" s="116" t="str">
        <f t="shared" si="47"/>
        <v>Limpeza</v>
      </c>
      <c r="F1011" s="85" t="s">
        <v>1092</v>
      </c>
      <c r="G1011" s="85" t="s">
        <v>99</v>
      </c>
      <c r="H1011" s="85" t="s">
        <v>1038</v>
      </c>
      <c r="I1011" s="85">
        <v>12</v>
      </c>
      <c r="J1011" s="87">
        <v>4.9000000000000004</v>
      </c>
      <c r="K1011" s="88">
        <f t="shared" si="48"/>
        <v>58.800000000000004</v>
      </c>
      <c r="L1011" s="85" t="s">
        <v>1221</v>
      </c>
    </row>
    <row r="1012" spans="1:12" x14ac:dyDescent="0.25">
      <c r="A1012" s="84" t="str">
        <f t="shared" si="46"/>
        <v>OutubroSEMANA 3Hipoclorito de Sódio Bb 5 Lt</v>
      </c>
      <c r="B1012" s="85" t="s">
        <v>37</v>
      </c>
      <c r="C1012" s="85" t="s">
        <v>22</v>
      </c>
      <c r="D1012" s="86">
        <v>19</v>
      </c>
      <c r="E1012" s="116" t="str">
        <f t="shared" si="47"/>
        <v>Limpeza</v>
      </c>
      <c r="F1012" s="85" t="s">
        <v>1092</v>
      </c>
      <c r="G1012" s="85" t="s">
        <v>402</v>
      </c>
      <c r="H1012" s="85" t="s">
        <v>1087</v>
      </c>
      <c r="I1012" s="85">
        <v>5</v>
      </c>
      <c r="J1012" s="87">
        <v>17.75</v>
      </c>
      <c r="K1012" s="88">
        <f t="shared" si="48"/>
        <v>88.75</v>
      </c>
      <c r="L1012" s="85" t="s">
        <v>1221</v>
      </c>
    </row>
    <row r="1013" spans="1:12" x14ac:dyDescent="0.25">
      <c r="A1013" s="84" t="str">
        <f t="shared" si="46"/>
        <v>OutubroSEMANA 3Bandeja Alumínio 3 Div. Cx 100</v>
      </c>
      <c r="B1013" s="85" t="s">
        <v>37</v>
      </c>
      <c r="C1013" s="85" t="s">
        <v>22</v>
      </c>
      <c r="D1013" s="86">
        <v>19</v>
      </c>
      <c r="E1013" s="116" t="str">
        <f t="shared" si="47"/>
        <v>Descartável</v>
      </c>
      <c r="F1013" s="85" t="s">
        <v>1092</v>
      </c>
      <c r="G1013" s="85" t="s">
        <v>167</v>
      </c>
      <c r="H1013" s="85" t="s">
        <v>1038</v>
      </c>
      <c r="I1013" s="85">
        <v>100</v>
      </c>
      <c r="J1013" s="87">
        <f>62.1/100</f>
        <v>0.621</v>
      </c>
      <c r="K1013" s="88">
        <f t="shared" si="48"/>
        <v>62.1</v>
      </c>
      <c r="L1013" s="85" t="s">
        <v>1221</v>
      </c>
    </row>
    <row r="1014" spans="1:12" x14ac:dyDescent="0.25">
      <c r="A1014" s="84" t="str">
        <f t="shared" si="46"/>
        <v>OutubroSEMANA 3Luva Descartável c/ 100</v>
      </c>
      <c r="B1014" s="85" t="s">
        <v>37</v>
      </c>
      <c r="C1014" s="85" t="s">
        <v>22</v>
      </c>
      <c r="D1014" s="86">
        <v>19</v>
      </c>
      <c r="E1014" s="116" t="str">
        <f t="shared" si="47"/>
        <v>Descartável</v>
      </c>
      <c r="F1014" s="85" t="s">
        <v>1092</v>
      </c>
      <c r="G1014" s="85" t="s">
        <v>473</v>
      </c>
      <c r="H1014" s="85" t="s">
        <v>1037</v>
      </c>
      <c r="I1014" s="85">
        <v>3</v>
      </c>
      <c r="J1014" s="87">
        <v>1.68</v>
      </c>
      <c r="K1014" s="88">
        <f t="shared" si="48"/>
        <v>5.04</v>
      </c>
      <c r="L1014" s="85" t="s">
        <v>1221</v>
      </c>
    </row>
    <row r="1015" spans="1:12" x14ac:dyDescent="0.25">
      <c r="A1015" s="84" t="str">
        <f t="shared" si="46"/>
        <v>OutubroSEMANA 3Papel Higiênico Rolo</v>
      </c>
      <c r="B1015" s="85" t="s">
        <v>37</v>
      </c>
      <c r="C1015" s="85" t="s">
        <v>22</v>
      </c>
      <c r="D1015" s="86">
        <v>19</v>
      </c>
      <c r="E1015" s="116" t="str">
        <f t="shared" si="47"/>
        <v>Descartável</v>
      </c>
      <c r="F1015" s="85" t="s">
        <v>1092</v>
      </c>
      <c r="G1015" s="85" t="s">
        <v>571</v>
      </c>
      <c r="H1015" s="85" t="s">
        <v>1038</v>
      </c>
      <c r="I1015" s="85">
        <f>64*2</f>
        <v>128</v>
      </c>
      <c r="J1015" s="87">
        <f>127.8/128</f>
        <v>0.99843749999999998</v>
      </c>
      <c r="K1015" s="88">
        <f t="shared" si="48"/>
        <v>127.8</v>
      </c>
      <c r="L1015" s="85" t="s">
        <v>1221</v>
      </c>
    </row>
    <row r="1016" spans="1:12" x14ac:dyDescent="0.25">
      <c r="A1016" s="84" t="str">
        <f t="shared" si="46"/>
        <v>OutubroSEMANA 3Saco de Lixo 100 Lt</v>
      </c>
      <c r="B1016" s="85" t="s">
        <v>37</v>
      </c>
      <c r="C1016" s="85" t="s">
        <v>22</v>
      </c>
      <c r="D1016" s="86">
        <v>19</v>
      </c>
      <c r="E1016" s="116" t="str">
        <f t="shared" si="47"/>
        <v>Limpeza</v>
      </c>
      <c r="F1016" s="85" t="s">
        <v>1092</v>
      </c>
      <c r="G1016" s="85" t="s">
        <v>710</v>
      </c>
      <c r="H1016" s="85" t="s">
        <v>1037</v>
      </c>
      <c r="I1016" s="85">
        <v>1</v>
      </c>
      <c r="J1016" s="87">
        <v>36</v>
      </c>
      <c r="K1016" s="88">
        <f t="shared" si="48"/>
        <v>36</v>
      </c>
      <c r="L1016" s="85" t="s">
        <v>1221</v>
      </c>
    </row>
    <row r="1017" spans="1:12" x14ac:dyDescent="0.25">
      <c r="A1017" s="84" t="str">
        <f t="shared" si="46"/>
        <v>OutubroSEMANA 3Torta Brownie com Nozes</v>
      </c>
      <c r="B1017" s="85" t="s">
        <v>37</v>
      </c>
      <c r="C1017" s="85" t="s">
        <v>22</v>
      </c>
      <c r="D1017" s="86">
        <v>19</v>
      </c>
      <c r="E1017" s="116" t="str">
        <f t="shared" si="47"/>
        <v>Sobremesa</v>
      </c>
      <c r="F1017" s="85" t="s">
        <v>1162</v>
      </c>
      <c r="G1017" s="85" t="s">
        <v>811</v>
      </c>
      <c r="H1017" s="85" t="s">
        <v>1038</v>
      </c>
      <c r="I1017" s="85">
        <v>8</v>
      </c>
      <c r="J1017" s="87">
        <f>47.3/8</f>
        <v>5.9124999999999996</v>
      </c>
      <c r="K1017" s="88">
        <f t="shared" si="48"/>
        <v>47.3</v>
      </c>
      <c r="L1017" s="85">
        <v>34115</v>
      </c>
    </row>
    <row r="1018" spans="1:12" x14ac:dyDescent="0.25">
      <c r="A1018" s="84" t="str">
        <f t="shared" si="46"/>
        <v>OutubroSEMANA 3Torta Alemã</v>
      </c>
      <c r="B1018" s="85" t="s">
        <v>37</v>
      </c>
      <c r="C1018" s="85" t="s">
        <v>22</v>
      </c>
      <c r="D1018" s="86">
        <v>19</v>
      </c>
      <c r="E1018" s="116" t="str">
        <f t="shared" si="47"/>
        <v>Sobremesa</v>
      </c>
      <c r="F1018" s="85" t="s">
        <v>1127</v>
      </c>
      <c r="G1018" s="85" t="s">
        <v>804</v>
      </c>
      <c r="H1018" s="85" t="s">
        <v>1071</v>
      </c>
      <c r="I1018" s="85">
        <v>12</v>
      </c>
      <c r="J1018" s="87">
        <f>66.84/12</f>
        <v>5.57</v>
      </c>
      <c r="K1018" s="88">
        <f t="shared" si="48"/>
        <v>66.84</v>
      </c>
      <c r="L1018" s="85">
        <v>146501</v>
      </c>
    </row>
    <row r="1019" spans="1:12" x14ac:dyDescent="0.25">
      <c r="A1019" s="84" t="str">
        <f t="shared" si="46"/>
        <v>OutubroSEMANA 3Torta de Brigadeiro c/ Raspas</v>
      </c>
      <c r="B1019" s="85" t="s">
        <v>37</v>
      </c>
      <c r="C1019" s="85" t="s">
        <v>22</v>
      </c>
      <c r="D1019" s="86">
        <v>19</v>
      </c>
      <c r="E1019" s="116" t="str">
        <f t="shared" si="47"/>
        <v>Sobremesa</v>
      </c>
      <c r="F1019" s="85" t="s">
        <v>1127</v>
      </c>
      <c r="G1019" s="85" t="s">
        <v>813</v>
      </c>
      <c r="H1019" s="85" t="s">
        <v>1071</v>
      </c>
      <c r="I1019" s="85">
        <v>12</v>
      </c>
      <c r="J1019" s="87">
        <f>66.84/12</f>
        <v>5.57</v>
      </c>
      <c r="K1019" s="88">
        <f t="shared" si="48"/>
        <v>66.84</v>
      </c>
      <c r="L1019" s="85">
        <v>146501</v>
      </c>
    </row>
    <row r="1020" spans="1:12" x14ac:dyDescent="0.25">
      <c r="A1020" s="84" t="str">
        <f t="shared" si="46"/>
        <v>OutubroSEMANA 3Torta de Limão</v>
      </c>
      <c r="B1020" s="85" t="s">
        <v>37</v>
      </c>
      <c r="C1020" s="85" t="s">
        <v>22</v>
      </c>
      <c r="D1020" s="86">
        <v>19</v>
      </c>
      <c r="E1020" s="116" t="str">
        <f t="shared" si="47"/>
        <v>Sobremesa</v>
      </c>
      <c r="F1020" s="85" t="s">
        <v>1127</v>
      </c>
      <c r="G1020" s="85" t="s">
        <v>814</v>
      </c>
      <c r="H1020" s="85" t="s">
        <v>1071</v>
      </c>
      <c r="I1020" s="85">
        <v>12</v>
      </c>
      <c r="J1020" s="87">
        <f>63.65/12</f>
        <v>5.3041666666666663</v>
      </c>
      <c r="K1020" s="88">
        <f t="shared" si="48"/>
        <v>63.649999999999991</v>
      </c>
      <c r="L1020" s="85">
        <v>146501</v>
      </c>
    </row>
    <row r="1021" spans="1:12" x14ac:dyDescent="0.25">
      <c r="A1021" s="84" t="str">
        <f t="shared" si="46"/>
        <v>OutubroSEMANA 3Torta Bem Casado de Doce de Leite</v>
      </c>
      <c r="B1021" s="85" t="s">
        <v>37</v>
      </c>
      <c r="C1021" s="85" t="s">
        <v>22</v>
      </c>
      <c r="D1021" s="86">
        <v>19</v>
      </c>
      <c r="E1021" s="116" t="str">
        <f t="shared" si="47"/>
        <v>Sobremesa</v>
      </c>
      <c r="F1021" s="85" t="s">
        <v>1127</v>
      </c>
      <c r="G1021" s="85" t="s">
        <v>809</v>
      </c>
      <c r="H1021" s="85" t="s">
        <v>1071</v>
      </c>
      <c r="I1021" s="85">
        <f>12*2</f>
        <v>24</v>
      </c>
      <c r="J1021" s="87">
        <f>137.93/24</f>
        <v>5.7470833333333333</v>
      </c>
      <c r="K1021" s="88">
        <f t="shared" si="48"/>
        <v>137.93</v>
      </c>
      <c r="L1021" s="85">
        <v>146501</v>
      </c>
    </row>
    <row r="1022" spans="1:12" x14ac:dyDescent="0.25">
      <c r="A1022" s="84" t="str">
        <f t="shared" si="46"/>
        <v>OutubroSEMANA 3Torta Bem Casado de Chocolate c/ Avelã</v>
      </c>
      <c r="B1022" s="85" t="s">
        <v>37</v>
      </c>
      <c r="C1022" s="85" t="s">
        <v>22</v>
      </c>
      <c r="D1022" s="86">
        <v>19</v>
      </c>
      <c r="E1022" s="116" t="str">
        <f t="shared" si="47"/>
        <v>Sobremesa</v>
      </c>
      <c r="F1022" s="85" t="s">
        <v>1127</v>
      </c>
      <c r="G1022" s="85" t="s">
        <v>807</v>
      </c>
      <c r="H1022" s="85" t="s">
        <v>1071</v>
      </c>
      <c r="I1022" s="85">
        <v>12</v>
      </c>
      <c r="J1022" s="87">
        <f>68.96/12</f>
        <v>5.7466666666666661</v>
      </c>
      <c r="K1022" s="88">
        <f t="shared" si="48"/>
        <v>68.959999999999994</v>
      </c>
      <c r="L1022" s="85">
        <v>146501</v>
      </c>
    </row>
    <row r="1023" spans="1:12" x14ac:dyDescent="0.25">
      <c r="A1023" s="84" t="str">
        <f t="shared" si="46"/>
        <v>OutubroSEMANA 3Torta Banana Crock</v>
      </c>
      <c r="B1023" s="85" t="s">
        <v>37</v>
      </c>
      <c r="C1023" s="85" t="s">
        <v>22</v>
      </c>
      <c r="D1023" s="86">
        <v>19</v>
      </c>
      <c r="E1023" s="116" t="str">
        <f t="shared" si="47"/>
        <v>Sobremesa</v>
      </c>
      <c r="F1023" s="85" t="s">
        <v>1127</v>
      </c>
      <c r="G1023" s="85" t="s">
        <v>805</v>
      </c>
      <c r="H1023" s="85" t="s">
        <v>1071</v>
      </c>
      <c r="I1023" s="85">
        <f>12*2</f>
        <v>24</v>
      </c>
      <c r="J1023" s="87">
        <f>137.93/24</f>
        <v>5.7470833333333333</v>
      </c>
      <c r="K1023" s="88">
        <f t="shared" si="48"/>
        <v>137.93</v>
      </c>
      <c r="L1023" s="85">
        <v>146501</v>
      </c>
    </row>
    <row r="1024" spans="1:12" x14ac:dyDescent="0.25">
      <c r="A1024" s="84" t="str">
        <f t="shared" si="46"/>
        <v>OutubroSEMANA 3Torta Financier com Quindim</v>
      </c>
      <c r="B1024" s="85" t="s">
        <v>37</v>
      </c>
      <c r="C1024" s="85" t="s">
        <v>22</v>
      </c>
      <c r="D1024" s="86">
        <v>19</v>
      </c>
      <c r="E1024" s="116" t="str">
        <f t="shared" si="47"/>
        <v>Sobremesa</v>
      </c>
      <c r="F1024" s="85" t="s">
        <v>1127</v>
      </c>
      <c r="G1024" s="85" t="s">
        <v>992</v>
      </c>
      <c r="H1024" s="85" t="s">
        <v>1071</v>
      </c>
      <c r="I1024" s="85">
        <v>12</v>
      </c>
      <c r="J1024" s="87">
        <f>71.09/12</f>
        <v>5.9241666666666672</v>
      </c>
      <c r="K1024" s="88">
        <f t="shared" si="48"/>
        <v>71.09</v>
      </c>
      <c r="L1024" s="85">
        <v>146501</v>
      </c>
    </row>
    <row r="1025" spans="1:12" x14ac:dyDescent="0.25">
      <c r="A1025" s="84" t="str">
        <f t="shared" si="46"/>
        <v>OutubroSEMANA 3Torta de Cenoura c/ Chocolate</v>
      </c>
      <c r="B1025" s="85" t="s">
        <v>37</v>
      </c>
      <c r="C1025" s="85" t="s">
        <v>22</v>
      </c>
      <c r="D1025" s="86">
        <v>19</v>
      </c>
      <c r="E1025" s="116" t="str">
        <f t="shared" si="47"/>
        <v>Sobremesa</v>
      </c>
      <c r="F1025" s="85" t="s">
        <v>1127</v>
      </c>
      <c r="G1025" s="85" t="s">
        <v>1006</v>
      </c>
      <c r="H1025" s="85" t="s">
        <v>1071</v>
      </c>
      <c r="I1025" s="85">
        <v>12</v>
      </c>
      <c r="J1025" s="87">
        <f>68.54/12</f>
        <v>5.7116666666666669</v>
      </c>
      <c r="K1025" s="88">
        <f t="shared" si="48"/>
        <v>68.540000000000006</v>
      </c>
      <c r="L1025" s="85">
        <v>146501</v>
      </c>
    </row>
    <row r="1026" spans="1:12" x14ac:dyDescent="0.25">
      <c r="A1026" s="84" t="str">
        <f t="shared" ref="A1026:A1089" si="49">CONCATENATE(B1026,C1026,G1026)</f>
        <v>OutubroSEMANA 3Vinho  Espumante Veuve Du Vernay 187 ml</v>
      </c>
      <c r="B1026" s="85" t="s">
        <v>37</v>
      </c>
      <c r="C1026" s="85" t="s">
        <v>22</v>
      </c>
      <c r="D1026" s="86">
        <v>19</v>
      </c>
      <c r="E1026" s="116" t="str">
        <f t="shared" ref="E1026:E1089" si="50">VLOOKUP(G1026,$M$1:$O$968,3,0)</f>
        <v>Bebidas</v>
      </c>
      <c r="F1026" s="85" t="s">
        <v>1207</v>
      </c>
      <c r="G1026" s="85" t="s">
        <v>844</v>
      </c>
      <c r="H1026" s="85" t="s">
        <v>1038</v>
      </c>
      <c r="I1026" s="85">
        <v>12</v>
      </c>
      <c r="J1026" s="87">
        <f>168.96/12</f>
        <v>14.08</v>
      </c>
      <c r="K1026" s="88">
        <f t="shared" ref="K1026:K1089" si="51">I1026*J1026</f>
        <v>168.96</v>
      </c>
      <c r="L1026" s="85" t="s">
        <v>1222</v>
      </c>
    </row>
    <row r="1027" spans="1:12" x14ac:dyDescent="0.25">
      <c r="A1027" s="84" t="str">
        <f t="shared" si="49"/>
        <v>OutubroSEMANA 3Vinho Alfredo Roca Malbec 375 ml</v>
      </c>
      <c r="B1027" s="85" t="s">
        <v>37</v>
      </c>
      <c r="C1027" s="85" t="s">
        <v>22</v>
      </c>
      <c r="D1027" s="86">
        <v>19</v>
      </c>
      <c r="E1027" s="116" t="str">
        <f t="shared" si="50"/>
        <v>Bebidas</v>
      </c>
      <c r="F1027" s="85" t="s">
        <v>1207</v>
      </c>
      <c r="G1027" s="85" t="s">
        <v>845</v>
      </c>
      <c r="H1027" s="85" t="s">
        <v>1038</v>
      </c>
      <c r="I1027" s="85">
        <v>12</v>
      </c>
      <c r="J1027" s="87">
        <f>283.9/12</f>
        <v>23.658333333333331</v>
      </c>
      <c r="K1027" s="88">
        <f t="shared" si="51"/>
        <v>283.89999999999998</v>
      </c>
      <c r="L1027" s="85" t="s">
        <v>1222</v>
      </c>
    </row>
    <row r="1028" spans="1:12" x14ac:dyDescent="0.25">
      <c r="A1028" s="84" t="str">
        <f t="shared" si="49"/>
        <v>OutubroSEMANA 3Vinho Benjamin Chardonnay 750 ml</v>
      </c>
      <c r="B1028" s="85" t="s">
        <v>37</v>
      </c>
      <c r="C1028" s="85" t="s">
        <v>22</v>
      </c>
      <c r="D1028" s="86">
        <v>19</v>
      </c>
      <c r="E1028" s="116" t="str">
        <f t="shared" si="50"/>
        <v>Bebidas</v>
      </c>
      <c r="F1028" s="85" t="s">
        <v>1207</v>
      </c>
      <c r="G1028" s="85" t="s">
        <v>848</v>
      </c>
      <c r="H1028" s="85" t="s">
        <v>1038</v>
      </c>
      <c r="I1028" s="85">
        <v>6</v>
      </c>
      <c r="J1028" s="87">
        <f>153.39/6</f>
        <v>25.564999999999998</v>
      </c>
      <c r="K1028" s="88">
        <f t="shared" si="51"/>
        <v>153.38999999999999</v>
      </c>
      <c r="L1028" s="85" t="s">
        <v>1222</v>
      </c>
    </row>
    <row r="1029" spans="1:12" x14ac:dyDescent="0.25">
      <c r="A1029" s="84" t="str">
        <f t="shared" si="49"/>
        <v>OutubroSEMANA 3Vinho Benjamin Malbec 375 ml</v>
      </c>
      <c r="B1029" s="85" t="s">
        <v>37</v>
      </c>
      <c r="C1029" s="85" t="s">
        <v>22</v>
      </c>
      <c r="D1029" s="86">
        <v>19</v>
      </c>
      <c r="E1029" s="116" t="str">
        <f t="shared" si="50"/>
        <v>Bebidas</v>
      </c>
      <c r="F1029" s="85" t="s">
        <v>1207</v>
      </c>
      <c r="G1029" s="85" t="s">
        <v>849</v>
      </c>
      <c r="H1029" s="85" t="s">
        <v>1038</v>
      </c>
      <c r="I1029" s="85">
        <v>12</v>
      </c>
      <c r="J1029" s="87">
        <f>187.65/12</f>
        <v>15.637500000000001</v>
      </c>
      <c r="K1029" s="88">
        <f t="shared" si="51"/>
        <v>187.65</v>
      </c>
      <c r="L1029" s="85" t="s">
        <v>1222</v>
      </c>
    </row>
    <row r="1030" spans="1:12" x14ac:dyDescent="0.25">
      <c r="A1030" s="84" t="str">
        <f t="shared" si="49"/>
        <v>OutubroSEMANA 3Vinho Nieto Senet D.O.C. Malbec 750 ml</v>
      </c>
      <c r="B1030" s="85" t="s">
        <v>37</v>
      </c>
      <c r="C1030" s="85" t="s">
        <v>22</v>
      </c>
      <c r="D1030" s="86">
        <v>19</v>
      </c>
      <c r="E1030" s="116" t="str">
        <f t="shared" si="50"/>
        <v>Bebidas</v>
      </c>
      <c r="F1030" s="85" t="s">
        <v>1207</v>
      </c>
      <c r="G1030" s="85" t="s">
        <v>860</v>
      </c>
      <c r="H1030" s="85" t="s">
        <v>1038</v>
      </c>
      <c r="I1030" s="85">
        <v>3</v>
      </c>
      <c r="J1030" s="87">
        <f>156.14/3</f>
        <v>52.04666666666666</v>
      </c>
      <c r="K1030" s="88">
        <f t="shared" si="51"/>
        <v>156.13999999999999</v>
      </c>
      <c r="L1030" s="85" t="s">
        <v>1222</v>
      </c>
    </row>
    <row r="1031" spans="1:12" x14ac:dyDescent="0.25">
      <c r="A1031" s="84" t="str">
        <f t="shared" si="49"/>
        <v>OutubroSEMANA 3Vinho Cefiro Cab. Sauvignon 375 ml</v>
      </c>
      <c r="B1031" s="85" t="s">
        <v>37</v>
      </c>
      <c r="C1031" s="85" t="s">
        <v>22</v>
      </c>
      <c r="D1031" s="86">
        <v>19</v>
      </c>
      <c r="E1031" s="116" t="str">
        <f t="shared" si="50"/>
        <v>Bebidas</v>
      </c>
      <c r="F1031" s="85" t="s">
        <v>1207</v>
      </c>
      <c r="G1031" s="85" t="s">
        <v>854</v>
      </c>
      <c r="H1031" s="85" t="s">
        <v>1038</v>
      </c>
      <c r="I1031" s="85">
        <v>12</v>
      </c>
      <c r="J1031" s="87">
        <f>322.88/12</f>
        <v>26.906666666666666</v>
      </c>
      <c r="K1031" s="88">
        <f t="shared" si="51"/>
        <v>322.88</v>
      </c>
      <c r="L1031" s="85" t="s">
        <v>1222</v>
      </c>
    </row>
    <row r="1032" spans="1:12" x14ac:dyDescent="0.25">
      <c r="A1032" s="84" t="str">
        <f t="shared" si="49"/>
        <v>OutubroSEMANA 3Vinho Cefiro Sauv. Blanc 750 ml</v>
      </c>
      <c r="B1032" s="85" t="s">
        <v>37</v>
      </c>
      <c r="C1032" s="85" t="s">
        <v>22</v>
      </c>
      <c r="D1032" s="86">
        <v>19</v>
      </c>
      <c r="E1032" s="116" t="str">
        <f t="shared" si="50"/>
        <v>Bebidas</v>
      </c>
      <c r="F1032" s="85" t="s">
        <v>1207</v>
      </c>
      <c r="G1032" s="85" t="s">
        <v>857</v>
      </c>
      <c r="H1032" s="85" t="s">
        <v>1038</v>
      </c>
      <c r="I1032" s="85">
        <v>4</v>
      </c>
      <c r="J1032" s="87">
        <f>178.17/4</f>
        <v>44.542499999999997</v>
      </c>
      <c r="K1032" s="88">
        <f t="shared" si="51"/>
        <v>178.17</v>
      </c>
      <c r="L1032" s="85" t="s">
        <v>1222</v>
      </c>
    </row>
    <row r="1033" spans="1:12" x14ac:dyDescent="0.25">
      <c r="A1033" s="84" t="str">
        <f t="shared" si="49"/>
        <v>OutubroSEMANA 3Vinho Sta Carolina Estrellas Cab. Sauv. 187ml</v>
      </c>
      <c r="B1033" s="85" t="s">
        <v>37</v>
      </c>
      <c r="C1033" s="85" t="s">
        <v>22</v>
      </c>
      <c r="D1033" s="86">
        <v>19</v>
      </c>
      <c r="E1033" s="116" t="str">
        <f t="shared" si="50"/>
        <v>Bebidas</v>
      </c>
      <c r="F1033" s="85" t="s">
        <v>1207</v>
      </c>
      <c r="G1033" s="85" t="s">
        <v>1008</v>
      </c>
      <c r="H1033" s="85" t="s">
        <v>1038</v>
      </c>
      <c r="I1033" s="85">
        <v>24</v>
      </c>
      <c r="J1033" s="87">
        <f>305.95/24</f>
        <v>12.747916666666667</v>
      </c>
      <c r="K1033" s="88">
        <f t="shared" si="51"/>
        <v>305.95</v>
      </c>
      <c r="L1033" s="85" t="s">
        <v>1222</v>
      </c>
    </row>
    <row r="1034" spans="1:12" x14ac:dyDescent="0.25">
      <c r="A1034" s="84" t="str">
        <f t="shared" si="49"/>
        <v>OutubroSEMANA 3Cenoura  Sushi</v>
      </c>
      <c r="B1034" s="85" t="s">
        <v>37</v>
      </c>
      <c r="C1034" s="85" t="s">
        <v>22</v>
      </c>
      <c r="D1034" s="86">
        <v>19</v>
      </c>
      <c r="E1034" s="116" t="str">
        <f t="shared" si="50"/>
        <v>Sushi</v>
      </c>
      <c r="F1034" s="85" t="s">
        <v>1054</v>
      </c>
      <c r="G1034" s="85" t="s">
        <v>250</v>
      </c>
      <c r="H1034" s="85" t="s">
        <v>1039</v>
      </c>
      <c r="I1034" s="85">
        <f>0.26+0.216</f>
        <v>0.47599999999999998</v>
      </c>
      <c r="J1034" s="87">
        <f>45/20.36</f>
        <v>2.2102161100196462</v>
      </c>
      <c r="K1034" s="88">
        <f t="shared" si="51"/>
        <v>1.0520628683693516</v>
      </c>
      <c r="L1034" s="85">
        <v>1956</v>
      </c>
    </row>
    <row r="1035" spans="1:12" x14ac:dyDescent="0.25">
      <c r="A1035" s="84" t="str">
        <f t="shared" si="49"/>
        <v>OutubroSEMANA 3Torta de Maça Integral</v>
      </c>
      <c r="B1035" s="85" t="s">
        <v>37</v>
      </c>
      <c r="C1035" s="85" t="s">
        <v>22</v>
      </c>
      <c r="D1035" s="86">
        <v>19</v>
      </c>
      <c r="E1035" s="116" t="str">
        <f t="shared" si="50"/>
        <v>Sobremesa</v>
      </c>
      <c r="F1035" s="85" t="s">
        <v>1125</v>
      </c>
      <c r="G1035" s="85" t="s">
        <v>815</v>
      </c>
      <c r="H1035" s="85" t="s">
        <v>1071</v>
      </c>
      <c r="I1035" s="85">
        <f>2*10</f>
        <v>20</v>
      </c>
      <c r="J1035" s="87">
        <f>98/20</f>
        <v>4.9000000000000004</v>
      </c>
      <c r="K1035" s="88">
        <f t="shared" si="51"/>
        <v>98</v>
      </c>
      <c r="L1035" s="85" t="s">
        <v>1223</v>
      </c>
    </row>
    <row r="1036" spans="1:12" x14ac:dyDescent="0.25">
      <c r="A1036" s="84" t="str">
        <f t="shared" si="49"/>
        <v>OutubroSEMANA 3Copo de Sobremesa Cristal 180 ml</v>
      </c>
      <c r="B1036" s="85" t="s">
        <v>37</v>
      </c>
      <c r="C1036" s="85" t="s">
        <v>22</v>
      </c>
      <c r="D1036" s="86">
        <v>19</v>
      </c>
      <c r="E1036" s="116" t="str">
        <f t="shared" si="50"/>
        <v>Descartável</v>
      </c>
      <c r="F1036" s="85" t="s">
        <v>1224</v>
      </c>
      <c r="G1036" s="85" t="s">
        <v>297</v>
      </c>
      <c r="H1036" s="85" t="s">
        <v>1038</v>
      </c>
      <c r="I1036" s="85">
        <v>1000</v>
      </c>
      <c r="J1036" s="87">
        <f>306.9/1000</f>
        <v>0.30689999999999995</v>
      </c>
      <c r="K1036" s="88">
        <f t="shared" si="51"/>
        <v>306.89999999999998</v>
      </c>
      <c r="L1036" s="85" t="s">
        <v>1225</v>
      </c>
    </row>
    <row r="1037" spans="1:12" x14ac:dyDescent="0.25">
      <c r="A1037" s="84" t="str">
        <f t="shared" si="49"/>
        <v>OutubroSEMANA 3Aipim</v>
      </c>
      <c r="B1037" s="85" t="s">
        <v>37</v>
      </c>
      <c r="C1037" s="85" t="s">
        <v>22</v>
      </c>
      <c r="D1037" s="86">
        <v>19</v>
      </c>
      <c r="E1037" s="116" t="str">
        <f t="shared" si="50"/>
        <v>Hortifruti</v>
      </c>
      <c r="F1037" s="85" t="s">
        <v>1042</v>
      </c>
      <c r="G1037" s="85" t="s">
        <v>95</v>
      </c>
      <c r="H1037" s="85" t="s">
        <v>1039</v>
      </c>
      <c r="I1037" s="85">
        <v>20</v>
      </c>
      <c r="J1037" s="87">
        <v>5</v>
      </c>
      <c r="K1037" s="88">
        <f t="shared" si="51"/>
        <v>100</v>
      </c>
      <c r="L1037" s="85"/>
    </row>
    <row r="1038" spans="1:12" x14ac:dyDescent="0.25">
      <c r="A1038" s="84" t="str">
        <f t="shared" si="49"/>
        <v>OutubroSEMANA 3Cerveja Malzbier Brahma Long Neck</v>
      </c>
      <c r="B1038" s="85" t="s">
        <v>37</v>
      </c>
      <c r="C1038" s="85" t="s">
        <v>22</v>
      </c>
      <c r="D1038" s="86">
        <v>19</v>
      </c>
      <c r="E1038" s="116" t="str">
        <f t="shared" si="50"/>
        <v>Bebidas</v>
      </c>
      <c r="F1038" s="85" t="s">
        <v>1123</v>
      </c>
      <c r="G1038" s="85" t="s">
        <v>266</v>
      </c>
      <c r="H1038" s="85" t="s">
        <v>1038</v>
      </c>
      <c r="I1038" s="85">
        <v>24</v>
      </c>
      <c r="J1038" s="87">
        <f>74.62/24</f>
        <v>3.1091666666666669</v>
      </c>
      <c r="K1038" s="88">
        <f t="shared" si="51"/>
        <v>74.62</v>
      </c>
      <c r="L1038" s="85" t="s">
        <v>1226</v>
      </c>
    </row>
    <row r="1039" spans="1:12" x14ac:dyDescent="0.25">
      <c r="A1039" s="84" t="str">
        <f t="shared" si="49"/>
        <v>OutubroSEMANA 3Água Tonica Diet</v>
      </c>
      <c r="B1039" s="85" t="s">
        <v>37</v>
      </c>
      <c r="C1039" s="85" t="s">
        <v>22</v>
      </c>
      <c r="D1039" s="86">
        <v>19</v>
      </c>
      <c r="E1039" s="116" t="str">
        <f t="shared" si="50"/>
        <v>Bebidas</v>
      </c>
      <c r="F1039" s="85" t="s">
        <v>1123</v>
      </c>
      <c r="G1039" s="85" t="s">
        <v>93</v>
      </c>
      <c r="H1039" s="85" t="s">
        <v>1038</v>
      </c>
      <c r="I1039" s="85">
        <f>12*2</f>
        <v>24</v>
      </c>
      <c r="J1039" s="87">
        <f>44.66/24</f>
        <v>1.8608333333333331</v>
      </c>
      <c r="K1039" s="88">
        <f t="shared" si="51"/>
        <v>44.66</v>
      </c>
      <c r="L1039" s="85" t="s">
        <v>1226</v>
      </c>
    </row>
    <row r="1040" spans="1:12" x14ac:dyDescent="0.25">
      <c r="A1040" s="84" t="str">
        <f t="shared" si="49"/>
        <v>OutubroSEMANA 3Guaraná Antarctica Zero (lata)</v>
      </c>
      <c r="B1040" s="85" t="s">
        <v>37</v>
      </c>
      <c r="C1040" s="85" t="s">
        <v>22</v>
      </c>
      <c r="D1040" s="86">
        <v>19</v>
      </c>
      <c r="E1040" s="116" t="str">
        <f t="shared" si="50"/>
        <v>Bebidas</v>
      </c>
      <c r="F1040" s="85" t="s">
        <v>1123</v>
      </c>
      <c r="G1040" s="85" t="s">
        <v>398</v>
      </c>
      <c r="H1040" s="85" t="s">
        <v>1038</v>
      </c>
      <c r="I1040" s="85">
        <f>12*3</f>
        <v>36</v>
      </c>
      <c r="J1040" s="87">
        <f>65.84/36</f>
        <v>1.828888888888889</v>
      </c>
      <c r="K1040" s="88">
        <f t="shared" si="51"/>
        <v>65.84</v>
      </c>
      <c r="L1040" s="85" t="s">
        <v>1226</v>
      </c>
    </row>
    <row r="1041" spans="1:12" x14ac:dyDescent="0.25">
      <c r="A1041" s="84" t="str">
        <f t="shared" si="49"/>
        <v>OutubroSEMANA 3H2O Limão</v>
      </c>
      <c r="B1041" s="85" t="s">
        <v>37</v>
      </c>
      <c r="C1041" s="85" t="s">
        <v>22</v>
      </c>
      <c r="D1041" s="86">
        <v>19</v>
      </c>
      <c r="E1041" s="116" t="str">
        <f t="shared" si="50"/>
        <v>Bebidas</v>
      </c>
      <c r="F1041" s="85" t="s">
        <v>1123</v>
      </c>
      <c r="G1041" s="85" t="s">
        <v>400</v>
      </c>
      <c r="H1041" s="85" t="s">
        <v>1038</v>
      </c>
      <c r="I1041" s="90">
        <f>12*2</f>
        <v>24</v>
      </c>
      <c r="J1041" s="89">
        <f>51.45/24</f>
        <v>2.1437500000000003</v>
      </c>
      <c r="K1041" s="88">
        <f t="shared" si="51"/>
        <v>51.45</v>
      </c>
      <c r="L1041" s="85" t="s">
        <v>1226</v>
      </c>
    </row>
    <row r="1042" spans="1:12" x14ac:dyDescent="0.25">
      <c r="A1042" s="84" t="str">
        <f t="shared" si="49"/>
        <v>OutubroSEMANA 3Ice Tea Pêssego</v>
      </c>
      <c r="B1042" s="85" t="s">
        <v>37</v>
      </c>
      <c r="C1042" s="85" t="s">
        <v>22</v>
      </c>
      <c r="D1042" s="86">
        <v>19</v>
      </c>
      <c r="E1042" s="116" t="str">
        <f t="shared" si="50"/>
        <v>Bebidas</v>
      </c>
      <c r="F1042" s="85" t="s">
        <v>1123</v>
      </c>
      <c r="G1042" s="85" t="s">
        <v>445</v>
      </c>
      <c r="H1042" s="85" t="s">
        <v>1038</v>
      </c>
      <c r="I1042" s="85">
        <v>12</v>
      </c>
      <c r="J1042" s="87">
        <f>24.15/12</f>
        <v>2.0124999999999997</v>
      </c>
      <c r="K1042" s="88">
        <f t="shared" si="51"/>
        <v>24.15</v>
      </c>
      <c r="L1042" s="85" t="s">
        <v>1226</v>
      </c>
    </row>
    <row r="1043" spans="1:12" x14ac:dyDescent="0.25">
      <c r="A1043" s="84" t="str">
        <f t="shared" si="49"/>
        <v>OutubroSEMANA 3Cerveja Bohemia Long Neck 355 ml</v>
      </c>
      <c r="B1043" s="85" t="s">
        <v>37</v>
      </c>
      <c r="C1043" s="85" t="s">
        <v>22</v>
      </c>
      <c r="D1043" s="86">
        <v>19</v>
      </c>
      <c r="E1043" s="116" t="str">
        <f t="shared" si="50"/>
        <v>Bebidas</v>
      </c>
      <c r="F1043" s="85" t="s">
        <v>1123</v>
      </c>
      <c r="G1043" s="85" t="s">
        <v>260</v>
      </c>
      <c r="H1043" s="85" t="s">
        <v>1038</v>
      </c>
      <c r="I1043" s="90">
        <f>24*2</f>
        <v>48</v>
      </c>
      <c r="J1043" s="89">
        <f>127.54/48</f>
        <v>2.6570833333333335</v>
      </c>
      <c r="K1043" s="88">
        <f t="shared" si="51"/>
        <v>127.54</v>
      </c>
      <c r="L1043" s="85" t="s">
        <v>1226</v>
      </c>
    </row>
    <row r="1044" spans="1:12" x14ac:dyDescent="0.25">
      <c r="A1044" s="84" t="str">
        <f t="shared" si="49"/>
        <v>OutubroSEMANA 3Cerveja Bohemia 600 ml</v>
      </c>
      <c r="B1044" s="85" t="s">
        <v>37</v>
      </c>
      <c r="C1044" s="85" t="s">
        <v>22</v>
      </c>
      <c r="D1044" s="86">
        <v>19</v>
      </c>
      <c r="E1044" s="116" t="str">
        <f t="shared" si="50"/>
        <v>Bebidas</v>
      </c>
      <c r="F1044" s="85" t="s">
        <v>1123</v>
      </c>
      <c r="G1044" s="85" t="s">
        <v>259</v>
      </c>
      <c r="H1044" s="85" t="s">
        <v>1038</v>
      </c>
      <c r="I1044" s="85">
        <f>12*2</f>
        <v>24</v>
      </c>
      <c r="J1044" s="87">
        <f>115.37/24</f>
        <v>4.8070833333333338</v>
      </c>
      <c r="K1044" s="88">
        <f t="shared" si="51"/>
        <v>115.37</v>
      </c>
      <c r="L1044" s="85" t="s">
        <v>1226</v>
      </c>
    </row>
    <row r="1045" spans="1:12" x14ac:dyDescent="0.25">
      <c r="A1045" s="84" t="str">
        <f t="shared" si="49"/>
        <v>OutubroSEMANA 3Abobora</v>
      </c>
      <c r="B1045" s="85" t="s">
        <v>37</v>
      </c>
      <c r="C1045" s="85" t="s">
        <v>22</v>
      </c>
      <c r="D1045" s="86">
        <v>20</v>
      </c>
      <c r="E1045" s="116" t="str">
        <f t="shared" si="50"/>
        <v>Hortifruti</v>
      </c>
      <c r="F1045" s="85" t="s">
        <v>1110</v>
      </c>
      <c r="G1045" s="85" t="s">
        <v>68</v>
      </c>
      <c r="H1045" s="85" t="s">
        <v>1039</v>
      </c>
      <c r="I1045" s="85">
        <f>15-1.3</f>
        <v>13.7</v>
      </c>
      <c r="J1045" s="87">
        <v>1.88</v>
      </c>
      <c r="K1045" s="88">
        <f t="shared" si="51"/>
        <v>25.755999999999997</v>
      </c>
      <c r="L1045" s="85" t="s">
        <v>1246</v>
      </c>
    </row>
    <row r="1046" spans="1:12" x14ac:dyDescent="0.25">
      <c r="A1046" s="84" t="str">
        <f t="shared" si="49"/>
        <v>OutubroSEMANA 3Banana D'Água</v>
      </c>
      <c r="B1046" s="85" t="s">
        <v>37</v>
      </c>
      <c r="C1046" s="85" t="s">
        <v>22</v>
      </c>
      <c r="D1046" s="86">
        <v>20</v>
      </c>
      <c r="E1046" s="116" t="str">
        <f t="shared" si="50"/>
        <v>Hortifruti</v>
      </c>
      <c r="F1046" s="85" t="s">
        <v>1110</v>
      </c>
      <c r="G1046" s="85" t="s">
        <v>162</v>
      </c>
      <c r="H1046" s="85" t="s">
        <v>1039</v>
      </c>
      <c r="I1046" s="85">
        <v>5</v>
      </c>
      <c r="J1046" s="87">
        <v>1.88</v>
      </c>
      <c r="K1046" s="88">
        <f t="shared" si="51"/>
        <v>9.3999999999999986</v>
      </c>
      <c r="L1046" s="85" t="s">
        <v>1252</v>
      </c>
    </row>
    <row r="1047" spans="1:12" x14ac:dyDescent="0.25">
      <c r="A1047" s="84" t="str">
        <f t="shared" si="49"/>
        <v>OutubroSEMANA 3Batata Calabresa</v>
      </c>
      <c r="B1047" s="85" t="s">
        <v>37</v>
      </c>
      <c r="C1047" s="85" t="s">
        <v>22</v>
      </c>
      <c r="D1047" s="86">
        <v>20</v>
      </c>
      <c r="E1047" s="116" t="str">
        <f t="shared" si="50"/>
        <v>Hortifruti</v>
      </c>
      <c r="F1047" s="85" t="s">
        <v>1110</v>
      </c>
      <c r="G1047" s="85" t="s">
        <v>903</v>
      </c>
      <c r="H1047" s="85" t="s">
        <v>1039</v>
      </c>
      <c r="I1047" s="85"/>
      <c r="J1047" s="87"/>
      <c r="K1047" s="88">
        <f t="shared" si="51"/>
        <v>0</v>
      </c>
      <c r="L1047" s="85" t="s">
        <v>1248</v>
      </c>
    </row>
    <row r="1048" spans="1:12" x14ac:dyDescent="0.25">
      <c r="A1048" s="84" t="str">
        <f t="shared" si="49"/>
        <v>OutubroSEMANA 3Bertalha</v>
      </c>
      <c r="B1048" s="85" t="s">
        <v>37</v>
      </c>
      <c r="C1048" s="85" t="s">
        <v>22</v>
      </c>
      <c r="D1048" s="86">
        <v>20</v>
      </c>
      <c r="E1048" s="116" t="str">
        <f t="shared" si="50"/>
        <v>Hortifruti</v>
      </c>
      <c r="F1048" s="85" t="s">
        <v>1110</v>
      </c>
      <c r="G1048" s="85" t="s">
        <v>180</v>
      </c>
      <c r="H1048" s="85" t="s">
        <v>1039</v>
      </c>
      <c r="I1048" s="85">
        <f>7-1.28</f>
        <v>5.72</v>
      </c>
      <c r="J1048" s="87">
        <v>3.75</v>
      </c>
      <c r="K1048" s="88">
        <f t="shared" si="51"/>
        <v>21.45</v>
      </c>
      <c r="L1048" s="85" t="s">
        <v>1247</v>
      </c>
    </row>
    <row r="1049" spans="1:12" x14ac:dyDescent="0.25">
      <c r="A1049" s="84" t="str">
        <f t="shared" si="49"/>
        <v>OutubroSEMANA 3Inhame</v>
      </c>
      <c r="B1049" s="85" t="s">
        <v>37</v>
      </c>
      <c r="C1049" s="85" t="s">
        <v>22</v>
      </c>
      <c r="D1049" s="86">
        <v>20</v>
      </c>
      <c r="E1049" s="116" t="str">
        <f t="shared" si="50"/>
        <v>Hortifruti</v>
      </c>
      <c r="F1049" s="85" t="s">
        <v>1110</v>
      </c>
      <c r="G1049" s="85" t="s">
        <v>448</v>
      </c>
      <c r="H1049" s="85" t="s">
        <v>1039</v>
      </c>
      <c r="I1049" s="85">
        <v>2</v>
      </c>
      <c r="J1049" s="87">
        <v>1.74</v>
      </c>
      <c r="K1049" s="88">
        <f t="shared" si="51"/>
        <v>3.48</v>
      </c>
      <c r="L1049" s="85" t="s">
        <v>1247</v>
      </c>
    </row>
    <row r="1050" spans="1:12" x14ac:dyDescent="0.25">
      <c r="A1050" s="84" t="str">
        <f t="shared" si="49"/>
        <v>OutubroSEMANA 3Laranja Pera</v>
      </c>
      <c r="B1050" s="85" t="s">
        <v>37</v>
      </c>
      <c r="C1050" s="85" t="s">
        <v>22</v>
      </c>
      <c r="D1050" s="86">
        <v>20</v>
      </c>
      <c r="E1050" s="116" t="str">
        <f t="shared" si="50"/>
        <v>Hortifruti</v>
      </c>
      <c r="F1050" s="85" t="s">
        <v>1110</v>
      </c>
      <c r="G1050" s="85" t="s">
        <v>457</v>
      </c>
      <c r="H1050" s="85" t="s">
        <v>1039</v>
      </c>
      <c r="I1050" s="85">
        <v>19.260000000000002</v>
      </c>
      <c r="J1050" s="87">
        <f>30/19.26</f>
        <v>1.557632398753894</v>
      </c>
      <c r="K1050" s="88">
        <f t="shared" si="51"/>
        <v>30</v>
      </c>
      <c r="L1050" s="85" t="s">
        <v>1247</v>
      </c>
    </row>
    <row r="1051" spans="1:12" x14ac:dyDescent="0.25">
      <c r="A1051" s="84" t="str">
        <f t="shared" si="49"/>
        <v xml:space="preserve">OutubroSEMANA 3Melão de Rede </v>
      </c>
      <c r="B1051" s="85" t="s">
        <v>37</v>
      </c>
      <c r="C1051" s="85" t="s">
        <v>22</v>
      </c>
      <c r="D1051" s="86">
        <v>20</v>
      </c>
      <c r="E1051" s="116" t="str">
        <f t="shared" si="50"/>
        <v>Hortifruti</v>
      </c>
      <c r="F1051" s="85" t="s">
        <v>1110</v>
      </c>
      <c r="G1051" s="85" t="s">
        <v>518</v>
      </c>
      <c r="H1051" s="85" t="s">
        <v>1039</v>
      </c>
      <c r="I1051" s="85">
        <v>1.84</v>
      </c>
      <c r="J1051" s="87">
        <v>5</v>
      </c>
      <c r="K1051" s="88">
        <f t="shared" si="51"/>
        <v>9.2000000000000011</v>
      </c>
      <c r="L1051" s="85" t="s">
        <v>1247</v>
      </c>
    </row>
    <row r="1052" spans="1:12" x14ac:dyDescent="0.25">
      <c r="A1052" s="84" t="str">
        <f t="shared" si="49"/>
        <v>OutubroSEMANA 3Pimentão Vermelho</v>
      </c>
      <c r="B1052" s="85" t="s">
        <v>37</v>
      </c>
      <c r="C1052" s="85" t="s">
        <v>22</v>
      </c>
      <c r="D1052" s="86">
        <v>20</v>
      </c>
      <c r="E1052" s="116" t="str">
        <f t="shared" si="50"/>
        <v>Hortifruti</v>
      </c>
      <c r="F1052" s="85" t="s">
        <v>1054</v>
      </c>
      <c r="G1052" s="85" t="s">
        <v>667</v>
      </c>
      <c r="H1052" s="85" t="s">
        <v>1039</v>
      </c>
      <c r="I1052" s="85">
        <v>1</v>
      </c>
      <c r="J1052" s="87">
        <v>15</v>
      </c>
      <c r="K1052" s="88">
        <f t="shared" si="51"/>
        <v>15</v>
      </c>
      <c r="L1052" s="85">
        <v>1971</v>
      </c>
    </row>
    <row r="1053" spans="1:12" x14ac:dyDescent="0.25">
      <c r="A1053" s="84" t="str">
        <f t="shared" si="49"/>
        <v>OutubroSEMANA 3Tomate Molho</v>
      </c>
      <c r="B1053" s="85" t="s">
        <v>37</v>
      </c>
      <c r="C1053" s="85" t="s">
        <v>22</v>
      </c>
      <c r="D1053" s="86">
        <v>20</v>
      </c>
      <c r="E1053" s="116" t="str">
        <f t="shared" si="50"/>
        <v>Hortifruti</v>
      </c>
      <c r="F1053" s="85" t="s">
        <v>1054</v>
      </c>
      <c r="G1053" s="85" t="s">
        <v>792</v>
      </c>
      <c r="H1053" s="85" t="s">
        <v>1039</v>
      </c>
      <c r="I1053" s="85">
        <v>17.98</v>
      </c>
      <c r="J1053" s="87">
        <f>70/17.98</f>
        <v>3.8932146829810899</v>
      </c>
      <c r="K1053" s="88">
        <f t="shared" si="51"/>
        <v>70</v>
      </c>
      <c r="L1053" s="85">
        <v>1971</v>
      </c>
    </row>
    <row r="1054" spans="1:12" x14ac:dyDescent="0.25">
      <c r="A1054" s="84" t="str">
        <f t="shared" si="49"/>
        <v>OutubroSEMANA 3Manjericão</v>
      </c>
      <c r="B1054" s="85" t="s">
        <v>37</v>
      </c>
      <c r="C1054" s="85" t="s">
        <v>22</v>
      </c>
      <c r="D1054" s="86">
        <v>20</v>
      </c>
      <c r="E1054" s="116" t="str">
        <f t="shared" si="50"/>
        <v>Hortifruti</v>
      </c>
      <c r="F1054" s="85" t="s">
        <v>1054</v>
      </c>
      <c r="G1054" s="85" t="s">
        <v>499</v>
      </c>
      <c r="H1054" s="85" t="s">
        <v>1039</v>
      </c>
      <c r="I1054" s="85">
        <v>0.5</v>
      </c>
      <c r="J1054" s="87">
        <v>12</v>
      </c>
      <c r="K1054" s="88">
        <f t="shared" si="51"/>
        <v>6</v>
      </c>
      <c r="L1054" s="85">
        <v>1971</v>
      </c>
    </row>
    <row r="1055" spans="1:12" x14ac:dyDescent="0.25">
      <c r="A1055" s="84" t="str">
        <f t="shared" si="49"/>
        <v>OutubroSEMANA 3Salsa</v>
      </c>
      <c r="B1055" s="85" t="s">
        <v>37</v>
      </c>
      <c r="C1055" s="85" t="s">
        <v>22</v>
      </c>
      <c r="D1055" s="86">
        <v>20</v>
      </c>
      <c r="E1055" s="116" t="str">
        <f t="shared" si="50"/>
        <v>Hortifruti</v>
      </c>
      <c r="F1055" s="85" t="s">
        <v>1054</v>
      </c>
      <c r="G1055" s="85" t="s">
        <v>729</v>
      </c>
      <c r="H1055" s="85" t="s">
        <v>1039</v>
      </c>
      <c r="I1055" s="85">
        <v>1.5</v>
      </c>
      <c r="J1055" s="87">
        <v>7</v>
      </c>
      <c r="K1055" s="88">
        <f t="shared" si="51"/>
        <v>10.5</v>
      </c>
      <c r="L1055" s="85">
        <v>1971</v>
      </c>
    </row>
    <row r="1056" spans="1:12" x14ac:dyDescent="0.25">
      <c r="A1056" s="84" t="str">
        <f t="shared" si="49"/>
        <v>OutubroSEMANA 3Limão Siciliano</v>
      </c>
      <c r="B1056" s="85" t="s">
        <v>37</v>
      </c>
      <c r="C1056" s="85" t="s">
        <v>22</v>
      </c>
      <c r="D1056" s="86">
        <v>20</v>
      </c>
      <c r="E1056" s="116" t="str">
        <f t="shared" si="50"/>
        <v>Hortifruti</v>
      </c>
      <c r="F1056" s="85" t="s">
        <v>1054</v>
      </c>
      <c r="G1056" s="85" t="s">
        <v>466</v>
      </c>
      <c r="H1056" s="85" t="s">
        <v>1039</v>
      </c>
      <c r="I1056" s="85">
        <v>1</v>
      </c>
      <c r="J1056" s="87">
        <v>10</v>
      </c>
      <c r="K1056" s="88">
        <f t="shared" si="51"/>
        <v>10</v>
      </c>
      <c r="L1056" s="85">
        <v>1971</v>
      </c>
    </row>
    <row r="1057" spans="1:12" x14ac:dyDescent="0.25">
      <c r="A1057" s="84" t="str">
        <f t="shared" si="49"/>
        <v xml:space="preserve">OutubroSEMANA 3Abacate </v>
      </c>
      <c r="B1057" s="85" t="s">
        <v>37</v>
      </c>
      <c r="C1057" s="85" t="s">
        <v>22</v>
      </c>
      <c r="D1057" s="86">
        <v>20</v>
      </c>
      <c r="E1057" s="116" t="str">
        <f t="shared" si="50"/>
        <v>Hortifruti</v>
      </c>
      <c r="F1057" s="85" t="s">
        <v>1054</v>
      </c>
      <c r="G1057" s="85" t="s">
        <v>62</v>
      </c>
      <c r="H1057" s="85" t="s">
        <v>1039</v>
      </c>
      <c r="I1057" s="85">
        <v>3</v>
      </c>
      <c r="J1057" s="87">
        <v>6.8</v>
      </c>
      <c r="K1057" s="88">
        <f t="shared" si="51"/>
        <v>20.399999999999999</v>
      </c>
      <c r="L1057" s="85">
        <v>1971</v>
      </c>
    </row>
    <row r="1058" spans="1:12" x14ac:dyDescent="0.25">
      <c r="A1058" s="84" t="str">
        <f t="shared" si="49"/>
        <v xml:space="preserve">OutubroSEMANA 3Abacaxi </v>
      </c>
      <c r="B1058" s="85" t="s">
        <v>37</v>
      </c>
      <c r="C1058" s="85" t="s">
        <v>22</v>
      </c>
      <c r="D1058" s="86">
        <v>20</v>
      </c>
      <c r="E1058" s="116" t="str">
        <f t="shared" si="50"/>
        <v>Hortifruti</v>
      </c>
      <c r="F1058" s="85" t="s">
        <v>1054</v>
      </c>
      <c r="G1058" s="85" t="s">
        <v>65</v>
      </c>
      <c r="H1058" s="85" t="s">
        <v>1039</v>
      </c>
      <c r="I1058" s="85">
        <v>10</v>
      </c>
      <c r="J1058" s="87">
        <v>2.4</v>
      </c>
      <c r="K1058" s="88">
        <f t="shared" si="51"/>
        <v>24</v>
      </c>
      <c r="L1058" s="85">
        <v>1971</v>
      </c>
    </row>
    <row r="1059" spans="1:12" x14ac:dyDescent="0.25">
      <c r="A1059" s="84" t="str">
        <f t="shared" si="49"/>
        <v>OutubroSEMANA 3Limão</v>
      </c>
      <c r="B1059" s="85" t="s">
        <v>37</v>
      </c>
      <c r="C1059" s="85" t="s">
        <v>22</v>
      </c>
      <c r="D1059" s="86">
        <v>20</v>
      </c>
      <c r="E1059" s="116" t="str">
        <f t="shared" si="50"/>
        <v>Hortifruti</v>
      </c>
      <c r="F1059" s="85" t="s">
        <v>1054</v>
      </c>
      <c r="G1059" s="85" t="s">
        <v>464</v>
      </c>
      <c r="H1059" s="85" t="s">
        <v>1039</v>
      </c>
      <c r="I1059" s="85">
        <v>24.98</v>
      </c>
      <c r="J1059" s="87">
        <f>135/24.98</f>
        <v>5.4043234587670135</v>
      </c>
      <c r="K1059" s="88">
        <f t="shared" si="51"/>
        <v>135</v>
      </c>
      <c r="L1059" s="85">
        <v>1971</v>
      </c>
    </row>
    <row r="1060" spans="1:12" x14ac:dyDescent="0.25">
      <c r="A1060" s="84" t="str">
        <f t="shared" si="49"/>
        <v>OutubroSEMANA 3Alecrim</v>
      </c>
      <c r="B1060" s="85" t="s">
        <v>37</v>
      </c>
      <c r="C1060" s="85" t="s">
        <v>22</v>
      </c>
      <c r="D1060" s="86">
        <v>20</v>
      </c>
      <c r="E1060" s="116" t="str">
        <f t="shared" si="50"/>
        <v>Hortifruti</v>
      </c>
      <c r="F1060" s="85" t="s">
        <v>1055</v>
      </c>
      <c r="G1060" s="85" t="s">
        <v>101</v>
      </c>
      <c r="H1060" s="85" t="s">
        <v>1039</v>
      </c>
      <c r="I1060" s="85">
        <v>0.2</v>
      </c>
      <c r="J1060" s="87">
        <v>18.5</v>
      </c>
      <c r="K1060" s="88">
        <f t="shared" si="51"/>
        <v>3.7</v>
      </c>
      <c r="L1060" s="85">
        <v>5231</v>
      </c>
    </row>
    <row r="1061" spans="1:12" x14ac:dyDescent="0.25">
      <c r="A1061" s="84" t="str">
        <f t="shared" si="49"/>
        <v>OutubroSEMANA 3Côco Verde</v>
      </c>
      <c r="B1061" s="85" t="s">
        <v>37</v>
      </c>
      <c r="C1061" s="85" t="s">
        <v>22</v>
      </c>
      <c r="D1061" s="86">
        <v>20</v>
      </c>
      <c r="E1061" s="116" t="str">
        <f t="shared" si="50"/>
        <v>Hortifruti</v>
      </c>
      <c r="F1061" s="85" t="s">
        <v>1055</v>
      </c>
      <c r="G1061" s="85" t="s">
        <v>288</v>
      </c>
      <c r="H1061" s="85" t="s">
        <v>1038</v>
      </c>
      <c r="I1061" s="85">
        <v>20</v>
      </c>
      <c r="J1061" s="87">
        <v>1.98</v>
      </c>
      <c r="K1061" s="88">
        <f t="shared" si="51"/>
        <v>39.6</v>
      </c>
      <c r="L1061" s="85">
        <v>5231</v>
      </c>
    </row>
    <row r="1062" spans="1:12" x14ac:dyDescent="0.25">
      <c r="A1062" s="84" t="str">
        <f t="shared" si="49"/>
        <v>OutubroSEMANA 3Couve Flor</v>
      </c>
      <c r="B1062" s="85" t="s">
        <v>37</v>
      </c>
      <c r="C1062" s="85" t="s">
        <v>22</v>
      </c>
      <c r="D1062" s="86">
        <v>20</v>
      </c>
      <c r="E1062" s="116" t="str">
        <f t="shared" si="50"/>
        <v>Hortifruti</v>
      </c>
      <c r="F1062" s="85" t="s">
        <v>1055</v>
      </c>
      <c r="G1062" s="85" t="s">
        <v>306</v>
      </c>
      <c r="H1062" s="85" t="s">
        <v>1039</v>
      </c>
      <c r="I1062" s="85">
        <v>3</v>
      </c>
      <c r="J1062" s="87">
        <v>4.25</v>
      </c>
      <c r="K1062" s="88">
        <f t="shared" si="51"/>
        <v>12.75</v>
      </c>
      <c r="L1062" s="85">
        <v>5231</v>
      </c>
    </row>
    <row r="1063" spans="1:12" x14ac:dyDescent="0.25">
      <c r="A1063" s="84" t="str">
        <f t="shared" si="49"/>
        <v>OutubroSEMANA 3Hortelã</v>
      </c>
      <c r="B1063" s="85" t="s">
        <v>37</v>
      </c>
      <c r="C1063" s="85" t="s">
        <v>22</v>
      </c>
      <c r="D1063" s="86">
        <v>20</v>
      </c>
      <c r="E1063" s="116" t="str">
        <f t="shared" si="50"/>
        <v>Hortifruti</v>
      </c>
      <c r="F1063" s="85" t="s">
        <v>1055</v>
      </c>
      <c r="G1063" s="85" t="s">
        <v>405</v>
      </c>
      <c r="H1063" s="85" t="s">
        <v>1039</v>
      </c>
      <c r="I1063" s="85">
        <v>1</v>
      </c>
      <c r="J1063" s="87">
        <v>4.5</v>
      </c>
      <c r="K1063" s="88">
        <f t="shared" si="51"/>
        <v>4.5</v>
      </c>
      <c r="L1063" s="85">
        <v>5231</v>
      </c>
    </row>
    <row r="1064" spans="1:12" x14ac:dyDescent="0.25">
      <c r="A1064" s="84" t="str">
        <f t="shared" si="49"/>
        <v>OutubroSEMANA 3Kiwi</v>
      </c>
      <c r="B1064" s="85" t="s">
        <v>37</v>
      </c>
      <c r="C1064" s="85" t="s">
        <v>22</v>
      </c>
      <c r="D1064" s="86">
        <v>20</v>
      </c>
      <c r="E1064" s="116" t="str">
        <f t="shared" si="50"/>
        <v>Hortifruti</v>
      </c>
      <c r="F1064" s="85" t="s">
        <v>1055</v>
      </c>
      <c r="G1064" s="85" t="s">
        <v>454</v>
      </c>
      <c r="H1064" s="85" t="s">
        <v>1039</v>
      </c>
      <c r="I1064" s="85">
        <v>1</v>
      </c>
      <c r="J1064" s="87">
        <v>13.7</v>
      </c>
      <c r="K1064" s="88">
        <f t="shared" si="51"/>
        <v>13.7</v>
      </c>
      <c r="L1064" s="85">
        <v>5231</v>
      </c>
    </row>
    <row r="1065" spans="1:12" x14ac:dyDescent="0.25">
      <c r="A1065" s="84" t="str">
        <f t="shared" si="49"/>
        <v>OutubroSEMANA 3Mamão Bahia</v>
      </c>
      <c r="B1065" s="85" t="s">
        <v>37</v>
      </c>
      <c r="C1065" s="85" t="s">
        <v>22</v>
      </c>
      <c r="D1065" s="86">
        <v>20</v>
      </c>
      <c r="E1065" s="116" t="str">
        <f t="shared" si="50"/>
        <v>Hortifruti</v>
      </c>
      <c r="F1065" s="85" t="s">
        <v>1055</v>
      </c>
      <c r="G1065" s="85" t="s">
        <v>494</v>
      </c>
      <c r="H1065" s="85" t="s">
        <v>1039</v>
      </c>
      <c r="I1065" s="85">
        <v>4</v>
      </c>
      <c r="J1065" s="87">
        <v>2.4</v>
      </c>
      <c r="K1065" s="88">
        <f t="shared" si="51"/>
        <v>9.6</v>
      </c>
      <c r="L1065" s="85">
        <v>5231</v>
      </c>
    </row>
    <row r="1066" spans="1:12" x14ac:dyDescent="0.25">
      <c r="A1066" s="84" t="str">
        <f t="shared" si="49"/>
        <v>OutubroSEMANA 3Manga Palmer</v>
      </c>
      <c r="B1066" s="85" t="s">
        <v>37</v>
      </c>
      <c r="C1066" s="85" t="s">
        <v>22</v>
      </c>
      <c r="D1066" s="86">
        <v>20</v>
      </c>
      <c r="E1066" s="116" t="str">
        <f t="shared" si="50"/>
        <v>Hortifruti</v>
      </c>
      <c r="F1066" s="85" t="s">
        <v>1055</v>
      </c>
      <c r="G1066" s="85" t="s">
        <v>496</v>
      </c>
      <c r="H1066" s="85" t="s">
        <v>1039</v>
      </c>
      <c r="I1066" s="85">
        <v>5.5</v>
      </c>
      <c r="J1066" s="87">
        <f>24/5.5</f>
        <v>4.3636363636363633</v>
      </c>
      <c r="K1066" s="88">
        <f t="shared" si="51"/>
        <v>24</v>
      </c>
      <c r="L1066" s="85">
        <v>5231</v>
      </c>
    </row>
    <row r="1067" spans="1:12" x14ac:dyDescent="0.25">
      <c r="A1067" s="84" t="str">
        <f t="shared" si="49"/>
        <v>OutubroSEMANA 3Manga Tommy</v>
      </c>
      <c r="B1067" s="85" t="s">
        <v>37</v>
      </c>
      <c r="C1067" s="85" t="s">
        <v>22</v>
      </c>
      <c r="D1067" s="86">
        <v>20</v>
      </c>
      <c r="E1067" s="116" t="str">
        <f t="shared" si="50"/>
        <v>Hortifruti</v>
      </c>
      <c r="F1067" s="85" t="s">
        <v>1055</v>
      </c>
      <c r="G1067" s="85" t="s">
        <v>497</v>
      </c>
      <c r="H1067" s="85" t="s">
        <v>1039</v>
      </c>
      <c r="I1067" s="85">
        <v>5.7</v>
      </c>
      <c r="J1067" s="87">
        <f>19.9/5.7</f>
        <v>3.4912280701754383</v>
      </c>
      <c r="K1067" s="88">
        <f t="shared" si="51"/>
        <v>19.899999999999999</v>
      </c>
      <c r="L1067" s="85">
        <v>5231</v>
      </c>
    </row>
    <row r="1068" spans="1:12" x14ac:dyDescent="0.25">
      <c r="A1068" s="84" t="str">
        <f t="shared" si="49"/>
        <v>OutubroSEMANA 3Tomate Cereja</v>
      </c>
      <c r="B1068" s="85" t="s">
        <v>37</v>
      </c>
      <c r="C1068" s="85" t="s">
        <v>22</v>
      </c>
      <c r="D1068" s="86">
        <v>20</v>
      </c>
      <c r="E1068" s="116" t="str">
        <f t="shared" si="50"/>
        <v>Hortifruti</v>
      </c>
      <c r="F1068" s="85" t="s">
        <v>1055</v>
      </c>
      <c r="G1068" s="85" t="s">
        <v>790</v>
      </c>
      <c r="H1068" s="85" t="s">
        <v>1039</v>
      </c>
      <c r="I1068" s="85">
        <v>5</v>
      </c>
      <c r="J1068" s="87">
        <v>7.85</v>
      </c>
      <c r="K1068" s="88">
        <f t="shared" si="51"/>
        <v>39.25</v>
      </c>
      <c r="L1068" s="85">
        <v>5231</v>
      </c>
    </row>
    <row r="1069" spans="1:12" x14ac:dyDescent="0.25">
      <c r="A1069" s="84" t="str">
        <f t="shared" si="49"/>
        <v>OutubroSEMANA 3Vagem Francesa</v>
      </c>
      <c r="B1069" s="85" t="s">
        <v>37</v>
      </c>
      <c r="C1069" s="85" t="s">
        <v>22</v>
      </c>
      <c r="D1069" s="86">
        <v>20</v>
      </c>
      <c r="E1069" s="116" t="str">
        <f t="shared" si="50"/>
        <v>Hortifruti</v>
      </c>
      <c r="F1069" s="85" t="s">
        <v>1055</v>
      </c>
      <c r="G1069" s="85" t="s">
        <v>831</v>
      </c>
      <c r="H1069" s="85" t="s">
        <v>1039</v>
      </c>
      <c r="I1069" s="85">
        <v>0.5</v>
      </c>
      <c r="J1069" s="87">
        <v>9.5</v>
      </c>
      <c r="K1069" s="88">
        <f t="shared" si="51"/>
        <v>4.75</v>
      </c>
      <c r="L1069" s="85">
        <v>5231</v>
      </c>
    </row>
    <row r="1070" spans="1:12" x14ac:dyDescent="0.25">
      <c r="A1070" s="84" t="str">
        <f t="shared" si="49"/>
        <v>OutubroSEMANA 3Suíno - Bacon</v>
      </c>
      <c r="B1070" s="85" t="s">
        <v>37</v>
      </c>
      <c r="C1070" s="85" t="s">
        <v>22</v>
      </c>
      <c r="D1070" s="86">
        <v>20</v>
      </c>
      <c r="E1070" s="116" t="str">
        <f t="shared" si="50"/>
        <v>Carnes</v>
      </c>
      <c r="F1070" s="85" t="s">
        <v>1078</v>
      </c>
      <c r="G1070" s="85" t="s">
        <v>755</v>
      </c>
      <c r="H1070" s="85" t="s">
        <v>1039</v>
      </c>
      <c r="I1070" s="85">
        <v>10</v>
      </c>
      <c r="J1070" s="87">
        <v>14.54</v>
      </c>
      <c r="K1070" s="88">
        <f t="shared" si="51"/>
        <v>145.39999999999998</v>
      </c>
      <c r="L1070" s="85" t="s">
        <v>1227</v>
      </c>
    </row>
    <row r="1071" spans="1:12" x14ac:dyDescent="0.25">
      <c r="A1071" s="84" t="str">
        <f t="shared" si="49"/>
        <v>OutubroSEMANA 3Queijo Parmezon</v>
      </c>
      <c r="B1071" s="85" t="s">
        <v>37</v>
      </c>
      <c r="C1071" s="85" t="s">
        <v>22</v>
      </c>
      <c r="D1071" s="86">
        <v>20</v>
      </c>
      <c r="E1071" s="116" t="str">
        <f t="shared" si="50"/>
        <v>Mercado</v>
      </c>
      <c r="F1071" s="85" t="s">
        <v>1078</v>
      </c>
      <c r="G1071" s="85" t="s">
        <v>686</v>
      </c>
      <c r="H1071" s="85" t="s">
        <v>1039</v>
      </c>
      <c r="I1071" s="85">
        <v>5.8</v>
      </c>
      <c r="J1071" s="87">
        <v>23.58</v>
      </c>
      <c r="K1071" s="88">
        <f t="shared" si="51"/>
        <v>136.76399999999998</v>
      </c>
      <c r="L1071" s="85" t="s">
        <v>1227</v>
      </c>
    </row>
    <row r="1072" spans="1:12" x14ac:dyDescent="0.25">
      <c r="A1072" s="84" t="str">
        <f t="shared" si="49"/>
        <v>OutubroSEMANA 3Queijo Coalho</v>
      </c>
      <c r="B1072" s="85" t="s">
        <v>37</v>
      </c>
      <c r="C1072" s="85" t="s">
        <v>22</v>
      </c>
      <c r="D1072" s="86">
        <v>20</v>
      </c>
      <c r="E1072" s="116" t="str">
        <f t="shared" si="50"/>
        <v>Mercado</v>
      </c>
      <c r="F1072" s="85" t="s">
        <v>1078</v>
      </c>
      <c r="G1072" s="85" t="s">
        <v>676</v>
      </c>
      <c r="H1072" s="85" t="s">
        <v>1039</v>
      </c>
      <c r="I1072" s="85">
        <v>6</v>
      </c>
      <c r="J1072" s="87">
        <v>24.13</v>
      </c>
      <c r="K1072" s="88">
        <f t="shared" si="51"/>
        <v>144.78</v>
      </c>
      <c r="L1072" s="85" t="s">
        <v>1227</v>
      </c>
    </row>
    <row r="1073" spans="1:12" x14ac:dyDescent="0.25">
      <c r="A1073" s="84" t="str">
        <f t="shared" si="49"/>
        <v>OutubroSEMANA 3Suíno - Barriga Suína</v>
      </c>
      <c r="B1073" s="85" t="s">
        <v>37</v>
      </c>
      <c r="C1073" s="85" t="s">
        <v>22</v>
      </c>
      <c r="D1073" s="86">
        <v>20</v>
      </c>
      <c r="E1073" s="116" t="str">
        <f t="shared" si="50"/>
        <v>Carnes</v>
      </c>
      <c r="F1073" s="85" t="s">
        <v>1228</v>
      </c>
      <c r="G1073" s="85" t="s">
        <v>757</v>
      </c>
      <c r="H1073" s="85" t="s">
        <v>1039</v>
      </c>
      <c r="I1073" s="85">
        <v>20</v>
      </c>
      <c r="J1073" s="87">
        <f>203.4/20</f>
        <v>10.17</v>
      </c>
      <c r="K1073" s="88">
        <f t="shared" si="51"/>
        <v>203.4</v>
      </c>
      <c r="L1073" s="85" t="s">
        <v>1229</v>
      </c>
    </row>
    <row r="1074" spans="1:12" x14ac:dyDescent="0.25">
      <c r="A1074" s="84" t="str">
        <f t="shared" si="49"/>
        <v>OutubroSEMANA 3Pescados - Camarão IQF Evisc. 51/60</v>
      </c>
      <c r="B1074" s="85" t="s">
        <v>37</v>
      </c>
      <c r="C1074" s="85" t="s">
        <v>22</v>
      </c>
      <c r="D1074" s="86">
        <v>20</v>
      </c>
      <c r="E1074" s="116" t="str">
        <f t="shared" si="50"/>
        <v>Carnes</v>
      </c>
      <c r="F1074" s="85" t="s">
        <v>1053</v>
      </c>
      <c r="G1074" s="85" t="s">
        <v>594</v>
      </c>
      <c r="H1074" s="85" t="s">
        <v>1039</v>
      </c>
      <c r="I1074" s="85">
        <v>6</v>
      </c>
      <c r="J1074" s="87">
        <v>66.5</v>
      </c>
      <c r="K1074" s="88">
        <f t="shared" si="51"/>
        <v>399</v>
      </c>
      <c r="L1074" s="85" t="s">
        <v>1230</v>
      </c>
    </row>
    <row r="1075" spans="1:12" x14ac:dyDescent="0.25">
      <c r="A1075" s="84" t="str">
        <f t="shared" si="49"/>
        <v>OutubroSEMANA 3Pescados - Salmão Inteiro</v>
      </c>
      <c r="B1075" s="85" t="s">
        <v>37</v>
      </c>
      <c r="C1075" s="85" t="s">
        <v>22</v>
      </c>
      <c r="D1075" s="86">
        <v>20</v>
      </c>
      <c r="E1075" s="116" t="str">
        <f t="shared" si="50"/>
        <v>Carnes</v>
      </c>
      <c r="F1075" s="85" t="s">
        <v>1053</v>
      </c>
      <c r="G1075" s="85" t="s">
        <v>644</v>
      </c>
      <c r="H1075" s="85" t="s">
        <v>1039</v>
      </c>
      <c r="I1075" s="85">
        <v>32.28</v>
      </c>
      <c r="J1075" s="87">
        <v>26.5</v>
      </c>
      <c r="K1075" s="88">
        <f t="shared" si="51"/>
        <v>855.42000000000007</v>
      </c>
      <c r="L1075" s="85" t="s">
        <v>1230</v>
      </c>
    </row>
    <row r="1076" spans="1:12" x14ac:dyDescent="0.25">
      <c r="A1076" s="84" t="str">
        <f t="shared" si="49"/>
        <v>OutubroSEMANA 3Pescados - Salmão Inteiro Sushi</v>
      </c>
      <c r="B1076" s="85" t="s">
        <v>37</v>
      </c>
      <c r="C1076" s="85" t="s">
        <v>22</v>
      </c>
      <c r="D1076" s="86">
        <v>20</v>
      </c>
      <c r="E1076" s="116" t="str">
        <f t="shared" si="50"/>
        <v>Sushi</v>
      </c>
      <c r="F1076" s="85" t="s">
        <v>1053</v>
      </c>
      <c r="G1076" s="85" t="s">
        <v>645</v>
      </c>
      <c r="H1076" s="85" t="s">
        <v>1039</v>
      </c>
      <c r="I1076" s="85">
        <v>31.06</v>
      </c>
      <c r="J1076" s="87">
        <v>26.5</v>
      </c>
      <c r="K1076" s="88">
        <f t="shared" si="51"/>
        <v>823.08999999999992</v>
      </c>
      <c r="L1076" s="85" t="s">
        <v>1230</v>
      </c>
    </row>
    <row r="1077" spans="1:12" x14ac:dyDescent="0.25">
      <c r="A1077" s="84" t="str">
        <f t="shared" si="49"/>
        <v>OutubroSEMANA 3Bolo de Cacau Belga</v>
      </c>
      <c r="B1077" s="85" t="s">
        <v>37</v>
      </c>
      <c r="C1077" s="85" t="s">
        <v>22</v>
      </c>
      <c r="D1077" s="86">
        <v>20</v>
      </c>
      <c r="E1077" s="116" t="str">
        <f t="shared" si="50"/>
        <v>Feirinha</v>
      </c>
      <c r="F1077" s="85" t="s">
        <v>1120</v>
      </c>
      <c r="G1077" s="85" t="s">
        <v>944</v>
      </c>
      <c r="H1077" s="85" t="s">
        <v>1038</v>
      </c>
      <c r="I1077" s="85">
        <v>2</v>
      </c>
      <c r="J1077" s="87">
        <v>9.5</v>
      </c>
      <c r="K1077" s="88">
        <f t="shared" si="51"/>
        <v>19</v>
      </c>
      <c r="L1077" s="85">
        <v>386</v>
      </c>
    </row>
    <row r="1078" spans="1:12" x14ac:dyDescent="0.25">
      <c r="A1078" s="84" t="str">
        <f t="shared" si="49"/>
        <v>OutubroSEMANA 3Bolo de Banana (com Amendoas)</v>
      </c>
      <c r="B1078" s="85" t="s">
        <v>37</v>
      </c>
      <c r="C1078" s="85" t="s">
        <v>22</v>
      </c>
      <c r="D1078" s="86">
        <v>20</v>
      </c>
      <c r="E1078" s="116" t="str">
        <f t="shared" si="50"/>
        <v>Feirinha</v>
      </c>
      <c r="F1078" s="85" t="s">
        <v>1120</v>
      </c>
      <c r="G1078" s="85" t="s">
        <v>943</v>
      </c>
      <c r="H1078" s="85" t="s">
        <v>1038</v>
      </c>
      <c r="I1078" s="85">
        <v>2</v>
      </c>
      <c r="J1078" s="87">
        <v>9.5</v>
      </c>
      <c r="K1078" s="88">
        <f t="shared" si="51"/>
        <v>19</v>
      </c>
      <c r="L1078" s="85">
        <v>386</v>
      </c>
    </row>
    <row r="1079" spans="1:12" x14ac:dyDescent="0.25">
      <c r="A1079" s="84" t="str">
        <f t="shared" si="49"/>
        <v>OutubroSEMANA 3Bolo de Cenoura (com cobertura de chocolate)</v>
      </c>
      <c r="B1079" s="85" t="s">
        <v>37</v>
      </c>
      <c r="C1079" s="85" t="s">
        <v>22</v>
      </c>
      <c r="D1079" s="86">
        <v>20</v>
      </c>
      <c r="E1079" s="116" t="str">
        <f t="shared" si="50"/>
        <v>Feirinha</v>
      </c>
      <c r="F1079" s="85" t="s">
        <v>1120</v>
      </c>
      <c r="G1079" s="85" t="s">
        <v>945</v>
      </c>
      <c r="H1079" s="85" t="s">
        <v>1038</v>
      </c>
      <c r="I1079" s="85">
        <v>2</v>
      </c>
      <c r="J1079" s="87">
        <v>9.5</v>
      </c>
      <c r="K1079" s="88">
        <f t="shared" si="51"/>
        <v>19</v>
      </c>
      <c r="L1079" s="85">
        <v>386</v>
      </c>
    </row>
    <row r="1080" spans="1:12" x14ac:dyDescent="0.25">
      <c r="A1080" s="84" t="str">
        <f t="shared" si="49"/>
        <v>OutubroSEMANA 3Bolo de Fuba (com cobertura de goiaba)</v>
      </c>
      <c r="B1080" s="85" t="s">
        <v>37</v>
      </c>
      <c r="C1080" s="85" t="s">
        <v>22</v>
      </c>
      <c r="D1080" s="86">
        <v>20</v>
      </c>
      <c r="E1080" s="116" t="str">
        <f t="shared" si="50"/>
        <v>Feirinha</v>
      </c>
      <c r="F1080" s="85" t="s">
        <v>1120</v>
      </c>
      <c r="G1080" s="85" t="s">
        <v>946</v>
      </c>
      <c r="H1080" s="85" t="s">
        <v>1038</v>
      </c>
      <c r="I1080" s="85">
        <v>1</v>
      </c>
      <c r="J1080" s="87">
        <v>9.5</v>
      </c>
      <c r="K1080" s="88">
        <f t="shared" si="51"/>
        <v>9.5</v>
      </c>
      <c r="L1080" s="85">
        <v>386</v>
      </c>
    </row>
    <row r="1081" spans="1:12" x14ac:dyDescent="0.25">
      <c r="A1081" s="84" t="str">
        <f t="shared" si="49"/>
        <v>OutubroSEMANA 3Mini Bolo de Cacau Belga</v>
      </c>
      <c r="B1081" s="85" t="s">
        <v>37</v>
      </c>
      <c r="C1081" s="85" t="s">
        <v>22</v>
      </c>
      <c r="D1081" s="86">
        <v>20</v>
      </c>
      <c r="E1081" s="116" t="str">
        <f t="shared" si="50"/>
        <v>Feirinha</v>
      </c>
      <c r="F1081" s="85" t="s">
        <v>1120</v>
      </c>
      <c r="G1081" s="85" t="s">
        <v>953</v>
      </c>
      <c r="H1081" s="85" t="s">
        <v>1038</v>
      </c>
      <c r="I1081" s="85">
        <v>3</v>
      </c>
      <c r="J1081" s="87">
        <v>4.5</v>
      </c>
      <c r="K1081" s="88">
        <f t="shared" si="51"/>
        <v>13.5</v>
      </c>
      <c r="L1081" s="85">
        <v>386</v>
      </c>
    </row>
    <row r="1082" spans="1:12" x14ac:dyDescent="0.25">
      <c r="A1082" s="84" t="str">
        <f t="shared" si="49"/>
        <v>OutubroSEMANA 3Mini Bolo de Banana (com amendoas)</v>
      </c>
      <c r="B1082" s="85" t="s">
        <v>37</v>
      </c>
      <c r="C1082" s="85" t="s">
        <v>22</v>
      </c>
      <c r="D1082" s="86">
        <v>20</v>
      </c>
      <c r="E1082" s="116" t="str">
        <f t="shared" si="50"/>
        <v>Feirinha</v>
      </c>
      <c r="F1082" s="85" t="s">
        <v>1120</v>
      </c>
      <c r="G1082" s="85" t="s">
        <v>952</v>
      </c>
      <c r="H1082" s="85" t="s">
        <v>1038</v>
      </c>
      <c r="I1082" s="85">
        <v>3</v>
      </c>
      <c r="J1082" s="87">
        <v>4.5</v>
      </c>
      <c r="K1082" s="88">
        <f t="shared" si="51"/>
        <v>13.5</v>
      </c>
      <c r="L1082" s="85">
        <v>386</v>
      </c>
    </row>
    <row r="1083" spans="1:12" x14ac:dyDescent="0.25">
      <c r="A1083" s="84" t="str">
        <f t="shared" si="49"/>
        <v>OutubroSEMANA 3Mini Bolo de Cenoura (com cobertura de chocolate)</v>
      </c>
      <c r="B1083" s="85" t="s">
        <v>37</v>
      </c>
      <c r="C1083" s="85" t="s">
        <v>22</v>
      </c>
      <c r="D1083" s="86">
        <v>20</v>
      </c>
      <c r="E1083" s="116" t="str">
        <f t="shared" si="50"/>
        <v>Feirinha</v>
      </c>
      <c r="F1083" s="85" t="s">
        <v>1120</v>
      </c>
      <c r="G1083" s="85" t="s">
        <v>954</v>
      </c>
      <c r="H1083" s="85" t="s">
        <v>1038</v>
      </c>
      <c r="I1083" s="85">
        <v>2</v>
      </c>
      <c r="J1083" s="87">
        <v>4.5</v>
      </c>
      <c r="K1083" s="88">
        <f t="shared" si="51"/>
        <v>9</v>
      </c>
      <c r="L1083" s="85">
        <v>386</v>
      </c>
    </row>
    <row r="1084" spans="1:12" x14ac:dyDescent="0.25">
      <c r="A1084" s="84" t="str">
        <f t="shared" si="49"/>
        <v>OutubroSEMANA 3Mini Bolo de Fuba (com cobertura goiaba)</v>
      </c>
      <c r="B1084" s="85" t="s">
        <v>37</v>
      </c>
      <c r="C1084" s="85" t="s">
        <v>22</v>
      </c>
      <c r="D1084" s="86">
        <v>20</v>
      </c>
      <c r="E1084" s="116" t="str">
        <f t="shared" si="50"/>
        <v>Feirinha</v>
      </c>
      <c r="F1084" s="85" t="s">
        <v>1120</v>
      </c>
      <c r="G1084" s="85" t="s">
        <v>955</v>
      </c>
      <c r="H1084" s="85" t="s">
        <v>1038</v>
      </c>
      <c r="I1084" s="85">
        <v>2</v>
      </c>
      <c r="J1084" s="87">
        <v>4.5</v>
      </c>
      <c r="K1084" s="88">
        <f t="shared" si="51"/>
        <v>9</v>
      </c>
      <c r="L1084" s="85">
        <v>386</v>
      </c>
    </row>
    <row r="1085" spans="1:12" x14ac:dyDescent="0.25">
      <c r="A1085" s="84" t="str">
        <f t="shared" si="49"/>
        <v>OutubroSEMANA 3Petit Four de Cacau Belga</v>
      </c>
      <c r="B1085" s="85" t="s">
        <v>37</v>
      </c>
      <c r="C1085" s="85" t="s">
        <v>22</v>
      </c>
      <c r="D1085" s="86">
        <v>20</v>
      </c>
      <c r="E1085" s="116" t="str">
        <f t="shared" si="50"/>
        <v>Feirinha</v>
      </c>
      <c r="F1085" s="85" t="s">
        <v>1120</v>
      </c>
      <c r="G1085" s="85" t="s">
        <v>957</v>
      </c>
      <c r="H1085" s="85" t="s">
        <v>1038</v>
      </c>
      <c r="I1085" s="85">
        <v>8</v>
      </c>
      <c r="J1085" s="87">
        <v>9.5</v>
      </c>
      <c r="K1085" s="88">
        <f t="shared" si="51"/>
        <v>76</v>
      </c>
      <c r="L1085" s="85">
        <v>386</v>
      </c>
    </row>
    <row r="1086" spans="1:12" x14ac:dyDescent="0.25">
      <c r="A1086" s="84" t="str">
        <f t="shared" si="49"/>
        <v>OutubroSEMANA 3Petit Four de Queijo</v>
      </c>
      <c r="B1086" s="85" t="s">
        <v>37</v>
      </c>
      <c r="C1086" s="85" t="s">
        <v>22</v>
      </c>
      <c r="D1086" s="86">
        <v>20</v>
      </c>
      <c r="E1086" s="116" t="str">
        <f t="shared" si="50"/>
        <v>Feirinha</v>
      </c>
      <c r="F1086" s="85" t="s">
        <v>1120</v>
      </c>
      <c r="G1086" s="85" t="s">
        <v>958</v>
      </c>
      <c r="H1086" s="85" t="s">
        <v>1038</v>
      </c>
      <c r="I1086" s="85">
        <v>1</v>
      </c>
      <c r="J1086" s="87">
        <v>9.5</v>
      </c>
      <c r="K1086" s="88">
        <f t="shared" si="51"/>
        <v>9.5</v>
      </c>
      <c r="L1086" s="85">
        <v>386</v>
      </c>
    </row>
    <row r="1087" spans="1:12" x14ac:dyDescent="0.25">
      <c r="A1087" s="84" t="str">
        <f t="shared" si="49"/>
        <v>OutubroSEMANA 3Petit Four de Amendoas</v>
      </c>
      <c r="B1087" s="85" t="s">
        <v>37</v>
      </c>
      <c r="C1087" s="85" t="s">
        <v>22</v>
      </c>
      <c r="D1087" s="86">
        <v>20</v>
      </c>
      <c r="E1087" s="116" t="str">
        <f t="shared" si="50"/>
        <v>Feirinha</v>
      </c>
      <c r="F1087" s="85" t="s">
        <v>1120</v>
      </c>
      <c r="G1087" s="85" t="s">
        <v>956</v>
      </c>
      <c r="H1087" s="85" t="s">
        <v>1038</v>
      </c>
      <c r="I1087" s="85">
        <v>1</v>
      </c>
      <c r="J1087" s="87">
        <v>9.5</v>
      </c>
      <c r="K1087" s="88">
        <f t="shared" si="51"/>
        <v>9.5</v>
      </c>
      <c r="L1087" s="85">
        <v>386</v>
      </c>
    </row>
    <row r="1088" spans="1:12" x14ac:dyDescent="0.25">
      <c r="A1088" s="84" t="str">
        <f t="shared" si="49"/>
        <v>OutubroSEMANA 3Abobrinha Org. Feirinha</v>
      </c>
      <c r="B1088" s="85" t="s">
        <v>37</v>
      </c>
      <c r="C1088" s="85" t="s">
        <v>22</v>
      </c>
      <c r="D1088" s="86">
        <v>20</v>
      </c>
      <c r="E1088" s="116" t="str">
        <f t="shared" si="50"/>
        <v>Feirinha</v>
      </c>
      <c r="F1088" s="85" t="s">
        <v>1044</v>
      </c>
      <c r="G1088" s="85" t="s">
        <v>984</v>
      </c>
      <c r="H1088" s="85" t="s">
        <v>1039</v>
      </c>
      <c r="I1088" s="85">
        <v>1.7</v>
      </c>
      <c r="J1088" s="87">
        <v>7.85</v>
      </c>
      <c r="K1088" s="88">
        <f t="shared" si="51"/>
        <v>13.344999999999999</v>
      </c>
      <c r="L1088" s="85">
        <v>83156</v>
      </c>
    </row>
    <row r="1089" spans="1:12" x14ac:dyDescent="0.25">
      <c r="A1089" s="84" t="str">
        <f t="shared" si="49"/>
        <v>OutubroSEMANA 3Alface Americana Orgânica</v>
      </c>
      <c r="B1089" s="85" t="s">
        <v>37</v>
      </c>
      <c r="C1089" s="85" t="s">
        <v>22</v>
      </c>
      <c r="D1089" s="86">
        <v>20</v>
      </c>
      <c r="E1089" s="116" t="str">
        <f t="shared" si="50"/>
        <v>Hortifruti</v>
      </c>
      <c r="F1089" s="85" t="s">
        <v>1044</v>
      </c>
      <c r="G1089" s="85" t="s">
        <v>103</v>
      </c>
      <c r="H1089" s="85" t="s">
        <v>1039</v>
      </c>
      <c r="I1089" s="85">
        <f>10.5-1.72</f>
        <v>8.7799999999999994</v>
      </c>
      <c r="J1089" s="87">
        <f>69.6/10.5</f>
        <v>6.6285714285714281</v>
      </c>
      <c r="K1089" s="88">
        <f t="shared" si="51"/>
        <v>58.198857142857136</v>
      </c>
      <c r="L1089" s="85">
        <v>83156</v>
      </c>
    </row>
    <row r="1090" spans="1:12" x14ac:dyDescent="0.25">
      <c r="A1090" s="84" t="str">
        <f t="shared" ref="A1090:A1153" si="52">CONCATENATE(B1090,C1090,G1090)</f>
        <v>OutubroSEMANA 3Alface Americana Org. Feirinha</v>
      </c>
      <c r="B1090" s="85" t="s">
        <v>37</v>
      </c>
      <c r="C1090" s="85" t="s">
        <v>22</v>
      </c>
      <c r="D1090" s="86">
        <v>20</v>
      </c>
      <c r="E1090" s="116" t="str">
        <f t="shared" ref="E1090:E1153" si="53">VLOOKUP(G1090,$M$1:$O$968,3,0)</f>
        <v>Feirinha</v>
      </c>
      <c r="F1090" s="85" t="s">
        <v>1044</v>
      </c>
      <c r="G1090" s="85" t="s">
        <v>879</v>
      </c>
      <c r="H1090" s="85" t="s">
        <v>1039</v>
      </c>
      <c r="I1090" s="85">
        <v>1.72</v>
      </c>
      <c r="J1090" s="87">
        <f>69.6/10.5</f>
        <v>6.6285714285714281</v>
      </c>
      <c r="K1090" s="88">
        <f t="shared" ref="K1090:K1153" si="54">I1090*J1090</f>
        <v>11.401142857142856</v>
      </c>
      <c r="L1090" s="85">
        <v>83156</v>
      </c>
    </row>
    <row r="1091" spans="1:12" x14ac:dyDescent="0.25">
      <c r="A1091" s="84" t="str">
        <f t="shared" si="52"/>
        <v>OutubroSEMANA 3Alface crespa Orgânica</v>
      </c>
      <c r="B1091" s="85" t="s">
        <v>37</v>
      </c>
      <c r="C1091" s="85" t="s">
        <v>22</v>
      </c>
      <c r="D1091" s="86">
        <v>20</v>
      </c>
      <c r="E1091" s="116" t="str">
        <f t="shared" si="53"/>
        <v>Hortifruti</v>
      </c>
      <c r="F1091" s="85" t="s">
        <v>1044</v>
      </c>
      <c r="G1091" s="85" t="s">
        <v>105</v>
      </c>
      <c r="H1091" s="85" t="s">
        <v>1039</v>
      </c>
      <c r="I1091" s="85">
        <f>4-1.34</f>
        <v>2.66</v>
      </c>
      <c r="J1091" s="87">
        <f>32.5/4</f>
        <v>8.125</v>
      </c>
      <c r="K1091" s="88">
        <f t="shared" si="54"/>
        <v>21.612500000000001</v>
      </c>
      <c r="L1091" s="85">
        <v>83156</v>
      </c>
    </row>
    <row r="1092" spans="1:12" x14ac:dyDescent="0.25">
      <c r="A1092" s="84" t="str">
        <f t="shared" si="52"/>
        <v>OutubroSEMANA 3Alface Crespa Org. Feirinha</v>
      </c>
      <c r="B1092" s="85" t="s">
        <v>37</v>
      </c>
      <c r="C1092" s="85" t="s">
        <v>22</v>
      </c>
      <c r="D1092" s="86">
        <v>20</v>
      </c>
      <c r="E1092" s="116" t="str">
        <f t="shared" si="53"/>
        <v>Feirinha</v>
      </c>
      <c r="F1092" s="85" t="s">
        <v>1044</v>
      </c>
      <c r="G1092" s="85" t="s">
        <v>880</v>
      </c>
      <c r="H1092" s="85" t="s">
        <v>1039</v>
      </c>
      <c r="I1092" s="85">
        <v>1.34</v>
      </c>
      <c r="J1092" s="87">
        <f>32.5/4</f>
        <v>8.125</v>
      </c>
      <c r="K1092" s="88">
        <f t="shared" si="54"/>
        <v>10.887500000000001</v>
      </c>
      <c r="L1092" s="85">
        <v>83156</v>
      </c>
    </row>
    <row r="1093" spans="1:12" x14ac:dyDescent="0.25">
      <c r="A1093" s="84" t="str">
        <f t="shared" si="52"/>
        <v>OutubroSEMANA 3Alface Roxa Orgânica</v>
      </c>
      <c r="B1093" s="85" t="s">
        <v>37</v>
      </c>
      <c r="C1093" s="85" t="s">
        <v>22</v>
      </c>
      <c r="D1093" s="86">
        <v>20</v>
      </c>
      <c r="E1093" s="116" t="str">
        <f t="shared" si="53"/>
        <v>Hortifruti</v>
      </c>
      <c r="F1093" s="85" t="s">
        <v>1044</v>
      </c>
      <c r="G1093" s="85" t="s">
        <v>109</v>
      </c>
      <c r="H1093" s="85" t="s">
        <v>1039</v>
      </c>
      <c r="I1093" s="85">
        <f>2.68-0.92</f>
        <v>1.7600000000000002</v>
      </c>
      <c r="J1093" s="87">
        <f>22.5/2.68</f>
        <v>8.3955223880597014</v>
      </c>
      <c r="K1093" s="88">
        <f t="shared" si="54"/>
        <v>14.776119402985076</v>
      </c>
      <c r="L1093" s="85">
        <v>83156</v>
      </c>
    </row>
    <row r="1094" spans="1:12" x14ac:dyDescent="0.25">
      <c r="A1094" s="84" t="str">
        <f t="shared" si="52"/>
        <v>OutubroSEMANA 3Alface Roxa Org. Feirinha</v>
      </c>
      <c r="B1094" s="85" t="s">
        <v>37</v>
      </c>
      <c r="C1094" s="85" t="s">
        <v>22</v>
      </c>
      <c r="D1094" s="86">
        <v>20</v>
      </c>
      <c r="E1094" s="116" t="str">
        <f t="shared" si="53"/>
        <v>Feirinha</v>
      </c>
      <c r="F1094" s="85" t="s">
        <v>1044</v>
      </c>
      <c r="G1094" s="85" t="s">
        <v>881</v>
      </c>
      <c r="H1094" s="85" t="s">
        <v>1039</v>
      </c>
      <c r="I1094" s="85">
        <v>0.92</v>
      </c>
      <c r="J1094" s="87">
        <f>22.5/2.68</f>
        <v>8.3955223880597014</v>
      </c>
      <c r="K1094" s="88">
        <f t="shared" si="54"/>
        <v>7.7238805970149258</v>
      </c>
      <c r="L1094" s="85">
        <v>83156</v>
      </c>
    </row>
    <row r="1095" spans="1:12" x14ac:dyDescent="0.25">
      <c r="A1095" s="84" t="str">
        <f t="shared" si="52"/>
        <v>OutubroSEMANA 3Banana Prata Org. Feirinha</v>
      </c>
      <c r="B1095" s="85" t="s">
        <v>37</v>
      </c>
      <c r="C1095" s="85" t="s">
        <v>22</v>
      </c>
      <c r="D1095" s="86">
        <v>20</v>
      </c>
      <c r="E1095" s="116" t="str">
        <f t="shared" si="53"/>
        <v>Feirinha</v>
      </c>
      <c r="F1095" s="85" t="s">
        <v>1044</v>
      </c>
      <c r="G1095" s="85" t="s">
        <v>897</v>
      </c>
      <c r="H1095" s="85" t="s">
        <v>1039</v>
      </c>
      <c r="I1095" s="85">
        <v>1</v>
      </c>
      <c r="J1095" s="87">
        <v>6.55</v>
      </c>
      <c r="K1095" s="88">
        <f t="shared" si="54"/>
        <v>6.55</v>
      </c>
      <c r="L1095" s="85">
        <v>83156</v>
      </c>
    </row>
    <row r="1096" spans="1:12" x14ac:dyDescent="0.25">
      <c r="A1096" s="84" t="str">
        <f t="shared" si="52"/>
        <v>OutubroSEMANA 3Berinjela Org. Feirinha</v>
      </c>
      <c r="B1096" s="85" t="s">
        <v>37</v>
      </c>
      <c r="C1096" s="85" t="s">
        <v>22</v>
      </c>
      <c r="D1096" s="86">
        <v>20</v>
      </c>
      <c r="E1096" s="116" t="str">
        <f t="shared" si="53"/>
        <v>Feirinha</v>
      </c>
      <c r="F1096" s="85" t="s">
        <v>1044</v>
      </c>
      <c r="G1096" s="85" t="s">
        <v>882</v>
      </c>
      <c r="H1096" s="85" t="s">
        <v>1039</v>
      </c>
      <c r="I1096" s="85">
        <v>1.58</v>
      </c>
      <c r="J1096" s="87">
        <v>8.1999999999999993</v>
      </c>
      <c r="K1096" s="88">
        <f t="shared" si="54"/>
        <v>12.956</v>
      </c>
      <c r="L1096" s="85">
        <v>83156</v>
      </c>
    </row>
    <row r="1097" spans="1:12" x14ac:dyDescent="0.25">
      <c r="A1097" s="84" t="str">
        <f t="shared" si="52"/>
        <v>OutubroSEMANA 3Beterraba Orgânica</v>
      </c>
      <c r="B1097" s="85" t="s">
        <v>37</v>
      </c>
      <c r="C1097" s="85" t="s">
        <v>22</v>
      </c>
      <c r="D1097" s="86">
        <v>20</v>
      </c>
      <c r="E1097" s="116" t="str">
        <f t="shared" si="53"/>
        <v>Hortifruti</v>
      </c>
      <c r="F1097" s="85" t="s">
        <v>1044</v>
      </c>
      <c r="G1097" s="85" t="s">
        <v>182</v>
      </c>
      <c r="H1097" s="85" t="s">
        <v>1039</v>
      </c>
      <c r="I1097" s="85">
        <v>4</v>
      </c>
      <c r="J1097" s="87">
        <v>7.7</v>
      </c>
      <c r="K1097" s="88">
        <f t="shared" si="54"/>
        <v>30.8</v>
      </c>
      <c r="L1097" s="85">
        <v>83156</v>
      </c>
    </row>
    <row r="1098" spans="1:12" x14ac:dyDescent="0.25">
      <c r="A1098" s="84" t="str">
        <f t="shared" si="52"/>
        <v>OutubroSEMANA 3Beterraba Orgânica Feirinha</v>
      </c>
      <c r="B1098" s="85" t="s">
        <v>37</v>
      </c>
      <c r="C1098" s="85" t="s">
        <v>22</v>
      </c>
      <c r="D1098" s="86">
        <v>20</v>
      </c>
      <c r="E1098" s="116" t="str">
        <f t="shared" si="53"/>
        <v>Feirinha</v>
      </c>
      <c r="F1098" s="85" t="s">
        <v>1044</v>
      </c>
      <c r="G1098" s="85" t="s">
        <v>893</v>
      </c>
      <c r="H1098" s="85" t="s">
        <v>1039</v>
      </c>
      <c r="I1098" s="85">
        <v>2</v>
      </c>
      <c r="J1098" s="87">
        <v>7.7</v>
      </c>
      <c r="K1098" s="88">
        <f t="shared" si="54"/>
        <v>15.4</v>
      </c>
      <c r="L1098" s="85">
        <v>83156</v>
      </c>
    </row>
    <row r="1099" spans="1:12" x14ac:dyDescent="0.25">
      <c r="A1099" s="84" t="str">
        <f t="shared" si="52"/>
        <v>OutubroSEMANA 3Cenoura Orgânica</v>
      </c>
      <c r="B1099" s="85" t="s">
        <v>37</v>
      </c>
      <c r="C1099" s="85" t="s">
        <v>22</v>
      </c>
      <c r="D1099" s="86">
        <v>20</v>
      </c>
      <c r="E1099" s="116" t="str">
        <f t="shared" si="53"/>
        <v>Hortifruti</v>
      </c>
      <c r="F1099" s="85" t="s">
        <v>1044</v>
      </c>
      <c r="G1099" s="85" t="s">
        <v>252</v>
      </c>
      <c r="H1099" s="85" t="s">
        <v>1039</v>
      </c>
      <c r="I1099" s="85">
        <v>4</v>
      </c>
      <c r="J1099" s="87">
        <v>7.75</v>
      </c>
      <c r="K1099" s="88">
        <f t="shared" si="54"/>
        <v>31</v>
      </c>
      <c r="L1099" s="85">
        <v>83156</v>
      </c>
    </row>
    <row r="1100" spans="1:12" x14ac:dyDescent="0.25">
      <c r="A1100" s="84" t="str">
        <f t="shared" si="52"/>
        <v>OutubroSEMANA 3Cenoura Org. Feirinha</v>
      </c>
      <c r="B1100" s="85" t="s">
        <v>37</v>
      </c>
      <c r="C1100" s="85" t="s">
        <v>22</v>
      </c>
      <c r="D1100" s="86">
        <v>20</v>
      </c>
      <c r="E1100" s="116" t="str">
        <f t="shared" si="53"/>
        <v>Feirinha</v>
      </c>
      <c r="F1100" s="85" t="s">
        <v>1044</v>
      </c>
      <c r="G1100" s="85" t="s">
        <v>883</v>
      </c>
      <c r="H1100" s="85" t="s">
        <v>1039</v>
      </c>
      <c r="I1100" s="85">
        <v>2</v>
      </c>
      <c r="J1100" s="87">
        <v>7.75</v>
      </c>
      <c r="K1100" s="88">
        <f t="shared" si="54"/>
        <v>15.5</v>
      </c>
      <c r="L1100" s="85">
        <v>83156</v>
      </c>
    </row>
    <row r="1101" spans="1:12" x14ac:dyDescent="0.25">
      <c r="A1101" s="84" t="str">
        <f t="shared" si="52"/>
        <v>OutubroSEMANA 3Rúcula Orgânica</v>
      </c>
      <c r="B1101" s="85" t="s">
        <v>37</v>
      </c>
      <c r="C1101" s="85" t="s">
        <v>22</v>
      </c>
      <c r="D1101" s="86">
        <v>20</v>
      </c>
      <c r="E1101" s="116" t="str">
        <f t="shared" si="53"/>
        <v>Hortifruti</v>
      </c>
      <c r="F1101" s="85" t="s">
        <v>1044</v>
      </c>
      <c r="G1101" s="85" t="s">
        <v>707</v>
      </c>
      <c r="H1101" s="85" t="s">
        <v>1039</v>
      </c>
      <c r="I1101" s="85">
        <f>4.95-0.45</f>
        <v>4.5</v>
      </c>
      <c r="J1101" s="87">
        <f>105.6/4.95</f>
        <v>21.333333333333332</v>
      </c>
      <c r="K1101" s="88">
        <f t="shared" si="54"/>
        <v>96</v>
      </c>
      <c r="L1101" s="85">
        <v>83156</v>
      </c>
    </row>
    <row r="1102" spans="1:12" x14ac:dyDescent="0.25">
      <c r="A1102" s="84" t="str">
        <f t="shared" si="52"/>
        <v>OutubroSEMANA 3Rucula Org. Feirinha</v>
      </c>
      <c r="B1102" s="85" t="s">
        <v>37</v>
      </c>
      <c r="C1102" s="85" t="s">
        <v>22</v>
      </c>
      <c r="D1102" s="86">
        <v>20</v>
      </c>
      <c r="E1102" s="116" t="str">
        <f t="shared" si="53"/>
        <v>Feirinha</v>
      </c>
      <c r="F1102" s="85" t="s">
        <v>1044</v>
      </c>
      <c r="G1102" s="85" t="s">
        <v>884</v>
      </c>
      <c r="H1102" s="85" t="s">
        <v>1039</v>
      </c>
      <c r="I1102" s="85">
        <v>0.45</v>
      </c>
      <c r="J1102" s="87">
        <f>105.6/4.95</f>
        <v>21.333333333333332</v>
      </c>
      <c r="K1102" s="88">
        <f t="shared" si="54"/>
        <v>9.6</v>
      </c>
      <c r="L1102" s="85">
        <v>83156</v>
      </c>
    </row>
    <row r="1103" spans="1:12" x14ac:dyDescent="0.25">
      <c r="A1103" s="84" t="str">
        <f t="shared" si="52"/>
        <v>OutubroSEMANA 3Gelo em Escamas</v>
      </c>
      <c r="B1103" s="85" t="s">
        <v>37</v>
      </c>
      <c r="C1103" s="85" t="s">
        <v>22</v>
      </c>
      <c r="D1103" s="86">
        <v>20</v>
      </c>
      <c r="E1103" s="116" t="str">
        <f t="shared" si="53"/>
        <v>Mercado</v>
      </c>
      <c r="F1103" s="85" t="s">
        <v>1040</v>
      </c>
      <c r="G1103" s="85" t="s">
        <v>384</v>
      </c>
      <c r="H1103" s="85" t="s">
        <v>1041</v>
      </c>
      <c r="I1103" s="85">
        <v>2</v>
      </c>
      <c r="J1103" s="87">
        <v>7.5</v>
      </c>
      <c r="K1103" s="88">
        <f t="shared" si="54"/>
        <v>15</v>
      </c>
      <c r="L1103" s="85">
        <v>11162</v>
      </c>
    </row>
    <row r="1104" spans="1:12" x14ac:dyDescent="0.25">
      <c r="A1104" s="84" t="str">
        <f t="shared" si="52"/>
        <v>OutubroSEMANA 3Gelo em Cubo</v>
      </c>
      <c r="B1104" s="85" t="s">
        <v>37</v>
      </c>
      <c r="C1104" s="85" t="s">
        <v>22</v>
      </c>
      <c r="D1104" s="86">
        <v>20</v>
      </c>
      <c r="E1104" s="116" t="str">
        <f t="shared" si="53"/>
        <v>Mercado</v>
      </c>
      <c r="F1104" s="85" t="s">
        <v>1040</v>
      </c>
      <c r="G1104" s="85" t="s">
        <v>383</v>
      </c>
      <c r="H1104" s="85" t="s">
        <v>1041</v>
      </c>
      <c r="I1104" s="85">
        <v>3</v>
      </c>
      <c r="J1104" s="87">
        <v>7.5</v>
      </c>
      <c r="K1104" s="88">
        <f t="shared" si="54"/>
        <v>22.5</v>
      </c>
      <c r="L1104" s="85">
        <v>11162</v>
      </c>
    </row>
    <row r="1105" spans="1:12" x14ac:dyDescent="0.25">
      <c r="A1105" s="84" t="str">
        <f t="shared" si="52"/>
        <v>OutubroSEMANA 3Pão Árabe</v>
      </c>
      <c r="B1105" s="85" t="s">
        <v>37</v>
      </c>
      <c r="C1105" s="85" t="s">
        <v>22</v>
      </c>
      <c r="D1105" s="86">
        <v>20</v>
      </c>
      <c r="E1105" s="116" t="str">
        <f t="shared" si="53"/>
        <v>Mercado</v>
      </c>
      <c r="F1105" s="85" t="s">
        <v>1036</v>
      </c>
      <c r="G1105" s="85" t="s">
        <v>561</v>
      </c>
      <c r="H1105" s="85" t="s">
        <v>1037</v>
      </c>
      <c r="I1105" s="85">
        <v>5</v>
      </c>
      <c r="J1105" s="87">
        <v>6.7</v>
      </c>
      <c r="K1105" s="88">
        <f t="shared" si="54"/>
        <v>33.5</v>
      </c>
      <c r="L1105" s="85">
        <v>55462</v>
      </c>
    </row>
    <row r="1106" spans="1:12" x14ac:dyDescent="0.25">
      <c r="A1106" s="84" t="str">
        <f t="shared" si="52"/>
        <v>OutubroSEMANA 3Pão Francês</v>
      </c>
      <c r="B1106" s="85" t="s">
        <v>37</v>
      </c>
      <c r="C1106" s="85" t="s">
        <v>22</v>
      </c>
      <c r="D1106" s="86">
        <v>20</v>
      </c>
      <c r="E1106" s="116" t="str">
        <f t="shared" si="53"/>
        <v>Mercado</v>
      </c>
      <c r="F1106" s="85" t="s">
        <v>1036</v>
      </c>
      <c r="G1106" s="85" t="s">
        <v>565</v>
      </c>
      <c r="H1106" s="85" t="s">
        <v>1039</v>
      </c>
      <c r="I1106" s="85">
        <v>0.18</v>
      </c>
      <c r="J1106" s="87">
        <v>13.98</v>
      </c>
      <c r="K1106" s="88">
        <f t="shared" si="54"/>
        <v>2.5164</v>
      </c>
      <c r="L1106" s="85">
        <v>55462</v>
      </c>
    </row>
    <row r="1107" spans="1:12" x14ac:dyDescent="0.25">
      <c r="A1107" s="84" t="str">
        <f t="shared" si="52"/>
        <v>OutubroSEMANA 3Massa de Pastel</v>
      </c>
      <c r="B1107" s="85" t="s">
        <v>37</v>
      </c>
      <c r="C1107" s="85" t="s">
        <v>22</v>
      </c>
      <c r="D1107" s="86">
        <v>16</v>
      </c>
      <c r="E1107" s="116" t="str">
        <f t="shared" si="53"/>
        <v>Mercado</v>
      </c>
      <c r="F1107" s="85" t="s">
        <v>1042</v>
      </c>
      <c r="G1107" s="85" t="s">
        <v>508</v>
      </c>
      <c r="H1107" s="85" t="s">
        <v>1039</v>
      </c>
      <c r="I1107" s="85">
        <v>27.45</v>
      </c>
      <c r="J1107" s="87">
        <f>210/27.45</f>
        <v>7.6502732240437163</v>
      </c>
      <c r="K1107" s="88">
        <f t="shared" si="54"/>
        <v>210</v>
      </c>
      <c r="L1107" s="85"/>
    </row>
    <row r="1108" spans="1:12" x14ac:dyDescent="0.25">
      <c r="A1108" s="84" t="str">
        <f t="shared" si="52"/>
        <v>OutubroSEMANA 3Carne Bovina - Picanha Grill/Churrascaria</v>
      </c>
      <c r="B1108" s="85" t="s">
        <v>37</v>
      </c>
      <c r="C1108" s="85" t="s">
        <v>22</v>
      </c>
      <c r="D1108" s="86">
        <v>20</v>
      </c>
      <c r="E1108" s="116" t="str">
        <f t="shared" si="53"/>
        <v>Carnes</v>
      </c>
      <c r="F1108" s="85" t="s">
        <v>1116</v>
      </c>
      <c r="G1108" s="85" t="s">
        <v>233</v>
      </c>
      <c r="H1108" s="85" t="s">
        <v>1039</v>
      </c>
      <c r="I1108" s="85">
        <v>18.57</v>
      </c>
      <c r="J1108" s="87">
        <v>38</v>
      </c>
      <c r="K1108" s="88">
        <f t="shared" si="54"/>
        <v>705.66</v>
      </c>
      <c r="L1108" s="85" t="s">
        <v>1231</v>
      </c>
    </row>
    <row r="1109" spans="1:12" x14ac:dyDescent="0.25">
      <c r="A1109" s="84" t="str">
        <f t="shared" si="52"/>
        <v>OutubroSEMANA 3Carne Bovina - Patinho</v>
      </c>
      <c r="B1109" s="85" t="s">
        <v>37</v>
      </c>
      <c r="C1109" s="85" t="s">
        <v>22</v>
      </c>
      <c r="D1109" s="86">
        <v>20</v>
      </c>
      <c r="E1109" s="116" t="str">
        <f t="shared" si="53"/>
        <v>Carnes</v>
      </c>
      <c r="F1109" s="85" t="s">
        <v>1116</v>
      </c>
      <c r="G1109" s="85" t="s">
        <v>230</v>
      </c>
      <c r="H1109" s="85" t="s">
        <v>1039</v>
      </c>
      <c r="I1109" s="85">
        <v>20.77</v>
      </c>
      <c r="J1109" s="87">
        <v>14.6</v>
      </c>
      <c r="K1109" s="88">
        <f t="shared" si="54"/>
        <v>303.24199999999996</v>
      </c>
      <c r="L1109" s="85" t="s">
        <v>1232</v>
      </c>
    </row>
    <row r="1110" spans="1:12" x14ac:dyDescent="0.25">
      <c r="A1110" s="84" t="str">
        <f t="shared" si="52"/>
        <v>OutubroSEMANA 3Carne Bovina - Alcatra Miolo</v>
      </c>
      <c r="B1110" s="85" t="s">
        <v>37</v>
      </c>
      <c r="C1110" s="85" t="s">
        <v>22</v>
      </c>
      <c r="D1110" s="86">
        <v>20</v>
      </c>
      <c r="E1110" s="116" t="str">
        <f t="shared" si="53"/>
        <v>Carnes</v>
      </c>
      <c r="F1110" s="85" t="s">
        <v>1116</v>
      </c>
      <c r="G1110" s="85" t="s">
        <v>216</v>
      </c>
      <c r="H1110" s="85" t="s">
        <v>1039</v>
      </c>
      <c r="I1110" s="85">
        <v>21.45</v>
      </c>
      <c r="J1110" s="87">
        <f>396.82/21.45</f>
        <v>18.4997668997669</v>
      </c>
      <c r="K1110" s="88">
        <f t="shared" si="54"/>
        <v>396.82</v>
      </c>
      <c r="L1110" s="85" t="s">
        <v>1232</v>
      </c>
    </row>
    <row r="1111" spans="1:12" x14ac:dyDescent="0.25">
      <c r="A1111" s="84" t="str">
        <f t="shared" si="52"/>
        <v>OutubroSEMANA 3Bobina Picotada 30X40</v>
      </c>
      <c r="B1111" s="85" t="s">
        <v>37</v>
      </c>
      <c r="C1111" s="85" t="s">
        <v>22</v>
      </c>
      <c r="D1111" s="86">
        <v>20</v>
      </c>
      <c r="E1111" s="116" t="str">
        <f t="shared" si="53"/>
        <v>Descartável</v>
      </c>
      <c r="F1111" s="85" t="s">
        <v>1233</v>
      </c>
      <c r="G1111" s="85" t="s">
        <v>188</v>
      </c>
      <c r="H1111" s="85" t="s">
        <v>1038</v>
      </c>
      <c r="I1111" s="85">
        <v>3</v>
      </c>
      <c r="J1111" s="87">
        <v>11.94</v>
      </c>
      <c r="K1111" s="88">
        <f t="shared" si="54"/>
        <v>35.82</v>
      </c>
      <c r="L1111" s="85" t="s">
        <v>1234</v>
      </c>
    </row>
    <row r="1112" spans="1:12" x14ac:dyDescent="0.25">
      <c r="A1112" s="84" t="str">
        <f t="shared" si="52"/>
        <v>OutubroSEMANA 3Bobina Picotada 40X50</v>
      </c>
      <c r="B1112" s="85" t="s">
        <v>37</v>
      </c>
      <c r="C1112" s="85" t="s">
        <v>22</v>
      </c>
      <c r="D1112" s="86">
        <v>20</v>
      </c>
      <c r="E1112" s="116" t="str">
        <f t="shared" si="53"/>
        <v>Descartável</v>
      </c>
      <c r="F1112" s="85" t="s">
        <v>1233</v>
      </c>
      <c r="G1112" s="85" t="s">
        <v>189</v>
      </c>
      <c r="H1112" s="85" t="s">
        <v>1038</v>
      </c>
      <c r="I1112" s="85">
        <v>4</v>
      </c>
      <c r="J1112" s="87">
        <v>19.38</v>
      </c>
      <c r="K1112" s="88">
        <f t="shared" si="54"/>
        <v>77.52</v>
      </c>
      <c r="L1112" s="85" t="s">
        <v>1234</v>
      </c>
    </row>
    <row r="1113" spans="1:12" x14ac:dyDescent="0.25">
      <c r="A1113" s="84" t="str">
        <f t="shared" si="52"/>
        <v>OutubroSEMANA 3Esponja Dupla Face</v>
      </c>
      <c r="B1113" s="85" t="s">
        <v>37</v>
      </c>
      <c r="C1113" s="85" t="s">
        <v>22</v>
      </c>
      <c r="D1113" s="86">
        <v>20</v>
      </c>
      <c r="E1113" s="116" t="str">
        <f t="shared" si="53"/>
        <v>Limpeza</v>
      </c>
      <c r="F1113" s="85" t="s">
        <v>1233</v>
      </c>
      <c r="G1113" s="85" t="s">
        <v>335</v>
      </c>
      <c r="H1113" s="85" t="s">
        <v>1038</v>
      </c>
      <c r="I1113" s="85">
        <v>4</v>
      </c>
      <c r="J1113" s="87">
        <v>1.25</v>
      </c>
      <c r="K1113" s="88">
        <f t="shared" si="54"/>
        <v>5</v>
      </c>
      <c r="L1113" s="85" t="s">
        <v>1234</v>
      </c>
    </row>
    <row r="1114" spans="1:12" x14ac:dyDescent="0.25">
      <c r="A1114" s="84" t="str">
        <f t="shared" si="52"/>
        <v>OutubroSEMANA 3Fibraço</v>
      </c>
      <c r="B1114" s="85" t="s">
        <v>37</v>
      </c>
      <c r="C1114" s="85" t="s">
        <v>22</v>
      </c>
      <c r="D1114" s="86">
        <v>20</v>
      </c>
      <c r="E1114" s="116" t="str">
        <f t="shared" si="53"/>
        <v>Limpeza</v>
      </c>
      <c r="F1114" s="85" t="s">
        <v>1233</v>
      </c>
      <c r="G1114" s="85" t="s">
        <v>355</v>
      </c>
      <c r="H1114" s="85" t="s">
        <v>1038</v>
      </c>
      <c r="I1114" s="85">
        <v>3</v>
      </c>
      <c r="J1114" s="87">
        <v>1.64</v>
      </c>
      <c r="K1114" s="88">
        <f t="shared" si="54"/>
        <v>4.92</v>
      </c>
      <c r="L1114" s="85" t="s">
        <v>1234</v>
      </c>
    </row>
    <row r="1115" spans="1:12" x14ac:dyDescent="0.25">
      <c r="A1115" s="84" t="str">
        <f t="shared" si="52"/>
        <v>OutubroSEMANA 3Luva de Borraca Forrada</v>
      </c>
      <c r="B1115" s="85" t="s">
        <v>37</v>
      </c>
      <c r="C1115" s="85" t="s">
        <v>22</v>
      </c>
      <c r="D1115" s="86">
        <v>20</v>
      </c>
      <c r="E1115" s="116" t="str">
        <f t="shared" si="53"/>
        <v>Descartável</v>
      </c>
      <c r="F1115" s="85" t="s">
        <v>1233</v>
      </c>
      <c r="G1115" s="85" t="s">
        <v>472</v>
      </c>
      <c r="H1115" s="85" t="s">
        <v>1038</v>
      </c>
      <c r="I1115" s="85">
        <v>5</v>
      </c>
      <c r="J1115" s="87">
        <v>4.7699999999999996</v>
      </c>
      <c r="K1115" s="88">
        <f t="shared" si="54"/>
        <v>23.849999999999998</v>
      </c>
      <c r="L1115" s="85" t="s">
        <v>1234</v>
      </c>
    </row>
    <row r="1116" spans="1:12" x14ac:dyDescent="0.25">
      <c r="A1116" s="84" t="str">
        <f t="shared" si="52"/>
        <v>OutubroSEMANA 3Pano Multiuso Cross Hatch Laranja 300 M</v>
      </c>
      <c r="B1116" s="85" t="s">
        <v>37</v>
      </c>
      <c r="C1116" s="85" t="s">
        <v>22</v>
      </c>
      <c r="D1116" s="86">
        <v>20</v>
      </c>
      <c r="E1116" s="116" t="str">
        <f t="shared" si="53"/>
        <v>Descartável</v>
      </c>
      <c r="F1116" s="85" t="s">
        <v>1233</v>
      </c>
      <c r="G1116" s="85" t="s">
        <v>560</v>
      </c>
      <c r="H1116" s="85" t="s">
        <v>1038</v>
      </c>
      <c r="I1116" s="85">
        <v>1</v>
      </c>
      <c r="J1116" s="87">
        <v>212.4</v>
      </c>
      <c r="K1116" s="88">
        <f t="shared" si="54"/>
        <v>212.4</v>
      </c>
      <c r="L1116" s="85" t="s">
        <v>1234</v>
      </c>
    </row>
    <row r="1117" spans="1:12" x14ac:dyDescent="0.25">
      <c r="A1117" s="84" t="str">
        <f t="shared" si="52"/>
        <v>OutubroSEMANA 3Saco de Lixo 200 Lt</v>
      </c>
      <c r="B1117" s="85" t="s">
        <v>37</v>
      </c>
      <c r="C1117" s="85" t="s">
        <v>22</v>
      </c>
      <c r="D1117" s="86">
        <v>20</v>
      </c>
      <c r="E1117" s="116" t="str">
        <f t="shared" si="53"/>
        <v>Limpeza</v>
      </c>
      <c r="F1117" s="85" t="s">
        <v>1233</v>
      </c>
      <c r="G1117" s="85" t="s">
        <v>712</v>
      </c>
      <c r="H1117" s="85" t="s">
        <v>1037</v>
      </c>
      <c r="I1117" s="85">
        <v>3</v>
      </c>
      <c r="J1117" s="87">
        <v>48.19</v>
      </c>
      <c r="K1117" s="88">
        <f t="shared" si="54"/>
        <v>144.57</v>
      </c>
      <c r="L1117" s="85" t="s">
        <v>1234</v>
      </c>
    </row>
    <row r="1118" spans="1:12" x14ac:dyDescent="0.25">
      <c r="A1118" s="84" t="str">
        <f t="shared" si="52"/>
        <v>OutubroSEMANA 3Saco Plástico 50x70</v>
      </c>
      <c r="B1118" s="85" t="s">
        <v>37</v>
      </c>
      <c r="C1118" s="85" t="s">
        <v>22</v>
      </c>
      <c r="D1118" s="86">
        <v>20</v>
      </c>
      <c r="E1118" s="116" t="str">
        <f t="shared" si="53"/>
        <v>Descartável</v>
      </c>
      <c r="F1118" s="85" t="s">
        <v>1233</v>
      </c>
      <c r="G1118" s="85" t="s">
        <v>719</v>
      </c>
      <c r="H1118" s="85" t="s">
        <v>1037</v>
      </c>
      <c r="I1118" s="85">
        <v>2</v>
      </c>
      <c r="J1118" s="87">
        <v>48.8</v>
      </c>
      <c r="K1118" s="88">
        <f t="shared" si="54"/>
        <v>97.6</v>
      </c>
      <c r="L1118" s="85" t="s">
        <v>1234</v>
      </c>
    </row>
    <row r="1119" spans="1:12" x14ac:dyDescent="0.25">
      <c r="A1119" s="84" t="str">
        <f t="shared" si="52"/>
        <v>OutubroSEMANA 3Saco de Lixo 300 Lt</v>
      </c>
      <c r="B1119" s="85" t="s">
        <v>37</v>
      </c>
      <c r="C1119" s="85" t="s">
        <v>22</v>
      </c>
      <c r="D1119" s="86">
        <v>20</v>
      </c>
      <c r="E1119" s="116" t="str">
        <f t="shared" si="53"/>
        <v>Limpeza</v>
      </c>
      <c r="F1119" s="85" t="s">
        <v>1233</v>
      </c>
      <c r="G1119" s="85" t="s">
        <v>713</v>
      </c>
      <c r="H1119" s="85" t="s">
        <v>1037</v>
      </c>
      <c r="I1119" s="85">
        <v>1</v>
      </c>
      <c r="J1119" s="87">
        <v>123.98</v>
      </c>
      <c r="K1119" s="88">
        <f t="shared" si="54"/>
        <v>123.98</v>
      </c>
      <c r="L1119" s="85" t="s">
        <v>1234</v>
      </c>
    </row>
    <row r="1120" spans="1:12" x14ac:dyDescent="0.25">
      <c r="A1120" s="84" t="str">
        <f t="shared" si="52"/>
        <v>OutubroSEMANA 3Bandeja Alumínio 220 ml cx 200 (Bolo)</v>
      </c>
      <c r="B1120" s="85" t="s">
        <v>37</v>
      </c>
      <c r="C1120" s="85" t="s">
        <v>22</v>
      </c>
      <c r="D1120" s="86">
        <v>20</v>
      </c>
      <c r="E1120" s="116" t="str">
        <f t="shared" si="53"/>
        <v>Descartável</v>
      </c>
      <c r="F1120" s="85" t="s">
        <v>1233</v>
      </c>
      <c r="G1120" s="85" t="s">
        <v>166</v>
      </c>
      <c r="H1120" s="85" t="s">
        <v>1038</v>
      </c>
      <c r="I1120" s="85">
        <v>200</v>
      </c>
      <c r="J1120" s="87">
        <f>39.62/200</f>
        <v>0.1981</v>
      </c>
      <c r="K1120" s="88">
        <f t="shared" si="54"/>
        <v>39.619999999999997</v>
      </c>
      <c r="L1120" s="85" t="s">
        <v>1234</v>
      </c>
    </row>
    <row r="1121" spans="1:12" x14ac:dyDescent="0.25">
      <c r="A1121" s="84" t="str">
        <f t="shared" si="52"/>
        <v>OutubroSEMANA 3Cebolinha Verde Sushi</v>
      </c>
      <c r="B1121" s="85" t="s">
        <v>37</v>
      </c>
      <c r="C1121" s="85" t="s">
        <v>22</v>
      </c>
      <c r="D1121" s="86">
        <v>19</v>
      </c>
      <c r="E1121" s="116" t="str">
        <f t="shared" si="53"/>
        <v>Sushi</v>
      </c>
      <c r="F1121" s="85" t="s">
        <v>1054</v>
      </c>
      <c r="G1121" s="85" t="s">
        <v>248</v>
      </c>
      <c r="H1121" s="85" t="s">
        <v>1039</v>
      </c>
      <c r="I1121" s="85">
        <v>0.41</v>
      </c>
      <c r="J1121" s="87">
        <v>7</v>
      </c>
      <c r="K1121" s="88">
        <f t="shared" si="54"/>
        <v>2.8699999999999997</v>
      </c>
      <c r="L1121" s="85">
        <v>1956</v>
      </c>
    </row>
    <row r="1122" spans="1:12" x14ac:dyDescent="0.25">
      <c r="A1122" s="84" t="str">
        <f t="shared" si="52"/>
        <v>OutubroSEMANA 3Creme de Leite Culinário 20% Bd 10 Lt</v>
      </c>
      <c r="B1122" s="85" t="s">
        <v>37</v>
      </c>
      <c r="C1122" s="85" t="s">
        <v>22</v>
      </c>
      <c r="D1122" s="86">
        <v>20</v>
      </c>
      <c r="E1122" s="116" t="str">
        <f t="shared" si="53"/>
        <v>Mercado</v>
      </c>
      <c r="F1122" s="85" t="s">
        <v>1045</v>
      </c>
      <c r="G1122" s="85" t="s">
        <v>315</v>
      </c>
      <c r="H1122" s="85" t="s">
        <v>1046</v>
      </c>
      <c r="I1122" s="85">
        <v>3</v>
      </c>
      <c r="J1122" s="87">
        <v>142.44999999999999</v>
      </c>
      <c r="K1122" s="88">
        <f t="shared" si="54"/>
        <v>427.34999999999997</v>
      </c>
      <c r="L1122" s="85" t="s">
        <v>1235</v>
      </c>
    </row>
    <row r="1123" spans="1:12" x14ac:dyDescent="0.25">
      <c r="A1123" s="84" t="str">
        <f t="shared" si="52"/>
        <v>OutubroSEMANA 3Queijo Ricota</v>
      </c>
      <c r="B1123" s="85" t="s">
        <v>37</v>
      </c>
      <c r="C1123" s="85" t="s">
        <v>22</v>
      </c>
      <c r="D1123" s="86">
        <v>20</v>
      </c>
      <c r="E1123" s="116" t="str">
        <f t="shared" si="53"/>
        <v>Mercado</v>
      </c>
      <c r="F1123" s="85" t="s">
        <v>1045</v>
      </c>
      <c r="G1123" s="85" t="s">
        <v>689</v>
      </c>
      <c r="H1123" s="85" t="s">
        <v>1039</v>
      </c>
      <c r="I1123" s="85">
        <v>1.42</v>
      </c>
      <c r="J1123" s="87">
        <v>10.6</v>
      </c>
      <c r="K1123" s="88">
        <f t="shared" si="54"/>
        <v>15.052</v>
      </c>
      <c r="L1123" s="85" t="s">
        <v>1235</v>
      </c>
    </row>
    <row r="1124" spans="1:12" x14ac:dyDescent="0.25">
      <c r="A1124" s="84" t="str">
        <f t="shared" si="52"/>
        <v>OutubroSEMANA 3Queijo Requeijão BD 3,6 Kg</v>
      </c>
      <c r="B1124" s="85" t="s">
        <v>37</v>
      </c>
      <c r="C1124" s="85" t="s">
        <v>22</v>
      </c>
      <c r="D1124" s="86">
        <v>20</v>
      </c>
      <c r="E1124" s="116" t="str">
        <f t="shared" si="53"/>
        <v>Mercado</v>
      </c>
      <c r="F1124" s="85" t="s">
        <v>1045</v>
      </c>
      <c r="G1124" s="85" t="s">
        <v>688</v>
      </c>
      <c r="H1124" s="85" t="s">
        <v>1046</v>
      </c>
      <c r="I1124" s="85">
        <v>1</v>
      </c>
      <c r="J1124" s="87">
        <v>74.400000000000006</v>
      </c>
      <c r="K1124" s="88">
        <f t="shared" si="54"/>
        <v>74.400000000000006</v>
      </c>
      <c r="L1124" s="85" t="s">
        <v>1235</v>
      </c>
    </row>
    <row r="1125" spans="1:12" x14ac:dyDescent="0.25">
      <c r="A1125" s="84" t="str">
        <f t="shared" si="52"/>
        <v>OutubroSEMANA 3Tortinha Arosa  81 unid</v>
      </c>
      <c r="B1125" s="85" t="s">
        <v>37</v>
      </c>
      <c r="C1125" s="85" t="s">
        <v>22</v>
      </c>
      <c r="D1125" s="86">
        <v>20</v>
      </c>
      <c r="E1125" s="116" t="str">
        <f t="shared" si="53"/>
        <v>Mercado</v>
      </c>
      <c r="F1125" s="85" t="s">
        <v>1236</v>
      </c>
      <c r="G1125" s="85" t="s">
        <v>822</v>
      </c>
      <c r="H1125" s="85" t="s">
        <v>1037</v>
      </c>
      <c r="I1125" s="85">
        <v>3</v>
      </c>
      <c r="J1125" s="87">
        <v>31</v>
      </c>
      <c r="K1125" s="88">
        <f t="shared" si="54"/>
        <v>93</v>
      </c>
      <c r="L1125" s="85" t="s">
        <v>1237</v>
      </c>
    </row>
    <row r="1126" spans="1:12" x14ac:dyDescent="0.25">
      <c r="A1126" s="84" t="str">
        <f t="shared" si="52"/>
        <v>OutubroSEMANA 3Tortinha Arosa  64 unid</v>
      </c>
      <c r="B1126" s="85" t="s">
        <v>37</v>
      </c>
      <c r="C1126" s="85" t="s">
        <v>22</v>
      </c>
      <c r="D1126" s="86">
        <v>20</v>
      </c>
      <c r="E1126" s="116" t="str">
        <f t="shared" si="53"/>
        <v>Mercado</v>
      </c>
      <c r="F1126" s="85" t="s">
        <v>1236</v>
      </c>
      <c r="G1126" s="85" t="s">
        <v>820</v>
      </c>
      <c r="H1126" s="85" t="s">
        <v>1037</v>
      </c>
      <c r="I1126" s="85">
        <v>3</v>
      </c>
      <c r="J1126" s="87">
        <v>34</v>
      </c>
      <c r="K1126" s="88">
        <f t="shared" si="54"/>
        <v>102</v>
      </c>
      <c r="L1126" s="85" t="s">
        <v>1237</v>
      </c>
    </row>
    <row r="1127" spans="1:12" x14ac:dyDescent="0.25">
      <c r="A1127" s="84" t="str">
        <f t="shared" si="52"/>
        <v>OutubroSEMANA 3Tortinha Arosa  72 unid</v>
      </c>
      <c r="B1127" s="85" t="s">
        <v>37</v>
      </c>
      <c r="C1127" s="85" t="s">
        <v>22</v>
      </c>
      <c r="D1127" s="86">
        <v>20</v>
      </c>
      <c r="E1127" s="116" t="str">
        <f t="shared" si="53"/>
        <v>Mercado</v>
      </c>
      <c r="F1127" s="85" t="s">
        <v>1236</v>
      </c>
      <c r="G1127" s="85" t="s">
        <v>821</v>
      </c>
      <c r="H1127" s="85" t="s">
        <v>1037</v>
      </c>
      <c r="I1127" s="85">
        <v>3</v>
      </c>
      <c r="J1127" s="87">
        <v>34</v>
      </c>
      <c r="K1127" s="88">
        <f t="shared" si="54"/>
        <v>102</v>
      </c>
      <c r="L1127" s="85" t="s">
        <v>1237</v>
      </c>
    </row>
    <row r="1128" spans="1:12" x14ac:dyDescent="0.25">
      <c r="A1128" s="84" t="str">
        <f t="shared" si="52"/>
        <v>OutubroSEMANA 3Misso Shiro</v>
      </c>
      <c r="B1128" s="85" t="s">
        <v>37</v>
      </c>
      <c r="C1128" s="85" t="s">
        <v>22</v>
      </c>
      <c r="D1128" s="86">
        <v>20</v>
      </c>
      <c r="E1128" s="116" t="str">
        <f t="shared" si="53"/>
        <v>Mercado</v>
      </c>
      <c r="F1128" s="85" t="s">
        <v>1238</v>
      </c>
      <c r="G1128" s="85" t="s">
        <v>524</v>
      </c>
      <c r="H1128" s="85" t="s">
        <v>1039</v>
      </c>
      <c r="I1128" s="85">
        <v>12</v>
      </c>
      <c r="J1128" s="87">
        <f>250.12/12</f>
        <v>20.843333333333334</v>
      </c>
      <c r="K1128" s="88">
        <f t="shared" si="54"/>
        <v>250.12</v>
      </c>
      <c r="L1128" s="85">
        <v>119029</v>
      </c>
    </row>
    <row r="1129" spans="1:12" x14ac:dyDescent="0.25">
      <c r="A1129" s="84" t="str">
        <f t="shared" si="52"/>
        <v>OutubroSEMANA 3Vinagre de Arroz (cozinha)</v>
      </c>
      <c r="B1129" s="85" t="s">
        <v>37</v>
      </c>
      <c r="C1129" s="85" t="s">
        <v>22</v>
      </c>
      <c r="D1129" s="86">
        <v>18</v>
      </c>
      <c r="E1129" s="116" t="str">
        <f t="shared" si="53"/>
        <v>Mercado</v>
      </c>
      <c r="F1129" s="85" t="s">
        <v>1085</v>
      </c>
      <c r="G1129" s="85" t="s">
        <v>896</v>
      </c>
      <c r="H1129" s="85" t="s">
        <v>1081</v>
      </c>
      <c r="I1129" s="85">
        <f>7*0.75</f>
        <v>5.25</v>
      </c>
      <c r="J1129" s="87">
        <f>94.72/18</f>
        <v>5.2622222222222224</v>
      </c>
      <c r="K1129" s="88">
        <f t="shared" si="54"/>
        <v>27.626666666666669</v>
      </c>
      <c r="L1129" s="85" t="s">
        <v>1194</v>
      </c>
    </row>
    <row r="1130" spans="1:12" x14ac:dyDescent="0.25">
      <c r="A1130" s="84" t="str">
        <f t="shared" si="52"/>
        <v>OutubroSEMANA 3Abobora</v>
      </c>
      <c r="B1130" s="85" t="s">
        <v>37</v>
      </c>
      <c r="C1130" s="85" t="s">
        <v>22</v>
      </c>
      <c r="D1130" s="86">
        <v>21</v>
      </c>
      <c r="E1130" s="116" t="str">
        <f t="shared" si="53"/>
        <v>Hortifruti</v>
      </c>
      <c r="F1130" s="85" t="s">
        <v>1110</v>
      </c>
      <c r="G1130" s="85" t="s">
        <v>68</v>
      </c>
      <c r="H1130" s="85" t="s">
        <v>1039</v>
      </c>
      <c r="I1130" s="85">
        <v>15</v>
      </c>
      <c r="J1130" s="87">
        <v>1.88</v>
      </c>
      <c r="K1130" s="88">
        <f t="shared" si="54"/>
        <v>28.2</v>
      </c>
      <c r="L1130" s="85" t="s">
        <v>1249</v>
      </c>
    </row>
    <row r="1131" spans="1:12" x14ac:dyDescent="0.25">
      <c r="A1131" s="84" t="str">
        <f t="shared" si="52"/>
        <v>OutubroSEMANA 3Aipo</v>
      </c>
      <c r="B1131" s="85" t="s">
        <v>37</v>
      </c>
      <c r="C1131" s="85" t="s">
        <v>22</v>
      </c>
      <c r="D1131" s="86">
        <v>21</v>
      </c>
      <c r="E1131" s="116" t="str">
        <f t="shared" si="53"/>
        <v>Hortifruti</v>
      </c>
      <c r="F1131" s="85" t="s">
        <v>1110</v>
      </c>
      <c r="G1131" s="85" t="s">
        <v>96</v>
      </c>
      <c r="H1131" s="85" t="s">
        <v>1039</v>
      </c>
      <c r="I1131" s="85">
        <v>1</v>
      </c>
      <c r="J1131" s="87">
        <v>3.9</v>
      </c>
      <c r="K1131" s="88">
        <f t="shared" si="54"/>
        <v>3.9</v>
      </c>
      <c r="L1131" s="85" t="s">
        <v>1249</v>
      </c>
    </row>
    <row r="1132" spans="1:12" x14ac:dyDescent="0.25">
      <c r="A1132" s="84" t="str">
        <f t="shared" si="52"/>
        <v>OutubroSEMANA 3Banana da Terra</v>
      </c>
      <c r="B1132" s="85" t="s">
        <v>37</v>
      </c>
      <c r="C1132" s="85" t="s">
        <v>22</v>
      </c>
      <c r="D1132" s="86">
        <v>21</v>
      </c>
      <c r="E1132" s="116" t="str">
        <f t="shared" si="53"/>
        <v>Hortifruti</v>
      </c>
      <c r="F1132" s="85" t="s">
        <v>1110</v>
      </c>
      <c r="G1132" s="85" t="s">
        <v>161</v>
      </c>
      <c r="H1132" s="85" t="s">
        <v>1039</v>
      </c>
      <c r="I1132" s="85">
        <v>12</v>
      </c>
      <c r="J1132" s="87">
        <v>3.44</v>
      </c>
      <c r="K1132" s="88">
        <f t="shared" si="54"/>
        <v>41.28</v>
      </c>
      <c r="L1132" s="85" t="s">
        <v>1249</v>
      </c>
    </row>
    <row r="1133" spans="1:12" x14ac:dyDescent="0.25">
      <c r="A1133" s="84" t="str">
        <f t="shared" si="52"/>
        <v>OutubroSEMANA 3Batata Calabresa</v>
      </c>
      <c r="B1133" s="85" t="s">
        <v>37</v>
      </c>
      <c r="C1133" s="85" t="s">
        <v>22</v>
      </c>
      <c r="D1133" s="86">
        <v>21</v>
      </c>
      <c r="E1133" s="116" t="str">
        <f t="shared" si="53"/>
        <v>Hortifruti</v>
      </c>
      <c r="F1133" s="85" t="s">
        <v>1110</v>
      </c>
      <c r="G1133" s="85" t="s">
        <v>903</v>
      </c>
      <c r="H1133" s="85" t="s">
        <v>1039</v>
      </c>
      <c r="I1133" s="85">
        <v>12</v>
      </c>
      <c r="J1133" s="87">
        <v>2.23</v>
      </c>
      <c r="K1133" s="88">
        <f t="shared" si="54"/>
        <v>26.759999999999998</v>
      </c>
      <c r="L1133" s="85" t="s">
        <v>1249</v>
      </c>
    </row>
    <row r="1134" spans="1:12" x14ac:dyDescent="0.25">
      <c r="A1134" s="84" t="str">
        <f t="shared" si="52"/>
        <v>OutubroSEMANA 3Batata Doce</v>
      </c>
      <c r="B1134" s="85" t="s">
        <v>37</v>
      </c>
      <c r="C1134" s="85" t="s">
        <v>22</v>
      </c>
      <c r="D1134" s="86">
        <v>21</v>
      </c>
      <c r="E1134" s="116" t="str">
        <f t="shared" si="53"/>
        <v>Hortifruti</v>
      </c>
      <c r="F1134" s="85" t="s">
        <v>1110</v>
      </c>
      <c r="G1134" s="85" t="s">
        <v>170</v>
      </c>
      <c r="H1134" s="85" t="s">
        <v>1039</v>
      </c>
      <c r="I1134" s="85">
        <v>18.2</v>
      </c>
      <c r="J1134" s="87">
        <f>28.75/18.2</f>
        <v>1.5796703296703298</v>
      </c>
      <c r="K1134" s="88">
        <f t="shared" si="54"/>
        <v>28.750000000000004</v>
      </c>
      <c r="L1134" s="85" t="s">
        <v>1249</v>
      </c>
    </row>
    <row r="1135" spans="1:12" x14ac:dyDescent="0.25">
      <c r="A1135" s="84" t="str">
        <f t="shared" si="52"/>
        <v xml:space="preserve">OutubroSEMANA 3Melão de Rede </v>
      </c>
      <c r="B1135" s="85" t="s">
        <v>37</v>
      </c>
      <c r="C1135" s="85" t="s">
        <v>22</v>
      </c>
      <c r="D1135" s="86">
        <v>21</v>
      </c>
      <c r="E1135" s="116" t="str">
        <f t="shared" si="53"/>
        <v>Hortifruti</v>
      </c>
      <c r="F1135" s="85" t="s">
        <v>1110</v>
      </c>
      <c r="G1135" s="85" t="s">
        <v>518</v>
      </c>
      <c r="H1135" s="85" t="s">
        <v>1039</v>
      </c>
      <c r="I1135" s="85">
        <v>2</v>
      </c>
      <c r="J1135" s="87">
        <v>5</v>
      </c>
      <c r="K1135" s="88">
        <f t="shared" si="54"/>
        <v>10</v>
      </c>
      <c r="L1135" s="85" t="s">
        <v>1249</v>
      </c>
    </row>
    <row r="1136" spans="1:12" x14ac:dyDescent="0.25">
      <c r="A1136" s="84" t="str">
        <f t="shared" si="52"/>
        <v>OutubroSEMANA 3Nabo Japonês Sushi</v>
      </c>
      <c r="B1136" s="85" t="s">
        <v>37</v>
      </c>
      <c r="C1136" s="85" t="s">
        <v>22</v>
      </c>
      <c r="D1136" s="86">
        <v>21</v>
      </c>
      <c r="E1136" s="116" t="str">
        <f t="shared" si="53"/>
        <v>Sushi</v>
      </c>
      <c r="F1136" s="85" t="s">
        <v>1110</v>
      </c>
      <c r="G1136" s="85" t="s">
        <v>537</v>
      </c>
      <c r="H1136" s="85" t="s">
        <v>1039</v>
      </c>
      <c r="I1136" s="85">
        <v>1</v>
      </c>
      <c r="J1136" s="87">
        <v>5</v>
      </c>
      <c r="K1136" s="88">
        <f t="shared" si="54"/>
        <v>5</v>
      </c>
      <c r="L1136" s="85" t="s">
        <v>1249</v>
      </c>
    </row>
    <row r="1137" spans="1:12" x14ac:dyDescent="0.25">
      <c r="A1137" s="84" t="str">
        <f t="shared" si="52"/>
        <v>OutubroSEMANA 3Pimentão Verde</v>
      </c>
      <c r="B1137" s="85" t="s">
        <v>37</v>
      </c>
      <c r="C1137" s="85" t="s">
        <v>22</v>
      </c>
      <c r="D1137" s="86">
        <v>21</v>
      </c>
      <c r="E1137" s="116" t="str">
        <f t="shared" si="53"/>
        <v>Hortifruti</v>
      </c>
      <c r="F1137" s="85" t="s">
        <v>1110</v>
      </c>
      <c r="G1137" s="85" t="s">
        <v>666</v>
      </c>
      <c r="H1137" s="85" t="s">
        <v>1039</v>
      </c>
      <c r="I1137" s="85">
        <v>1</v>
      </c>
      <c r="J1137" s="87">
        <v>3.48</v>
      </c>
      <c r="K1137" s="88">
        <f t="shared" si="54"/>
        <v>3.48</v>
      </c>
      <c r="L1137" s="85" t="s">
        <v>1249</v>
      </c>
    </row>
    <row r="1138" spans="1:12" x14ac:dyDescent="0.25">
      <c r="A1138" s="84" t="str">
        <f t="shared" si="52"/>
        <v>OutubroSEMANA 3Batata Palha 140 g</v>
      </c>
      <c r="B1138" s="85" t="s">
        <v>37</v>
      </c>
      <c r="C1138" s="85" t="s">
        <v>22</v>
      </c>
      <c r="D1138" s="86">
        <v>21</v>
      </c>
      <c r="E1138" s="116" t="str">
        <f t="shared" si="53"/>
        <v>Mercado</v>
      </c>
      <c r="F1138" s="85" t="s">
        <v>1036</v>
      </c>
      <c r="G1138" s="85" t="s">
        <v>174</v>
      </c>
      <c r="H1138" s="85" t="s">
        <v>1037</v>
      </c>
      <c r="I1138" s="85">
        <v>4</v>
      </c>
      <c r="J1138" s="87">
        <v>7.8</v>
      </c>
      <c r="K1138" s="88">
        <f t="shared" si="54"/>
        <v>31.2</v>
      </c>
      <c r="L1138" s="85">
        <v>69092</v>
      </c>
    </row>
    <row r="1139" spans="1:12" x14ac:dyDescent="0.25">
      <c r="A1139" s="84" t="str">
        <f t="shared" si="52"/>
        <v>OutubroSEMANA 3Gelo em Escamas</v>
      </c>
      <c r="B1139" s="85" t="s">
        <v>37</v>
      </c>
      <c r="C1139" s="85" t="s">
        <v>22</v>
      </c>
      <c r="D1139" s="86">
        <v>21</v>
      </c>
      <c r="E1139" s="116" t="str">
        <f t="shared" si="53"/>
        <v>Mercado</v>
      </c>
      <c r="F1139" s="85" t="s">
        <v>1040</v>
      </c>
      <c r="G1139" s="85" t="s">
        <v>384</v>
      </c>
      <c r="H1139" s="85" t="s">
        <v>1041</v>
      </c>
      <c r="I1139" s="85">
        <v>2</v>
      </c>
      <c r="J1139" s="87">
        <v>7.5</v>
      </c>
      <c r="K1139" s="88">
        <f t="shared" si="54"/>
        <v>15</v>
      </c>
      <c r="L1139" s="85">
        <v>11357</v>
      </c>
    </row>
    <row r="1140" spans="1:12" x14ac:dyDescent="0.25">
      <c r="A1140" s="84" t="str">
        <f t="shared" si="52"/>
        <v>OutubroSEMANA 3Gelo em Cubo</v>
      </c>
      <c r="B1140" s="85" t="s">
        <v>37</v>
      </c>
      <c r="C1140" s="85" t="s">
        <v>22</v>
      </c>
      <c r="D1140" s="86">
        <v>21</v>
      </c>
      <c r="E1140" s="116" t="str">
        <f t="shared" si="53"/>
        <v>Mercado</v>
      </c>
      <c r="F1140" s="85" t="s">
        <v>1040</v>
      </c>
      <c r="G1140" s="85" t="s">
        <v>383</v>
      </c>
      <c r="H1140" s="85" t="s">
        <v>1041</v>
      </c>
      <c r="I1140" s="85">
        <v>2</v>
      </c>
      <c r="J1140" s="87">
        <v>7.5</v>
      </c>
      <c r="K1140" s="88">
        <f t="shared" si="54"/>
        <v>15</v>
      </c>
      <c r="L1140" s="85">
        <v>11357</v>
      </c>
    </row>
    <row r="1141" spans="1:12" x14ac:dyDescent="0.25">
      <c r="A1141" s="84" t="str">
        <f t="shared" si="52"/>
        <v>OutubroSEMANA 3Acelga</v>
      </c>
      <c r="B1141" s="85" t="s">
        <v>37</v>
      </c>
      <c r="C1141" s="85" t="s">
        <v>22</v>
      </c>
      <c r="D1141" s="86">
        <v>21</v>
      </c>
      <c r="E1141" s="116" t="str">
        <f t="shared" si="53"/>
        <v>Hortifruti</v>
      </c>
      <c r="F1141" s="85" t="s">
        <v>1055</v>
      </c>
      <c r="G1141" s="85" t="s">
        <v>75</v>
      </c>
      <c r="H1141" s="85" t="s">
        <v>1039</v>
      </c>
      <c r="I1141" s="85">
        <v>3</v>
      </c>
      <c r="J1141" s="87">
        <v>2.2000000000000002</v>
      </c>
      <c r="K1141" s="88">
        <f t="shared" si="54"/>
        <v>6.6000000000000005</v>
      </c>
      <c r="L1141" s="85">
        <v>5322</v>
      </c>
    </row>
    <row r="1142" spans="1:12" x14ac:dyDescent="0.25">
      <c r="A1142" s="84" t="str">
        <f t="shared" si="52"/>
        <v>OutubroSEMANA 3Melância</v>
      </c>
      <c r="B1142" s="85" t="s">
        <v>37</v>
      </c>
      <c r="C1142" s="85" t="s">
        <v>22</v>
      </c>
      <c r="D1142" s="86">
        <v>21</v>
      </c>
      <c r="E1142" s="116" t="str">
        <f t="shared" si="53"/>
        <v>Hortifruti</v>
      </c>
      <c r="F1142" s="85" t="s">
        <v>1055</v>
      </c>
      <c r="G1142" s="85" t="s">
        <v>517</v>
      </c>
      <c r="H1142" s="85" t="s">
        <v>1039</v>
      </c>
      <c r="I1142" s="85">
        <v>9</v>
      </c>
      <c r="J1142" s="87">
        <v>1.32</v>
      </c>
      <c r="K1142" s="88">
        <f t="shared" si="54"/>
        <v>11.88</v>
      </c>
      <c r="L1142" s="85">
        <v>5322</v>
      </c>
    </row>
    <row r="1143" spans="1:12" x14ac:dyDescent="0.25">
      <c r="A1143" s="84" t="str">
        <f t="shared" si="52"/>
        <v>OutubroSEMANA 3Batata HBT</v>
      </c>
      <c r="B1143" s="85" t="s">
        <v>37</v>
      </c>
      <c r="C1143" s="85" t="s">
        <v>22</v>
      </c>
      <c r="D1143" s="86">
        <v>21</v>
      </c>
      <c r="E1143" s="116" t="str">
        <f t="shared" si="53"/>
        <v>Hortifruti</v>
      </c>
      <c r="F1143" s="85" t="s">
        <v>1055</v>
      </c>
      <c r="G1143" s="85" t="s">
        <v>171</v>
      </c>
      <c r="H1143" s="85" t="s">
        <v>1039</v>
      </c>
      <c r="I1143" s="85">
        <v>25</v>
      </c>
      <c r="J1143" s="87">
        <v>1.5</v>
      </c>
      <c r="K1143" s="88">
        <f t="shared" si="54"/>
        <v>37.5</v>
      </c>
      <c r="L1143" s="85">
        <v>5322</v>
      </c>
    </row>
    <row r="1144" spans="1:12" x14ac:dyDescent="0.25">
      <c r="A1144" s="84" t="str">
        <f t="shared" si="52"/>
        <v>OutubroSEMANA 3Cebola</v>
      </c>
      <c r="B1144" s="85" t="s">
        <v>37</v>
      </c>
      <c r="C1144" s="85" t="s">
        <v>22</v>
      </c>
      <c r="D1144" s="86">
        <v>21</v>
      </c>
      <c r="E1144" s="116" t="str">
        <f t="shared" si="53"/>
        <v>Hortifruti</v>
      </c>
      <c r="F1144" s="85" t="s">
        <v>1055</v>
      </c>
      <c r="G1144" s="85" t="s">
        <v>241</v>
      </c>
      <c r="H1144" s="85" t="s">
        <v>1039</v>
      </c>
      <c r="I1144" s="85">
        <v>20.12</v>
      </c>
      <c r="J1144" s="87">
        <f>29.8/20.12</f>
        <v>1.4811133200795228</v>
      </c>
      <c r="K1144" s="88">
        <f t="shared" si="54"/>
        <v>29.8</v>
      </c>
      <c r="L1144" s="85">
        <v>5322</v>
      </c>
    </row>
    <row r="1145" spans="1:12" x14ac:dyDescent="0.25">
      <c r="A1145" s="84" t="str">
        <f t="shared" si="52"/>
        <v>OutubroSEMANA 3Côco Verde</v>
      </c>
      <c r="B1145" s="85" t="s">
        <v>37</v>
      </c>
      <c r="C1145" s="85" t="s">
        <v>22</v>
      </c>
      <c r="D1145" s="86">
        <v>21</v>
      </c>
      <c r="E1145" s="116" t="str">
        <f t="shared" si="53"/>
        <v>Hortifruti</v>
      </c>
      <c r="F1145" s="85" t="s">
        <v>1055</v>
      </c>
      <c r="G1145" s="85" t="s">
        <v>288</v>
      </c>
      <c r="H1145" s="85" t="s">
        <v>1038</v>
      </c>
      <c r="I1145" s="85">
        <v>30</v>
      </c>
      <c r="J1145" s="87">
        <v>1.98</v>
      </c>
      <c r="K1145" s="88">
        <f t="shared" si="54"/>
        <v>59.4</v>
      </c>
      <c r="L1145" s="85">
        <v>5322</v>
      </c>
    </row>
    <row r="1146" spans="1:12" x14ac:dyDescent="0.25">
      <c r="A1146" s="84" t="str">
        <f t="shared" si="52"/>
        <v>OutubroSEMANA 3Kiwi</v>
      </c>
      <c r="B1146" s="85" t="s">
        <v>37</v>
      </c>
      <c r="C1146" s="85" t="s">
        <v>22</v>
      </c>
      <c r="D1146" s="86">
        <v>21</v>
      </c>
      <c r="E1146" s="116" t="str">
        <f t="shared" si="53"/>
        <v>Hortifruti</v>
      </c>
      <c r="F1146" s="85" t="s">
        <v>1055</v>
      </c>
      <c r="G1146" s="85" t="s">
        <v>454</v>
      </c>
      <c r="H1146" s="85" t="s">
        <v>1039</v>
      </c>
      <c r="I1146" s="85">
        <v>1</v>
      </c>
      <c r="J1146" s="87">
        <v>13.7</v>
      </c>
      <c r="K1146" s="88">
        <f t="shared" si="54"/>
        <v>13.7</v>
      </c>
      <c r="L1146" s="85">
        <v>5322</v>
      </c>
    </row>
    <row r="1147" spans="1:12" x14ac:dyDescent="0.25">
      <c r="A1147" s="84" t="str">
        <f t="shared" si="52"/>
        <v>OutubroSEMANA 3Laranja Pera</v>
      </c>
      <c r="B1147" s="85" t="s">
        <v>37</v>
      </c>
      <c r="C1147" s="85" t="s">
        <v>22</v>
      </c>
      <c r="D1147" s="86">
        <v>21</v>
      </c>
      <c r="E1147" s="116" t="str">
        <f t="shared" si="53"/>
        <v>Hortifruti</v>
      </c>
      <c r="F1147" s="85" t="s">
        <v>1055</v>
      </c>
      <c r="G1147" s="85" t="s">
        <v>457</v>
      </c>
      <c r="H1147" s="85" t="s">
        <v>1039</v>
      </c>
      <c r="I1147" s="85">
        <v>21.7</v>
      </c>
      <c r="J1147" s="87">
        <f>28/21.7</f>
        <v>1.2903225806451613</v>
      </c>
      <c r="K1147" s="88">
        <f t="shared" si="54"/>
        <v>28</v>
      </c>
      <c r="L1147" s="85">
        <v>5322</v>
      </c>
    </row>
    <row r="1148" spans="1:12" x14ac:dyDescent="0.25">
      <c r="A1148" s="84" t="str">
        <f t="shared" si="52"/>
        <v>OutubroSEMANA 3Maçã Nacional</v>
      </c>
      <c r="B1148" s="85" t="s">
        <v>37</v>
      </c>
      <c r="C1148" s="85" t="s">
        <v>22</v>
      </c>
      <c r="D1148" s="86">
        <v>21</v>
      </c>
      <c r="E1148" s="116" t="str">
        <f t="shared" si="53"/>
        <v>Hortifruti</v>
      </c>
      <c r="F1148" s="85" t="s">
        <v>1055</v>
      </c>
      <c r="G1148" s="85" t="s">
        <v>477</v>
      </c>
      <c r="H1148" s="85" t="s">
        <v>1039</v>
      </c>
      <c r="I1148" s="85">
        <v>17.86</v>
      </c>
      <c r="J1148" s="87">
        <f>63.9/17.86</f>
        <v>3.5778275475923853</v>
      </c>
      <c r="K1148" s="88">
        <f t="shared" si="54"/>
        <v>63.9</v>
      </c>
      <c r="L1148" s="85">
        <v>5322</v>
      </c>
    </row>
    <row r="1149" spans="1:12" x14ac:dyDescent="0.25">
      <c r="A1149" s="84" t="str">
        <f t="shared" si="52"/>
        <v>OutubroSEMANA 3Mamão Bahia</v>
      </c>
      <c r="B1149" s="85" t="s">
        <v>37</v>
      </c>
      <c r="C1149" s="85" t="s">
        <v>22</v>
      </c>
      <c r="D1149" s="86">
        <v>21</v>
      </c>
      <c r="E1149" s="116" t="str">
        <f t="shared" si="53"/>
        <v>Hortifruti</v>
      </c>
      <c r="F1149" s="85" t="s">
        <v>1055</v>
      </c>
      <c r="G1149" s="85" t="s">
        <v>494</v>
      </c>
      <c r="H1149" s="85" t="s">
        <v>1039</v>
      </c>
      <c r="I1149" s="85">
        <v>2</v>
      </c>
      <c r="J1149" s="87">
        <v>2.4</v>
      </c>
      <c r="K1149" s="88">
        <f t="shared" si="54"/>
        <v>4.8</v>
      </c>
      <c r="L1149" s="85">
        <v>5322</v>
      </c>
    </row>
    <row r="1150" spans="1:12" x14ac:dyDescent="0.25">
      <c r="A1150" s="84" t="str">
        <f t="shared" si="52"/>
        <v>OutubroSEMANA 3Manga Palmer</v>
      </c>
      <c r="B1150" s="85" t="s">
        <v>37</v>
      </c>
      <c r="C1150" s="85" t="s">
        <v>22</v>
      </c>
      <c r="D1150" s="86">
        <v>21</v>
      </c>
      <c r="E1150" s="116" t="str">
        <f t="shared" si="53"/>
        <v>Hortifruti</v>
      </c>
      <c r="F1150" s="85" t="s">
        <v>1055</v>
      </c>
      <c r="G1150" s="85" t="s">
        <v>496</v>
      </c>
      <c r="H1150" s="85" t="s">
        <v>1039</v>
      </c>
      <c r="I1150" s="85">
        <v>12</v>
      </c>
      <c r="J1150" s="87">
        <f>48/12</f>
        <v>4</v>
      </c>
      <c r="K1150" s="88">
        <f t="shared" si="54"/>
        <v>48</v>
      </c>
      <c r="L1150" s="85">
        <v>5322</v>
      </c>
    </row>
    <row r="1151" spans="1:12" x14ac:dyDescent="0.25">
      <c r="A1151" s="84" t="str">
        <f t="shared" si="52"/>
        <v>OutubroSEMANA 3Repolho</v>
      </c>
      <c r="B1151" s="85" t="s">
        <v>37</v>
      </c>
      <c r="C1151" s="85" t="s">
        <v>22</v>
      </c>
      <c r="D1151" s="86">
        <v>21</v>
      </c>
      <c r="E1151" s="116" t="str">
        <f t="shared" si="53"/>
        <v>Hortifruti</v>
      </c>
      <c r="F1151" s="85" t="s">
        <v>1055</v>
      </c>
      <c r="G1151" s="85" t="s">
        <v>701</v>
      </c>
      <c r="H1151" s="85" t="s">
        <v>1039</v>
      </c>
      <c r="I1151" s="85">
        <v>6</v>
      </c>
      <c r="J1151" s="87">
        <v>1.21</v>
      </c>
      <c r="K1151" s="88">
        <f t="shared" si="54"/>
        <v>7.26</v>
      </c>
      <c r="L1151" s="85">
        <v>5322</v>
      </c>
    </row>
    <row r="1152" spans="1:12" x14ac:dyDescent="0.25">
      <c r="A1152" s="84" t="str">
        <f t="shared" si="52"/>
        <v>OutubroSEMANA 3Repolho Roxo</v>
      </c>
      <c r="B1152" s="85" t="s">
        <v>37</v>
      </c>
      <c r="C1152" s="85" t="s">
        <v>22</v>
      </c>
      <c r="D1152" s="86">
        <v>21</v>
      </c>
      <c r="E1152" s="116" t="str">
        <f t="shared" si="53"/>
        <v>Hortifruti</v>
      </c>
      <c r="F1152" s="85" t="s">
        <v>1055</v>
      </c>
      <c r="G1152" s="85" t="s">
        <v>703</v>
      </c>
      <c r="H1152" s="85" t="s">
        <v>1039</v>
      </c>
      <c r="I1152" s="85">
        <v>3.6</v>
      </c>
      <c r="J1152" s="87">
        <v>2.2000000000000002</v>
      </c>
      <c r="K1152" s="88">
        <f t="shared" si="54"/>
        <v>7.9200000000000008</v>
      </c>
      <c r="L1152" s="85">
        <v>5322</v>
      </c>
    </row>
    <row r="1153" spans="1:12" x14ac:dyDescent="0.25">
      <c r="A1153" s="84" t="str">
        <f t="shared" si="52"/>
        <v>OutubroSEMANA 3Salsa Crespa Sushi</v>
      </c>
      <c r="B1153" s="85" t="s">
        <v>37</v>
      </c>
      <c r="C1153" s="85" t="s">
        <v>22</v>
      </c>
      <c r="D1153" s="86">
        <v>21</v>
      </c>
      <c r="E1153" s="116" t="str">
        <f t="shared" si="53"/>
        <v>Sushi</v>
      </c>
      <c r="F1153" s="85" t="s">
        <v>1055</v>
      </c>
      <c r="G1153" s="85" t="s">
        <v>731</v>
      </c>
      <c r="H1153" s="85" t="s">
        <v>1039</v>
      </c>
      <c r="I1153" s="85">
        <v>0.2</v>
      </c>
      <c r="J1153" s="87">
        <v>12.5</v>
      </c>
      <c r="K1153" s="88">
        <f t="shared" si="54"/>
        <v>2.5</v>
      </c>
      <c r="L1153" s="85">
        <v>5322</v>
      </c>
    </row>
    <row r="1154" spans="1:12" x14ac:dyDescent="0.25">
      <c r="A1154" s="84" t="str">
        <f t="shared" ref="A1154:A1217" si="55">CONCATENATE(B1154,C1154,G1154)</f>
        <v>OutubroSEMANA 3Tomate Cereja</v>
      </c>
      <c r="B1154" s="85" t="s">
        <v>37</v>
      </c>
      <c r="C1154" s="85" t="s">
        <v>22</v>
      </c>
      <c r="D1154" s="86">
        <v>21</v>
      </c>
      <c r="E1154" s="116" t="str">
        <f t="shared" ref="E1154:E1217" si="56">VLOOKUP(G1154,$M$1:$O$968,3,0)</f>
        <v>Hortifruti</v>
      </c>
      <c r="F1154" s="85" t="s">
        <v>1055</v>
      </c>
      <c r="G1154" s="85" t="s">
        <v>790</v>
      </c>
      <c r="H1154" s="85" t="s">
        <v>1039</v>
      </c>
      <c r="I1154" s="85">
        <v>2</v>
      </c>
      <c r="J1154" s="87">
        <v>7.85</v>
      </c>
      <c r="K1154" s="88">
        <f t="shared" ref="K1154:K1217" si="57">I1154*J1154</f>
        <v>15.7</v>
      </c>
      <c r="L1154" s="85">
        <v>5322</v>
      </c>
    </row>
    <row r="1155" spans="1:12" x14ac:dyDescent="0.25">
      <c r="A1155" s="84" t="str">
        <f t="shared" si="55"/>
        <v>OutubroSEMANA 3Alho Descascado</v>
      </c>
      <c r="B1155" s="85" t="s">
        <v>37</v>
      </c>
      <c r="C1155" s="85" t="s">
        <v>22</v>
      </c>
      <c r="D1155" s="86">
        <v>21</v>
      </c>
      <c r="E1155" s="116" t="str">
        <f t="shared" si="56"/>
        <v>Hortifruti</v>
      </c>
      <c r="F1155" s="85" t="s">
        <v>1129</v>
      </c>
      <c r="G1155" s="85" t="s">
        <v>112</v>
      </c>
      <c r="H1155" s="85" t="s">
        <v>1039</v>
      </c>
      <c r="I1155" s="85">
        <v>20</v>
      </c>
      <c r="J1155" s="87">
        <v>15.5</v>
      </c>
      <c r="K1155" s="88">
        <f t="shared" si="57"/>
        <v>310</v>
      </c>
      <c r="L1155" s="85"/>
    </row>
    <row r="1156" spans="1:12" x14ac:dyDescent="0.25">
      <c r="A1156" s="84" t="str">
        <f t="shared" si="55"/>
        <v>OutubroSEMANA 3Batata Yacon</v>
      </c>
      <c r="B1156" s="85" t="s">
        <v>37</v>
      </c>
      <c r="C1156" s="85" t="s">
        <v>22</v>
      </c>
      <c r="D1156" s="86">
        <v>21</v>
      </c>
      <c r="E1156" s="116" t="str">
        <f t="shared" si="56"/>
        <v>Hortifruti</v>
      </c>
      <c r="F1156" s="85" t="s">
        <v>1054</v>
      </c>
      <c r="G1156" s="85" t="s">
        <v>177</v>
      </c>
      <c r="H1156" s="85" t="s">
        <v>1039</v>
      </c>
      <c r="I1156" s="85">
        <v>0.5</v>
      </c>
      <c r="J1156" s="87">
        <v>8</v>
      </c>
      <c r="K1156" s="88">
        <f t="shared" si="57"/>
        <v>4</v>
      </c>
      <c r="L1156" s="85">
        <v>1979</v>
      </c>
    </row>
    <row r="1157" spans="1:12" x14ac:dyDescent="0.25">
      <c r="A1157" s="84" t="str">
        <f t="shared" si="55"/>
        <v>OutubroSEMANA 3Cenoura</v>
      </c>
      <c r="B1157" s="85" t="s">
        <v>37</v>
      </c>
      <c r="C1157" s="85" t="s">
        <v>22</v>
      </c>
      <c r="D1157" s="86">
        <v>21</v>
      </c>
      <c r="E1157" s="116" t="str">
        <f t="shared" si="56"/>
        <v>Hortifruti</v>
      </c>
      <c r="F1157" s="85" t="s">
        <v>1054</v>
      </c>
      <c r="G1157" s="85" t="s">
        <v>249</v>
      </c>
      <c r="H1157" s="85" t="s">
        <v>1039</v>
      </c>
      <c r="I1157" s="85">
        <v>19.48</v>
      </c>
      <c r="J1157" s="87">
        <f>45/19.48</f>
        <v>2.3100616016427105</v>
      </c>
      <c r="K1157" s="88">
        <f t="shared" si="57"/>
        <v>45</v>
      </c>
      <c r="L1157" s="85">
        <v>1979</v>
      </c>
    </row>
    <row r="1158" spans="1:12" x14ac:dyDescent="0.25">
      <c r="A1158" s="84" t="str">
        <f t="shared" si="55"/>
        <v>OutubroSEMANA 3Pepino Japonês</v>
      </c>
      <c r="B1158" s="85" t="s">
        <v>37</v>
      </c>
      <c r="C1158" s="85" t="s">
        <v>22</v>
      </c>
      <c r="D1158" s="86">
        <v>21</v>
      </c>
      <c r="E1158" s="116" t="str">
        <f t="shared" si="56"/>
        <v>Hortifruti</v>
      </c>
      <c r="F1158" s="85" t="s">
        <v>1054</v>
      </c>
      <c r="G1158" s="85" t="s">
        <v>577</v>
      </c>
      <c r="H1158" s="85" t="s">
        <v>1039</v>
      </c>
      <c r="I1158" s="85">
        <v>17.100000000000001</v>
      </c>
      <c r="J1158" s="87">
        <f>50/17.1</f>
        <v>2.9239766081871341</v>
      </c>
      <c r="K1158" s="88">
        <f t="shared" si="57"/>
        <v>50</v>
      </c>
      <c r="L1158" s="85">
        <v>1979</v>
      </c>
    </row>
    <row r="1159" spans="1:12" x14ac:dyDescent="0.25">
      <c r="A1159" s="84" t="str">
        <f t="shared" si="55"/>
        <v>OutubroSEMANA 3Pimentão Amarelo</v>
      </c>
      <c r="B1159" s="85" t="s">
        <v>37</v>
      </c>
      <c r="C1159" s="85" t="s">
        <v>22</v>
      </c>
      <c r="D1159" s="86">
        <v>21</v>
      </c>
      <c r="E1159" s="116" t="str">
        <f t="shared" si="56"/>
        <v>Hortifruti</v>
      </c>
      <c r="F1159" s="85" t="s">
        <v>1054</v>
      </c>
      <c r="G1159" s="85" t="s">
        <v>664</v>
      </c>
      <c r="H1159" s="85" t="s">
        <v>1039</v>
      </c>
      <c r="I1159" s="85">
        <v>1</v>
      </c>
      <c r="J1159" s="87">
        <v>15</v>
      </c>
      <c r="K1159" s="88">
        <f t="shared" si="57"/>
        <v>15</v>
      </c>
      <c r="L1159" s="85">
        <v>1979</v>
      </c>
    </row>
    <row r="1160" spans="1:12" x14ac:dyDescent="0.25">
      <c r="A1160" s="84" t="str">
        <f t="shared" si="55"/>
        <v>OutubroSEMANA 3Tomate Salada</v>
      </c>
      <c r="B1160" s="85" t="s">
        <v>37</v>
      </c>
      <c r="C1160" s="85" t="s">
        <v>22</v>
      </c>
      <c r="D1160" s="86">
        <v>21</v>
      </c>
      <c r="E1160" s="116" t="str">
        <f t="shared" si="56"/>
        <v>Hortifruti</v>
      </c>
      <c r="F1160" s="85" t="s">
        <v>1054</v>
      </c>
      <c r="G1160" s="85" t="s">
        <v>795</v>
      </c>
      <c r="H1160" s="85" t="s">
        <v>1039</v>
      </c>
      <c r="I1160" s="85">
        <v>19.14</v>
      </c>
      <c r="J1160" s="87">
        <f>70/19.14</f>
        <v>3.6572622779519328</v>
      </c>
      <c r="K1160" s="88">
        <f t="shared" si="57"/>
        <v>70</v>
      </c>
      <c r="L1160" s="85">
        <v>1979</v>
      </c>
    </row>
    <row r="1161" spans="1:12" x14ac:dyDescent="0.25">
      <c r="A1161" s="84" t="str">
        <f t="shared" si="55"/>
        <v xml:space="preserve">OutubroSEMANA 3Alho Poró </v>
      </c>
      <c r="B1161" s="85" t="s">
        <v>37</v>
      </c>
      <c r="C1161" s="85" t="s">
        <v>22</v>
      </c>
      <c r="D1161" s="86">
        <v>21</v>
      </c>
      <c r="E1161" s="116" t="str">
        <f t="shared" si="56"/>
        <v>Hortifruti</v>
      </c>
      <c r="F1161" s="85" t="s">
        <v>1054</v>
      </c>
      <c r="G1161" s="85" t="s">
        <v>113</v>
      </c>
      <c r="H1161" s="85" t="s">
        <v>1039</v>
      </c>
      <c r="I1161" s="85">
        <v>1</v>
      </c>
      <c r="J1161" s="87">
        <v>8</v>
      </c>
      <c r="K1161" s="88">
        <f t="shared" si="57"/>
        <v>8</v>
      </c>
      <c r="L1161" s="85">
        <v>1979</v>
      </c>
    </row>
    <row r="1162" spans="1:12" x14ac:dyDescent="0.25">
      <c r="A1162" s="84" t="str">
        <f t="shared" si="55"/>
        <v>OutubroSEMANA 3Brócolis Americano</v>
      </c>
      <c r="B1162" s="85" t="s">
        <v>37</v>
      </c>
      <c r="C1162" s="85" t="s">
        <v>22</v>
      </c>
      <c r="D1162" s="86">
        <v>21</v>
      </c>
      <c r="E1162" s="116" t="str">
        <f t="shared" si="56"/>
        <v>Hortifruti</v>
      </c>
      <c r="F1162" s="85" t="s">
        <v>1054</v>
      </c>
      <c r="G1162" s="85" t="s">
        <v>194</v>
      </c>
      <c r="H1162" s="85" t="s">
        <v>1039</v>
      </c>
      <c r="I1162" s="85">
        <v>11</v>
      </c>
      <c r="J1162" s="87">
        <v>7</v>
      </c>
      <c r="K1162" s="88">
        <f t="shared" si="57"/>
        <v>77</v>
      </c>
      <c r="L1162" s="85">
        <v>1979</v>
      </c>
    </row>
    <row r="1163" spans="1:12" x14ac:dyDescent="0.25">
      <c r="A1163" s="84" t="str">
        <f t="shared" si="55"/>
        <v>OutubroSEMANA 3Cebolinha Verde</v>
      </c>
      <c r="B1163" s="85" t="s">
        <v>37</v>
      </c>
      <c r="C1163" s="85" t="s">
        <v>22</v>
      </c>
      <c r="D1163" s="86">
        <v>21</v>
      </c>
      <c r="E1163" s="116" t="str">
        <f t="shared" si="56"/>
        <v>Hortifruti</v>
      </c>
      <c r="F1163" s="85" t="s">
        <v>1054</v>
      </c>
      <c r="G1163" s="85" t="s">
        <v>247</v>
      </c>
      <c r="H1163" s="85" t="s">
        <v>1039</v>
      </c>
      <c r="I1163" s="85">
        <f>0.5-0.464</f>
        <v>3.5999999999999976E-2</v>
      </c>
      <c r="J1163" s="87">
        <v>7</v>
      </c>
      <c r="K1163" s="88">
        <f t="shared" si="57"/>
        <v>0.25199999999999984</v>
      </c>
      <c r="L1163" s="85">
        <v>1979</v>
      </c>
    </row>
    <row r="1164" spans="1:12" x14ac:dyDescent="0.25">
      <c r="A1164" s="84" t="str">
        <f t="shared" si="55"/>
        <v>OutubroSEMANA 3Cebolinha Verde Sushi</v>
      </c>
      <c r="B1164" s="85" t="s">
        <v>37</v>
      </c>
      <c r="C1164" s="85" t="s">
        <v>22</v>
      </c>
      <c r="D1164" s="86">
        <v>21</v>
      </c>
      <c r="E1164" s="116" t="str">
        <f t="shared" si="56"/>
        <v>Sushi</v>
      </c>
      <c r="F1164" s="85" t="s">
        <v>1054</v>
      </c>
      <c r="G1164" s="85" t="s">
        <v>248</v>
      </c>
      <c r="H1164" s="85" t="s">
        <v>1039</v>
      </c>
      <c r="I1164" s="85">
        <v>0.46400000000000002</v>
      </c>
      <c r="J1164" s="87">
        <v>7</v>
      </c>
      <c r="K1164" s="88">
        <f t="shared" si="57"/>
        <v>3.2480000000000002</v>
      </c>
      <c r="L1164" s="85">
        <v>1979</v>
      </c>
    </row>
    <row r="1165" spans="1:12" x14ac:dyDescent="0.25">
      <c r="A1165" s="84" t="str">
        <f t="shared" si="55"/>
        <v>OutubroSEMANA 3Manjericão</v>
      </c>
      <c r="B1165" s="85" t="s">
        <v>37</v>
      </c>
      <c r="C1165" s="85" t="s">
        <v>22</v>
      </c>
      <c r="D1165" s="86">
        <v>21</v>
      </c>
      <c r="E1165" s="116" t="str">
        <f t="shared" si="56"/>
        <v>Hortifruti</v>
      </c>
      <c r="F1165" s="85" t="s">
        <v>1054</v>
      </c>
      <c r="G1165" s="85" t="s">
        <v>499</v>
      </c>
      <c r="H1165" s="85" t="s">
        <v>1039</v>
      </c>
      <c r="I1165" s="85">
        <v>0.3</v>
      </c>
      <c r="J1165" s="87">
        <v>12</v>
      </c>
      <c r="K1165" s="88">
        <f t="shared" si="57"/>
        <v>3.5999999999999996</v>
      </c>
      <c r="L1165" s="85">
        <v>1979</v>
      </c>
    </row>
    <row r="1166" spans="1:12" x14ac:dyDescent="0.25">
      <c r="A1166" s="84" t="str">
        <f t="shared" si="55"/>
        <v>OutubroSEMANA 3Salsa</v>
      </c>
      <c r="B1166" s="85" t="s">
        <v>37</v>
      </c>
      <c r="C1166" s="85" t="s">
        <v>22</v>
      </c>
      <c r="D1166" s="86">
        <v>21</v>
      </c>
      <c r="E1166" s="116" t="str">
        <f t="shared" si="56"/>
        <v>Hortifruti</v>
      </c>
      <c r="F1166" s="85" t="s">
        <v>1054</v>
      </c>
      <c r="G1166" s="85" t="s">
        <v>729</v>
      </c>
      <c r="H1166" s="85" t="s">
        <v>1039</v>
      </c>
      <c r="I1166" s="85">
        <v>1</v>
      </c>
      <c r="J1166" s="87">
        <v>7</v>
      </c>
      <c r="K1166" s="88">
        <f t="shared" si="57"/>
        <v>7</v>
      </c>
      <c r="L1166" s="85">
        <v>1979</v>
      </c>
    </row>
    <row r="1167" spans="1:12" x14ac:dyDescent="0.25">
      <c r="A1167" s="84" t="str">
        <f t="shared" si="55"/>
        <v>OutubroSEMANA 3Broto de Feijão</v>
      </c>
      <c r="B1167" s="85" t="s">
        <v>37</v>
      </c>
      <c r="C1167" s="85" t="s">
        <v>22</v>
      </c>
      <c r="D1167" s="86">
        <v>21</v>
      </c>
      <c r="E1167" s="116" t="str">
        <f t="shared" si="56"/>
        <v>Hortifruti</v>
      </c>
      <c r="F1167" s="85" t="s">
        <v>1054</v>
      </c>
      <c r="G1167" s="85" t="s">
        <v>197</v>
      </c>
      <c r="H1167" s="85" t="s">
        <v>1039</v>
      </c>
      <c r="I1167" s="85">
        <v>1</v>
      </c>
      <c r="J1167" s="87">
        <v>14</v>
      </c>
      <c r="K1167" s="88">
        <f t="shared" si="57"/>
        <v>14</v>
      </c>
      <c r="L1167" s="85">
        <v>1979</v>
      </c>
    </row>
    <row r="1168" spans="1:12" x14ac:dyDescent="0.25">
      <c r="A1168" s="84" t="str">
        <f t="shared" si="55"/>
        <v>OutubroSEMANA 3Tofu Kilo</v>
      </c>
      <c r="B1168" s="85" t="s">
        <v>37</v>
      </c>
      <c r="C1168" s="85" t="s">
        <v>22</v>
      </c>
      <c r="D1168" s="86">
        <v>21</v>
      </c>
      <c r="E1168" s="116" t="str">
        <f t="shared" si="56"/>
        <v>Hortifruti</v>
      </c>
      <c r="F1168" s="85" t="s">
        <v>1054</v>
      </c>
      <c r="G1168" s="85" t="s">
        <v>789</v>
      </c>
      <c r="H1168" s="85" t="s">
        <v>1039</v>
      </c>
      <c r="I1168" s="85">
        <v>1</v>
      </c>
      <c r="J1168" s="87">
        <v>14</v>
      </c>
      <c r="K1168" s="88">
        <f t="shared" si="57"/>
        <v>14</v>
      </c>
      <c r="L1168" s="85">
        <v>1979</v>
      </c>
    </row>
    <row r="1169" spans="1:12" x14ac:dyDescent="0.25">
      <c r="A1169" s="84" t="str">
        <f t="shared" si="55"/>
        <v>OutubroSEMANA 3Capim Limão</v>
      </c>
      <c r="B1169" s="85" t="s">
        <v>37</v>
      </c>
      <c r="C1169" s="85" t="s">
        <v>22</v>
      </c>
      <c r="D1169" s="86">
        <v>21</v>
      </c>
      <c r="E1169" s="116" t="str">
        <f t="shared" si="56"/>
        <v>Hortifruti</v>
      </c>
      <c r="F1169" s="85" t="s">
        <v>1054</v>
      </c>
      <c r="G1169" s="85" t="s">
        <v>211</v>
      </c>
      <c r="H1169" s="85" t="s">
        <v>1039</v>
      </c>
      <c r="I1169" s="85">
        <v>0.1</v>
      </c>
      <c r="J1169" s="87">
        <v>15</v>
      </c>
      <c r="K1169" s="88">
        <f t="shared" si="57"/>
        <v>1.5</v>
      </c>
      <c r="L1169" s="85">
        <v>1979</v>
      </c>
    </row>
    <row r="1170" spans="1:12" x14ac:dyDescent="0.25">
      <c r="A1170" s="84" t="str">
        <f t="shared" si="55"/>
        <v>OutubroSEMANA 3Abacate Sushi</v>
      </c>
      <c r="B1170" s="85" t="s">
        <v>37</v>
      </c>
      <c r="C1170" s="85" t="s">
        <v>22</v>
      </c>
      <c r="D1170" s="86">
        <v>21</v>
      </c>
      <c r="E1170" s="116" t="str">
        <f t="shared" si="56"/>
        <v>Sushi</v>
      </c>
      <c r="F1170" s="85" t="s">
        <v>1054</v>
      </c>
      <c r="G1170" s="85" t="s">
        <v>64</v>
      </c>
      <c r="H1170" s="85" t="s">
        <v>1039</v>
      </c>
      <c r="I1170" s="85">
        <v>2</v>
      </c>
      <c r="J1170" s="87">
        <v>6.8</v>
      </c>
      <c r="K1170" s="88">
        <f t="shared" si="57"/>
        <v>13.6</v>
      </c>
      <c r="L1170" s="85">
        <v>1979</v>
      </c>
    </row>
    <row r="1171" spans="1:12" x14ac:dyDescent="0.25">
      <c r="A1171" s="84" t="str">
        <f t="shared" si="55"/>
        <v xml:space="preserve">OutubroSEMANA 3Abacaxi </v>
      </c>
      <c r="B1171" s="85" t="s">
        <v>37</v>
      </c>
      <c r="C1171" s="85" t="s">
        <v>22</v>
      </c>
      <c r="D1171" s="86">
        <v>21</v>
      </c>
      <c r="E1171" s="116" t="str">
        <f t="shared" si="56"/>
        <v>Hortifruti</v>
      </c>
      <c r="F1171" s="85" t="s">
        <v>1054</v>
      </c>
      <c r="G1171" s="85" t="s">
        <v>65</v>
      </c>
      <c r="H1171" s="85" t="s">
        <v>1039</v>
      </c>
      <c r="I1171" s="85">
        <v>20</v>
      </c>
      <c r="J1171" s="87">
        <v>2.4</v>
      </c>
      <c r="K1171" s="88">
        <f t="shared" si="57"/>
        <v>48</v>
      </c>
      <c r="L1171" s="85">
        <v>1979</v>
      </c>
    </row>
    <row r="1172" spans="1:12" x14ac:dyDescent="0.25">
      <c r="A1172" s="84" t="str">
        <f t="shared" si="55"/>
        <v>OutubroSEMANA 3Maracujá</v>
      </c>
      <c r="B1172" s="85" t="s">
        <v>37</v>
      </c>
      <c r="C1172" s="85" t="s">
        <v>22</v>
      </c>
      <c r="D1172" s="86">
        <v>21</v>
      </c>
      <c r="E1172" s="116" t="str">
        <f t="shared" si="56"/>
        <v>Hortifruti</v>
      </c>
      <c r="F1172" s="85" t="s">
        <v>1054</v>
      </c>
      <c r="G1172" s="85" t="s">
        <v>504</v>
      </c>
      <c r="H1172" s="85" t="s">
        <v>1039</v>
      </c>
      <c r="I1172" s="85">
        <v>1</v>
      </c>
      <c r="J1172" s="87">
        <v>7.8</v>
      </c>
      <c r="K1172" s="88">
        <f t="shared" si="57"/>
        <v>7.8</v>
      </c>
      <c r="L1172" s="85">
        <v>1979</v>
      </c>
    </row>
    <row r="1173" spans="1:12" x14ac:dyDescent="0.25">
      <c r="A1173" s="84" t="str">
        <f t="shared" si="55"/>
        <v>OutubroSEMANA 3Feijão Fradinho</v>
      </c>
      <c r="B1173" s="85" t="s">
        <v>37</v>
      </c>
      <c r="C1173" s="85" t="s">
        <v>22</v>
      </c>
      <c r="D1173" s="86">
        <v>21</v>
      </c>
      <c r="E1173" s="116" t="str">
        <f t="shared" si="56"/>
        <v>Mercado</v>
      </c>
      <c r="F1173" s="85" t="s">
        <v>1078</v>
      </c>
      <c r="G1173" s="85" t="s">
        <v>350</v>
      </c>
      <c r="H1173" s="85" t="s">
        <v>1039</v>
      </c>
      <c r="I1173" s="85">
        <f>10*0.5</f>
        <v>5</v>
      </c>
      <c r="J1173" s="87">
        <f>25.49/5</f>
        <v>5.0979999999999999</v>
      </c>
      <c r="K1173" s="88">
        <f t="shared" si="57"/>
        <v>25.49</v>
      </c>
      <c r="L1173" s="85" t="s">
        <v>1239</v>
      </c>
    </row>
    <row r="1174" spans="1:12" x14ac:dyDescent="0.25">
      <c r="A1174" s="84" t="str">
        <f t="shared" si="55"/>
        <v>OutubroSEMANA 3Carne Bovina - Maminha</v>
      </c>
      <c r="B1174" s="85" t="s">
        <v>37</v>
      </c>
      <c r="C1174" s="85" t="s">
        <v>22</v>
      </c>
      <c r="D1174" s="86">
        <v>21</v>
      </c>
      <c r="E1174" s="116" t="str">
        <f t="shared" si="56"/>
        <v>Carnes</v>
      </c>
      <c r="F1174" s="85" t="s">
        <v>1078</v>
      </c>
      <c r="G1174" s="85" t="s">
        <v>228</v>
      </c>
      <c r="H1174" s="85" t="s">
        <v>1039</v>
      </c>
      <c r="I1174" s="85">
        <v>25.03</v>
      </c>
      <c r="J1174" s="87">
        <v>19.850000000000001</v>
      </c>
      <c r="K1174" s="88">
        <f t="shared" si="57"/>
        <v>496.84550000000007</v>
      </c>
      <c r="L1174" s="85" t="s">
        <v>1239</v>
      </c>
    </row>
    <row r="1175" spans="1:12" x14ac:dyDescent="0.25">
      <c r="A1175" s="84" t="str">
        <f t="shared" si="55"/>
        <v>OutubroSEMANA 3Óleo Composto 500ml</v>
      </c>
      <c r="B1175" s="85" t="s">
        <v>37</v>
      </c>
      <c r="C1175" s="85" t="s">
        <v>22</v>
      </c>
      <c r="D1175" s="86">
        <v>21</v>
      </c>
      <c r="E1175" s="116" t="str">
        <f t="shared" si="56"/>
        <v>Mercado</v>
      </c>
      <c r="F1175" s="85" t="s">
        <v>1078</v>
      </c>
      <c r="G1175" s="85" t="s">
        <v>542</v>
      </c>
      <c r="H1175" s="85" t="s">
        <v>1038</v>
      </c>
      <c r="I1175" s="85">
        <f>2*12</f>
        <v>24</v>
      </c>
      <c r="J1175" s="87">
        <f>78/24</f>
        <v>3.25</v>
      </c>
      <c r="K1175" s="88">
        <f t="shared" si="57"/>
        <v>78</v>
      </c>
      <c r="L1175" s="85" t="s">
        <v>1239</v>
      </c>
    </row>
    <row r="1176" spans="1:12" x14ac:dyDescent="0.25">
      <c r="A1176" s="84" t="str">
        <f t="shared" si="55"/>
        <v>OutubroSEMANA 3Carne Bovina - Picanha Grill/Churrascaria</v>
      </c>
      <c r="B1176" s="85" t="s">
        <v>37</v>
      </c>
      <c r="C1176" s="85" t="s">
        <v>22</v>
      </c>
      <c r="D1176" s="86">
        <v>21</v>
      </c>
      <c r="E1176" s="116" t="str">
        <f t="shared" si="56"/>
        <v>Carnes</v>
      </c>
      <c r="F1176" s="85" t="s">
        <v>1078</v>
      </c>
      <c r="G1176" s="85" t="s">
        <v>233</v>
      </c>
      <c r="H1176" s="85" t="s">
        <v>1039</v>
      </c>
      <c r="I1176" s="85">
        <v>13.53</v>
      </c>
      <c r="J1176" s="87">
        <v>38.979999999999997</v>
      </c>
      <c r="K1176" s="88">
        <f t="shared" si="57"/>
        <v>527.3993999999999</v>
      </c>
      <c r="L1176" s="85" t="s">
        <v>1239</v>
      </c>
    </row>
    <row r="1177" spans="1:12" x14ac:dyDescent="0.25">
      <c r="A1177" s="84" t="str">
        <f t="shared" si="55"/>
        <v>OutubroSEMANA 3Pescados - Atum Fresco Sushi</v>
      </c>
      <c r="B1177" s="85" t="s">
        <v>37</v>
      </c>
      <c r="C1177" s="85" t="s">
        <v>22</v>
      </c>
      <c r="D1177" s="86">
        <v>21</v>
      </c>
      <c r="E1177" s="116" t="str">
        <f t="shared" si="56"/>
        <v>Sushi</v>
      </c>
      <c r="F1177" s="85" t="s">
        <v>1133</v>
      </c>
      <c r="G1177" s="85" t="s">
        <v>587</v>
      </c>
      <c r="H1177" s="85" t="s">
        <v>1039</v>
      </c>
      <c r="I1177" s="85">
        <v>20</v>
      </c>
      <c r="J1177" s="87">
        <v>14.9</v>
      </c>
      <c r="K1177" s="88">
        <f t="shared" si="57"/>
        <v>298</v>
      </c>
      <c r="L1177" s="85" t="s">
        <v>1240</v>
      </c>
    </row>
    <row r="1178" spans="1:12" x14ac:dyDescent="0.25">
      <c r="A1178" s="84" t="str">
        <f t="shared" si="55"/>
        <v>OutubroSEMANA 4Gelo em Escamas</v>
      </c>
      <c r="B1178" s="85" t="s">
        <v>37</v>
      </c>
      <c r="C1178" s="85" t="s">
        <v>23</v>
      </c>
      <c r="D1178" s="86">
        <v>22</v>
      </c>
      <c r="E1178" s="116" t="str">
        <f t="shared" si="56"/>
        <v>Mercado</v>
      </c>
      <c r="F1178" s="85" t="s">
        <v>1040</v>
      </c>
      <c r="G1178" s="85" t="s">
        <v>384</v>
      </c>
      <c r="H1178" s="85" t="s">
        <v>1041</v>
      </c>
      <c r="I1178" s="85">
        <v>2</v>
      </c>
      <c r="J1178" s="87">
        <v>7.5</v>
      </c>
      <c r="K1178" s="88">
        <f t="shared" si="57"/>
        <v>15</v>
      </c>
      <c r="L1178" s="85">
        <v>11221</v>
      </c>
    </row>
    <row r="1179" spans="1:12" x14ac:dyDescent="0.25">
      <c r="A1179" s="84" t="str">
        <f t="shared" si="55"/>
        <v>OutubroSEMANA 4Gelo em Cubo</v>
      </c>
      <c r="B1179" s="85" t="s">
        <v>37</v>
      </c>
      <c r="C1179" s="85" t="s">
        <v>23</v>
      </c>
      <c r="D1179" s="86">
        <v>22</v>
      </c>
      <c r="E1179" s="116" t="str">
        <f t="shared" si="56"/>
        <v>Mercado</v>
      </c>
      <c r="F1179" s="85" t="s">
        <v>1040</v>
      </c>
      <c r="G1179" s="85" t="s">
        <v>383</v>
      </c>
      <c r="H1179" s="85" t="s">
        <v>1041</v>
      </c>
      <c r="I1179" s="85">
        <v>4</v>
      </c>
      <c r="J1179" s="87">
        <v>7.5</v>
      </c>
      <c r="K1179" s="88">
        <f t="shared" si="57"/>
        <v>30</v>
      </c>
      <c r="L1179" s="85">
        <v>11221</v>
      </c>
    </row>
    <row r="1180" spans="1:12" x14ac:dyDescent="0.25">
      <c r="A1180" s="84" t="str">
        <f t="shared" si="55"/>
        <v>OutubroSEMANA 4Suíno - Bacon Fatiado</v>
      </c>
      <c r="B1180" s="85" t="s">
        <v>37</v>
      </c>
      <c r="C1180" s="85" t="s">
        <v>23</v>
      </c>
      <c r="D1180" s="86">
        <v>23</v>
      </c>
      <c r="E1180" s="116" t="str">
        <f t="shared" si="56"/>
        <v>Carnes</v>
      </c>
      <c r="F1180" s="85" t="s">
        <v>1228</v>
      </c>
      <c r="G1180" s="85" t="s">
        <v>756</v>
      </c>
      <c r="H1180" s="85" t="s">
        <v>1039</v>
      </c>
      <c r="I1180" s="85">
        <v>5</v>
      </c>
      <c r="J1180" s="87">
        <v>27.14</v>
      </c>
      <c r="K1180" s="88">
        <f t="shared" si="57"/>
        <v>135.69999999999999</v>
      </c>
      <c r="L1180" s="85">
        <v>2381981</v>
      </c>
    </row>
    <row r="1181" spans="1:12" x14ac:dyDescent="0.25">
      <c r="A1181" s="84" t="str">
        <f t="shared" si="55"/>
        <v>OutubroSEMANA 4Alface Americana Orgânica</v>
      </c>
      <c r="B1181" s="85" t="s">
        <v>37</v>
      </c>
      <c r="C1181" s="85" t="s">
        <v>23</v>
      </c>
      <c r="D1181" s="86">
        <v>23</v>
      </c>
      <c r="E1181" s="116" t="str">
        <f t="shared" si="56"/>
        <v>Hortifruti</v>
      </c>
      <c r="F1181" s="85" t="s">
        <v>1044</v>
      </c>
      <c r="G1181" s="85" t="s">
        <v>103</v>
      </c>
      <c r="H1181" s="85" t="s">
        <v>1039</v>
      </c>
      <c r="I1181" s="85">
        <v>6.84</v>
      </c>
      <c r="J1181" s="87">
        <f>58/6.84</f>
        <v>8.4795321637426895</v>
      </c>
      <c r="K1181" s="88">
        <f t="shared" si="57"/>
        <v>57.999999999999993</v>
      </c>
      <c r="L1181" s="85">
        <v>83229</v>
      </c>
    </row>
    <row r="1182" spans="1:12" x14ac:dyDescent="0.25">
      <c r="A1182" s="84" t="str">
        <f t="shared" si="55"/>
        <v>OutubroSEMANA 4Alface crespa Orgânica</v>
      </c>
      <c r="B1182" s="85" t="s">
        <v>37</v>
      </c>
      <c r="C1182" s="85" t="s">
        <v>23</v>
      </c>
      <c r="D1182" s="86">
        <v>23</v>
      </c>
      <c r="E1182" s="116" t="str">
        <f t="shared" si="56"/>
        <v>Hortifruti</v>
      </c>
      <c r="F1182" s="85" t="s">
        <v>1044</v>
      </c>
      <c r="G1182" s="85" t="s">
        <v>105</v>
      </c>
      <c r="H1182" s="85" t="s">
        <v>1039</v>
      </c>
      <c r="I1182" s="85">
        <v>1.1399999999999999</v>
      </c>
      <c r="J1182" s="87">
        <f>17.5/1.14</f>
        <v>15.350877192982457</v>
      </c>
      <c r="K1182" s="88">
        <f t="shared" si="57"/>
        <v>17.5</v>
      </c>
      <c r="L1182" s="85">
        <v>83229</v>
      </c>
    </row>
    <row r="1183" spans="1:12" x14ac:dyDescent="0.25">
      <c r="A1183" s="84" t="str">
        <f t="shared" si="55"/>
        <v>OutubroSEMANA 4Alface Roxa Orgânica</v>
      </c>
      <c r="B1183" s="85" t="s">
        <v>37</v>
      </c>
      <c r="C1183" s="85" t="s">
        <v>23</v>
      </c>
      <c r="D1183" s="86">
        <v>23</v>
      </c>
      <c r="E1183" s="116" t="str">
        <f t="shared" si="56"/>
        <v>Hortifruti</v>
      </c>
      <c r="F1183" s="85" t="s">
        <v>1044</v>
      </c>
      <c r="G1183" s="85" t="s">
        <v>109</v>
      </c>
      <c r="H1183" s="85" t="s">
        <v>1039</v>
      </c>
      <c r="I1183" s="85">
        <v>1.08</v>
      </c>
      <c r="J1183" s="87">
        <f>12.5/1.08</f>
        <v>11.574074074074073</v>
      </c>
      <c r="K1183" s="88">
        <f t="shared" si="57"/>
        <v>12.5</v>
      </c>
      <c r="L1183" s="85">
        <v>83229</v>
      </c>
    </row>
    <row r="1184" spans="1:12" x14ac:dyDescent="0.25">
      <c r="A1184" s="84" t="str">
        <f t="shared" si="55"/>
        <v>OutubroSEMANA 4Beterraba Orgânica</v>
      </c>
      <c r="B1184" s="85" t="s">
        <v>37</v>
      </c>
      <c r="C1184" s="85" t="s">
        <v>23</v>
      </c>
      <c r="D1184" s="86">
        <v>23</v>
      </c>
      <c r="E1184" s="116" t="str">
        <f t="shared" si="56"/>
        <v>Hortifruti</v>
      </c>
      <c r="F1184" s="85" t="s">
        <v>1044</v>
      </c>
      <c r="G1184" s="85" t="s">
        <v>182</v>
      </c>
      <c r="H1184" s="85" t="s">
        <v>1039</v>
      </c>
      <c r="I1184" s="85">
        <v>4.05</v>
      </c>
      <c r="J1184" s="87">
        <v>7.7</v>
      </c>
      <c r="K1184" s="88">
        <f t="shared" si="57"/>
        <v>31.184999999999999</v>
      </c>
      <c r="L1184" s="85">
        <v>83229</v>
      </c>
    </row>
    <row r="1185" spans="1:12" x14ac:dyDescent="0.25">
      <c r="A1185" s="84" t="str">
        <f t="shared" si="55"/>
        <v>OutubroSEMANA 4Cenoura Orgânica</v>
      </c>
      <c r="B1185" s="85" t="s">
        <v>37</v>
      </c>
      <c r="C1185" s="85" t="s">
        <v>23</v>
      </c>
      <c r="D1185" s="86">
        <v>23</v>
      </c>
      <c r="E1185" s="116" t="str">
        <f t="shared" si="56"/>
        <v>Hortifruti</v>
      </c>
      <c r="F1185" s="85" t="s">
        <v>1044</v>
      </c>
      <c r="G1185" s="85" t="s">
        <v>252</v>
      </c>
      <c r="H1185" s="85" t="s">
        <v>1039</v>
      </c>
      <c r="I1185" s="85">
        <v>4.07</v>
      </c>
      <c r="J1185" s="87">
        <v>7.75</v>
      </c>
      <c r="K1185" s="88">
        <f t="shared" si="57"/>
        <v>31.542500000000004</v>
      </c>
      <c r="L1185" s="85">
        <v>83229</v>
      </c>
    </row>
    <row r="1186" spans="1:12" x14ac:dyDescent="0.25">
      <c r="A1186" s="84" t="str">
        <f t="shared" si="55"/>
        <v>OutubroSEMANA 4Rúcula Orgânica</v>
      </c>
      <c r="B1186" s="85" t="s">
        <v>37</v>
      </c>
      <c r="C1186" s="85" t="s">
        <v>23</v>
      </c>
      <c r="D1186" s="86">
        <v>23</v>
      </c>
      <c r="E1186" s="116" t="str">
        <f t="shared" si="56"/>
        <v>Hortifruti</v>
      </c>
      <c r="F1186" s="85" t="s">
        <v>1044</v>
      </c>
      <c r="G1186" s="85" t="s">
        <v>707</v>
      </c>
      <c r="H1186" s="85" t="s">
        <v>1039</v>
      </c>
      <c r="I1186" s="85">
        <v>3.75</v>
      </c>
      <c r="J1186" s="87">
        <f>80/3.75</f>
        <v>21.333333333333332</v>
      </c>
      <c r="K1186" s="88">
        <f t="shared" si="57"/>
        <v>80</v>
      </c>
      <c r="L1186" s="85">
        <v>83229</v>
      </c>
    </row>
    <row r="1187" spans="1:12" x14ac:dyDescent="0.25">
      <c r="A1187" s="84" t="str">
        <f t="shared" si="55"/>
        <v>OutubroSEMANA 4Pescados - Filé Linguado Cong. M</v>
      </c>
      <c r="B1187" s="85" t="s">
        <v>37</v>
      </c>
      <c r="C1187" s="85" t="s">
        <v>23</v>
      </c>
      <c r="D1187" s="86">
        <v>23</v>
      </c>
      <c r="E1187" s="116" t="str">
        <f t="shared" si="56"/>
        <v>Carnes</v>
      </c>
      <c r="F1187" s="85" t="s">
        <v>1048</v>
      </c>
      <c r="G1187" s="85" t="s">
        <v>608</v>
      </c>
      <c r="H1187" s="85" t="s">
        <v>1039</v>
      </c>
      <c r="I1187" s="85">
        <v>10</v>
      </c>
      <c r="J1187" s="87">
        <v>29</v>
      </c>
      <c r="K1187" s="88">
        <f t="shared" si="57"/>
        <v>290</v>
      </c>
      <c r="L1187" s="85">
        <v>283199</v>
      </c>
    </row>
    <row r="1188" spans="1:12" x14ac:dyDescent="0.25">
      <c r="A1188" s="84" t="str">
        <f t="shared" si="55"/>
        <v>OutubroSEMANA 4Girassol s/ Casca</v>
      </c>
      <c r="B1188" s="85" t="s">
        <v>37</v>
      </c>
      <c r="C1188" s="85" t="s">
        <v>23</v>
      </c>
      <c r="D1188" s="86">
        <v>23</v>
      </c>
      <c r="E1188" s="116" t="str">
        <f t="shared" si="56"/>
        <v>Mercado</v>
      </c>
      <c r="F1188" s="85" t="s">
        <v>1099</v>
      </c>
      <c r="G1188" s="85" t="s">
        <v>1029</v>
      </c>
      <c r="H1188" s="85" t="s">
        <v>1039</v>
      </c>
      <c r="I1188" s="85">
        <v>2.008</v>
      </c>
      <c r="J1188" s="87">
        <v>16.738</v>
      </c>
      <c r="K1188" s="88">
        <f t="shared" si="57"/>
        <v>33.609904</v>
      </c>
      <c r="L1188" s="85">
        <v>92413</v>
      </c>
    </row>
    <row r="1189" spans="1:12" x14ac:dyDescent="0.25">
      <c r="A1189" s="84" t="str">
        <f t="shared" si="55"/>
        <v>OutubroSEMANA 4Abacaxi Cristalizado</v>
      </c>
      <c r="B1189" s="85" t="s">
        <v>37</v>
      </c>
      <c r="C1189" s="85" t="s">
        <v>23</v>
      </c>
      <c r="D1189" s="86">
        <v>23</v>
      </c>
      <c r="E1189" s="116" t="str">
        <f t="shared" si="56"/>
        <v>Mercado</v>
      </c>
      <c r="F1189" s="85" t="s">
        <v>1099</v>
      </c>
      <c r="G1189" s="85" t="s">
        <v>66</v>
      </c>
      <c r="H1189" s="85" t="s">
        <v>1039</v>
      </c>
      <c r="I1189" s="85">
        <v>0.318</v>
      </c>
      <c r="J1189" s="87">
        <v>32.924500000000002</v>
      </c>
      <c r="K1189" s="88">
        <f t="shared" si="57"/>
        <v>10.469991</v>
      </c>
      <c r="L1189" s="85">
        <v>92413</v>
      </c>
    </row>
    <row r="1190" spans="1:12" x14ac:dyDescent="0.25">
      <c r="A1190" s="84" t="str">
        <f t="shared" si="55"/>
        <v>OutubroSEMANA 4Kiwi Desidratado</v>
      </c>
      <c r="B1190" s="85" t="s">
        <v>37</v>
      </c>
      <c r="C1190" s="85" t="s">
        <v>23</v>
      </c>
      <c r="D1190" s="86">
        <v>23</v>
      </c>
      <c r="E1190" s="116" t="str">
        <f t="shared" si="56"/>
        <v>Mercado</v>
      </c>
      <c r="F1190" s="85" t="s">
        <v>1099</v>
      </c>
      <c r="G1190" s="85" t="s">
        <v>455</v>
      </c>
      <c r="H1190" s="85" t="s">
        <v>1039</v>
      </c>
      <c r="I1190" s="85">
        <v>0.3</v>
      </c>
      <c r="J1190" s="87">
        <v>44.9</v>
      </c>
      <c r="K1190" s="88">
        <f t="shared" si="57"/>
        <v>13.469999999999999</v>
      </c>
      <c r="L1190" s="85">
        <v>92413</v>
      </c>
    </row>
    <row r="1191" spans="1:12" x14ac:dyDescent="0.25">
      <c r="A1191" s="84" t="str">
        <f t="shared" si="55"/>
        <v>OutubroSEMANA 4Maçã Desidratada</v>
      </c>
      <c r="B1191" s="85" t="s">
        <v>37</v>
      </c>
      <c r="C1191" s="85" t="s">
        <v>23</v>
      </c>
      <c r="D1191" s="86">
        <v>23</v>
      </c>
      <c r="E1191" s="116" t="str">
        <f t="shared" si="56"/>
        <v>Mercado</v>
      </c>
      <c r="F1191" s="85" t="s">
        <v>1099</v>
      </c>
      <c r="G1191" s="85" t="s">
        <v>476</v>
      </c>
      <c r="H1191" s="85" t="s">
        <v>1039</v>
      </c>
      <c r="I1191" s="85">
        <v>0.30399999999999999</v>
      </c>
      <c r="J1191" s="87">
        <v>48.947400000000002</v>
      </c>
      <c r="K1191" s="88">
        <f t="shared" si="57"/>
        <v>14.880009600000001</v>
      </c>
      <c r="L1191" s="85">
        <v>92413</v>
      </c>
    </row>
    <row r="1192" spans="1:12" x14ac:dyDescent="0.25">
      <c r="A1192" s="84" t="str">
        <f t="shared" si="55"/>
        <v>OutubroSEMANA 4Pera Seca</v>
      </c>
      <c r="B1192" s="85" t="s">
        <v>37</v>
      </c>
      <c r="C1192" s="85" t="s">
        <v>23</v>
      </c>
      <c r="D1192" s="86">
        <v>23</v>
      </c>
      <c r="E1192" s="116" t="str">
        <f t="shared" si="56"/>
        <v>Mercado</v>
      </c>
      <c r="F1192" s="85" t="s">
        <v>1099</v>
      </c>
      <c r="G1192" s="85" t="s">
        <v>582</v>
      </c>
      <c r="H1192" s="85" t="s">
        <v>1039</v>
      </c>
      <c r="I1192" s="85">
        <v>0.318</v>
      </c>
      <c r="J1192" s="87">
        <v>53.018900000000002</v>
      </c>
      <c r="K1192" s="88">
        <f t="shared" si="57"/>
        <v>16.860010200000001</v>
      </c>
      <c r="L1192" s="85">
        <v>92413</v>
      </c>
    </row>
    <row r="1193" spans="1:12" x14ac:dyDescent="0.25">
      <c r="A1193" s="84" t="str">
        <f t="shared" si="55"/>
        <v>OutubroSEMANA 4Arroz Integral Curto</v>
      </c>
      <c r="B1193" s="85" t="s">
        <v>37</v>
      </c>
      <c r="C1193" s="85" t="s">
        <v>23</v>
      </c>
      <c r="D1193" s="86">
        <v>23</v>
      </c>
      <c r="E1193" s="116" t="str">
        <f t="shared" si="56"/>
        <v>Mercado</v>
      </c>
      <c r="F1193" s="85" t="s">
        <v>1099</v>
      </c>
      <c r="G1193" s="85" t="s">
        <v>127</v>
      </c>
      <c r="H1193" s="85" t="s">
        <v>1039</v>
      </c>
      <c r="I1193" s="85">
        <v>15.086</v>
      </c>
      <c r="J1193" s="87">
        <v>8.4197000000000006</v>
      </c>
      <c r="K1193" s="88">
        <f t="shared" si="57"/>
        <v>127.01959420000001</v>
      </c>
      <c r="L1193" s="85">
        <v>92413</v>
      </c>
    </row>
    <row r="1194" spans="1:12" x14ac:dyDescent="0.25">
      <c r="A1194" s="84" t="str">
        <f t="shared" si="55"/>
        <v>OutubroSEMANA 4Gelo em Cubo</v>
      </c>
      <c r="B1194" s="85" t="s">
        <v>37</v>
      </c>
      <c r="C1194" s="85" t="s">
        <v>23</v>
      </c>
      <c r="D1194" s="86">
        <v>23</v>
      </c>
      <c r="E1194" s="116" t="str">
        <f t="shared" si="56"/>
        <v>Mercado</v>
      </c>
      <c r="F1194" s="85" t="s">
        <v>1040</v>
      </c>
      <c r="G1194" s="85" t="s">
        <v>383</v>
      </c>
      <c r="H1194" s="85" t="s">
        <v>1041</v>
      </c>
      <c r="I1194" s="85">
        <v>3</v>
      </c>
      <c r="J1194" s="87">
        <v>7.5</v>
      </c>
      <c r="K1194" s="88">
        <f t="shared" si="57"/>
        <v>22.5</v>
      </c>
      <c r="L1194" s="85">
        <v>11182</v>
      </c>
    </row>
    <row r="1195" spans="1:12" x14ac:dyDescent="0.25">
      <c r="A1195" s="84" t="str">
        <f t="shared" si="55"/>
        <v>OutubroSEMANA 4Creme de Leite Culinário 20% Bd 10 Lt</v>
      </c>
      <c r="B1195" s="85" t="s">
        <v>37</v>
      </c>
      <c r="C1195" s="85" t="s">
        <v>23</v>
      </c>
      <c r="D1195" s="86">
        <v>23</v>
      </c>
      <c r="E1195" s="116" t="str">
        <f t="shared" si="56"/>
        <v>Mercado</v>
      </c>
      <c r="F1195" s="85" t="s">
        <v>1045</v>
      </c>
      <c r="G1195" s="85" t="s">
        <v>315</v>
      </c>
      <c r="H1195" s="85" t="s">
        <v>1046</v>
      </c>
      <c r="I1195" s="85">
        <v>2</v>
      </c>
      <c r="J1195" s="87">
        <v>142.44999999999999</v>
      </c>
      <c r="K1195" s="88">
        <f t="shared" si="57"/>
        <v>284.89999999999998</v>
      </c>
      <c r="L1195" s="85" t="s">
        <v>1241</v>
      </c>
    </row>
    <row r="1196" spans="1:12" x14ac:dyDescent="0.25">
      <c r="A1196" s="84" t="str">
        <f t="shared" si="55"/>
        <v>OutubroSEMANA 4Queijo Mascarpone Ecila Bd 3,6 Kg</v>
      </c>
      <c r="B1196" s="85" t="s">
        <v>37</v>
      </c>
      <c r="C1196" s="85" t="s">
        <v>23</v>
      </c>
      <c r="D1196" s="86">
        <v>23</v>
      </c>
      <c r="E1196" s="116" t="str">
        <f t="shared" si="56"/>
        <v>Mercado</v>
      </c>
      <c r="F1196" s="85" t="s">
        <v>1045</v>
      </c>
      <c r="G1196" s="85" t="s">
        <v>681</v>
      </c>
      <c r="H1196" s="85" t="s">
        <v>1046</v>
      </c>
      <c r="I1196" s="85">
        <v>1</v>
      </c>
      <c r="J1196" s="87">
        <v>84.8</v>
      </c>
      <c r="K1196" s="88">
        <f t="shared" si="57"/>
        <v>84.8</v>
      </c>
      <c r="L1196" s="85" t="s">
        <v>1241</v>
      </c>
    </row>
    <row r="1197" spans="1:12" x14ac:dyDescent="0.25">
      <c r="A1197" s="84" t="str">
        <f t="shared" si="55"/>
        <v>OutubroSEMANA 4Queijo Mussarela</v>
      </c>
      <c r="B1197" s="85" t="s">
        <v>37</v>
      </c>
      <c r="C1197" s="85" t="s">
        <v>23</v>
      </c>
      <c r="D1197" s="86">
        <v>23</v>
      </c>
      <c r="E1197" s="116" t="str">
        <f t="shared" si="56"/>
        <v>Mercado</v>
      </c>
      <c r="F1197" s="85" t="s">
        <v>1045</v>
      </c>
      <c r="G1197" s="85" t="s">
        <v>685</v>
      </c>
      <c r="H1197" s="85" t="s">
        <v>1039</v>
      </c>
      <c r="I1197" s="85">
        <v>3.96</v>
      </c>
      <c r="J1197" s="87">
        <v>26</v>
      </c>
      <c r="K1197" s="88">
        <f t="shared" si="57"/>
        <v>102.96</v>
      </c>
      <c r="L1197" s="85" t="s">
        <v>1241</v>
      </c>
    </row>
    <row r="1198" spans="1:12" x14ac:dyDescent="0.25">
      <c r="A1198" s="84" t="str">
        <f t="shared" si="55"/>
        <v>OutubroSEMANA 4Queijo Requeijão BD 3,6 Kg</v>
      </c>
      <c r="B1198" s="85" t="s">
        <v>37</v>
      </c>
      <c r="C1198" s="85" t="s">
        <v>23</v>
      </c>
      <c r="D1198" s="86">
        <v>23</v>
      </c>
      <c r="E1198" s="116" t="str">
        <f t="shared" si="56"/>
        <v>Mercado</v>
      </c>
      <c r="F1198" s="85" t="s">
        <v>1045</v>
      </c>
      <c r="G1198" s="85" t="s">
        <v>688</v>
      </c>
      <c r="H1198" s="85" t="s">
        <v>1039</v>
      </c>
      <c r="I1198" s="85">
        <v>1</v>
      </c>
      <c r="J1198" s="87">
        <v>74.400000000000006</v>
      </c>
      <c r="K1198" s="88">
        <f t="shared" si="57"/>
        <v>74.400000000000006</v>
      </c>
      <c r="L1198" s="85" t="s">
        <v>1241</v>
      </c>
    </row>
    <row r="1199" spans="1:12" x14ac:dyDescent="0.25">
      <c r="A1199" s="84" t="str">
        <f t="shared" si="55"/>
        <v>OutubroSEMANA 4Tomate Seco Conserva Bd 3 Kg</v>
      </c>
      <c r="B1199" s="85" t="s">
        <v>37</v>
      </c>
      <c r="C1199" s="85" t="s">
        <v>23</v>
      </c>
      <c r="D1199" s="86">
        <v>23</v>
      </c>
      <c r="E1199" s="116" t="str">
        <f t="shared" si="56"/>
        <v>Mercado</v>
      </c>
      <c r="F1199" s="85" t="s">
        <v>1045</v>
      </c>
      <c r="G1199" s="85" t="s">
        <v>797</v>
      </c>
      <c r="H1199" s="85" t="s">
        <v>1046</v>
      </c>
      <c r="I1199" s="85">
        <v>1</v>
      </c>
      <c r="J1199" s="87">
        <v>78.099999999999994</v>
      </c>
      <c r="K1199" s="88">
        <f t="shared" si="57"/>
        <v>78.099999999999994</v>
      </c>
      <c r="L1199" s="85" t="s">
        <v>1241</v>
      </c>
    </row>
    <row r="1200" spans="1:12" x14ac:dyDescent="0.25">
      <c r="A1200" s="84" t="str">
        <f t="shared" si="55"/>
        <v>OutubroSEMANA 4Aves - Sobrecoxa</v>
      </c>
      <c r="B1200" s="85" t="s">
        <v>37</v>
      </c>
      <c r="C1200" s="85" t="s">
        <v>23</v>
      </c>
      <c r="D1200" s="86">
        <v>23</v>
      </c>
      <c r="E1200" s="116" t="str">
        <f t="shared" si="56"/>
        <v>Carnes</v>
      </c>
      <c r="F1200" s="85" t="s">
        <v>1058</v>
      </c>
      <c r="G1200" s="85" t="s">
        <v>150</v>
      </c>
      <c r="H1200" s="85" t="s">
        <v>1039</v>
      </c>
      <c r="I1200" s="85">
        <v>18</v>
      </c>
      <c r="J1200" s="87">
        <v>5.29</v>
      </c>
      <c r="K1200" s="88">
        <f t="shared" si="57"/>
        <v>95.22</v>
      </c>
      <c r="L1200" s="85" t="s">
        <v>1242</v>
      </c>
    </row>
    <row r="1201" spans="1:12" x14ac:dyDescent="0.25">
      <c r="A1201" s="84" t="str">
        <f t="shared" si="55"/>
        <v>OutubroSEMANA 4Aves - Coração de Frango</v>
      </c>
      <c r="B1201" s="85" t="s">
        <v>37</v>
      </c>
      <c r="C1201" s="85" t="s">
        <v>23</v>
      </c>
      <c r="D1201" s="86">
        <v>23</v>
      </c>
      <c r="E1201" s="116" t="str">
        <f t="shared" si="56"/>
        <v>Carnes</v>
      </c>
      <c r="F1201" s="85" t="s">
        <v>1058</v>
      </c>
      <c r="G1201" s="85" t="s">
        <v>136</v>
      </c>
      <c r="H1201" s="85" t="s">
        <v>1039</v>
      </c>
      <c r="I1201" s="85">
        <v>18</v>
      </c>
      <c r="J1201" s="87">
        <v>11.39</v>
      </c>
      <c r="K1201" s="88">
        <f t="shared" si="57"/>
        <v>205.02</v>
      </c>
      <c r="L1201" s="85" t="s">
        <v>1242</v>
      </c>
    </row>
    <row r="1202" spans="1:12" x14ac:dyDescent="0.25">
      <c r="A1202" s="84" t="str">
        <f t="shared" si="55"/>
        <v>OutubroSEMANA 4Carne Bovina - Coração Alcatra</v>
      </c>
      <c r="B1202" s="85" t="s">
        <v>37</v>
      </c>
      <c r="C1202" s="85" t="s">
        <v>23</v>
      </c>
      <c r="D1202" s="86">
        <v>23</v>
      </c>
      <c r="E1202" s="116" t="str">
        <f t="shared" si="56"/>
        <v>Carnes</v>
      </c>
      <c r="F1202" s="85" t="s">
        <v>1058</v>
      </c>
      <c r="G1202" s="85" t="s">
        <v>219</v>
      </c>
      <c r="H1202" s="85" t="s">
        <v>1039</v>
      </c>
      <c r="I1202" s="85">
        <v>22.94</v>
      </c>
      <c r="J1202" s="87">
        <v>20.29</v>
      </c>
      <c r="K1202" s="88">
        <f t="shared" si="57"/>
        <v>465.45260000000002</v>
      </c>
      <c r="L1202" s="85" t="s">
        <v>1242</v>
      </c>
    </row>
    <row r="1203" spans="1:12" x14ac:dyDescent="0.25">
      <c r="A1203" s="84" t="str">
        <f t="shared" si="55"/>
        <v>OutubroSEMANA 4Carne Bovina - Carne Seca</v>
      </c>
      <c r="B1203" s="85" t="s">
        <v>37</v>
      </c>
      <c r="C1203" s="85" t="s">
        <v>23</v>
      </c>
      <c r="D1203" s="86">
        <v>23</v>
      </c>
      <c r="E1203" s="116" t="str">
        <f t="shared" si="56"/>
        <v>Carnes</v>
      </c>
      <c r="F1203" s="85" t="s">
        <v>1058</v>
      </c>
      <c r="G1203" s="85" t="s">
        <v>218</v>
      </c>
      <c r="H1203" s="85" t="s">
        <v>1039</v>
      </c>
      <c r="I1203" s="85">
        <v>30</v>
      </c>
      <c r="J1203" s="87">
        <v>16.059999999999999</v>
      </c>
      <c r="K1203" s="88">
        <f t="shared" si="57"/>
        <v>481.79999999999995</v>
      </c>
      <c r="L1203" s="85" t="s">
        <v>1242</v>
      </c>
    </row>
    <row r="1204" spans="1:12" x14ac:dyDescent="0.25">
      <c r="A1204" s="84" t="str">
        <f t="shared" si="55"/>
        <v>OutubroSEMANA 4Aves - Filé de Peito de Frango</v>
      </c>
      <c r="B1204" s="85" t="s">
        <v>37</v>
      </c>
      <c r="C1204" s="85" t="s">
        <v>23</v>
      </c>
      <c r="D1204" s="86">
        <v>23</v>
      </c>
      <c r="E1204" s="116" t="str">
        <f t="shared" si="56"/>
        <v>Carnes</v>
      </c>
      <c r="F1204" s="85" t="s">
        <v>1051</v>
      </c>
      <c r="G1204" s="85" t="s">
        <v>139</v>
      </c>
      <c r="H1204" s="85" t="s">
        <v>1039</v>
      </c>
      <c r="I1204" s="85">
        <v>48</v>
      </c>
      <c r="J1204" s="87">
        <v>7.8</v>
      </c>
      <c r="K1204" s="88">
        <f t="shared" si="57"/>
        <v>374.4</v>
      </c>
      <c r="L1204" s="85">
        <v>3285534</v>
      </c>
    </row>
    <row r="1205" spans="1:12" x14ac:dyDescent="0.25">
      <c r="A1205" s="84" t="str">
        <f t="shared" si="55"/>
        <v>OutubroSEMANA 4Aves - Filé de Coxa</v>
      </c>
      <c r="B1205" s="85" t="s">
        <v>37</v>
      </c>
      <c r="C1205" s="85" t="s">
        <v>23</v>
      </c>
      <c r="D1205" s="86">
        <v>23</v>
      </c>
      <c r="E1205" s="116" t="str">
        <f t="shared" si="56"/>
        <v>Carnes</v>
      </c>
      <c r="F1205" s="85" t="s">
        <v>1051</v>
      </c>
      <c r="G1205" s="85" t="s">
        <v>137</v>
      </c>
      <c r="H1205" s="85" t="s">
        <v>1039</v>
      </c>
      <c r="I1205" s="85">
        <f>24*0.7</f>
        <v>16.799999999999997</v>
      </c>
      <c r="J1205" s="87">
        <f>146.16/16.8</f>
        <v>8.6999999999999993</v>
      </c>
      <c r="K1205" s="88">
        <f t="shared" si="57"/>
        <v>146.15999999999997</v>
      </c>
      <c r="L1205" s="85">
        <v>3285534</v>
      </c>
    </row>
    <row r="1206" spans="1:12" x14ac:dyDescent="0.25">
      <c r="A1206" s="84" t="str">
        <f t="shared" si="55"/>
        <v xml:space="preserve">OutubroSEMANA 4AFVT - Antimicrobial Bb 10,4 KG </v>
      </c>
      <c r="B1206" s="85" t="s">
        <v>37</v>
      </c>
      <c r="C1206" s="85" t="s">
        <v>23</v>
      </c>
      <c r="D1206" s="86">
        <v>23</v>
      </c>
      <c r="E1206" s="116" t="str">
        <f t="shared" si="56"/>
        <v>Limpeza</v>
      </c>
      <c r="F1206" s="85" t="s">
        <v>1148</v>
      </c>
      <c r="G1206" s="85" t="s">
        <v>84</v>
      </c>
      <c r="H1206" s="85" t="s">
        <v>1087</v>
      </c>
      <c r="I1206" s="85">
        <v>1</v>
      </c>
      <c r="J1206" s="87">
        <v>789.87</v>
      </c>
      <c r="K1206" s="88">
        <f t="shared" si="57"/>
        <v>789.87</v>
      </c>
      <c r="L1206" s="85">
        <v>17434</v>
      </c>
    </row>
    <row r="1207" spans="1:12" x14ac:dyDescent="0.25">
      <c r="A1207" s="84" t="str">
        <f t="shared" si="55"/>
        <v>OutubroSEMANA 4Zix 40</v>
      </c>
      <c r="B1207" s="85" t="s">
        <v>37</v>
      </c>
      <c r="C1207" s="85" t="s">
        <v>23</v>
      </c>
      <c r="D1207" s="86">
        <v>23</v>
      </c>
      <c r="E1207" s="116" t="str">
        <f t="shared" si="56"/>
        <v>Limpeza</v>
      </c>
      <c r="F1207" s="85" t="s">
        <v>1148</v>
      </c>
      <c r="G1207" s="85" t="s">
        <v>871</v>
      </c>
      <c r="H1207" s="85" t="s">
        <v>1087</v>
      </c>
      <c r="I1207" s="85">
        <v>1</v>
      </c>
      <c r="J1207" s="87">
        <v>147</v>
      </c>
      <c r="K1207" s="88">
        <f t="shared" si="57"/>
        <v>147</v>
      </c>
      <c r="L1207" s="85">
        <v>17433</v>
      </c>
    </row>
    <row r="1208" spans="1:12" x14ac:dyDescent="0.25">
      <c r="A1208" s="84" t="str">
        <f t="shared" si="55"/>
        <v>OutubroSEMANA 4Pera</v>
      </c>
      <c r="B1208" s="85" t="s">
        <v>37</v>
      </c>
      <c r="C1208" s="85" t="s">
        <v>23</v>
      </c>
      <c r="D1208" s="86">
        <v>23</v>
      </c>
      <c r="E1208" s="116" t="str">
        <f t="shared" si="56"/>
        <v>Hortifruti</v>
      </c>
      <c r="F1208" s="85" t="s">
        <v>1110</v>
      </c>
      <c r="G1208" s="85" t="s">
        <v>581</v>
      </c>
      <c r="H1208" s="85" t="s">
        <v>1039</v>
      </c>
      <c r="I1208" s="85">
        <v>2</v>
      </c>
      <c r="J1208" s="87">
        <v>7.66</v>
      </c>
      <c r="K1208" s="88">
        <f t="shared" si="57"/>
        <v>15.32</v>
      </c>
      <c r="L1208" s="85" t="s">
        <v>1250</v>
      </c>
    </row>
    <row r="1209" spans="1:12" x14ac:dyDescent="0.25">
      <c r="A1209" s="84" t="str">
        <f t="shared" si="55"/>
        <v>OutubroSEMANA 4Batata Doce</v>
      </c>
      <c r="B1209" s="85" t="s">
        <v>37</v>
      </c>
      <c r="C1209" s="85" t="s">
        <v>23</v>
      </c>
      <c r="D1209" s="86">
        <v>23</v>
      </c>
      <c r="E1209" s="116" t="str">
        <f t="shared" si="56"/>
        <v>Hortifruti</v>
      </c>
      <c r="F1209" s="85" t="s">
        <v>1110</v>
      </c>
      <c r="G1209" s="85" t="s">
        <v>170</v>
      </c>
      <c r="H1209" s="85" t="s">
        <v>1039</v>
      </c>
      <c r="I1209" s="85">
        <v>15.34</v>
      </c>
      <c r="J1209" s="87">
        <f>28.75/15.34</f>
        <v>1.8741851368970013</v>
      </c>
      <c r="K1209" s="88">
        <f t="shared" si="57"/>
        <v>28.75</v>
      </c>
      <c r="L1209" s="85" t="s">
        <v>1250</v>
      </c>
    </row>
    <row r="1210" spans="1:12" x14ac:dyDescent="0.25">
      <c r="A1210" s="84" t="str">
        <f t="shared" si="55"/>
        <v>OutubroSEMANA 4Coentro</v>
      </c>
      <c r="B1210" s="85" t="s">
        <v>37</v>
      </c>
      <c r="C1210" s="85" t="s">
        <v>23</v>
      </c>
      <c r="D1210" s="86">
        <v>23</v>
      </c>
      <c r="E1210" s="116" t="str">
        <f t="shared" si="56"/>
        <v>Hortifruti</v>
      </c>
      <c r="F1210" s="85" t="s">
        <v>1110</v>
      </c>
      <c r="G1210" s="85" t="s">
        <v>289</v>
      </c>
      <c r="H1210" s="85" t="s">
        <v>1039</v>
      </c>
      <c r="I1210" s="85">
        <v>0.5</v>
      </c>
      <c r="J1210" s="87">
        <v>11.25</v>
      </c>
      <c r="K1210" s="88">
        <f t="shared" si="57"/>
        <v>5.625</v>
      </c>
      <c r="L1210" s="85" t="s">
        <v>1250</v>
      </c>
    </row>
    <row r="1211" spans="1:12" x14ac:dyDescent="0.25">
      <c r="A1211" s="84" t="str">
        <f t="shared" si="55"/>
        <v xml:space="preserve">OutubroSEMANA 4Melão de Rede </v>
      </c>
      <c r="B1211" s="85" t="s">
        <v>37</v>
      </c>
      <c r="C1211" s="85" t="s">
        <v>23</v>
      </c>
      <c r="D1211" s="86">
        <v>23</v>
      </c>
      <c r="E1211" s="116" t="str">
        <f t="shared" si="56"/>
        <v>Hortifruti</v>
      </c>
      <c r="F1211" s="85" t="s">
        <v>1110</v>
      </c>
      <c r="G1211" s="85" t="s">
        <v>518</v>
      </c>
      <c r="H1211" s="85" t="s">
        <v>1039</v>
      </c>
      <c r="I1211" s="85">
        <v>1.86</v>
      </c>
      <c r="J1211" s="87">
        <v>5</v>
      </c>
      <c r="K1211" s="88">
        <f t="shared" si="57"/>
        <v>9.3000000000000007</v>
      </c>
      <c r="L1211" s="85" t="s">
        <v>1251</v>
      </c>
    </row>
    <row r="1212" spans="1:12" x14ac:dyDescent="0.25">
      <c r="A1212" s="84" t="str">
        <f t="shared" si="55"/>
        <v>OutubroSEMANA 4Vagem Macarrão</v>
      </c>
      <c r="B1212" s="85" t="s">
        <v>37</v>
      </c>
      <c r="C1212" s="85" t="s">
        <v>23</v>
      </c>
      <c r="D1212" s="86">
        <v>23</v>
      </c>
      <c r="E1212" s="116" t="str">
        <f t="shared" si="56"/>
        <v>Hortifruti</v>
      </c>
      <c r="F1212" s="85" t="s">
        <v>1110</v>
      </c>
      <c r="G1212" s="85" t="s">
        <v>832</v>
      </c>
      <c r="H1212" s="85" t="s">
        <v>1039</v>
      </c>
      <c r="I1212" s="85">
        <v>2.5</v>
      </c>
      <c r="J1212" s="87">
        <v>5.63</v>
      </c>
      <c r="K1212" s="88">
        <f t="shared" si="57"/>
        <v>14.074999999999999</v>
      </c>
      <c r="L1212" s="85" t="s">
        <v>1250</v>
      </c>
    </row>
    <row r="1213" spans="1:12" x14ac:dyDescent="0.25">
      <c r="A1213" s="84" t="str">
        <f t="shared" si="55"/>
        <v>OutubroSEMANA 4Inhame</v>
      </c>
      <c r="B1213" s="85" t="s">
        <v>37</v>
      </c>
      <c r="C1213" s="85" t="s">
        <v>23</v>
      </c>
      <c r="D1213" s="86">
        <v>23</v>
      </c>
      <c r="E1213" s="116" t="str">
        <f t="shared" si="56"/>
        <v>Hortifruti</v>
      </c>
      <c r="F1213" s="85" t="s">
        <v>1110</v>
      </c>
      <c r="G1213" s="85" t="s">
        <v>448</v>
      </c>
      <c r="H1213" s="85" t="s">
        <v>1039</v>
      </c>
      <c r="I1213" s="85">
        <v>6</v>
      </c>
      <c r="J1213" s="87">
        <v>1.74</v>
      </c>
      <c r="K1213" s="88">
        <f t="shared" si="57"/>
        <v>10.44</v>
      </c>
      <c r="L1213" s="85" t="s">
        <v>1250</v>
      </c>
    </row>
    <row r="1214" spans="1:12" x14ac:dyDescent="0.25">
      <c r="A1214" s="84" t="str">
        <f t="shared" si="55"/>
        <v>OutubroSEMANA 4Pimentão Amarelo</v>
      </c>
      <c r="B1214" s="85" t="s">
        <v>37</v>
      </c>
      <c r="C1214" s="85" t="s">
        <v>23</v>
      </c>
      <c r="D1214" s="86">
        <v>23</v>
      </c>
      <c r="E1214" s="116" t="str">
        <f t="shared" si="56"/>
        <v>Hortifruti</v>
      </c>
      <c r="F1214" s="85" t="s">
        <v>1054</v>
      </c>
      <c r="G1214" s="85" t="s">
        <v>664</v>
      </c>
      <c r="H1214" s="85" t="s">
        <v>1039</v>
      </c>
      <c r="I1214" s="85">
        <v>1</v>
      </c>
      <c r="J1214" s="87">
        <v>15</v>
      </c>
      <c r="K1214" s="88">
        <f t="shared" si="57"/>
        <v>15</v>
      </c>
      <c r="L1214" s="85">
        <v>1989</v>
      </c>
    </row>
    <row r="1215" spans="1:12" x14ac:dyDescent="0.25">
      <c r="A1215" s="84" t="str">
        <f t="shared" si="55"/>
        <v>OutubroSEMANA 4Pimentão Vermelho</v>
      </c>
      <c r="B1215" s="85" t="s">
        <v>37</v>
      </c>
      <c r="C1215" s="85" t="s">
        <v>23</v>
      </c>
      <c r="D1215" s="86">
        <v>23</v>
      </c>
      <c r="E1215" s="116" t="str">
        <f t="shared" si="56"/>
        <v>Hortifruti</v>
      </c>
      <c r="F1215" s="85" t="s">
        <v>1054</v>
      </c>
      <c r="G1215" s="85" t="s">
        <v>667</v>
      </c>
      <c r="H1215" s="85" t="s">
        <v>1039</v>
      </c>
      <c r="I1215" s="85">
        <v>2</v>
      </c>
      <c r="J1215" s="87">
        <v>15</v>
      </c>
      <c r="K1215" s="88">
        <f t="shared" si="57"/>
        <v>30</v>
      </c>
      <c r="L1215" s="85">
        <v>1989</v>
      </c>
    </row>
    <row r="1216" spans="1:12" x14ac:dyDescent="0.25">
      <c r="A1216" s="84" t="str">
        <f t="shared" si="55"/>
        <v>OutubroSEMANA 4Tomate Salada</v>
      </c>
      <c r="B1216" s="85" t="s">
        <v>37</v>
      </c>
      <c r="C1216" s="85" t="s">
        <v>23</v>
      </c>
      <c r="D1216" s="86">
        <v>23</v>
      </c>
      <c r="E1216" s="116" t="str">
        <f t="shared" si="56"/>
        <v>Hortifruti</v>
      </c>
      <c r="F1216" s="85" t="s">
        <v>1054</v>
      </c>
      <c r="G1216" s="85" t="s">
        <v>795</v>
      </c>
      <c r="H1216" s="85" t="s">
        <v>1039</v>
      </c>
      <c r="I1216" s="85">
        <v>22.18</v>
      </c>
      <c r="J1216" s="87">
        <f>50/22.18</f>
        <v>2.254283137962128</v>
      </c>
      <c r="K1216" s="88">
        <f t="shared" si="57"/>
        <v>50</v>
      </c>
      <c r="L1216" s="85">
        <v>1989</v>
      </c>
    </row>
    <row r="1217" spans="1:12" x14ac:dyDescent="0.25">
      <c r="A1217" s="84" t="str">
        <f t="shared" si="55"/>
        <v>OutubroSEMANA 4Cebolinha Verde</v>
      </c>
      <c r="B1217" s="85" t="s">
        <v>37</v>
      </c>
      <c r="C1217" s="85" t="s">
        <v>23</v>
      </c>
      <c r="D1217" s="86">
        <v>23</v>
      </c>
      <c r="E1217" s="116" t="str">
        <f t="shared" si="56"/>
        <v>Hortifruti</v>
      </c>
      <c r="F1217" s="85" t="s">
        <v>1054</v>
      </c>
      <c r="G1217" s="85" t="s">
        <v>247</v>
      </c>
      <c r="H1217" s="85" t="s">
        <v>1039</v>
      </c>
      <c r="I1217" s="85">
        <v>1</v>
      </c>
      <c r="J1217" s="87">
        <v>7</v>
      </c>
      <c r="K1217" s="88">
        <f t="shared" si="57"/>
        <v>7</v>
      </c>
      <c r="L1217" s="85">
        <v>1989</v>
      </c>
    </row>
    <row r="1218" spans="1:12" x14ac:dyDescent="0.25">
      <c r="A1218" s="84" t="str">
        <f t="shared" ref="A1218:A1281" si="58">CONCATENATE(B1218,C1218,G1218)</f>
        <v>OutubroSEMANA 4Salsa</v>
      </c>
      <c r="B1218" s="85" t="s">
        <v>37</v>
      </c>
      <c r="C1218" s="85" t="s">
        <v>23</v>
      </c>
      <c r="D1218" s="86">
        <v>23</v>
      </c>
      <c r="E1218" s="116" t="str">
        <f t="shared" ref="E1218:E1281" si="59">VLOOKUP(G1218,$M$1:$O$968,3,0)</f>
        <v>Hortifruti</v>
      </c>
      <c r="F1218" s="85" t="s">
        <v>1054</v>
      </c>
      <c r="G1218" s="85" t="s">
        <v>729</v>
      </c>
      <c r="H1218" s="85" t="s">
        <v>1039</v>
      </c>
      <c r="I1218" s="85">
        <v>1.5</v>
      </c>
      <c r="J1218" s="87">
        <v>7</v>
      </c>
      <c r="K1218" s="88">
        <f t="shared" ref="K1218:K1281" si="60">I1218*J1218</f>
        <v>10.5</v>
      </c>
      <c r="L1218" s="85">
        <v>1989</v>
      </c>
    </row>
    <row r="1219" spans="1:12" x14ac:dyDescent="0.25">
      <c r="A1219" s="84" t="str">
        <f t="shared" si="58"/>
        <v xml:space="preserve">OutubroSEMANA 4Abacate </v>
      </c>
      <c r="B1219" s="85" t="s">
        <v>37</v>
      </c>
      <c r="C1219" s="85" t="s">
        <v>23</v>
      </c>
      <c r="D1219" s="86">
        <v>23</v>
      </c>
      <c r="E1219" s="116" t="str">
        <f t="shared" si="59"/>
        <v>Hortifruti</v>
      </c>
      <c r="F1219" s="85" t="s">
        <v>1054</v>
      </c>
      <c r="G1219" s="85" t="s">
        <v>62</v>
      </c>
      <c r="H1219" s="85" t="s">
        <v>1039</v>
      </c>
      <c r="I1219" s="85">
        <v>9</v>
      </c>
      <c r="J1219" s="87">
        <v>8</v>
      </c>
      <c r="K1219" s="88">
        <f t="shared" si="60"/>
        <v>72</v>
      </c>
      <c r="L1219" s="85">
        <v>1989</v>
      </c>
    </row>
    <row r="1220" spans="1:12" x14ac:dyDescent="0.25">
      <c r="A1220" s="84" t="str">
        <f t="shared" si="58"/>
        <v>OutubroSEMANA 4Banana D'Água</v>
      </c>
      <c r="B1220" s="85" t="s">
        <v>37</v>
      </c>
      <c r="C1220" s="85" t="s">
        <v>23</v>
      </c>
      <c r="D1220" s="86">
        <v>23</v>
      </c>
      <c r="E1220" s="116" t="str">
        <f t="shared" si="59"/>
        <v>Hortifruti</v>
      </c>
      <c r="F1220" s="85" t="s">
        <v>1054</v>
      </c>
      <c r="G1220" s="85" t="s">
        <v>162</v>
      </c>
      <c r="H1220" s="85" t="s">
        <v>1039</v>
      </c>
      <c r="I1220" s="85">
        <v>6</v>
      </c>
      <c r="J1220" s="87">
        <v>3.4</v>
      </c>
      <c r="K1220" s="88">
        <f t="shared" si="60"/>
        <v>20.399999999999999</v>
      </c>
      <c r="L1220" s="85">
        <v>1989</v>
      </c>
    </row>
    <row r="1221" spans="1:12" x14ac:dyDescent="0.25">
      <c r="A1221" s="84" t="str">
        <f t="shared" si="58"/>
        <v>OutubroSEMANA 4Mamão Bahia</v>
      </c>
      <c r="B1221" s="85" t="s">
        <v>37</v>
      </c>
      <c r="C1221" s="85" t="s">
        <v>23</v>
      </c>
      <c r="D1221" s="86">
        <v>23</v>
      </c>
      <c r="E1221" s="116" t="str">
        <f t="shared" si="59"/>
        <v>Hortifruti</v>
      </c>
      <c r="F1221" s="85" t="s">
        <v>1054</v>
      </c>
      <c r="G1221" s="85" t="s">
        <v>494</v>
      </c>
      <c r="H1221" s="85" t="s">
        <v>1039</v>
      </c>
      <c r="I1221" s="85">
        <v>2.2000000000000002</v>
      </c>
      <c r="J1221" s="87">
        <v>3.4</v>
      </c>
      <c r="K1221" s="88">
        <f t="shared" si="60"/>
        <v>7.48</v>
      </c>
      <c r="L1221" s="85">
        <v>1989</v>
      </c>
    </row>
    <row r="1222" spans="1:12" x14ac:dyDescent="0.25">
      <c r="A1222" s="84" t="str">
        <f t="shared" si="58"/>
        <v>OutubroSEMANA 4Mamão Papaya</v>
      </c>
      <c r="B1222" s="85" t="s">
        <v>37</v>
      </c>
      <c r="C1222" s="85" t="s">
        <v>23</v>
      </c>
      <c r="D1222" s="86">
        <v>23</v>
      </c>
      <c r="E1222" s="116" t="str">
        <f t="shared" si="59"/>
        <v>Hortifruti</v>
      </c>
      <c r="F1222" s="85" t="s">
        <v>1054</v>
      </c>
      <c r="G1222" s="85" t="s">
        <v>495</v>
      </c>
      <c r="H1222" s="85" t="s">
        <v>1039</v>
      </c>
      <c r="I1222" s="85">
        <v>3.5</v>
      </c>
      <c r="J1222" s="87">
        <v>4</v>
      </c>
      <c r="K1222" s="88">
        <f t="shared" si="60"/>
        <v>14</v>
      </c>
      <c r="L1222" s="85">
        <v>1989</v>
      </c>
    </row>
    <row r="1223" spans="1:12" x14ac:dyDescent="0.25">
      <c r="A1223" s="84" t="str">
        <f t="shared" si="58"/>
        <v>OutubroSEMANA 4Endivia</v>
      </c>
      <c r="B1223" s="85" t="s">
        <v>37</v>
      </c>
      <c r="C1223" s="85" t="s">
        <v>23</v>
      </c>
      <c r="D1223" s="86">
        <v>23</v>
      </c>
      <c r="E1223" s="116" t="str">
        <f t="shared" si="59"/>
        <v>Hortifruti</v>
      </c>
      <c r="F1223" s="85" t="s">
        <v>1054</v>
      </c>
      <c r="G1223" s="85" t="s">
        <v>326</v>
      </c>
      <c r="H1223" s="85" t="s">
        <v>1039</v>
      </c>
      <c r="I1223" s="85">
        <v>2.5</v>
      </c>
      <c r="J1223" s="87">
        <v>20</v>
      </c>
      <c r="K1223" s="88">
        <f t="shared" si="60"/>
        <v>50</v>
      </c>
      <c r="L1223" s="85">
        <v>1989</v>
      </c>
    </row>
    <row r="1224" spans="1:12" x14ac:dyDescent="0.25">
      <c r="A1224" s="84" t="str">
        <f t="shared" si="58"/>
        <v>OutubroSEMANA 4Melância</v>
      </c>
      <c r="B1224" s="85" t="s">
        <v>37</v>
      </c>
      <c r="C1224" s="85" t="s">
        <v>23</v>
      </c>
      <c r="D1224" s="86">
        <v>23</v>
      </c>
      <c r="E1224" s="116" t="str">
        <f t="shared" si="59"/>
        <v>Hortifruti</v>
      </c>
      <c r="F1224" s="85" t="s">
        <v>1055</v>
      </c>
      <c r="G1224" s="85" t="s">
        <v>517</v>
      </c>
      <c r="H1224" s="85" t="s">
        <v>1039</v>
      </c>
      <c r="I1224" s="85">
        <v>10</v>
      </c>
      <c r="J1224" s="87">
        <v>1.32</v>
      </c>
      <c r="K1224" s="88">
        <f t="shared" si="60"/>
        <v>13.200000000000001</v>
      </c>
      <c r="L1224" s="85">
        <v>5416</v>
      </c>
    </row>
    <row r="1225" spans="1:12" x14ac:dyDescent="0.25">
      <c r="A1225" s="84" t="str">
        <f t="shared" si="58"/>
        <v>OutubroSEMANA 4Cebola</v>
      </c>
      <c r="B1225" s="85" t="s">
        <v>37</v>
      </c>
      <c r="C1225" s="85" t="s">
        <v>23</v>
      </c>
      <c r="D1225" s="86">
        <v>23</v>
      </c>
      <c r="E1225" s="116" t="str">
        <f t="shared" si="59"/>
        <v>Hortifruti</v>
      </c>
      <c r="F1225" s="85" t="s">
        <v>1055</v>
      </c>
      <c r="G1225" s="85" t="s">
        <v>241</v>
      </c>
      <c r="H1225" s="85" t="s">
        <v>1039</v>
      </c>
      <c r="I1225" s="85">
        <v>19.899999999999999</v>
      </c>
      <c r="J1225" s="87">
        <f>29.8/19.9</f>
        <v>1.4974874371859297</v>
      </c>
      <c r="K1225" s="88">
        <f t="shared" si="60"/>
        <v>29.799999999999997</v>
      </c>
      <c r="L1225" s="85">
        <v>5416</v>
      </c>
    </row>
    <row r="1226" spans="1:12" x14ac:dyDescent="0.25">
      <c r="A1226" s="84" t="str">
        <f t="shared" si="58"/>
        <v>OutubroSEMANA 4Côco Verde</v>
      </c>
      <c r="B1226" s="85" t="s">
        <v>37</v>
      </c>
      <c r="C1226" s="85" t="s">
        <v>23</v>
      </c>
      <c r="D1226" s="86">
        <v>23</v>
      </c>
      <c r="E1226" s="116" t="str">
        <f t="shared" si="59"/>
        <v>Hortifruti</v>
      </c>
      <c r="F1226" s="85" t="s">
        <v>1055</v>
      </c>
      <c r="G1226" s="85" t="s">
        <v>288</v>
      </c>
      <c r="H1226" s="85" t="s">
        <v>1038</v>
      </c>
      <c r="I1226" s="85">
        <v>15</v>
      </c>
      <c r="J1226" s="87">
        <v>1.98</v>
      </c>
      <c r="K1226" s="88">
        <f t="shared" si="60"/>
        <v>29.7</v>
      </c>
      <c r="L1226" s="85">
        <v>5416</v>
      </c>
    </row>
    <row r="1227" spans="1:12" x14ac:dyDescent="0.25">
      <c r="A1227" s="84" t="str">
        <f t="shared" si="58"/>
        <v>OutubroSEMANA 4Chicória</v>
      </c>
      <c r="B1227" s="85" t="s">
        <v>37</v>
      </c>
      <c r="C1227" s="85" t="s">
        <v>23</v>
      </c>
      <c r="D1227" s="86">
        <v>23</v>
      </c>
      <c r="E1227" s="116" t="str">
        <f t="shared" si="59"/>
        <v>Hortifruti</v>
      </c>
      <c r="F1227" s="85" t="s">
        <v>1055</v>
      </c>
      <c r="G1227" s="85" t="s">
        <v>275</v>
      </c>
      <c r="H1227" s="85" t="s">
        <v>1039</v>
      </c>
      <c r="I1227" s="85">
        <v>8</v>
      </c>
      <c r="J1227" s="87">
        <v>3.5</v>
      </c>
      <c r="K1227" s="88">
        <f t="shared" si="60"/>
        <v>28</v>
      </c>
      <c r="L1227" s="85" t="s">
        <v>1264</v>
      </c>
    </row>
    <row r="1228" spans="1:12" x14ac:dyDescent="0.25">
      <c r="A1228" s="84" t="str">
        <f t="shared" si="58"/>
        <v>OutubroSEMANA 4Goiaba</v>
      </c>
      <c r="B1228" s="85" t="s">
        <v>37</v>
      </c>
      <c r="C1228" s="85" t="s">
        <v>23</v>
      </c>
      <c r="D1228" s="86">
        <v>23</v>
      </c>
      <c r="E1228" s="116" t="str">
        <f t="shared" si="59"/>
        <v>Hortifruti</v>
      </c>
      <c r="F1228" s="85" t="s">
        <v>1055</v>
      </c>
      <c r="G1228" s="85" t="s">
        <v>391</v>
      </c>
      <c r="H1228" s="85" t="s">
        <v>1039</v>
      </c>
      <c r="I1228" s="85"/>
      <c r="J1228" s="87"/>
      <c r="K1228" s="88">
        <f t="shared" si="60"/>
        <v>0</v>
      </c>
      <c r="L1228" s="85" t="s">
        <v>1253</v>
      </c>
    </row>
    <row r="1229" spans="1:12" x14ac:dyDescent="0.25">
      <c r="A1229" s="84" t="str">
        <f t="shared" si="58"/>
        <v>OutubroSEMANA 4Hortelã</v>
      </c>
      <c r="B1229" s="85" t="s">
        <v>37</v>
      </c>
      <c r="C1229" s="85" t="s">
        <v>23</v>
      </c>
      <c r="D1229" s="86">
        <v>23</v>
      </c>
      <c r="E1229" s="116" t="str">
        <f t="shared" si="59"/>
        <v>Hortifruti</v>
      </c>
      <c r="F1229" s="85" t="s">
        <v>1055</v>
      </c>
      <c r="G1229" s="85" t="s">
        <v>405</v>
      </c>
      <c r="H1229" s="85" t="s">
        <v>1039</v>
      </c>
      <c r="I1229" s="85">
        <v>1</v>
      </c>
      <c r="J1229" s="87">
        <v>4.5</v>
      </c>
      <c r="K1229" s="88">
        <f t="shared" si="60"/>
        <v>4.5</v>
      </c>
      <c r="L1229" s="85">
        <v>5416</v>
      </c>
    </row>
    <row r="1230" spans="1:12" x14ac:dyDescent="0.25">
      <c r="A1230" s="84" t="str">
        <f t="shared" si="58"/>
        <v>OutubroSEMANA 4Laranja Pera</v>
      </c>
      <c r="B1230" s="85" t="s">
        <v>37</v>
      </c>
      <c r="C1230" s="85" t="s">
        <v>23</v>
      </c>
      <c r="D1230" s="86">
        <v>23</v>
      </c>
      <c r="E1230" s="116" t="str">
        <f t="shared" si="59"/>
        <v>Hortifruti</v>
      </c>
      <c r="F1230" s="85" t="s">
        <v>1055</v>
      </c>
      <c r="G1230" s="85" t="s">
        <v>457</v>
      </c>
      <c r="H1230" s="85" t="s">
        <v>1039</v>
      </c>
      <c r="I1230" s="85">
        <v>41.7</v>
      </c>
      <c r="J1230" s="87">
        <f>56/41.7</f>
        <v>1.3429256594724219</v>
      </c>
      <c r="K1230" s="88">
        <f t="shared" si="60"/>
        <v>56</v>
      </c>
      <c r="L1230" s="85">
        <v>5416</v>
      </c>
    </row>
    <row r="1231" spans="1:12" x14ac:dyDescent="0.25">
      <c r="A1231" s="84" t="str">
        <f t="shared" si="58"/>
        <v>OutubroSEMANA 4Manga Palmer</v>
      </c>
      <c r="B1231" s="85" t="s">
        <v>37</v>
      </c>
      <c r="C1231" s="85" t="s">
        <v>23</v>
      </c>
      <c r="D1231" s="86">
        <v>23</v>
      </c>
      <c r="E1231" s="116" t="str">
        <f t="shared" si="59"/>
        <v>Hortifruti</v>
      </c>
      <c r="F1231" s="85" t="s">
        <v>1055</v>
      </c>
      <c r="G1231" s="85" t="s">
        <v>496</v>
      </c>
      <c r="H1231" s="85" t="s">
        <v>1039</v>
      </c>
      <c r="I1231" s="85">
        <v>5.9</v>
      </c>
      <c r="J1231" s="87">
        <f>24/5.9</f>
        <v>4.0677966101694913</v>
      </c>
      <c r="K1231" s="88">
        <f t="shared" si="60"/>
        <v>24</v>
      </c>
      <c r="L1231" s="85">
        <v>5416</v>
      </c>
    </row>
    <row r="1232" spans="1:12" x14ac:dyDescent="0.25">
      <c r="A1232" s="84" t="str">
        <f t="shared" si="58"/>
        <v>OutubroSEMANA 4Ovos Extra</v>
      </c>
      <c r="B1232" s="85" t="s">
        <v>37</v>
      </c>
      <c r="C1232" s="85" t="s">
        <v>23</v>
      </c>
      <c r="D1232" s="86">
        <v>23</v>
      </c>
      <c r="E1232" s="116" t="str">
        <f t="shared" si="59"/>
        <v>Hortifruti</v>
      </c>
      <c r="F1232" s="85" t="s">
        <v>1055</v>
      </c>
      <c r="G1232" s="85" t="s">
        <v>550</v>
      </c>
      <c r="H1232" s="85" t="s">
        <v>1038</v>
      </c>
      <c r="I1232" s="85">
        <v>360</v>
      </c>
      <c r="J1232" s="87">
        <f>99/360</f>
        <v>0.27500000000000002</v>
      </c>
      <c r="K1232" s="88">
        <f t="shared" si="60"/>
        <v>99.000000000000014</v>
      </c>
      <c r="L1232" s="85">
        <v>5416</v>
      </c>
    </row>
    <row r="1233" spans="1:12" x14ac:dyDescent="0.25">
      <c r="A1233" s="84" t="str">
        <f t="shared" si="58"/>
        <v>OutubroSEMANA 4Repolho</v>
      </c>
      <c r="B1233" s="85" t="s">
        <v>37</v>
      </c>
      <c r="C1233" s="85" t="s">
        <v>23</v>
      </c>
      <c r="D1233" s="86">
        <v>23</v>
      </c>
      <c r="E1233" s="116" t="str">
        <f t="shared" si="59"/>
        <v>Hortifruti</v>
      </c>
      <c r="F1233" s="85" t="s">
        <v>1055</v>
      </c>
      <c r="G1233" s="85" t="s">
        <v>701</v>
      </c>
      <c r="H1233" s="85" t="s">
        <v>1039</v>
      </c>
      <c r="I1233" s="85">
        <v>2</v>
      </c>
      <c r="J1233" s="87">
        <v>1.21</v>
      </c>
      <c r="K1233" s="88">
        <f t="shared" si="60"/>
        <v>2.42</v>
      </c>
      <c r="L1233" s="85">
        <v>5416</v>
      </c>
    </row>
    <row r="1234" spans="1:12" x14ac:dyDescent="0.25">
      <c r="A1234" s="84" t="str">
        <f t="shared" si="58"/>
        <v>OutubroSEMANA 4Repolho Roxo</v>
      </c>
      <c r="B1234" s="85" t="s">
        <v>37</v>
      </c>
      <c r="C1234" s="85" t="s">
        <v>23</v>
      </c>
      <c r="D1234" s="86">
        <v>23</v>
      </c>
      <c r="E1234" s="116" t="str">
        <f t="shared" si="59"/>
        <v>Hortifruti</v>
      </c>
      <c r="F1234" s="85" t="s">
        <v>1055</v>
      </c>
      <c r="G1234" s="85" t="s">
        <v>703</v>
      </c>
      <c r="H1234" s="85" t="s">
        <v>1039</v>
      </c>
      <c r="I1234" s="85">
        <v>1</v>
      </c>
      <c r="J1234" s="87">
        <v>2.2000000000000002</v>
      </c>
      <c r="K1234" s="88">
        <f t="shared" si="60"/>
        <v>2.2000000000000002</v>
      </c>
      <c r="L1234" s="85">
        <v>5416</v>
      </c>
    </row>
    <row r="1235" spans="1:12" x14ac:dyDescent="0.25">
      <c r="A1235" s="84" t="str">
        <f t="shared" si="58"/>
        <v>OutubroSEMANA 4Couve Manteiga</v>
      </c>
      <c r="B1235" s="85" t="s">
        <v>37</v>
      </c>
      <c r="C1235" s="85" t="s">
        <v>23</v>
      </c>
      <c r="D1235" s="86">
        <v>23</v>
      </c>
      <c r="E1235" s="116" t="str">
        <f t="shared" si="59"/>
        <v>Hortifruti</v>
      </c>
      <c r="F1235" s="85" t="s">
        <v>1055</v>
      </c>
      <c r="G1235" s="85" t="s">
        <v>307</v>
      </c>
      <c r="H1235" s="85" t="s">
        <v>1039</v>
      </c>
      <c r="I1235" s="85">
        <v>2</v>
      </c>
      <c r="J1235" s="87">
        <v>3</v>
      </c>
      <c r="K1235" s="88">
        <f t="shared" si="60"/>
        <v>6</v>
      </c>
      <c r="L1235" s="85">
        <v>5416</v>
      </c>
    </row>
    <row r="1236" spans="1:12" x14ac:dyDescent="0.25">
      <c r="A1236" s="84" t="str">
        <f t="shared" si="58"/>
        <v>OutubroSEMANA 4Cebolinha Verde</v>
      </c>
      <c r="B1236" s="85" t="s">
        <v>37</v>
      </c>
      <c r="C1236" s="85" t="s">
        <v>23</v>
      </c>
      <c r="D1236" s="86">
        <v>22</v>
      </c>
      <c r="E1236" s="116" t="str">
        <f t="shared" si="59"/>
        <v>Hortifruti</v>
      </c>
      <c r="F1236" s="85" t="s">
        <v>1056</v>
      </c>
      <c r="G1236" s="85" t="s">
        <v>247</v>
      </c>
      <c r="H1236" s="85" t="s">
        <v>1039</v>
      </c>
      <c r="I1236" s="85">
        <v>0.78</v>
      </c>
      <c r="J1236" s="87">
        <f>7.96/0.78</f>
        <v>10.205128205128204</v>
      </c>
      <c r="K1236" s="88">
        <f t="shared" si="60"/>
        <v>7.96</v>
      </c>
      <c r="L1236" s="85">
        <v>29148</v>
      </c>
    </row>
    <row r="1237" spans="1:12" x14ac:dyDescent="0.25">
      <c r="A1237" s="84" t="str">
        <f t="shared" si="58"/>
        <v>OutubroSEMANA 4Guardanapo Pequeno</v>
      </c>
      <c r="B1237" s="85" t="s">
        <v>37</v>
      </c>
      <c r="C1237" s="85" t="s">
        <v>23</v>
      </c>
      <c r="D1237" s="86">
        <v>23</v>
      </c>
      <c r="E1237" s="116" t="str">
        <f t="shared" si="59"/>
        <v>Descartável</v>
      </c>
      <c r="F1237" s="85" t="s">
        <v>1106</v>
      </c>
      <c r="G1237" s="85" t="s">
        <v>399</v>
      </c>
      <c r="H1237" s="85" t="s">
        <v>1038</v>
      </c>
      <c r="I1237" s="85">
        <f>96*2</f>
        <v>192</v>
      </c>
      <c r="J1237" s="87">
        <f>341.1/192</f>
        <v>1.7765625</v>
      </c>
      <c r="K1237" s="88">
        <f t="shared" si="60"/>
        <v>341.1</v>
      </c>
      <c r="L1237" s="85">
        <v>28753</v>
      </c>
    </row>
    <row r="1238" spans="1:12" x14ac:dyDescent="0.25">
      <c r="A1238" s="84" t="str">
        <f t="shared" si="58"/>
        <v>OutubroSEMANA 4Papel Higiênico (P.H. Interf.) Cx 60</v>
      </c>
      <c r="B1238" s="85" t="s">
        <v>37</v>
      </c>
      <c r="C1238" s="85" t="s">
        <v>23</v>
      </c>
      <c r="D1238" s="86">
        <v>23</v>
      </c>
      <c r="E1238" s="116" t="str">
        <f t="shared" si="59"/>
        <v>Descartável</v>
      </c>
      <c r="F1238" s="85" t="s">
        <v>1106</v>
      </c>
      <c r="G1238" s="85" t="s">
        <v>570</v>
      </c>
      <c r="H1238" s="85" t="s">
        <v>1038</v>
      </c>
      <c r="I1238" s="85">
        <v>60</v>
      </c>
      <c r="J1238" s="87">
        <f>134.18/60</f>
        <v>2.2363333333333335</v>
      </c>
      <c r="K1238" s="88">
        <f t="shared" si="60"/>
        <v>134.18</v>
      </c>
      <c r="L1238" s="85">
        <v>28753</v>
      </c>
    </row>
    <row r="1239" spans="1:12" x14ac:dyDescent="0.25">
      <c r="A1239" s="84" t="str">
        <f t="shared" si="58"/>
        <v>OutubroSEMANA 4T.P. Interfolhado Melpaper</v>
      </c>
      <c r="B1239" s="85" t="s">
        <v>37</v>
      </c>
      <c r="C1239" s="85" t="s">
        <v>23</v>
      </c>
      <c r="D1239" s="86">
        <v>23</v>
      </c>
      <c r="E1239" s="116" t="str">
        <f t="shared" si="59"/>
        <v>Descartável</v>
      </c>
      <c r="F1239" s="85" t="s">
        <v>1106</v>
      </c>
      <c r="G1239" s="85" t="s">
        <v>777</v>
      </c>
      <c r="H1239" s="85" t="s">
        <v>1038</v>
      </c>
      <c r="I1239" s="85">
        <v>15</v>
      </c>
      <c r="J1239" s="87">
        <f>168.07/15</f>
        <v>11.204666666666666</v>
      </c>
      <c r="K1239" s="88">
        <f t="shared" si="60"/>
        <v>168.07</v>
      </c>
      <c r="L1239" s="85">
        <v>28753</v>
      </c>
    </row>
    <row r="1240" spans="1:12" x14ac:dyDescent="0.25">
      <c r="A1240" s="84" t="str">
        <f t="shared" si="58"/>
        <v>OutubroSEMANA 4Oásis enforce (limpador clorado) Bb5lt</v>
      </c>
      <c r="B1240" s="85" t="s">
        <v>37</v>
      </c>
      <c r="C1240" s="85" t="s">
        <v>23</v>
      </c>
      <c r="D1240" s="86">
        <v>23</v>
      </c>
      <c r="E1240" s="116" t="str">
        <f t="shared" si="59"/>
        <v>Limpeza</v>
      </c>
      <c r="F1240" s="85" t="s">
        <v>1148</v>
      </c>
      <c r="G1240" s="85" t="s">
        <v>541</v>
      </c>
      <c r="H1240" s="85" t="s">
        <v>1087</v>
      </c>
      <c r="I1240" s="85">
        <v>1</v>
      </c>
      <c r="J1240" s="87">
        <v>350.25</v>
      </c>
      <c r="K1240" s="88">
        <f t="shared" si="60"/>
        <v>350.25</v>
      </c>
      <c r="L1240" s="85" t="s">
        <v>1254</v>
      </c>
    </row>
    <row r="1241" spans="1:12" x14ac:dyDescent="0.25">
      <c r="A1241" s="84" t="str">
        <f t="shared" si="58"/>
        <v>OutubroSEMANA 4Vercom Detergente Bb 5 Lt</v>
      </c>
      <c r="B1241" s="85" t="s">
        <v>37</v>
      </c>
      <c r="C1241" s="85" t="s">
        <v>23</v>
      </c>
      <c r="D1241" s="86">
        <v>23</v>
      </c>
      <c r="E1241" s="116" t="str">
        <f t="shared" si="59"/>
        <v>Limpeza</v>
      </c>
      <c r="F1241" s="85" t="s">
        <v>1148</v>
      </c>
      <c r="G1241" s="85" t="s">
        <v>837</v>
      </c>
      <c r="H1241" s="85" t="s">
        <v>1087</v>
      </c>
      <c r="I1241" s="85">
        <v>2</v>
      </c>
      <c r="J1241" s="87">
        <f>244.98/2</f>
        <v>122.49</v>
      </c>
      <c r="K1241" s="88">
        <f t="shared" si="60"/>
        <v>244.98</v>
      </c>
      <c r="L1241" s="85" t="s">
        <v>1254</v>
      </c>
    </row>
    <row r="1242" spans="1:12" x14ac:dyDescent="0.25">
      <c r="A1242" s="84" t="str">
        <f t="shared" si="58"/>
        <v>OutubroSEMANA 4Silver Power Talher</v>
      </c>
      <c r="B1242" s="85" t="s">
        <v>37</v>
      </c>
      <c r="C1242" s="85" t="s">
        <v>23</v>
      </c>
      <c r="D1242" s="86">
        <v>23</v>
      </c>
      <c r="E1242" s="116" t="str">
        <f t="shared" si="59"/>
        <v>Limpeza</v>
      </c>
      <c r="F1242" s="85" t="s">
        <v>1148</v>
      </c>
      <c r="G1242" s="85" t="s">
        <v>747</v>
      </c>
      <c r="H1242" s="85" t="s">
        <v>1087</v>
      </c>
      <c r="I1242" s="85">
        <v>2</v>
      </c>
      <c r="J1242" s="87">
        <f>853.7/2</f>
        <v>426.85</v>
      </c>
      <c r="K1242" s="88">
        <f t="shared" si="60"/>
        <v>853.7</v>
      </c>
      <c r="L1242" s="85" t="s">
        <v>1254</v>
      </c>
    </row>
    <row r="1243" spans="1:12" x14ac:dyDescent="0.25">
      <c r="A1243" s="84" t="str">
        <f t="shared" si="58"/>
        <v>OutubroSEMANA 4Aipim</v>
      </c>
      <c r="B1243" s="85" t="s">
        <v>37</v>
      </c>
      <c r="C1243" s="85" t="s">
        <v>23</v>
      </c>
      <c r="D1243" s="86">
        <v>23</v>
      </c>
      <c r="E1243" s="116" t="str">
        <f t="shared" si="59"/>
        <v>Hortifruti</v>
      </c>
      <c r="F1243" s="85" t="s">
        <v>1042</v>
      </c>
      <c r="G1243" s="85" t="s">
        <v>95</v>
      </c>
      <c r="H1243" s="85" t="s">
        <v>1039</v>
      </c>
      <c r="I1243" s="85">
        <v>20</v>
      </c>
      <c r="J1243" s="87">
        <v>5</v>
      </c>
      <c r="K1243" s="88">
        <f t="shared" si="60"/>
        <v>100</v>
      </c>
      <c r="L1243" s="85"/>
    </row>
    <row r="1244" spans="1:12" x14ac:dyDescent="0.25">
      <c r="A1244" s="84" t="str">
        <f t="shared" si="58"/>
        <v>OutubroSEMANA 4Massa de Pastel</v>
      </c>
      <c r="B1244" s="85" t="s">
        <v>37</v>
      </c>
      <c r="C1244" s="85" t="s">
        <v>23</v>
      </c>
      <c r="D1244" s="86">
        <v>23</v>
      </c>
      <c r="E1244" s="116" t="str">
        <f t="shared" si="59"/>
        <v>Mercado</v>
      </c>
      <c r="F1244" s="85" t="s">
        <v>1042</v>
      </c>
      <c r="G1244" s="85" t="s">
        <v>508</v>
      </c>
      <c r="H1244" s="85" t="s">
        <v>1039</v>
      </c>
      <c r="I1244" s="85">
        <v>28.5</v>
      </c>
      <c r="J1244" s="87">
        <f>210/28.5</f>
        <v>7.3684210526315788</v>
      </c>
      <c r="K1244" s="88">
        <f t="shared" si="60"/>
        <v>210</v>
      </c>
      <c r="L1244" s="85"/>
    </row>
    <row r="1245" spans="1:12" x14ac:dyDescent="0.25">
      <c r="A1245" s="84" t="str">
        <f t="shared" si="58"/>
        <v>OutubroSEMANA 4Brócolis Americano</v>
      </c>
      <c r="B1245" s="85" t="s">
        <v>37</v>
      </c>
      <c r="C1245" s="85" t="s">
        <v>23</v>
      </c>
      <c r="D1245" s="86">
        <v>23</v>
      </c>
      <c r="E1245" s="116" t="str">
        <f t="shared" si="59"/>
        <v>Hortifruti</v>
      </c>
      <c r="F1245" s="85" t="s">
        <v>1042</v>
      </c>
      <c r="G1245" s="85" t="s">
        <v>194</v>
      </c>
      <c r="H1245" s="85" t="s">
        <v>1039</v>
      </c>
      <c r="I1245" s="85">
        <v>4</v>
      </c>
      <c r="J1245" s="87">
        <v>3</v>
      </c>
      <c r="K1245" s="88">
        <f t="shared" si="60"/>
        <v>12</v>
      </c>
      <c r="L1245" s="85"/>
    </row>
    <row r="1246" spans="1:12" x14ac:dyDescent="0.25">
      <c r="A1246" s="84" t="str">
        <f t="shared" si="58"/>
        <v>OutubroSEMANA 4Gelo em Escamas</v>
      </c>
      <c r="B1246" s="85" t="s">
        <v>37</v>
      </c>
      <c r="C1246" s="85" t="s">
        <v>23</v>
      </c>
      <c r="D1246" s="86">
        <v>24</v>
      </c>
      <c r="E1246" s="116" t="str">
        <f t="shared" si="59"/>
        <v>Mercado</v>
      </c>
      <c r="F1246" s="85" t="s">
        <v>1040</v>
      </c>
      <c r="G1246" s="85" t="s">
        <v>384</v>
      </c>
      <c r="H1246" s="85" t="s">
        <v>1041</v>
      </c>
      <c r="I1246" s="85">
        <v>2</v>
      </c>
      <c r="J1246" s="87">
        <v>7.5</v>
      </c>
      <c r="K1246" s="88">
        <f t="shared" si="60"/>
        <v>15</v>
      </c>
      <c r="L1246" s="85">
        <v>11243</v>
      </c>
    </row>
    <row r="1247" spans="1:12" x14ac:dyDescent="0.25">
      <c r="A1247" s="84" t="str">
        <f t="shared" si="58"/>
        <v>OutubroSEMANA 4Gelo em Cubo</v>
      </c>
      <c r="B1247" s="85" t="s">
        <v>37</v>
      </c>
      <c r="C1247" s="85" t="s">
        <v>23</v>
      </c>
      <c r="D1247" s="86">
        <v>24</v>
      </c>
      <c r="E1247" s="116" t="str">
        <f t="shared" si="59"/>
        <v>Mercado</v>
      </c>
      <c r="F1247" s="85" t="s">
        <v>1040</v>
      </c>
      <c r="G1247" s="85" t="s">
        <v>383</v>
      </c>
      <c r="H1247" s="85" t="s">
        <v>1041</v>
      </c>
      <c r="I1247" s="85">
        <v>1</v>
      </c>
      <c r="J1247" s="87">
        <v>7.5</v>
      </c>
      <c r="K1247" s="88">
        <f t="shared" si="60"/>
        <v>7.5</v>
      </c>
      <c r="L1247" s="85">
        <v>11243</v>
      </c>
    </row>
    <row r="1248" spans="1:12" x14ac:dyDescent="0.25">
      <c r="A1248" s="84" t="str">
        <f t="shared" si="58"/>
        <v>OutubroSEMANA 4Pescados - Filé Tilápia Cong.</v>
      </c>
      <c r="B1248" s="85" t="s">
        <v>37</v>
      </c>
      <c r="C1248" s="85" t="s">
        <v>23</v>
      </c>
      <c r="D1248" s="86">
        <v>24</v>
      </c>
      <c r="E1248" s="116" t="str">
        <f t="shared" si="59"/>
        <v>Carnes</v>
      </c>
      <c r="F1248" s="85" t="s">
        <v>1062</v>
      </c>
      <c r="G1248" s="85" t="s">
        <v>614</v>
      </c>
      <c r="H1248" s="85" t="s">
        <v>1039</v>
      </c>
      <c r="I1248" s="85">
        <v>40</v>
      </c>
      <c r="J1248" s="87">
        <v>26.3</v>
      </c>
      <c r="K1248" s="88">
        <f t="shared" si="60"/>
        <v>1052</v>
      </c>
      <c r="L1248" s="85">
        <v>59114</v>
      </c>
    </row>
    <row r="1249" spans="1:12" x14ac:dyDescent="0.25">
      <c r="A1249" s="84" t="str">
        <f t="shared" si="58"/>
        <v>OutubroSEMANA 4Bandeja 3 Div. Delivery Cx 150</v>
      </c>
      <c r="B1249" s="85" t="s">
        <v>37</v>
      </c>
      <c r="C1249" s="85" t="s">
        <v>23</v>
      </c>
      <c r="D1249" s="86">
        <v>24</v>
      </c>
      <c r="E1249" s="116" t="str">
        <f t="shared" si="59"/>
        <v>Descartável</v>
      </c>
      <c r="F1249" s="85" t="s">
        <v>1255</v>
      </c>
      <c r="G1249" s="85" t="s">
        <v>165</v>
      </c>
      <c r="H1249" s="85" t="s">
        <v>1038</v>
      </c>
      <c r="I1249" s="85">
        <f>150*3</f>
        <v>450</v>
      </c>
      <c r="J1249" s="87">
        <f>970.91/450</f>
        <v>2.1575777777777776</v>
      </c>
      <c r="K1249" s="88">
        <f t="shared" si="60"/>
        <v>970.91</v>
      </c>
      <c r="L1249" s="85" t="s">
        <v>1256</v>
      </c>
    </row>
    <row r="1250" spans="1:12" x14ac:dyDescent="0.25">
      <c r="A1250" s="84" t="str">
        <f t="shared" si="58"/>
        <v>OutubroSEMANA 4Pescados - Filé Linguado Cong. G</v>
      </c>
      <c r="B1250" s="85" t="s">
        <v>37</v>
      </c>
      <c r="C1250" s="85" t="s">
        <v>23</v>
      </c>
      <c r="D1250" s="86">
        <v>24</v>
      </c>
      <c r="E1250" s="116" t="str">
        <f t="shared" si="59"/>
        <v>Carnes</v>
      </c>
      <c r="F1250" s="85" t="s">
        <v>1048</v>
      </c>
      <c r="G1250" s="85" t="s">
        <v>607</v>
      </c>
      <c r="H1250" s="85" t="s">
        <v>1039</v>
      </c>
      <c r="I1250" s="85">
        <v>30</v>
      </c>
      <c r="J1250" s="87">
        <v>38</v>
      </c>
      <c r="K1250" s="88">
        <f t="shared" si="60"/>
        <v>1140</v>
      </c>
      <c r="L1250" s="85" t="s">
        <v>1257</v>
      </c>
    </row>
    <row r="1251" spans="1:12" x14ac:dyDescent="0.25">
      <c r="A1251" s="84" t="str">
        <f t="shared" si="58"/>
        <v>OutubroSEMANA 4Suíno - Linguiça Fina Defumada</v>
      </c>
      <c r="B1251" s="85" t="s">
        <v>37</v>
      </c>
      <c r="C1251" s="85" t="s">
        <v>23</v>
      </c>
      <c r="D1251" s="86">
        <v>24</v>
      </c>
      <c r="E1251" s="116" t="str">
        <f t="shared" si="59"/>
        <v>Carnes</v>
      </c>
      <c r="F1251" s="85" t="s">
        <v>1078</v>
      </c>
      <c r="G1251" s="85" t="s">
        <v>764</v>
      </c>
      <c r="H1251" s="85" t="s">
        <v>1039</v>
      </c>
      <c r="I1251" s="85">
        <v>7.5</v>
      </c>
      <c r="J1251" s="87">
        <v>10.65</v>
      </c>
      <c r="K1251" s="88">
        <f t="shared" si="60"/>
        <v>79.875</v>
      </c>
      <c r="L1251" s="85" t="s">
        <v>1258</v>
      </c>
    </row>
    <row r="1252" spans="1:12" x14ac:dyDescent="0.25">
      <c r="A1252" s="84" t="str">
        <f t="shared" si="58"/>
        <v>OutubroSEMANA 4Suíno - Linguiça Paio</v>
      </c>
      <c r="B1252" s="85" t="s">
        <v>37</v>
      </c>
      <c r="C1252" s="85" t="s">
        <v>23</v>
      </c>
      <c r="D1252" s="86">
        <v>24</v>
      </c>
      <c r="E1252" s="116" t="str">
        <f t="shared" si="59"/>
        <v>Carnes</v>
      </c>
      <c r="F1252" s="85" t="s">
        <v>1078</v>
      </c>
      <c r="G1252" s="85" t="s">
        <v>765</v>
      </c>
      <c r="H1252" s="85" t="s">
        <v>1039</v>
      </c>
      <c r="I1252" s="85">
        <v>5</v>
      </c>
      <c r="J1252" s="87">
        <v>12.14</v>
      </c>
      <c r="K1252" s="88">
        <f t="shared" si="60"/>
        <v>60.7</v>
      </c>
      <c r="L1252" s="85" t="s">
        <v>1258</v>
      </c>
    </row>
    <row r="1253" spans="1:12" x14ac:dyDescent="0.25">
      <c r="A1253" s="84" t="str">
        <f t="shared" si="58"/>
        <v>OutubroSEMANA 4Suíno - Lombo Salgado</v>
      </c>
      <c r="B1253" s="85" t="s">
        <v>37</v>
      </c>
      <c r="C1253" s="85" t="s">
        <v>23</v>
      </c>
      <c r="D1253" s="86">
        <v>24</v>
      </c>
      <c r="E1253" s="116" t="str">
        <f t="shared" si="59"/>
        <v>Carnes</v>
      </c>
      <c r="F1253" s="85" t="s">
        <v>1078</v>
      </c>
      <c r="G1253" s="85" t="s">
        <v>768</v>
      </c>
      <c r="H1253" s="85" t="s">
        <v>1039</v>
      </c>
      <c r="I1253" s="85">
        <v>10</v>
      </c>
      <c r="J1253" s="87">
        <v>10.97</v>
      </c>
      <c r="K1253" s="88">
        <f t="shared" si="60"/>
        <v>109.7</v>
      </c>
      <c r="L1253" s="85" t="s">
        <v>1258</v>
      </c>
    </row>
    <row r="1254" spans="1:12" x14ac:dyDescent="0.25">
      <c r="A1254" s="84" t="str">
        <f t="shared" si="58"/>
        <v>OutubroSEMANA 4Suíno - Pernil s/ Osso</v>
      </c>
      <c r="B1254" s="85" t="s">
        <v>37</v>
      </c>
      <c r="C1254" s="85" t="s">
        <v>23</v>
      </c>
      <c r="D1254" s="86">
        <v>24</v>
      </c>
      <c r="E1254" s="116" t="str">
        <f t="shared" si="59"/>
        <v>Carnes</v>
      </c>
      <c r="F1254" s="85" t="s">
        <v>1078</v>
      </c>
      <c r="G1254" s="85" t="s">
        <v>769</v>
      </c>
      <c r="H1254" s="85" t="s">
        <v>1039</v>
      </c>
      <c r="I1254" s="85">
        <v>21.89</v>
      </c>
      <c r="J1254" s="87">
        <v>8.77</v>
      </c>
      <c r="K1254" s="88">
        <f t="shared" si="60"/>
        <v>191.9753</v>
      </c>
      <c r="L1254" s="85" t="s">
        <v>1258</v>
      </c>
    </row>
    <row r="1255" spans="1:12" x14ac:dyDescent="0.25">
      <c r="A1255" s="84" t="str">
        <f t="shared" si="58"/>
        <v>OutubroSEMANA 4Pescados - Salmão Inteiro</v>
      </c>
      <c r="B1255" s="85" t="s">
        <v>37</v>
      </c>
      <c r="C1255" s="85" t="s">
        <v>23</v>
      </c>
      <c r="D1255" s="86">
        <v>24</v>
      </c>
      <c r="E1255" s="116" t="str">
        <f t="shared" si="59"/>
        <v>Carnes</v>
      </c>
      <c r="F1255" s="85" t="s">
        <v>1053</v>
      </c>
      <c r="G1255" s="85" t="s">
        <v>644</v>
      </c>
      <c r="H1255" s="85" t="s">
        <v>1039</v>
      </c>
      <c r="I1255" s="85">
        <v>33.74</v>
      </c>
      <c r="J1255" s="87">
        <v>25.900099999999998</v>
      </c>
      <c r="K1255" s="88">
        <f t="shared" si="60"/>
        <v>873.86937399999999</v>
      </c>
      <c r="L1255" s="85" t="s">
        <v>1259</v>
      </c>
    </row>
    <row r="1256" spans="1:12" x14ac:dyDescent="0.25">
      <c r="A1256" s="84" t="str">
        <f t="shared" si="58"/>
        <v>OutubroSEMANA 4Pescados - Camarão IQF Evisc. 51/60</v>
      </c>
      <c r="B1256" s="85" t="s">
        <v>37</v>
      </c>
      <c r="C1256" s="85" t="s">
        <v>23</v>
      </c>
      <c r="D1256" s="86">
        <v>24</v>
      </c>
      <c r="E1256" s="116" t="str">
        <f t="shared" si="59"/>
        <v>Carnes</v>
      </c>
      <c r="F1256" s="85" t="s">
        <v>1053</v>
      </c>
      <c r="G1256" s="85" t="s">
        <v>594</v>
      </c>
      <c r="H1256" s="85" t="s">
        <v>1039</v>
      </c>
      <c r="I1256" s="85">
        <v>6</v>
      </c>
      <c r="J1256" s="87">
        <v>66.5</v>
      </c>
      <c r="K1256" s="88">
        <f t="shared" si="60"/>
        <v>399</v>
      </c>
      <c r="L1256" s="85" t="s">
        <v>1259</v>
      </c>
    </row>
    <row r="1257" spans="1:12" x14ac:dyDescent="0.25">
      <c r="A1257" s="84" t="str">
        <f t="shared" si="58"/>
        <v>OutubroSEMANA 4Pescados - Bacalhau Salgado</v>
      </c>
      <c r="B1257" s="85" t="s">
        <v>37</v>
      </c>
      <c r="C1257" s="85" t="s">
        <v>23</v>
      </c>
      <c r="D1257" s="86">
        <v>24</v>
      </c>
      <c r="E1257" s="116" t="str">
        <f t="shared" si="59"/>
        <v>Carnes</v>
      </c>
      <c r="F1257" s="85" t="s">
        <v>1049</v>
      </c>
      <c r="G1257" s="85" t="s">
        <v>589</v>
      </c>
      <c r="H1257" s="85" t="s">
        <v>1039</v>
      </c>
      <c r="I1257" s="85">
        <v>25</v>
      </c>
      <c r="J1257" s="87">
        <f>1098.04/25</f>
        <v>43.921599999999998</v>
      </c>
      <c r="K1257" s="88">
        <f t="shared" si="60"/>
        <v>1098.04</v>
      </c>
      <c r="L1257" s="85" t="s">
        <v>1260</v>
      </c>
    </row>
    <row r="1258" spans="1:12" x14ac:dyDescent="0.25">
      <c r="A1258" s="84" t="str">
        <f t="shared" si="58"/>
        <v>OutubroSEMANA 4Torta Alemã</v>
      </c>
      <c r="B1258" s="85" t="s">
        <v>37</v>
      </c>
      <c r="C1258" s="85" t="s">
        <v>23</v>
      </c>
      <c r="D1258" s="86">
        <v>24</v>
      </c>
      <c r="E1258" s="116" t="str">
        <f t="shared" si="59"/>
        <v>Sobremesa</v>
      </c>
      <c r="F1258" s="85" t="s">
        <v>1127</v>
      </c>
      <c r="G1258" s="85" t="s">
        <v>804</v>
      </c>
      <c r="H1258" s="85" t="s">
        <v>1071</v>
      </c>
      <c r="I1258" s="85">
        <f>12*2</f>
        <v>24</v>
      </c>
      <c r="J1258" s="87">
        <f>133.72/24</f>
        <v>5.5716666666666663</v>
      </c>
      <c r="K1258" s="88">
        <f t="shared" si="60"/>
        <v>133.72</v>
      </c>
      <c r="L1258" s="85">
        <v>146615</v>
      </c>
    </row>
    <row r="1259" spans="1:12" x14ac:dyDescent="0.25">
      <c r="A1259" s="84" t="str">
        <f t="shared" si="58"/>
        <v>OutubroSEMANA 4Torta Bem Casado de Damasco</v>
      </c>
      <c r="B1259" s="85" t="s">
        <v>37</v>
      </c>
      <c r="C1259" s="85" t="s">
        <v>23</v>
      </c>
      <c r="D1259" s="86">
        <v>24</v>
      </c>
      <c r="E1259" s="116" t="str">
        <f t="shared" si="59"/>
        <v>Sobremesa</v>
      </c>
      <c r="F1259" s="85" t="s">
        <v>1127</v>
      </c>
      <c r="G1259" s="85" t="s">
        <v>808</v>
      </c>
      <c r="H1259" s="85" t="s">
        <v>1071</v>
      </c>
      <c r="I1259" s="85">
        <v>12</v>
      </c>
      <c r="J1259" s="87">
        <f>68.99/12</f>
        <v>5.7491666666666665</v>
      </c>
      <c r="K1259" s="88">
        <f t="shared" si="60"/>
        <v>68.989999999999995</v>
      </c>
      <c r="L1259" s="85">
        <v>146615</v>
      </c>
    </row>
    <row r="1260" spans="1:12" x14ac:dyDescent="0.25">
      <c r="A1260" s="84" t="str">
        <f t="shared" si="58"/>
        <v>OutubroSEMANA 4Torta de Brigadeiro c/ Raspas</v>
      </c>
      <c r="B1260" s="85" t="s">
        <v>37</v>
      </c>
      <c r="C1260" s="85" t="s">
        <v>23</v>
      </c>
      <c r="D1260" s="86">
        <v>24</v>
      </c>
      <c r="E1260" s="116" t="str">
        <f t="shared" si="59"/>
        <v>Sobremesa</v>
      </c>
      <c r="F1260" s="85" t="s">
        <v>1127</v>
      </c>
      <c r="G1260" s="85" t="s">
        <v>813</v>
      </c>
      <c r="H1260" s="85" t="s">
        <v>1071</v>
      </c>
      <c r="I1260" s="85">
        <v>12</v>
      </c>
      <c r="J1260" s="87">
        <f>66.86/12</f>
        <v>5.5716666666666663</v>
      </c>
      <c r="K1260" s="88">
        <f t="shared" si="60"/>
        <v>66.86</v>
      </c>
      <c r="L1260" s="85">
        <v>146615</v>
      </c>
    </row>
    <row r="1261" spans="1:12" x14ac:dyDescent="0.25">
      <c r="A1261" s="84" t="str">
        <f t="shared" si="58"/>
        <v>OutubroSEMANA 4Quindão com Damasco</v>
      </c>
      <c r="B1261" s="85" t="s">
        <v>37</v>
      </c>
      <c r="C1261" s="85" t="s">
        <v>23</v>
      </c>
      <c r="D1261" s="86">
        <v>24</v>
      </c>
      <c r="E1261" s="116" t="str">
        <f t="shared" si="59"/>
        <v>Sobremesa</v>
      </c>
      <c r="F1261" s="85" t="s">
        <v>1127</v>
      </c>
      <c r="G1261" s="85" t="s">
        <v>691</v>
      </c>
      <c r="H1261" s="85" t="s">
        <v>1071</v>
      </c>
      <c r="I1261" s="85">
        <v>12</v>
      </c>
      <c r="J1261" s="87">
        <f>66.86/12</f>
        <v>5.5716666666666663</v>
      </c>
      <c r="K1261" s="88">
        <f t="shared" si="60"/>
        <v>66.86</v>
      </c>
      <c r="L1261" s="85">
        <v>146615</v>
      </c>
    </row>
    <row r="1262" spans="1:12" x14ac:dyDescent="0.25">
      <c r="A1262" s="84" t="str">
        <f t="shared" si="58"/>
        <v>OutubroSEMANA 4Torta Bem Casado de Chocolate c/ Avelã</v>
      </c>
      <c r="B1262" s="85" t="s">
        <v>37</v>
      </c>
      <c r="C1262" s="85" t="s">
        <v>23</v>
      </c>
      <c r="D1262" s="86">
        <v>24</v>
      </c>
      <c r="E1262" s="116" t="str">
        <f t="shared" si="59"/>
        <v>Sobremesa</v>
      </c>
      <c r="F1262" s="85" t="s">
        <v>1127</v>
      </c>
      <c r="G1262" s="85" t="s">
        <v>807</v>
      </c>
      <c r="H1262" s="85" t="s">
        <v>1071</v>
      </c>
      <c r="I1262" s="85">
        <v>12</v>
      </c>
      <c r="J1262" s="87">
        <f>68.99/12</f>
        <v>5.7491666666666665</v>
      </c>
      <c r="K1262" s="88">
        <f t="shared" si="60"/>
        <v>68.989999999999995</v>
      </c>
      <c r="L1262" s="85">
        <v>146615</v>
      </c>
    </row>
    <row r="1263" spans="1:12" x14ac:dyDescent="0.25">
      <c r="A1263" s="84" t="str">
        <f t="shared" si="58"/>
        <v>OutubroSEMANA 4Torta Financier com Quindim</v>
      </c>
      <c r="B1263" s="85" t="s">
        <v>37</v>
      </c>
      <c r="C1263" s="85" t="s">
        <v>23</v>
      </c>
      <c r="D1263" s="86">
        <v>24</v>
      </c>
      <c r="E1263" s="116" t="str">
        <f t="shared" si="59"/>
        <v>Sobremesa</v>
      </c>
      <c r="F1263" s="85" t="s">
        <v>1127</v>
      </c>
      <c r="G1263" s="85" t="s">
        <v>992</v>
      </c>
      <c r="H1263" s="85" t="s">
        <v>1071</v>
      </c>
      <c r="I1263" s="85">
        <v>12</v>
      </c>
      <c r="J1263" s="87">
        <f>71.11/12</f>
        <v>5.9258333333333333</v>
      </c>
      <c r="K1263" s="88">
        <f t="shared" si="60"/>
        <v>71.11</v>
      </c>
      <c r="L1263" s="85">
        <v>146615</v>
      </c>
    </row>
    <row r="1264" spans="1:12" x14ac:dyDescent="0.25">
      <c r="A1264" s="84" t="str">
        <f t="shared" si="58"/>
        <v>OutubroSEMANA 4Pepino Japonês</v>
      </c>
      <c r="B1264" s="85" t="s">
        <v>37</v>
      </c>
      <c r="C1264" s="85" t="s">
        <v>23</v>
      </c>
      <c r="D1264" s="86">
        <v>24</v>
      </c>
      <c r="E1264" s="116" t="str">
        <f t="shared" si="59"/>
        <v>Hortifruti</v>
      </c>
      <c r="F1264" s="85" t="s">
        <v>1054</v>
      </c>
      <c r="G1264" s="85" t="s">
        <v>577</v>
      </c>
      <c r="H1264" s="85" t="s">
        <v>1039</v>
      </c>
      <c r="I1264" s="85">
        <f>16.16-0.798-0.75</f>
        <v>14.612</v>
      </c>
      <c r="J1264" s="87">
        <f>55/16.16</f>
        <v>3.4034653465346536</v>
      </c>
      <c r="K1264" s="88">
        <f t="shared" si="60"/>
        <v>49.73143564356436</v>
      </c>
      <c r="L1264" s="85">
        <v>2003</v>
      </c>
    </row>
    <row r="1265" spans="1:12" x14ac:dyDescent="0.25">
      <c r="A1265" s="84" t="str">
        <f t="shared" si="58"/>
        <v>OutubroSEMANA 4Quiabo</v>
      </c>
      <c r="B1265" s="85" t="s">
        <v>37</v>
      </c>
      <c r="C1265" s="85" t="s">
        <v>23</v>
      </c>
      <c r="D1265" s="86">
        <v>24</v>
      </c>
      <c r="E1265" s="116" t="str">
        <f t="shared" si="59"/>
        <v>Hortifruti</v>
      </c>
      <c r="F1265" s="85" t="s">
        <v>1054</v>
      </c>
      <c r="G1265" s="85" t="s">
        <v>690</v>
      </c>
      <c r="H1265" s="85" t="s">
        <v>1039</v>
      </c>
      <c r="I1265" s="85">
        <v>16</v>
      </c>
      <c r="J1265" s="87">
        <v>6.5</v>
      </c>
      <c r="K1265" s="88">
        <f t="shared" si="60"/>
        <v>104</v>
      </c>
      <c r="L1265" s="85">
        <v>2003</v>
      </c>
    </row>
    <row r="1266" spans="1:12" x14ac:dyDescent="0.25">
      <c r="A1266" s="84" t="str">
        <f t="shared" si="58"/>
        <v>OutubroSEMANA 4Aipo</v>
      </c>
      <c r="B1266" s="85" t="s">
        <v>37</v>
      </c>
      <c r="C1266" s="85" t="s">
        <v>23</v>
      </c>
      <c r="D1266" s="86">
        <v>24</v>
      </c>
      <c r="E1266" s="116" t="str">
        <f t="shared" si="59"/>
        <v>Hortifruti</v>
      </c>
      <c r="F1266" s="85" t="s">
        <v>1054</v>
      </c>
      <c r="G1266" s="85" t="s">
        <v>96</v>
      </c>
      <c r="H1266" s="85" t="s">
        <v>1039</v>
      </c>
      <c r="I1266" s="85">
        <v>1.8</v>
      </c>
      <c r="J1266" s="87">
        <v>4</v>
      </c>
      <c r="K1266" s="88">
        <f t="shared" si="60"/>
        <v>7.2</v>
      </c>
      <c r="L1266" s="85">
        <v>2003</v>
      </c>
    </row>
    <row r="1267" spans="1:12" x14ac:dyDescent="0.25">
      <c r="A1267" s="84" t="str">
        <f t="shared" si="58"/>
        <v>OutubroSEMANA 4Brócolis Americano</v>
      </c>
      <c r="B1267" s="85" t="s">
        <v>37</v>
      </c>
      <c r="C1267" s="85" t="s">
        <v>23</v>
      </c>
      <c r="D1267" s="86">
        <v>24</v>
      </c>
      <c r="E1267" s="116" t="str">
        <f t="shared" si="59"/>
        <v>Hortifruti</v>
      </c>
      <c r="F1267" s="85" t="s">
        <v>1054</v>
      </c>
      <c r="G1267" s="85" t="s">
        <v>194</v>
      </c>
      <c r="H1267" s="85" t="s">
        <v>1039</v>
      </c>
      <c r="I1267" s="85">
        <v>6</v>
      </c>
      <c r="J1267" s="87">
        <v>7</v>
      </c>
      <c r="K1267" s="88">
        <f t="shared" si="60"/>
        <v>42</v>
      </c>
      <c r="L1267" s="85">
        <v>2003</v>
      </c>
    </row>
    <row r="1268" spans="1:12" x14ac:dyDescent="0.25">
      <c r="A1268" s="84" t="str">
        <f t="shared" si="58"/>
        <v>OutubroSEMANA 4Coentro</v>
      </c>
      <c r="B1268" s="85" t="s">
        <v>37</v>
      </c>
      <c r="C1268" s="85" t="s">
        <v>23</v>
      </c>
      <c r="D1268" s="86">
        <v>24</v>
      </c>
      <c r="E1268" s="116" t="str">
        <f t="shared" si="59"/>
        <v>Hortifruti</v>
      </c>
      <c r="F1268" s="85" t="s">
        <v>1054</v>
      </c>
      <c r="G1268" s="85" t="s">
        <v>289</v>
      </c>
      <c r="H1268" s="85" t="s">
        <v>1039</v>
      </c>
      <c r="I1268" s="85">
        <v>0.5</v>
      </c>
      <c r="J1268" s="87">
        <v>14</v>
      </c>
      <c r="K1268" s="88">
        <f t="shared" si="60"/>
        <v>7</v>
      </c>
      <c r="L1268" s="85">
        <v>2003</v>
      </c>
    </row>
    <row r="1269" spans="1:12" x14ac:dyDescent="0.25">
      <c r="A1269" s="84" t="str">
        <f t="shared" si="58"/>
        <v>OutubroSEMANA 4Espinafre</v>
      </c>
      <c r="B1269" s="85" t="s">
        <v>37</v>
      </c>
      <c r="C1269" s="85" t="s">
        <v>23</v>
      </c>
      <c r="D1269" s="86">
        <v>24</v>
      </c>
      <c r="E1269" s="116" t="str">
        <f t="shared" si="59"/>
        <v>Hortifruti</v>
      </c>
      <c r="F1269" s="85" t="s">
        <v>1054</v>
      </c>
      <c r="G1269" s="85" t="s">
        <v>332</v>
      </c>
      <c r="H1269" s="85" t="s">
        <v>1039</v>
      </c>
      <c r="I1269" s="85">
        <v>4</v>
      </c>
      <c r="J1269" s="87">
        <v>4.8</v>
      </c>
      <c r="K1269" s="88">
        <f t="shared" si="60"/>
        <v>19.2</v>
      </c>
      <c r="L1269" s="85">
        <v>2003</v>
      </c>
    </row>
    <row r="1270" spans="1:12" x14ac:dyDescent="0.25">
      <c r="A1270" s="84" t="str">
        <f t="shared" si="58"/>
        <v>OutubroSEMANA 4Salsa</v>
      </c>
      <c r="B1270" s="85" t="s">
        <v>37</v>
      </c>
      <c r="C1270" s="85" t="s">
        <v>23</v>
      </c>
      <c r="D1270" s="86">
        <v>24</v>
      </c>
      <c r="E1270" s="116" t="str">
        <f t="shared" si="59"/>
        <v>Hortifruti</v>
      </c>
      <c r="F1270" s="85" t="s">
        <v>1054</v>
      </c>
      <c r="G1270" s="85" t="s">
        <v>729</v>
      </c>
      <c r="H1270" s="85" t="s">
        <v>1039</v>
      </c>
      <c r="I1270" s="85">
        <v>1</v>
      </c>
      <c r="J1270" s="87">
        <v>7</v>
      </c>
      <c r="K1270" s="88">
        <f t="shared" si="60"/>
        <v>7</v>
      </c>
      <c r="L1270" s="85">
        <v>2003</v>
      </c>
    </row>
    <row r="1271" spans="1:12" x14ac:dyDescent="0.25">
      <c r="A1271" s="84" t="str">
        <f t="shared" si="58"/>
        <v>OutubroSEMANA 4Tofu Kilo</v>
      </c>
      <c r="B1271" s="85" t="s">
        <v>37</v>
      </c>
      <c r="C1271" s="85" t="s">
        <v>23</v>
      </c>
      <c r="D1271" s="86">
        <v>24</v>
      </c>
      <c r="E1271" s="116" t="str">
        <f t="shared" si="59"/>
        <v>Hortifruti</v>
      </c>
      <c r="F1271" s="85" t="s">
        <v>1054</v>
      </c>
      <c r="G1271" s="85" t="s">
        <v>789</v>
      </c>
      <c r="H1271" s="85" t="s">
        <v>1039</v>
      </c>
      <c r="I1271" s="85">
        <v>2</v>
      </c>
      <c r="J1271" s="87">
        <v>14</v>
      </c>
      <c r="K1271" s="88">
        <f t="shared" si="60"/>
        <v>28</v>
      </c>
      <c r="L1271" s="85">
        <v>2003</v>
      </c>
    </row>
    <row r="1272" spans="1:12" x14ac:dyDescent="0.25">
      <c r="A1272" s="84" t="str">
        <f t="shared" si="58"/>
        <v xml:space="preserve">OutubroSEMANA 4Abacaxi </v>
      </c>
      <c r="B1272" s="85" t="s">
        <v>37</v>
      </c>
      <c r="C1272" s="85" t="s">
        <v>23</v>
      </c>
      <c r="D1272" s="86">
        <v>24</v>
      </c>
      <c r="E1272" s="116" t="str">
        <f t="shared" si="59"/>
        <v>Hortifruti</v>
      </c>
      <c r="F1272" s="85" t="s">
        <v>1054</v>
      </c>
      <c r="G1272" s="85" t="s">
        <v>65</v>
      </c>
      <c r="H1272" s="85" t="s">
        <v>1039</v>
      </c>
      <c r="I1272" s="85">
        <v>6</v>
      </c>
      <c r="J1272" s="87">
        <v>2.4</v>
      </c>
      <c r="K1272" s="88">
        <f t="shared" si="60"/>
        <v>14.399999999999999</v>
      </c>
      <c r="L1272" s="85">
        <v>2003</v>
      </c>
    </row>
    <row r="1273" spans="1:12" x14ac:dyDescent="0.25">
      <c r="A1273" s="84" t="str">
        <f t="shared" si="58"/>
        <v>OutubroSEMANA 4Kiwi</v>
      </c>
      <c r="B1273" s="85" t="s">
        <v>37</v>
      </c>
      <c r="C1273" s="85" t="s">
        <v>23</v>
      </c>
      <c r="D1273" s="86">
        <v>24</v>
      </c>
      <c r="E1273" s="116" t="str">
        <f t="shared" si="59"/>
        <v>Hortifruti</v>
      </c>
      <c r="F1273" s="85" t="s">
        <v>1054</v>
      </c>
      <c r="G1273" s="85" t="s">
        <v>454</v>
      </c>
      <c r="H1273" s="85" t="s">
        <v>1039</v>
      </c>
      <c r="I1273" s="85">
        <v>1</v>
      </c>
      <c r="J1273" s="87">
        <v>14</v>
      </c>
      <c r="K1273" s="88">
        <f t="shared" si="60"/>
        <v>14</v>
      </c>
      <c r="L1273" s="85">
        <v>2003</v>
      </c>
    </row>
    <row r="1274" spans="1:12" x14ac:dyDescent="0.25">
      <c r="A1274" s="84" t="str">
        <f t="shared" si="58"/>
        <v xml:space="preserve">OutubroSEMANA 4Melão de Rede </v>
      </c>
      <c r="B1274" s="85" t="s">
        <v>37</v>
      </c>
      <c r="C1274" s="85" t="s">
        <v>23</v>
      </c>
      <c r="D1274" s="86">
        <v>24</v>
      </c>
      <c r="E1274" s="116" t="str">
        <f t="shared" si="59"/>
        <v>Hortifruti</v>
      </c>
      <c r="F1274" s="85" t="s">
        <v>1054</v>
      </c>
      <c r="G1274" s="85" t="s">
        <v>518</v>
      </c>
      <c r="H1274" s="85" t="s">
        <v>1039</v>
      </c>
      <c r="I1274" s="85">
        <v>2</v>
      </c>
      <c r="J1274" s="87">
        <v>5.9</v>
      </c>
      <c r="K1274" s="88">
        <f t="shared" si="60"/>
        <v>11.8</v>
      </c>
      <c r="L1274" s="85">
        <v>2003</v>
      </c>
    </row>
    <row r="1275" spans="1:12" x14ac:dyDescent="0.25">
      <c r="A1275" s="84" t="str">
        <f t="shared" si="58"/>
        <v xml:space="preserve">OutubroSEMANA 4Abobrinha </v>
      </c>
      <c r="B1275" s="85" t="s">
        <v>37</v>
      </c>
      <c r="C1275" s="85" t="s">
        <v>23</v>
      </c>
      <c r="D1275" s="86">
        <v>24</v>
      </c>
      <c r="E1275" s="116" t="str">
        <f t="shared" si="59"/>
        <v>Hortifruti</v>
      </c>
      <c r="F1275" s="85" t="s">
        <v>1054</v>
      </c>
      <c r="G1275" s="85" t="s">
        <v>72</v>
      </c>
      <c r="H1275" s="85" t="s">
        <v>1039</v>
      </c>
      <c r="I1275" s="85">
        <v>16.059999999999999</v>
      </c>
      <c r="J1275" s="87">
        <f>20/16.06</f>
        <v>1.2453300124533002</v>
      </c>
      <c r="K1275" s="88">
        <f t="shared" si="60"/>
        <v>20</v>
      </c>
      <c r="L1275" s="85">
        <v>2003</v>
      </c>
    </row>
    <row r="1276" spans="1:12" x14ac:dyDescent="0.25">
      <c r="A1276" s="84" t="str">
        <f t="shared" si="58"/>
        <v>OutubroSEMANA 4Abobora</v>
      </c>
      <c r="B1276" s="85" t="s">
        <v>37</v>
      </c>
      <c r="C1276" s="85" t="s">
        <v>23</v>
      </c>
      <c r="D1276" s="86">
        <v>24</v>
      </c>
      <c r="E1276" s="116" t="str">
        <f t="shared" si="59"/>
        <v>Hortifruti</v>
      </c>
      <c r="F1276" s="85" t="s">
        <v>1055</v>
      </c>
      <c r="G1276" s="85" t="s">
        <v>68</v>
      </c>
      <c r="H1276" s="85" t="s">
        <v>1039</v>
      </c>
      <c r="I1276" s="85">
        <v>10</v>
      </c>
      <c r="J1276" s="87">
        <v>2.13</v>
      </c>
      <c r="K1276" s="88">
        <f t="shared" si="60"/>
        <v>21.299999999999997</v>
      </c>
      <c r="L1276" s="85">
        <v>5558</v>
      </c>
    </row>
    <row r="1277" spans="1:12" x14ac:dyDescent="0.25">
      <c r="A1277" s="84" t="str">
        <f t="shared" si="58"/>
        <v>OutubroSEMANA 4Alecrim</v>
      </c>
      <c r="B1277" s="85" t="s">
        <v>37</v>
      </c>
      <c r="C1277" s="85" t="s">
        <v>23</v>
      </c>
      <c r="D1277" s="86">
        <v>24</v>
      </c>
      <c r="E1277" s="116" t="str">
        <f t="shared" si="59"/>
        <v>Hortifruti</v>
      </c>
      <c r="F1277" s="85" t="s">
        <v>1055</v>
      </c>
      <c r="G1277" s="85" t="s">
        <v>101</v>
      </c>
      <c r="H1277" s="85" t="s">
        <v>1039</v>
      </c>
      <c r="I1277" s="85">
        <v>0.2</v>
      </c>
      <c r="J1277" s="87">
        <v>18.5</v>
      </c>
      <c r="K1277" s="88">
        <f t="shared" si="60"/>
        <v>3.7</v>
      </c>
      <c r="L1277" s="85">
        <v>5558</v>
      </c>
    </row>
    <row r="1278" spans="1:12" x14ac:dyDescent="0.25">
      <c r="A1278" s="84" t="str">
        <f t="shared" si="58"/>
        <v>OutubroSEMANA 4Batata HBT</v>
      </c>
      <c r="B1278" s="85" t="s">
        <v>37</v>
      </c>
      <c r="C1278" s="85" t="s">
        <v>23</v>
      </c>
      <c r="D1278" s="86">
        <v>24</v>
      </c>
      <c r="E1278" s="116" t="str">
        <f t="shared" si="59"/>
        <v>Hortifruti</v>
      </c>
      <c r="F1278" s="85" t="s">
        <v>1055</v>
      </c>
      <c r="G1278" s="85" t="s">
        <v>171</v>
      </c>
      <c r="H1278" s="85" t="s">
        <v>1039</v>
      </c>
      <c r="I1278" s="85">
        <v>25</v>
      </c>
      <c r="J1278" s="87">
        <v>1.69</v>
      </c>
      <c r="K1278" s="88">
        <f t="shared" si="60"/>
        <v>42.25</v>
      </c>
      <c r="L1278" s="85">
        <v>5558</v>
      </c>
    </row>
    <row r="1279" spans="1:12" x14ac:dyDescent="0.25">
      <c r="A1279" s="84" t="str">
        <f t="shared" si="58"/>
        <v>OutubroSEMANA 4Cebola</v>
      </c>
      <c r="B1279" s="85" t="s">
        <v>37</v>
      </c>
      <c r="C1279" s="85" t="s">
        <v>23</v>
      </c>
      <c r="D1279" s="86">
        <v>24</v>
      </c>
      <c r="E1279" s="116" t="str">
        <f t="shared" si="59"/>
        <v>Hortifruti</v>
      </c>
      <c r="F1279" s="85" t="s">
        <v>1055</v>
      </c>
      <c r="G1279" s="85" t="s">
        <v>241</v>
      </c>
      <c r="H1279" s="85" t="s">
        <v>1039</v>
      </c>
      <c r="I1279" s="85">
        <v>18.559999999999999</v>
      </c>
      <c r="J1279" s="87">
        <f>26.5/18.56</f>
        <v>1.427801724137931</v>
      </c>
      <c r="K1279" s="88">
        <f t="shared" si="60"/>
        <v>26.5</v>
      </c>
      <c r="L1279" s="85">
        <v>5558</v>
      </c>
    </row>
    <row r="1280" spans="1:12" x14ac:dyDescent="0.25">
      <c r="A1280" s="84" t="str">
        <f t="shared" si="58"/>
        <v>OutubroSEMANA 4Côco Seco</v>
      </c>
      <c r="B1280" s="85" t="s">
        <v>37</v>
      </c>
      <c r="C1280" s="85" t="s">
        <v>23</v>
      </c>
      <c r="D1280" s="86">
        <v>24</v>
      </c>
      <c r="E1280" s="116" t="str">
        <f t="shared" si="59"/>
        <v>Mercado</v>
      </c>
      <c r="F1280" s="85" t="s">
        <v>1055</v>
      </c>
      <c r="G1280" s="85" t="s">
        <v>287</v>
      </c>
      <c r="H1280" s="85" t="s">
        <v>1039</v>
      </c>
      <c r="I1280" s="85">
        <v>1</v>
      </c>
      <c r="J1280" s="87">
        <v>6.9</v>
      </c>
      <c r="K1280" s="88">
        <f t="shared" si="60"/>
        <v>6.9</v>
      </c>
      <c r="L1280" s="85">
        <v>5558</v>
      </c>
    </row>
    <row r="1281" spans="1:12" x14ac:dyDescent="0.25">
      <c r="A1281" s="84" t="str">
        <f t="shared" si="58"/>
        <v>OutubroSEMANA 4Couve Flor</v>
      </c>
      <c r="B1281" s="85" t="s">
        <v>37</v>
      </c>
      <c r="C1281" s="85" t="s">
        <v>23</v>
      </c>
      <c r="D1281" s="86">
        <v>24</v>
      </c>
      <c r="E1281" s="116" t="str">
        <f t="shared" si="59"/>
        <v>Hortifruti</v>
      </c>
      <c r="F1281" s="85" t="s">
        <v>1055</v>
      </c>
      <c r="G1281" s="85" t="s">
        <v>306</v>
      </c>
      <c r="H1281" s="85" t="s">
        <v>1039</v>
      </c>
      <c r="I1281" s="85">
        <v>4</v>
      </c>
      <c r="J1281" s="87">
        <v>4.25</v>
      </c>
      <c r="K1281" s="88">
        <f t="shared" si="60"/>
        <v>17</v>
      </c>
      <c r="L1281" s="85">
        <v>5558</v>
      </c>
    </row>
    <row r="1282" spans="1:12" x14ac:dyDescent="0.25">
      <c r="A1282" s="84" t="str">
        <f t="shared" ref="A1282:A1345" si="61">CONCATENATE(B1282,C1282,G1282)</f>
        <v>OutubroSEMANA 4Goiaba</v>
      </c>
      <c r="B1282" s="85" t="s">
        <v>37</v>
      </c>
      <c r="C1282" s="85" t="s">
        <v>23</v>
      </c>
      <c r="D1282" s="86">
        <v>24</v>
      </c>
      <c r="E1282" s="116" t="str">
        <f t="shared" ref="E1282:E1345" si="62">VLOOKUP(G1282,$M$1:$O$968,3,0)</f>
        <v>Hortifruti</v>
      </c>
      <c r="F1282" s="85" t="s">
        <v>1055</v>
      </c>
      <c r="G1282" s="85" t="s">
        <v>391</v>
      </c>
      <c r="H1282" s="85" t="s">
        <v>1039</v>
      </c>
      <c r="I1282" s="85">
        <v>2.5</v>
      </c>
      <c r="J1282" s="87">
        <f>10/2.5</f>
        <v>4</v>
      </c>
      <c r="K1282" s="88">
        <f t="shared" ref="K1282:K1345" si="63">I1282*J1282</f>
        <v>10</v>
      </c>
      <c r="L1282" s="85">
        <v>5558</v>
      </c>
    </row>
    <row r="1283" spans="1:12" x14ac:dyDescent="0.25">
      <c r="A1283" s="84" t="str">
        <f t="shared" si="61"/>
        <v>OutubroSEMANA 4Laranja Pera</v>
      </c>
      <c r="B1283" s="85" t="s">
        <v>37</v>
      </c>
      <c r="C1283" s="85" t="s">
        <v>23</v>
      </c>
      <c r="D1283" s="86">
        <v>24</v>
      </c>
      <c r="E1283" s="116" t="str">
        <f t="shared" si="62"/>
        <v>Hortifruti</v>
      </c>
      <c r="F1283" s="85" t="s">
        <v>1055</v>
      </c>
      <c r="G1283" s="85" t="s">
        <v>457</v>
      </c>
      <c r="H1283" s="85" t="s">
        <v>1039</v>
      </c>
      <c r="I1283" s="85">
        <v>21.24</v>
      </c>
      <c r="J1283" s="87">
        <f>28/21.24</f>
        <v>1.3182674199623352</v>
      </c>
      <c r="K1283" s="88">
        <f t="shared" si="63"/>
        <v>27.999999999999996</v>
      </c>
      <c r="L1283" s="85">
        <v>5558</v>
      </c>
    </row>
    <row r="1284" spans="1:12" x14ac:dyDescent="0.25">
      <c r="A1284" s="84" t="str">
        <f t="shared" si="61"/>
        <v>OutubroSEMANA 4Melância</v>
      </c>
      <c r="B1284" s="85" t="s">
        <v>37</v>
      </c>
      <c r="C1284" s="85" t="s">
        <v>23</v>
      </c>
      <c r="D1284" s="86">
        <v>24</v>
      </c>
      <c r="E1284" s="116" t="str">
        <f t="shared" si="62"/>
        <v>Hortifruti</v>
      </c>
      <c r="F1284" s="85" t="s">
        <v>1055</v>
      </c>
      <c r="G1284" s="85" t="s">
        <v>517</v>
      </c>
      <c r="H1284" s="85" t="s">
        <v>1039</v>
      </c>
      <c r="I1284" s="85">
        <v>10</v>
      </c>
      <c r="J1284" s="87">
        <v>1.32</v>
      </c>
      <c r="K1284" s="88">
        <f t="shared" si="63"/>
        <v>13.200000000000001</v>
      </c>
      <c r="L1284" s="85">
        <v>5558</v>
      </c>
    </row>
    <row r="1285" spans="1:12" x14ac:dyDescent="0.25">
      <c r="A1285" s="84" t="str">
        <f t="shared" si="61"/>
        <v>OutubroSEMANA 4Repolho</v>
      </c>
      <c r="B1285" s="85" t="s">
        <v>37</v>
      </c>
      <c r="C1285" s="85" t="s">
        <v>23</v>
      </c>
      <c r="D1285" s="86">
        <v>24</v>
      </c>
      <c r="E1285" s="116" t="str">
        <f t="shared" si="62"/>
        <v>Hortifruti</v>
      </c>
      <c r="F1285" s="85" t="s">
        <v>1055</v>
      </c>
      <c r="G1285" s="85" t="s">
        <v>701</v>
      </c>
      <c r="H1285" s="85" t="s">
        <v>1039</v>
      </c>
      <c r="I1285" s="85">
        <v>2.5</v>
      </c>
      <c r="J1285" s="87">
        <v>1.2</v>
      </c>
      <c r="K1285" s="88">
        <f t="shared" si="63"/>
        <v>3</v>
      </c>
      <c r="L1285" s="85">
        <v>5558</v>
      </c>
    </row>
    <row r="1286" spans="1:12" x14ac:dyDescent="0.25">
      <c r="A1286" s="84" t="str">
        <f t="shared" si="61"/>
        <v>OutubroSEMANA 4Tomate Salada</v>
      </c>
      <c r="B1286" s="85" t="s">
        <v>37</v>
      </c>
      <c r="C1286" s="85" t="s">
        <v>23</v>
      </c>
      <c r="D1286" s="86">
        <v>24</v>
      </c>
      <c r="E1286" s="116" t="str">
        <f t="shared" si="62"/>
        <v>Hortifruti</v>
      </c>
      <c r="F1286" s="85" t="s">
        <v>1055</v>
      </c>
      <c r="G1286" s="85" t="s">
        <v>795</v>
      </c>
      <c r="H1286" s="85" t="s">
        <v>1039</v>
      </c>
      <c r="I1286" s="85">
        <v>20.38</v>
      </c>
      <c r="J1286" s="87">
        <f>36.5/20.38</f>
        <v>1.7909715407262023</v>
      </c>
      <c r="K1286" s="88">
        <f t="shared" si="63"/>
        <v>36.5</v>
      </c>
      <c r="L1286" s="85">
        <v>5558</v>
      </c>
    </row>
    <row r="1287" spans="1:12" x14ac:dyDescent="0.25">
      <c r="A1287" s="84" t="str">
        <f t="shared" si="61"/>
        <v>OutubroSEMANA 4Vagem Macarrão</v>
      </c>
      <c r="B1287" s="85" t="s">
        <v>37</v>
      </c>
      <c r="C1287" s="85" t="s">
        <v>23</v>
      </c>
      <c r="D1287" s="86">
        <v>24</v>
      </c>
      <c r="E1287" s="116" t="str">
        <f t="shared" si="62"/>
        <v>Hortifruti</v>
      </c>
      <c r="F1287" s="85" t="s">
        <v>1055</v>
      </c>
      <c r="G1287" s="85" t="s">
        <v>832</v>
      </c>
      <c r="H1287" s="85" t="s">
        <v>1039</v>
      </c>
      <c r="I1287" s="85">
        <v>2</v>
      </c>
      <c r="J1287" s="87">
        <v>4.4000000000000004</v>
      </c>
      <c r="K1287" s="88">
        <f t="shared" si="63"/>
        <v>8.8000000000000007</v>
      </c>
      <c r="L1287" s="85">
        <v>5558</v>
      </c>
    </row>
    <row r="1288" spans="1:12" x14ac:dyDescent="0.25">
      <c r="A1288" s="84" t="str">
        <f t="shared" si="61"/>
        <v>OutubroSEMANA 4Farinha Panco</v>
      </c>
      <c r="B1288" s="85" t="s">
        <v>37</v>
      </c>
      <c r="C1288" s="85" t="s">
        <v>23</v>
      </c>
      <c r="D1288" s="86">
        <v>24</v>
      </c>
      <c r="E1288" s="116" t="str">
        <f t="shared" si="62"/>
        <v>Mercado</v>
      </c>
      <c r="F1288" s="85" t="s">
        <v>1074</v>
      </c>
      <c r="G1288" s="85" t="s">
        <v>345</v>
      </c>
      <c r="H1288" s="85" t="s">
        <v>1039</v>
      </c>
      <c r="I1288" s="85">
        <v>5</v>
      </c>
      <c r="J1288" s="87">
        <v>17.7</v>
      </c>
      <c r="K1288" s="88">
        <f t="shared" si="63"/>
        <v>88.5</v>
      </c>
      <c r="L1288" s="85" t="s">
        <v>1261</v>
      </c>
    </row>
    <row r="1289" spans="1:12" x14ac:dyDescent="0.25">
      <c r="A1289" s="84" t="str">
        <f t="shared" si="61"/>
        <v>OutubroSEMANA 4Gergelim Branco</v>
      </c>
      <c r="B1289" s="85" t="s">
        <v>37</v>
      </c>
      <c r="C1289" s="85" t="s">
        <v>23</v>
      </c>
      <c r="D1289" s="86">
        <v>24</v>
      </c>
      <c r="E1289" s="116" t="str">
        <f t="shared" si="62"/>
        <v>Mercado</v>
      </c>
      <c r="F1289" s="85" t="s">
        <v>1074</v>
      </c>
      <c r="G1289" s="85" t="s">
        <v>387</v>
      </c>
      <c r="H1289" s="85" t="s">
        <v>1039</v>
      </c>
      <c r="I1289" s="85">
        <v>2</v>
      </c>
      <c r="J1289" s="87">
        <v>16.850000000000001</v>
      </c>
      <c r="K1289" s="88">
        <f t="shared" si="63"/>
        <v>33.700000000000003</v>
      </c>
      <c r="L1289" s="85" t="s">
        <v>1261</v>
      </c>
    </row>
    <row r="1290" spans="1:12" x14ac:dyDescent="0.25">
      <c r="A1290" s="84" t="str">
        <f t="shared" si="61"/>
        <v>OutubroSEMANA 4Gergelim Preto</v>
      </c>
      <c r="B1290" s="85" t="s">
        <v>37</v>
      </c>
      <c r="C1290" s="85" t="s">
        <v>23</v>
      </c>
      <c r="D1290" s="86">
        <v>24</v>
      </c>
      <c r="E1290" s="116" t="str">
        <f t="shared" si="62"/>
        <v>Mercado</v>
      </c>
      <c r="F1290" s="85" t="s">
        <v>1074</v>
      </c>
      <c r="G1290" s="85" t="s">
        <v>389</v>
      </c>
      <c r="H1290" s="85" t="s">
        <v>1039</v>
      </c>
      <c r="I1290" s="85">
        <v>1</v>
      </c>
      <c r="J1290" s="87">
        <v>30.59</v>
      </c>
      <c r="K1290" s="88">
        <f t="shared" si="63"/>
        <v>30.59</v>
      </c>
      <c r="L1290" s="85" t="s">
        <v>1261</v>
      </c>
    </row>
    <row r="1291" spans="1:12" x14ac:dyDescent="0.25">
      <c r="A1291" s="84" t="str">
        <f t="shared" si="61"/>
        <v>OutubroSEMANA 4Macarrão de Feijão (Harusame) 200g</v>
      </c>
      <c r="B1291" s="85" t="s">
        <v>37</v>
      </c>
      <c r="C1291" s="85" t="s">
        <v>23</v>
      </c>
      <c r="D1291" s="86">
        <v>24</v>
      </c>
      <c r="E1291" s="116" t="str">
        <f t="shared" si="62"/>
        <v>Mercado</v>
      </c>
      <c r="F1291" s="85" t="s">
        <v>1074</v>
      </c>
      <c r="G1291" s="85" t="s">
        <v>481</v>
      </c>
      <c r="H1291" s="85" t="s">
        <v>1037</v>
      </c>
      <c r="I1291" s="85">
        <v>3</v>
      </c>
      <c r="J1291" s="87">
        <v>8.48</v>
      </c>
      <c r="K1291" s="88">
        <f t="shared" si="63"/>
        <v>25.44</v>
      </c>
      <c r="L1291" s="85" t="s">
        <v>1261</v>
      </c>
    </row>
    <row r="1292" spans="1:12" x14ac:dyDescent="0.25">
      <c r="A1292" s="84" t="str">
        <f t="shared" si="61"/>
        <v>OutubroSEMANA 4Massa de Harumaki</v>
      </c>
      <c r="B1292" s="85" t="s">
        <v>37</v>
      </c>
      <c r="C1292" s="85" t="s">
        <v>23</v>
      </c>
      <c r="D1292" s="86">
        <v>24</v>
      </c>
      <c r="E1292" s="116" t="str">
        <f t="shared" si="62"/>
        <v>Mercado</v>
      </c>
      <c r="F1292" s="85" t="s">
        <v>1074</v>
      </c>
      <c r="G1292" s="85" t="s">
        <v>507</v>
      </c>
      <c r="H1292" s="85" t="s">
        <v>1075</v>
      </c>
      <c r="I1292" s="85">
        <f>12*12</f>
        <v>144</v>
      </c>
      <c r="J1292" s="87">
        <f>82.92/144</f>
        <v>0.57583333333333331</v>
      </c>
      <c r="K1292" s="88">
        <f t="shared" si="63"/>
        <v>82.92</v>
      </c>
      <c r="L1292" s="85" t="s">
        <v>1261</v>
      </c>
    </row>
    <row r="1293" spans="1:12" x14ac:dyDescent="0.25">
      <c r="A1293" s="84" t="str">
        <f t="shared" si="61"/>
        <v>OutubroSEMANA 4Molho Ostra</v>
      </c>
      <c r="B1293" s="85" t="s">
        <v>37</v>
      </c>
      <c r="C1293" s="85" t="s">
        <v>23</v>
      </c>
      <c r="D1293" s="86">
        <v>24</v>
      </c>
      <c r="E1293" s="116" t="str">
        <f t="shared" si="62"/>
        <v>Mercado</v>
      </c>
      <c r="F1293" s="85" t="s">
        <v>1074</v>
      </c>
      <c r="G1293" s="85" t="s">
        <v>530</v>
      </c>
      <c r="H1293" s="85" t="s">
        <v>1038</v>
      </c>
      <c r="I1293" s="85">
        <v>1</v>
      </c>
      <c r="J1293" s="87">
        <v>13.5</v>
      </c>
      <c r="K1293" s="88">
        <f t="shared" si="63"/>
        <v>13.5</v>
      </c>
      <c r="L1293" s="85" t="s">
        <v>1261</v>
      </c>
    </row>
    <row r="1294" spans="1:12" x14ac:dyDescent="0.25">
      <c r="A1294" s="84" t="str">
        <f t="shared" si="61"/>
        <v>OutubroSEMANA 4Torta de Maça Integral</v>
      </c>
      <c r="B1294" s="85" t="s">
        <v>37</v>
      </c>
      <c r="C1294" s="85" t="s">
        <v>23</v>
      </c>
      <c r="D1294" s="86">
        <v>24</v>
      </c>
      <c r="E1294" s="116" t="str">
        <f t="shared" si="62"/>
        <v>Sobremesa</v>
      </c>
      <c r="F1294" s="85" t="s">
        <v>1125</v>
      </c>
      <c r="G1294" s="85" t="s">
        <v>815</v>
      </c>
      <c r="H1294" s="85" t="s">
        <v>1071</v>
      </c>
      <c r="I1294" s="85">
        <f>2*10</f>
        <v>20</v>
      </c>
      <c r="J1294" s="87">
        <f>98/20</f>
        <v>4.9000000000000004</v>
      </c>
      <c r="K1294" s="88">
        <f t="shared" si="63"/>
        <v>98</v>
      </c>
      <c r="L1294" s="85" t="s">
        <v>1262</v>
      </c>
    </row>
    <row r="1295" spans="1:12" x14ac:dyDescent="0.25">
      <c r="A1295" s="84" t="str">
        <f t="shared" si="61"/>
        <v>OutubroSEMANA 4Pão de Forma</v>
      </c>
      <c r="B1295" s="85" t="s">
        <v>37</v>
      </c>
      <c r="C1295" s="85" t="s">
        <v>23</v>
      </c>
      <c r="D1295" s="86">
        <v>24</v>
      </c>
      <c r="E1295" s="116" t="str">
        <f t="shared" si="62"/>
        <v>Mercado</v>
      </c>
      <c r="F1295" s="85" t="s">
        <v>1036</v>
      </c>
      <c r="G1295" s="85" t="s">
        <v>562</v>
      </c>
      <c r="H1295" s="85" t="s">
        <v>1037</v>
      </c>
      <c r="I1295" s="85">
        <v>3</v>
      </c>
      <c r="J1295" s="87">
        <f>11.63/3</f>
        <v>3.8766666666666669</v>
      </c>
      <c r="K1295" s="88">
        <f t="shared" si="63"/>
        <v>11.63</v>
      </c>
      <c r="L1295" s="85">
        <v>57404</v>
      </c>
    </row>
    <row r="1296" spans="1:12" x14ac:dyDescent="0.25">
      <c r="A1296" s="84" t="str">
        <f t="shared" si="61"/>
        <v>OutubroSEMANA 4Suco de Maracujá</v>
      </c>
      <c r="B1296" s="85" t="s">
        <v>37</v>
      </c>
      <c r="C1296" s="85" t="s">
        <v>23</v>
      </c>
      <c r="D1296" s="86">
        <v>24</v>
      </c>
      <c r="E1296" s="116" t="str">
        <f t="shared" si="62"/>
        <v>Mercado</v>
      </c>
      <c r="F1296" s="85" t="s">
        <v>1036</v>
      </c>
      <c r="G1296" s="85" t="s">
        <v>753</v>
      </c>
      <c r="H1296" s="85" t="s">
        <v>1038</v>
      </c>
      <c r="I1296" s="85">
        <v>1</v>
      </c>
      <c r="J1296" s="87">
        <v>8.75</v>
      </c>
      <c r="K1296" s="88">
        <f t="shared" si="63"/>
        <v>8.75</v>
      </c>
      <c r="L1296" s="85">
        <v>57404</v>
      </c>
    </row>
    <row r="1297" spans="1:12" x14ac:dyDescent="0.25">
      <c r="A1297" s="84" t="str">
        <f t="shared" si="61"/>
        <v>OutubroSEMANA 4Pescados - Camarão Seco</v>
      </c>
      <c r="B1297" s="85" t="s">
        <v>37</v>
      </c>
      <c r="C1297" s="85" t="s">
        <v>23</v>
      </c>
      <c r="D1297" s="86">
        <v>24</v>
      </c>
      <c r="E1297" s="116" t="str">
        <f t="shared" si="62"/>
        <v>Carnes</v>
      </c>
      <c r="F1297" s="85" t="s">
        <v>1263</v>
      </c>
      <c r="G1297" s="85" t="s">
        <v>595</v>
      </c>
      <c r="H1297" s="85" t="s">
        <v>1039</v>
      </c>
      <c r="I1297" s="85">
        <f>4*0.25</f>
        <v>1</v>
      </c>
      <c r="J1297" s="87">
        <v>110</v>
      </c>
      <c r="K1297" s="88">
        <f t="shared" si="63"/>
        <v>110</v>
      </c>
      <c r="L1297" s="85">
        <v>3893</v>
      </c>
    </row>
    <row r="1298" spans="1:12" x14ac:dyDescent="0.25">
      <c r="A1298" s="84" t="str">
        <f t="shared" si="61"/>
        <v>OutubroSEMANA 4Ovo de Codorna</v>
      </c>
      <c r="B1298" s="85" t="s">
        <v>37</v>
      </c>
      <c r="C1298" s="85" t="s">
        <v>23</v>
      </c>
      <c r="D1298" s="86">
        <v>24</v>
      </c>
      <c r="E1298" s="116" t="str">
        <f t="shared" si="62"/>
        <v>Hortifruti</v>
      </c>
      <c r="F1298" s="85" t="s">
        <v>1068</v>
      </c>
      <c r="G1298" s="85" t="s">
        <v>549</v>
      </c>
      <c r="H1298" s="85" t="s">
        <v>1037</v>
      </c>
      <c r="I1298" s="85">
        <v>16</v>
      </c>
      <c r="J1298" s="87">
        <v>10.4</v>
      </c>
      <c r="K1298" s="88">
        <f t="shared" si="63"/>
        <v>166.4</v>
      </c>
      <c r="L1298" s="85"/>
    </row>
    <row r="1299" spans="1:12" x14ac:dyDescent="0.25">
      <c r="A1299" s="84" t="str">
        <f t="shared" si="61"/>
        <v>OutubroSEMANA 4Farinha de Rosca</v>
      </c>
      <c r="B1299" s="85" t="s">
        <v>37</v>
      </c>
      <c r="C1299" s="85" t="s">
        <v>23</v>
      </c>
      <c r="D1299" s="86">
        <v>24</v>
      </c>
      <c r="E1299" s="116" t="str">
        <f t="shared" si="62"/>
        <v>Mercado</v>
      </c>
      <c r="F1299" s="85" t="s">
        <v>1068</v>
      </c>
      <c r="G1299" s="85" t="s">
        <v>342</v>
      </c>
      <c r="H1299" s="85" t="s">
        <v>1039</v>
      </c>
      <c r="I1299" s="85">
        <v>10</v>
      </c>
      <c r="J1299" s="87">
        <v>9</v>
      </c>
      <c r="K1299" s="88">
        <f t="shared" si="63"/>
        <v>90</v>
      </c>
      <c r="L1299" s="85"/>
    </row>
    <row r="1300" spans="1:12" x14ac:dyDescent="0.25">
      <c r="A1300" s="84" t="str">
        <f t="shared" si="61"/>
        <v>OutubroSEMANA 4Feijão Preto</v>
      </c>
      <c r="B1300" s="85" t="s">
        <v>37</v>
      </c>
      <c r="C1300" s="85" t="s">
        <v>23</v>
      </c>
      <c r="D1300" s="86">
        <v>25</v>
      </c>
      <c r="E1300" s="116" t="str">
        <f t="shared" si="62"/>
        <v>Mercado</v>
      </c>
      <c r="F1300" s="85" t="s">
        <v>1084</v>
      </c>
      <c r="G1300" s="85" t="s">
        <v>352</v>
      </c>
      <c r="H1300" s="85" t="s">
        <v>1039</v>
      </c>
      <c r="I1300" s="85">
        <v>20</v>
      </c>
      <c r="J1300" s="87">
        <f>88.92/20</f>
        <v>4.4459999999999997</v>
      </c>
      <c r="K1300" s="88">
        <f t="shared" si="63"/>
        <v>88.919999999999987</v>
      </c>
      <c r="L1300" s="85">
        <v>1203412</v>
      </c>
    </row>
    <row r="1301" spans="1:12" x14ac:dyDescent="0.25">
      <c r="A1301" s="84" t="str">
        <f t="shared" si="61"/>
        <v>OutubroSEMANA 4Trigo para Kibe</v>
      </c>
      <c r="B1301" s="85" t="s">
        <v>37</v>
      </c>
      <c r="C1301" s="85" t="s">
        <v>23</v>
      </c>
      <c r="D1301" s="86">
        <v>25</v>
      </c>
      <c r="E1301" s="116" t="str">
        <f t="shared" si="62"/>
        <v>Mercado</v>
      </c>
      <c r="F1301" s="85" t="s">
        <v>1084</v>
      </c>
      <c r="G1301" s="85" t="s">
        <v>826</v>
      </c>
      <c r="H1301" s="85" t="s">
        <v>1039</v>
      </c>
      <c r="I1301" s="85">
        <v>5</v>
      </c>
      <c r="J1301" s="87">
        <f>18.8/5</f>
        <v>3.7600000000000002</v>
      </c>
      <c r="K1301" s="88">
        <f t="shared" si="63"/>
        <v>18.8</v>
      </c>
      <c r="L1301" s="85">
        <v>1203412</v>
      </c>
    </row>
    <row r="1302" spans="1:12" x14ac:dyDescent="0.25">
      <c r="A1302" s="84" t="str">
        <f t="shared" si="61"/>
        <v>OutubroSEMANA 4Margarina Bd 15 Kg</v>
      </c>
      <c r="B1302" s="85" t="s">
        <v>37</v>
      </c>
      <c r="C1302" s="85" t="s">
        <v>23</v>
      </c>
      <c r="D1302" s="86">
        <v>25</v>
      </c>
      <c r="E1302" s="116" t="str">
        <f t="shared" si="62"/>
        <v>Mercado</v>
      </c>
      <c r="F1302" s="85" t="s">
        <v>1084</v>
      </c>
      <c r="G1302" s="85" t="s">
        <v>505</v>
      </c>
      <c r="H1302" s="85" t="s">
        <v>1046</v>
      </c>
      <c r="I1302" s="85">
        <v>1</v>
      </c>
      <c r="J1302" s="87">
        <v>74</v>
      </c>
      <c r="K1302" s="88">
        <f t="shared" si="63"/>
        <v>74</v>
      </c>
      <c r="L1302" s="85">
        <v>1203412</v>
      </c>
    </row>
    <row r="1303" spans="1:12" x14ac:dyDescent="0.25">
      <c r="A1303" s="84" t="str">
        <f t="shared" si="61"/>
        <v>OutubroSEMANA 4Óleo Composto 500ml</v>
      </c>
      <c r="B1303" s="85" t="s">
        <v>37</v>
      </c>
      <c r="C1303" s="85" t="s">
        <v>23</v>
      </c>
      <c r="D1303" s="86">
        <v>25</v>
      </c>
      <c r="E1303" s="116" t="str">
        <f t="shared" si="62"/>
        <v>Mercado</v>
      </c>
      <c r="F1303" s="85" t="s">
        <v>1084</v>
      </c>
      <c r="G1303" s="85" t="s">
        <v>542</v>
      </c>
      <c r="H1303" s="85" t="s">
        <v>1038</v>
      </c>
      <c r="I1303" s="85">
        <v>12</v>
      </c>
      <c r="J1303" s="87">
        <f>38.78/12</f>
        <v>3.2316666666666669</v>
      </c>
      <c r="K1303" s="88">
        <f t="shared" si="63"/>
        <v>38.78</v>
      </c>
      <c r="L1303" s="85">
        <v>1203412</v>
      </c>
    </row>
    <row r="1304" spans="1:12" x14ac:dyDescent="0.25">
      <c r="A1304" s="84" t="str">
        <f t="shared" si="61"/>
        <v>OutubroSEMANA 4Sal Refinado</v>
      </c>
      <c r="B1304" s="85" t="s">
        <v>37</v>
      </c>
      <c r="C1304" s="85" t="s">
        <v>23</v>
      </c>
      <c r="D1304" s="86">
        <v>25</v>
      </c>
      <c r="E1304" s="116" t="str">
        <f t="shared" si="62"/>
        <v>Mercado</v>
      </c>
      <c r="F1304" s="85" t="s">
        <v>1084</v>
      </c>
      <c r="G1304" s="85" t="s">
        <v>725</v>
      </c>
      <c r="H1304" s="85" t="s">
        <v>1039</v>
      </c>
      <c r="I1304" s="85">
        <v>10</v>
      </c>
      <c r="J1304" s="87">
        <f>12.21/10</f>
        <v>1.2210000000000001</v>
      </c>
      <c r="K1304" s="88">
        <f t="shared" si="63"/>
        <v>12.21</v>
      </c>
      <c r="L1304" s="85">
        <v>1203412</v>
      </c>
    </row>
    <row r="1305" spans="1:12" x14ac:dyDescent="0.25">
      <c r="A1305" s="84" t="str">
        <f t="shared" si="61"/>
        <v>OutubroSEMANA 4Farinha de Mandioca</v>
      </c>
      <c r="B1305" s="85" t="s">
        <v>37</v>
      </c>
      <c r="C1305" s="85" t="s">
        <v>23</v>
      </c>
      <c r="D1305" s="86">
        <v>25</v>
      </c>
      <c r="E1305" s="116" t="str">
        <f t="shared" si="62"/>
        <v>Mercado</v>
      </c>
      <c r="F1305" s="85" t="s">
        <v>1080</v>
      </c>
      <c r="G1305" s="85" t="s">
        <v>341</v>
      </c>
      <c r="H1305" s="85" t="s">
        <v>1039</v>
      </c>
      <c r="I1305" s="85">
        <v>20</v>
      </c>
      <c r="J1305" s="87">
        <v>4.8899999999999997</v>
      </c>
      <c r="K1305" s="88">
        <f t="shared" si="63"/>
        <v>97.8</v>
      </c>
      <c r="L1305" s="85" t="s">
        <v>1265</v>
      </c>
    </row>
    <row r="1306" spans="1:12" x14ac:dyDescent="0.25">
      <c r="A1306" s="84" t="str">
        <f t="shared" si="61"/>
        <v>OutubroSEMANA 4Leite de Côco</v>
      </c>
      <c r="B1306" s="85" t="s">
        <v>37</v>
      </c>
      <c r="C1306" s="85" t="s">
        <v>23</v>
      </c>
      <c r="D1306" s="86">
        <v>25</v>
      </c>
      <c r="E1306" s="116" t="str">
        <f t="shared" si="62"/>
        <v>Mercado</v>
      </c>
      <c r="F1306" s="85" t="s">
        <v>1080</v>
      </c>
      <c r="G1306" s="85" t="s">
        <v>460</v>
      </c>
      <c r="H1306" s="85" t="s">
        <v>1081</v>
      </c>
      <c r="I1306" s="85">
        <v>12</v>
      </c>
      <c r="J1306" s="87">
        <f>179.8/12</f>
        <v>14.983333333333334</v>
      </c>
      <c r="K1306" s="88">
        <f t="shared" si="63"/>
        <v>179.8</v>
      </c>
      <c r="L1306" s="85" t="s">
        <v>1265</v>
      </c>
    </row>
    <row r="1307" spans="1:12" x14ac:dyDescent="0.25">
      <c r="A1307" s="84" t="str">
        <f t="shared" si="61"/>
        <v>OutubroSEMANA 4Leite Integral</v>
      </c>
      <c r="B1307" s="85" t="s">
        <v>37</v>
      </c>
      <c r="C1307" s="85" t="s">
        <v>23</v>
      </c>
      <c r="D1307" s="86">
        <v>25</v>
      </c>
      <c r="E1307" s="116" t="str">
        <f t="shared" si="62"/>
        <v>Mercado</v>
      </c>
      <c r="F1307" s="85" t="s">
        <v>1080</v>
      </c>
      <c r="G1307" s="85" t="s">
        <v>461</v>
      </c>
      <c r="H1307" s="85">
        <f>5*12</f>
        <v>60</v>
      </c>
      <c r="I1307" s="85">
        <f>5*12</f>
        <v>60</v>
      </c>
      <c r="J1307" s="87">
        <f>173.34/60</f>
        <v>2.8890000000000002</v>
      </c>
      <c r="K1307" s="88">
        <f t="shared" si="63"/>
        <v>173.34</v>
      </c>
      <c r="L1307" s="85" t="s">
        <v>1265</v>
      </c>
    </row>
    <row r="1308" spans="1:12" x14ac:dyDescent="0.25">
      <c r="A1308" s="84" t="str">
        <f t="shared" si="61"/>
        <v>OutubroSEMANA 4Maionese Hellmanns Bd 3 Kg</v>
      </c>
      <c r="B1308" s="85" t="s">
        <v>37</v>
      </c>
      <c r="C1308" s="85" t="s">
        <v>23</v>
      </c>
      <c r="D1308" s="86">
        <v>25</v>
      </c>
      <c r="E1308" s="116" t="str">
        <f t="shared" si="62"/>
        <v>Mercado</v>
      </c>
      <c r="F1308" s="85" t="s">
        <v>1080</v>
      </c>
      <c r="G1308" s="85" t="s">
        <v>492</v>
      </c>
      <c r="H1308" s="85" t="s">
        <v>1046</v>
      </c>
      <c r="I1308" s="85">
        <v>6</v>
      </c>
      <c r="J1308" s="87">
        <v>22.52</v>
      </c>
      <c r="K1308" s="88">
        <f t="shared" si="63"/>
        <v>135.12</v>
      </c>
      <c r="L1308" s="85" t="s">
        <v>1265</v>
      </c>
    </row>
    <row r="1309" spans="1:12" x14ac:dyDescent="0.25">
      <c r="A1309" s="84" t="str">
        <f t="shared" si="61"/>
        <v>OutubroSEMANA 4Óleo de Soja 18 Lt</v>
      </c>
      <c r="B1309" s="85" t="s">
        <v>37</v>
      </c>
      <c r="C1309" s="85" t="s">
        <v>23</v>
      </c>
      <c r="D1309" s="86">
        <v>25</v>
      </c>
      <c r="E1309" s="116" t="str">
        <f t="shared" si="62"/>
        <v>Mercado</v>
      </c>
      <c r="F1309" s="85" t="s">
        <v>1080</v>
      </c>
      <c r="G1309" s="85" t="s">
        <v>545</v>
      </c>
      <c r="H1309" s="85" t="s">
        <v>1082</v>
      </c>
      <c r="I1309" s="85">
        <v>3</v>
      </c>
      <c r="J1309" s="87">
        <v>62.5</v>
      </c>
      <c r="K1309" s="88">
        <f t="shared" si="63"/>
        <v>187.5</v>
      </c>
      <c r="L1309" s="85" t="s">
        <v>1265</v>
      </c>
    </row>
    <row r="1310" spans="1:12" x14ac:dyDescent="0.25">
      <c r="A1310" s="84" t="str">
        <f t="shared" si="61"/>
        <v>OutubroSEMANA 4Catchup 3,6 Kg</v>
      </c>
      <c r="B1310" s="85" t="s">
        <v>37</v>
      </c>
      <c r="C1310" s="85" t="s">
        <v>23</v>
      </c>
      <c r="D1310" s="86">
        <v>25</v>
      </c>
      <c r="E1310" s="116" t="str">
        <f t="shared" si="62"/>
        <v>Mercado</v>
      </c>
      <c r="F1310" s="85" t="s">
        <v>1080</v>
      </c>
      <c r="G1310" s="85" t="s">
        <v>240</v>
      </c>
      <c r="H1310" s="85" t="s">
        <v>1087</v>
      </c>
      <c r="I1310" s="85">
        <v>1</v>
      </c>
      <c r="J1310" s="87">
        <v>14.5</v>
      </c>
      <c r="K1310" s="88">
        <f t="shared" si="63"/>
        <v>14.5</v>
      </c>
      <c r="L1310" s="85" t="s">
        <v>1265</v>
      </c>
    </row>
    <row r="1311" spans="1:12" x14ac:dyDescent="0.25">
      <c r="A1311" s="84" t="str">
        <f t="shared" si="61"/>
        <v>OutubroSEMANA 4Feijão Fradinho</v>
      </c>
      <c r="B1311" s="85" t="s">
        <v>37</v>
      </c>
      <c r="C1311" s="85" t="s">
        <v>23</v>
      </c>
      <c r="D1311" s="86">
        <v>25</v>
      </c>
      <c r="E1311" s="116" t="str">
        <f t="shared" si="62"/>
        <v>Mercado</v>
      </c>
      <c r="F1311" s="85" t="s">
        <v>1080</v>
      </c>
      <c r="G1311" s="85" t="s">
        <v>350</v>
      </c>
      <c r="H1311" s="85" t="s">
        <v>1039</v>
      </c>
      <c r="I1311" s="85">
        <f>10*0.5</f>
        <v>5</v>
      </c>
      <c r="J1311" s="87">
        <f>19.2/5</f>
        <v>3.84</v>
      </c>
      <c r="K1311" s="88">
        <f t="shared" si="63"/>
        <v>19.2</v>
      </c>
      <c r="L1311" s="85" t="s">
        <v>1265</v>
      </c>
    </row>
    <row r="1312" spans="1:12" x14ac:dyDescent="0.25">
      <c r="A1312" s="84" t="str">
        <f t="shared" si="61"/>
        <v>OutubroSEMANA 4Maisena Amido de Milho 1 Kg</v>
      </c>
      <c r="B1312" s="85" t="s">
        <v>37</v>
      </c>
      <c r="C1312" s="85" t="s">
        <v>23</v>
      </c>
      <c r="D1312" s="86">
        <v>25</v>
      </c>
      <c r="E1312" s="116" t="str">
        <f t="shared" si="62"/>
        <v>Mercado</v>
      </c>
      <c r="F1312" s="85" t="s">
        <v>1080</v>
      </c>
      <c r="G1312" s="85" t="s">
        <v>493</v>
      </c>
      <c r="H1312" s="85" t="s">
        <v>1039</v>
      </c>
      <c r="I1312" s="85">
        <v>4</v>
      </c>
      <c r="J1312" s="87">
        <v>10.8</v>
      </c>
      <c r="K1312" s="88">
        <f t="shared" si="63"/>
        <v>43.2</v>
      </c>
      <c r="L1312" s="85" t="s">
        <v>1265</v>
      </c>
    </row>
    <row r="1313" spans="1:12" x14ac:dyDescent="0.25">
      <c r="A1313" s="84" t="str">
        <f t="shared" si="61"/>
        <v>OutubroSEMANA 4Nescau (Nestle)</v>
      </c>
      <c r="B1313" s="85" t="s">
        <v>37</v>
      </c>
      <c r="C1313" s="85" t="s">
        <v>23</v>
      </c>
      <c r="D1313" s="86">
        <v>25</v>
      </c>
      <c r="E1313" s="116" t="str">
        <f t="shared" si="62"/>
        <v>Mercado</v>
      </c>
      <c r="F1313" s="85" t="s">
        <v>1085</v>
      </c>
      <c r="G1313" s="85" t="s">
        <v>538</v>
      </c>
      <c r="H1313" s="85" t="s">
        <v>1039</v>
      </c>
      <c r="I1313" s="85">
        <v>1</v>
      </c>
      <c r="J1313" s="87">
        <f>16.07+0.58</f>
        <v>16.649999999999999</v>
      </c>
      <c r="K1313" s="88">
        <f t="shared" si="63"/>
        <v>16.649999999999999</v>
      </c>
      <c r="L1313" s="85" t="s">
        <v>1266</v>
      </c>
    </row>
    <row r="1314" spans="1:12" x14ac:dyDescent="0.25">
      <c r="A1314" s="84" t="str">
        <f t="shared" si="61"/>
        <v>OutubroSEMANA 4Azeite Extra Virgem (Santiago) 500 ml</v>
      </c>
      <c r="B1314" s="85" t="s">
        <v>37</v>
      </c>
      <c r="C1314" s="85" t="s">
        <v>23</v>
      </c>
      <c r="D1314" s="86">
        <v>25</v>
      </c>
      <c r="E1314" s="116" t="str">
        <f t="shared" si="62"/>
        <v>Mercado</v>
      </c>
      <c r="F1314" s="85" t="s">
        <v>1085</v>
      </c>
      <c r="G1314" s="85" t="s">
        <v>153</v>
      </c>
      <c r="H1314" s="85" t="s">
        <v>1038</v>
      </c>
      <c r="I1314" s="85">
        <v>12</v>
      </c>
      <c r="J1314" s="87">
        <f>196.19/12</f>
        <v>16.349166666666665</v>
      </c>
      <c r="K1314" s="88">
        <f t="shared" si="63"/>
        <v>196.19</v>
      </c>
      <c r="L1314" s="85" t="s">
        <v>1266</v>
      </c>
    </row>
    <row r="1315" spans="1:12" x14ac:dyDescent="0.25">
      <c r="A1315" s="84" t="str">
        <f t="shared" si="61"/>
        <v>OutubroSEMANA 4Shoyu Tradicional (Sushi) Bb 5 Lt</v>
      </c>
      <c r="B1315" s="85" t="s">
        <v>37</v>
      </c>
      <c r="C1315" s="85" t="s">
        <v>23</v>
      </c>
      <c r="D1315" s="86">
        <v>25</v>
      </c>
      <c r="E1315" s="116" t="str">
        <f t="shared" si="62"/>
        <v>Sushi</v>
      </c>
      <c r="F1315" s="85" t="s">
        <v>1085</v>
      </c>
      <c r="G1315" s="85" t="s">
        <v>886</v>
      </c>
      <c r="H1315" s="85" t="s">
        <v>1087</v>
      </c>
      <c r="I1315" s="85">
        <v>1</v>
      </c>
      <c r="J1315" s="87">
        <v>49.22</v>
      </c>
      <c r="K1315" s="88">
        <f t="shared" si="63"/>
        <v>49.22</v>
      </c>
      <c r="L1315" s="85" t="s">
        <v>1267</v>
      </c>
    </row>
    <row r="1316" spans="1:12" x14ac:dyDescent="0.25">
      <c r="A1316" s="84" t="str">
        <f t="shared" si="61"/>
        <v>OutubroSEMANA 4Leite Condensado 395 g</v>
      </c>
      <c r="B1316" s="85" t="s">
        <v>37</v>
      </c>
      <c r="C1316" s="85" t="s">
        <v>23</v>
      </c>
      <c r="D1316" s="86">
        <v>25</v>
      </c>
      <c r="E1316" s="116" t="str">
        <f t="shared" si="62"/>
        <v>Mercado</v>
      </c>
      <c r="F1316" s="85" t="s">
        <v>1085</v>
      </c>
      <c r="G1316" s="85" t="s">
        <v>459</v>
      </c>
      <c r="H1316" s="85" t="s">
        <v>1038</v>
      </c>
      <c r="I1316" s="85">
        <v>48</v>
      </c>
      <c r="J1316" s="87">
        <f>242.28/48</f>
        <v>5.0475000000000003</v>
      </c>
      <c r="K1316" s="88">
        <f t="shared" si="63"/>
        <v>242.28000000000003</v>
      </c>
      <c r="L1316" s="85" t="s">
        <v>1268</v>
      </c>
    </row>
    <row r="1317" spans="1:12" x14ac:dyDescent="0.25">
      <c r="A1317" s="84" t="str">
        <f t="shared" si="61"/>
        <v>OutubroSEMANA 4Vinagre de Arroz Sushi</v>
      </c>
      <c r="B1317" s="85" t="s">
        <v>37</v>
      </c>
      <c r="C1317" s="85" t="s">
        <v>23</v>
      </c>
      <c r="D1317" s="86">
        <v>25</v>
      </c>
      <c r="E1317" s="116" t="str">
        <f t="shared" si="62"/>
        <v>Sushi</v>
      </c>
      <c r="F1317" s="85" t="s">
        <v>1085</v>
      </c>
      <c r="G1317" s="85" t="s">
        <v>840</v>
      </c>
      <c r="H1317" s="85" t="s">
        <v>1081</v>
      </c>
      <c r="I1317" s="85">
        <f>(12*0.75)-5.25</f>
        <v>3.75</v>
      </c>
      <c r="J1317" s="87">
        <f>47.52/9</f>
        <v>5.28</v>
      </c>
      <c r="K1317" s="88">
        <f t="shared" si="63"/>
        <v>19.8</v>
      </c>
      <c r="L1317" s="85" t="s">
        <v>1268</v>
      </c>
    </row>
    <row r="1318" spans="1:12" x14ac:dyDescent="0.25">
      <c r="A1318" s="84" t="str">
        <f t="shared" si="61"/>
        <v>OutubroSEMANA 4Arroz Japonês (sushi)</v>
      </c>
      <c r="B1318" s="85" t="s">
        <v>37</v>
      </c>
      <c r="C1318" s="85" t="s">
        <v>23</v>
      </c>
      <c r="D1318" s="86">
        <v>25</v>
      </c>
      <c r="E1318" s="116" t="str">
        <f t="shared" si="62"/>
        <v>Sushi</v>
      </c>
      <c r="F1318" s="85" t="s">
        <v>1121</v>
      </c>
      <c r="G1318" s="85" t="s">
        <v>902</v>
      </c>
      <c r="H1318" s="85" t="s">
        <v>1039</v>
      </c>
      <c r="I1318" s="85">
        <f>6*5</f>
        <v>30</v>
      </c>
      <c r="J1318" s="87">
        <f>170/30</f>
        <v>5.666666666666667</v>
      </c>
      <c r="K1318" s="88">
        <f t="shared" si="63"/>
        <v>170</v>
      </c>
      <c r="L1318" s="85">
        <v>3698</v>
      </c>
    </row>
    <row r="1319" spans="1:12" x14ac:dyDescent="0.25">
      <c r="A1319" s="84" t="str">
        <f t="shared" si="61"/>
        <v>OutubroSEMANA 4Wasabi em Pó</v>
      </c>
      <c r="B1319" s="85" t="s">
        <v>37</v>
      </c>
      <c r="C1319" s="85" t="s">
        <v>23</v>
      </c>
      <c r="D1319" s="86">
        <v>25</v>
      </c>
      <c r="E1319" s="116" t="str">
        <f t="shared" si="62"/>
        <v>Sushi</v>
      </c>
      <c r="F1319" s="85" t="s">
        <v>1121</v>
      </c>
      <c r="G1319" s="85" t="s">
        <v>868</v>
      </c>
      <c r="H1319" s="85" t="s">
        <v>1039</v>
      </c>
      <c r="I1319" s="85">
        <v>1</v>
      </c>
      <c r="J1319" s="87">
        <v>35</v>
      </c>
      <c r="K1319" s="88">
        <f t="shared" si="63"/>
        <v>35</v>
      </c>
      <c r="L1319" s="85">
        <v>3698</v>
      </c>
    </row>
    <row r="1320" spans="1:12" x14ac:dyDescent="0.25">
      <c r="A1320" s="84" t="str">
        <f t="shared" si="61"/>
        <v>OutubroSEMANA 4Folha de Alga 50F</v>
      </c>
      <c r="B1320" s="85" t="s">
        <v>37</v>
      </c>
      <c r="C1320" s="85" t="s">
        <v>23</v>
      </c>
      <c r="D1320" s="86">
        <v>25</v>
      </c>
      <c r="E1320" s="116" t="str">
        <f t="shared" si="62"/>
        <v>Sushi</v>
      </c>
      <c r="F1320" s="85" t="s">
        <v>1121</v>
      </c>
      <c r="G1320" s="85" t="s">
        <v>968</v>
      </c>
      <c r="H1320" s="85" t="s">
        <v>1037</v>
      </c>
      <c r="I1320" s="85">
        <v>3</v>
      </c>
      <c r="J1320" s="87">
        <v>33</v>
      </c>
      <c r="K1320" s="88">
        <f t="shared" si="63"/>
        <v>99</v>
      </c>
      <c r="L1320" s="85">
        <v>3698</v>
      </c>
    </row>
    <row r="1321" spans="1:12" x14ac:dyDescent="0.25">
      <c r="A1321" s="84" t="str">
        <f t="shared" si="61"/>
        <v>OutubroSEMANA 4Açucar Refinado</v>
      </c>
      <c r="B1321" s="85" t="s">
        <v>37</v>
      </c>
      <c r="C1321" s="85" t="s">
        <v>23</v>
      </c>
      <c r="D1321" s="86">
        <v>25</v>
      </c>
      <c r="E1321" s="116" t="str">
        <f t="shared" si="62"/>
        <v>Mercado</v>
      </c>
      <c r="F1321" s="85" t="s">
        <v>1089</v>
      </c>
      <c r="G1321" s="85" t="s">
        <v>79</v>
      </c>
      <c r="H1321" s="85" t="s">
        <v>1039</v>
      </c>
      <c r="I1321" s="85">
        <f>30-10</f>
        <v>20</v>
      </c>
      <c r="J1321" s="87">
        <v>2.165</v>
      </c>
      <c r="K1321" s="88">
        <f t="shared" si="63"/>
        <v>43.3</v>
      </c>
      <c r="L1321" s="85" t="s">
        <v>1270</v>
      </c>
    </row>
    <row r="1322" spans="1:12" x14ac:dyDescent="0.25">
      <c r="A1322" s="84" t="str">
        <f t="shared" si="61"/>
        <v>OutubroSEMANA 4Arroz Branco</v>
      </c>
      <c r="B1322" s="85" t="s">
        <v>37</v>
      </c>
      <c r="C1322" s="85" t="s">
        <v>23</v>
      </c>
      <c r="D1322" s="86">
        <v>25</v>
      </c>
      <c r="E1322" s="116" t="str">
        <f t="shared" si="62"/>
        <v>Mercado</v>
      </c>
      <c r="F1322" s="85" t="s">
        <v>1089</v>
      </c>
      <c r="G1322" s="85" t="s">
        <v>126</v>
      </c>
      <c r="H1322" s="85" t="s">
        <v>1039</v>
      </c>
      <c r="I1322" s="85">
        <v>30</v>
      </c>
      <c r="J1322" s="87">
        <f>99.6/30</f>
        <v>3.32</v>
      </c>
      <c r="K1322" s="88">
        <f t="shared" si="63"/>
        <v>99.6</v>
      </c>
      <c r="L1322" s="85" t="s">
        <v>1270</v>
      </c>
    </row>
    <row r="1323" spans="1:12" x14ac:dyDescent="0.25">
      <c r="A1323" s="84" t="str">
        <f t="shared" si="61"/>
        <v>OutubroSEMANA 4Chocolate Granulado 1,01 Kg</v>
      </c>
      <c r="B1323" s="85" t="s">
        <v>37</v>
      </c>
      <c r="C1323" s="85" t="s">
        <v>23</v>
      </c>
      <c r="D1323" s="86">
        <v>25</v>
      </c>
      <c r="E1323" s="116" t="str">
        <f t="shared" si="62"/>
        <v>Mercado</v>
      </c>
      <c r="F1323" s="85" t="s">
        <v>1089</v>
      </c>
      <c r="G1323" s="85" t="s">
        <v>279</v>
      </c>
      <c r="H1323" s="85" t="s">
        <v>1039</v>
      </c>
      <c r="I1323" s="85">
        <v>1</v>
      </c>
      <c r="J1323" s="87">
        <f>9.2+0.24</f>
        <v>9.44</v>
      </c>
      <c r="K1323" s="88">
        <f t="shared" si="63"/>
        <v>9.44</v>
      </c>
      <c r="L1323" s="85" t="s">
        <v>1270</v>
      </c>
    </row>
    <row r="1324" spans="1:12" x14ac:dyDescent="0.25">
      <c r="A1324" s="84" t="str">
        <f t="shared" si="61"/>
        <v>OutubroSEMANA 4Farinha de Trigo</v>
      </c>
      <c r="B1324" s="85" t="s">
        <v>37</v>
      </c>
      <c r="C1324" s="85" t="s">
        <v>23</v>
      </c>
      <c r="D1324" s="86">
        <v>25</v>
      </c>
      <c r="E1324" s="116" t="str">
        <f t="shared" si="62"/>
        <v>Mercado</v>
      </c>
      <c r="F1324" s="85" t="s">
        <v>1089</v>
      </c>
      <c r="G1324" s="85" t="s">
        <v>343</v>
      </c>
      <c r="H1324" s="85" t="s">
        <v>1039</v>
      </c>
      <c r="I1324" s="85">
        <v>30</v>
      </c>
      <c r="J1324" s="87">
        <v>1.607</v>
      </c>
      <c r="K1324" s="88">
        <f t="shared" si="63"/>
        <v>48.21</v>
      </c>
      <c r="L1324" s="85" t="s">
        <v>1270</v>
      </c>
    </row>
    <row r="1325" spans="1:12" x14ac:dyDescent="0.25">
      <c r="A1325" s="84" t="str">
        <f t="shared" si="61"/>
        <v>OutubroSEMANA 4Feijão Mulatinho</v>
      </c>
      <c r="B1325" s="85" t="s">
        <v>37</v>
      </c>
      <c r="C1325" s="85" t="s">
        <v>23</v>
      </c>
      <c r="D1325" s="86">
        <v>25</v>
      </c>
      <c r="E1325" s="116" t="str">
        <f t="shared" si="62"/>
        <v>Mercado</v>
      </c>
      <c r="F1325" s="85" t="s">
        <v>1089</v>
      </c>
      <c r="G1325" s="85" t="s">
        <v>351</v>
      </c>
      <c r="H1325" s="85" t="s">
        <v>1039</v>
      </c>
      <c r="I1325" s="85">
        <f>10*0.5</f>
        <v>5</v>
      </c>
      <c r="J1325" s="87">
        <v>11</v>
      </c>
      <c r="K1325" s="88">
        <f t="shared" si="63"/>
        <v>55</v>
      </c>
      <c r="L1325" s="85" t="s">
        <v>1270</v>
      </c>
    </row>
    <row r="1326" spans="1:12" x14ac:dyDescent="0.25">
      <c r="A1326" s="84" t="str">
        <f t="shared" si="61"/>
        <v>OutubroSEMANA 4Karo Mel</v>
      </c>
      <c r="B1326" s="85" t="s">
        <v>37</v>
      </c>
      <c r="C1326" s="85" t="s">
        <v>23</v>
      </c>
      <c r="D1326" s="86">
        <v>25</v>
      </c>
      <c r="E1326" s="116" t="str">
        <f t="shared" si="62"/>
        <v>Mercado</v>
      </c>
      <c r="F1326" s="85" t="s">
        <v>1089</v>
      </c>
      <c r="G1326" s="85" t="s">
        <v>453</v>
      </c>
      <c r="H1326" s="85" t="s">
        <v>1038</v>
      </c>
      <c r="I1326" s="85">
        <v>12</v>
      </c>
      <c r="J1326" s="87">
        <v>6.35</v>
      </c>
      <c r="K1326" s="88">
        <f t="shared" si="63"/>
        <v>76.199999999999989</v>
      </c>
      <c r="L1326" s="85" t="s">
        <v>1270</v>
      </c>
    </row>
    <row r="1327" spans="1:12" x14ac:dyDescent="0.25">
      <c r="A1327" s="84" t="str">
        <f t="shared" si="61"/>
        <v>OutubroSEMANA 4Sukita Laranja Pet 2 Lt</v>
      </c>
      <c r="B1327" s="85" t="s">
        <v>37</v>
      </c>
      <c r="C1327" s="85" t="s">
        <v>23</v>
      </c>
      <c r="D1327" s="86">
        <v>25</v>
      </c>
      <c r="E1327" s="116" t="str">
        <f t="shared" si="62"/>
        <v>Bebidas</v>
      </c>
      <c r="F1327" s="85" t="s">
        <v>1130</v>
      </c>
      <c r="G1327" s="85" t="s">
        <v>940</v>
      </c>
      <c r="H1327" s="85" t="s">
        <v>1038</v>
      </c>
      <c r="I1327" s="85">
        <v>6</v>
      </c>
      <c r="J1327" s="87"/>
      <c r="K1327" s="88">
        <f t="shared" si="63"/>
        <v>0</v>
      </c>
      <c r="L1327" s="85" t="s">
        <v>1293</v>
      </c>
    </row>
    <row r="1328" spans="1:12" x14ac:dyDescent="0.25">
      <c r="A1328" s="84" t="str">
        <f t="shared" si="61"/>
        <v>OutubroSEMANA 4Coca Cola (lata)</v>
      </c>
      <c r="B1328" s="85" t="s">
        <v>37</v>
      </c>
      <c r="C1328" s="85" t="s">
        <v>23</v>
      </c>
      <c r="D1328" s="86">
        <v>25</v>
      </c>
      <c r="E1328" s="116" t="str">
        <f t="shared" si="62"/>
        <v>Bebidas</v>
      </c>
      <c r="F1328" s="85" t="s">
        <v>1130</v>
      </c>
      <c r="G1328" s="85" t="s">
        <v>285</v>
      </c>
      <c r="H1328" s="85" t="s">
        <v>1038</v>
      </c>
      <c r="I1328" s="85">
        <f>12*9</f>
        <v>108</v>
      </c>
      <c r="J1328" s="87">
        <f>313.56/108</f>
        <v>2.9033333333333333</v>
      </c>
      <c r="K1328" s="88">
        <f t="shared" si="63"/>
        <v>313.56</v>
      </c>
      <c r="L1328" s="85" t="s">
        <v>1271</v>
      </c>
    </row>
    <row r="1329" spans="1:12" x14ac:dyDescent="0.25">
      <c r="A1329" s="84" t="str">
        <f t="shared" si="61"/>
        <v>OutubroSEMANA 4Coca Cola Zero (lata)</v>
      </c>
      <c r="B1329" s="85" t="s">
        <v>37</v>
      </c>
      <c r="C1329" s="85" t="s">
        <v>23</v>
      </c>
      <c r="D1329" s="86">
        <v>25</v>
      </c>
      <c r="E1329" s="116" t="str">
        <f t="shared" si="62"/>
        <v>Bebidas</v>
      </c>
      <c r="F1329" s="85" t="s">
        <v>1130</v>
      </c>
      <c r="G1329" s="85" t="s">
        <v>286</v>
      </c>
      <c r="H1329" s="85" t="s">
        <v>1038</v>
      </c>
      <c r="I1329" s="85">
        <f>12*10</f>
        <v>120</v>
      </c>
      <c r="J1329" s="87">
        <f>346.8/120</f>
        <v>2.89</v>
      </c>
      <c r="K1329" s="88">
        <f t="shared" si="63"/>
        <v>346.8</v>
      </c>
      <c r="L1329" s="85" t="s">
        <v>1271</v>
      </c>
    </row>
    <row r="1330" spans="1:12" x14ac:dyDescent="0.25">
      <c r="A1330" s="84" t="str">
        <f t="shared" si="61"/>
        <v>OutubroSEMANA 4Cerveja Heineken Long Neck 330 ml</v>
      </c>
      <c r="B1330" s="85" t="s">
        <v>37</v>
      </c>
      <c r="C1330" s="85" t="s">
        <v>23</v>
      </c>
      <c r="D1330" s="86">
        <v>25</v>
      </c>
      <c r="E1330" s="116" t="str">
        <f t="shared" si="62"/>
        <v>Bebidas</v>
      </c>
      <c r="F1330" s="85" t="s">
        <v>1130</v>
      </c>
      <c r="G1330" s="85" t="s">
        <v>264</v>
      </c>
      <c r="H1330" s="85" t="s">
        <v>1038</v>
      </c>
      <c r="I1330" s="85">
        <v>24</v>
      </c>
      <c r="J1330" s="87">
        <f>96/24</f>
        <v>4</v>
      </c>
      <c r="K1330" s="88">
        <f t="shared" si="63"/>
        <v>96</v>
      </c>
      <c r="L1330" s="85" t="s">
        <v>1271</v>
      </c>
    </row>
    <row r="1331" spans="1:12" x14ac:dyDescent="0.25">
      <c r="A1331" s="84" t="str">
        <f t="shared" si="61"/>
        <v>OutubroSEMANA 4H2O Limão</v>
      </c>
      <c r="B1331" s="85" t="s">
        <v>37</v>
      </c>
      <c r="C1331" s="85" t="s">
        <v>23</v>
      </c>
      <c r="D1331" s="86">
        <v>25</v>
      </c>
      <c r="E1331" s="116" t="str">
        <f t="shared" si="62"/>
        <v>Bebidas</v>
      </c>
      <c r="F1331" s="85" t="s">
        <v>1123</v>
      </c>
      <c r="G1331" s="85" t="s">
        <v>400</v>
      </c>
      <c r="H1331" s="85" t="s">
        <v>1038</v>
      </c>
      <c r="I1331" s="85">
        <v>12</v>
      </c>
      <c r="J1331" s="87">
        <f>25.72/12</f>
        <v>2.1433333333333331</v>
      </c>
      <c r="K1331" s="88">
        <f t="shared" si="63"/>
        <v>25.72</v>
      </c>
      <c r="L1331" s="85" t="s">
        <v>1272</v>
      </c>
    </row>
    <row r="1332" spans="1:12" x14ac:dyDescent="0.25">
      <c r="A1332" s="84" t="str">
        <f t="shared" si="61"/>
        <v>OutubroSEMANA 4Cerveja Bohemia Long Neck 355 ml</v>
      </c>
      <c r="B1332" s="85" t="s">
        <v>37</v>
      </c>
      <c r="C1332" s="85" t="s">
        <v>23</v>
      </c>
      <c r="D1332" s="86">
        <v>25</v>
      </c>
      <c r="E1332" s="116" t="str">
        <f t="shared" si="62"/>
        <v>Bebidas</v>
      </c>
      <c r="F1332" s="85" t="s">
        <v>1123</v>
      </c>
      <c r="G1332" s="85" t="s">
        <v>260</v>
      </c>
      <c r="H1332" s="85" t="s">
        <v>1038</v>
      </c>
      <c r="I1332" s="85">
        <f>24*2</f>
        <v>48</v>
      </c>
      <c r="J1332" s="87">
        <f>127.54/48</f>
        <v>2.6570833333333335</v>
      </c>
      <c r="K1332" s="88">
        <f t="shared" si="63"/>
        <v>127.54</v>
      </c>
      <c r="L1332" s="85" t="s">
        <v>1272</v>
      </c>
    </row>
    <row r="1333" spans="1:12" x14ac:dyDescent="0.25">
      <c r="A1333" s="84" t="str">
        <f t="shared" si="61"/>
        <v>OutubroSEMANA 4Ice Tea Limão</v>
      </c>
      <c r="B1333" s="85" t="s">
        <v>37</v>
      </c>
      <c r="C1333" s="85" t="s">
        <v>23</v>
      </c>
      <c r="D1333" s="86">
        <v>25</v>
      </c>
      <c r="E1333" s="116" t="str">
        <f t="shared" si="62"/>
        <v>Bebidas</v>
      </c>
      <c r="F1333" s="85" t="s">
        <v>1123</v>
      </c>
      <c r="G1333" s="85" t="s">
        <v>443</v>
      </c>
      <c r="H1333" s="85" t="s">
        <v>1038</v>
      </c>
      <c r="I1333" s="85">
        <f>2*12</f>
        <v>24</v>
      </c>
      <c r="J1333" s="87">
        <f>48.3/24</f>
        <v>2.0124999999999997</v>
      </c>
      <c r="K1333" s="88">
        <f t="shared" si="63"/>
        <v>48.3</v>
      </c>
      <c r="L1333" s="85" t="s">
        <v>1272</v>
      </c>
    </row>
    <row r="1334" spans="1:12" x14ac:dyDescent="0.25">
      <c r="A1334" s="84" t="str">
        <f t="shared" si="61"/>
        <v>OutubroSEMANA 4Guaraná Antarctica Zero (lata)</v>
      </c>
      <c r="B1334" s="85" t="s">
        <v>37</v>
      </c>
      <c r="C1334" s="85" t="s">
        <v>23</v>
      </c>
      <c r="D1334" s="86">
        <v>25</v>
      </c>
      <c r="E1334" s="116" t="str">
        <f t="shared" si="62"/>
        <v>Bebidas</v>
      </c>
      <c r="F1334" s="85" t="s">
        <v>1123</v>
      </c>
      <c r="G1334" s="85" t="s">
        <v>398</v>
      </c>
      <c r="H1334" s="85" t="s">
        <v>1038</v>
      </c>
      <c r="I1334" s="85">
        <f>3*12</f>
        <v>36</v>
      </c>
      <c r="J1334" s="87">
        <f>65.84/36</f>
        <v>1.828888888888889</v>
      </c>
      <c r="K1334" s="88">
        <f t="shared" si="63"/>
        <v>65.84</v>
      </c>
      <c r="L1334" s="85" t="s">
        <v>1272</v>
      </c>
    </row>
    <row r="1335" spans="1:12" x14ac:dyDescent="0.25">
      <c r="A1335" s="84" t="str">
        <f t="shared" si="61"/>
        <v>OutubroSEMANA 4Guaraná Antarctica (lata)</v>
      </c>
      <c r="B1335" s="85" t="s">
        <v>37</v>
      </c>
      <c r="C1335" s="85" t="s">
        <v>23</v>
      </c>
      <c r="D1335" s="86">
        <v>25</v>
      </c>
      <c r="E1335" s="116" t="str">
        <f t="shared" si="62"/>
        <v>Bebidas</v>
      </c>
      <c r="F1335" s="85" t="s">
        <v>1123</v>
      </c>
      <c r="G1335" s="85" t="s">
        <v>397</v>
      </c>
      <c r="H1335" s="85" t="s">
        <v>1038</v>
      </c>
      <c r="I1335" s="85">
        <f>12*2</f>
        <v>24</v>
      </c>
      <c r="J1335" s="87">
        <f>43.89/24</f>
        <v>1.8287500000000001</v>
      </c>
      <c r="K1335" s="88">
        <f t="shared" si="63"/>
        <v>43.89</v>
      </c>
      <c r="L1335" s="85" t="s">
        <v>1272</v>
      </c>
    </row>
    <row r="1336" spans="1:12" x14ac:dyDescent="0.25">
      <c r="A1336" s="84" t="str">
        <f t="shared" si="61"/>
        <v>OutubroSEMANA 4Pescados - Salmão Inteiro Sushi</v>
      </c>
      <c r="B1336" s="85" t="s">
        <v>37</v>
      </c>
      <c r="C1336" s="85" t="s">
        <v>23</v>
      </c>
      <c r="D1336" s="86">
        <v>25</v>
      </c>
      <c r="E1336" s="116" t="str">
        <f t="shared" si="62"/>
        <v>Sushi</v>
      </c>
      <c r="F1336" s="85" t="s">
        <v>1053</v>
      </c>
      <c r="G1336" s="85" t="s">
        <v>645</v>
      </c>
      <c r="H1336" s="85" t="s">
        <v>1039</v>
      </c>
      <c r="I1336" s="85">
        <v>31.89</v>
      </c>
      <c r="J1336" s="87">
        <v>26.5002</v>
      </c>
      <c r="K1336" s="88">
        <f t="shared" si="63"/>
        <v>845.09137799999996</v>
      </c>
      <c r="L1336" s="85" t="s">
        <v>1273</v>
      </c>
    </row>
    <row r="1337" spans="1:12" x14ac:dyDescent="0.25">
      <c r="A1337" s="84" t="str">
        <f t="shared" si="61"/>
        <v>OutubroSEMANA 4Pescados - Camarão IQF Evisc. 51/60</v>
      </c>
      <c r="B1337" s="85" t="s">
        <v>37</v>
      </c>
      <c r="C1337" s="85" t="s">
        <v>23</v>
      </c>
      <c r="D1337" s="86">
        <v>25</v>
      </c>
      <c r="E1337" s="116" t="str">
        <f t="shared" si="62"/>
        <v>Carnes</v>
      </c>
      <c r="F1337" s="85" t="s">
        <v>1053</v>
      </c>
      <c r="G1337" s="85" t="s">
        <v>594</v>
      </c>
      <c r="H1337" s="85" t="s">
        <v>1039</v>
      </c>
      <c r="I1337" s="85">
        <v>12</v>
      </c>
      <c r="J1337" s="87">
        <v>66.5</v>
      </c>
      <c r="K1337" s="88">
        <f t="shared" si="63"/>
        <v>798</v>
      </c>
      <c r="L1337" s="85" t="s">
        <v>1273</v>
      </c>
    </row>
    <row r="1338" spans="1:12" x14ac:dyDescent="0.25">
      <c r="A1338" s="84" t="str">
        <f t="shared" si="61"/>
        <v>OutubroSEMANA 4Água Mineral com Gás</v>
      </c>
      <c r="B1338" s="85" t="s">
        <v>37</v>
      </c>
      <c r="C1338" s="85" t="s">
        <v>23</v>
      </c>
      <c r="D1338" s="86">
        <v>25</v>
      </c>
      <c r="E1338" s="116" t="str">
        <f t="shared" si="62"/>
        <v>Bebidas</v>
      </c>
      <c r="F1338" s="85" t="s">
        <v>1091</v>
      </c>
      <c r="G1338" s="85" t="s">
        <v>90</v>
      </c>
      <c r="H1338" s="85" t="s">
        <v>1038</v>
      </c>
      <c r="I1338" s="85">
        <f>25*6</f>
        <v>150</v>
      </c>
      <c r="J1338" s="87">
        <f>188.1/150</f>
        <v>1.254</v>
      </c>
      <c r="K1338" s="88">
        <f t="shared" si="63"/>
        <v>188.1</v>
      </c>
      <c r="L1338" s="85" t="s">
        <v>1274</v>
      </c>
    </row>
    <row r="1339" spans="1:12" x14ac:dyDescent="0.25">
      <c r="A1339" s="84" t="str">
        <f t="shared" si="61"/>
        <v>OutubroSEMANA 4Água Mineral sem Gás</v>
      </c>
      <c r="B1339" s="85" t="s">
        <v>37</v>
      </c>
      <c r="C1339" s="85" t="s">
        <v>23</v>
      </c>
      <c r="D1339" s="86">
        <v>25</v>
      </c>
      <c r="E1339" s="116" t="str">
        <f t="shared" si="62"/>
        <v>Bebidas</v>
      </c>
      <c r="F1339" s="85" t="s">
        <v>1091</v>
      </c>
      <c r="G1339" s="85" t="s">
        <v>91</v>
      </c>
      <c r="H1339" s="85" t="s">
        <v>1038</v>
      </c>
      <c r="I1339" s="85">
        <f>32*6</f>
        <v>192</v>
      </c>
      <c r="J1339" s="87">
        <f>240.77/192</f>
        <v>1.2540104166666668</v>
      </c>
      <c r="K1339" s="88">
        <f t="shared" si="63"/>
        <v>240.77000000000004</v>
      </c>
      <c r="L1339" s="85" t="s">
        <v>1274</v>
      </c>
    </row>
    <row r="1340" spans="1:12" x14ac:dyDescent="0.25">
      <c r="A1340" s="84" t="str">
        <f t="shared" si="61"/>
        <v>OutubroSEMANA 4Batata Palito 9M</v>
      </c>
      <c r="B1340" s="85" t="s">
        <v>37</v>
      </c>
      <c r="C1340" s="85" t="s">
        <v>23</v>
      </c>
      <c r="D1340" s="86">
        <v>25</v>
      </c>
      <c r="E1340" s="116" t="str">
        <f t="shared" si="62"/>
        <v>Mercado</v>
      </c>
      <c r="F1340" s="85" t="s">
        <v>1078</v>
      </c>
      <c r="G1340" s="85" t="s">
        <v>175</v>
      </c>
      <c r="H1340" s="85" t="s">
        <v>1039</v>
      </c>
      <c r="I1340" s="85">
        <v>30</v>
      </c>
      <c r="J1340" s="87">
        <v>6.85</v>
      </c>
      <c r="K1340" s="88">
        <f t="shared" si="63"/>
        <v>205.5</v>
      </c>
      <c r="L1340" s="85" t="s">
        <v>1275</v>
      </c>
    </row>
    <row r="1341" spans="1:12" x14ac:dyDescent="0.25">
      <c r="A1341" s="84" t="str">
        <f t="shared" si="61"/>
        <v>OutubroSEMANA 4Suíno - Costelinha Salgada</v>
      </c>
      <c r="B1341" s="85" t="s">
        <v>37</v>
      </c>
      <c r="C1341" s="85" t="s">
        <v>23</v>
      </c>
      <c r="D1341" s="86">
        <v>25</v>
      </c>
      <c r="E1341" s="116" t="str">
        <f t="shared" si="62"/>
        <v>Carnes</v>
      </c>
      <c r="F1341" s="85" t="s">
        <v>1078</v>
      </c>
      <c r="G1341" s="85" t="s">
        <v>760</v>
      </c>
      <c r="H1341" s="85" t="s">
        <v>1039</v>
      </c>
      <c r="I1341" s="85">
        <v>9</v>
      </c>
      <c r="J1341" s="87">
        <v>10.54</v>
      </c>
      <c r="K1341" s="88">
        <f t="shared" si="63"/>
        <v>94.859999999999985</v>
      </c>
      <c r="L1341" s="85" t="s">
        <v>1275</v>
      </c>
    </row>
    <row r="1342" spans="1:12" x14ac:dyDescent="0.25">
      <c r="A1342" s="84" t="str">
        <f t="shared" si="61"/>
        <v>OutubroSEMANA 4Suíno - Linguiça de Pernil</v>
      </c>
      <c r="B1342" s="85" t="s">
        <v>37</v>
      </c>
      <c r="C1342" s="85" t="s">
        <v>23</v>
      </c>
      <c r="D1342" s="86">
        <v>25</v>
      </c>
      <c r="E1342" s="116" t="str">
        <f t="shared" si="62"/>
        <v>Carnes</v>
      </c>
      <c r="F1342" s="85" t="s">
        <v>1078</v>
      </c>
      <c r="G1342" s="85" t="s">
        <v>763</v>
      </c>
      <c r="H1342" s="85" t="s">
        <v>1039</v>
      </c>
      <c r="I1342" s="85">
        <v>5</v>
      </c>
      <c r="J1342" s="87">
        <v>10.14</v>
      </c>
      <c r="K1342" s="88">
        <f t="shared" si="63"/>
        <v>50.7</v>
      </c>
      <c r="L1342" s="85" t="s">
        <v>1275</v>
      </c>
    </row>
    <row r="1343" spans="1:12" x14ac:dyDescent="0.25">
      <c r="A1343" s="84" t="str">
        <f t="shared" si="61"/>
        <v>OutubroSEMANA 4Queijo Minas Padrão</v>
      </c>
      <c r="B1343" s="85" t="s">
        <v>37</v>
      </c>
      <c r="C1343" s="85" t="s">
        <v>23</v>
      </c>
      <c r="D1343" s="86">
        <v>25</v>
      </c>
      <c r="E1343" s="116" t="str">
        <f t="shared" si="62"/>
        <v>Mercado</v>
      </c>
      <c r="F1343" s="85" t="s">
        <v>1078</v>
      </c>
      <c r="G1343" s="85" t="s">
        <v>683</v>
      </c>
      <c r="H1343" s="85" t="s">
        <v>1039</v>
      </c>
      <c r="I1343" s="85">
        <v>11.3</v>
      </c>
      <c r="J1343" s="87">
        <v>30.5</v>
      </c>
      <c r="K1343" s="88">
        <f t="shared" si="63"/>
        <v>344.65000000000003</v>
      </c>
      <c r="L1343" s="85" t="s">
        <v>1275</v>
      </c>
    </row>
    <row r="1344" spans="1:12" x14ac:dyDescent="0.25">
      <c r="A1344" s="84" t="str">
        <f t="shared" si="61"/>
        <v>OutubroSEMANA 4Aves - Filé de Peito de Frango</v>
      </c>
      <c r="B1344" s="85" t="s">
        <v>37</v>
      </c>
      <c r="C1344" s="85" t="s">
        <v>23</v>
      </c>
      <c r="D1344" s="86">
        <v>25</v>
      </c>
      <c r="E1344" s="116" t="str">
        <f t="shared" si="62"/>
        <v>Carnes</v>
      </c>
      <c r="F1344" s="85" t="s">
        <v>1051</v>
      </c>
      <c r="G1344" s="85" t="s">
        <v>139</v>
      </c>
      <c r="H1344" s="85" t="s">
        <v>1039</v>
      </c>
      <c r="I1344" s="85">
        <v>48</v>
      </c>
      <c r="J1344" s="87">
        <v>7.8</v>
      </c>
      <c r="K1344" s="88">
        <f t="shared" si="63"/>
        <v>374.4</v>
      </c>
      <c r="L1344" s="85" t="s">
        <v>1276</v>
      </c>
    </row>
    <row r="1345" spans="1:12" x14ac:dyDescent="0.25">
      <c r="A1345" s="84" t="str">
        <f t="shared" si="61"/>
        <v>OutubroSEMANA 4Aves - Filé de Coxa</v>
      </c>
      <c r="B1345" s="85" t="s">
        <v>37</v>
      </c>
      <c r="C1345" s="85" t="s">
        <v>23</v>
      </c>
      <c r="D1345" s="86">
        <v>25</v>
      </c>
      <c r="E1345" s="116" t="str">
        <f t="shared" si="62"/>
        <v>Carnes</v>
      </c>
      <c r="F1345" s="85" t="s">
        <v>1051</v>
      </c>
      <c r="G1345" s="85" t="s">
        <v>137</v>
      </c>
      <c r="H1345" s="85" t="s">
        <v>1039</v>
      </c>
      <c r="I1345" s="85">
        <f>24*0.7</f>
        <v>16.799999999999997</v>
      </c>
      <c r="J1345" s="87">
        <f>146.16/16.8</f>
        <v>8.6999999999999993</v>
      </c>
      <c r="K1345" s="88">
        <f t="shared" si="63"/>
        <v>146.15999999999997</v>
      </c>
      <c r="L1345" s="85" t="s">
        <v>1276</v>
      </c>
    </row>
    <row r="1346" spans="1:12" x14ac:dyDescent="0.25">
      <c r="A1346" s="84" t="str">
        <f t="shared" ref="A1346:A1409" si="64">CONCATENATE(B1346,C1346,G1346)</f>
        <v>OutubroSEMANA 4Gelo em Escamas</v>
      </c>
      <c r="B1346" s="85" t="s">
        <v>37</v>
      </c>
      <c r="C1346" s="85" t="s">
        <v>23</v>
      </c>
      <c r="D1346" s="86">
        <v>25</v>
      </c>
      <c r="E1346" s="116" t="str">
        <f t="shared" ref="E1346:E1409" si="65">VLOOKUP(G1346,$M$1:$O$968,3,0)</f>
        <v>Mercado</v>
      </c>
      <c r="F1346" s="85" t="s">
        <v>1040</v>
      </c>
      <c r="G1346" s="85" t="s">
        <v>384</v>
      </c>
      <c r="H1346" s="85" t="s">
        <v>1041</v>
      </c>
      <c r="I1346" s="85">
        <v>2</v>
      </c>
      <c r="J1346" s="87">
        <v>7.5</v>
      </c>
      <c r="K1346" s="88">
        <f t="shared" ref="K1346:K1409" si="66">I1346*J1346</f>
        <v>15</v>
      </c>
      <c r="L1346" s="85">
        <v>11555</v>
      </c>
    </row>
    <row r="1347" spans="1:12" x14ac:dyDescent="0.25">
      <c r="A1347" s="84" t="str">
        <f t="shared" si="64"/>
        <v>OutubroSEMANA 4Gelo em Cubo</v>
      </c>
      <c r="B1347" s="85" t="s">
        <v>37</v>
      </c>
      <c r="C1347" s="85" t="s">
        <v>23</v>
      </c>
      <c r="D1347" s="86">
        <v>25</v>
      </c>
      <c r="E1347" s="116" t="str">
        <f t="shared" si="65"/>
        <v>Mercado</v>
      </c>
      <c r="F1347" s="85" t="s">
        <v>1040</v>
      </c>
      <c r="G1347" s="85" t="s">
        <v>383</v>
      </c>
      <c r="H1347" s="85" t="s">
        <v>1041</v>
      </c>
      <c r="I1347" s="85">
        <v>1</v>
      </c>
      <c r="J1347" s="87">
        <v>7.5</v>
      </c>
      <c r="K1347" s="88">
        <f t="shared" si="66"/>
        <v>7.5</v>
      </c>
      <c r="L1347" s="85">
        <v>11555</v>
      </c>
    </row>
    <row r="1348" spans="1:12" x14ac:dyDescent="0.25">
      <c r="A1348" s="84" t="str">
        <f t="shared" si="64"/>
        <v>OutubroSEMANA 4Pescados - Atum Fresco Sushi</v>
      </c>
      <c r="B1348" s="85" t="s">
        <v>37</v>
      </c>
      <c r="C1348" s="85" t="s">
        <v>23</v>
      </c>
      <c r="D1348" s="86">
        <v>25</v>
      </c>
      <c r="E1348" s="116" t="str">
        <f t="shared" si="65"/>
        <v>Sushi</v>
      </c>
      <c r="F1348" s="85" t="s">
        <v>1211</v>
      </c>
      <c r="G1348" s="85" t="s">
        <v>587</v>
      </c>
      <c r="H1348" s="85" t="s">
        <v>1039</v>
      </c>
      <c r="I1348" s="85">
        <v>25.8</v>
      </c>
      <c r="J1348" s="87">
        <v>14.9</v>
      </c>
      <c r="K1348" s="88">
        <f t="shared" si="66"/>
        <v>384.42</v>
      </c>
      <c r="L1348" s="85">
        <v>205</v>
      </c>
    </row>
    <row r="1349" spans="1:12" x14ac:dyDescent="0.25">
      <c r="A1349" s="84" t="str">
        <f t="shared" si="64"/>
        <v>OutubroSEMANA 4Pescados - Olhete Fresco Sushi</v>
      </c>
      <c r="B1349" s="85" t="s">
        <v>37</v>
      </c>
      <c r="C1349" s="85" t="s">
        <v>23</v>
      </c>
      <c r="D1349" s="86">
        <v>25</v>
      </c>
      <c r="E1349" s="116" t="str">
        <f t="shared" si="65"/>
        <v>Sushi</v>
      </c>
      <c r="F1349" s="85" t="s">
        <v>1211</v>
      </c>
      <c r="G1349" s="85" t="s">
        <v>629</v>
      </c>
      <c r="H1349" s="85" t="s">
        <v>1039</v>
      </c>
      <c r="I1349" s="85">
        <v>8.8000000000000007</v>
      </c>
      <c r="J1349" s="87">
        <v>19.899999999999999</v>
      </c>
      <c r="K1349" s="88">
        <f t="shared" si="66"/>
        <v>175.12</v>
      </c>
      <c r="L1349" s="85">
        <v>205</v>
      </c>
    </row>
    <row r="1350" spans="1:12" x14ac:dyDescent="0.25">
      <c r="A1350" s="84" t="str">
        <f t="shared" si="64"/>
        <v>OutubroSEMANA 4Massa para Lasanha</v>
      </c>
      <c r="B1350" s="85" t="s">
        <v>37</v>
      </c>
      <c r="C1350" s="85" t="s">
        <v>23</v>
      </c>
      <c r="D1350" s="86">
        <v>25</v>
      </c>
      <c r="E1350" s="116" t="str">
        <f t="shared" si="65"/>
        <v>Mercado</v>
      </c>
      <c r="F1350" s="85" t="s">
        <v>1277</v>
      </c>
      <c r="G1350" s="85" t="s">
        <v>510</v>
      </c>
      <c r="H1350" s="85" t="s">
        <v>1039</v>
      </c>
      <c r="I1350" s="85">
        <v>15.9</v>
      </c>
      <c r="J1350" s="87">
        <v>9.9</v>
      </c>
      <c r="K1350" s="88">
        <f t="shared" si="66"/>
        <v>157.41</v>
      </c>
      <c r="L1350" s="85">
        <v>15056</v>
      </c>
    </row>
    <row r="1351" spans="1:12" x14ac:dyDescent="0.25">
      <c r="A1351" s="84" t="str">
        <f t="shared" si="64"/>
        <v>OutubroSEMANA 4Cenoura</v>
      </c>
      <c r="B1351" s="85" t="s">
        <v>37</v>
      </c>
      <c r="C1351" s="85" t="s">
        <v>23</v>
      </c>
      <c r="D1351" s="86">
        <v>25</v>
      </c>
      <c r="E1351" s="116" t="str">
        <f t="shared" si="65"/>
        <v>Hortifruti</v>
      </c>
      <c r="F1351" s="85" t="s">
        <v>1054</v>
      </c>
      <c r="G1351" s="85" t="s">
        <v>249</v>
      </c>
      <c r="H1351" s="85" t="s">
        <v>1039</v>
      </c>
      <c r="I1351" s="85">
        <f>17.86-0.2</f>
        <v>17.66</v>
      </c>
      <c r="J1351" s="87">
        <f>48/17.86</f>
        <v>2.6875699888017919</v>
      </c>
      <c r="K1351" s="88">
        <f t="shared" si="66"/>
        <v>47.462486002239643</v>
      </c>
      <c r="L1351" s="85">
        <v>2019</v>
      </c>
    </row>
    <row r="1352" spans="1:12" x14ac:dyDescent="0.25">
      <c r="A1352" s="84" t="str">
        <f t="shared" si="64"/>
        <v>OutubroSEMANA 4Pimentão Amarelo</v>
      </c>
      <c r="B1352" s="85" t="s">
        <v>37</v>
      </c>
      <c r="C1352" s="85" t="s">
        <v>23</v>
      </c>
      <c r="D1352" s="86">
        <v>25</v>
      </c>
      <c r="E1352" s="116" t="str">
        <f t="shared" si="65"/>
        <v>Hortifruti</v>
      </c>
      <c r="F1352" s="85" t="s">
        <v>1054</v>
      </c>
      <c r="G1352" s="85" t="s">
        <v>664</v>
      </c>
      <c r="H1352" s="85" t="s">
        <v>1039</v>
      </c>
      <c r="I1352" s="85">
        <v>1</v>
      </c>
      <c r="J1352" s="87">
        <v>15</v>
      </c>
      <c r="K1352" s="88">
        <f t="shared" si="66"/>
        <v>15</v>
      </c>
      <c r="L1352" s="85">
        <v>2019</v>
      </c>
    </row>
    <row r="1353" spans="1:12" x14ac:dyDescent="0.25">
      <c r="A1353" s="84" t="str">
        <f t="shared" si="64"/>
        <v>OutubroSEMANA 4Brócolis Americano</v>
      </c>
      <c r="B1353" s="85" t="s">
        <v>37</v>
      </c>
      <c r="C1353" s="85" t="s">
        <v>23</v>
      </c>
      <c r="D1353" s="86">
        <v>25</v>
      </c>
      <c r="E1353" s="116" t="str">
        <f t="shared" si="65"/>
        <v>Hortifruti</v>
      </c>
      <c r="F1353" s="85" t="s">
        <v>1054</v>
      </c>
      <c r="G1353" s="85" t="s">
        <v>194</v>
      </c>
      <c r="H1353" s="85" t="s">
        <v>1039</v>
      </c>
      <c r="I1353" s="85">
        <v>4</v>
      </c>
      <c r="J1353" s="87">
        <v>7</v>
      </c>
      <c r="K1353" s="88">
        <f t="shared" si="66"/>
        <v>28</v>
      </c>
      <c r="L1353" s="85">
        <v>2019</v>
      </c>
    </row>
    <row r="1354" spans="1:12" x14ac:dyDescent="0.25">
      <c r="A1354" s="84" t="str">
        <f t="shared" si="64"/>
        <v>OutubroSEMANA 4Cebolinha Verde</v>
      </c>
      <c r="B1354" s="85" t="s">
        <v>37</v>
      </c>
      <c r="C1354" s="85" t="s">
        <v>23</v>
      </c>
      <c r="D1354" s="86">
        <v>25</v>
      </c>
      <c r="E1354" s="116" t="str">
        <f t="shared" si="65"/>
        <v>Hortifruti</v>
      </c>
      <c r="F1354" s="85" t="s">
        <v>1054</v>
      </c>
      <c r="G1354" s="85" t="s">
        <v>247</v>
      </c>
      <c r="H1354" s="85" t="s">
        <v>1039</v>
      </c>
      <c r="I1354" s="85">
        <f>1.5-0.358</f>
        <v>1.1419999999999999</v>
      </c>
      <c r="J1354" s="87">
        <v>7</v>
      </c>
      <c r="K1354" s="88">
        <f t="shared" si="66"/>
        <v>7.9939999999999998</v>
      </c>
      <c r="L1354" s="85">
        <v>2019</v>
      </c>
    </row>
    <row r="1355" spans="1:12" x14ac:dyDescent="0.25">
      <c r="A1355" s="84" t="str">
        <f t="shared" si="64"/>
        <v>OutubroSEMANA 4Manjericão</v>
      </c>
      <c r="B1355" s="85" t="s">
        <v>37</v>
      </c>
      <c r="C1355" s="85" t="s">
        <v>23</v>
      </c>
      <c r="D1355" s="86">
        <v>25</v>
      </c>
      <c r="E1355" s="116" t="str">
        <f t="shared" si="65"/>
        <v>Hortifruti</v>
      </c>
      <c r="F1355" s="85" t="s">
        <v>1054</v>
      </c>
      <c r="G1355" s="85" t="s">
        <v>499</v>
      </c>
      <c r="H1355" s="85" t="s">
        <v>1039</v>
      </c>
      <c r="I1355" s="85">
        <v>0.3</v>
      </c>
      <c r="J1355" s="87">
        <v>12</v>
      </c>
      <c r="K1355" s="88">
        <f t="shared" si="66"/>
        <v>3.5999999999999996</v>
      </c>
      <c r="L1355" s="85">
        <v>2019</v>
      </c>
    </row>
    <row r="1356" spans="1:12" x14ac:dyDescent="0.25">
      <c r="A1356" s="84" t="str">
        <f t="shared" si="64"/>
        <v>OutubroSEMANA 4Salsa</v>
      </c>
      <c r="B1356" s="85" t="s">
        <v>37</v>
      </c>
      <c r="C1356" s="85" t="s">
        <v>23</v>
      </c>
      <c r="D1356" s="86">
        <v>25</v>
      </c>
      <c r="E1356" s="116" t="str">
        <f t="shared" si="65"/>
        <v>Hortifruti</v>
      </c>
      <c r="F1356" s="85" t="s">
        <v>1054</v>
      </c>
      <c r="G1356" s="85" t="s">
        <v>729</v>
      </c>
      <c r="H1356" s="85" t="s">
        <v>1039</v>
      </c>
      <c r="I1356" s="85">
        <v>1</v>
      </c>
      <c r="J1356" s="87">
        <v>7</v>
      </c>
      <c r="K1356" s="88">
        <f t="shared" si="66"/>
        <v>7</v>
      </c>
      <c r="L1356" s="85">
        <v>2019</v>
      </c>
    </row>
    <row r="1357" spans="1:12" x14ac:dyDescent="0.25">
      <c r="A1357" s="84" t="str">
        <f t="shared" si="64"/>
        <v>OutubroSEMANA 4Tomilho</v>
      </c>
      <c r="B1357" s="85" t="s">
        <v>37</v>
      </c>
      <c r="C1357" s="85" t="s">
        <v>23</v>
      </c>
      <c r="D1357" s="86">
        <v>25</v>
      </c>
      <c r="E1357" s="116" t="str">
        <f t="shared" si="65"/>
        <v>Hortifruti</v>
      </c>
      <c r="F1357" s="85" t="s">
        <v>1054</v>
      </c>
      <c r="G1357" s="85" t="s">
        <v>798</v>
      </c>
      <c r="H1357" s="85" t="s">
        <v>1039</v>
      </c>
      <c r="I1357" s="85">
        <v>0.2</v>
      </c>
      <c r="J1357" s="87">
        <v>25</v>
      </c>
      <c r="K1357" s="88">
        <f t="shared" si="66"/>
        <v>5</v>
      </c>
      <c r="L1357" s="85">
        <v>2019</v>
      </c>
    </row>
    <row r="1358" spans="1:12" x14ac:dyDescent="0.25">
      <c r="A1358" s="84" t="str">
        <f t="shared" si="64"/>
        <v xml:space="preserve">OutubroSEMANA 4Abacaxi </v>
      </c>
      <c r="B1358" s="85" t="s">
        <v>37</v>
      </c>
      <c r="C1358" s="85" t="s">
        <v>23</v>
      </c>
      <c r="D1358" s="86">
        <v>25</v>
      </c>
      <c r="E1358" s="116" t="str">
        <f t="shared" si="65"/>
        <v>Hortifruti</v>
      </c>
      <c r="F1358" s="85" t="s">
        <v>1054</v>
      </c>
      <c r="G1358" s="85" t="s">
        <v>65</v>
      </c>
      <c r="H1358" s="85" t="s">
        <v>1039</v>
      </c>
      <c r="I1358" s="85">
        <v>10</v>
      </c>
      <c r="J1358" s="87">
        <v>2.4</v>
      </c>
      <c r="K1358" s="88">
        <f t="shared" si="66"/>
        <v>24</v>
      </c>
      <c r="L1358" s="85">
        <v>2019</v>
      </c>
    </row>
    <row r="1359" spans="1:12" x14ac:dyDescent="0.25">
      <c r="A1359" s="84" t="str">
        <f t="shared" si="64"/>
        <v>OutubroSEMANA 4Manga Palmer</v>
      </c>
      <c r="B1359" s="85" t="s">
        <v>37</v>
      </c>
      <c r="C1359" s="85" t="s">
        <v>23</v>
      </c>
      <c r="D1359" s="86">
        <v>25</v>
      </c>
      <c r="E1359" s="116" t="str">
        <f t="shared" si="65"/>
        <v>Hortifruti</v>
      </c>
      <c r="F1359" s="85" t="s">
        <v>1054</v>
      </c>
      <c r="G1359" s="85" t="s">
        <v>496</v>
      </c>
      <c r="H1359" s="85" t="s">
        <v>1039</v>
      </c>
      <c r="I1359" s="85">
        <v>6</v>
      </c>
      <c r="J1359" s="87">
        <f>25/6</f>
        <v>4.166666666666667</v>
      </c>
      <c r="K1359" s="88">
        <f t="shared" si="66"/>
        <v>25</v>
      </c>
      <c r="L1359" s="85">
        <v>2019</v>
      </c>
    </row>
    <row r="1360" spans="1:12" x14ac:dyDescent="0.25">
      <c r="A1360" s="84" t="str">
        <f t="shared" si="64"/>
        <v>OutubroSEMANA 4Cebolinha Verde Sushi</v>
      </c>
      <c r="B1360" s="85" t="s">
        <v>37</v>
      </c>
      <c r="C1360" s="85" t="s">
        <v>23</v>
      </c>
      <c r="D1360" s="86">
        <v>25</v>
      </c>
      <c r="E1360" s="116" t="str">
        <f t="shared" si="65"/>
        <v>Sushi</v>
      </c>
      <c r="F1360" s="85" t="s">
        <v>1054</v>
      </c>
      <c r="G1360" s="85" t="s">
        <v>248</v>
      </c>
      <c r="H1360" s="85" t="s">
        <v>1039</v>
      </c>
      <c r="I1360" s="85">
        <v>0.35799999999999998</v>
      </c>
      <c r="J1360" s="87">
        <v>7</v>
      </c>
      <c r="K1360" s="88">
        <f t="shared" si="66"/>
        <v>2.5059999999999998</v>
      </c>
      <c r="L1360" s="85">
        <v>2019</v>
      </c>
    </row>
    <row r="1361" spans="1:12" x14ac:dyDescent="0.25">
      <c r="A1361" s="84" t="str">
        <f t="shared" si="64"/>
        <v>OutubroSEMANA 4Pepino Japonês Sushi</v>
      </c>
      <c r="B1361" s="85" t="s">
        <v>37</v>
      </c>
      <c r="C1361" s="85" t="s">
        <v>23</v>
      </c>
      <c r="D1361" s="86">
        <v>24</v>
      </c>
      <c r="E1361" s="116" t="str">
        <f t="shared" si="65"/>
        <v>Sushi</v>
      </c>
      <c r="F1361" s="85" t="s">
        <v>1054</v>
      </c>
      <c r="G1361" s="85" t="s">
        <v>579</v>
      </c>
      <c r="H1361" s="85" t="s">
        <v>1039</v>
      </c>
      <c r="I1361" s="85">
        <f>0.798+0.75</f>
        <v>1.548</v>
      </c>
      <c r="J1361" s="87">
        <f>55/16.16</f>
        <v>3.4034653465346536</v>
      </c>
      <c r="K1361" s="88">
        <f t="shared" si="66"/>
        <v>5.2685643564356441</v>
      </c>
      <c r="L1361" s="85">
        <v>2003</v>
      </c>
    </row>
    <row r="1362" spans="1:12" x14ac:dyDescent="0.25">
      <c r="A1362" s="84" t="str">
        <f t="shared" si="64"/>
        <v>OutubroSEMANA 4Creme de Leite Culinário 20% Bd 10 Lt</v>
      </c>
      <c r="B1362" s="85" t="s">
        <v>37</v>
      </c>
      <c r="C1362" s="85" t="s">
        <v>23</v>
      </c>
      <c r="D1362" s="86">
        <v>25</v>
      </c>
      <c r="E1362" s="116" t="str">
        <f t="shared" si="65"/>
        <v>Mercado</v>
      </c>
      <c r="F1362" s="85" t="s">
        <v>1045</v>
      </c>
      <c r="G1362" s="85" t="s">
        <v>315</v>
      </c>
      <c r="H1362" s="85" t="s">
        <v>1046</v>
      </c>
      <c r="I1362" s="85">
        <v>1</v>
      </c>
      <c r="J1362" s="87">
        <v>142.44999999999999</v>
      </c>
      <c r="K1362" s="88">
        <f t="shared" si="66"/>
        <v>142.44999999999999</v>
      </c>
      <c r="L1362" s="85" t="s">
        <v>1278</v>
      </c>
    </row>
    <row r="1363" spans="1:12" x14ac:dyDescent="0.25">
      <c r="A1363" s="84" t="str">
        <f t="shared" si="64"/>
        <v>OutubroSEMANA 4Queijo Gorgonzola</v>
      </c>
      <c r="B1363" s="85" t="s">
        <v>37</v>
      </c>
      <c r="C1363" s="85" t="s">
        <v>23</v>
      </c>
      <c r="D1363" s="86">
        <v>25</v>
      </c>
      <c r="E1363" s="116" t="str">
        <f t="shared" si="65"/>
        <v>Mercado</v>
      </c>
      <c r="F1363" s="85" t="s">
        <v>1045</v>
      </c>
      <c r="G1363" s="85" t="s">
        <v>679</v>
      </c>
      <c r="H1363" s="85" t="s">
        <v>1039</v>
      </c>
      <c r="I1363" s="85">
        <v>2.8</v>
      </c>
      <c r="J1363" s="87">
        <v>47.5</v>
      </c>
      <c r="K1363" s="88">
        <f t="shared" si="66"/>
        <v>133</v>
      </c>
      <c r="L1363" s="85" t="s">
        <v>1278</v>
      </c>
    </row>
    <row r="1364" spans="1:12" x14ac:dyDescent="0.25">
      <c r="A1364" s="84" t="str">
        <f t="shared" si="64"/>
        <v>OutubroSEMANA 4Queijo Mussarela</v>
      </c>
      <c r="B1364" s="85" t="s">
        <v>37</v>
      </c>
      <c r="C1364" s="85" t="s">
        <v>23</v>
      </c>
      <c r="D1364" s="86">
        <v>25</v>
      </c>
      <c r="E1364" s="116" t="str">
        <f t="shared" si="65"/>
        <v>Mercado</v>
      </c>
      <c r="F1364" s="85" t="s">
        <v>1045</v>
      </c>
      <c r="G1364" s="85" t="s">
        <v>685</v>
      </c>
      <c r="H1364" s="85" t="s">
        <v>1039</v>
      </c>
      <c r="I1364" s="85">
        <v>3.5</v>
      </c>
      <c r="J1364" s="87">
        <v>26</v>
      </c>
      <c r="K1364" s="88">
        <f t="shared" si="66"/>
        <v>91</v>
      </c>
      <c r="L1364" s="85" t="s">
        <v>1278</v>
      </c>
    </row>
    <row r="1365" spans="1:12" x14ac:dyDescent="0.25">
      <c r="A1365" s="84" t="str">
        <f t="shared" si="64"/>
        <v>OutubroSEMANA 4Queijo Prato</v>
      </c>
      <c r="B1365" s="85" t="s">
        <v>37</v>
      </c>
      <c r="C1365" s="85" t="s">
        <v>23</v>
      </c>
      <c r="D1365" s="86">
        <v>25</v>
      </c>
      <c r="E1365" s="116" t="str">
        <f t="shared" si="65"/>
        <v>Mercado</v>
      </c>
      <c r="F1365" s="85" t="s">
        <v>1045</v>
      </c>
      <c r="G1365" s="85" t="s">
        <v>687</v>
      </c>
      <c r="H1365" s="85" t="s">
        <v>1039</v>
      </c>
      <c r="I1365" s="85">
        <v>2.88</v>
      </c>
      <c r="J1365" s="87">
        <v>26</v>
      </c>
      <c r="K1365" s="88">
        <f t="shared" si="66"/>
        <v>74.88</v>
      </c>
      <c r="L1365" s="85" t="s">
        <v>1278</v>
      </c>
    </row>
    <row r="1366" spans="1:12" x14ac:dyDescent="0.25">
      <c r="A1366" s="84" t="str">
        <f t="shared" si="64"/>
        <v>OutubroSEMANA 4Queijo Requeijão BD 3,6 Kg</v>
      </c>
      <c r="B1366" s="85" t="s">
        <v>37</v>
      </c>
      <c r="C1366" s="85" t="s">
        <v>23</v>
      </c>
      <c r="D1366" s="86">
        <v>25</v>
      </c>
      <c r="E1366" s="116" t="str">
        <f t="shared" si="65"/>
        <v>Mercado</v>
      </c>
      <c r="F1366" s="85" t="s">
        <v>1045</v>
      </c>
      <c r="G1366" s="85" t="s">
        <v>688</v>
      </c>
      <c r="H1366" s="85" t="s">
        <v>1046</v>
      </c>
      <c r="I1366" s="85">
        <v>1</v>
      </c>
      <c r="J1366" s="87">
        <v>74.400000000000006</v>
      </c>
      <c r="K1366" s="88">
        <f t="shared" si="66"/>
        <v>74.400000000000006</v>
      </c>
      <c r="L1366" s="85" t="s">
        <v>1278</v>
      </c>
    </row>
    <row r="1367" spans="1:12" x14ac:dyDescent="0.25">
      <c r="A1367" s="84" t="str">
        <f t="shared" si="64"/>
        <v>OutubroSEMANA 4Côco Seco</v>
      </c>
      <c r="B1367" s="85" t="s">
        <v>37</v>
      </c>
      <c r="C1367" s="85" t="s">
        <v>23</v>
      </c>
      <c r="D1367" s="86">
        <v>25</v>
      </c>
      <c r="E1367" s="116" t="str">
        <f t="shared" si="65"/>
        <v>Mercado</v>
      </c>
      <c r="F1367" s="85" t="s">
        <v>1055</v>
      </c>
      <c r="G1367" s="85" t="s">
        <v>287</v>
      </c>
      <c r="H1367" s="85" t="s">
        <v>1039</v>
      </c>
      <c r="I1367" s="85">
        <v>3</v>
      </c>
      <c r="J1367" s="87">
        <v>6.9</v>
      </c>
      <c r="K1367" s="88">
        <f t="shared" si="66"/>
        <v>20.700000000000003</v>
      </c>
      <c r="L1367" s="85">
        <v>5624</v>
      </c>
    </row>
    <row r="1368" spans="1:12" x14ac:dyDescent="0.25">
      <c r="A1368" s="84" t="str">
        <f t="shared" si="64"/>
        <v>OutubroSEMANA 4Laranja Pera</v>
      </c>
      <c r="B1368" s="85" t="s">
        <v>37</v>
      </c>
      <c r="C1368" s="85" t="s">
        <v>23</v>
      </c>
      <c r="D1368" s="86">
        <v>25</v>
      </c>
      <c r="E1368" s="116" t="str">
        <f t="shared" si="65"/>
        <v>Hortifruti</v>
      </c>
      <c r="F1368" s="85" t="s">
        <v>1055</v>
      </c>
      <c r="G1368" s="85" t="s">
        <v>457</v>
      </c>
      <c r="H1368" s="85" t="s">
        <v>1039</v>
      </c>
      <c r="I1368" s="85">
        <v>21.76</v>
      </c>
      <c r="J1368" s="87">
        <f>28/21.76</f>
        <v>1.2867647058823528</v>
      </c>
      <c r="K1368" s="88">
        <f t="shared" si="66"/>
        <v>28</v>
      </c>
      <c r="L1368" s="85">
        <v>5624</v>
      </c>
    </row>
    <row r="1369" spans="1:12" x14ac:dyDescent="0.25">
      <c r="A1369" s="84" t="str">
        <f t="shared" si="64"/>
        <v>OutubroSEMANA 4Banana D'Água</v>
      </c>
      <c r="B1369" s="85" t="s">
        <v>37</v>
      </c>
      <c r="C1369" s="85" t="s">
        <v>23</v>
      </c>
      <c r="D1369" s="86">
        <v>25</v>
      </c>
      <c r="E1369" s="116" t="str">
        <f t="shared" si="65"/>
        <v>Hortifruti</v>
      </c>
      <c r="F1369" s="85" t="s">
        <v>1055</v>
      </c>
      <c r="G1369" s="85" t="s">
        <v>162</v>
      </c>
      <c r="H1369" s="85" t="s">
        <v>1039</v>
      </c>
      <c r="I1369" s="85">
        <v>3</v>
      </c>
      <c r="J1369" s="87">
        <v>1.84</v>
      </c>
      <c r="K1369" s="88">
        <f t="shared" si="66"/>
        <v>5.5200000000000005</v>
      </c>
      <c r="L1369" s="85">
        <v>5624</v>
      </c>
    </row>
    <row r="1370" spans="1:12" x14ac:dyDescent="0.25">
      <c r="A1370" s="84" t="str">
        <f t="shared" si="64"/>
        <v>OutubroSEMANA 4Batata Baroa</v>
      </c>
      <c r="B1370" s="85" t="s">
        <v>37</v>
      </c>
      <c r="C1370" s="85" t="s">
        <v>23</v>
      </c>
      <c r="D1370" s="86">
        <v>25</v>
      </c>
      <c r="E1370" s="116" t="str">
        <f t="shared" si="65"/>
        <v>Hortifruti</v>
      </c>
      <c r="F1370" s="85" t="s">
        <v>1055</v>
      </c>
      <c r="G1370" s="85" t="s">
        <v>169</v>
      </c>
      <c r="H1370" s="85" t="s">
        <v>1039</v>
      </c>
      <c r="I1370" s="85">
        <v>2</v>
      </c>
      <c r="J1370" s="87">
        <v>4.4000000000000004</v>
      </c>
      <c r="K1370" s="88">
        <f t="shared" si="66"/>
        <v>8.8000000000000007</v>
      </c>
      <c r="L1370" s="85">
        <v>5624</v>
      </c>
    </row>
    <row r="1371" spans="1:12" x14ac:dyDescent="0.25">
      <c r="A1371" s="84" t="str">
        <f t="shared" si="64"/>
        <v>OutubroSEMANA 4Hortelã</v>
      </c>
      <c r="B1371" s="85" t="s">
        <v>37</v>
      </c>
      <c r="C1371" s="85" t="s">
        <v>23</v>
      </c>
      <c r="D1371" s="86">
        <v>25</v>
      </c>
      <c r="E1371" s="116" t="str">
        <f t="shared" si="65"/>
        <v>Hortifruti</v>
      </c>
      <c r="F1371" s="85" t="s">
        <v>1055</v>
      </c>
      <c r="G1371" s="85" t="s">
        <v>405</v>
      </c>
      <c r="H1371" s="85" t="s">
        <v>1039</v>
      </c>
      <c r="I1371" s="85">
        <v>1</v>
      </c>
      <c r="J1371" s="87">
        <v>4.5</v>
      </c>
      <c r="K1371" s="88">
        <f t="shared" si="66"/>
        <v>4.5</v>
      </c>
      <c r="L1371" s="85">
        <v>5624</v>
      </c>
    </row>
    <row r="1372" spans="1:12" x14ac:dyDescent="0.25">
      <c r="A1372" s="84" t="str">
        <f t="shared" si="64"/>
        <v>OutubroSEMANA 4Louro</v>
      </c>
      <c r="B1372" s="85" t="s">
        <v>37</v>
      </c>
      <c r="C1372" s="85" t="s">
        <v>23</v>
      </c>
      <c r="D1372" s="86">
        <v>25</v>
      </c>
      <c r="E1372" s="116" t="str">
        <f t="shared" si="65"/>
        <v>Hortifruti</v>
      </c>
      <c r="F1372" s="85" t="s">
        <v>1055</v>
      </c>
      <c r="G1372" s="85" t="s">
        <v>469</v>
      </c>
      <c r="H1372" s="85" t="s">
        <v>1039</v>
      </c>
      <c r="I1372" s="85">
        <v>0.3</v>
      </c>
      <c r="J1372" s="87">
        <v>20</v>
      </c>
      <c r="K1372" s="88">
        <f t="shared" si="66"/>
        <v>6</v>
      </c>
      <c r="L1372" s="85">
        <v>5624</v>
      </c>
    </row>
    <row r="1373" spans="1:12" x14ac:dyDescent="0.25">
      <c r="A1373" s="84" t="str">
        <f t="shared" si="64"/>
        <v>OutubroSEMANA 4Ovos Extra</v>
      </c>
      <c r="B1373" s="85" t="s">
        <v>37</v>
      </c>
      <c r="C1373" s="85" t="s">
        <v>23</v>
      </c>
      <c r="D1373" s="86">
        <v>25</v>
      </c>
      <c r="E1373" s="116" t="str">
        <f t="shared" si="65"/>
        <v>Hortifruti</v>
      </c>
      <c r="F1373" s="85" t="s">
        <v>1055</v>
      </c>
      <c r="G1373" s="85" t="s">
        <v>550</v>
      </c>
      <c r="H1373" s="85" t="s">
        <v>1038</v>
      </c>
      <c r="I1373" s="85">
        <v>360</v>
      </c>
      <c r="J1373" s="87">
        <f>96/360</f>
        <v>0.26666666666666666</v>
      </c>
      <c r="K1373" s="88">
        <f t="shared" si="66"/>
        <v>96</v>
      </c>
      <c r="L1373" s="85">
        <v>5624</v>
      </c>
    </row>
    <row r="1374" spans="1:12" x14ac:dyDescent="0.25">
      <c r="A1374" s="84" t="str">
        <f t="shared" si="64"/>
        <v>OutubroSEMANA 4Cenoura  Sushi</v>
      </c>
      <c r="B1374" s="85" t="s">
        <v>37</v>
      </c>
      <c r="C1374" s="85" t="s">
        <v>23</v>
      </c>
      <c r="D1374" s="86">
        <v>25</v>
      </c>
      <c r="E1374" s="116" t="str">
        <f t="shared" si="65"/>
        <v>Sushi</v>
      </c>
      <c r="F1374" s="85" t="s">
        <v>1054</v>
      </c>
      <c r="G1374" s="85" t="s">
        <v>250</v>
      </c>
      <c r="H1374" s="85" t="s">
        <v>1039</v>
      </c>
      <c r="I1374" s="85">
        <v>0.2</v>
      </c>
      <c r="J1374" s="87">
        <f>48/17.86</f>
        <v>2.6875699888017919</v>
      </c>
      <c r="K1374" s="88">
        <f t="shared" si="66"/>
        <v>0.53751399776035835</v>
      </c>
      <c r="L1374" s="85">
        <v>2019</v>
      </c>
    </row>
    <row r="1375" spans="1:12" x14ac:dyDescent="0.25">
      <c r="A1375" s="84" t="str">
        <f t="shared" si="64"/>
        <v>OutubroSEMANA 4Abobora</v>
      </c>
      <c r="B1375" s="85" t="s">
        <v>37</v>
      </c>
      <c r="C1375" s="85" t="s">
        <v>23</v>
      </c>
      <c r="D1375" s="86">
        <v>26</v>
      </c>
      <c r="E1375" s="116" t="str">
        <f t="shared" si="65"/>
        <v>Hortifruti</v>
      </c>
      <c r="F1375" s="85" t="s">
        <v>1110</v>
      </c>
      <c r="G1375" s="85" t="s">
        <v>68</v>
      </c>
      <c r="H1375" s="85" t="s">
        <v>1039</v>
      </c>
      <c r="I1375" s="85">
        <v>10</v>
      </c>
      <c r="J1375" s="87">
        <v>1.88</v>
      </c>
      <c r="K1375" s="88">
        <f t="shared" si="66"/>
        <v>18.799999999999997</v>
      </c>
      <c r="L1375" s="85" t="s">
        <v>1281</v>
      </c>
    </row>
    <row r="1376" spans="1:12" x14ac:dyDescent="0.25">
      <c r="A1376" s="84" t="str">
        <f t="shared" si="64"/>
        <v>OutubroSEMANA 4Aipo</v>
      </c>
      <c r="B1376" s="85" t="s">
        <v>37</v>
      </c>
      <c r="C1376" s="85" t="s">
        <v>23</v>
      </c>
      <c r="D1376" s="86">
        <v>26</v>
      </c>
      <c r="E1376" s="116" t="str">
        <f t="shared" si="65"/>
        <v>Hortifruti</v>
      </c>
      <c r="F1376" s="85" t="s">
        <v>1110</v>
      </c>
      <c r="G1376" s="85" t="s">
        <v>96</v>
      </c>
      <c r="H1376" s="85" t="s">
        <v>1039</v>
      </c>
      <c r="I1376" s="85">
        <v>1</v>
      </c>
      <c r="J1376" s="87">
        <v>3.9</v>
      </c>
      <c r="K1376" s="88">
        <f t="shared" si="66"/>
        <v>3.9</v>
      </c>
      <c r="L1376" s="85" t="s">
        <v>1281</v>
      </c>
    </row>
    <row r="1377" spans="1:12" x14ac:dyDescent="0.25">
      <c r="A1377" s="84" t="str">
        <f t="shared" si="64"/>
        <v>OutubroSEMANA 4Coentro</v>
      </c>
      <c r="B1377" s="85" t="s">
        <v>37</v>
      </c>
      <c r="C1377" s="85" t="s">
        <v>23</v>
      </c>
      <c r="D1377" s="86">
        <v>26</v>
      </c>
      <c r="E1377" s="116" t="str">
        <f t="shared" si="65"/>
        <v>Hortifruti</v>
      </c>
      <c r="F1377" s="85" t="s">
        <v>1110</v>
      </c>
      <c r="G1377" s="85" t="s">
        <v>289</v>
      </c>
      <c r="H1377" s="85" t="s">
        <v>1039</v>
      </c>
      <c r="I1377" s="85">
        <v>1</v>
      </c>
      <c r="J1377" s="87">
        <v>11.25</v>
      </c>
      <c r="K1377" s="88">
        <f t="shared" si="66"/>
        <v>11.25</v>
      </c>
      <c r="L1377" s="85" t="s">
        <v>1281</v>
      </c>
    </row>
    <row r="1378" spans="1:12" x14ac:dyDescent="0.25">
      <c r="A1378" s="84" t="str">
        <f t="shared" si="64"/>
        <v xml:space="preserve">OutubroSEMANA 4Melão de Rede </v>
      </c>
      <c r="B1378" s="85" t="s">
        <v>37</v>
      </c>
      <c r="C1378" s="85" t="s">
        <v>23</v>
      </c>
      <c r="D1378" s="86">
        <v>26</v>
      </c>
      <c r="E1378" s="116" t="str">
        <f t="shared" si="65"/>
        <v>Hortifruti</v>
      </c>
      <c r="F1378" s="85" t="s">
        <v>1110</v>
      </c>
      <c r="G1378" s="85" t="s">
        <v>518</v>
      </c>
      <c r="H1378" s="85" t="s">
        <v>1039</v>
      </c>
      <c r="I1378" s="85">
        <v>4.1399999999999997</v>
      </c>
      <c r="J1378" s="87">
        <v>5</v>
      </c>
      <c r="K1378" s="88">
        <f t="shared" si="66"/>
        <v>20.7</v>
      </c>
      <c r="L1378" s="85" t="s">
        <v>1281</v>
      </c>
    </row>
    <row r="1379" spans="1:12" x14ac:dyDescent="0.25">
      <c r="A1379" s="84" t="str">
        <f t="shared" si="64"/>
        <v>OutubroSEMANA 4Pimentão Verde</v>
      </c>
      <c r="B1379" s="85" t="s">
        <v>37</v>
      </c>
      <c r="C1379" s="85" t="s">
        <v>23</v>
      </c>
      <c r="D1379" s="86">
        <v>26</v>
      </c>
      <c r="E1379" s="116" t="str">
        <f t="shared" si="65"/>
        <v>Hortifruti</v>
      </c>
      <c r="F1379" s="85" t="s">
        <v>1110</v>
      </c>
      <c r="G1379" s="85" t="s">
        <v>666</v>
      </c>
      <c r="H1379" s="85" t="s">
        <v>1039</v>
      </c>
      <c r="I1379" s="85">
        <v>1</v>
      </c>
      <c r="J1379" s="87">
        <v>2.79</v>
      </c>
      <c r="K1379" s="88">
        <f t="shared" si="66"/>
        <v>2.79</v>
      </c>
      <c r="L1379" s="85" t="s">
        <v>1281</v>
      </c>
    </row>
    <row r="1380" spans="1:12" x14ac:dyDescent="0.25">
      <c r="A1380" s="84" t="str">
        <f t="shared" si="64"/>
        <v>OutubroSEMANA 4Gelo em Cubo</v>
      </c>
      <c r="B1380" s="85" t="s">
        <v>37</v>
      </c>
      <c r="C1380" s="85" t="s">
        <v>23</v>
      </c>
      <c r="D1380" s="86">
        <v>26</v>
      </c>
      <c r="E1380" s="116" t="str">
        <f t="shared" si="65"/>
        <v>Mercado</v>
      </c>
      <c r="F1380" s="85" t="s">
        <v>1040</v>
      </c>
      <c r="G1380" s="85" t="s">
        <v>383</v>
      </c>
      <c r="H1380" s="85" t="s">
        <v>1041</v>
      </c>
      <c r="I1380" s="85">
        <v>2</v>
      </c>
      <c r="J1380" s="87">
        <v>7.5</v>
      </c>
      <c r="K1380" s="88">
        <f t="shared" si="66"/>
        <v>15</v>
      </c>
      <c r="L1380" s="85">
        <v>11663</v>
      </c>
    </row>
    <row r="1381" spans="1:12" x14ac:dyDescent="0.25">
      <c r="A1381" s="84" t="str">
        <f t="shared" si="64"/>
        <v xml:space="preserve">OutubroSEMANA 4Abobrinha </v>
      </c>
      <c r="B1381" s="85" t="s">
        <v>37</v>
      </c>
      <c r="C1381" s="85" t="s">
        <v>23</v>
      </c>
      <c r="D1381" s="86">
        <v>26</v>
      </c>
      <c r="E1381" s="116" t="str">
        <f t="shared" si="65"/>
        <v>Hortifruti</v>
      </c>
      <c r="F1381" s="85" t="s">
        <v>1054</v>
      </c>
      <c r="G1381" s="85" t="s">
        <v>72</v>
      </c>
      <c r="H1381" s="85" t="s">
        <v>1039</v>
      </c>
      <c r="I1381" s="85">
        <v>16.739999999999998</v>
      </c>
      <c r="J1381" s="87">
        <f>20/16.74</f>
        <v>1.1947431302270013</v>
      </c>
      <c r="K1381" s="88">
        <f t="shared" si="66"/>
        <v>20</v>
      </c>
      <c r="L1381" s="85">
        <v>2034</v>
      </c>
    </row>
    <row r="1382" spans="1:12" x14ac:dyDescent="0.25">
      <c r="A1382" s="84" t="str">
        <f t="shared" si="64"/>
        <v>OutubroSEMANA 4Batata Doce</v>
      </c>
      <c r="B1382" s="85" t="s">
        <v>37</v>
      </c>
      <c r="C1382" s="85" t="s">
        <v>23</v>
      </c>
      <c r="D1382" s="86">
        <v>26</v>
      </c>
      <c r="E1382" s="116" t="str">
        <f t="shared" si="65"/>
        <v>Hortifruti</v>
      </c>
      <c r="F1382" s="85" t="s">
        <v>1054</v>
      </c>
      <c r="G1382" s="85" t="s">
        <v>170</v>
      </c>
      <c r="H1382" s="85" t="s">
        <v>1039</v>
      </c>
      <c r="I1382" s="85">
        <v>20.48</v>
      </c>
      <c r="J1382" s="87">
        <f>35/20.48</f>
        <v>1.708984375</v>
      </c>
      <c r="K1382" s="88">
        <f t="shared" si="66"/>
        <v>35</v>
      </c>
      <c r="L1382" s="85">
        <v>2034</v>
      </c>
    </row>
    <row r="1383" spans="1:12" x14ac:dyDescent="0.25">
      <c r="A1383" s="84" t="str">
        <f t="shared" si="64"/>
        <v>OutubroSEMANA 4Berinjela</v>
      </c>
      <c r="B1383" s="85" t="s">
        <v>37</v>
      </c>
      <c r="C1383" s="85" t="s">
        <v>23</v>
      </c>
      <c r="D1383" s="86">
        <v>26</v>
      </c>
      <c r="E1383" s="116" t="str">
        <f t="shared" si="65"/>
        <v>Hortifruti</v>
      </c>
      <c r="F1383" s="85" t="s">
        <v>1054</v>
      </c>
      <c r="G1383" s="85" t="s">
        <v>178</v>
      </c>
      <c r="H1383" s="85" t="s">
        <v>1039</v>
      </c>
      <c r="I1383" s="85">
        <v>10.32</v>
      </c>
      <c r="J1383" s="87">
        <f>30/10.32</f>
        <v>2.9069767441860463</v>
      </c>
      <c r="K1383" s="88">
        <f t="shared" si="66"/>
        <v>30</v>
      </c>
      <c r="L1383" s="85">
        <v>2034</v>
      </c>
    </row>
    <row r="1384" spans="1:12" x14ac:dyDescent="0.25">
      <c r="A1384" s="84" t="str">
        <f t="shared" si="64"/>
        <v>OutubroSEMANA 4Cebola Roxa</v>
      </c>
      <c r="B1384" s="85" t="s">
        <v>37</v>
      </c>
      <c r="C1384" s="85" t="s">
        <v>23</v>
      </c>
      <c r="D1384" s="86">
        <v>26</v>
      </c>
      <c r="E1384" s="116" t="str">
        <f t="shared" si="65"/>
        <v>Hortifruti</v>
      </c>
      <c r="F1384" s="85" t="s">
        <v>1054</v>
      </c>
      <c r="G1384" s="85" t="s">
        <v>244</v>
      </c>
      <c r="H1384" s="85" t="s">
        <v>1039</v>
      </c>
      <c r="I1384" s="85">
        <v>5</v>
      </c>
      <c r="J1384" s="87">
        <v>5</v>
      </c>
      <c r="K1384" s="88">
        <f t="shared" si="66"/>
        <v>25</v>
      </c>
      <c r="L1384" s="85">
        <v>2034</v>
      </c>
    </row>
    <row r="1385" spans="1:12" x14ac:dyDescent="0.25">
      <c r="A1385" s="84" t="str">
        <f t="shared" si="64"/>
        <v>OutubroSEMANA 4Gengibre</v>
      </c>
      <c r="B1385" s="85" t="s">
        <v>37</v>
      </c>
      <c r="C1385" s="85" t="s">
        <v>23</v>
      </c>
      <c r="D1385" s="86">
        <v>26</v>
      </c>
      <c r="E1385" s="116" t="str">
        <f t="shared" si="65"/>
        <v>Hortifruti</v>
      </c>
      <c r="F1385" s="85" t="s">
        <v>1054</v>
      </c>
      <c r="G1385" s="85" t="s">
        <v>385</v>
      </c>
      <c r="H1385" s="85" t="s">
        <v>1039</v>
      </c>
      <c r="I1385" s="85">
        <v>11.78</v>
      </c>
      <c r="J1385" s="87">
        <f>80/11.78</f>
        <v>6.7911714770797964</v>
      </c>
      <c r="K1385" s="88">
        <f t="shared" si="66"/>
        <v>80</v>
      </c>
      <c r="L1385" s="85">
        <v>2034</v>
      </c>
    </row>
    <row r="1386" spans="1:12" x14ac:dyDescent="0.25">
      <c r="A1386" s="84" t="str">
        <f t="shared" si="64"/>
        <v>OutubroSEMANA 4Cebolinha Verde</v>
      </c>
      <c r="B1386" s="85" t="s">
        <v>37</v>
      </c>
      <c r="C1386" s="85" t="s">
        <v>23</v>
      </c>
      <c r="D1386" s="86">
        <v>26</v>
      </c>
      <c r="E1386" s="116" t="str">
        <f t="shared" si="65"/>
        <v>Hortifruti</v>
      </c>
      <c r="F1386" s="85" t="s">
        <v>1054</v>
      </c>
      <c r="G1386" s="85" t="s">
        <v>247</v>
      </c>
      <c r="H1386" s="85" t="s">
        <v>1039</v>
      </c>
      <c r="I1386" s="85">
        <v>1</v>
      </c>
      <c r="J1386" s="87">
        <v>7</v>
      </c>
      <c r="K1386" s="88">
        <f t="shared" si="66"/>
        <v>7</v>
      </c>
      <c r="L1386" s="85">
        <v>2034</v>
      </c>
    </row>
    <row r="1387" spans="1:12" x14ac:dyDescent="0.25">
      <c r="A1387" s="84" t="str">
        <f t="shared" si="64"/>
        <v>OutubroSEMANA 4Espinafre</v>
      </c>
      <c r="B1387" s="85" t="s">
        <v>37</v>
      </c>
      <c r="C1387" s="85" t="s">
        <v>23</v>
      </c>
      <c r="D1387" s="86">
        <v>26</v>
      </c>
      <c r="E1387" s="116" t="str">
        <f t="shared" si="65"/>
        <v>Hortifruti</v>
      </c>
      <c r="F1387" s="85" t="s">
        <v>1054</v>
      </c>
      <c r="G1387" s="85" t="s">
        <v>332</v>
      </c>
      <c r="H1387" s="85" t="s">
        <v>1039</v>
      </c>
      <c r="I1387" s="85">
        <v>5</v>
      </c>
      <c r="J1387" s="87">
        <v>4.8</v>
      </c>
      <c r="K1387" s="88">
        <f t="shared" si="66"/>
        <v>24</v>
      </c>
      <c r="L1387" s="85">
        <v>2034</v>
      </c>
    </row>
    <row r="1388" spans="1:12" x14ac:dyDescent="0.25">
      <c r="A1388" s="84" t="str">
        <f t="shared" si="64"/>
        <v>OutubroSEMANA 4Nabo Japonês</v>
      </c>
      <c r="B1388" s="85" t="s">
        <v>37</v>
      </c>
      <c r="C1388" s="85" t="s">
        <v>23</v>
      </c>
      <c r="D1388" s="86">
        <v>26</v>
      </c>
      <c r="E1388" s="116" t="str">
        <f t="shared" si="65"/>
        <v>Hortifruti</v>
      </c>
      <c r="F1388" s="85" t="s">
        <v>1054</v>
      </c>
      <c r="G1388" s="85" t="s">
        <v>536</v>
      </c>
      <c r="H1388" s="85" t="s">
        <v>1039</v>
      </c>
      <c r="I1388" s="85">
        <v>2.5</v>
      </c>
      <c r="J1388" s="87">
        <v>7</v>
      </c>
      <c r="K1388" s="88">
        <f t="shared" si="66"/>
        <v>17.5</v>
      </c>
      <c r="L1388" s="85">
        <v>2034</v>
      </c>
    </row>
    <row r="1389" spans="1:12" x14ac:dyDescent="0.25">
      <c r="A1389" s="84" t="str">
        <f t="shared" si="64"/>
        <v>OutubroSEMANA 4Pimenta Dedo de Moça</v>
      </c>
      <c r="B1389" s="85" t="s">
        <v>37</v>
      </c>
      <c r="C1389" s="85" t="s">
        <v>23</v>
      </c>
      <c r="D1389" s="86">
        <v>26</v>
      </c>
      <c r="E1389" s="116" t="str">
        <f t="shared" si="65"/>
        <v>Hortifruti</v>
      </c>
      <c r="F1389" s="85" t="s">
        <v>1054</v>
      </c>
      <c r="G1389" s="85" t="s">
        <v>657</v>
      </c>
      <c r="H1389" s="85" t="s">
        <v>1039</v>
      </c>
      <c r="I1389" s="85">
        <v>0.1</v>
      </c>
      <c r="J1389" s="87">
        <v>20</v>
      </c>
      <c r="K1389" s="88">
        <f t="shared" si="66"/>
        <v>2</v>
      </c>
      <c r="L1389" s="85">
        <v>2034</v>
      </c>
    </row>
    <row r="1390" spans="1:12" x14ac:dyDescent="0.25">
      <c r="A1390" s="84" t="str">
        <f t="shared" si="64"/>
        <v xml:space="preserve">OutubroSEMANA 4Abacate </v>
      </c>
      <c r="B1390" s="85" t="s">
        <v>37</v>
      </c>
      <c r="C1390" s="85" t="s">
        <v>23</v>
      </c>
      <c r="D1390" s="86">
        <v>26</v>
      </c>
      <c r="E1390" s="116" t="str">
        <f t="shared" si="65"/>
        <v>Hortifruti</v>
      </c>
      <c r="F1390" s="85" t="s">
        <v>1054</v>
      </c>
      <c r="G1390" s="85" t="s">
        <v>62</v>
      </c>
      <c r="H1390" s="85" t="s">
        <v>1039</v>
      </c>
      <c r="I1390" s="85">
        <v>8</v>
      </c>
      <c r="J1390" s="87">
        <v>8</v>
      </c>
      <c r="K1390" s="88">
        <f t="shared" si="66"/>
        <v>64</v>
      </c>
      <c r="L1390" s="85">
        <v>2034</v>
      </c>
    </row>
    <row r="1391" spans="1:12" x14ac:dyDescent="0.25">
      <c r="A1391" s="84" t="str">
        <f t="shared" si="64"/>
        <v xml:space="preserve">OutubroSEMANA 4Biscoito de Milho Café </v>
      </c>
      <c r="B1391" s="85" t="s">
        <v>37</v>
      </c>
      <c r="C1391" s="85" t="s">
        <v>23</v>
      </c>
      <c r="D1391" s="86">
        <v>26</v>
      </c>
      <c r="E1391" s="116" t="str">
        <f t="shared" si="65"/>
        <v>Mercado</v>
      </c>
      <c r="F1391" s="85" t="s">
        <v>1164</v>
      </c>
      <c r="G1391" s="85" t="s">
        <v>183</v>
      </c>
      <c r="H1391" s="85" t="s">
        <v>1039</v>
      </c>
      <c r="I1391" s="85">
        <f>3*2.8</f>
        <v>8.3999999999999986</v>
      </c>
      <c r="J1391" s="87">
        <f>248.58/11.2</f>
        <v>22.19464285714286</v>
      </c>
      <c r="K1391" s="88">
        <f t="shared" si="66"/>
        <v>186.435</v>
      </c>
      <c r="L1391" s="85">
        <v>31110</v>
      </c>
    </row>
    <row r="1392" spans="1:12" x14ac:dyDescent="0.25">
      <c r="A1392" s="84" t="str">
        <f t="shared" si="64"/>
        <v xml:space="preserve">OutubroSEMANA 4Biscoito de Milho Venda </v>
      </c>
      <c r="B1392" s="85" t="s">
        <v>37</v>
      </c>
      <c r="C1392" s="85" t="s">
        <v>23</v>
      </c>
      <c r="D1392" s="86">
        <v>26</v>
      </c>
      <c r="E1392" s="116" t="str">
        <f t="shared" si="65"/>
        <v>Vendas Caixa</v>
      </c>
      <c r="F1392" s="85" t="s">
        <v>1164</v>
      </c>
      <c r="G1392" s="85" t="s">
        <v>184</v>
      </c>
      <c r="H1392" s="85" t="s">
        <v>1039</v>
      </c>
      <c r="I1392" s="85">
        <v>2.8</v>
      </c>
      <c r="J1392" s="87">
        <f>248.58/11.2</f>
        <v>22.19464285714286</v>
      </c>
      <c r="K1392" s="88">
        <f t="shared" si="66"/>
        <v>62.145000000000003</v>
      </c>
      <c r="L1392" s="85">
        <v>31110</v>
      </c>
    </row>
    <row r="1393" spans="1:12" x14ac:dyDescent="0.25">
      <c r="A1393" s="84" t="str">
        <f t="shared" si="64"/>
        <v>OutubroSEMANA 4Carne Bovina - Picanha Grill/Churrascaria</v>
      </c>
      <c r="B1393" s="85" t="s">
        <v>37</v>
      </c>
      <c r="C1393" s="85" t="s">
        <v>23</v>
      </c>
      <c r="D1393" s="86">
        <v>26</v>
      </c>
      <c r="E1393" s="116" t="str">
        <f t="shared" si="65"/>
        <v>Carnes</v>
      </c>
      <c r="F1393" s="85" t="s">
        <v>1078</v>
      </c>
      <c r="G1393" s="85" t="s">
        <v>233</v>
      </c>
      <c r="H1393" s="85" t="s">
        <v>1039</v>
      </c>
      <c r="I1393" s="85">
        <v>41.08</v>
      </c>
      <c r="J1393" s="87">
        <v>36.6</v>
      </c>
      <c r="K1393" s="88">
        <f t="shared" si="66"/>
        <v>1503.528</v>
      </c>
      <c r="L1393" s="85" t="s">
        <v>1279</v>
      </c>
    </row>
    <row r="1394" spans="1:12" x14ac:dyDescent="0.25">
      <c r="A1394" s="84" t="str">
        <f t="shared" si="64"/>
        <v>OutubroSEMANA 4Pescados - Filé Truta Cong.</v>
      </c>
      <c r="B1394" s="85" t="s">
        <v>37</v>
      </c>
      <c r="C1394" s="85" t="s">
        <v>23</v>
      </c>
      <c r="D1394" s="86">
        <v>26</v>
      </c>
      <c r="E1394" s="116" t="str">
        <f t="shared" si="65"/>
        <v>Carnes</v>
      </c>
      <c r="F1394" s="85" t="s">
        <v>1104</v>
      </c>
      <c r="G1394" s="85" t="s">
        <v>617</v>
      </c>
      <c r="H1394" s="85" t="s">
        <v>1039</v>
      </c>
      <c r="I1394" s="85">
        <v>24</v>
      </c>
      <c r="J1394" s="87">
        <v>26</v>
      </c>
      <c r="K1394" s="88">
        <f t="shared" si="66"/>
        <v>624</v>
      </c>
      <c r="L1394" s="85" t="s">
        <v>1280</v>
      </c>
    </row>
    <row r="1395" spans="1:12" x14ac:dyDescent="0.25">
      <c r="A1395" s="84" t="str">
        <f t="shared" si="64"/>
        <v>OutubroSEMANA 4Cogumelo Paris</v>
      </c>
      <c r="B1395" s="85" t="s">
        <v>37</v>
      </c>
      <c r="C1395" s="85" t="s">
        <v>23</v>
      </c>
      <c r="D1395" s="86">
        <v>26</v>
      </c>
      <c r="E1395" s="116" t="str">
        <f t="shared" si="65"/>
        <v>Mercado</v>
      </c>
      <c r="F1395" s="85" t="s">
        <v>1104</v>
      </c>
      <c r="G1395" s="85" t="s">
        <v>292</v>
      </c>
      <c r="H1395" s="85" t="s">
        <v>1039</v>
      </c>
      <c r="I1395" s="85">
        <v>6</v>
      </c>
      <c r="J1395" s="87">
        <v>15.5</v>
      </c>
      <c r="K1395" s="88">
        <f t="shared" si="66"/>
        <v>93</v>
      </c>
      <c r="L1395" s="85" t="s">
        <v>1280</v>
      </c>
    </row>
    <row r="1396" spans="1:12" x14ac:dyDescent="0.25">
      <c r="A1396" s="84" t="str">
        <f t="shared" si="64"/>
        <v>OutubroSEMANA 4Côco Seco</v>
      </c>
      <c r="B1396" s="85" t="s">
        <v>37</v>
      </c>
      <c r="C1396" s="85" t="s">
        <v>23</v>
      </c>
      <c r="D1396" s="86">
        <v>26</v>
      </c>
      <c r="E1396" s="116" t="str">
        <f t="shared" si="65"/>
        <v>Mercado</v>
      </c>
      <c r="F1396" s="85" t="s">
        <v>1055</v>
      </c>
      <c r="G1396" s="85" t="s">
        <v>287</v>
      </c>
      <c r="H1396" s="85" t="s">
        <v>1039</v>
      </c>
      <c r="I1396" s="85">
        <v>1</v>
      </c>
      <c r="J1396" s="87">
        <v>6.9</v>
      </c>
      <c r="K1396" s="88">
        <f t="shared" si="66"/>
        <v>6.9</v>
      </c>
      <c r="L1396" s="85">
        <v>5717</v>
      </c>
    </row>
    <row r="1397" spans="1:12" x14ac:dyDescent="0.25">
      <c r="A1397" s="84" t="str">
        <f t="shared" si="64"/>
        <v>OutubroSEMANA 4Repolho</v>
      </c>
      <c r="B1397" s="85" t="s">
        <v>37</v>
      </c>
      <c r="C1397" s="85" t="s">
        <v>23</v>
      </c>
      <c r="D1397" s="86">
        <v>26</v>
      </c>
      <c r="E1397" s="116" t="str">
        <f t="shared" si="65"/>
        <v>Hortifruti</v>
      </c>
      <c r="F1397" s="85" t="s">
        <v>1055</v>
      </c>
      <c r="G1397" s="85" t="s">
        <v>701</v>
      </c>
      <c r="H1397" s="85" t="s">
        <v>1039</v>
      </c>
      <c r="I1397" s="85">
        <v>3</v>
      </c>
      <c r="J1397" s="87">
        <v>1.2</v>
      </c>
      <c r="K1397" s="88">
        <f t="shared" si="66"/>
        <v>3.5999999999999996</v>
      </c>
      <c r="L1397" s="85">
        <v>5717</v>
      </c>
    </row>
    <row r="1398" spans="1:12" x14ac:dyDescent="0.25">
      <c r="A1398" s="84" t="str">
        <f t="shared" si="64"/>
        <v>OutubroSEMANA 4Tomate Salada</v>
      </c>
      <c r="B1398" s="85" t="s">
        <v>37</v>
      </c>
      <c r="C1398" s="85" t="s">
        <v>23</v>
      </c>
      <c r="D1398" s="86">
        <v>26</v>
      </c>
      <c r="E1398" s="116" t="str">
        <f t="shared" si="65"/>
        <v>Hortifruti</v>
      </c>
      <c r="F1398" s="85" t="s">
        <v>1055</v>
      </c>
      <c r="G1398" s="85" t="s">
        <v>795</v>
      </c>
      <c r="H1398" s="85" t="s">
        <v>1039</v>
      </c>
      <c r="I1398" s="85">
        <v>20.36</v>
      </c>
      <c r="J1398" s="87">
        <f>36.5/20.36</f>
        <v>1.7927308447937131</v>
      </c>
      <c r="K1398" s="88">
        <f t="shared" si="66"/>
        <v>36.5</v>
      </c>
      <c r="L1398" s="85">
        <v>5717</v>
      </c>
    </row>
    <row r="1399" spans="1:12" x14ac:dyDescent="0.25">
      <c r="A1399" s="84" t="str">
        <f t="shared" si="64"/>
        <v>OutubroSEMANA 4Acelga</v>
      </c>
      <c r="B1399" s="85" t="s">
        <v>37</v>
      </c>
      <c r="C1399" s="85" t="s">
        <v>23</v>
      </c>
      <c r="D1399" s="86">
        <v>26</v>
      </c>
      <c r="E1399" s="116" t="str">
        <f t="shared" si="65"/>
        <v>Hortifruti</v>
      </c>
      <c r="F1399" s="85" t="s">
        <v>1055</v>
      </c>
      <c r="G1399" s="85" t="s">
        <v>75</v>
      </c>
      <c r="H1399" s="85" t="s">
        <v>1039</v>
      </c>
      <c r="I1399" s="85">
        <v>3</v>
      </c>
      <c r="J1399" s="87">
        <v>2.2000000000000002</v>
      </c>
      <c r="K1399" s="88">
        <f t="shared" si="66"/>
        <v>6.6000000000000005</v>
      </c>
      <c r="L1399" s="85">
        <v>5717</v>
      </c>
    </row>
    <row r="1400" spans="1:12" x14ac:dyDescent="0.25">
      <c r="A1400" s="84" t="str">
        <f t="shared" si="64"/>
        <v xml:space="preserve">OutubroSEMANA 4Alface Americana    </v>
      </c>
      <c r="B1400" s="85" t="s">
        <v>37</v>
      </c>
      <c r="C1400" s="85" t="s">
        <v>23</v>
      </c>
      <c r="D1400" s="86">
        <v>26</v>
      </c>
      <c r="E1400" s="116" t="str">
        <f t="shared" si="65"/>
        <v>Hortifruti</v>
      </c>
      <c r="F1400" s="85" t="s">
        <v>1055</v>
      </c>
      <c r="G1400" s="85" t="s">
        <v>102</v>
      </c>
      <c r="H1400" s="85" t="s">
        <v>1039</v>
      </c>
      <c r="I1400" s="85">
        <v>7.64</v>
      </c>
      <c r="J1400" s="87">
        <f>12.5/7.64</f>
        <v>1.6361256544502618</v>
      </c>
      <c r="K1400" s="88">
        <f t="shared" si="66"/>
        <v>12.5</v>
      </c>
      <c r="L1400" s="85">
        <v>5717</v>
      </c>
    </row>
    <row r="1401" spans="1:12" x14ac:dyDescent="0.25">
      <c r="A1401" s="84" t="str">
        <f t="shared" si="64"/>
        <v>OutubroSEMANA 4Côco Verde</v>
      </c>
      <c r="B1401" s="85" t="s">
        <v>37</v>
      </c>
      <c r="C1401" s="85" t="s">
        <v>23</v>
      </c>
      <c r="D1401" s="86">
        <v>26</v>
      </c>
      <c r="E1401" s="116" t="str">
        <f t="shared" si="65"/>
        <v>Hortifruti</v>
      </c>
      <c r="F1401" s="85" t="s">
        <v>1055</v>
      </c>
      <c r="G1401" s="85" t="s">
        <v>288</v>
      </c>
      <c r="H1401" s="85" t="s">
        <v>1038</v>
      </c>
      <c r="I1401" s="85">
        <v>10</v>
      </c>
      <c r="J1401" s="87">
        <v>1.98</v>
      </c>
      <c r="K1401" s="88">
        <f t="shared" si="66"/>
        <v>19.8</v>
      </c>
      <c r="L1401" s="85">
        <v>5717</v>
      </c>
    </row>
    <row r="1402" spans="1:12" x14ac:dyDescent="0.25">
      <c r="A1402" s="84" t="str">
        <f t="shared" si="64"/>
        <v>OutubroSEMANA 4Couve Manteiga</v>
      </c>
      <c r="B1402" s="85" t="s">
        <v>37</v>
      </c>
      <c r="C1402" s="85" t="s">
        <v>23</v>
      </c>
      <c r="D1402" s="86">
        <v>26</v>
      </c>
      <c r="E1402" s="116" t="str">
        <f t="shared" si="65"/>
        <v>Hortifruti</v>
      </c>
      <c r="F1402" s="85" t="s">
        <v>1055</v>
      </c>
      <c r="G1402" s="85" t="s">
        <v>307</v>
      </c>
      <c r="H1402" s="85" t="s">
        <v>1039</v>
      </c>
      <c r="I1402" s="85">
        <v>12</v>
      </c>
      <c r="J1402" s="87">
        <v>3</v>
      </c>
      <c r="K1402" s="88">
        <f t="shared" si="66"/>
        <v>36</v>
      </c>
      <c r="L1402" s="85">
        <v>5717</v>
      </c>
    </row>
    <row r="1403" spans="1:12" x14ac:dyDescent="0.25">
      <c r="A1403" s="84" t="str">
        <f t="shared" si="64"/>
        <v>OutubroSEMANA 4Mamão Bahia</v>
      </c>
      <c r="B1403" s="85" t="s">
        <v>37</v>
      </c>
      <c r="C1403" s="85" t="s">
        <v>23</v>
      </c>
      <c r="D1403" s="86">
        <v>26</v>
      </c>
      <c r="E1403" s="116" t="str">
        <f t="shared" si="65"/>
        <v>Hortifruti</v>
      </c>
      <c r="F1403" s="85" t="s">
        <v>1055</v>
      </c>
      <c r="G1403" s="85" t="s">
        <v>494</v>
      </c>
      <c r="H1403" s="85" t="s">
        <v>1039</v>
      </c>
      <c r="I1403" s="85">
        <v>4.9000000000000004</v>
      </c>
      <c r="J1403" s="87">
        <v>2.4</v>
      </c>
      <c r="K1403" s="88">
        <f t="shared" si="66"/>
        <v>11.76</v>
      </c>
      <c r="L1403" s="85">
        <v>5717</v>
      </c>
    </row>
    <row r="1404" spans="1:12" x14ac:dyDescent="0.25">
      <c r="A1404" s="84" t="str">
        <f t="shared" si="64"/>
        <v>OutubroSEMANA 4Aipim</v>
      </c>
      <c r="B1404" s="85" t="s">
        <v>37</v>
      </c>
      <c r="C1404" s="85" t="s">
        <v>23</v>
      </c>
      <c r="D1404" s="86">
        <v>26</v>
      </c>
      <c r="E1404" s="116" t="str">
        <f t="shared" si="65"/>
        <v>Hortifruti</v>
      </c>
      <c r="F1404" s="85" t="s">
        <v>1042</v>
      </c>
      <c r="G1404" s="85" t="s">
        <v>95</v>
      </c>
      <c r="H1404" s="85" t="s">
        <v>1039</v>
      </c>
      <c r="I1404" s="85">
        <v>20</v>
      </c>
      <c r="J1404" s="87">
        <v>5</v>
      </c>
      <c r="K1404" s="88">
        <f t="shared" si="66"/>
        <v>100</v>
      </c>
      <c r="L1404" s="85"/>
    </row>
    <row r="1405" spans="1:12" x14ac:dyDescent="0.25">
      <c r="A1405" s="84" t="str">
        <f t="shared" si="64"/>
        <v>OutubroSEMANA 4Óleo de Gergelim</v>
      </c>
      <c r="B1405" s="85" t="s">
        <v>37</v>
      </c>
      <c r="C1405" s="85" t="s">
        <v>23</v>
      </c>
      <c r="D1405" s="86">
        <v>26</v>
      </c>
      <c r="E1405" s="116" t="str">
        <f t="shared" si="65"/>
        <v>Mercado</v>
      </c>
      <c r="F1405" s="85" t="s">
        <v>1128</v>
      </c>
      <c r="G1405" s="85" t="s">
        <v>544</v>
      </c>
      <c r="H1405" s="85" t="s">
        <v>1038</v>
      </c>
      <c r="I1405" s="85">
        <v>2</v>
      </c>
      <c r="J1405" s="87">
        <v>48.5</v>
      </c>
      <c r="K1405" s="88">
        <f t="shared" si="66"/>
        <v>97</v>
      </c>
      <c r="L1405" s="85">
        <v>7898</v>
      </c>
    </row>
    <row r="1406" spans="1:12" x14ac:dyDescent="0.25">
      <c r="A1406" s="84" t="str">
        <f t="shared" si="64"/>
        <v>OutubroSEMANA 4Shitake Sushi</v>
      </c>
      <c r="B1406" s="85" t="s">
        <v>37</v>
      </c>
      <c r="C1406" s="85" t="s">
        <v>23</v>
      </c>
      <c r="D1406" s="86">
        <v>26</v>
      </c>
      <c r="E1406" s="116" t="str">
        <f t="shared" si="65"/>
        <v>Sushi</v>
      </c>
      <c r="F1406" s="85" t="s">
        <v>1128</v>
      </c>
      <c r="G1406" s="85" t="s">
        <v>741</v>
      </c>
      <c r="H1406" s="85" t="s">
        <v>1039</v>
      </c>
      <c r="I1406" s="85">
        <v>0.5</v>
      </c>
      <c r="J1406" s="87">
        <v>140</v>
      </c>
      <c r="K1406" s="88">
        <f t="shared" si="66"/>
        <v>70</v>
      </c>
      <c r="L1406" s="85">
        <v>7898</v>
      </c>
    </row>
    <row r="1407" spans="1:12" x14ac:dyDescent="0.25">
      <c r="A1407" s="84" t="str">
        <f t="shared" si="64"/>
        <v>OutubroSEMANA 4Pimenta Japonesa (Kimuchi)</v>
      </c>
      <c r="B1407" s="85" t="s">
        <v>37</v>
      </c>
      <c r="C1407" s="85" t="s">
        <v>23</v>
      </c>
      <c r="D1407" s="86">
        <v>26</v>
      </c>
      <c r="E1407" s="116" t="str">
        <f t="shared" si="65"/>
        <v>Sushi</v>
      </c>
      <c r="F1407" s="85" t="s">
        <v>1128</v>
      </c>
      <c r="G1407" s="85" t="s">
        <v>659</v>
      </c>
      <c r="H1407" s="85" t="s">
        <v>1038</v>
      </c>
      <c r="I1407" s="85">
        <v>1</v>
      </c>
      <c r="J1407" s="87">
        <v>30</v>
      </c>
      <c r="K1407" s="88">
        <f t="shared" si="66"/>
        <v>30</v>
      </c>
      <c r="L1407" s="85">
        <v>7898</v>
      </c>
    </row>
    <row r="1408" spans="1:12" x14ac:dyDescent="0.25">
      <c r="A1408" s="84" t="str">
        <f t="shared" si="64"/>
        <v>OutubroSEMANA 4Sweet Chilli Sauce 650 ml</v>
      </c>
      <c r="B1408" s="85" t="s">
        <v>37</v>
      </c>
      <c r="C1408" s="85" t="s">
        <v>23</v>
      </c>
      <c r="D1408" s="86">
        <v>26</v>
      </c>
      <c r="E1408" s="116" t="str">
        <f t="shared" si="65"/>
        <v>Sushi</v>
      </c>
      <c r="F1408" s="85" t="s">
        <v>1128</v>
      </c>
      <c r="G1408" s="85" t="s">
        <v>971</v>
      </c>
      <c r="H1408" s="85" t="s">
        <v>1038</v>
      </c>
      <c r="I1408" s="85">
        <v>1</v>
      </c>
      <c r="J1408" s="87">
        <v>30</v>
      </c>
      <c r="K1408" s="88">
        <f t="shared" si="66"/>
        <v>30</v>
      </c>
      <c r="L1408" s="85">
        <v>7898</v>
      </c>
    </row>
    <row r="1409" spans="1:12" x14ac:dyDescent="0.25">
      <c r="A1409" s="84" t="str">
        <f t="shared" si="64"/>
        <v>OutubroSEMANA 4Carne Bovina - Peito</v>
      </c>
      <c r="B1409" s="85" t="s">
        <v>37</v>
      </c>
      <c r="C1409" s="85" t="s">
        <v>23</v>
      </c>
      <c r="D1409" s="86">
        <v>27</v>
      </c>
      <c r="E1409" s="116" t="str">
        <f t="shared" si="65"/>
        <v>Carnes</v>
      </c>
      <c r="F1409" s="85" t="s">
        <v>1282</v>
      </c>
      <c r="G1409" s="85" t="s">
        <v>231</v>
      </c>
      <c r="H1409" s="85" t="s">
        <v>1039</v>
      </c>
      <c r="I1409" s="85">
        <v>9.4</v>
      </c>
      <c r="J1409" s="87">
        <v>11.68</v>
      </c>
      <c r="K1409" s="88">
        <f t="shared" si="66"/>
        <v>109.792</v>
      </c>
      <c r="L1409" s="85" t="s">
        <v>1283</v>
      </c>
    </row>
    <row r="1410" spans="1:12" x14ac:dyDescent="0.25">
      <c r="A1410" s="84" t="str">
        <f t="shared" ref="A1410:A1473" si="67">CONCATENATE(B1410,C1410,G1410)</f>
        <v>OutubroSEMANA 4Queijo Parmezon</v>
      </c>
      <c r="B1410" s="85" t="s">
        <v>37</v>
      </c>
      <c r="C1410" s="85" t="s">
        <v>23</v>
      </c>
      <c r="D1410" s="86">
        <v>27</v>
      </c>
      <c r="E1410" s="116" t="str">
        <f t="shared" ref="E1410:E1473" si="68">VLOOKUP(G1410,$M$1:$O$968,3,0)</f>
        <v>Mercado</v>
      </c>
      <c r="F1410" s="85" t="s">
        <v>1282</v>
      </c>
      <c r="G1410" s="85" t="s">
        <v>686</v>
      </c>
      <c r="H1410" s="85" t="s">
        <v>1039</v>
      </c>
      <c r="I1410" s="85">
        <v>5.4</v>
      </c>
      <c r="J1410" s="87">
        <v>24.98</v>
      </c>
      <c r="K1410" s="88">
        <f t="shared" ref="K1410:K1473" si="69">I1410*J1410</f>
        <v>134.89200000000002</v>
      </c>
      <c r="L1410" s="85" t="s">
        <v>1283</v>
      </c>
    </row>
    <row r="1411" spans="1:12" x14ac:dyDescent="0.25">
      <c r="A1411" s="84" t="str">
        <f t="shared" si="67"/>
        <v>OutubroSEMANA 4Pescados - Filé Linguado Cong. M</v>
      </c>
      <c r="B1411" s="85" t="s">
        <v>37</v>
      </c>
      <c r="C1411" s="85" t="s">
        <v>23</v>
      </c>
      <c r="D1411" s="86">
        <v>27</v>
      </c>
      <c r="E1411" s="116" t="str">
        <f t="shared" si="68"/>
        <v>Carnes</v>
      </c>
      <c r="F1411" s="85" t="s">
        <v>1048</v>
      </c>
      <c r="G1411" s="85" t="s">
        <v>608</v>
      </c>
      <c r="H1411" s="85" t="s">
        <v>1039</v>
      </c>
      <c r="I1411" s="85">
        <v>20</v>
      </c>
      <c r="J1411" s="87">
        <v>28</v>
      </c>
      <c r="K1411" s="88">
        <f t="shared" si="69"/>
        <v>560</v>
      </c>
      <c r="L1411" s="85">
        <v>283816</v>
      </c>
    </row>
    <row r="1412" spans="1:12" x14ac:dyDescent="0.25">
      <c r="A1412" s="84" t="str">
        <f t="shared" si="67"/>
        <v>OutubroSEMANA 4Ameixa sem Caroço</v>
      </c>
      <c r="B1412" s="85" t="s">
        <v>37</v>
      </c>
      <c r="C1412" s="85" t="s">
        <v>23</v>
      </c>
      <c r="D1412" s="86">
        <v>27</v>
      </c>
      <c r="E1412" s="116" t="str">
        <f t="shared" si="68"/>
        <v>Mercado</v>
      </c>
      <c r="F1412" s="85" t="s">
        <v>1096</v>
      </c>
      <c r="G1412" s="85" t="s">
        <v>116</v>
      </c>
      <c r="H1412" s="85" t="s">
        <v>1039</v>
      </c>
      <c r="I1412" s="85">
        <v>1</v>
      </c>
      <c r="J1412" s="87">
        <v>15.9</v>
      </c>
      <c r="K1412" s="88">
        <f t="shared" si="69"/>
        <v>15.9</v>
      </c>
      <c r="L1412" s="85" t="s">
        <v>1284</v>
      </c>
    </row>
    <row r="1413" spans="1:12" x14ac:dyDescent="0.25">
      <c r="A1413" s="84" t="str">
        <f t="shared" si="67"/>
        <v>OutubroSEMANA 4Amendoim Torrado</v>
      </c>
      <c r="B1413" s="85" t="s">
        <v>37</v>
      </c>
      <c r="C1413" s="85" t="s">
        <v>23</v>
      </c>
      <c r="D1413" s="86">
        <v>27</v>
      </c>
      <c r="E1413" s="116" t="str">
        <f t="shared" si="68"/>
        <v>Mercado</v>
      </c>
      <c r="F1413" s="85" t="s">
        <v>1096</v>
      </c>
      <c r="G1413" s="85" t="s">
        <v>119</v>
      </c>
      <c r="H1413" s="85" t="s">
        <v>1039</v>
      </c>
      <c r="I1413" s="85">
        <v>1</v>
      </c>
      <c r="J1413" s="87">
        <v>15.5</v>
      </c>
      <c r="K1413" s="88">
        <f t="shared" si="69"/>
        <v>15.5</v>
      </c>
      <c r="L1413" s="85" t="s">
        <v>1284</v>
      </c>
    </row>
    <row r="1414" spans="1:12" x14ac:dyDescent="0.25">
      <c r="A1414" s="84" t="str">
        <f t="shared" si="67"/>
        <v>OutubroSEMANA 4Castanha de Caju Picada</v>
      </c>
      <c r="B1414" s="85" t="s">
        <v>37</v>
      </c>
      <c r="C1414" s="85" t="s">
        <v>23</v>
      </c>
      <c r="D1414" s="86">
        <v>27</v>
      </c>
      <c r="E1414" s="116" t="str">
        <f t="shared" si="68"/>
        <v>Mercado</v>
      </c>
      <c r="F1414" s="85" t="s">
        <v>1096</v>
      </c>
      <c r="G1414" s="85" t="s">
        <v>238</v>
      </c>
      <c r="H1414" s="85" t="s">
        <v>1039</v>
      </c>
      <c r="I1414" s="85">
        <v>1</v>
      </c>
      <c r="J1414" s="87">
        <v>44.9</v>
      </c>
      <c r="K1414" s="88">
        <f t="shared" si="69"/>
        <v>44.9</v>
      </c>
      <c r="L1414" s="85" t="s">
        <v>1284</v>
      </c>
    </row>
    <row r="1415" spans="1:12" x14ac:dyDescent="0.25">
      <c r="A1415" s="84" t="str">
        <f t="shared" si="67"/>
        <v>OutubroSEMANA 4Coloral</v>
      </c>
      <c r="B1415" s="85" t="s">
        <v>37</v>
      </c>
      <c r="C1415" s="85" t="s">
        <v>23</v>
      </c>
      <c r="D1415" s="86">
        <v>27</v>
      </c>
      <c r="E1415" s="116" t="str">
        <f t="shared" si="68"/>
        <v>Mercado</v>
      </c>
      <c r="F1415" s="85" t="s">
        <v>1096</v>
      </c>
      <c r="G1415" s="85" t="s">
        <v>295</v>
      </c>
      <c r="H1415" s="85" t="s">
        <v>1039</v>
      </c>
      <c r="I1415" s="85">
        <v>0.3</v>
      </c>
      <c r="J1415" s="87">
        <v>5.5</v>
      </c>
      <c r="K1415" s="88">
        <f t="shared" si="69"/>
        <v>1.65</v>
      </c>
      <c r="L1415" s="85" t="s">
        <v>1284</v>
      </c>
    </row>
    <row r="1416" spans="1:12" x14ac:dyDescent="0.25">
      <c r="A1416" s="84" t="str">
        <f t="shared" si="67"/>
        <v>OutubroSEMANA 4Cuscus</v>
      </c>
      <c r="B1416" s="85" t="s">
        <v>37</v>
      </c>
      <c r="C1416" s="85" t="s">
        <v>23</v>
      </c>
      <c r="D1416" s="86">
        <v>27</v>
      </c>
      <c r="E1416" s="116" t="str">
        <f t="shared" si="68"/>
        <v>Mercado</v>
      </c>
      <c r="F1416" s="85" t="s">
        <v>1096</v>
      </c>
      <c r="G1416" s="85" t="s">
        <v>318</v>
      </c>
      <c r="H1416" s="85" t="s">
        <v>1039</v>
      </c>
      <c r="I1416" s="85">
        <v>1</v>
      </c>
      <c r="J1416" s="87">
        <v>26.9</v>
      </c>
      <c r="K1416" s="88">
        <f t="shared" si="69"/>
        <v>26.9</v>
      </c>
      <c r="L1416" s="85" t="s">
        <v>1284</v>
      </c>
    </row>
    <row r="1417" spans="1:12" x14ac:dyDescent="0.25">
      <c r="A1417" s="84" t="str">
        <f t="shared" si="67"/>
        <v>OutubroSEMANA 4Feijão de Soja</v>
      </c>
      <c r="B1417" s="85" t="s">
        <v>37</v>
      </c>
      <c r="C1417" s="85" t="s">
        <v>23</v>
      </c>
      <c r="D1417" s="86">
        <v>27</v>
      </c>
      <c r="E1417" s="116" t="str">
        <f t="shared" si="68"/>
        <v>Mercado</v>
      </c>
      <c r="F1417" s="85" t="s">
        <v>1096</v>
      </c>
      <c r="G1417" s="85" t="s">
        <v>349</v>
      </c>
      <c r="H1417" s="85" t="s">
        <v>1039</v>
      </c>
      <c r="I1417" s="85">
        <v>1</v>
      </c>
      <c r="J1417" s="87">
        <v>5.7</v>
      </c>
      <c r="K1417" s="88">
        <f t="shared" si="69"/>
        <v>5.7</v>
      </c>
      <c r="L1417" s="85" t="s">
        <v>1284</v>
      </c>
    </row>
    <row r="1418" spans="1:12" x14ac:dyDescent="0.25">
      <c r="A1418" s="84" t="str">
        <f t="shared" si="67"/>
        <v>OutubroSEMANA 4Nozes sem casca</v>
      </c>
      <c r="B1418" s="85" t="s">
        <v>37</v>
      </c>
      <c r="C1418" s="85" t="s">
        <v>23</v>
      </c>
      <c r="D1418" s="86">
        <v>27</v>
      </c>
      <c r="E1418" s="116" t="str">
        <f t="shared" si="68"/>
        <v>Mercado</v>
      </c>
      <c r="F1418" s="85" t="s">
        <v>1096</v>
      </c>
      <c r="G1418" s="85" t="s">
        <v>540</v>
      </c>
      <c r="H1418" s="85" t="s">
        <v>1039</v>
      </c>
      <c r="I1418" s="85">
        <v>1</v>
      </c>
      <c r="J1418" s="87">
        <v>59.9</v>
      </c>
      <c r="K1418" s="88">
        <f t="shared" si="69"/>
        <v>59.9</v>
      </c>
      <c r="L1418" s="85" t="s">
        <v>1284</v>
      </c>
    </row>
    <row r="1419" spans="1:12" x14ac:dyDescent="0.25">
      <c r="A1419" s="84" t="str">
        <f t="shared" si="67"/>
        <v>OutubroSEMANA 4Passas Preta</v>
      </c>
      <c r="B1419" s="85" t="s">
        <v>37</v>
      </c>
      <c r="C1419" s="85" t="s">
        <v>23</v>
      </c>
      <c r="D1419" s="86">
        <v>27</v>
      </c>
      <c r="E1419" s="116" t="str">
        <f t="shared" si="68"/>
        <v>Mercado</v>
      </c>
      <c r="F1419" s="85" t="s">
        <v>1096</v>
      </c>
      <c r="G1419" s="85" t="s">
        <v>574</v>
      </c>
      <c r="H1419" s="85" t="s">
        <v>1039</v>
      </c>
      <c r="I1419" s="85">
        <v>1</v>
      </c>
      <c r="J1419" s="87">
        <v>13.5</v>
      </c>
      <c r="K1419" s="88">
        <f t="shared" si="69"/>
        <v>13.5</v>
      </c>
      <c r="L1419" s="85" t="s">
        <v>1284</v>
      </c>
    </row>
    <row r="1420" spans="1:12" x14ac:dyDescent="0.25">
      <c r="A1420" s="84" t="str">
        <f t="shared" si="67"/>
        <v>OutubroSEMANA 4Pimenta Calabresa</v>
      </c>
      <c r="B1420" s="85" t="s">
        <v>37</v>
      </c>
      <c r="C1420" s="85" t="s">
        <v>23</v>
      </c>
      <c r="D1420" s="86">
        <v>27</v>
      </c>
      <c r="E1420" s="116" t="str">
        <f t="shared" si="68"/>
        <v>Mercado</v>
      </c>
      <c r="F1420" s="85" t="s">
        <v>1096</v>
      </c>
      <c r="G1420" s="85" t="s">
        <v>655</v>
      </c>
      <c r="H1420" s="85" t="s">
        <v>1039</v>
      </c>
      <c r="I1420" s="85">
        <v>0.2</v>
      </c>
      <c r="J1420" s="87">
        <v>18</v>
      </c>
      <c r="K1420" s="88">
        <f t="shared" si="69"/>
        <v>3.6</v>
      </c>
      <c r="L1420" s="85" t="s">
        <v>1284</v>
      </c>
    </row>
    <row r="1421" spans="1:12" x14ac:dyDescent="0.25">
      <c r="A1421" s="84" t="str">
        <f t="shared" si="67"/>
        <v>OutubroSEMANA 4Trigo em Grão</v>
      </c>
      <c r="B1421" s="85" t="s">
        <v>37</v>
      </c>
      <c r="C1421" s="85" t="s">
        <v>23</v>
      </c>
      <c r="D1421" s="86">
        <v>27</v>
      </c>
      <c r="E1421" s="116" t="str">
        <f t="shared" si="68"/>
        <v>Mercado</v>
      </c>
      <c r="F1421" s="85" t="s">
        <v>1096</v>
      </c>
      <c r="G1421" s="85" t="s">
        <v>825</v>
      </c>
      <c r="H1421" s="85" t="s">
        <v>1039</v>
      </c>
      <c r="I1421" s="85">
        <v>2</v>
      </c>
      <c r="J1421" s="87">
        <v>3.9</v>
      </c>
      <c r="K1421" s="88">
        <f t="shared" si="69"/>
        <v>7.8</v>
      </c>
      <c r="L1421" s="85" t="s">
        <v>1284</v>
      </c>
    </row>
    <row r="1422" spans="1:12" x14ac:dyDescent="0.25">
      <c r="A1422" s="84" t="str">
        <f t="shared" si="67"/>
        <v>OutubroSEMANA 4Gelo em Escamas</v>
      </c>
      <c r="B1422" s="85" t="s">
        <v>37</v>
      </c>
      <c r="C1422" s="85" t="s">
        <v>23</v>
      </c>
      <c r="D1422" s="86">
        <v>27</v>
      </c>
      <c r="E1422" s="116" t="str">
        <f t="shared" si="68"/>
        <v>Mercado</v>
      </c>
      <c r="F1422" s="85" t="s">
        <v>1040</v>
      </c>
      <c r="G1422" s="85" t="s">
        <v>384</v>
      </c>
      <c r="H1422" s="85" t="s">
        <v>1041</v>
      </c>
      <c r="I1422" s="85">
        <v>2</v>
      </c>
      <c r="J1422" s="87">
        <v>7.5</v>
      </c>
      <c r="K1422" s="88">
        <f t="shared" si="69"/>
        <v>15</v>
      </c>
      <c r="L1422" s="85">
        <v>11807</v>
      </c>
    </row>
    <row r="1423" spans="1:12" x14ac:dyDescent="0.25">
      <c r="A1423" s="84" t="str">
        <f t="shared" si="67"/>
        <v>OutubroSEMANA 4Gelo em Cubo</v>
      </c>
      <c r="B1423" s="85" t="s">
        <v>37</v>
      </c>
      <c r="C1423" s="85" t="s">
        <v>23</v>
      </c>
      <c r="D1423" s="86">
        <v>27</v>
      </c>
      <c r="E1423" s="116" t="str">
        <f t="shared" si="68"/>
        <v>Mercado</v>
      </c>
      <c r="F1423" s="85" t="s">
        <v>1040</v>
      </c>
      <c r="G1423" s="85" t="s">
        <v>383</v>
      </c>
      <c r="H1423" s="85" t="s">
        <v>1041</v>
      </c>
      <c r="I1423" s="85">
        <v>2</v>
      </c>
      <c r="J1423" s="87">
        <v>7.5</v>
      </c>
      <c r="K1423" s="88">
        <f t="shared" si="69"/>
        <v>15</v>
      </c>
      <c r="L1423" s="85">
        <v>11807</v>
      </c>
    </row>
    <row r="1424" spans="1:12" x14ac:dyDescent="0.25">
      <c r="A1424" s="84" t="str">
        <f t="shared" si="67"/>
        <v>OutubroSEMANA 4Pescados - Salmão Inteiro</v>
      </c>
      <c r="B1424" s="85" t="s">
        <v>37</v>
      </c>
      <c r="C1424" s="85" t="s">
        <v>23</v>
      </c>
      <c r="D1424" s="86">
        <v>27</v>
      </c>
      <c r="E1424" s="116" t="str">
        <f t="shared" si="68"/>
        <v>Carnes</v>
      </c>
      <c r="F1424" s="85" t="s">
        <v>1053</v>
      </c>
      <c r="G1424" s="85" t="s">
        <v>644</v>
      </c>
      <c r="H1424" s="85" t="s">
        <v>1039</v>
      </c>
      <c r="I1424" s="85">
        <v>29.12</v>
      </c>
      <c r="J1424" s="87">
        <v>25.900099999999998</v>
      </c>
      <c r="K1424" s="88">
        <f t="shared" si="69"/>
        <v>754.21091200000001</v>
      </c>
      <c r="L1424" s="85" t="s">
        <v>1285</v>
      </c>
    </row>
    <row r="1425" spans="1:12" x14ac:dyDescent="0.25">
      <c r="A1425" s="84" t="str">
        <f t="shared" si="67"/>
        <v>OutubroSEMANA 4Pescados - Lula Calamares</v>
      </c>
      <c r="B1425" s="85" t="s">
        <v>37</v>
      </c>
      <c r="C1425" s="85" t="s">
        <v>23</v>
      </c>
      <c r="D1425" s="86">
        <v>27</v>
      </c>
      <c r="E1425" s="116" t="str">
        <f t="shared" si="68"/>
        <v>Carnes</v>
      </c>
      <c r="F1425" s="85" t="s">
        <v>1053</v>
      </c>
      <c r="G1425" s="85" t="s">
        <v>621</v>
      </c>
      <c r="H1425" s="85" t="s">
        <v>1039</v>
      </c>
      <c r="I1425" s="85">
        <v>10</v>
      </c>
      <c r="J1425" s="87">
        <v>26.9</v>
      </c>
      <c r="K1425" s="88">
        <f t="shared" si="69"/>
        <v>269</v>
      </c>
      <c r="L1425" s="85" t="s">
        <v>1285</v>
      </c>
    </row>
    <row r="1426" spans="1:12" x14ac:dyDescent="0.25">
      <c r="A1426" s="84" t="str">
        <f t="shared" si="67"/>
        <v>OutubroSEMANA 4Aipo</v>
      </c>
      <c r="B1426" s="85" t="s">
        <v>37</v>
      </c>
      <c r="C1426" s="85" t="s">
        <v>23</v>
      </c>
      <c r="D1426" s="86">
        <v>27</v>
      </c>
      <c r="E1426" s="116" t="str">
        <f t="shared" si="68"/>
        <v>Hortifruti</v>
      </c>
      <c r="F1426" s="85" t="s">
        <v>1110</v>
      </c>
      <c r="G1426" s="85" t="s">
        <v>96</v>
      </c>
      <c r="H1426" s="85" t="s">
        <v>1039</v>
      </c>
      <c r="I1426" s="85">
        <v>1</v>
      </c>
      <c r="J1426" s="87">
        <v>3.9</v>
      </c>
      <c r="K1426" s="88">
        <f t="shared" si="69"/>
        <v>3.9</v>
      </c>
      <c r="L1426" s="85">
        <v>20150</v>
      </c>
    </row>
    <row r="1427" spans="1:12" x14ac:dyDescent="0.25">
      <c r="A1427" s="84" t="str">
        <f t="shared" si="67"/>
        <v>OutubroSEMANA 4Coentro</v>
      </c>
      <c r="B1427" s="85" t="s">
        <v>37</v>
      </c>
      <c r="C1427" s="85" t="s">
        <v>23</v>
      </c>
      <c r="D1427" s="86">
        <v>27</v>
      </c>
      <c r="E1427" s="116" t="str">
        <f t="shared" si="68"/>
        <v>Hortifruti</v>
      </c>
      <c r="F1427" s="85" t="s">
        <v>1110</v>
      </c>
      <c r="G1427" s="85" t="s">
        <v>289</v>
      </c>
      <c r="H1427" s="85" t="s">
        <v>1039</v>
      </c>
      <c r="I1427" s="85">
        <v>0.5</v>
      </c>
      <c r="J1427" s="87">
        <v>11.25</v>
      </c>
      <c r="K1427" s="88">
        <f t="shared" si="69"/>
        <v>5.625</v>
      </c>
      <c r="L1427" s="85">
        <v>20150</v>
      </c>
    </row>
    <row r="1428" spans="1:12" x14ac:dyDescent="0.25">
      <c r="A1428" s="84" t="str">
        <f t="shared" si="67"/>
        <v>OutubroSEMANA 4Abobora Japonesa</v>
      </c>
      <c r="B1428" s="85" t="s">
        <v>37</v>
      </c>
      <c r="C1428" s="85" t="s">
        <v>23</v>
      </c>
      <c r="D1428" s="86">
        <v>27</v>
      </c>
      <c r="E1428" s="116" t="str">
        <f t="shared" si="68"/>
        <v>Hortifruti</v>
      </c>
      <c r="F1428" s="85" t="s">
        <v>1110</v>
      </c>
      <c r="G1428" s="85" t="s">
        <v>69</v>
      </c>
      <c r="H1428" s="85" t="s">
        <v>1039</v>
      </c>
      <c r="I1428" s="85">
        <v>4</v>
      </c>
      <c r="J1428" s="87">
        <v>2.5099999999999998</v>
      </c>
      <c r="K1428" s="88">
        <f t="shared" si="69"/>
        <v>10.039999999999999</v>
      </c>
      <c r="L1428" s="85">
        <v>20150</v>
      </c>
    </row>
    <row r="1429" spans="1:12" x14ac:dyDescent="0.25">
      <c r="A1429" s="84" t="str">
        <f t="shared" si="67"/>
        <v>OutubroSEMANA 4Batata Calabresa</v>
      </c>
      <c r="B1429" s="85" t="s">
        <v>37</v>
      </c>
      <c r="C1429" s="85" t="s">
        <v>23</v>
      </c>
      <c r="D1429" s="86">
        <v>27</v>
      </c>
      <c r="E1429" s="116" t="str">
        <f t="shared" si="68"/>
        <v>Hortifruti</v>
      </c>
      <c r="F1429" s="85" t="s">
        <v>1110</v>
      </c>
      <c r="G1429" s="85" t="s">
        <v>903</v>
      </c>
      <c r="H1429" s="85" t="s">
        <v>1039</v>
      </c>
      <c r="I1429" s="85">
        <v>7</v>
      </c>
      <c r="J1429" s="87">
        <v>2.23</v>
      </c>
      <c r="K1429" s="88">
        <f t="shared" si="69"/>
        <v>15.61</v>
      </c>
      <c r="L1429" s="85">
        <v>20150</v>
      </c>
    </row>
    <row r="1430" spans="1:12" x14ac:dyDescent="0.25">
      <c r="A1430" s="84" t="str">
        <f t="shared" si="67"/>
        <v>OutubroSEMANA 4Berinjela</v>
      </c>
      <c r="B1430" s="85" t="s">
        <v>37</v>
      </c>
      <c r="C1430" s="85" t="s">
        <v>23</v>
      </c>
      <c r="D1430" s="86">
        <v>27</v>
      </c>
      <c r="E1430" s="116" t="str">
        <f t="shared" si="68"/>
        <v>Hortifruti</v>
      </c>
      <c r="F1430" s="85" t="s">
        <v>1110</v>
      </c>
      <c r="G1430" s="85" t="s">
        <v>178</v>
      </c>
      <c r="H1430" s="85" t="s">
        <v>1039</v>
      </c>
      <c r="I1430" s="85">
        <v>12.22</v>
      </c>
      <c r="J1430" s="87">
        <f>37.5/12.22</f>
        <v>3.0687397708674302</v>
      </c>
      <c r="K1430" s="88">
        <f t="shared" si="69"/>
        <v>37.5</v>
      </c>
      <c r="L1430" s="85">
        <v>20150</v>
      </c>
    </row>
    <row r="1431" spans="1:12" x14ac:dyDescent="0.25">
      <c r="A1431" s="84" t="str">
        <f t="shared" si="67"/>
        <v>OutubroSEMANA 4Beterraba</v>
      </c>
      <c r="B1431" s="85" t="s">
        <v>37</v>
      </c>
      <c r="C1431" s="85" t="s">
        <v>23</v>
      </c>
      <c r="D1431" s="86">
        <v>27</v>
      </c>
      <c r="E1431" s="116" t="str">
        <f t="shared" si="68"/>
        <v>Hortifruti</v>
      </c>
      <c r="F1431" s="85" t="s">
        <v>1110</v>
      </c>
      <c r="G1431" s="85" t="s">
        <v>181</v>
      </c>
      <c r="H1431" s="85" t="s">
        <v>1039</v>
      </c>
      <c r="I1431" s="85">
        <v>4</v>
      </c>
      <c r="J1431" s="87">
        <v>1.54</v>
      </c>
      <c r="K1431" s="88">
        <f t="shared" si="69"/>
        <v>6.16</v>
      </c>
      <c r="L1431" s="85">
        <v>20150</v>
      </c>
    </row>
    <row r="1432" spans="1:12" x14ac:dyDescent="0.25">
      <c r="A1432" s="84" t="str">
        <f t="shared" si="67"/>
        <v>OutubroSEMANA 4Cebola Roxa</v>
      </c>
      <c r="B1432" s="85" t="s">
        <v>37</v>
      </c>
      <c r="C1432" s="85" t="s">
        <v>23</v>
      </c>
      <c r="D1432" s="86">
        <v>27</v>
      </c>
      <c r="E1432" s="116" t="str">
        <f t="shared" si="68"/>
        <v>Hortifruti</v>
      </c>
      <c r="F1432" s="85" t="s">
        <v>1110</v>
      </c>
      <c r="G1432" s="85" t="s">
        <v>244</v>
      </c>
      <c r="H1432" s="85" t="s">
        <v>1039</v>
      </c>
      <c r="I1432" s="85">
        <v>1</v>
      </c>
      <c r="J1432" s="87">
        <v>3.63</v>
      </c>
      <c r="K1432" s="88">
        <f t="shared" si="69"/>
        <v>3.63</v>
      </c>
      <c r="L1432" s="85">
        <v>20150</v>
      </c>
    </row>
    <row r="1433" spans="1:12" x14ac:dyDescent="0.25">
      <c r="A1433" s="84" t="str">
        <f t="shared" si="67"/>
        <v>OutubroSEMANA 4Maçã Ácida</v>
      </c>
      <c r="B1433" s="85" t="s">
        <v>37</v>
      </c>
      <c r="C1433" s="85" t="s">
        <v>23</v>
      </c>
      <c r="D1433" s="86">
        <v>27</v>
      </c>
      <c r="E1433" s="116" t="str">
        <f t="shared" si="68"/>
        <v>Hortifruti</v>
      </c>
      <c r="F1433" s="85" t="s">
        <v>1110</v>
      </c>
      <c r="G1433" s="85" t="s">
        <v>475</v>
      </c>
      <c r="H1433" s="85" t="s">
        <v>1039</v>
      </c>
      <c r="I1433" s="85">
        <v>1.5</v>
      </c>
      <c r="J1433" s="87">
        <v>7.3</v>
      </c>
      <c r="K1433" s="88">
        <f t="shared" si="69"/>
        <v>10.95</v>
      </c>
      <c r="L1433" s="85">
        <v>20150</v>
      </c>
    </row>
    <row r="1434" spans="1:12" x14ac:dyDescent="0.25">
      <c r="A1434" s="84" t="str">
        <f t="shared" si="67"/>
        <v>OutubroSEMANA 4Rabanete</v>
      </c>
      <c r="B1434" s="85" t="s">
        <v>37</v>
      </c>
      <c r="C1434" s="85" t="s">
        <v>23</v>
      </c>
      <c r="D1434" s="86">
        <v>27</v>
      </c>
      <c r="E1434" s="116" t="str">
        <f t="shared" si="68"/>
        <v>Hortifruti</v>
      </c>
      <c r="F1434" s="85" t="s">
        <v>1110</v>
      </c>
      <c r="G1434" s="85" t="s">
        <v>694</v>
      </c>
      <c r="H1434" s="85" t="s">
        <v>1039</v>
      </c>
      <c r="I1434" s="85">
        <v>2</v>
      </c>
      <c r="J1434" s="87">
        <v>6.5</v>
      </c>
      <c r="K1434" s="88">
        <f t="shared" si="69"/>
        <v>13</v>
      </c>
      <c r="L1434" s="85">
        <v>20150</v>
      </c>
    </row>
    <row r="1435" spans="1:12" x14ac:dyDescent="0.25">
      <c r="A1435" s="84" t="str">
        <f t="shared" si="67"/>
        <v>OutubroSEMANA 4Vagem Macarrão</v>
      </c>
      <c r="B1435" s="85" t="s">
        <v>37</v>
      </c>
      <c r="C1435" s="85" t="s">
        <v>23</v>
      </c>
      <c r="D1435" s="86">
        <v>27</v>
      </c>
      <c r="E1435" s="116" t="str">
        <f t="shared" si="68"/>
        <v>Hortifruti</v>
      </c>
      <c r="F1435" s="85" t="s">
        <v>1110</v>
      </c>
      <c r="G1435" s="85" t="s">
        <v>832</v>
      </c>
      <c r="H1435" s="85" t="s">
        <v>1039</v>
      </c>
      <c r="I1435" s="85">
        <v>2</v>
      </c>
      <c r="J1435" s="87">
        <v>4.38</v>
      </c>
      <c r="K1435" s="88">
        <f t="shared" si="69"/>
        <v>8.76</v>
      </c>
      <c r="L1435" s="85">
        <v>20150</v>
      </c>
    </row>
    <row r="1436" spans="1:12" x14ac:dyDescent="0.25">
      <c r="A1436" s="84" t="str">
        <f t="shared" si="67"/>
        <v>OutubroSEMANA 4Cebola</v>
      </c>
      <c r="B1436" s="85" t="s">
        <v>37</v>
      </c>
      <c r="C1436" s="85" t="s">
        <v>23</v>
      </c>
      <c r="D1436" s="86">
        <v>27</v>
      </c>
      <c r="E1436" s="116" t="str">
        <f t="shared" si="68"/>
        <v>Hortifruti</v>
      </c>
      <c r="F1436" s="85" t="s">
        <v>1055</v>
      </c>
      <c r="G1436" s="85" t="s">
        <v>241</v>
      </c>
      <c r="H1436" s="85" t="s">
        <v>1039</v>
      </c>
      <c r="I1436" s="85">
        <v>19.899999999999999</v>
      </c>
      <c r="J1436" s="87">
        <f>26.5/19.9</f>
        <v>1.3316582914572865</v>
      </c>
      <c r="K1436" s="88">
        <f t="shared" si="69"/>
        <v>26.5</v>
      </c>
      <c r="L1436" s="85">
        <v>5825</v>
      </c>
    </row>
    <row r="1437" spans="1:12" x14ac:dyDescent="0.25">
      <c r="A1437" s="84" t="str">
        <f t="shared" si="67"/>
        <v>OutubroSEMANA 4Kiwi</v>
      </c>
      <c r="B1437" s="85" t="s">
        <v>37</v>
      </c>
      <c r="C1437" s="85" t="s">
        <v>23</v>
      </c>
      <c r="D1437" s="86">
        <v>27</v>
      </c>
      <c r="E1437" s="116" t="str">
        <f t="shared" si="68"/>
        <v>Hortifruti</v>
      </c>
      <c r="F1437" s="85" t="s">
        <v>1055</v>
      </c>
      <c r="G1437" s="85" t="s">
        <v>454</v>
      </c>
      <c r="H1437" s="85" t="s">
        <v>1039</v>
      </c>
      <c r="I1437" s="85">
        <v>1</v>
      </c>
      <c r="J1437" s="87">
        <v>13.7</v>
      </c>
      <c r="K1437" s="88">
        <f t="shared" si="69"/>
        <v>13.7</v>
      </c>
      <c r="L1437" s="85">
        <v>5825</v>
      </c>
    </row>
    <row r="1438" spans="1:12" x14ac:dyDescent="0.25">
      <c r="A1438" s="84" t="str">
        <f t="shared" si="67"/>
        <v>OutubroSEMANA 4Laranja Pera</v>
      </c>
      <c r="B1438" s="85" t="s">
        <v>37</v>
      </c>
      <c r="C1438" s="85" t="s">
        <v>23</v>
      </c>
      <c r="D1438" s="86">
        <v>27</v>
      </c>
      <c r="E1438" s="116" t="str">
        <f t="shared" si="68"/>
        <v>Hortifruti</v>
      </c>
      <c r="F1438" s="85" t="s">
        <v>1055</v>
      </c>
      <c r="G1438" s="85" t="s">
        <v>457</v>
      </c>
      <c r="H1438" s="85" t="s">
        <v>1039</v>
      </c>
      <c r="I1438" s="85">
        <v>20.04</v>
      </c>
      <c r="J1438" s="87">
        <f>28/20.04</f>
        <v>1.3972055888223553</v>
      </c>
      <c r="K1438" s="88">
        <f t="shared" si="69"/>
        <v>28</v>
      </c>
      <c r="L1438" s="85">
        <v>5825</v>
      </c>
    </row>
    <row r="1439" spans="1:12" x14ac:dyDescent="0.25">
      <c r="A1439" s="84" t="str">
        <f t="shared" si="67"/>
        <v>OutubroSEMANA 4Melância</v>
      </c>
      <c r="B1439" s="85" t="s">
        <v>37</v>
      </c>
      <c r="C1439" s="85" t="s">
        <v>23</v>
      </c>
      <c r="D1439" s="86">
        <v>27</v>
      </c>
      <c r="E1439" s="116" t="str">
        <f t="shared" si="68"/>
        <v>Hortifruti</v>
      </c>
      <c r="F1439" s="85" t="s">
        <v>1055</v>
      </c>
      <c r="G1439" s="85" t="s">
        <v>517</v>
      </c>
      <c r="H1439" s="85" t="s">
        <v>1039</v>
      </c>
      <c r="I1439" s="85">
        <v>11</v>
      </c>
      <c r="J1439" s="87">
        <v>1.32</v>
      </c>
      <c r="K1439" s="88">
        <f t="shared" si="69"/>
        <v>14.520000000000001</v>
      </c>
      <c r="L1439" s="85">
        <v>5825</v>
      </c>
    </row>
    <row r="1440" spans="1:12" x14ac:dyDescent="0.25">
      <c r="A1440" s="84" t="str">
        <f t="shared" si="67"/>
        <v>OutubroSEMANA 4Pepino Japonês</v>
      </c>
      <c r="B1440" s="85" t="s">
        <v>37</v>
      </c>
      <c r="C1440" s="85" t="s">
        <v>23</v>
      </c>
      <c r="D1440" s="86">
        <v>27</v>
      </c>
      <c r="E1440" s="116" t="str">
        <f t="shared" si="68"/>
        <v>Hortifruti</v>
      </c>
      <c r="F1440" s="85" t="s">
        <v>1055</v>
      </c>
      <c r="G1440" s="85" t="s">
        <v>577</v>
      </c>
      <c r="H1440" s="85" t="s">
        <v>1039</v>
      </c>
      <c r="I1440" s="85">
        <f>17.58-0.26</f>
        <v>17.319999999999997</v>
      </c>
      <c r="J1440" s="87">
        <f>48.5/17.58</f>
        <v>2.7588168373151309</v>
      </c>
      <c r="K1440" s="88">
        <f t="shared" si="69"/>
        <v>47.782707622298062</v>
      </c>
      <c r="L1440" s="85">
        <v>5825</v>
      </c>
    </row>
    <row r="1441" spans="1:12" x14ac:dyDescent="0.25">
      <c r="A1441" s="84" t="str">
        <f t="shared" si="67"/>
        <v>OutubroSEMANA 4Tomate Salada</v>
      </c>
      <c r="B1441" s="85" t="s">
        <v>37</v>
      </c>
      <c r="C1441" s="85" t="s">
        <v>23</v>
      </c>
      <c r="D1441" s="86">
        <v>27</v>
      </c>
      <c r="E1441" s="116" t="str">
        <f t="shared" si="68"/>
        <v>Hortifruti</v>
      </c>
      <c r="F1441" s="85" t="s">
        <v>1055</v>
      </c>
      <c r="G1441" s="85" t="s">
        <v>795</v>
      </c>
      <c r="H1441" s="85" t="s">
        <v>1039</v>
      </c>
      <c r="I1441" s="85">
        <v>20.52</v>
      </c>
      <c r="J1441" s="87">
        <f>36.5/20.52</f>
        <v>1.7787524366471734</v>
      </c>
      <c r="K1441" s="88">
        <f t="shared" si="69"/>
        <v>36.5</v>
      </c>
      <c r="L1441" s="85">
        <v>5825</v>
      </c>
    </row>
    <row r="1442" spans="1:12" x14ac:dyDescent="0.25">
      <c r="A1442" s="84" t="str">
        <f t="shared" si="67"/>
        <v>OutubroSEMANA 4Batata Baroa</v>
      </c>
      <c r="B1442" s="85" t="s">
        <v>37</v>
      </c>
      <c r="C1442" s="85" t="s">
        <v>23</v>
      </c>
      <c r="D1442" s="86">
        <v>27</v>
      </c>
      <c r="E1442" s="116" t="str">
        <f t="shared" si="68"/>
        <v>Hortifruti</v>
      </c>
      <c r="F1442" s="85" t="s">
        <v>1055</v>
      </c>
      <c r="G1442" s="85" t="s">
        <v>169</v>
      </c>
      <c r="H1442" s="85" t="s">
        <v>1039</v>
      </c>
      <c r="I1442" s="85">
        <v>8</v>
      </c>
      <c r="J1442" s="87">
        <v>4.4000000000000004</v>
      </c>
      <c r="K1442" s="88">
        <f t="shared" si="69"/>
        <v>35.200000000000003</v>
      </c>
      <c r="L1442" s="85">
        <v>5825</v>
      </c>
    </row>
    <row r="1443" spans="1:12" x14ac:dyDescent="0.25">
      <c r="A1443" s="84" t="str">
        <f t="shared" si="67"/>
        <v>OutubroSEMANA 4Brócolis Nacional</v>
      </c>
      <c r="B1443" s="85" t="s">
        <v>37</v>
      </c>
      <c r="C1443" s="85" t="s">
        <v>23</v>
      </c>
      <c r="D1443" s="86">
        <v>27</v>
      </c>
      <c r="E1443" s="116" t="str">
        <f t="shared" si="68"/>
        <v>Hortifruti</v>
      </c>
      <c r="F1443" s="85" t="s">
        <v>1055</v>
      </c>
      <c r="G1443" s="85" t="s">
        <v>891</v>
      </c>
      <c r="H1443" s="85" t="s">
        <v>1039</v>
      </c>
      <c r="I1443" s="85">
        <v>4</v>
      </c>
      <c r="J1443" s="87">
        <v>3.5</v>
      </c>
      <c r="K1443" s="88">
        <f t="shared" si="69"/>
        <v>14</v>
      </c>
      <c r="L1443" s="85">
        <v>5825</v>
      </c>
    </row>
    <row r="1444" spans="1:12" x14ac:dyDescent="0.25">
      <c r="A1444" s="84" t="str">
        <f t="shared" si="67"/>
        <v>OutubroSEMANA 4Côco Verde</v>
      </c>
      <c r="B1444" s="85" t="s">
        <v>37</v>
      </c>
      <c r="C1444" s="85" t="s">
        <v>23</v>
      </c>
      <c r="D1444" s="86">
        <v>27</v>
      </c>
      <c r="E1444" s="116" t="str">
        <f t="shared" si="68"/>
        <v>Hortifruti</v>
      </c>
      <c r="F1444" s="85" t="s">
        <v>1055</v>
      </c>
      <c r="G1444" s="85" t="s">
        <v>288</v>
      </c>
      <c r="H1444" s="85" t="s">
        <v>1038</v>
      </c>
      <c r="I1444" s="85">
        <v>10</v>
      </c>
      <c r="J1444" s="87">
        <v>1.98</v>
      </c>
      <c r="K1444" s="88">
        <f t="shared" si="69"/>
        <v>19.8</v>
      </c>
      <c r="L1444" s="85">
        <v>5825</v>
      </c>
    </row>
    <row r="1445" spans="1:12" x14ac:dyDescent="0.25">
      <c r="A1445" s="84" t="str">
        <f t="shared" si="67"/>
        <v>OutubroSEMANA 4Hortelã</v>
      </c>
      <c r="B1445" s="85" t="s">
        <v>37</v>
      </c>
      <c r="C1445" s="85" t="s">
        <v>23</v>
      </c>
      <c r="D1445" s="86">
        <v>27</v>
      </c>
      <c r="E1445" s="116" t="str">
        <f t="shared" si="68"/>
        <v>Hortifruti</v>
      </c>
      <c r="F1445" s="85" t="s">
        <v>1055</v>
      </c>
      <c r="G1445" s="85" t="s">
        <v>405</v>
      </c>
      <c r="H1445" s="85" t="s">
        <v>1039</v>
      </c>
      <c r="I1445" s="85">
        <v>0.5</v>
      </c>
      <c r="J1445" s="87">
        <v>4.5</v>
      </c>
      <c r="K1445" s="88">
        <f t="shared" si="69"/>
        <v>2.25</v>
      </c>
      <c r="L1445" s="85">
        <v>5825</v>
      </c>
    </row>
    <row r="1446" spans="1:12" x14ac:dyDescent="0.25">
      <c r="A1446" s="84" t="str">
        <f t="shared" si="67"/>
        <v>OutubroSEMANA 4Limão</v>
      </c>
      <c r="B1446" s="85" t="s">
        <v>37</v>
      </c>
      <c r="C1446" s="85" t="s">
        <v>23</v>
      </c>
      <c r="D1446" s="86">
        <v>27</v>
      </c>
      <c r="E1446" s="116" t="str">
        <f t="shared" si="68"/>
        <v>Hortifruti</v>
      </c>
      <c r="F1446" s="85" t="s">
        <v>1055</v>
      </c>
      <c r="G1446" s="85" t="s">
        <v>464</v>
      </c>
      <c r="H1446" s="85" t="s">
        <v>1039</v>
      </c>
      <c r="I1446" s="85">
        <v>23.08</v>
      </c>
      <c r="J1446" s="87">
        <f>115/23.08</f>
        <v>4.9826689774696709</v>
      </c>
      <c r="K1446" s="88">
        <f t="shared" si="69"/>
        <v>115</v>
      </c>
      <c r="L1446" s="85" t="s">
        <v>1286</v>
      </c>
    </row>
    <row r="1447" spans="1:12" x14ac:dyDescent="0.25">
      <c r="A1447" s="84" t="str">
        <f t="shared" si="67"/>
        <v>OutubroSEMANA 4Limão Siciliano</v>
      </c>
      <c r="B1447" s="85" t="s">
        <v>37</v>
      </c>
      <c r="C1447" s="85" t="s">
        <v>23</v>
      </c>
      <c r="D1447" s="86">
        <v>27</v>
      </c>
      <c r="E1447" s="116" t="str">
        <f t="shared" si="68"/>
        <v>Hortifruti</v>
      </c>
      <c r="F1447" s="85" t="s">
        <v>1055</v>
      </c>
      <c r="G1447" s="85" t="s">
        <v>466</v>
      </c>
      <c r="H1447" s="85" t="s">
        <v>1039</v>
      </c>
      <c r="I1447" s="85">
        <v>1</v>
      </c>
      <c r="J1447" s="87">
        <v>6.66</v>
      </c>
      <c r="K1447" s="88">
        <f t="shared" si="69"/>
        <v>6.66</v>
      </c>
      <c r="L1447" s="85">
        <v>5825</v>
      </c>
    </row>
    <row r="1448" spans="1:12" x14ac:dyDescent="0.25">
      <c r="A1448" s="84" t="str">
        <f t="shared" si="67"/>
        <v>OutubroSEMANA 4Chuchu</v>
      </c>
      <c r="B1448" s="85" t="s">
        <v>37</v>
      </c>
      <c r="C1448" s="85" t="s">
        <v>23</v>
      </c>
      <c r="D1448" s="86">
        <v>27</v>
      </c>
      <c r="E1448" s="116" t="str">
        <f t="shared" si="68"/>
        <v>Hortifruti</v>
      </c>
      <c r="F1448" s="85" t="s">
        <v>1054</v>
      </c>
      <c r="G1448" s="85" t="s">
        <v>280</v>
      </c>
      <c r="H1448" s="85" t="s">
        <v>1039</v>
      </c>
      <c r="I1448" s="85">
        <v>16.739999999999998</v>
      </c>
      <c r="J1448" s="87">
        <f>35/16.74</f>
        <v>2.0908004778972522</v>
      </c>
      <c r="K1448" s="88">
        <f t="shared" si="69"/>
        <v>35</v>
      </c>
      <c r="L1448" s="85">
        <v>2049</v>
      </c>
    </row>
    <row r="1449" spans="1:12" x14ac:dyDescent="0.25">
      <c r="A1449" s="84" t="str">
        <f t="shared" si="67"/>
        <v>OutubroSEMANA 4Quiabo</v>
      </c>
      <c r="B1449" s="85" t="s">
        <v>37</v>
      </c>
      <c r="C1449" s="85" t="s">
        <v>23</v>
      </c>
      <c r="D1449" s="86">
        <v>27</v>
      </c>
      <c r="E1449" s="116" t="str">
        <f t="shared" si="68"/>
        <v>Hortifruti</v>
      </c>
      <c r="F1449" s="85" t="s">
        <v>1054</v>
      </c>
      <c r="G1449" s="85" t="s">
        <v>690</v>
      </c>
      <c r="H1449" s="85" t="s">
        <v>1039</v>
      </c>
      <c r="I1449" s="85">
        <v>2</v>
      </c>
      <c r="J1449" s="87">
        <v>6.5</v>
      </c>
      <c r="K1449" s="88">
        <f t="shared" si="69"/>
        <v>13</v>
      </c>
      <c r="L1449" s="85">
        <v>2049</v>
      </c>
    </row>
    <row r="1450" spans="1:12" x14ac:dyDescent="0.25">
      <c r="A1450" s="84" t="str">
        <f t="shared" si="67"/>
        <v>OutubroSEMANA 4Cebolinha Verde</v>
      </c>
      <c r="B1450" s="85" t="s">
        <v>37</v>
      </c>
      <c r="C1450" s="85" t="s">
        <v>23</v>
      </c>
      <c r="D1450" s="86">
        <v>27</v>
      </c>
      <c r="E1450" s="116" t="str">
        <f t="shared" si="68"/>
        <v>Hortifruti</v>
      </c>
      <c r="F1450" s="85" t="s">
        <v>1054</v>
      </c>
      <c r="G1450" s="85" t="s">
        <v>247</v>
      </c>
      <c r="H1450" s="85" t="s">
        <v>1039</v>
      </c>
      <c r="I1450" s="85">
        <v>1</v>
      </c>
      <c r="J1450" s="87">
        <v>7</v>
      </c>
      <c r="K1450" s="88">
        <f t="shared" si="69"/>
        <v>7</v>
      </c>
      <c r="L1450" s="85">
        <v>2049</v>
      </c>
    </row>
    <row r="1451" spans="1:12" x14ac:dyDescent="0.25">
      <c r="A1451" s="84" t="str">
        <f t="shared" si="67"/>
        <v>OutubroSEMANA 4Manjericão</v>
      </c>
      <c r="B1451" s="85" t="s">
        <v>37</v>
      </c>
      <c r="C1451" s="85" t="s">
        <v>23</v>
      </c>
      <c r="D1451" s="86">
        <v>27</v>
      </c>
      <c r="E1451" s="116" t="str">
        <f t="shared" si="68"/>
        <v>Hortifruti</v>
      </c>
      <c r="F1451" s="85" t="s">
        <v>1054</v>
      </c>
      <c r="G1451" s="85" t="s">
        <v>499</v>
      </c>
      <c r="H1451" s="85" t="s">
        <v>1039</v>
      </c>
      <c r="I1451" s="85">
        <v>0.3</v>
      </c>
      <c r="J1451" s="87">
        <v>12</v>
      </c>
      <c r="K1451" s="88">
        <f t="shared" si="69"/>
        <v>3.5999999999999996</v>
      </c>
      <c r="L1451" s="85">
        <v>2049</v>
      </c>
    </row>
    <row r="1452" spans="1:12" x14ac:dyDescent="0.25">
      <c r="A1452" s="84" t="str">
        <f t="shared" si="67"/>
        <v>OutubroSEMANA 4Salsa</v>
      </c>
      <c r="B1452" s="85" t="s">
        <v>37</v>
      </c>
      <c r="C1452" s="85" t="s">
        <v>23</v>
      </c>
      <c r="D1452" s="86">
        <v>27</v>
      </c>
      <c r="E1452" s="116" t="str">
        <f t="shared" si="68"/>
        <v>Hortifruti</v>
      </c>
      <c r="F1452" s="85" t="s">
        <v>1054</v>
      </c>
      <c r="G1452" s="85" t="s">
        <v>729</v>
      </c>
      <c r="H1452" s="85" t="s">
        <v>1039</v>
      </c>
      <c r="I1452" s="85">
        <v>1</v>
      </c>
      <c r="J1452" s="87">
        <v>7</v>
      </c>
      <c r="K1452" s="88">
        <f t="shared" si="69"/>
        <v>7</v>
      </c>
      <c r="L1452" s="85">
        <v>2049</v>
      </c>
    </row>
    <row r="1453" spans="1:12" x14ac:dyDescent="0.25">
      <c r="A1453" s="84" t="str">
        <f t="shared" si="67"/>
        <v>OutubroSEMANA 4Tomilho</v>
      </c>
      <c r="B1453" s="85" t="s">
        <v>37</v>
      </c>
      <c r="C1453" s="85" t="s">
        <v>23</v>
      </c>
      <c r="D1453" s="86">
        <v>27</v>
      </c>
      <c r="E1453" s="116" t="str">
        <f t="shared" si="68"/>
        <v>Hortifruti</v>
      </c>
      <c r="F1453" s="85" t="s">
        <v>1054</v>
      </c>
      <c r="G1453" s="85" t="s">
        <v>798</v>
      </c>
      <c r="H1453" s="85" t="s">
        <v>1039</v>
      </c>
      <c r="I1453" s="85">
        <v>0.2</v>
      </c>
      <c r="J1453" s="87">
        <v>25</v>
      </c>
      <c r="K1453" s="88">
        <f t="shared" si="69"/>
        <v>5</v>
      </c>
      <c r="L1453" s="85">
        <v>2049</v>
      </c>
    </row>
    <row r="1454" spans="1:12" x14ac:dyDescent="0.25">
      <c r="A1454" s="84" t="str">
        <f t="shared" si="67"/>
        <v>OutubroSEMANA 4Aneto</v>
      </c>
      <c r="B1454" s="85" t="s">
        <v>37</v>
      </c>
      <c r="C1454" s="85" t="s">
        <v>23</v>
      </c>
      <c r="D1454" s="86">
        <v>27</v>
      </c>
      <c r="E1454" s="116" t="str">
        <f t="shared" si="68"/>
        <v>Hortifruti</v>
      </c>
      <c r="F1454" s="85" t="s">
        <v>1054</v>
      </c>
      <c r="G1454" s="85" t="s">
        <v>123</v>
      </c>
      <c r="H1454" s="85" t="s">
        <v>1039</v>
      </c>
      <c r="I1454" s="85">
        <v>0.1</v>
      </c>
      <c r="J1454" s="87">
        <v>30</v>
      </c>
      <c r="K1454" s="88">
        <f t="shared" si="69"/>
        <v>3</v>
      </c>
      <c r="L1454" s="85">
        <v>2049</v>
      </c>
    </row>
    <row r="1455" spans="1:12" x14ac:dyDescent="0.25">
      <c r="A1455" s="84" t="str">
        <f t="shared" si="67"/>
        <v>OutubroSEMANA 4Abacate Sushi</v>
      </c>
      <c r="B1455" s="85" t="s">
        <v>37</v>
      </c>
      <c r="C1455" s="85" t="s">
        <v>23</v>
      </c>
      <c r="D1455" s="86">
        <v>27</v>
      </c>
      <c r="E1455" s="116" t="str">
        <f t="shared" si="68"/>
        <v>Sushi</v>
      </c>
      <c r="F1455" s="85" t="s">
        <v>1054</v>
      </c>
      <c r="G1455" s="85" t="s">
        <v>64</v>
      </c>
      <c r="H1455" s="85" t="s">
        <v>1039</v>
      </c>
      <c r="I1455" s="85">
        <v>1</v>
      </c>
      <c r="J1455" s="87">
        <v>8</v>
      </c>
      <c r="K1455" s="88">
        <f t="shared" si="69"/>
        <v>8</v>
      </c>
      <c r="L1455" s="85">
        <v>2049</v>
      </c>
    </row>
    <row r="1456" spans="1:12" x14ac:dyDescent="0.25">
      <c r="A1456" s="84" t="str">
        <f t="shared" si="67"/>
        <v>OutubroSEMANA 4Banana D'Água</v>
      </c>
      <c r="B1456" s="85" t="s">
        <v>37</v>
      </c>
      <c r="C1456" s="85" t="s">
        <v>23</v>
      </c>
      <c r="D1456" s="86">
        <v>27</v>
      </c>
      <c r="E1456" s="116" t="str">
        <f t="shared" si="68"/>
        <v>Hortifruti</v>
      </c>
      <c r="F1456" s="85" t="s">
        <v>1054</v>
      </c>
      <c r="G1456" s="85" t="s">
        <v>162</v>
      </c>
      <c r="H1456" s="85" t="s">
        <v>1039</v>
      </c>
      <c r="I1456" s="85">
        <v>2</v>
      </c>
      <c r="J1456" s="87">
        <v>3.4</v>
      </c>
      <c r="K1456" s="88">
        <f t="shared" si="69"/>
        <v>6.8</v>
      </c>
      <c r="L1456" s="85">
        <v>2049</v>
      </c>
    </row>
    <row r="1457" spans="1:12" x14ac:dyDescent="0.25">
      <c r="A1457" s="84" t="str">
        <f t="shared" si="67"/>
        <v>OutubroSEMANA 4Manga Palmer</v>
      </c>
      <c r="B1457" s="85" t="s">
        <v>37</v>
      </c>
      <c r="C1457" s="85" t="s">
        <v>23</v>
      </c>
      <c r="D1457" s="86">
        <v>27</v>
      </c>
      <c r="E1457" s="116" t="str">
        <f t="shared" si="68"/>
        <v>Hortifruti</v>
      </c>
      <c r="F1457" s="85" t="s">
        <v>1054</v>
      </c>
      <c r="G1457" s="85" t="s">
        <v>496</v>
      </c>
      <c r="H1457" s="85" t="s">
        <v>1039</v>
      </c>
      <c r="I1457" s="85">
        <v>5.7</v>
      </c>
      <c r="J1457" s="87">
        <f>25/5.7</f>
        <v>4.3859649122807012</v>
      </c>
      <c r="K1457" s="88">
        <f t="shared" si="69"/>
        <v>24.999999999999996</v>
      </c>
      <c r="L1457" s="85">
        <v>2049</v>
      </c>
    </row>
    <row r="1458" spans="1:12" x14ac:dyDescent="0.25">
      <c r="A1458" s="84" t="str">
        <f t="shared" si="67"/>
        <v>OutubroSEMANA 4Abobrinha Org. Feirinha</v>
      </c>
      <c r="B1458" s="85" t="s">
        <v>37</v>
      </c>
      <c r="C1458" s="85" t="s">
        <v>23</v>
      </c>
      <c r="D1458" s="86">
        <v>27</v>
      </c>
      <c r="E1458" s="116" t="str">
        <f t="shared" si="68"/>
        <v>Feirinha</v>
      </c>
      <c r="F1458" s="85" t="s">
        <v>1044</v>
      </c>
      <c r="G1458" s="85" t="s">
        <v>984</v>
      </c>
      <c r="H1458" s="85" t="s">
        <v>1039</v>
      </c>
      <c r="I1458" s="85">
        <v>1.5</v>
      </c>
      <c r="J1458" s="87">
        <v>7.85</v>
      </c>
      <c r="K1458" s="88">
        <f t="shared" si="69"/>
        <v>11.774999999999999</v>
      </c>
      <c r="L1458" s="85">
        <v>83400</v>
      </c>
    </row>
    <row r="1459" spans="1:12" x14ac:dyDescent="0.25">
      <c r="A1459" s="84" t="str">
        <f t="shared" si="67"/>
        <v>OutubroSEMANA 4Alface crespa Orgânica</v>
      </c>
      <c r="B1459" s="85" t="s">
        <v>37</v>
      </c>
      <c r="C1459" s="85" t="s">
        <v>23</v>
      </c>
      <c r="D1459" s="86">
        <v>27</v>
      </c>
      <c r="E1459" s="116" t="str">
        <f t="shared" si="68"/>
        <v>Hortifruti</v>
      </c>
      <c r="F1459" s="85" t="s">
        <v>1044</v>
      </c>
      <c r="G1459" s="85" t="s">
        <v>105</v>
      </c>
      <c r="H1459" s="85" t="s">
        <v>1039</v>
      </c>
      <c r="I1459" s="85">
        <f>2.5-1.08</f>
        <v>1.42</v>
      </c>
      <c r="J1459" s="87">
        <f>25/2.5</f>
        <v>10</v>
      </c>
      <c r="K1459" s="88">
        <f t="shared" si="69"/>
        <v>14.2</v>
      </c>
      <c r="L1459" s="85">
        <v>83400</v>
      </c>
    </row>
    <row r="1460" spans="1:12" x14ac:dyDescent="0.25">
      <c r="A1460" s="84" t="str">
        <f t="shared" si="67"/>
        <v>OutubroSEMANA 4Alface Crespa Org. Feirinha</v>
      </c>
      <c r="B1460" s="85" t="s">
        <v>37</v>
      </c>
      <c r="C1460" s="85" t="s">
        <v>23</v>
      </c>
      <c r="D1460" s="86">
        <v>27</v>
      </c>
      <c r="E1460" s="116" t="str">
        <f t="shared" si="68"/>
        <v>Feirinha</v>
      </c>
      <c r="F1460" s="85" t="s">
        <v>1044</v>
      </c>
      <c r="G1460" s="85" t="s">
        <v>880</v>
      </c>
      <c r="H1460" s="85" t="s">
        <v>1039</v>
      </c>
      <c r="I1460" s="85">
        <v>1.08</v>
      </c>
      <c r="J1460" s="87">
        <f>25/2.5</f>
        <v>10</v>
      </c>
      <c r="K1460" s="88">
        <f t="shared" si="69"/>
        <v>10.8</v>
      </c>
      <c r="L1460" s="85">
        <v>83400</v>
      </c>
    </row>
    <row r="1461" spans="1:12" x14ac:dyDescent="0.25">
      <c r="A1461" s="84" t="str">
        <f t="shared" si="67"/>
        <v>OutubroSEMANA 4Alface Roxa Org. Feirinha</v>
      </c>
      <c r="B1461" s="85" t="s">
        <v>37</v>
      </c>
      <c r="C1461" s="85" t="s">
        <v>23</v>
      </c>
      <c r="D1461" s="86">
        <v>27</v>
      </c>
      <c r="E1461" s="116" t="str">
        <f t="shared" si="68"/>
        <v>Feirinha</v>
      </c>
      <c r="F1461" s="85" t="s">
        <v>1044</v>
      </c>
      <c r="G1461" s="85" t="s">
        <v>881</v>
      </c>
      <c r="H1461" s="85" t="s">
        <v>1039</v>
      </c>
      <c r="I1461" s="85">
        <v>0.74</v>
      </c>
      <c r="J1461" s="87">
        <f>7.5/0.74</f>
        <v>10.135135135135135</v>
      </c>
      <c r="K1461" s="88">
        <f t="shared" si="69"/>
        <v>7.5</v>
      </c>
      <c r="L1461" s="85">
        <v>83400</v>
      </c>
    </row>
    <row r="1462" spans="1:12" x14ac:dyDescent="0.25">
      <c r="A1462" s="84" t="str">
        <f t="shared" si="67"/>
        <v>OutubroSEMANA 4Berinjela Org. Feirinha</v>
      </c>
      <c r="B1462" s="85" t="s">
        <v>37</v>
      </c>
      <c r="C1462" s="85" t="s">
        <v>23</v>
      </c>
      <c r="D1462" s="86">
        <v>27</v>
      </c>
      <c r="E1462" s="116" t="str">
        <f t="shared" si="68"/>
        <v>Feirinha</v>
      </c>
      <c r="F1462" s="85" t="s">
        <v>1044</v>
      </c>
      <c r="G1462" s="85" t="s">
        <v>882</v>
      </c>
      <c r="H1462" s="85" t="s">
        <v>1039</v>
      </c>
      <c r="I1462" s="85">
        <v>1.5</v>
      </c>
      <c r="J1462" s="87">
        <v>8.1999999999999993</v>
      </c>
      <c r="K1462" s="88">
        <f t="shared" si="69"/>
        <v>12.299999999999999</v>
      </c>
      <c r="L1462" s="85">
        <v>83400</v>
      </c>
    </row>
    <row r="1463" spans="1:12" x14ac:dyDescent="0.25">
      <c r="A1463" s="84" t="str">
        <f t="shared" si="67"/>
        <v>OutubroSEMANA 4Beterraba Orgânica</v>
      </c>
      <c r="B1463" s="85" t="s">
        <v>37</v>
      </c>
      <c r="C1463" s="85" t="s">
        <v>23</v>
      </c>
      <c r="D1463" s="86">
        <v>27</v>
      </c>
      <c r="E1463" s="116" t="str">
        <f t="shared" si="68"/>
        <v>Hortifruti</v>
      </c>
      <c r="F1463" s="85" t="s">
        <v>1044</v>
      </c>
      <c r="G1463" s="85" t="s">
        <v>182</v>
      </c>
      <c r="H1463" s="85" t="s">
        <v>1039</v>
      </c>
      <c r="I1463" s="85">
        <v>2.1</v>
      </c>
      <c r="J1463" s="87">
        <v>7.7</v>
      </c>
      <c r="K1463" s="88">
        <f t="shared" si="69"/>
        <v>16.170000000000002</v>
      </c>
      <c r="L1463" s="85">
        <v>83400</v>
      </c>
    </row>
    <row r="1464" spans="1:12" x14ac:dyDescent="0.25">
      <c r="A1464" s="84" t="str">
        <f t="shared" si="67"/>
        <v>OutubroSEMANA 4Beterraba Orgânica Feirinha</v>
      </c>
      <c r="B1464" s="85" t="s">
        <v>37</v>
      </c>
      <c r="C1464" s="85" t="s">
        <v>23</v>
      </c>
      <c r="D1464" s="86">
        <v>27</v>
      </c>
      <c r="E1464" s="116" t="str">
        <f t="shared" si="68"/>
        <v>Feirinha</v>
      </c>
      <c r="F1464" s="85" t="s">
        <v>1044</v>
      </c>
      <c r="G1464" s="85" t="s">
        <v>893</v>
      </c>
      <c r="H1464" s="85" t="s">
        <v>1039</v>
      </c>
      <c r="I1464" s="85">
        <v>2</v>
      </c>
      <c r="J1464" s="87">
        <v>7.7</v>
      </c>
      <c r="K1464" s="88">
        <f t="shared" si="69"/>
        <v>15.4</v>
      </c>
      <c r="L1464" s="85">
        <v>83400</v>
      </c>
    </row>
    <row r="1465" spans="1:12" x14ac:dyDescent="0.25">
      <c r="A1465" s="84" t="str">
        <f t="shared" si="67"/>
        <v>OutubroSEMANA 4Cenoura Orgânica</v>
      </c>
      <c r="B1465" s="85" t="s">
        <v>37</v>
      </c>
      <c r="C1465" s="85" t="s">
        <v>23</v>
      </c>
      <c r="D1465" s="86">
        <v>27</v>
      </c>
      <c r="E1465" s="116" t="str">
        <f t="shared" si="68"/>
        <v>Hortifruti</v>
      </c>
      <c r="F1465" s="85" t="s">
        <v>1044</v>
      </c>
      <c r="G1465" s="85" t="s">
        <v>252</v>
      </c>
      <c r="H1465" s="85" t="s">
        <v>1039</v>
      </c>
      <c r="I1465" s="85">
        <v>5</v>
      </c>
      <c r="J1465" s="87">
        <v>7.75</v>
      </c>
      <c r="K1465" s="88">
        <f t="shared" si="69"/>
        <v>38.75</v>
      </c>
      <c r="L1465" s="85">
        <v>83400</v>
      </c>
    </row>
    <row r="1466" spans="1:12" x14ac:dyDescent="0.25">
      <c r="A1466" s="84" t="str">
        <f t="shared" si="67"/>
        <v>OutubroSEMANA 4Cenoura Org. Feirinha</v>
      </c>
      <c r="B1466" s="85" t="s">
        <v>37</v>
      </c>
      <c r="C1466" s="85" t="s">
        <v>23</v>
      </c>
      <c r="D1466" s="86">
        <v>27</v>
      </c>
      <c r="E1466" s="116" t="str">
        <f t="shared" si="68"/>
        <v>Feirinha</v>
      </c>
      <c r="F1466" s="85" t="s">
        <v>1044</v>
      </c>
      <c r="G1466" s="85" t="s">
        <v>883</v>
      </c>
      <c r="H1466" s="85" t="s">
        <v>1039</v>
      </c>
      <c r="I1466" s="85">
        <v>2</v>
      </c>
      <c r="J1466" s="87">
        <v>7.75</v>
      </c>
      <c r="K1466" s="88">
        <f t="shared" si="69"/>
        <v>15.5</v>
      </c>
      <c r="L1466" s="85">
        <v>83400</v>
      </c>
    </row>
    <row r="1467" spans="1:12" x14ac:dyDescent="0.25">
      <c r="A1467" s="84" t="str">
        <f t="shared" si="67"/>
        <v>OutubroSEMANA 4Couve Orgânica Feirinha</v>
      </c>
      <c r="B1467" s="85" t="s">
        <v>37</v>
      </c>
      <c r="C1467" s="85" t="s">
        <v>23</v>
      </c>
      <c r="D1467" s="86">
        <v>27</v>
      </c>
      <c r="E1467" s="116" t="str">
        <f t="shared" si="68"/>
        <v>Feirinha</v>
      </c>
      <c r="F1467" s="85" t="s">
        <v>1044</v>
      </c>
      <c r="G1467" s="85" t="s">
        <v>892</v>
      </c>
      <c r="H1467" s="85" t="s">
        <v>1039</v>
      </c>
      <c r="I1467" s="85">
        <v>0.9</v>
      </c>
      <c r="J1467" s="87">
        <f>8.4/0.9</f>
        <v>9.3333333333333339</v>
      </c>
      <c r="K1467" s="88">
        <f t="shared" si="69"/>
        <v>8.4</v>
      </c>
      <c r="L1467" s="85">
        <v>83400</v>
      </c>
    </row>
    <row r="1468" spans="1:12" x14ac:dyDescent="0.25">
      <c r="A1468" s="84" t="str">
        <f t="shared" si="67"/>
        <v>OutubroSEMANA 4Rúcula Orgânica</v>
      </c>
      <c r="B1468" s="85" t="s">
        <v>37</v>
      </c>
      <c r="C1468" s="85" t="s">
        <v>23</v>
      </c>
      <c r="D1468" s="86">
        <v>27</v>
      </c>
      <c r="E1468" s="116" t="str">
        <f t="shared" si="68"/>
        <v>Hortifruti</v>
      </c>
      <c r="F1468" s="85" t="s">
        <v>1044</v>
      </c>
      <c r="G1468" s="85" t="s">
        <v>707</v>
      </c>
      <c r="H1468" s="85" t="s">
        <v>1039</v>
      </c>
      <c r="I1468" s="85">
        <f>4.95-0.45</f>
        <v>4.5</v>
      </c>
      <c r="J1468" s="87">
        <f>105.6/4.95</f>
        <v>21.333333333333332</v>
      </c>
      <c r="K1468" s="88">
        <f t="shared" si="69"/>
        <v>96</v>
      </c>
      <c r="L1468" s="85">
        <v>83400</v>
      </c>
    </row>
    <row r="1469" spans="1:12" x14ac:dyDescent="0.25">
      <c r="A1469" s="84" t="str">
        <f t="shared" si="67"/>
        <v>OutubroSEMANA 4Rucula Org. Feirinha</v>
      </c>
      <c r="B1469" s="85" t="s">
        <v>37</v>
      </c>
      <c r="C1469" s="85" t="s">
        <v>23</v>
      </c>
      <c r="D1469" s="86">
        <v>27</v>
      </c>
      <c r="E1469" s="116" t="str">
        <f t="shared" si="68"/>
        <v>Feirinha</v>
      </c>
      <c r="F1469" s="85" t="s">
        <v>1044</v>
      </c>
      <c r="G1469" s="85" t="s">
        <v>884</v>
      </c>
      <c r="H1469" s="85" t="s">
        <v>1039</v>
      </c>
      <c r="I1469" s="85">
        <v>0.45</v>
      </c>
      <c r="J1469" s="87">
        <f>105.6/4.95</f>
        <v>21.333333333333332</v>
      </c>
      <c r="K1469" s="88">
        <f t="shared" si="69"/>
        <v>9.6</v>
      </c>
      <c r="L1469" s="85">
        <v>83400</v>
      </c>
    </row>
    <row r="1470" spans="1:12" x14ac:dyDescent="0.25">
      <c r="A1470" s="84" t="str">
        <f t="shared" si="67"/>
        <v xml:space="preserve">OutubroSEMANA 4Alface Americana    </v>
      </c>
      <c r="B1470" s="85" t="s">
        <v>37</v>
      </c>
      <c r="C1470" s="85" t="s">
        <v>23</v>
      </c>
      <c r="D1470" s="86">
        <v>27</v>
      </c>
      <c r="E1470" s="116" t="str">
        <f t="shared" si="68"/>
        <v>Hortifruti</v>
      </c>
      <c r="F1470" s="85" t="s">
        <v>1287</v>
      </c>
      <c r="G1470" s="85" t="s">
        <v>102</v>
      </c>
      <c r="H1470" s="85" t="s">
        <v>1039</v>
      </c>
      <c r="I1470" s="85">
        <v>3.14</v>
      </c>
      <c r="J1470" s="87">
        <f>16.8/3.14</f>
        <v>5.3503184713375793</v>
      </c>
      <c r="K1470" s="88">
        <f t="shared" si="69"/>
        <v>16.8</v>
      </c>
      <c r="L1470" s="85">
        <v>142162</v>
      </c>
    </row>
    <row r="1471" spans="1:12" x14ac:dyDescent="0.25">
      <c r="A1471" s="84" t="str">
        <f t="shared" si="67"/>
        <v>OutubroSEMANA 4Creme de Leite Chantily</v>
      </c>
      <c r="B1471" s="85" t="s">
        <v>37</v>
      </c>
      <c r="C1471" s="85" t="s">
        <v>23</v>
      </c>
      <c r="D1471" s="86">
        <v>27</v>
      </c>
      <c r="E1471" s="116" t="str">
        <f t="shared" si="68"/>
        <v>Mercado</v>
      </c>
      <c r="F1471" s="85" t="s">
        <v>1045</v>
      </c>
      <c r="G1471" s="85" t="s">
        <v>314</v>
      </c>
      <c r="H1471" s="85" t="s">
        <v>1039</v>
      </c>
      <c r="I1471" s="85">
        <v>0.5</v>
      </c>
      <c r="J1471" s="87">
        <f>11.14/0.5</f>
        <v>22.28</v>
      </c>
      <c r="K1471" s="88">
        <f t="shared" si="69"/>
        <v>11.14</v>
      </c>
      <c r="L1471" s="85" t="s">
        <v>1288</v>
      </c>
    </row>
    <row r="1472" spans="1:12" x14ac:dyDescent="0.25">
      <c r="A1472" s="84" t="str">
        <f t="shared" si="67"/>
        <v>OutubroSEMANA 4Creme de Leite Culinário 20% Bd 10 Lt</v>
      </c>
      <c r="B1472" s="85" t="s">
        <v>37</v>
      </c>
      <c r="C1472" s="85" t="s">
        <v>23</v>
      </c>
      <c r="D1472" s="86">
        <v>27</v>
      </c>
      <c r="E1472" s="116" t="str">
        <f t="shared" si="68"/>
        <v>Mercado</v>
      </c>
      <c r="F1472" s="85" t="s">
        <v>1045</v>
      </c>
      <c r="G1472" s="85" t="s">
        <v>315</v>
      </c>
      <c r="H1472" s="85" t="s">
        <v>1046</v>
      </c>
      <c r="I1472" s="85">
        <v>1</v>
      </c>
      <c r="J1472" s="87">
        <v>142.44999999999999</v>
      </c>
      <c r="K1472" s="88">
        <f t="shared" si="69"/>
        <v>142.44999999999999</v>
      </c>
      <c r="L1472" s="85" t="s">
        <v>1288</v>
      </c>
    </row>
    <row r="1473" spans="1:12" x14ac:dyDescent="0.25">
      <c r="A1473" s="84" t="str">
        <f t="shared" si="67"/>
        <v>OutubroSEMANA 4Queijo Ricota</v>
      </c>
      <c r="B1473" s="85" t="s">
        <v>37</v>
      </c>
      <c r="C1473" s="85" t="s">
        <v>23</v>
      </c>
      <c r="D1473" s="86">
        <v>27</v>
      </c>
      <c r="E1473" s="116" t="str">
        <f t="shared" si="68"/>
        <v>Mercado</v>
      </c>
      <c r="F1473" s="85" t="s">
        <v>1045</v>
      </c>
      <c r="G1473" s="85" t="s">
        <v>689</v>
      </c>
      <c r="H1473" s="85" t="s">
        <v>1039</v>
      </c>
      <c r="I1473" s="85">
        <v>1.98</v>
      </c>
      <c r="J1473" s="87">
        <v>10.6</v>
      </c>
      <c r="K1473" s="88">
        <f t="shared" si="69"/>
        <v>20.988</v>
      </c>
      <c r="L1473" s="85" t="s">
        <v>1288</v>
      </c>
    </row>
    <row r="1474" spans="1:12" x14ac:dyDescent="0.25">
      <c r="A1474" s="84" t="str">
        <f t="shared" ref="A1474:A1537" si="70">CONCATENATE(B1474,C1474,G1474)</f>
        <v>OutubroSEMANA 4Queijo Requeijão BD 3,6 Kg</v>
      </c>
      <c r="B1474" s="85" t="s">
        <v>37</v>
      </c>
      <c r="C1474" s="85" t="s">
        <v>23</v>
      </c>
      <c r="D1474" s="86">
        <v>27</v>
      </c>
      <c r="E1474" s="116" t="str">
        <f t="shared" ref="E1474:E1537" si="71">VLOOKUP(G1474,$M$1:$O$968,3,0)</f>
        <v>Mercado</v>
      </c>
      <c r="F1474" s="85" t="s">
        <v>1045</v>
      </c>
      <c r="G1474" s="85" t="s">
        <v>688</v>
      </c>
      <c r="H1474" s="85" t="s">
        <v>1039</v>
      </c>
      <c r="I1474" s="85">
        <v>1</v>
      </c>
      <c r="J1474" s="87">
        <v>74.400000000000006</v>
      </c>
      <c r="K1474" s="88">
        <f t="shared" ref="K1474:K1537" si="72">I1474*J1474</f>
        <v>74.400000000000006</v>
      </c>
      <c r="L1474" s="85" t="s">
        <v>1288</v>
      </c>
    </row>
    <row r="1475" spans="1:12" x14ac:dyDescent="0.25">
      <c r="A1475" s="84" t="str">
        <f t="shared" si="70"/>
        <v>OutubroSEMANA 4Bolo de Cacau Belga</v>
      </c>
      <c r="B1475" s="85" t="s">
        <v>37</v>
      </c>
      <c r="C1475" s="85" t="s">
        <v>23</v>
      </c>
      <c r="D1475" s="86">
        <v>27</v>
      </c>
      <c r="E1475" s="116" t="str">
        <f t="shared" si="71"/>
        <v>Feirinha</v>
      </c>
      <c r="F1475" s="85" t="s">
        <v>1120</v>
      </c>
      <c r="G1475" s="85" t="s">
        <v>944</v>
      </c>
      <c r="H1475" s="85" t="s">
        <v>1038</v>
      </c>
      <c r="I1475" s="85">
        <v>2</v>
      </c>
      <c r="J1475" s="87">
        <v>9.5</v>
      </c>
      <c r="K1475" s="88">
        <f t="shared" si="72"/>
        <v>19</v>
      </c>
      <c r="L1475" s="85">
        <v>392</v>
      </c>
    </row>
    <row r="1476" spans="1:12" x14ac:dyDescent="0.25">
      <c r="A1476" s="84" t="str">
        <f t="shared" si="70"/>
        <v>OutubroSEMANA 4Bolo de Banana (com Amendoas)</v>
      </c>
      <c r="B1476" s="85" t="s">
        <v>37</v>
      </c>
      <c r="C1476" s="85" t="s">
        <v>23</v>
      </c>
      <c r="D1476" s="86">
        <v>27</v>
      </c>
      <c r="E1476" s="116" t="str">
        <f t="shared" si="71"/>
        <v>Feirinha</v>
      </c>
      <c r="F1476" s="85" t="s">
        <v>1120</v>
      </c>
      <c r="G1476" s="85" t="s">
        <v>943</v>
      </c>
      <c r="H1476" s="85" t="s">
        <v>1038</v>
      </c>
      <c r="I1476" s="85">
        <v>2</v>
      </c>
      <c r="J1476" s="87">
        <v>9.5</v>
      </c>
      <c r="K1476" s="88">
        <f t="shared" si="72"/>
        <v>19</v>
      </c>
      <c r="L1476" s="85">
        <v>392</v>
      </c>
    </row>
    <row r="1477" spans="1:12" x14ac:dyDescent="0.25">
      <c r="A1477" s="84" t="str">
        <f t="shared" si="70"/>
        <v>OutubroSEMANA 4Bolo de Cenoura (com cobertura de chocolate)</v>
      </c>
      <c r="B1477" s="85" t="s">
        <v>37</v>
      </c>
      <c r="C1477" s="85" t="s">
        <v>23</v>
      </c>
      <c r="D1477" s="86">
        <v>27</v>
      </c>
      <c r="E1477" s="116" t="str">
        <f t="shared" si="71"/>
        <v>Feirinha</v>
      </c>
      <c r="F1477" s="85" t="s">
        <v>1120</v>
      </c>
      <c r="G1477" s="85" t="s">
        <v>945</v>
      </c>
      <c r="H1477" s="85" t="s">
        <v>1038</v>
      </c>
      <c r="I1477" s="85">
        <v>2</v>
      </c>
      <c r="J1477" s="87">
        <v>9.5</v>
      </c>
      <c r="K1477" s="88">
        <f t="shared" si="72"/>
        <v>19</v>
      </c>
      <c r="L1477" s="85">
        <v>392</v>
      </c>
    </row>
    <row r="1478" spans="1:12" x14ac:dyDescent="0.25">
      <c r="A1478" s="84" t="str">
        <f t="shared" si="70"/>
        <v>OutubroSEMANA 4Bolo de Fuba (com cobertura de goiaba)</v>
      </c>
      <c r="B1478" s="85" t="s">
        <v>37</v>
      </c>
      <c r="C1478" s="85" t="s">
        <v>23</v>
      </c>
      <c r="D1478" s="86">
        <v>27</v>
      </c>
      <c r="E1478" s="116" t="str">
        <f t="shared" si="71"/>
        <v>Feirinha</v>
      </c>
      <c r="F1478" s="85" t="s">
        <v>1120</v>
      </c>
      <c r="G1478" s="85" t="s">
        <v>946</v>
      </c>
      <c r="H1478" s="85" t="s">
        <v>1038</v>
      </c>
      <c r="I1478" s="85">
        <v>2</v>
      </c>
      <c r="J1478" s="87">
        <v>9.5</v>
      </c>
      <c r="K1478" s="88">
        <f t="shared" si="72"/>
        <v>19</v>
      </c>
      <c r="L1478" s="85">
        <v>392</v>
      </c>
    </row>
    <row r="1479" spans="1:12" x14ac:dyDescent="0.25">
      <c r="A1479" s="84" t="str">
        <f t="shared" si="70"/>
        <v>OutubroSEMANA 4Mini Bolo de Cacau Belga</v>
      </c>
      <c r="B1479" s="85" t="s">
        <v>37</v>
      </c>
      <c r="C1479" s="85" t="s">
        <v>23</v>
      </c>
      <c r="D1479" s="86">
        <v>27</v>
      </c>
      <c r="E1479" s="116" t="str">
        <f t="shared" si="71"/>
        <v>Feirinha</v>
      </c>
      <c r="F1479" s="85" t="s">
        <v>1120</v>
      </c>
      <c r="G1479" s="85" t="s">
        <v>953</v>
      </c>
      <c r="H1479" s="85" t="s">
        <v>1038</v>
      </c>
      <c r="I1479" s="85">
        <v>3</v>
      </c>
      <c r="J1479" s="87">
        <v>4.5</v>
      </c>
      <c r="K1479" s="88">
        <f t="shared" si="72"/>
        <v>13.5</v>
      </c>
      <c r="L1479" s="85">
        <v>392</v>
      </c>
    </row>
    <row r="1480" spans="1:12" x14ac:dyDescent="0.25">
      <c r="A1480" s="84" t="str">
        <f t="shared" si="70"/>
        <v>OutubroSEMANA 4Mini Bolo de Banana (com amendoas)</v>
      </c>
      <c r="B1480" s="85" t="s">
        <v>37</v>
      </c>
      <c r="C1480" s="85" t="s">
        <v>23</v>
      </c>
      <c r="D1480" s="86">
        <v>27</v>
      </c>
      <c r="E1480" s="116" t="str">
        <f t="shared" si="71"/>
        <v>Feirinha</v>
      </c>
      <c r="F1480" s="85" t="s">
        <v>1120</v>
      </c>
      <c r="G1480" s="85" t="s">
        <v>952</v>
      </c>
      <c r="H1480" s="85" t="s">
        <v>1038</v>
      </c>
      <c r="I1480" s="85">
        <v>2</v>
      </c>
      <c r="J1480" s="87">
        <v>4.5</v>
      </c>
      <c r="K1480" s="88">
        <f t="shared" si="72"/>
        <v>9</v>
      </c>
      <c r="L1480" s="85">
        <v>392</v>
      </c>
    </row>
    <row r="1481" spans="1:12" x14ac:dyDescent="0.25">
      <c r="A1481" s="84" t="str">
        <f t="shared" si="70"/>
        <v>OutubroSEMANA 4Mini Bolo de Cenoura (com cobertura de chocolate)</v>
      </c>
      <c r="B1481" s="85" t="s">
        <v>37</v>
      </c>
      <c r="C1481" s="85" t="s">
        <v>23</v>
      </c>
      <c r="D1481" s="86">
        <v>27</v>
      </c>
      <c r="E1481" s="116" t="str">
        <f t="shared" si="71"/>
        <v>Feirinha</v>
      </c>
      <c r="F1481" s="85" t="s">
        <v>1120</v>
      </c>
      <c r="G1481" s="85" t="s">
        <v>954</v>
      </c>
      <c r="H1481" s="85" t="s">
        <v>1038</v>
      </c>
      <c r="I1481" s="85">
        <v>3</v>
      </c>
      <c r="J1481" s="87">
        <v>4.5</v>
      </c>
      <c r="K1481" s="88">
        <f t="shared" si="72"/>
        <v>13.5</v>
      </c>
      <c r="L1481" s="85">
        <v>392</v>
      </c>
    </row>
    <row r="1482" spans="1:12" x14ac:dyDescent="0.25">
      <c r="A1482" s="84" t="str">
        <f t="shared" si="70"/>
        <v>OutubroSEMANA 4Mini Bolo de Fuba (com cobertura goiaba)</v>
      </c>
      <c r="B1482" s="85" t="s">
        <v>37</v>
      </c>
      <c r="C1482" s="85" t="s">
        <v>23</v>
      </c>
      <c r="D1482" s="86">
        <v>27</v>
      </c>
      <c r="E1482" s="116" t="str">
        <f t="shared" si="71"/>
        <v>Feirinha</v>
      </c>
      <c r="F1482" s="85" t="s">
        <v>1120</v>
      </c>
      <c r="G1482" s="85" t="s">
        <v>955</v>
      </c>
      <c r="H1482" s="85" t="s">
        <v>1038</v>
      </c>
      <c r="I1482" s="85">
        <v>2</v>
      </c>
      <c r="J1482" s="87">
        <v>4.5</v>
      </c>
      <c r="K1482" s="88">
        <f t="shared" si="72"/>
        <v>9</v>
      </c>
      <c r="L1482" s="85">
        <v>392</v>
      </c>
    </row>
    <row r="1483" spans="1:12" x14ac:dyDescent="0.25">
      <c r="A1483" s="84" t="str">
        <f t="shared" si="70"/>
        <v>OutubroSEMANA 4Petit Four de Cacau Belga</v>
      </c>
      <c r="B1483" s="85" t="s">
        <v>37</v>
      </c>
      <c r="C1483" s="85" t="s">
        <v>23</v>
      </c>
      <c r="D1483" s="86">
        <v>27</v>
      </c>
      <c r="E1483" s="116" t="str">
        <f t="shared" si="71"/>
        <v>Feirinha</v>
      </c>
      <c r="F1483" s="85" t="s">
        <v>1120</v>
      </c>
      <c r="G1483" s="85" t="s">
        <v>957</v>
      </c>
      <c r="H1483" s="85" t="s">
        <v>1038</v>
      </c>
      <c r="I1483" s="85">
        <v>5</v>
      </c>
      <c r="J1483" s="87">
        <v>9.5</v>
      </c>
      <c r="K1483" s="88">
        <f t="shared" si="72"/>
        <v>47.5</v>
      </c>
      <c r="L1483" s="85">
        <v>392</v>
      </c>
    </row>
    <row r="1484" spans="1:12" x14ac:dyDescent="0.25">
      <c r="A1484" s="84" t="str">
        <f t="shared" si="70"/>
        <v>OutubroSEMANA 4Torta Banana Crock</v>
      </c>
      <c r="B1484" s="85" t="s">
        <v>37</v>
      </c>
      <c r="C1484" s="85" t="s">
        <v>23</v>
      </c>
      <c r="D1484" s="86">
        <v>27</v>
      </c>
      <c r="E1484" s="116" t="str">
        <f t="shared" si="71"/>
        <v>Sobremesa</v>
      </c>
      <c r="F1484" s="85" t="s">
        <v>1162</v>
      </c>
      <c r="G1484" s="85" t="s">
        <v>805</v>
      </c>
      <c r="H1484" s="85" t="s">
        <v>1071</v>
      </c>
      <c r="I1484" s="85">
        <v>12</v>
      </c>
      <c r="J1484" s="87">
        <f>68.96/12</f>
        <v>5.7466666666666661</v>
      </c>
      <c r="K1484" s="88">
        <f t="shared" si="72"/>
        <v>68.959999999999994</v>
      </c>
      <c r="L1484" s="85">
        <v>34441</v>
      </c>
    </row>
    <row r="1485" spans="1:12" x14ac:dyDescent="0.25">
      <c r="A1485" s="84" t="str">
        <f t="shared" si="70"/>
        <v>OutubroSEMANA 4Torta Bem Casado de Chocolate c/ Avelã</v>
      </c>
      <c r="B1485" s="85" t="s">
        <v>37</v>
      </c>
      <c r="C1485" s="85" t="s">
        <v>23</v>
      </c>
      <c r="D1485" s="86">
        <v>27</v>
      </c>
      <c r="E1485" s="116" t="str">
        <f t="shared" si="71"/>
        <v>Sobremesa</v>
      </c>
      <c r="F1485" s="85" t="s">
        <v>1162</v>
      </c>
      <c r="G1485" s="85" t="s">
        <v>807</v>
      </c>
      <c r="H1485" s="85" t="s">
        <v>1071</v>
      </c>
      <c r="I1485" s="85">
        <v>24</v>
      </c>
      <c r="J1485" s="87">
        <f>137.92/24</f>
        <v>5.7466666666666661</v>
      </c>
      <c r="K1485" s="88">
        <f t="shared" si="72"/>
        <v>137.91999999999999</v>
      </c>
      <c r="L1485" s="85">
        <v>34441</v>
      </c>
    </row>
    <row r="1486" spans="1:12" x14ac:dyDescent="0.25">
      <c r="A1486" s="84" t="str">
        <f t="shared" si="70"/>
        <v>OutubroSEMANA 4Torta Bem Casado de Damasco</v>
      </c>
      <c r="B1486" s="85" t="s">
        <v>37</v>
      </c>
      <c r="C1486" s="85" t="s">
        <v>23</v>
      </c>
      <c r="D1486" s="86">
        <v>27</v>
      </c>
      <c r="E1486" s="116" t="str">
        <f t="shared" si="71"/>
        <v>Sobremesa</v>
      </c>
      <c r="F1486" s="85" t="s">
        <v>1162</v>
      </c>
      <c r="G1486" s="85" t="s">
        <v>808</v>
      </c>
      <c r="H1486" s="85" t="s">
        <v>1071</v>
      </c>
      <c r="I1486" s="85">
        <v>24</v>
      </c>
      <c r="J1486" s="87">
        <f>137.92/24</f>
        <v>5.7466666666666661</v>
      </c>
      <c r="K1486" s="88">
        <f t="shared" si="72"/>
        <v>137.91999999999999</v>
      </c>
      <c r="L1486" s="85">
        <v>34441</v>
      </c>
    </row>
    <row r="1487" spans="1:12" x14ac:dyDescent="0.25">
      <c r="A1487" s="84" t="str">
        <f t="shared" si="70"/>
        <v>OutubroSEMANA 4Torta de Brigadeiro c/ Raspas</v>
      </c>
      <c r="B1487" s="85" t="s">
        <v>37</v>
      </c>
      <c r="C1487" s="85" t="s">
        <v>23</v>
      </c>
      <c r="D1487" s="86">
        <v>27</v>
      </c>
      <c r="E1487" s="116" t="str">
        <f t="shared" si="71"/>
        <v>Sobremesa</v>
      </c>
      <c r="F1487" s="85" t="s">
        <v>1162</v>
      </c>
      <c r="G1487" s="85" t="s">
        <v>813</v>
      </c>
      <c r="H1487" s="85" t="s">
        <v>1071</v>
      </c>
      <c r="I1487" s="85">
        <v>12</v>
      </c>
      <c r="J1487" s="87">
        <f>66.84/12</f>
        <v>5.57</v>
      </c>
      <c r="K1487" s="88">
        <f t="shared" si="72"/>
        <v>66.84</v>
      </c>
      <c r="L1487" s="85">
        <v>34441</v>
      </c>
    </row>
    <row r="1488" spans="1:12" x14ac:dyDescent="0.25">
      <c r="A1488" s="84" t="str">
        <f t="shared" si="70"/>
        <v>OutubroSEMANA 4Torta de Cenoura c/ Chocolate</v>
      </c>
      <c r="B1488" s="85" t="s">
        <v>37</v>
      </c>
      <c r="C1488" s="85" t="s">
        <v>23</v>
      </c>
      <c r="D1488" s="86">
        <v>27</v>
      </c>
      <c r="E1488" s="116" t="str">
        <f t="shared" si="71"/>
        <v>Sobremesa</v>
      </c>
      <c r="F1488" s="85" t="s">
        <v>1162</v>
      </c>
      <c r="G1488" s="85" t="s">
        <v>1006</v>
      </c>
      <c r="H1488" s="85" t="s">
        <v>1071</v>
      </c>
      <c r="I1488" s="85">
        <v>12</v>
      </c>
      <c r="J1488" s="87">
        <f>64.5/12</f>
        <v>5.375</v>
      </c>
      <c r="K1488" s="88">
        <f t="shared" si="72"/>
        <v>64.5</v>
      </c>
      <c r="L1488" s="85">
        <v>34441</v>
      </c>
    </row>
    <row r="1489" spans="1:12" x14ac:dyDescent="0.25">
      <c r="A1489" s="84" t="str">
        <f t="shared" si="70"/>
        <v>OutubroSEMANA 4Torta Financier com Quindim</v>
      </c>
      <c r="B1489" s="85" t="s">
        <v>37</v>
      </c>
      <c r="C1489" s="85" t="s">
        <v>23</v>
      </c>
      <c r="D1489" s="86">
        <v>27</v>
      </c>
      <c r="E1489" s="116" t="str">
        <f t="shared" si="71"/>
        <v>Sobremesa</v>
      </c>
      <c r="F1489" s="85" t="s">
        <v>1162</v>
      </c>
      <c r="G1489" s="85" t="s">
        <v>992</v>
      </c>
      <c r="H1489" s="85" t="s">
        <v>1071</v>
      </c>
      <c r="I1489" s="85">
        <v>12</v>
      </c>
      <c r="J1489" s="87">
        <f>71.09/12</f>
        <v>5.9241666666666672</v>
      </c>
      <c r="K1489" s="88">
        <f t="shared" si="72"/>
        <v>71.09</v>
      </c>
      <c r="L1489" s="85">
        <v>34441</v>
      </c>
    </row>
    <row r="1490" spans="1:12" x14ac:dyDescent="0.25">
      <c r="A1490" s="84" t="str">
        <f t="shared" si="70"/>
        <v>OutubroSEMANA 4Torta de Limão</v>
      </c>
      <c r="B1490" s="85" t="s">
        <v>37</v>
      </c>
      <c r="C1490" s="85" t="s">
        <v>23</v>
      </c>
      <c r="D1490" s="86">
        <v>27</v>
      </c>
      <c r="E1490" s="116" t="str">
        <f t="shared" si="71"/>
        <v>Sobremesa</v>
      </c>
      <c r="F1490" s="85" t="s">
        <v>1162</v>
      </c>
      <c r="G1490" s="85" t="s">
        <v>814</v>
      </c>
      <c r="H1490" s="85" t="s">
        <v>1071</v>
      </c>
      <c r="I1490" s="85">
        <v>12</v>
      </c>
      <c r="J1490" s="87">
        <f>63.65/12</f>
        <v>5.3041666666666663</v>
      </c>
      <c r="K1490" s="88">
        <f t="shared" si="72"/>
        <v>63.649999999999991</v>
      </c>
      <c r="L1490" s="85">
        <v>34441</v>
      </c>
    </row>
    <row r="1491" spans="1:12" x14ac:dyDescent="0.25">
      <c r="A1491" s="84" t="str">
        <f t="shared" si="70"/>
        <v>OutubroSEMANA 4Quindão com Damasco</v>
      </c>
      <c r="B1491" s="85" t="s">
        <v>37</v>
      </c>
      <c r="C1491" s="85" t="s">
        <v>23</v>
      </c>
      <c r="D1491" s="86">
        <v>27</v>
      </c>
      <c r="E1491" s="116" t="str">
        <f t="shared" si="71"/>
        <v>Sobremesa</v>
      </c>
      <c r="F1491" s="85" t="s">
        <v>1162</v>
      </c>
      <c r="G1491" s="85" t="s">
        <v>691</v>
      </c>
      <c r="H1491" s="85" t="s">
        <v>1071</v>
      </c>
      <c r="I1491" s="85">
        <v>12</v>
      </c>
      <c r="J1491" s="87">
        <f>66.84/12</f>
        <v>5.57</v>
      </c>
      <c r="K1491" s="88">
        <f t="shared" si="72"/>
        <v>66.84</v>
      </c>
      <c r="L1491" s="85">
        <v>34441</v>
      </c>
    </row>
    <row r="1492" spans="1:12" x14ac:dyDescent="0.25">
      <c r="A1492" s="84" t="str">
        <f t="shared" si="70"/>
        <v>OutubroSEMANA 4Torta Brownie com Nozes</v>
      </c>
      <c r="B1492" s="85" t="s">
        <v>37</v>
      </c>
      <c r="C1492" s="85" t="s">
        <v>23</v>
      </c>
      <c r="D1492" s="86">
        <v>27</v>
      </c>
      <c r="E1492" s="116" t="str">
        <f t="shared" si="71"/>
        <v>Sobremesa</v>
      </c>
      <c r="F1492" s="85" t="s">
        <v>1162</v>
      </c>
      <c r="G1492" s="85" t="s">
        <v>811</v>
      </c>
      <c r="H1492" s="85" t="s">
        <v>1038</v>
      </c>
      <c r="I1492" s="85">
        <v>8</v>
      </c>
      <c r="J1492" s="87">
        <f>47.3/8</f>
        <v>5.9124999999999996</v>
      </c>
      <c r="K1492" s="88">
        <f t="shared" si="72"/>
        <v>47.3</v>
      </c>
      <c r="L1492" s="85">
        <v>34441</v>
      </c>
    </row>
    <row r="1493" spans="1:12" x14ac:dyDescent="0.25">
      <c r="A1493" s="84" t="str">
        <f t="shared" si="70"/>
        <v>OutubroSEMANA 4Pescados - Atum Fresco</v>
      </c>
      <c r="B1493" s="85" t="s">
        <v>37</v>
      </c>
      <c r="C1493" s="85" t="s">
        <v>23</v>
      </c>
      <c r="D1493" s="86">
        <v>27</v>
      </c>
      <c r="E1493" s="116" t="str">
        <f t="shared" si="71"/>
        <v>Carnes</v>
      </c>
      <c r="F1493" s="85" t="s">
        <v>1133</v>
      </c>
      <c r="G1493" s="85" t="s">
        <v>586</v>
      </c>
      <c r="H1493" s="85" t="s">
        <v>1039</v>
      </c>
      <c r="I1493" s="85">
        <v>40</v>
      </c>
      <c r="J1493" s="87">
        <v>14.9</v>
      </c>
      <c r="K1493" s="88">
        <f t="shared" si="72"/>
        <v>596</v>
      </c>
      <c r="L1493" s="85" t="s">
        <v>1289</v>
      </c>
    </row>
    <row r="1494" spans="1:12" x14ac:dyDescent="0.25">
      <c r="A1494" s="84" t="str">
        <f t="shared" si="70"/>
        <v xml:space="preserve">OutubroSEMANA 4Tapioca Granulada </v>
      </c>
      <c r="B1494" s="85" t="s">
        <v>37</v>
      </c>
      <c r="C1494" s="85" t="s">
        <v>23</v>
      </c>
      <c r="D1494" s="86">
        <v>27</v>
      </c>
      <c r="E1494" s="116" t="str">
        <f t="shared" si="71"/>
        <v>Mercado</v>
      </c>
      <c r="F1494" s="85" t="s">
        <v>1036</v>
      </c>
      <c r="G1494" s="85" t="s">
        <v>785</v>
      </c>
      <c r="H1494" s="85" t="s">
        <v>1039</v>
      </c>
      <c r="I1494" s="85">
        <f>3*0.5</f>
        <v>1.5</v>
      </c>
      <c r="J1494" s="87">
        <v>11</v>
      </c>
      <c r="K1494" s="88">
        <f t="shared" si="72"/>
        <v>16.5</v>
      </c>
      <c r="L1494" s="85">
        <v>59127</v>
      </c>
    </row>
    <row r="1495" spans="1:12" x14ac:dyDescent="0.25">
      <c r="A1495" s="84" t="str">
        <f t="shared" si="70"/>
        <v>OutubroSEMANA 4Clara de Ovo</v>
      </c>
      <c r="B1495" s="85" t="s">
        <v>37</v>
      </c>
      <c r="C1495" s="85" t="s">
        <v>23</v>
      </c>
      <c r="D1495" s="86">
        <v>27</v>
      </c>
      <c r="E1495" s="116" t="str">
        <f t="shared" si="71"/>
        <v>Mercado</v>
      </c>
      <c r="F1495" s="85" t="s">
        <v>1067</v>
      </c>
      <c r="G1495" s="85" t="s">
        <v>282</v>
      </c>
      <c r="H1495" s="85" t="s">
        <v>1039</v>
      </c>
      <c r="I1495" s="85">
        <v>10.88</v>
      </c>
      <c r="J1495" s="87">
        <f>75/10.88</f>
        <v>6.8933823529411757</v>
      </c>
      <c r="K1495" s="88">
        <f t="shared" si="72"/>
        <v>75</v>
      </c>
      <c r="L1495" s="85"/>
    </row>
    <row r="1496" spans="1:12" x14ac:dyDescent="0.25">
      <c r="A1496" s="84" t="str">
        <f t="shared" si="70"/>
        <v>OutubroSEMANA 4Batata Palha 140 g</v>
      </c>
      <c r="B1496" s="85" t="s">
        <v>37</v>
      </c>
      <c r="C1496" s="85" t="s">
        <v>23</v>
      </c>
      <c r="D1496" s="86">
        <v>28</v>
      </c>
      <c r="E1496" s="116" t="str">
        <f t="shared" si="71"/>
        <v>Mercado</v>
      </c>
      <c r="F1496" s="85" t="s">
        <v>1036</v>
      </c>
      <c r="G1496" s="85" t="s">
        <v>174</v>
      </c>
      <c r="H1496" s="85" t="s">
        <v>1037</v>
      </c>
      <c r="I1496" s="85">
        <v>3</v>
      </c>
      <c r="J1496" s="87">
        <v>7.8</v>
      </c>
      <c r="K1496" s="88">
        <f t="shared" si="72"/>
        <v>23.4</v>
      </c>
      <c r="L1496" s="85">
        <v>72190</v>
      </c>
    </row>
    <row r="1497" spans="1:12" x14ac:dyDescent="0.25">
      <c r="A1497" s="84" t="str">
        <f t="shared" si="70"/>
        <v>OutubroSEMANA 4Pão Árabe</v>
      </c>
      <c r="B1497" s="85" t="s">
        <v>37</v>
      </c>
      <c r="C1497" s="85" t="s">
        <v>23</v>
      </c>
      <c r="D1497" s="86">
        <v>28</v>
      </c>
      <c r="E1497" s="116" t="str">
        <f t="shared" si="71"/>
        <v>Mercado</v>
      </c>
      <c r="F1497" s="85" t="s">
        <v>1036</v>
      </c>
      <c r="G1497" s="85" t="s">
        <v>561</v>
      </c>
      <c r="H1497" s="85" t="s">
        <v>1037</v>
      </c>
      <c r="I1497" s="85">
        <v>3</v>
      </c>
      <c r="J1497" s="87">
        <v>6.7</v>
      </c>
      <c r="K1497" s="88">
        <f t="shared" si="72"/>
        <v>20.100000000000001</v>
      </c>
      <c r="L1497" s="85">
        <v>72190</v>
      </c>
    </row>
    <row r="1498" spans="1:12" x14ac:dyDescent="0.25">
      <c r="A1498" s="84" t="str">
        <f t="shared" si="70"/>
        <v>OutubroSEMANA 4Vinagre de Arroz (cozinha)</v>
      </c>
      <c r="B1498" s="85" t="s">
        <v>37</v>
      </c>
      <c r="C1498" s="85" t="s">
        <v>23</v>
      </c>
      <c r="D1498" s="86">
        <v>25</v>
      </c>
      <c r="E1498" s="116" t="str">
        <f t="shared" si="71"/>
        <v>Mercado</v>
      </c>
      <c r="F1498" s="85" t="s">
        <v>1085</v>
      </c>
      <c r="G1498" s="85" t="s">
        <v>896</v>
      </c>
      <c r="H1498" s="85" t="s">
        <v>1081</v>
      </c>
      <c r="I1498" s="85">
        <f>7*0.75</f>
        <v>5.25</v>
      </c>
      <c r="J1498" s="87">
        <f>47.52/9</f>
        <v>5.28</v>
      </c>
      <c r="K1498" s="88">
        <f t="shared" si="72"/>
        <v>27.720000000000002</v>
      </c>
      <c r="L1498" s="85" t="s">
        <v>1268</v>
      </c>
    </row>
    <row r="1499" spans="1:12" x14ac:dyDescent="0.25">
      <c r="A1499" s="84" t="str">
        <f t="shared" si="70"/>
        <v>OutubroSEMANA 4Abobora</v>
      </c>
      <c r="B1499" s="85" t="s">
        <v>37</v>
      </c>
      <c r="C1499" s="85" t="s">
        <v>23</v>
      </c>
      <c r="D1499" s="86">
        <v>28</v>
      </c>
      <c r="E1499" s="116" t="str">
        <f t="shared" si="71"/>
        <v>Hortifruti</v>
      </c>
      <c r="F1499" s="85" t="s">
        <v>1110</v>
      </c>
      <c r="G1499" s="85" t="s">
        <v>68</v>
      </c>
      <c r="H1499" s="85" t="s">
        <v>1039</v>
      </c>
      <c r="I1499" s="85">
        <v>5.86</v>
      </c>
      <c r="J1499" s="87">
        <v>1.88</v>
      </c>
      <c r="K1499" s="88">
        <f t="shared" si="72"/>
        <v>11.0168</v>
      </c>
      <c r="L1499" s="85">
        <v>20180</v>
      </c>
    </row>
    <row r="1500" spans="1:12" x14ac:dyDescent="0.25">
      <c r="A1500" s="84" t="str">
        <f t="shared" si="70"/>
        <v>OutubroSEMANA 4Batata HBT</v>
      </c>
      <c r="B1500" s="85" t="s">
        <v>37</v>
      </c>
      <c r="C1500" s="85" t="s">
        <v>23</v>
      </c>
      <c r="D1500" s="86">
        <v>28</v>
      </c>
      <c r="E1500" s="116" t="str">
        <f t="shared" si="71"/>
        <v>Hortifruti</v>
      </c>
      <c r="F1500" s="85" t="s">
        <v>1110</v>
      </c>
      <c r="G1500" s="85" t="s">
        <v>171</v>
      </c>
      <c r="H1500" s="85" t="s">
        <v>1039</v>
      </c>
      <c r="I1500" s="85">
        <v>25</v>
      </c>
      <c r="J1500" s="87">
        <v>1.68</v>
      </c>
      <c r="K1500" s="88">
        <f t="shared" si="72"/>
        <v>42</v>
      </c>
      <c r="L1500" s="85">
        <v>20180</v>
      </c>
    </row>
    <row r="1501" spans="1:12" x14ac:dyDescent="0.25">
      <c r="A1501" s="84" t="str">
        <f t="shared" si="70"/>
        <v>OutubroSEMANA 4Coentro</v>
      </c>
      <c r="B1501" s="85" t="s">
        <v>37</v>
      </c>
      <c r="C1501" s="85" t="s">
        <v>23</v>
      </c>
      <c r="D1501" s="86">
        <v>28</v>
      </c>
      <c r="E1501" s="116" t="str">
        <f t="shared" si="71"/>
        <v>Hortifruti</v>
      </c>
      <c r="F1501" s="85" t="s">
        <v>1110</v>
      </c>
      <c r="G1501" s="85" t="s">
        <v>289</v>
      </c>
      <c r="H1501" s="85" t="s">
        <v>1039</v>
      </c>
      <c r="I1501" s="85">
        <v>0.08</v>
      </c>
      <c r="J1501" s="87">
        <v>11.25</v>
      </c>
      <c r="K1501" s="88">
        <f t="shared" si="72"/>
        <v>0.9</v>
      </c>
      <c r="L1501" s="85">
        <v>20180</v>
      </c>
    </row>
    <row r="1502" spans="1:12" x14ac:dyDescent="0.25">
      <c r="A1502" s="84" t="str">
        <f t="shared" si="70"/>
        <v>OutubroSEMANA 4Espinafre</v>
      </c>
      <c r="B1502" s="85" t="s">
        <v>37</v>
      </c>
      <c r="C1502" s="85" t="s">
        <v>23</v>
      </c>
      <c r="D1502" s="86">
        <v>28</v>
      </c>
      <c r="E1502" s="116" t="str">
        <f t="shared" si="71"/>
        <v>Hortifruti</v>
      </c>
      <c r="F1502" s="85" t="s">
        <v>1110</v>
      </c>
      <c r="G1502" s="85" t="s">
        <v>332</v>
      </c>
      <c r="H1502" s="85" t="s">
        <v>1039</v>
      </c>
      <c r="I1502" s="85">
        <f>4-1.8</f>
        <v>2.2000000000000002</v>
      </c>
      <c r="J1502" s="87">
        <v>4.4000000000000004</v>
      </c>
      <c r="K1502" s="88">
        <f t="shared" si="72"/>
        <v>9.6800000000000015</v>
      </c>
      <c r="L1502" s="85">
        <v>20180</v>
      </c>
    </row>
    <row r="1503" spans="1:12" x14ac:dyDescent="0.25">
      <c r="A1503" s="84" t="str">
        <f t="shared" si="70"/>
        <v xml:space="preserve">OutubroSEMANA 4Melão de Rede </v>
      </c>
      <c r="B1503" s="85" t="s">
        <v>37</v>
      </c>
      <c r="C1503" s="85" t="s">
        <v>23</v>
      </c>
      <c r="D1503" s="86">
        <v>28</v>
      </c>
      <c r="E1503" s="116" t="str">
        <f t="shared" si="71"/>
        <v>Hortifruti</v>
      </c>
      <c r="F1503" s="85" t="s">
        <v>1110</v>
      </c>
      <c r="G1503" s="85" t="s">
        <v>518</v>
      </c>
      <c r="H1503" s="85" t="s">
        <v>1039</v>
      </c>
      <c r="I1503" s="85">
        <v>4.22</v>
      </c>
      <c r="J1503" s="87">
        <v>5</v>
      </c>
      <c r="K1503" s="88">
        <f t="shared" si="72"/>
        <v>21.099999999999998</v>
      </c>
      <c r="L1503" s="85">
        <v>20180</v>
      </c>
    </row>
    <row r="1504" spans="1:12" x14ac:dyDescent="0.25">
      <c r="A1504" s="84" t="str">
        <f t="shared" si="70"/>
        <v>OutubroSEMANA 4Berinjela</v>
      </c>
      <c r="B1504" s="85" t="s">
        <v>37</v>
      </c>
      <c r="C1504" s="85" t="s">
        <v>23</v>
      </c>
      <c r="D1504" s="86">
        <v>28</v>
      </c>
      <c r="E1504" s="116" t="str">
        <f t="shared" si="71"/>
        <v>Hortifruti</v>
      </c>
      <c r="F1504" s="85" t="s">
        <v>1110</v>
      </c>
      <c r="G1504" s="85" t="s">
        <v>178</v>
      </c>
      <c r="H1504" s="85" t="s">
        <v>1039</v>
      </c>
      <c r="I1504" s="85">
        <v>13.08</v>
      </c>
      <c r="J1504" s="87">
        <v>2.79</v>
      </c>
      <c r="K1504" s="88">
        <f t="shared" si="72"/>
        <v>36.493200000000002</v>
      </c>
      <c r="L1504" s="85">
        <v>20180</v>
      </c>
    </row>
    <row r="1505" spans="1:12" x14ac:dyDescent="0.25">
      <c r="A1505" s="84" t="str">
        <f t="shared" si="70"/>
        <v>OutubroSEMANA 4Beterraba</v>
      </c>
      <c r="B1505" s="85" t="s">
        <v>37</v>
      </c>
      <c r="C1505" s="85" t="s">
        <v>23</v>
      </c>
      <c r="D1505" s="86">
        <v>28</v>
      </c>
      <c r="E1505" s="116" t="str">
        <f t="shared" si="71"/>
        <v>Hortifruti</v>
      </c>
      <c r="F1505" s="85" t="s">
        <v>1110</v>
      </c>
      <c r="G1505" s="85" t="s">
        <v>181</v>
      </c>
      <c r="H1505" s="85" t="s">
        <v>1039</v>
      </c>
      <c r="I1505" s="85">
        <v>7</v>
      </c>
      <c r="J1505" s="87">
        <v>1.54</v>
      </c>
      <c r="K1505" s="88">
        <f t="shared" si="72"/>
        <v>10.780000000000001</v>
      </c>
      <c r="L1505" s="85">
        <v>20180</v>
      </c>
    </row>
    <row r="1506" spans="1:12" x14ac:dyDescent="0.25">
      <c r="A1506" s="84" t="str">
        <f t="shared" si="70"/>
        <v>OutubroSEMANA 4Cebola Calabresa</v>
      </c>
      <c r="B1506" s="85" t="s">
        <v>37</v>
      </c>
      <c r="C1506" s="85" t="s">
        <v>23</v>
      </c>
      <c r="D1506" s="86">
        <v>28</v>
      </c>
      <c r="E1506" s="116" t="str">
        <f t="shared" si="71"/>
        <v>Hortifruti</v>
      </c>
      <c r="F1506" s="85" t="s">
        <v>1110</v>
      </c>
      <c r="G1506" s="85" t="s">
        <v>242</v>
      </c>
      <c r="H1506" s="85" t="s">
        <v>1039</v>
      </c>
      <c r="I1506" s="85">
        <v>3</v>
      </c>
      <c r="J1506" s="87">
        <v>1.85</v>
      </c>
      <c r="K1506" s="88">
        <f t="shared" si="72"/>
        <v>5.5500000000000007</v>
      </c>
      <c r="L1506" s="85">
        <v>20180</v>
      </c>
    </row>
    <row r="1507" spans="1:12" x14ac:dyDescent="0.25">
      <c r="A1507" s="84" t="str">
        <f t="shared" si="70"/>
        <v>OutubroSEMANA 4Nabo Japonês Sushi</v>
      </c>
      <c r="B1507" s="85" t="s">
        <v>37</v>
      </c>
      <c r="C1507" s="85" t="s">
        <v>23</v>
      </c>
      <c r="D1507" s="86">
        <v>28</v>
      </c>
      <c r="E1507" s="116" t="str">
        <f t="shared" si="71"/>
        <v>Sushi</v>
      </c>
      <c r="F1507" s="85" t="s">
        <v>1110</v>
      </c>
      <c r="G1507" s="85" t="s">
        <v>537</v>
      </c>
      <c r="H1507" s="85" t="s">
        <v>1039</v>
      </c>
      <c r="I1507" s="85">
        <v>1</v>
      </c>
      <c r="J1507" s="87">
        <v>5</v>
      </c>
      <c r="K1507" s="88">
        <f t="shared" si="72"/>
        <v>5</v>
      </c>
      <c r="L1507" s="85">
        <v>20180</v>
      </c>
    </row>
    <row r="1508" spans="1:12" x14ac:dyDescent="0.25">
      <c r="A1508" s="84" t="str">
        <f t="shared" si="70"/>
        <v>OutubroSEMANA 4Pimentão Verde</v>
      </c>
      <c r="B1508" s="85" t="s">
        <v>37</v>
      </c>
      <c r="C1508" s="85" t="s">
        <v>23</v>
      </c>
      <c r="D1508" s="86">
        <v>28</v>
      </c>
      <c r="E1508" s="116" t="str">
        <f t="shared" si="71"/>
        <v>Hortifruti</v>
      </c>
      <c r="F1508" s="85" t="s">
        <v>1110</v>
      </c>
      <c r="G1508" s="85" t="s">
        <v>666</v>
      </c>
      <c r="H1508" s="85" t="s">
        <v>1039</v>
      </c>
      <c r="I1508" s="85">
        <v>1</v>
      </c>
      <c r="J1508" s="87">
        <v>4.04</v>
      </c>
      <c r="K1508" s="88">
        <f t="shared" si="72"/>
        <v>4.04</v>
      </c>
      <c r="L1508" s="85">
        <v>20180</v>
      </c>
    </row>
    <row r="1509" spans="1:12" x14ac:dyDescent="0.25">
      <c r="A1509" s="84" t="str">
        <f t="shared" si="70"/>
        <v>OutubroSEMANA 4Côco Seco</v>
      </c>
      <c r="B1509" s="85" t="s">
        <v>37</v>
      </c>
      <c r="C1509" s="85" t="s">
        <v>23</v>
      </c>
      <c r="D1509" s="86">
        <v>28</v>
      </c>
      <c r="E1509" s="116" t="str">
        <f t="shared" si="71"/>
        <v>Mercado</v>
      </c>
      <c r="F1509" s="85" t="s">
        <v>1055</v>
      </c>
      <c r="G1509" s="85" t="s">
        <v>287</v>
      </c>
      <c r="H1509" s="85" t="s">
        <v>1039</v>
      </c>
      <c r="I1509" s="85">
        <v>1</v>
      </c>
      <c r="J1509" s="87">
        <v>6.9</v>
      </c>
      <c r="K1509" s="88">
        <f t="shared" si="72"/>
        <v>6.9</v>
      </c>
      <c r="L1509" s="85">
        <v>5932</v>
      </c>
    </row>
    <row r="1510" spans="1:12" x14ac:dyDescent="0.25">
      <c r="A1510" s="84" t="str">
        <f t="shared" si="70"/>
        <v>OutubroSEMANA 4Couve Flor</v>
      </c>
      <c r="B1510" s="85" t="s">
        <v>37</v>
      </c>
      <c r="C1510" s="85" t="s">
        <v>23</v>
      </c>
      <c r="D1510" s="86">
        <v>28</v>
      </c>
      <c r="E1510" s="116" t="str">
        <f t="shared" si="71"/>
        <v>Hortifruti</v>
      </c>
      <c r="F1510" s="85" t="s">
        <v>1055</v>
      </c>
      <c r="G1510" s="85" t="s">
        <v>306</v>
      </c>
      <c r="H1510" s="85" t="s">
        <v>1039</v>
      </c>
      <c r="I1510" s="85">
        <v>8</v>
      </c>
      <c r="J1510" s="87">
        <v>4.25</v>
      </c>
      <c r="K1510" s="88">
        <f t="shared" si="72"/>
        <v>34</v>
      </c>
      <c r="L1510" s="85">
        <v>5932</v>
      </c>
    </row>
    <row r="1511" spans="1:12" x14ac:dyDescent="0.25">
      <c r="A1511" s="84" t="str">
        <f t="shared" si="70"/>
        <v>OutubroSEMANA 4Laranja Pera</v>
      </c>
      <c r="B1511" s="85" t="s">
        <v>37</v>
      </c>
      <c r="C1511" s="85" t="s">
        <v>23</v>
      </c>
      <c r="D1511" s="86">
        <v>28</v>
      </c>
      <c r="E1511" s="116" t="str">
        <f t="shared" si="71"/>
        <v>Hortifruti</v>
      </c>
      <c r="F1511" s="85" t="s">
        <v>1055</v>
      </c>
      <c r="G1511" s="85" t="s">
        <v>457</v>
      </c>
      <c r="H1511" s="85" t="s">
        <v>1039</v>
      </c>
      <c r="I1511" s="85">
        <v>41.56</v>
      </c>
      <c r="J1511" s="87">
        <f>56/41.56</f>
        <v>1.3474494706448508</v>
      </c>
      <c r="K1511" s="88">
        <f t="shared" si="72"/>
        <v>56</v>
      </c>
      <c r="L1511" s="85">
        <v>5932</v>
      </c>
    </row>
    <row r="1512" spans="1:12" x14ac:dyDescent="0.25">
      <c r="A1512" s="84" t="str">
        <f t="shared" si="70"/>
        <v>OutubroSEMANA 4Tomate Salada</v>
      </c>
      <c r="B1512" s="85" t="s">
        <v>37</v>
      </c>
      <c r="C1512" s="85" t="s">
        <v>23</v>
      </c>
      <c r="D1512" s="86">
        <v>28</v>
      </c>
      <c r="E1512" s="116" t="str">
        <f t="shared" si="71"/>
        <v>Hortifruti</v>
      </c>
      <c r="F1512" s="85" t="s">
        <v>1055</v>
      </c>
      <c r="G1512" s="85" t="s">
        <v>795</v>
      </c>
      <c r="H1512" s="85" t="s">
        <v>1039</v>
      </c>
      <c r="I1512" s="85">
        <v>8</v>
      </c>
      <c r="J1512" s="87">
        <f>36.5/20</f>
        <v>1.825</v>
      </c>
      <c r="K1512" s="88">
        <f t="shared" si="72"/>
        <v>14.6</v>
      </c>
      <c r="L1512" s="85" t="s">
        <v>1321</v>
      </c>
    </row>
    <row r="1513" spans="1:12" x14ac:dyDescent="0.25">
      <c r="A1513" s="84" t="str">
        <f t="shared" si="70"/>
        <v>OutubroSEMANA 4Côco Verde</v>
      </c>
      <c r="B1513" s="85" t="s">
        <v>37</v>
      </c>
      <c r="C1513" s="85" t="s">
        <v>23</v>
      </c>
      <c r="D1513" s="86">
        <v>28</v>
      </c>
      <c r="E1513" s="116" t="str">
        <f t="shared" si="71"/>
        <v>Hortifruti</v>
      </c>
      <c r="F1513" s="85" t="s">
        <v>1055</v>
      </c>
      <c r="G1513" s="85" t="s">
        <v>288</v>
      </c>
      <c r="H1513" s="85" t="s">
        <v>1038</v>
      </c>
      <c r="I1513" s="85">
        <v>30</v>
      </c>
      <c r="J1513" s="87">
        <v>1.98</v>
      </c>
      <c r="K1513" s="88">
        <f t="shared" si="72"/>
        <v>59.4</v>
      </c>
      <c r="L1513" s="85">
        <v>5932</v>
      </c>
    </row>
    <row r="1514" spans="1:12" x14ac:dyDescent="0.25">
      <c r="A1514" s="84" t="str">
        <f t="shared" si="70"/>
        <v>OutubroSEMANA 4Hortelã</v>
      </c>
      <c r="B1514" s="85" t="s">
        <v>37</v>
      </c>
      <c r="C1514" s="85" t="s">
        <v>23</v>
      </c>
      <c r="D1514" s="86">
        <v>28</v>
      </c>
      <c r="E1514" s="116" t="str">
        <f t="shared" si="71"/>
        <v>Hortifruti</v>
      </c>
      <c r="F1514" s="85" t="s">
        <v>1055</v>
      </c>
      <c r="G1514" s="85" t="s">
        <v>405</v>
      </c>
      <c r="H1514" s="85" t="s">
        <v>1039</v>
      </c>
      <c r="I1514" s="85">
        <v>0.5</v>
      </c>
      <c r="J1514" s="87">
        <v>4.5</v>
      </c>
      <c r="K1514" s="88">
        <f t="shared" si="72"/>
        <v>2.25</v>
      </c>
      <c r="L1514" s="85">
        <v>5932</v>
      </c>
    </row>
    <row r="1515" spans="1:12" x14ac:dyDescent="0.25">
      <c r="A1515" s="84" t="str">
        <f t="shared" si="70"/>
        <v>OutubroSEMANA 4Limão Siciliano</v>
      </c>
      <c r="B1515" s="85" t="s">
        <v>37</v>
      </c>
      <c r="C1515" s="85" t="s">
        <v>23</v>
      </c>
      <c r="D1515" s="86">
        <v>28</v>
      </c>
      <c r="E1515" s="116" t="str">
        <f t="shared" si="71"/>
        <v>Hortifruti</v>
      </c>
      <c r="F1515" s="85" t="s">
        <v>1055</v>
      </c>
      <c r="G1515" s="85" t="s">
        <v>466</v>
      </c>
      <c r="H1515" s="85" t="s">
        <v>1039</v>
      </c>
      <c r="I1515" s="85">
        <v>1</v>
      </c>
      <c r="J1515" s="87">
        <v>6.66</v>
      </c>
      <c r="K1515" s="88">
        <f t="shared" si="72"/>
        <v>6.66</v>
      </c>
      <c r="L1515" s="85">
        <v>5932</v>
      </c>
    </row>
    <row r="1516" spans="1:12" x14ac:dyDescent="0.25">
      <c r="A1516" s="84" t="str">
        <f t="shared" si="70"/>
        <v xml:space="preserve">OutubroSEMANA 4Alface Americana    </v>
      </c>
      <c r="B1516" s="85" t="s">
        <v>37</v>
      </c>
      <c r="C1516" s="85" t="s">
        <v>23</v>
      </c>
      <c r="D1516" s="86">
        <v>28</v>
      </c>
      <c r="E1516" s="116" t="str">
        <f t="shared" si="71"/>
        <v>Hortifruti</v>
      </c>
      <c r="F1516" s="85" t="s">
        <v>1055</v>
      </c>
      <c r="G1516" s="85" t="s">
        <v>102</v>
      </c>
      <c r="H1516" s="85" t="s">
        <v>1039</v>
      </c>
      <c r="I1516" s="85">
        <v>7.46</v>
      </c>
      <c r="J1516" s="87">
        <f>18.75/7.46</f>
        <v>2.5134048257372656</v>
      </c>
      <c r="K1516" s="88">
        <f t="shared" si="72"/>
        <v>18.75</v>
      </c>
      <c r="L1516" s="85" t="s">
        <v>1290</v>
      </c>
    </row>
    <row r="1517" spans="1:12" x14ac:dyDescent="0.25">
      <c r="A1517" s="84" t="str">
        <f t="shared" si="70"/>
        <v>OutubroSEMANA 4Maçã Nacional</v>
      </c>
      <c r="B1517" s="85" t="s">
        <v>37</v>
      </c>
      <c r="C1517" s="85" t="s">
        <v>23</v>
      </c>
      <c r="D1517" s="86">
        <v>28</v>
      </c>
      <c r="E1517" s="116" t="str">
        <f t="shared" si="71"/>
        <v>Hortifruti</v>
      </c>
      <c r="F1517" s="85" t="s">
        <v>1055</v>
      </c>
      <c r="G1517" s="85" t="s">
        <v>477</v>
      </c>
      <c r="H1517" s="85" t="s">
        <v>1039</v>
      </c>
      <c r="I1517" s="85">
        <v>17.66</v>
      </c>
      <c r="J1517" s="87">
        <f>63.9/17.66</f>
        <v>3.6183465458663644</v>
      </c>
      <c r="K1517" s="88">
        <f t="shared" si="72"/>
        <v>63.9</v>
      </c>
      <c r="L1517" s="85">
        <v>5932</v>
      </c>
    </row>
    <row r="1518" spans="1:12" x14ac:dyDescent="0.25">
      <c r="A1518" s="84" t="str">
        <f t="shared" si="70"/>
        <v>OutubroSEMANA 4Mamão Bahia</v>
      </c>
      <c r="B1518" s="85" t="s">
        <v>37</v>
      </c>
      <c r="C1518" s="85" t="s">
        <v>23</v>
      </c>
      <c r="D1518" s="86">
        <v>28</v>
      </c>
      <c r="E1518" s="116" t="str">
        <f t="shared" si="71"/>
        <v>Hortifruti</v>
      </c>
      <c r="F1518" s="85" t="s">
        <v>1055</v>
      </c>
      <c r="G1518" s="85" t="s">
        <v>494</v>
      </c>
      <c r="H1518" s="85" t="s">
        <v>1039</v>
      </c>
      <c r="I1518" s="85">
        <v>4</v>
      </c>
      <c r="J1518" s="87">
        <v>2.4</v>
      </c>
      <c r="K1518" s="88">
        <f t="shared" si="72"/>
        <v>9.6</v>
      </c>
      <c r="L1518" s="85">
        <v>5932</v>
      </c>
    </row>
    <row r="1519" spans="1:12" x14ac:dyDescent="0.25">
      <c r="A1519" s="84" t="str">
        <f t="shared" si="70"/>
        <v>OutubroSEMANA 4Ovos Extra</v>
      </c>
      <c r="B1519" s="85" t="s">
        <v>37</v>
      </c>
      <c r="C1519" s="85" t="s">
        <v>23</v>
      </c>
      <c r="D1519" s="86">
        <v>28</v>
      </c>
      <c r="E1519" s="116" t="str">
        <f t="shared" si="71"/>
        <v>Hortifruti</v>
      </c>
      <c r="F1519" s="85" t="s">
        <v>1055</v>
      </c>
      <c r="G1519" s="85" t="s">
        <v>550</v>
      </c>
      <c r="H1519" s="85" t="s">
        <v>1038</v>
      </c>
      <c r="I1519" s="85">
        <v>360</v>
      </c>
      <c r="J1519" s="87">
        <f>96/360</f>
        <v>0.26666666666666666</v>
      </c>
      <c r="K1519" s="88">
        <f t="shared" si="72"/>
        <v>96</v>
      </c>
      <c r="L1519" s="85">
        <v>5932</v>
      </c>
    </row>
    <row r="1520" spans="1:12" x14ac:dyDescent="0.25">
      <c r="A1520" s="84" t="str">
        <f t="shared" si="70"/>
        <v>OutubroSEMANA 4Gelo em Escamas</v>
      </c>
      <c r="B1520" s="85" t="s">
        <v>37</v>
      </c>
      <c r="C1520" s="85" t="s">
        <v>23</v>
      </c>
      <c r="D1520" s="86">
        <v>28</v>
      </c>
      <c r="E1520" s="116" t="str">
        <f t="shared" si="71"/>
        <v>Mercado</v>
      </c>
      <c r="F1520" s="85" t="s">
        <v>1040</v>
      </c>
      <c r="G1520" s="85" t="s">
        <v>384</v>
      </c>
      <c r="H1520" s="85" t="s">
        <v>1041</v>
      </c>
      <c r="I1520" s="85">
        <v>2</v>
      </c>
      <c r="J1520" s="87">
        <v>7.5</v>
      </c>
      <c r="K1520" s="88">
        <f t="shared" si="72"/>
        <v>15</v>
      </c>
      <c r="L1520" s="85">
        <v>11711</v>
      </c>
    </row>
    <row r="1521" spans="1:12" x14ac:dyDescent="0.25">
      <c r="A1521" s="84" t="str">
        <f t="shared" si="70"/>
        <v>OutubroSEMANA 4Gelo em Cubo</v>
      </c>
      <c r="B1521" s="85" t="s">
        <v>37</v>
      </c>
      <c r="C1521" s="85" t="s">
        <v>23</v>
      </c>
      <c r="D1521" s="86">
        <v>28</v>
      </c>
      <c r="E1521" s="116" t="str">
        <f t="shared" si="71"/>
        <v>Mercado</v>
      </c>
      <c r="F1521" s="85" t="s">
        <v>1040</v>
      </c>
      <c r="G1521" s="85" t="s">
        <v>383</v>
      </c>
      <c r="H1521" s="85" t="s">
        <v>1041</v>
      </c>
      <c r="I1521" s="85">
        <v>3</v>
      </c>
      <c r="J1521" s="87">
        <v>7.5</v>
      </c>
      <c r="K1521" s="88">
        <f t="shared" si="72"/>
        <v>22.5</v>
      </c>
      <c r="L1521" s="85">
        <v>11711</v>
      </c>
    </row>
    <row r="1522" spans="1:12" x14ac:dyDescent="0.25">
      <c r="A1522" s="84" t="str">
        <f t="shared" si="70"/>
        <v>OutubroSEMANA 4Alho Descascado</v>
      </c>
      <c r="B1522" s="85" t="s">
        <v>37</v>
      </c>
      <c r="C1522" s="85" t="s">
        <v>23</v>
      </c>
      <c r="D1522" s="86">
        <v>28</v>
      </c>
      <c r="E1522" s="116" t="str">
        <f t="shared" si="71"/>
        <v>Hortifruti</v>
      </c>
      <c r="F1522" s="85" t="s">
        <v>1129</v>
      </c>
      <c r="G1522" s="85" t="s">
        <v>112</v>
      </c>
      <c r="H1522" s="85" t="s">
        <v>1039</v>
      </c>
      <c r="I1522" s="85">
        <v>15</v>
      </c>
      <c r="J1522" s="87">
        <v>15.5</v>
      </c>
      <c r="K1522" s="88">
        <f t="shared" si="72"/>
        <v>232.5</v>
      </c>
      <c r="L1522" s="85"/>
    </row>
    <row r="1523" spans="1:12" x14ac:dyDescent="0.25">
      <c r="A1523" s="84" t="str">
        <f t="shared" si="70"/>
        <v xml:space="preserve">OutubroSEMANA 4Abobrinha </v>
      </c>
      <c r="B1523" s="85" t="s">
        <v>37</v>
      </c>
      <c r="C1523" s="85" t="s">
        <v>23</v>
      </c>
      <c r="D1523" s="86">
        <v>28</v>
      </c>
      <c r="E1523" s="116" t="str">
        <f t="shared" si="71"/>
        <v>Hortifruti</v>
      </c>
      <c r="F1523" s="85" t="s">
        <v>1054</v>
      </c>
      <c r="G1523" s="85" t="s">
        <v>72</v>
      </c>
      <c r="H1523" s="85" t="s">
        <v>1039</v>
      </c>
      <c r="I1523" s="85">
        <v>15.74</v>
      </c>
      <c r="J1523" s="87">
        <f>20/15.74</f>
        <v>1.2706480304955527</v>
      </c>
      <c r="K1523" s="88">
        <f t="shared" si="72"/>
        <v>20</v>
      </c>
      <c r="L1523" s="85">
        <v>2057</v>
      </c>
    </row>
    <row r="1524" spans="1:12" x14ac:dyDescent="0.25">
      <c r="A1524" s="84" t="str">
        <f t="shared" si="70"/>
        <v>OutubroSEMANA 4Batata Yacon</v>
      </c>
      <c r="B1524" s="85" t="s">
        <v>37</v>
      </c>
      <c r="C1524" s="85" t="s">
        <v>23</v>
      </c>
      <c r="D1524" s="86">
        <v>28</v>
      </c>
      <c r="E1524" s="116" t="str">
        <f t="shared" si="71"/>
        <v>Hortifruti</v>
      </c>
      <c r="F1524" s="85" t="s">
        <v>1054</v>
      </c>
      <c r="G1524" s="85" t="s">
        <v>177</v>
      </c>
      <c r="H1524" s="85" t="s">
        <v>1039</v>
      </c>
      <c r="I1524" s="85">
        <v>0.5</v>
      </c>
      <c r="J1524" s="87">
        <v>8</v>
      </c>
      <c r="K1524" s="88">
        <f t="shared" si="72"/>
        <v>4</v>
      </c>
      <c r="L1524" s="85">
        <v>2057</v>
      </c>
    </row>
    <row r="1525" spans="1:12" x14ac:dyDescent="0.25">
      <c r="A1525" s="84" t="str">
        <f t="shared" si="70"/>
        <v>OutubroSEMANA 4Cenoura</v>
      </c>
      <c r="B1525" s="85" t="s">
        <v>37</v>
      </c>
      <c r="C1525" s="85" t="s">
        <v>23</v>
      </c>
      <c r="D1525" s="86">
        <v>28</v>
      </c>
      <c r="E1525" s="116" t="str">
        <f t="shared" si="71"/>
        <v>Hortifruti</v>
      </c>
      <c r="F1525" s="85" t="s">
        <v>1054</v>
      </c>
      <c r="G1525" s="85" t="s">
        <v>249</v>
      </c>
      <c r="H1525" s="85" t="s">
        <v>1039</v>
      </c>
      <c r="I1525" s="85">
        <v>18.12</v>
      </c>
      <c r="J1525" s="87">
        <f>48/18.12</f>
        <v>2.6490066225165561</v>
      </c>
      <c r="K1525" s="88">
        <f t="shared" si="72"/>
        <v>48</v>
      </c>
      <c r="L1525" s="85">
        <v>2057</v>
      </c>
    </row>
    <row r="1526" spans="1:12" x14ac:dyDescent="0.25">
      <c r="A1526" s="84" t="str">
        <f t="shared" si="70"/>
        <v>OutubroSEMANA 4Pimentão Amarelo</v>
      </c>
      <c r="B1526" s="85" t="s">
        <v>37</v>
      </c>
      <c r="C1526" s="85" t="s">
        <v>23</v>
      </c>
      <c r="D1526" s="86">
        <v>28</v>
      </c>
      <c r="E1526" s="116" t="str">
        <f t="shared" si="71"/>
        <v>Hortifruti</v>
      </c>
      <c r="F1526" s="85" t="s">
        <v>1054</v>
      </c>
      <c r="G1526" s="85" t="s">
        <v>664</v>
      </c>
      <c r="H1526" s="85" t="s">
        <v>1039</v>
      </c>
      <c r="I1526" s="85">
        <v>2</v>
      </c>
      <c r="J1526" s="87">
        <v>15</v>
      </c>
      <c r="K1526" s="88">
        <f t="shared" si="72"/>
        <v>30</v>
      </c>
      <c r="L1526" s="85">
        <v>2057</v>
      </c>
    </row>
    <row r="1527" spans="1:12" x14ac:dyDescent="0.25">
      <c r="A1527" s="84" t="str">
        <f t="shared" si="70"/>
        <v>OutubroSEMANA 4Pimentão Vermelho</v>
      </c>
      <c r="B1527" s="85" t="s">
        <v>37</v>
      </c>
      <c r="C1527" s="85" t="s">
        <v>23</v>
      </c>
      <c r="D1527" s="86">
        <v>28</v>
      </c>
      <c r="E1527" s="116" t="str">
        <f t="shared" si="71"/>
        <v>Hortifruti</v>
      </c>
      <c r="F1527" s="85" t="s">
        <v>1054</v>
      </c>
      <c r="G1527" s="85" t="s">
        <v>667</v>
      </c>
      <c r="H1527" s="85" t="s">
        <v>1039</v>
      </c>
      <c r="I1527" s="85">
        <v>2</v>
      </c>
      <c r="J1527" s="87">
        <v>15</v>
      </c>
      <c r="K1527" s="88">
        <f t="shared" si="72"/>
        <v>30</v>
      </c>
      <c r="L1527" s="85">
        <v>2057</v>
      </c>
    </row>
    <row r="1528" spans="1:12" x14ac:dyDescent="0.25">
      <c r="A1528" s="84" t="str">
        <f t="shared" si="70"/>
        <v>OutubroSEMANA 4Brócolis Americano</v>
      </c>
      <c r="B1528" s="85" t="s">
        <v>37</v>
      </c>
      <c r="C1528" s="85" t="s">
        <v>23</v>
      </c>
      <c r="D1528" s="86">
        <v>28</v>
      </c>
      <c r="E1528" s="116" t="str">
        <f t="shared" si="71"/>
        <v>Hortifruti</v>
      </c>
      <c r="F1528" s="85" t="s">
        <v>1054</v>
      </c>
      <c r="G1528" s="85" t="s">
        <v>194</v>
      </c>
      <c r="H1528" s="85" t="s">
        <v>1039</v>
      </c>
      <c r="I1528" s="85">
        <v>3</v>
      </c>
      <c r="J1528" s="87">
        <v>7</v>
      </c>
      <c r="K1528" s="88">
        <f t="shared" si="72"/>
        <v>21</v>
      </c>
      <c r="L1528" s="85">
        <v>2057</v>
      </c>
    </row>
    <row r="1529" spans="1:12" x14ac:dyDescent="0.25">
      <c r="A1529" s="84" t="str">
        <f t="shared" si="70"/>
        <v>OutubroSEMANA 4Cebolinha Verde</v>
      </c>
      <c r="B1529" s="85" t="s">
        <v>37</v>
      </c>
      <c r="C1529" s="85" t="s">
        <v>23</v>
      </c>
      <c r="D1529" s="86">
        <v>28</v>
      </c>
      <c r="E1529" s="116" t="str">
        <f t="shared" si="71"/>
        <v>Hortifruti</v>
      </c>
      <c r="F1529" s="85" t="s">
        <v>1054</v>
      </c>
      <c r="G1529" s="85" t="s">
        <v>247</v>
      </c>
      <c r="H1529" s="85" t="s">
        <v>1039</v>
      </c>
      <c r="I1529" s="85">
        <v>1</v>
      </c>
      <c r="J1529" s="87">
        <v>7</v>
      </c>
      <c r="K1529" s="88">
        <f t="shared" si="72"/>
        <v>7</v>
      </c>
      <c r="L1529" s="85">
        <v>2057</v>
      </c>
    </row>
    <row r="1530" spans="1:12" x14ac:dyDescent="0.25">
      <c r="A1530" s="84" t="str">
        <f t="shared" si="70"/>
        <v>OutubroSEMANA 4Salsa</v>
      </c>
      <c r="B1530" s="85" t="s">
        <v>37</v>
      </c>
      <c r="C1530" s="85" t="s">
        <v>23</v>
      </c>
      <c r="D1530" s="86">
        <v>28</v>
      </c>
      <c r="E1530" s="116" t="str">
        <f t="shared" si="71"/>
        <v>Hortifruti</v>
      </c>
      <c r="F1530" s="85" t="s">
        <v>1054</v>
      </c>
      <c r="G1530" s="85" t="s">
        <v>729</v>
      </c>
      <c r="H1530" s="85" t="s">
        <v>1039</v>
      </c>
      <c r="I1530" s="85">
        <v>1</v>
      </c>
      <c r="J1530" s="87">
        <v>7</v>
      </c>
      <c r="K1530" s="88">
        <f t="shared" si="72"/>
        <v>7</v>
      </c>
      <c r="L1530" s="85">
        <v>2057</v>
      </c>
    </row>
    <row r="1531" spans="1:12" x14ac:dyDescent="0.25">
      <c r="A1531" s="84" t="str">
        <f t="shared" si="70"/>
        <v>OutubroSEMANA 4Abacate Sushi</v>
      </c>
      <c r="B1531" s="85" t="s">
        <v>37</v>
      </c>
      <c r="C1531" s="85" t="s">
        <v>23</v>
      </c>
      <c r="D1531" s="86">
        <v>28</v>
      </c>
      <c r="E1531" s="116" t="str">
        <f t="shared" si="71"/>
        <v>Sushi</v>
      </c>
      <c r="F1531" s="85" t="s">
        <v>1054</v>
      </c>
      <c r="G1531" s="85" t="s">
        <v>64</v>
      </c>
      <c r="H1531" s="85" t="s">
        <v>1039</v>
      </c>
      <c r="I1531" s="85">
        <v>1</v>
      </c>
      <c r="J1531" s="87">
        <v>8</v>
      </c>
      <c r="K1531" s="88">
        <f t="shared" si="72"/>
        <v>8</v>
      </c>
      <c r="L1531" s="85">
        <v>2057</v>
      </c>
    </row>
    <row r="1532" spans="1:12" x14ac:dyDescent="0.25">
      <c r="A1532" s="84" t="str">
        <f t="shared" si="70"/>
        <v xml:space="preserve">OutubroSEMANA 4Abacaxi </v>
      </c>
      <c r="B1532" s="85" t="s">
        <v>37</v>
      </c>
      <c r="C1532" s="85" t="s">
        <v>23</v>
      </c>
      <c r="D1532" s="86">
        <v>28</v>
      </c>
      <c r="E1532" s="116" t="str">
        <f t="shared" si="71"/>
        <v>Hortifruti</v>
      </c>
      <c r="F1532" s="85" t="s">
        <v>1054</v>
      </c>
      <c r="G1532" s="85" t="s">
        <v>65</v>
      </c>
      <c r="H1532" s="85" t="s">
        <v>1039</v>
      </c>
      <c r="I1532" s="85">
        <v>20</v>
      </c>
      <c r="J1532" s="87">
        <v>2.4</v>
      </c>
      <c r="K1532" s="88">
        <f t="shared" si="72"/>
        <v>48</v>
      </c>
      <c r="L1532" s="85">
        <v>2057</v>
      </c>
    </row>
    <row r="1533" spans="1:12" x14ac:dyDescent="0.25">
      <c r="A1533" s="84" t="str">
        <f t="shared" si="70"/>
        <v>OutubroSEMANA 4Banana D'Água</v>
      </c>
      <c r="B1533" s="85" t="s">
        <v>37</v>
      </c>
      <c r="C1533" s="85" t="s">
        <v>23</v>
      </c>
      <c r="D1533" s="86">
        <v>28</v>
      </c>
      <c r="E1533" s="116" t="str">
        <f t="shared" si="71"/>
        <v>Hortifruti</v>
      </c>
      <c r="F1533" s="85" t="s">
        <v>1054</v>
      </c>
      <c r="G1533" s="85" t="s">
        <v>162</v>
      </c>
      <c r="H1533" s="85" t="s">
        <v>1039</v>
      </c>
      <c r="I1533" s="85">
        <v>3</v>
      </c>
      <c r="J1533" s="87">
        <v>3.4</v>
      </c>
      <c r="K1533" s="88">
        <f t="shared" si="72"/>
        <v>10.199999999999999</v>
      </c>
      <c r="L1533" s="85">
        <v>2057</v>
      </c>
    </row>
    <row r="1534" spans="1:12" x14ac:dyDescent="0.25">
      <c r="A1534" s="84" t="str">
        <f t="shared" si="70"/>
        <v>OutubroSEMANA 4Banana da Terra</v>
      </c>
      <c r="B1534" s="85" t="s">
        <v>37</v>
      </c>
      <c r="C1534" s="85" t="s">
        <v>23</v>
      </c>
      <c r="D1534" s="86">
        <v>28</v>
      </c>
      <c r="E1534" s="116" t="str">
        <f t="shared" si="71"/>
        <v>Hortifruti</v>
      </c>
      <c r="F1534" s="85" t="s">
        <v>1054</v>
      </c>
      <c r="G1534" s="85" t="s">
        <v>161</v>
      </c>
      <c r="H1534" s="85" t="s">
        <v>1039</v>
      </c>
      <c r="I1534" s="85">
        <v>4</v>
      </c>
      <c r="J1534" s="87">
        <v>4.5</v>
      </c>
      <c r="K1534" s="88">
        <f t="shared" si="72"/>
        <v>18</v>
      </c>
      <c r="L1534" s="85">
        <v>2057</v>
      </c>
    </row>
    <row r="1535" spans="1:12" x14ac:dyDescent="0.25">
      <c r="A1535" s="84" t="str">
        <f t="shared" si="70"/>
        <v>OutubroSEMANA 4Manga Palmer</v>
      </c>
      <c r="B1535" s="85" t="s">
        <v>37</v>
      </c>
      <c r="C1535" s="85" t="s">
        <v>23</v>
      </c>
      <c r="D1535" s="86">
        <v>28</v>
      </c>
      <c r="E1535" s="116" t="str">
        <f t="shared" si="71"/>
        <v>Hortifruti</v>
      </c>
      <c r="F1535" s="85" t="s">
        <v>1054</v>
      </c>
      <c r="G1535" s="85" t="s">
        <v>496</v>
      </c>
      <c r="H1535" s="85" t="s">
        <v>1039</v>
      </c>
      <c r="I1535" s="85">
        <v>12</v>
      </c>
      <c r="J1535" s="87">
        <f>50/12</f>
        <v>4.166666666666667</v>
      </c>
      <c r="K1535" s="88">
        <f t="shared" si="72"/>
        <v>50</v>
      </c>
      <c r="L1535" s="85">
        <v>2057</v>
      </c>
    </row>
    <row r="1536" spans="1:12" x14ac:dyDescent="0.25">
      <c r="A1536" s="84" t="str">
        <f t="shared" si="70"/>
        <v>OutubroSEMANA 4Uva s/ Caroço</v>
      </c>
      <c r="B1536" s="85" t="s">
        <v>37</v>
      </c>
      <c r="C1536" s="85" t="s">
        <v>23</v>
      </c>
      <c r="D1536" s="86">
        <v>28</v>
      </c>
      <c r="E1536" s="116" t="str">
        <f t="shared" si="71"/>
        <v>Hortifruti</v>
      </c>
      <c r="F1536" s="85" t="s">
        <v>1054</v>
      </c>
      <c r="G1536" s="85" t="s">
        <v>830</v>
      </c>
      <c r="H1536" s="85" t="s">
        <v>1039</v>
      </c>
      <c r="I1536" s="85">
        <v>1</v>
      </c>
      <c r="J1536" s="87">
        <v>16</v>
      </c>
      <c r="K1536" s="88">
        <f t="shared" si="72"/>
        <v>16</v>
      </c>
      <c r="L1536" s="85">
        <v>2057</v>
      </c>
    </row>
    <row r="1537" spans="1:12" x14ac:dyDescent="0.25">
      <c r="A1537" s="84" t="str">
        <f t="shared" si="70"/>
        <v>OutubroSEMANA 4Aspargos Frescos</v>
      </c>
      <c r="B1537" s="85" t="s">
        <v>37</v>
      </c>
      <c r="C1537" s="85" t="s">
        <v>23</v>
      </c>
      <c r="D1537" s="86">
        <v>28</v>
      </c>
      <c r="E1537" s="116" t="str">
        <f t="shared" si="71"/>
        <v>Hortifruti</v>
      </c>
      <c r="F1537" s="85" t="s">
        <v>1054</v>
      </c>
      <c r="G1537" s="85" t="s">
        <v>1303</v>
      </c>
      <c r="H1537" s="85" t="s">
        <v>1039</v>
      </c>
      <c r="I1537" s="85">
        <v>1</v>
      </c>
      <c r="J1537" s="87">
        <v>32</v>
      </c>
      <c r="K1537" s="88">
        <f t="shared" si="72"/>
        <v>32</v>
      </c>
      <c r="L1537" s="85">
        <v>2057</v>
      </c>
    </row>
    <row r="1538" spans="1:12" x14ac:dyDescent="0.25">
      <c r="A1538" s="84" t="str">
        <f t="shared" ref="A1538:A1601" si="73">CONCATENATE(B1538,C1538,G1538)</f>
        <v>OutubroSEMANA 4Carne Bovina - Filé Mignon 3/4</v>
      </c>
      <c r="B1538" s="85" t="s">
        <v>37</v>
      </c>
      <c r="C1538" s="85" t="s">
        <v>23</v>
      </c>
      <c r="D1538" s="86">
        <v>28</v>
      </c>
      <c r="E1538" s="116" t="str">
        <f t="shared" ref="E1538:E1601" si="74">VLOOKUP(G1538,$M$1:$O$968,3,0)</f>
        <v>Carnes</v>
      </c>
      <c r="F1538" s="85" t="s">
        <v>1078</v>
      </c>
      <c r="G1538" s="85" t="s">
        <v>223</v>
      </c>
      <c r="H1538" s="85" t="s">
        <v>1039</v>
      </c>
      <c r="I1538" s="85">
        <v>30.53</v>
      </c>
      <c r="J1538" s="87">
        <v>37</v>
      </c>
      <c r="K1538" s="88">
        <f t="shared" ref="K1538:K1601" si="75">I1538*J1538</f>
        <v>1129.6100000000001</v>
      </c>
      <c r="L1538" s="85" t="s">
        <v>1291</v>
      </c>
    </row>
    <row r="1539" spans="1:12" x14ac:dyDescent="0.25">
      <c r="A1539" s="84" t="str">
        <f t="shared" si="73"/>
        <v>OutubroSEMANA 4Suíno - Linguiça Calabresa</v>
      </c>
      <c r="B1539" s="85" t="s">
        <v>37</v>
      </c>
      <c r="C1539" s="85" t="s">
        <v>23</v>
      </c>
      <c r="D1539" s="86">
        <v>28</v>
      </c>
      <c r="E1539" s="116" t="str">
        <f t="shared" si="74"/>
        <v>Carnes</v>
      </c>
      <c r="F1539" s="85" t="s">
        <v>1078</v>
      </c>
      <c r="G1539" s="85" t="s">
        <v>762</v>
      </c>
      <c r="H1539" s="85" t="s">
        <v>1039</v>
      </c>
      <c r="I1539" s="85">
        <v>2.5</v>
      </c>
      <c r="J1539" s="87">
        <v>9.9700000000000006</v>
      </c>
      <c r="K1539" s="88">
        <f t="shared" si="75"/>
        <v>24.925000000000001</v>
      </c>
      <c r="L1539" s="85" t="s">
        <v>1291</v>
      </c>
    </row>
    <row r="1540" spans="1:12" x14ac:dyDescent="0.25">
      <c r="A1540" s="84" t="str">
        <f t="shared" si="73"/>
        <v>OutubroSEMANA 4Suíno - Linguiça Paio</v>
      </c>
      <c r="B1540" s="85" t="s">
        <v>37</v>
      </c>
      <c r="C1540" s="85" t="s">
        <v>23</v>
      </c>
      <c r="D1540" s="86">
        <v>28</v>
      </c>
      <c r="E1540" s="116" t="str">
        <f t="shared" si="74"/>
        <v>Carnes</v>
      </c>
      <c r="F1540" s="85" t="s">
        <v>1078</v>
      </c>
      <c r="G1540" s="85" t="s">
        <v>765</v>
      </c>
      <c r="H1540" s="85" t="s">
        <v>1039</v>
      </c>
      <c r="I1540" s="85">
        <v>2.5</v>
      </c>
      <c r="J1540" s="87">
        <v>12.14</v>
      </c>
      <c r="K1540" s="88">
        <f t="shared" si="75"/>
        <v>30.35</v>
      </c>
      <c r="L1540" s="85" t="s">
        <v>1291</v>
      </c>
    </row>
    <row r="1541" spans="1:12" x14ac:dyDescent="0.25">
      <c r="A1541" s="84" t="str">
        <f t="shared" si="73"/>
        <v>OutubroSEMANA 4Carne Bovina - Alcatra Miolo</v>
      </c>
      <c r="B1541" s="85" t="s">
        <v>37</v>
      </c>
      <c r="C1541" s="85" t="s">
        <v>23</v>
      </c>
      <c r="D1541" s="86">
        <v>28</v>
      </c>
      <c r="E1541" s="116" t="str">
        <f t="shared" si="74"/>
        <v>Carnes</v>
      </c>
      <c r="F1541" s="85" t="s">
        <v>1078</v>
      </c>
      <c r="G1541" s="85" t="s">
        <v>216</v>
      </c>
      <c r="H1541" s="85" t="s">
        <v>1039</v>
      </c>
      <c r="I1541" s="85">
        <v>26.84</v>
      </c>
      <c r="J1541" s="87">
        <v>21.47</v>
      </c>
      <c r="K1541" s="88">
        <f t="shared" si="75"/>
        <v>576.25479999999993</v>
      </c>
      <c r="L1541" s="85" t="s">
        <v>1291</v>
      </c>
    </row>
    <row r="1542" spans="1:12" x14ac:dyDescent="0.25">
      <c r="A1542" s="84" t="str">
        <f t="shared" si="73"/>
        <v>OutubroSEMANA 4Pescados - Salmão Inteiro Sushi</v>
      </c>
      <c r="B1542" s="85" t="s">
        <v>37</v>
      </c>
      <c r="C1542" s="85" t="s">
        <v>23</v>
      </c>
      <c r="D1542" s="86">
        <v>28</v>
      </c>
      <c r="E1542" s="116" t="str">
        <f t="shared" si="74"/>
        <v>Sushi</v>
      </c>
      <c r="F1542" s="85" t="s">
        <v>1133</v>
      </c>
      <c r="G1542" s="85" t="s">
        <v>645</v>
      </c>
      <c r="H1542" s="85" t="s">
        <v>1039</v>
      </c>
      <c r="I1542" s="85">
        <v>32.21</v>
      </c>
      <c r="J1542" s="87">
        <f>853.56/32.21</f>
        <v>26.499844768705369</v>
      </c>
      <c r="K1542" s="88">
        <f t="shared" si="75"/>
        <v>853.56</v>
      </c>
      <c r="L1542" s="85" t="s">
        <v>1292</v>
      </c>
    </row>
    <row r="1543" spans="1:12" x14ac:dyDescent="0.25">
      <c r="A1543" s="84" t="str">
        <f t="shared" si="73"/>
        <v>OutubroSEMANA 4Pescados - Atum Fresco Sushi</v>
      </c>
      <c r="B1543" s="85" t="s">
        <v>37</v>
      </c>
      <c r="C1543" s="85" t="s">
        <v>23</v>
      </c>
      <c r="D1543" s="86">
        <v>28</v>
      </c>
      <c r="E1543" s="116" t="str">
        <f t="shared" si="74"/>
        <v>Sushi</v>
      </c>
      <c r="F1543" s="85" t="s">
        <v>1133</v>
      </c>
      <c r="G1543" s="85" t="s">
        <v>587</v>
      </c>
      <c r="H1543" s="85" t="s">
        <v>1039</v>
      </c>
      <c r="I1543" s="85">
        <v>17</v>
      </c>
      <c r="J1543" s="87">
        <v>14.9</v>
      </c>
      <c r="K1543" s="88">
        <f t="shared" si="75"/>
        <v>253.3</v>
      </c>
      <c r="L1543" s="85" t="s">
        <v>1292</v>
      </c>
    </row>
    <row r="1544" spans="1:12" x14ac:dyDescent="0.25">
      <c r="A1544" s="84" t="str">
        <f t="shared" si="73"/>
        <v>OutubroSEMANA 4Pescados - Namorado Fresco Sushi</v>
      </c>
      <c r="B1544" s="85" t="s">
        <v>37</v>
      </c>
      <c r="C1544" s="85" t="s">
        <v>23</v>
      </c>
      <c r="D1544" s="86">
        <v>28</v>
      </c>
      <c r="E1544" s="116" t="str">
        <f t="shared" si="74"/>
        <v>Sushi</v>
      </c>
      <c r="F1544" s="85" t="s">
        <v>1133</v>
      </c>
      <c r="G1544" s="85" t="s">
        <v>627</v>
      </c>
      <c r="H1544" s="85" t="s">
        <v>1039</v>
      </c>
      <c r="I1544" s="85">
        <v>3</v>
      </c>
      <c r="J1544" s="87">
        <v>21.9</v>
      </c>
      <c r="K1544" s="88">
        <f t="shared" si="75"/>
        <v>65.699999999999989</v>
      </c>
      <c r="L1544" s="85" t="s">
        <v>1292</v>
      </c>
    </row>
    <row r="1545" spans="1:12" x14ac:dyDescent="0.25">
      <c r="A1545" s="84" t="str">
        <f t="shared" si="73"/>
        <v>OutubroSEMANA 5Gelo em Escamas</v>
      </c>
      <c r="B1545" s="85" t="s">
        <v>37</v>
      </c>
      <c r="C1545" s="85" t="s">
        <v>24</v>
      </c>
      <c r="D1545" s="86">
        <v>29</v>
      </c>
      <c r="E1545" s="116" t="str">
        <f t="shared" si="74"/>
        <v>Mercado</v>
      </c>
      <c r="F1545" s="85" t="s">
        <v>1040</v>
      </c>
      <c r="G1545" s="85" t="s">
        <v>384</v>
      </c>
      <c r="H1545" s="85" t="s">
        <v>1041</v>
      </c>
      <c r="I1545" s="85">
        <v>1</v>
      </c>
      <c r="J1545" s="87">
        <v>7.5</v>
      </c>
      <c r="K1545" s="88">
        <f t="shared" si="75"/>
        <v>7.5</v>
      </c>
      <c r="L1545" s="85">
        <v>11774</v>
      </c>
    </row>
    <row r="1546" spans="1:12" x14ac:dyDescent="0.25">
      <c r="A1546" s="84" t="str">
        <f t="shared" si="73"/>
        <v>OutubroSEMANA 5Gelo em Cubo</v>
      </c>
      <c r="B1546" s="85" t="s">
        <v>37</v>
      </c>
      <c r="C1546" s="85" t="s">
        <v>24</v>
      </c>
      <c r="D1546" s="86">
        <v>29</v>
      </c>
      <c r="E1546" s="116" t="str">
        <f t="shared" si="74"/>
        <v>Mercado</v>
      </c>
      <c r="F1546" s="85" t="s">
        <v>1040</v>
      </c>
      <c r="G1546" s="85" t="s">
        <v>383</v>
      </c>
      <c r="H1546" s="85" t="s">
        <v>1041</v>
      </c>
      <c r="I1546" s="85">
        <v>2</v>
      </c>
      <c r="J1546" s="87">
        <v>7.5</v>
      </c>
      <c r="K1546" s="88">
        <f t="shared" si="75"/>
        <v>15</v>
      </c>
      <c r="L1546" s="85">
        <v>11774</v>
      </c>
    </row>
    <row r="1547" spans="1:12" x14ac:dyDescent="0.25">
      <c r="A1547" s="84" t="str">
        <f t="shared" si="73"/>
        <v>OutubroSEMANA 5Goiaba</v>
      </c>
      <c r="B1547" s="85" t="s">
        <v>37</v>
      </c>
      <c r="C1547" s="85" t="s">
        <v>24</v>
      </c>
      <c r="D1547" s="86">
        <v>29</v>
      </c>
      <c r="E1547" s="116" t="str">
        <f t="shared" si="74"/>
        <v>Hortifruti</v>
      </c>
      <c r="F1547" s="85" t="s">
        <v>1056</v>
      </c>
      <c r="G1547" s="85" t="s">
        <v>391</v>
      </c>
      <c r="H1547" s="85" t="s">
        <v>1039</v>
      </c>
      <c r="I1547" s="85">
        <v>0.66</v>
      </c>
      <c r="J1547" s="87">
        <v>11.99</v>
      </c>
      <c r="K1547" s="88">
        <f t="shared" si="75"/>
        <v>7.9134000000000002</v>
      </c>
      <c r="L1547" s="85">
        <v>34678</v>
      </c>
    </row>
    <row r="1548" spans="1:12" x14ac:dyDescent="0.25">
      <c r="A1548" s="84" t="str">
        <f t="shared" si="73"/>
        <v>OutubroSEMANA 5Kiwi</v>
      </c>
      <c r="B1548" s="85" t="s">
        <v>37</v>
      </c>
      <c r="C1548" s="85" t="s">
        <v>24</v>
      </c>
      <c r="D1548" s="86">
        <v>29</v>
      </c>
      <c r="E1548" s="116" t="str">
        <f t="shared" si="74"/>
        <v>Hortifruti</v>
      </c>
      <c r="F1548" s="85" t="s">
        <v>1056</v>
      </c>
      <c r="G1548" s="85" t="s">
        <v>454</v>
      </c>
      <c r="H1548" s="85" t="s">
        <v>1039</v>
      </c>
      <c r="I1548" s="85">
        <v>0.52</v>
      </c>
      <c r="J1548" s="87">
        <v>19.989999999999998</v>
      </c>
      <c r="K1548" s="88">
        <f t="shared" si="75"/>
        <v>10.3948</v>
      </c>
      <c r="L1548" s="85">
        <v>34678</v>
      </c>
    </row>
    <row r="1549" spans="1:12" x14ac:dyDescent="0.25">
      <c r="A1549" s="84" t="str">
        <f t="shared" si="73"/>
        <v>OutubroSEMANA 5Coentro</v>
      </c>
      <c r="B1549" s="85" t="s">
        <v>37</v>
      </c>
      <c r="C1549" s="85" t="s">
        <v>24</v>
      </c>
      <c r="D1549" s="86">
        <v>29</v>
      </c>
      <c r="E1549" s="116" t="str">
        <f t="shared" si="74"/>
        <v>Hortifruti</v>
      </c>
      <c r="F1549" s="85" t="s">
        <v>1056</v>
      </c>
      <c r="G1549" s="85" t="s">
        <v>289</v>
      </c>
      <c r="H1549" s="85" t="s">
        <v>1039</v>
      </c>
      <c r="I1549" s="85">
        <v>0.74</v>
      </c>
      <c r="J1549" s="87">
        <f>19.9/0.74</f>
        <v>26.891891891891891</v>
      </c>
      <c r="K1549" s="88">
        <f t="shared" si="75"/>
        <v>19.899999999999999</v>
      </c>
      <c r="L1549" s="85">
        <v>26159</v>
      </c>
    </row>
    <row r="1550" spans="1:12" x14ac:dyDescent="0.25">
      <c r="A1550" s="84" t="str">
        <f t="shared" si="73"/>
        <v>OutubroSEMANA 5Pão Árabe</v>
      </c>
      <c r="B1550" s="85" t="s">
        <v>37</v>
      </c>
      <c r="C1550" s="85" t="s">
        <v>24</v>
      </c>
      <c r="D1550" s="86">
        <v>29</v>
      </c>
      <c r="E1550" s="116" t="str">
        <f t="shared" si="74"/>
        <v>Mercado</v>
      </c>
      <c r="F1550" s="85" t="s">
        <v>1036</v>
      </c>
      <c r="G1550" s="85" t="s">
        <v>561</v>
      </c>
      <c r="H1550" s="85" t="s">
        <v>1037</v>
      </c>
      <c r="I1550" s="85">
        <v>3</v>
      </c>
      <c r="J1550" s="87">
        <v>6.7</v>
      </c>
      <c r="K1550" s="88">
        <f t="shared" si="75"/>
        <v>20.100000000000001</v>
      </c>
      <c r="L1550" s="85">
        <v>72795</v>
      </c>
    </row>
    <row r="1551" spans="1:12" x14ac:dyDescent="0.25">
      <c r="A1551" s="84" t="str">
        <f t="shared" si="73"/>
        <v>OutubroSEMANA 5Pão de Forma</v>
      </c>
      <c r="B1551" s="85" t="s">
        <v>37</v>
      </c>
      <c r="C1551" s="85" t="s">
        <v>24</v>
      </c>
      <c r="D1551" s="86">
        <v>29</v>
      </c>
      <c r="E1551" s="116" t="str">
        <f t="shared" si="74"/>
        <v>Mercado</v>
      </c>
      <c r="F1551" s="85" t="s">
        <v>1036</v>
      </c>
      <c r="G1551" s="85" t="s">
        <v>562</v>
      </c>
      <c r="H1551" s="85" t="s">
        <v>1037</v>
      </c>
      <c r="I1551" s="85">
        <v>1</v>
      </c>
      <c r="J1551" s="87">
        <v>3.87</v>
      </c>
      <c r="K1551" s="88">
        <f t="shared" si="75"/>
        <v>3.87</v>
      </c>
      <c r="L1551" s="85">
        <v>60026</v>
      </c>
    </row>
    <row r="1552" spans="1:12" x14ac:dyDescent="0.25">
      <c r="A1552" s="84" t="str">
        <f t="shared" si="73"/>
        <v>OutubroSEMANA 5Gelo em Escamas</v>
      </c>
      <c r="B1552" s="85" t="s">
        <v>37</v>
      </c>
      <c r="C1552" s="85" t="s">
        <v>24</v>
      </c>
      <c r="D1552" s="86">
        <v>30</v>
      </c>
      <c r="E1552" s="116" t="str">
        <f t="shared" si="74"/>
        <v>Mercado</v>
      </c>
      <c r="F1552" s="85" t="s">
        <v>1040</v>
      </c>
      <c r="G1552" s="85" t="s">
        <v>384</v>
      </c>
      <c r="H1552" s="85" t="s">
        <v>1041</v>
      </c>
      <c r="I1552" s="85">
        <v>1</v>
      </c>
      <c r="J1552" s="87">
        <v>7.5</v>
      </c>
      <c r="K1552" s="88">
        <f t="shared" si="75"/>
        <v>7.5</v>
      </c>
      <c r="L1552" s="85">
        <v>11733</v>
      </c>
    </row>
    <row r="1553" spans="1:12" x14ac:dyDescent="0.25">
      <c r="A1553" s="84" t="str">
        <f t="shared" si="73"/>
        <v>OutubroSEMANA 5Gelo em Cubo</v>
      </c>
      <c r="B1553" s="85" t="s">
        <v>37</v>
      </c>
      <c r="C1553" s="85" t="s">
        <v>24</v>
      </c>
      <c r="D1553" s="86">
        <v>30</v>
      </c>
      <c r="E1553" s="116" t="str">
        <f t="shared" si="74"/>
        <v>Mercado</v>
      </c>
      <c r="F1553" s="85" t="s">
        <v>1040</v>
      </c>
      <c r="G1553" s="85" t="s">
        <v>383</v>
      </c>
      <c r="H1553" s="85" t="s">
        <v>1041</v>
      </c>
      <c r="I1553" s="85">
        <v>4</v>
      </c>
      <c r="J1553" s="87">
        <v>7.5</v>
      </c>
      <c r="K1553" s="88">
        <f t="shared" si="75"/>
        <v>30</v>
      </c>
      <c r="L1553" s="85">
        <v>11733</v>
      </c>
    </row>
    <row r="1554" spans="1:12" x14ac:dyDescent="0.25">
      <c r="A1554" s="84" t="str">
        <f t="shared" si="73"/>
        <v>OutubroSEMANA 5Creme de Leite Culinário 20% Bd 10 Lt</v>
      </c>
      <c r="B1554" s="85" t="s">
        <v>37</v>
      </c>
      <c r="C1554" s="85" t="s">
        <v>24</v>
      </c>
      <c r="D1554" s="86">
        <v>30</v>
      </c>
      <c r="E1554" s="116" t="str">
        <f t="shared" si="74"/>
        <v>Mercado</v>
      </c>
      <c r="F1554" s="85" t="s">
        <v>1045</v>
      </c>
      <c r="G1554" s="85" t="s">
        <v>315</v>
      </c>
      <c r="H1554" s="85" t="s">
        <v>1046</v>
      </c>
      <c r="I1554" s="85">
        <v>1</v>
      </c>
      <c r="J1554" s="87">
        <v>142.44999999999999</v>
      </c>
      <c r="K1554" s="88">
        <f t="shared" si="75"/>
        <v>142.44999999999999</v>
      </c>
      <c r="L1554" s="85" t="s">
        <v>1307</v>
      </c>
    </row>
    <row r="1555" spans="1:12" x14ac:dyDescent="0.25">
      <c r="A1555" s="84" t="str">
        <f t="shared" si="73"/>
        <v>OutubroSEMANA 5Queijo Mussarela</v>
      </c>
      <c r="B1555" s="85" t="s">
        <v>37</v>
      </c>
      <c r="C1555" s="85" t="s">
        <v>24</v>
      </c>
      <c r="D1555" s="86">
        <v>30</v>
      </c>
      <c r="E1555" s="116" t="str">
        <f t="shared" si="74"/>
        <v>Mercado</v>
      </c>
      <c r="F1555" s="85" t="s">
        <v>1045</v>
      </c>
      <c r="G1555" s="85" t="s">
        <v>685</v>
      </c>
      <c r="H1555" s="85" t="s">
        <v>1039</v>
      </c>
      <c r="I1555" s="85">
        <v>3.56</v>
      </c>
      <c r="J1555" s="87">
        <v>26</v>
      </c>
      <c r="K1555" s="88">
        <f t="shared" si="75"/>
        <v>92.56</v>
      </c>
      <c r="L1555" s="85" t="s">
        <v>1307</v>
      </c>
    </row>
    <row r="1556" spans="1:12" x14ac:dyDescent="0.25">
      <c r="A1556" s="84" t="str">
        <f>CONCATENATE(B1556,C1556,G1556)</f>
        <v>OutubroSEMANA 5Queijo Minas</v>
      </c>
      <c r="B1556" s="85" t="s">
        <v>37</v>
      </c>
      <c r="C1556" s="85" t="s">
        <v>24</v>
      </c>
      <c r="D1556" s="86">
        <v>30</v>
      </c>
      <c r="E1556" s="116" t="str">
        <f>VLOOKUP(G1556,$M$1:$O$968,3,0)</f>
        <v>Mercado</v>
      </c>
      <c r="F1556" s="85" t="s">
        <v>1045</v>
      </c>
      <c r="G1556" s="85" t="s">
        <v>682</v>
      </c>
      <c r="H1556" s="85" t="s">
        <v>1039</v>
      </c>
      <c r="I1556" s="85">
        <v>3.1</v>
      </c>
      <c r="J1556" s="87">
        <v>20.8</v>
      </c>
      <c r="K1556" s="88">
        <f t="shared" si="75"/>
        <v>64.48</v>
      </c>
      <c r="L1556" s="85" t="s">
        <v>1307</v>
      </c>
    </row>
    <row r="1557" spans="1:12" x14ac:dyDescent="0.25">
      <c r="A1557" s="84" t="str">
        <f t="shared" si="73"/>
        <v>OutubroSEMANA 5Aves - Filé de Peito de Frango</v>
      </c>
      <c r="B1557" s="85" t="s">
        <v>37</v>
      </c>
      <c r="C1557" s="85" t="s">
        <v>24</v>
      </c>
      <c r="D1557" s="86">
        <v>30</v>
      </c>
      <c r="E1557" s="116" t="str">
        <f t="shared" si="74"/>
        <v>Carnes</v>
      </c>
      <c r="F1557" s="85" t="s">
        <v>1051</v>
      </c>
      <c r="G1557" s="85" t="s">
        <v>139</v>
      </c>
      <c r="H1557" s="85" t="s">
        <v>1039</v>
      </c>
      <c r="I1557" s="85">
        <v>48</v>
      </c>
      <c r="J1557" s="87">
        <v>7.8</v>
      </c>
      <c r="K1557" s="88">
        <f t="shared" si="75"/>
        <v>374.4</v>
      </c>
      <c r="L1557" s="85" t="s">
        <v>1308</v>
      </c>
    </row>
    <row r="1558" spans="1:12" x14ac:dyDescent="0.25">
      <c r="A1558" s="84" t="str">
        <f t="shared" si="73"/>
        <v>OutubroSEMANA 5Pescados - Lula Calamares</v>
      </c>
      <c r="B1558" s="85" t="s">
        <v>37</v>
      </c>
      <c r="C1558" s="85" t="s">
        <v>24</v>
      </c>
      <c r="D1558" s="86">
        <v>30</v>
      </c>
      <c r="E1558" s="116" t="str">
        <f t="shared" si="74"/>
        <v>Carnes</v>
      </c>
      <c r="F1558" s="85" t="s">
        <v>1133</v>
      </c>
      <c r="G1558" s="85" t="s">
        <v>621</v>
      </c>
      <c r="H1558" s="85" t="s">
        <v>1039</v>
      </c>
      <c r="I1558" s="85">
        <v>14</v>
      </c>
      <c r="J1558" s="87">
        <v>26.9</v>
      </c>
      <c r="K1558" s="88">
        <f t="shared" si="75"/>
        <v>376.59999999999997</v>
      </c>
      <c r="L1558" s="85" t="s">
        <v>1309</v>
      </c>
    </row>
    <row r="1559" spans="1:12" x14ac:dyDescent="0.25">
      <c r="A1559" s="84" t="str">
        <f t="shared" si="73"/>
        <v>OutubroSEMANA 5Carne Bovina - Coração Alcatra</v>
      </c>
      <c r="B1559" s="85" t="s">
        <v>37</v>
      </c>
      <c r="C1559" s="85" t="s">
        <v>24</v>
      </c>
      <c r="D1559" s="86">
        <v>30</v>
      </c>
      <c r="E1559" s="116" t="str">
        <f t="shared" si="74"/>
        <v>Carnes</v>
      </c>
      <c r="F1559" s="85" t="s">
        <v>1107</v>
      </c>
      <c r="G1559" s="85" t="s">
        <v>219</v>
      </c>
      <c r="H1559" s="85" t="s">
        <v>1039</v>
      </c>
      <c r="I1559" s="85">
        <v>22.831</v>
      </c>
      <c r="J1559" s="87">
        <v>19.377600000000001</v>
      </c>
      <c r="K1559" s="88">
        <f t="shared" si="75"/>
        <v>442.40998560000003</v>
      </c>
      <c r="L1559" s="85">
        <v>74844</v>
      </c>
    </row>
    <row r="1560" spans="1:12" x14ac:dyDescent="0.25">
      <c r="A1560" s="84" t="str">
        <f t="shared" si="73"/>
        <v>OutubroSEMANA 5Pescados - Bacalhau Salgado</v>
      </c>
      <c r="B1560" s="85" t="s">
        <v>37</v>
      </c>
      <c r="C1560" s="85" t="s">
        <v>24</v>
      </c>
      <c r="D1560" s="86">
        <v>30</v>
      </c>
      <c r="E1560" s="116" t="str">
        <f t="shared" si="74"/>
        <v>Carnes</v>
      </c>
      <c r="F1560" s="85" t="s">
        <v>1049</v>
      </c>
      <c r="G1560" s="85" t="s">
        <v>589</v>
      </c>
      <c r="H1560" s="85" t="s">
        <v>1039</v>
      </c>
      <c r="I1560" s="85">
        <v>25</v>
      </c>
      <c r="J1560" s="87">
        <f>1098.04/25</f>
        <v>43.921599999999998</v>
      </c>
      <c r="K1560" s="88">
        <f t="shared" si="75"/>
        <v>1098.04</v>
      </c>
      <c r="L1560" s="85" t="s">
        <v>1310</v>
      </c>
    </row>
    <row r="1561" spans="1:12" x14ac:dyDescent="0.25">
      <c r="A1561" s="84" t="str">
        <f t="shared" si="73"/>
        <v>OutubroSEMANA 5Alface Americana Orgânica</v>
      </c>
      <c r="B1561" s="85" t="s">
        <v>37</v>
      </c>
      <c r="C1561" s="85" t="s">
        <v>24</v>
      </c>
      <c r="D1561" s="86">
        <v>30</v>
      </c>
      <c r="E1561" s="116" t="str">
        <f t="shared" si="74"/>
        <v>Hortifruti</v>
      </c>
      <c r="F1561" s="85" t="s">
        <v>1044</v>
      </c>
      <c r="G1561" s="85" t="s">
        <v>103</v>
      </c>
      <c r="H1561" s="85" t="s">
        <v>1039</v>
      </c>
      <c r="I1561" s="85">
        <v>8.34</v>
      </c>
      <c r="J1561" s="87">
        <f>72.5/8.34</f>
        <v>8.6930455635491608</v>
      </c>
      <c r="K1561" s="88">
        <f t="shared" si="75"/>
        <v>72.5</v>
      </c>
      <c r="L1561" s="85">
        <v>83435</v>
      </c>
    </row>
    <row r="1562" spans="1:12" x14ac:dyDescent="0.25">
      <c r="A1562" s="84" t="str">
        <f t="shared" si="73"/>
        <v>OutubroSEMANA 5Alface crespa Orgânica</v>
      </c>
      <c r="B1562" s="85" t="s">
        <v>37</v>
      </c>
      <c r="C1562" s="85" t="s">
        <v>24</v>
      </c>
      <c r="D1562" s="86">
        <v>30</v>
      </c>
      <c r="E1562" s="116" t="str">
        <f t="shared" si="74"/>
        <v>Hortifruti</v>
      </c>
      <c r="F1562" s="85" t="s">
        <v>1044</v>
      </c>
      <c r="G1562" s="85" t="s">
        <v>105</v>
      </c>
      <c r="H1562" s="85" t="s">
        <v>1039</v>
      </c>
      <c r="I1562" s="85">
        <v>1.94</v>
      </c>
      <c r="J1562" s="87">
        <f>25/1.94</f>
        <v>12.88659793814433</v>
      </c>
      <c r="K1562" s="88">
        <f t="shared" si="75"/>
        <v>25</v>
      </c>
      <c r="L1562" s="85">
        <v>83435</v>
      </c>
    </row>
    <row r="1563" spans="1:12" x14ac:dyDescent="0.25">
      <c r="A1563" s="84" t="str">
        <f t="shared" si="73"/>
        <v>OutubroSEMANA 5Alface Roxa Orgânica</v>
      </c>
      <c r="B1563" s="85" t="s">
        <v>37</v>
      </c>
      <c r="C1563" s="85" t="s">
        <v>24</v>
      </c>
      <c r="D1563" s="86">
        <v>30</v>
      </c>
      <c r="E1563" s="116" t="str">
        <f t="shared" si="74"/>
        <v>Hortifruti</v>
      </c>
      <c r="F1563" s="85" t="s">
        <v>1044</v>
      </c>
      <c r="G1563" s="85" t="s">
        <v>109</v>
      </c>
      <c r="H1563" s="85" t="s">
        <v>1039</v>
      </c>
      <c r="I1563" s="85">
        <v>0.64</v>
      </c>
      <c r="J1563" s="87">
        <f>10/0.64</f>
        <v>15.625</v>
      </c>
      <c r="K1563" s="88">
        <f t="shared" si="75"/>
        <v>10</v>
      </c>
      <c r="L1563" s="85">
        <v>83435</v>
      </c>
    </row>
    <row r="1564" spans="1:12" x14ac:dyDescent="0.25">
      <c r="A1564" s="84" t="str">
        <f t="shared" si="73"/>
        <v>OutubroSEMANA 5Beterraba Orgânica</v>
      </c>
      <c r="B1564" s="85" t="s">
        <v>37</v>
      </c>
      <c r="C1564" s="85" t="s">
        <v>24</v>
      </c>
      <c r="D1564" s="86">
        <v>30</v>
      </c>
      <c r="E1564" s="116" t="str">
        <f t="shared" si="74"/>
        <v>Hortifruti</v>
      </c>
      <c r="F1564" s="85" t="s">
        <v>1044</v>
      </c>
      <c r="G1564" s="85" t="s">
        <v>182</v>
      </c>
      <c r="H1564" s="85" t="s">
        <v>1039</v>
      </c>
      <c r="I1564" s="85">
        <v>2</v>
      </c>
      <c r="J1564" s="87">
        <v>7.7</v>
      </c>
      <c r="K1564" s="88">
        <f t="shared" si="75"/>
        <v>15.4</v>
      </c>
      <c r="L1564" s="85">
        <v>83435</v>
      </c>
    </row>
    <row r="1565" spans="1:12" x14ac:dyDescent="0.25">
      <c r="A1565" s="84" t="str">
        <f t="shared" si="73"/>
        <v>OutubroSEMANA 5Cenoura Orgânica</v>
      </c>
      <c r="B1565" s="85" t="s">
        <v>37</v>
      </c>
      <c r="C1565" s="85" t="s">
        <v>24</v>
      </c>
      <c r="D1565" s="86">
        <v>30</v>
      </c>
      <c r="E1565" s="116" t="str">
        <f t="shared" si="74"/>
        <v>Hortifruti</v>
      </c>
      <c r="F1565" s="85" t="s">
        <v>1044</v>
      </c>
      <c r="G1565" s="85" t="s">
        <v>252</v>
      </c>
      <c r="H1565" s="85" t="s">
        <v>1039</v>
      </c>
      <c r="I1565" s="85">
        <v>2</v>
      </c>
      <c r="J1565" s="87">
        <v>7.75</v>
      </c>
      <c r="K1565" s="88">
        <f t="shared" si="75"/>
        <v>15.5</v>
      </c>
      <c r="L1565" s="85">
        <v>83435</v>
      </c>
    </row>
    <row r="1566" spans="1:12" x14ac:dyDescent="0.25">
      <c r="A1566" s="84" t="str">
        <f t="shared" si="73"/>
        <v>OutubroSEMANA 5Rúcula Orgânica</v>
      </c>
      <c r="B1566" s="85" t="s">
        <v>37</v>
      </c>
      <c r="C1566" s="85" t="s">
        <v>24</v>
      </c>
      <c r="D1566" s="86">
        <v>30</v>
      </c>
      <c r="E1566" s="116" t="str">
        <f t="shared" si="74"/>
        <v>Hortifruti</v>
      </c>
      <c r="F1566" s="85" t="s">
        <v>1044</v>
      </c>
      <c r="G1566" s="85" t="s">
        <v>707</v>
      </c>
      <c r="H1566" s="85" t="s">
        <v>1039</v>
      </c>
      <c r="I1566" s="85">
        <v>3.75</v>
      </c>
      <c r="J1566" s="87">
        <f>80/3.75</f>
        <v>21.333333333333332</v>
      </c>
      <c r="K1566" s="88">
        <f t="shared" si="75"/>
        <v>80</v>
      </c>
      <c r="L1566" s="85">
        <v>83435</v>
      </c>
    </row>
    <row r="1567" spans="1:12" x14ac:dyDescent="0.25">
      <c r="A1567" s="84" t="str">
        <f t="shared" si="73"/>
        <v>OutubroSEMANA 5Abobora</v>
      </c>
      <c r="B1567" s="85" t="s">
        <v>37</v>
      </c>
      <c r="C1567" s="85" t="s">
        <v>24</v>
      </c>
      <c r="D1567" s="86">
        <v>30</v>
      </c>
      <c r="E1567" s="116" t="str">
        <f t="shared" si="74"/>
        <v>Hortifruti</v>
      </c>
      <c r="F1567" s="85" t="s">
        <v>1054</v>
      </c>
      <c r="G1567" s="85" t="s">
        <v>68</v>
      </c>
      <c r="H1567" s="85" t="s">
        <v>1039</v>
      </c>
      <c r="I1567" s="85">
        <v>10</v>
      </c>
      <c r="J1567" s="87">
        <v>3.2</v>
      </c>
      <c r="K1567" s="88">
        <f t="shared" si="75"/>
        <v>32</v>
      </c>
      <c r="L1567" s="85">
        <v>2077</v>
      </c>
    </row>
    <row r="1568" spans="1:12" x14ac:dyDescent="0.25">
      <c r="A1568" s="84" t="str">
        <f t="shared" si="73"/>
        <v>OutubroSEMANA 5Batata Doce</v>
      </c>
      <c r="B1568" s="85" t="s">
        <v>37</v>
      </c>
      <c r="C1568" s="85" t="s">
        <v>24</v>
      </c>
      <c r="D1568" s="86">
        <v>30</v>
      </c>
      <c r="E1568" s="116" t="str">
        <f t="shared" si="74"/>
        <v>Hortifruti</v>
      </c>
      <c r="F1568" s="85" t="s">
        <v>1054</v>
      </c>
      <c r="G1568" s="85" t="s">
        <v>170</v>
      </c>
      <c r="H1568" s="85" t="s">
        <v>1039</v>
      </c>
      <c r="I1568" s="85">
        <v>19.64</v>
      </c>
      <c r="J1568" s="87">
        <f>35/19.64</f>
        <v>1.7820773930753564</v>
      </c>
      <c r="K1568" s="88">
        <f t="shared" si="75"/>
        <v>35</v>
      </c>
      <c r="L1568" s="85">
        <v>2077</v>
      </c>
    </row>
    <row r="1569" spans="1:12" x14ac:dyDescent="0.25">
      <c r="A1569" s="84" t="str">
        <f t="shared" si="73"/>
        <v>OutubroSEMANA 5Berinjela</v>
      </c>
      <c r="B1569" s="85" t="s">
        <v>37</v>
      </c>
      <c r="C1569" s="85" t="s">
        <v>24</v>
      </c>
      <c r="D1569" s="86">
        <v>30</v>
      </c>
      <c r="E1569" s="116" t="str">
        <f t="shared" si="74"/>
        <v>Hortifruti</v>
      </c>
      <c r="F1569" s="85" t="s">
        <v>1054</v>
      </c>
      <c r="G1569" s="85" t="s">
        <v>178</v>
      </c>
      <c r="H1569" s="85" t="s">
        <v>1039</v>
      </c>
      <c r="I1569" s="85">
        <v>10.84</v>
      </c>
      <c r="J1569" s="87">
        <f>30/10.84</f>
        <v>2.7675276752767526</v>
      </c>
      <c r="K1569" s="88">
        <f t="shared" si="75"/>
        <v>29.999999999999996</v>
      </c>
      <c r="L1569" s="85">
        <v>2077</v>
      </c>
    </row>
    <row r="1570" spans="1:12" x14ac:dyDescent="0.25">
      <c r="A1570" s="84" t="str">
        <f t="shared" si="73"/>
        <v>OutubroSEMANA 5Quiabo</v>
      </c>
      <c r="B1570" s="85" t="s">
        <v>37</v>
      </c>
      <c r="C1570" s="85" t="s">
        <v>24</v>
      </c>
      <c r="D1570" s="86">
        <v>30</v>
      </c>
      <c r="E1570" s="116" t="str">
        <f t="shared" si="74"/>
        <v>Hortifruti</v>
      </c>
      <c r="F1570" s="85" t="s">
        <v>1054</v>
      </c>
      <c r="G1570" s="85" t="s">
        <v>690</v>
      </c>
      <c r="H1570" s="85" t="s">
        <v>1039</v>
      </c>
      <c r="I1570" s="85">
        <v>1</v>
      </c>
      <c r="J1570" s="87">
        <v>6</v>
      </c>
      <c r="K1570" s="88">
        <f t="shared" si="75"/>
        <v>6</v>
      </c>
      <c r="L1570" s="85">
        <v>2077</v>
      </c>
    </row>
    <row r="1571" spans="1:12" x14ac:dyDescent="0.25">
      <c r="A1571" s="84" t="str">
        <f t="shared" si="73"/>
        <v>OutubroSEMANA 5Cebolinha Verde</v>
      </c>
      <c r="B1571" s="85" t="s">
        <v>37</v>
      </c>
      <c r="C1571" s="85" t="s">
        <v>24</v>
      </c>
      <c r="D1571" s="86">
        <v>30</v>
      </c>
      <c r="E1571" s="116" t="str">
        <f t="shared" si="74"/>
        <v>Hortifruti</v>
      </c>
      <c r="F1571" s="85" t="s">
        <v>1054</v>
      </c>
      <c r="G1571" s="85" t="s">
        <v>247</v>
      </c>
      <c r="H1571" s="85" t="s">
        <v>1039</v>
      </c>
      <c r="I1571" s="85">
        <v>1</v>
      </c>
      <c r="J1571" s="87">
        <v>7</v>
      </c>
      <c r="K1571" s="88">
        <f t="shared" si="75"/>
        <v>7</v>
      </c>
      <c r="L1571" s="85">
        <v>2077</v>
      </c>
    </row>
    <row r="1572" spans="1:12" x14ac:dyDescent="0.25">
      <c r="A1572" s="84" t="str">
        <f t="shared" si="73"/>
        <v>OutubroSEMANA 5Coentro</v>
      </c>
      <c r="B1572" s="85" t="s">
        <v>37</v>
      </c>
      <c r="C1572" s="85" t="s">
        <v>24</v>
      </c>
      <c r="D1572" s="86">
        <v>30</v>
      </c>
      <c r="E1572" s="116" t="str">
        <f t="shared" si="74"/>
        <v>Hortifruti</v>
      </c>
      <c r="F1572" s="85" t="s">
        <v>1054</v>
      </c>
      <c r="G1572" s="85" t="s">
        <v>289</v>
      </c>
      <c r="H1572" s="85" t="s">
        <v>1039</v>
      </c>
      <c r="I1572" s="85">
        <v>1</v>
      </c>
      <c r="J1572" s="87">
        <v>14</v>
      </c>
      <c r="K1572" s="88">
        <f t="shared" si="75"/>
        <v>14</v>
      </c>
      <c r="L1572" s="85">
        <v>2077</v>
      </c>
    </row>
    <row r="1573" spans="1:12" x14ac:dyDescent="0.25">
      <c r="A1573" s="84" t="str">
        <f t="shared" si="73"/>
        <v>OutubroSEMANA 5Espinafre</v>
      </c>
      <c r="B1573" s="85" t="s">
        <v>37</v>
      </c>
      <c r="C1573" s="85" t="s">
        <v>24</v>
      </c>
      <c r="D1573" s="86">
        <v>30</v>
      </c>
      <c r="E1573" s="116" t="str">
        <f t="shared" si="74"/>
        <v>Hortifruti</v>
      </c>
      <c r="F1573" s="85" t="s">
        <v>1054</v>
      </c>
      <c r="G1573" s="85" t="s">
        <v>332</v>
      </c>
      <c r="H1573" s="85" t="s">
        <v>1039</v>
      </c>
      <c r="I1573" s="85">
        <v>2</v>
      </c>
      <c r="J1573" s="87">
        <v>4.8</v>
      </c>
      <c r="K1573" s="88">
        <f t="shared" si="75"/>
        <v>9.6</v>
      </c>
      <c r="L1573" s="85">
        <v>2077</v>
      </c>
    </row>
    <row r="1574" spans="1:12" x14ac:dyDescent="0.25">
      <c r="A1574" s="84" t="str">
        <f t="shared" si="73"/>
        <v>OutubroSEMANA 5Salsa</v>
      </c>
      <c r="B1574" s="85" t="s">
        <v>37</v>
      </c>
      <c r="C1574" s="85" t="s">
        <v>24</v>
      </c>
      <c r="D1574" s="86">
        <v>30</v>
      </c>
      <c r="E1574" s="116" t="str">
        <f t="shared" si="74"/>
        <v>Hortifruti</v>
      </c>
      <c r="F1574" s="85" t="s">
        <v>1054</v>
      </c>
      <c r="G1574" s="85" t="s">
        <v>729</v>
      </c>
      <c r="H1574" s="85" t="s">
        <v>1039</v>
      </c>
      <c r="I1574" s="85">
        <v>1</v>
      </c>
      <c r="J1574" s="87">
        <v>7</v>
      </c>
      <c r="K1574" s="88">
        <f t="shared" si="75"/>
        <v>7</v>
      </c>
      <c r="L1574" s="85">
        <v>2077</v>
      </c>
    </row>
    <row r="1575" spans="1:12" x14ac:dyDescent="0.25">
      <c r="A1575" s="84" t="str">
        <f t="shared" si="73"/>
        <v xml:space="preserve">OutubroSEMANA 5Abacate </v>
      </c>
      <c r="B1575" s="85" t="s">
        <v>37</v>
      </c>
      <c r="C1575" s="85" t="s">
        <v>24</v>
      </c>
      <c r="D1575" s="86">
        <v>30</v>
      </c>
      <c r="E1575" s="116" t="str">
        <f t="shared" si="74"/>
        <v>Hortifruti</v>
      </c>
      <c r="F1575" s="85" t="s">
        <v>1054</v>
      </c>
      <c r="G1575" s="85" t="s">
        <v>62</v>
      </c>
      <c r="H1575" s="85" t="s">
        <v>1039</v>
      </c>
      <c r="I1575" s="85">
        <v>13</v>
      </c>
      <c r="J1575" s="87">
        <v>8</v>
      </c>
      <c r="K1575" s="88">
        <f t="shared" si="75"/>
        <v>104</v>
      </c>
      <c r="L1575" s="85">
        <v>2077</v>
      </c>
    </row>
    <row r="1576" spans="1:12" x14ac:dyDescent="0.25">
      <c r="A1576" s="84" t="str">
        <f t="shared" si="73"/>
        <v xml:space="preserve">OutubroSEMANA 5Abacaxi </v>
      </c>
      <c r="B1576" s="85" t="s">
        <v>37</v>
      </c>
      <c r="C1576" s="85" t="s">
        <v>24</v>
      </c>
      <c r="D1576" s="86">
        <v>30</v>
      </c>
      <c r="E1576" s="116" t="str">
        <f t="shared" si="74"/>
        <v>Hortifruti</v>
      </c>
      <c r="F1576" s="85" t="s">
        <v>1054</v>
      </c>
      <c r="G1576" s="85" t="s">
        <v>65</v>
      </c>
      <c r="H1576" s="85" t="s">
        <v>1039</v>
      </c>
      <c r="I1576" s="85">
        <v>10</v>
      </c>
      <c r="J1576" s="87">
        <v>2.4</v>
      </c>
      <c r="K1576" s="88">
        <f t="shared" si="75"/>
        <v>24</v>
      </c>
      <c r="L1576" s="85">
        <v>2077</v>
      </c>
    </row>
    <row r="1577" spans="1:12" x14ac:dyDescent="0.25">
      <c r="A1577" s="84" t="str">
        <f t="shared" si="73"/>
        <v>OutubroSEMANA 5Banana D'Água</v>
      </c>
      <c r="B1577" s="85" t="s">
        <v>37</v>
      </c>
      <c r="C1577" s="85" t="s">
        <v>24</v>
      </c>
      <c r="D1577" s="86">
        <v>30</v>
      </c>
      <c r="E1577" s="116" t="str">
        <f t="shared" si="74"/>
        <v>Hortifruti</v>
      </c>
      <c r="F1577" s="85" t="s">
        <v>1054</v>
      </c>
      <c r="G1577" s="85" t="s">
        <v>162</v>
      </c>
      <c r="H1577" s="85" t="s">
        <v>1039</v>
      </c>
      <c r="I1577" s="85">
        <v>3</v>
      </c>
      <c r="J1577" s="87">
        <v>3.4</v>
      </c>
      <c r="K1577" s="88">
        <f t="shared" si="75"/>
        <v>10.199999999999999</v>
      </c>
      <c r="L1577" s="85">
        <v>2077</v>
      </c>
    </row>
    <row r="1578" spans="1:12" x14ac:dyDescent="0.25">
      <c r="A1578" s="84" t="str">
        <f t="shared" si="73"/>
        <v>OutubroSEMANA 5Manga Palmer</v>
      </c>
      <c r="B1578" s="85" t="s">
        <v>37</v>
      </c>
      <c r="C1578" s="85" t="s">
        <v>24</v>
      </c>
      <c r="D1578" s="86">
        <v>30</v>
      </c>
      <c r="E1578" s="116" t="str">
        <f t="shared" si="74"/>
        <v>Hortifruti</v>
      </c>
      <c r="F1578" s="85" t="s">
        <v>1054</v>
      </c>
      <c r="G1578" s="85" t="s">
        <v>496</v>
      </c>
      <c r="H1578" s="85" t="s">
        <v>1039</v>
      </c>
      <c r="I1578" s="85">
        <v>5.78</v>
      </c>
      <c r="J1578" s="87">
        <f>25/5.78</f>
        <v>4.3252595155709344</v>
      </c>
      <c r="K1578" s="88">
        <f t="shared" si="75"/>
        <v>25</v>
      </c>
      <c r="L1578" s="85">
        <v>2077</v>
      </c>
    </row>
    <row r="1579" spans="1:12" x14ac:dyDescent="0.25">
      <c r="A1579" s="84" t="str">
        <f t="shared" si="73"/>
        <v xml:space="preserve">OutubroSEMANA 5Melão de Rede </v>
      </c>
      <c r="B1579" s="85" t="s">
        <v>37</v>
      </c>
      <c r="C1579" s="85" t="s">
        <v>24</v>
      </c>
      <c r="D1579" s="86">
        <v>30</v>
      </c>
      <c r="E1579" s="116" t="str">
        <f t="shared" si="74"/>
        <v>Hortifruti</v>
      </c>
      <c r="F1579" s="85" t="s">
        <v>1054</v>
      </c>
      <c r="G1579" s="85" t="s">
        <v>518</v>
      </c>
      <c r="H1579" s="85" t="s">
        <v>1039</v>
      </c>
      <c r="I1579" s="85">
        <v>2</v>
      </c>
      <c r="J1579" s="87">
        <v>6.9</v>
      </c>
      <c r="K1579" s="88">
        <f t="shared" si="75"/>
        <v>13.8</v>
      </c>
      <c r="L1579" s="85">
        <v>2077</v>
      </c>
    </row>
    <row r="1580" spans="1:12" x14ac:dyDescent="0.25">
      <c r="A1580" s="84" t="str">
        <f t="shared" si="73"/>
        <v>OutubroSEMANA 5Cebola</v>
      </c>
      <c r="B1580" s="85" t="s">
        <v>37</v>
      </c>
      <c r="C1580" s="85" t="s">
        <v>24</v>
      </c>
      <c r="D1580" s="86">
        <v>30</v>
      </c>
      <c r="E1580" s="116" t="str">
        <f t="shared" si="74"/>
        <v>Hortifruti</v>
      </c>
      <c r="F1580" s="85" t="s">
        <v>1055</v>
      </c>
      <c r="G1580" s="85" t="s">
        <v>241</v>
      </c>
      <c r="H1580" s="85" t="s">
        <v>1039</v>
      </c>
      <c r="I1580" s="85">
        <v>19.7</v>
      </c>
      <c r="J1580" s="87">
        <f>26.5/19.7</f>
        <v>1.3451776649746194</v>
      </c>
      <c r="K1580" s="88">
        <f t="shared" si="75"/>
        <v>26.500000000000004</v>
      </c>
      <c r="L1580" s="85">
        <v>6080</v>
      </c>
    </row>
    <row r="1581" spans="1:12" x14ac:dyDescent="0.25">
      <c r="A1581" s="84" t="str">
        <f t="shared" si="73"/>
        <v>OutubroSEMANA 5Goiaba</v>
      </c>
      <c r="B1581" s="85" t="s">
        <v>37</v>
      </c>
      <c r="C1581" s="85" t="s">
        <v>24</v>
      </c>
      <c r="D1581" s="86">
        <v>30</v>
      </c>
      <c r="E1581" s="116" t="str">
        <f t="shared" si="74"/>
        <v>Hortifruti</v>
      </c>
      <c r="F1581" s="85" t="s">
        <v>1055</v>
      </c>
      <c r="G1581" s="85" t="s">
        <v>391</v>
      </c>
      <c r="H1581" s="85" t="s">
        <v>1039</v>
      </c>
      <c r="I1581" s="85">
        <v>2.5</v>
      </c>
      <c r="J1581" s="87">
        <f>10/2.5</f>
        <v>4</v>
      </c>
      <c r="K1581" s="88">
        <f t="shared" si="75"/>
        <v>10</v>
      </c>
      <c r="L1581" s="85">
        <v>6080</v>
      </c>
    </row>
    <row r="1582" spans="1:12" x14ac:dyDescent="0.25">
      <c r="A1582" s="84" t="str">
        <f t="shared" si="73"/>
        <v>OutubroSEMANA 5Kiwi</v>
      </c>
      <c r="B1582" s="85" t="s">
        <v>37</v>
      </c>
      <c r="C1582" s="85" t="s">
        <v>24</v>
      </c>
      <c r="D1582" s="86">
        <v>30</v>
      </c>
      <c r="E1582" s="116" t="str">
        <f t="shared" si="74"/>
        <v>Hortifruti</v>
      </c>
      <c r="F1582" s="85" t="s">
        <v>1055</v>
      </c>
      <c r="G1582" s="85" t="s">
        <v>454</v>
      </c>
      <c r="H1582" s="85" t="s">
        <v>1039</v>
      </c>
      <c r="I1582" s="85">
        <v>1</v>
      </c>
      <c r="J1582" s="87">
        <v>13.7</v>
      </c>
      <c r="K1582" s="88">
        <f t="shared" si="75"/>
        <v>13.7</v>
      </c>
      <c r="L1582" s="85">
        <v>6080</v>
      </c>
    </row>
    <row r="1583" spans="1:12" x14ac:dyDescent="0.25">
      <c r="A1583" s="84" t="str">
        <f t="shared" si="73"/>
        <v>OutubroSEMANA 5Laranja Pera</v>
      </c>
      <c r="B1583" s="85" t="s">
        <v>37</v>
      </c>
      <c r="C1583" s="85" t="s">
        <v>24</v>
      </c>
      <c r="D1583" s="86">
        <v>30</v>
      </c>
      <c r="E1583" s="116" t="str">
        <f t="shared" si="74"/>
        <v>Hortifruti</v>
      </c>
      <c r="F1583" s="85" t="s">
        <v>1055</v>
      </c>
      <c r="G1583" s="85" t="s">
        <v>457</v>
      </c>
      <c r="H1583" s="85" t="s">
        <v>1039</v>
      </c>
      <c r="I1583" s="85">
        <v>20.46</v>
      </c>
      <c r="J1583" s="87">
        <f>28/20.46</f>
        <v>1.3685239491691104</v>
      </c>
      <c r="K1583" s="88">
        <f t="shared" si="75"/>
        <v>28</v>
      </c>
      <c r="L1583" s="85">
        <v>6080</v>
      </c>
    </row>
    <row r="1584" spans="1:12" x14ac:dyDescent="0.25">
      <c r="A1584" s="84" t="str">
        <f t="shared" si="73"/>
        <v>OutubroSEMANA 5Melância</v>
      </c>
      <c r="B1584" s="85" t="s">
        <v>37</v>
      </c>
      <c r="C1584" s="85" t="s">
        <v>24</v>
      </c>
      <c r="D1584" s="86">
        <v>30</v>
      </c>
      <c r="E1584" s="116" t="str">
        <f t="shared" si="74"/>
        <v>Hortifruti</v>
      </c>
      <c r="F1584" s="85" t="s">
        <v>1055</v>
      </c>
      <c r="G1584" s="85" t="s">
        <v>517</v>
      </c>
      <c r="H1584" s="85" t="s">
        <v>1039</v>
      </c>
      <c r="I1584" s="85">
        <v>10</v>
      </c>
      <c r="J1584" s="87">
        <v>1.32</v>
      </c>
      <c r="K1584" s="88">
        <f t="shared" si="75"/>
        <v>13.200000000000001</v>
      </c>
      <c r="L1584" s="85">
        <v>6080</v>
      </c>
    </row>
    <row r="1585" spans="1:12" x14ac:dyDescent="0.25">
      <c r="A1585" s="84" t="str">
        <f t="shared" si="73"/>
        <v>OutubroSEMANA 5Tomate Salada</v>
      </c>
      <c r="B1585" s="85" t="s">
        <v>37</v>
      </c>
      <c r="C1585" s="85" t="s">
        <v>24</v>
      </c>
      <c r="D1585" s="86">
        <v>30</v>
      </c>
      <c r="E1585" s="116" t="str">
        <f t="shared" si="74"/>
        <v>Hortifruti</v>
      </c>
      <c r="F1585" s="85" t="s">
        <v>1055</v>
      </c>
      <c r="G1585" s="85" t="s">
        <v>795</v>
      </c>
      <c r="H1585" s="85" t="s">
        <v>1039</v>
      </c>
      <c r="I1585" s="85">
        <v>21.28</v>
      </c>
      <c r="J1585" s="87">
        <f>36.5/21.28</f>
        <v>1.7152255639097744</v>
      </c>
      <c r="K1585" s="88">
        <f t="shared" si="75"/>
        <v>36.5</v>
      </c>
      <c r="L1585" s="85">
        <v>6080</v>
      </c>
    </row>
    <row r="1586" spans="1:12" x14ac:dyDescent="0.25">
      <c r="A1586" s="84" t="str">
        <f t="shared" si="73"/>
        <v>OutubroSEMANA 5Abobora Japonesa</v>
      </c>
      <c r="B1586" s="85" t="s">
        <v>37</v>
      </c>
      <c r="C1586" s="85" t="s">
        <v>24</v>
      </c>
      <c r="D1586" s="86">
        <v>30</v>
      </c>
      <c r="E1586" s="116" t="str">
        <f t="shared" si="74"/>
        <v>Hortifruti</v>
      </c>
      <c r="F1586" s="85" t="s">
        <v>1055</v>
      </c>
      <c r="G1586" s="85" t="s">
        <v>69</v>
      </c>
      <c r="H1586" s="85" t="s">
        <v>1039</v>
      </c>
      <c r="I1586" s="85">
        <v>3</v>
      </c>
      <c r="J1586" s="87">
        <v>2.84</v>
      </c>
      <c r="K1586" s="88">
        <f t="shared" si="75"/>
        <v>8.52</v>
      </c>
      <c r="L1586" s="85">
        <v>6080</v>
      </c>
    </row>
    <row r="1587" spans="1:12" x14ac:dyDescent="0.25">
      <c r="A1587" s="84" t="str">
        <f t="shared" si="73"/>
        <v>OutubroSEMANA 5Beterraba</v>
      </c>
      <c r="B1587" s="85" t="s">
        <v>37</v>
      </c>
      <c r="C1587" s="85" t="s">
        <v>24</v>
      </c>
      <c r="D1587" s="86">
        <v>30</v>
      </c>
      <c r="E1587" s="116" t="str">
        <f t="shared" si="74"/>
        <v>Hortifruti</v>
      </c>
      <c r="F1587" s="85" t="s">
        <v>1055</v>
      </c>
      <c r="G1587" s="85" t="s">
        <v>181</v>
      </c>
      <c r="H1587" s="85" t="s">
        <v>1039</v>
      </c>
      <c r="I1587" s="85">
        <v>3</v>
      </c>
      <c r="J1587" s="87">
        <v>1.8</v>
      </c>
      <c r="K1587" s="88">
        <f t="shared" si="75"/>
        <v>5.4</v>
      </c>
      <c r="L1587" s="85">
        <v>6080</v>
      </c>
    </row>
    <row r="1588" spans="1:12" x14ac:dyDescent="0.25">
      <c r="A1588" s="84" t="str">
        <f t="shared" si="73"/>
        <v>OutubroSEMANA 5Brócolis Nacional</v>
      </c>
      <c r="B1588" s="85" t="s">
        <v>37</v>
      </c>
      <c r="C1588" s="85" t="s">
        <v>24</v>
      </c>
      <c r="D1588" s="86">
        <v>30</v>
      </c>
      <c r="E1588" s="116" t="str">
        <f t="shared" si="74"/>
        <v>Hortifruti</v>
      </c>
      <c r="F1588" s="85" t="s">
        <v>1055</v>
      </c>
      <c r="G1588" s="85" t="s">
        <v>891</v>
      </c>
      <c r="H1588" s="85" t="s">
        <v>1039</v>
      </c>
      <c r="I1588" s="85">
        <v>5</v>
      </c>
      <c r="J1588" s="87">
        <v>3.5</v>
      </c>
      <c r="K1588" s="88">
        <f t="shared" si="75"/>
        <v>17.5</v>
      </c>
      <c r="L1588" s="85">
        <v>6080</v>
      </c>
    </row>
    <row r="1589" spans="1:12" x14ac:dyDescent="0.25">
      <c r="A1589" s="84" t="str">
        <f t="shared" si="73"/>
        <v>OutubroSEMANA 5Cebola Roxa</v>
      </c>
      <c r="B1589" s="85" t="s">
        <v>37</v>
      </c>
      <c r="C1589" s="85" t="s">
        <v>24</v>
      </c>
      <c r="D1589" s="86">
        <v>30</v>
      </c>
      <c r="E1589" s="116" t="str">
        <f t="shared" si="74"/>
        <v>Hortifruti</v>
      </c>
      <c r="F1589" s="85" t="s">
        <v>1055</v>
      </c>
      <c r="G1589" s="85" t="s">
        <v>244</v>
      </c>
      <c r="H1589" s="85" t="s">
        <v>1039</v>
      </c>
      <c r="I1589" s="85">
        <v>2</v>
      </c>
      <c r="J1589" s="87">
        <v>3.75</v>
      </c>
      <c r="K1589" s="88">
        <f t="shared" si="75"/>
        <v>7.5</v>
      </c>
      <c r="L1589" s="85">
        <v>6080</v>
      </c>
    </row>
    <row r="1590" spans="1:12" x14ac:dyDescent="0.25">
      <c r="A1590" s="84" t="str">
        <f t="shared" si="73"/>
        <v>OutubroSEMANA 5Côco Verde</v>
      </c>
      <c r="B1590" s="85" t="s">
        <v>37</v>
      </c>
      <c r="C1590" s="85" t="s">
        <v>24</v>
      </c>
      <c r="D1590" s="86">
        <v>30</v>
      </c>
      <c r="E1590" s="116" t="str">
        <f t="shared" si="74"/>
        <v>Hortifruti</v>
      </c>
      <c r="F1590" s="85" t="s">
        <v>1055</v>
      </c>
      <c r="G1590" s="85" t="s">
        <v>288</v>
      </c>
      <c r="H1590" s="85" t="s">
        <v>1038</v>
      </c>
      <c r="I1590" s="85">
        <v>10</v>
      </c>
      <c r="J1590" s="87">
        <v>1.98</v>
      </c>
      <c r="K1590" s="88">
        <f t="shared" si="75"/>
        <v>19.8</v>
      </c>
      <c r="L1590" s="85">
        <v>6080</v>
      </c>
    </row>
    <row r="1591" spans="1:12" x14ac:dyDescent="0.25">
      <c r="A1591" s="84" t="str">
        <f t="shared" si="73"/>
        <v>OutubroSEMANA 5Mamão Bahia</v>
      </c>
      <c r="B1591" s="85" t="s">
        <v>37</v>
      </c>
      <c r="C1591" s="85" t="s">
        <v>24</v>
      </c>
      <c r="D1591" s="86">
        <v>30</v>
      </c>
      <c r="E1591" s="116" t="str">
        <f t="shared" si="74"/>
        <v>Hortifruti</v>
      </c>
      <c r="F1591" s="85" t="s">
        <v>1055</v>
      </c>
      <c r="G1591" s="85" t="s">
        <v>494</v>
      </c>
      <c r="H1591" s="85" t="s">
        <v>1039</v>
      </c>
      <c r="I1591" s="85">
        <v>2</v>
      </c>
      <c r="J1591" s="87">
        <v>2.4</v>
      </c>
      <c r="K1591" s="88">
        <f t="shared" si="75"/>
        <v>4.8</v>
      </c>
      <c r="L1591" s="85">
        <v>6080</v>
      </c>
    </row>
    <row r="1592" spans="1:12" x14ac:dyDescent="0.25">
      <c r="A1592" s="84" t="str">
        <f t="shared" si="73"/>
        <v>OutubroSEMANA 5Açucar Refinado Sushi</v>
      </c>
      <c r="B1592" s="85" t="s">
        <v>37</v>
      </c>
      <c r="C1592" s="85" t="s">
        <v>24</v>
      </c>
      <c r="D1592" s="86">
        <v>25</v>
      </c>
      <c r="E1592" s="116" t="str">
        <f t="shared" si="74"/>
        <v>Sushi</v>
      </c>
      <c r="F1592" s="85" t="s">
        <v>1089</v>
      </c>
      <c r="G1592" s="85" t="s">
        <v>80</v>
      </c>
      <c r="H1592" s="85" t="s">
        <v>1039</v>
      </c>
      <c r="I1592" s="85">
        <v>10</v>
      </c>
      <c r="J1592" s="87">
        <v>2.165</v>
      </c>
      <c r="K1592" s="88">
        <f t="shared" si="75"/>
        <v>21.65</v>
      </c>
      <c r="L1592" s="85" t="s">
        <v>1270</v>
      </c>
    </row>
    <row r="1593" spans="1:12" x14ac:dyDescent="0.25">
      <c r="A1593" s="84" t="str">
        <f t="shared" si="73"/>
        <v>OutubroSEMANA 5Palitos de Dente (cx 500)</v>
      </c>
      <c r="B1593" s="85" t="s">
        <v>37</v>
      </c>
      <c r="C1593" s="85" t="s">
        <v>24</v>
      </c>
      <c r="D1593" s="86">
        <v>30</v>
      </c>
      <c r="E1593" s="116" t="str">
        <f t="shared" si="74"/>
        <v>Descartável</v>
      </c>
      <c r="F1593" s="85" t="s">
        <v>1036</v>
      </c>
      <c r="G1593" s="85" t="s">
        <v>1010</v>
      </c>
      <c r="H1593" s="85" t="s">
        <v>1139</v>
      </c>
      <c r="I1593" s="85">
        <v>7</v>
      </c>
      <c r="J1593" s="87">
        <v>1.1000000000000001</v>
      </c>
      <c r="K1593" s="88">
        <f t="shared" si="75"/>
        <v>7.7000000000000011</v>
      </c>
      <c r="L1593" s="85" t="s">
        <v>1311</v>
      </c>
    </row>
    <row r="1594" spans="1:12" x14ac:dyDescent="0.25">
      <c r="A1594" s="84" t="str">
        <f t="shared" si="73"/>
        <v xml:space="preserve">OutubroSEMANA 5Tapioca Granulada </v>
      </c>
      <c r="B1594" s="85" t="s">
        <v>37</v>
      </c>
      <c r="C1594" s="85" t="s">
        <v>24</v>
      </c>
      <c r="D1594" s="86">
        <v>30</v>
      </c>
      <c r="E1594" s="116" t="str">
        <f t="shared" si="74"/>
        <v>Mercado</v>
      </c>
      <c r="F1594" s="85" t="s">
        <v>1056</v>
      </c>
      <c r="G1594" s="85" t="s">
        <v>785</v>
      </c>
      <c r="H1594" s="85" t="s">
        <v>1039</v>
      </c>
      <c r="I1594" s="85">
        <f>3*0.5</f>
        <v>1.5</v>
      </c>
      <c r="J1594" s="87">
        <f>25.65/1.5</f>
        <v>17.099999999999998</v>
      </c>
      <c r="K1594" s="88">
        <f t="shared" si="75"/>
        <v>25.65</v>
      </c>
      <c r="L1594" s="85">
        <v>27545</v>
      </c>
    </row>
    <row r="1595" spans="1:12" x14ac:dyDescent="0.25">
      <c r="A1595" s="84" t="str">
        <f t="shared" si="73"/>
        <v>OutubroSEMANA 5Massa de Pastel</v>
      </c>
      <c r="B1595" s="85" t="s">
        <v>37</v>
      </c>
      <c r="C1595" s="85" t="s">
        <v>24</v>
      </c>
      <c r="D1595" s="86">
        <v>30</v>
      </c>
      <c r="E1595" s="116" t="str">
        <f t="shared" si="74"/>
        <v>Mercado</v>
      </c>
      <c r="F1595" s="85" t="s">
        <v>1042</v>
      </c>
      <c r="G1595" s="85" t="s">
        <v>508</v>
      </c>
      <c r="H1595" s="85" t="s">
        <v>1039</v>
      </c>
      <c r="I1595" s="85">
        <v>27.68</v>
      </c>
      <c r="J1595" s="87">
        <f>210/27.68</f>
        <v>7.5867052023121389</v>
      </c>
      <c r="K1595" s="88">
        <f t="shared" si="75"/>
        <v>210</v>
      </c>
      <c r="L1595" s="85"/>
    </row>
    <row r="1596" spans="1:12" x14ac:dyDescent="0.25">
      <c r="A1596" s="84" t="str">
        <f t="shared" si="73"/>
        <v>OutubroSEMANA 5Goma de Tapioca</v>
      </c>
      <c r="B1596" s="85" t="s">
        <v>37</v>
      </c>
      <c r="C1596" s="85" t="s">
        <v>24</v>
      </c>
      <c r="D1596" s="86">
        <v>30</v>
      </c>
      <c r="E1596" s="116" t="str">
        <f t="shared" si="74"/>
        <v>Mercado</v>
      </c>
      <c r="F1596" s="85" t="s">
        <v>1042</v>
      </c>
      <c r="G1596" s="85" t="s">
        <v>393</v>
      </c>
      <c r="H1596" s="85" t="s">
        <v>1039</v>
      </c>
      <c r="I1596" s="85">
        <v>2</v>
      </c>
      <c r="J1596" s="87">
        <v>8</v>
      </c>
      <c r="K1596" s="88">
        <f t="shared" si="75"/>
        <v>16</v>
      </c>
      <c r="L1596" s="85"/>
    </row>
    <row r="1597" spans="1:12" x14ac:dyDescent="0.25">
      <c r="A1597" s="84" t="str">
        <f t="shared" si="73"/>
        <v>OutubroSEMANA 5Aipim</v>
      </c>
      <c r="B1597" s="85" t="s">
        <v>37</v>
      </c>
      <c r="C1597" s="85" t="s">
        <v>24</v>
      </c>
      <c r="D1597" s="86">
        <v>30</v>
      </c>
      <c r="E1597" s="116" t="str">
        <f t="shared" si="74"/>
        <v>Hortifruti</v>
      </c>
      <c r="F1597" s="85" t="s">
        <v>1042</v>
      </c>
      <c r="G1597" s="85" t="s">
        <v>95</v>
      </c>
      <c r="H1597" s="85" t="s">
        <v>1039</v>
      </c>
      <c r="I1597" s="85">
        <v>30</v>
      </c>
      <c r="J1597" s="87">
        <v>5</v>
      </c>
      <c r="K1597" s="88">
        <f t="shared" si="75"/>
        <v>150</v>
      </c>
      <c r="L1597" s="85"/>
    </row>
    <row r="1598" spans="1:12" x14ac:dyDescent="0.25">
      <c r="A1598" s="84" t="str">
        <f t="shared" si="73"/>
        <v>OutubroSEMANA 5Bala de Alga 500 g</v>
      </c>
      <c r="B1598" s="85" t="s">
        <v>37</v>
      </c>
      <c r="C1598" s="85" t="s">
        <v>24</v>
      </c>
      <c r="D1598" s="86">
        <v>31</v>
      </c>
      <c r="E1598" s="116" t="str">
        <f t="shared" si="74"/>
        <v>Vendas Caixa</v>
      </c>
      <c r="F1598" s="85" t="s">
        <v>1074</v>
      </c>
      <c r="G1598" s="85" t="s">
        <v>159</v>
      </c>
      <c r="H1598" s="85" t="s">
        <v>1037</v>
      </c>
      <c r="I1598" s="85">
        <v>2</v>
      </c>
      <c r="J1598" s="87">
        <v>17.16</v>
      </c>
      <c r="K1598" s="88">
        <f t="shared" si="75"/>
        <v>34.32</v>
      </c>
      <c r="L1598" s="85" t="s">
        <v>1312</v>
      </c>
    </row>
    <row r="1599" spans="1:12" x14ac:dyDescent="0.25">
      <c r="A1599" s="84" t="str">
        <f t="shared" si="73"/>
        <v>OutubroSEMANA 5Chá verde 200gr</v>
      </c>
      <c r="B1599" s="85" t="s">
        <v>37</v>
      </c>
      <c r="C1599" s="85" t="s">
        <v>24</v>
      </c>
      <c r="D1599" s="86">
        <v>31</v>
      </c>
      <c r="E1599" s="116" t="str">
        <f t="shared" si="74"/>
        <v>Mercado</v>
      </c>
      <c r="F1599" s="85" t="s">
        <v>1074</v>
      </c>
      <c r="G1599" s="85" t="s">
        <v>271</v>
      </c>
      <c r="H1599" s="85" t="s">
        <v>1037</v>
      </c>
      <c r="I1599" s="85">
        <v>2</v>
      </c>
      <c r="J1599" s="87">
        <v>13.92</v>
      </c>
      <c r="K1599" s="88">
        <f t="shared" si="75"/>
        <v>27.84</v>
      </c>
      <c r="L1599" s="85" t="s">
        <v>1312</v>
      </c>
    </row>
    <row r="1600" spans="1:12" x14ac:dyDescent="0.25">
      <c r="A1600" s="84" t="str">
        <f t="shared" si="73"/>
        <v>OutubroSEMANA 5Farinha Panco</v>
      </c>
      <c r="B1600" s="85" t="s">
        <v>37</v>
      </c>
      <c r="C1600" s="85" t="s">
        <v>24</v>
      </c>
      <c r="D1600" s="86">
        <v>31</v>
      </c>
      <c r="E1600" s="116" t="str">
        <f t="shared" si="74"/>
        <v>Mercado</v>
      </c>
      <c r="F1600" s="85" t="s">
        <v>1074</v>
      </c>
      <c r="G1600" s="85" t="s">
        <v>345</v>
      </c>
      <c r="H1600" s="85" t="s">
        <v>1039</v>
      </c>
      <c r="I1600" s="85">
        <v>9</v>
      </c>
      <c r="J1600" s="87">
        <v>17.7</v>
      </c>
      <c r="K1600" s="88">
        <f t="shared" si="75"/>
        <v>159.29999999999998</v>
      </c>
      <c r="L1600" s="85" t="s">
        <v>1312</v>
      </c>
    </row>
    <row r="1601" spans="1:12" x14ac:dyDescent="0.25">
      <c r="A1601" s="84" t="str">
        <f t="shared" si="73"/>
        <v>OutubroSEMANA 5Macarrão de Feijão (Harusame) 200g</v>
      </c>
      <c r="B1601" s="85" t="s">
        <v>37</v>
      </c>
      <c r="C1601" s="85" t="s">
        <v>24</v>
      </c>
      <c r="D1601" s="86">
        <v>31</v>
      </c>
      <c r="E1601" s="116" t="str">
        <f t="shared" si="74"/>
        <v>Mercado</v>
      </c>
      <c r="F1601" s="85" t="s">
        <v>1074</v>
      </c>
      <c r="G1601" s="85" t="s">
        <v>481</v>
      </c>
      <c r="H1601" s="85" t="s">
        <v>1037</v>
      </c>
      <c r="I1601" s="85">
        <v>9</v>
      </c>
      <c r="J1601" s="87">
        <v>8.48</v>
      </c>
      <c r="K1601" s="88">
        <f t="shared" si="75"/>
        <v>76.320000000000007</v>
      </c>
      <c r="L1601" s="85" t="s">
        <v>1312</v>
      </c>
    </row>
    <row r="1602" spans="1:12" x14ac:dyDescent="0.25">
      <c r="A1602" s="84" t="str">
        <f t="shared" ref="A1602:A1665" si="76">CONCATENATE(B1602,C1602,G1602)</f>
        <v>OutubroSEMANA 5Massa de Harumaki</v>
      </c>
      <c r="B1602" s="85" t="s">
        <v>37</v>
      </c>
      <c r="C1602" s="85" t="s">
        <v>24</v>
      </c>
      <c r="D1602" s="86">
        <v>31</v>
      </c>
      <c r="E1602" s="116" t="str">
        <f t="shared" ref="E1602:E1665" si="77">VLOOKUP(G1602,$M$1:$O$968,3,0)</f>
        <v>Mercado</v>
      </c>
      <c r="F1602" s="85" t="s">
        <v>1074</v>
      </c>
      <c r="G1602" s="85" t="s">
        <v>507</v>
      </c>
      <c r="H1602" s="85" t="s">
        <v>1075</v>
      </c>
      <c r="I1602" s="85">
        <f>12*12</f>
        <v>144</v>
      </c>
      <c r="J1602" s="87">
        <f>82.92/144</f>
        <v>0.57583333333333331</v>
      </c>
      <c r="K1602" s="88">
        <f t="shared" ref="K1602:K1665" si="78">I1602*J1602</f>
        <v>82.92</v>
      </c>
      <c r="L1602" s="85" t="s">
        <v>1312</v>
      </c>
    </row>
    <row r="1603" spans="1:12" x14ac:dyDescent="0.25">
      <c r="A1603" s="84" t="str">
        <f t="shared" si="76"/>
        <v>OutubroSEMANA 5Pescados - Filé Truta Cong.</v>
      </c>
      <c r="B1603" s="85" t="s">
        <v>37</v>
      </c>
      <c r="C1603" s="85" t="s">
        <v>24</v>
      </c>
      <c r="D1603" s="86">
        <v>31</v>
      </c>
      <c r="E1603" s="116" t="str">
        <f t="shared" si="77"/>
        <v>Carnes</v>
      </c>
      <c r="F1603" s="85" t="s">
        <v>1104</v>
      </c>
      <c r="G1603" s="85" t="s">
        <v>617</v>
      </c>
      <c r="H1603" s="85" t="s">
        <v>1039</v>
      </c>
      <c r="I1603" s="85">
        <v>24</v>
      </c>
      <c r="J1603" s="87">
        <v>26</v>
      </c>
      <c r="K1603" s="88">
        <f t="shared" si="78"/>
        <v>624</v>
      </c>
      <c r="L1603" s="85" t="s">
        <v>1313</v>
      </c>
    </row>
    <row r="1604" spans="1:12" x14ac:dyDescent="0.25">
      <c r="A1604" s="84" t="str">
        <f t="shared" si="76"/>
        <v>OutubroSEMANA 5Cogumelo Paris</v>
      </c>
      <c r="B1604" s="85" t="s">
        <v>37</v>
      </c>
      <c r="C1604" s="85" t="s">
        <v>24</v>
      </c>
      <c r="D1604" s="86">
        <v>31</v>
      </c>
      <c r="E1604" s="116" t="str">
        <f t="shared" si="77"/>
        <v>Mercado</v>
      </c>
      <c r="F1604" s="85" t="s">
        <v>1104</v>
      </c>
      <c r="G1604" s="85" t="s">
        <v>292</v>
      </c>
      <c r="H1604" s="85" t="s">
        <v>1039</v>
      </c>
      <c r="I1604" s="85">
        <v>4</v>
      </c>
      <c r="J1604" s="87">
        <v>15.5</v>
      </c>
      <c r="K1604" s="88">
        <f t="shared" si="78"/>
        <v>62</v>
      </c>
      <c r="L1604" s="85" t="s">
        <v>1313</v>
      </c>
    </row>
    <row r="1605" spans="1:12" x14ac:dyDescent="0.25">
      <c r="A1605" s="84" t="str">
        <f t="shared" si="76"/>
        <v>OutubroSEMANA 5Cogumelo Fatiado Bd 2 Kg</v>
      </c>
      <c r="B1605" s="85" t="s">
        <v>37</v>
      </c>
      <c r="C1605" s="85" t="s">
        <v>24</v>
      </c>
      <c r="D1605" s="86">
        <v>31</v>
      </c>
      <c r="E1605" s="116" t="str">
        <f t="shared" si="77"/>
        <v>Mercado</v>
      </c>
      <c r="F1605" s="85" t="s">
        <v>1104</v>
      </c>
      <c r="G1605" s="85" t="s">
        <v>291</v>
      </c>
      <c r="H1605" s="85" t="s">
        <v>1046</v>
      </c>
      <c r="I1605" s="85">
        <v>1</v>
      </c>
      <c r="J1605" s="87">
        <v>37</v>
      </c>
      <c r="K1605" s="88">
        <f t="shared" si="78"/>
        <v>37</v>
      </c>
      <c r="L1605" s="85" t="s">
        <v>1313</v>
      </c>
    </row>
    <row r="1606" spans="1:12" x14ac:dyDescent="0.25">
      <c r="A1606" s="84" t="str">
        <f t="shared" si="76"/>
        <v xml:space="preserve">OutubroSEMANA 5Torta Mousse de Chocolate </v>
      </c>
      <c r="B1606" s="85" t="s">
        <v>37</v>
      </c>
      <c r="C1606" s="85" t="s">
        <v>24</v>
      </c>
      <c r="D1606" s="86">
        <v>31</v>
      </c>
      <c r="E1606" s="116" t="str">
        <f t="shared" si="77"/>
        <v>Sobremesa</v>
      </c>
      <c r="F1606" s="85" t="s">
        <v>1161</v>
      </c>
      <c r="G1606" s="85" t="s">
        <v>817</v>
      </c>
      <c r="H1606" s="85" t="s">
        <v>1071</v>
      </c>
      <c r="I1606" s="85">
        <f>2*12</f>
        <v>24</v>
      </c>
      <c r="J1606" s="87">
        <f>99.32/24</f>
        <v>4.1383333333333328</v>
      </c>
      <c r="K1606" s="88">
        <f t="shared" si="78"/>
        <v>99.32</v>
      </c>
      <c r="L1606" s="85">
        <v>90993</v>
      </c>
    </row>
    <row r="1607" spans="1:12" x14ac:dyDescent="0.25">
      <c r="A1607" s="84" t="str">
        <f t="shared" si="76"/>
        <v>OutubroSEMANA 5Torta Capuccino Diet</v>
      </c>
      <c r="B1607" s="85" t="s">
        <v>37</v>
      </c>
      <c r="C1607" s="85" t="s">
        <v>24</v>
      </c>
      <c r="D1607" s="86">
        <v>31</v>
      </c>
      <c r="E1607" s="116" t="str">
        <f t="shared" si="77"/>
        <v>Sobremesa</v>
      </c>
      <c r="F1607" s="85" t="s">
        <v>1161</v>
      </c>
      <c r="G1607" s="85" t="s">
        <v>812</v>
      </c>
      <c r="H1607" s="85" t="s">
        <v>1071</v>
      </c>
      <c r="I1607" s="85">
        <v>10</v>
      </c>
      <c r="J1607" s="87">
        <f>58.91/10</f>
        <v>5.891</v>
      </c>
      <c r="K1607" s="88">
        <f t="shared" si="78"/>
        <v>58.91</v>
      </c>
      <c r="L1607" s="85">
        <v>90993</v>
      </c>
    </row>
    <row r="1608" spans="1:12" x14ac:dyDescent="0.25">
      <c r="A1608" s="84" t="str">
        <f t="shared" si="76"/>
        <v>OutubroSEMANA 5Gelo em Escamas</v>
      </c>
      <c r="B1608" s="85" t="s">
        <v>37</v>
      </c>
      <c r="C1608" s="85" t="s">
        <v>24</v>
      </c>
      <c r="D1608" s="86">
        <v>31</v>
      </c>
      <c r="E1608" s="116" t="str">
        <f t="shared" si="77"/>
        <v>Mercado</v>
      </c>
      <c r="F1608" s="85" t="s">
        <v>1040</v>
      </c>
      <c r="G1608" s="85" t="s">
        <v>384</v>
      </c>
      <c r="H1608" s="85" t="s">
        <v>1041</v>
      </c>
      <c r="I1608" s="85">
        <v>2</v>
      </c>
      <c r="J1608" s="87">
        <v>7.5</v>
      </c>
      <c r="K1608" s="88">
        <f t="shared" si="78"/>
        <v>15</v>
      </c>
      <c r="L1608" s="85">
        <v>11876</v>
      </c>
    </row>
    <row r="1609" spans="1:12" x14ac:dyDescent="0.25">
      <c r="A1609" s="84" t="str">
        <f t="shared" si="76"/>
        <v>OutubroSEMANA 5Gelo em Cubo</v>
      </c>
      <c r="B1609" s="85" t="s">
        <v>37</v>
      </c>
      <c r="C1609" s="85" t="s">
        <v>24</v>
      </c>
      <c r="D1609" s="86">
        <v>31</v>
      </c>
      <c r="E1609" s="116" t="str">
        <f t="shared" si="77"/>
        <v>Mercado</v>
      </c>
      <c r="F1609" s="85" t="s">
        <v>1040</v>
      </c>
      <c r="G1609" s="85" t="s">
        <v>383</v>
      </c>
      <c r="H1609" s="85" t="s">
        <v>1041</v>
      </c>
      <c r="I1609" s="85">
        <v>2</v>
      </c>
      <c r="J1609" s="87">
        <v>7.5</v>
      </c>
      <c r="K1609" s="88">
        <f t="shared" si="78"/>
        <v>15</v>
      </c>
      <c r="L1609" s="85">
        <v>11876</v>
      </c>
    </row>
    <row r="1610" spans="1:12" x14ac:dyDescent="0.25">
      <c r="A1610" s="84" t="str">
        <f t="shared" si="76"/>
        <v>OutubroSEMANA 5Carne Bovina - Carne Seca</v>
      </c>
      <c r="B1610" s="85" t="s">
        <v>37</v>
      </c>
      <c r="C1610" s="85" t="s">
        <v>24</v>
      </c>
      <c r="D1610" s="86">
        <v>31</v>
      </c>
      <c r="E1610" s="116" t="str">
        <f t="shared" si="77"/>
        <v>Carnes</v>
      </c>
      <c r="F1610" s="85" t="s">
        <v>1078</v>
      </c>
      <c r="G1610" s="85" t="s">
        <v>218</v>
      </c>
      <c r="H1610" s="85" t="s">
        <v>1039</v>
      </c>
      <c r="I1610" s="85">
        <v>5</v>
      </c>
      <c r="J1610" s="87">
        <v>18.920000000000002</v>
      </c>
      <c r="K1610" s="88">
        <f t="shared" si="78"/>
        <v>94.600000000000009</v>
      </c>
      <c r="L1610" s="85" t="s">
        <v>1314</v>
      </c>
    </row>
    <row r="1611" spans="1:12" x14ac:dyDescent="0.25">
      <c r="A1611" s="84" t="str">
        <f t="shared" si="76"/>
        <v>OutubroSEMANA 5Suíno - Costelinha Salgada</v>
      </c>
      <c r="B1611" s="85" t="s">
        <v>37</v>
      </c>
      <c r="C1611" s="85" t="s">
        <v>24</v>
      </c>
      <c r="D1611" s="86">
        <v>31</v>
      </c>
      <c r="E1611" s="116" t="str">
        <f t="shared" si="77"/>
        <v>Carnes</v>
      </c>
      <c r="F1611" s="85" t="s">
        <v>1078</v>
      </c>
      <c r="G1611" s="85" t="s">
        <v>760</v>
      </c>
      <c r="H1611" s="85" t="s">
        <v>1039</v>
      </c>
      <c r="I1611" s="85">
        <v>9</v>
      </c>
      <c r="J1611" s="87">
        <v>9.83</v>
      </c>
      <c r="K1611" s="88">
        <f t="shared" si="78"/>
        <v>88.47</v>
      </c>
      <c r="L1611" s="85" t="s">
        <v>1314</v>
      </c>
    </row>
    <row r="1612" spans="1:12" x14ac:dyDescent="0.25">
      <c r="A1612" s="84" t="str">
        <f t="shared" si="76"/>
        <v>OutubroSEMANA 5Suíno - Filezinho Suíno</v>
      </c>
      <c r="B1612" s="85" t="s">
        <v>37</v>
      </c>
      <c r="C1612" s="85" t="s">
        <v>24</v>
      </c>
      <c r="D1612" s="86">
        <v>31</v>
      </c>
      <c r="E1612" s="116" t="str">
        <f t="shared" si="77"/>
        <v>Carnes</v>
      </c>
      <c r="F1612" s="85" t="s">
        <v>1078</v>
      </c>
      <c r="G1612" s="85" t="s">
        <v>977</v>
      </c>
      <c r="H1612" s="85" t="s">
        <v>1039</v>
      </c>
      <c r="I1612" s="85">
        <v>20</v>
      </c>
      <c r="J1612" s="87">
        <v>9.98</v>
      </c>
      <c r="K1612" s="88">
        <f t="shared" si="78"/>
        <v>199.60000000000002</v>
      </c>
      <c r="L1612" s="85" t="s">
        <v>1314</v>
      </c>
    </row>
    <row r="1613" spans="1:12" x14ac:dyDescent="0.25">
      <c r="A1613" s="84" t="str">
        <f t="shared" si="76"/>
        <v>OutubroSEMANA 5Suíno - Linguiça de Pernil</v>
      </c>
      <c r="B1613" s="85" t="s">
        <v>37</v>
      </c>
      <c r="C1613" s="85" t="s">
        <v>24</v>
      </c>
      <c r="D1613" s="86">
        <v>31</v>
      </c>
      <c r="E1613" s="116" t="str">
        <f t="shared" si="77"/>
        <v>Carnes</v>
      </c>
      <c r="F1613" s="85" t="s">
        <v>1078</v>
      </c>
      <c r="G1613" s="85" t="s">
        <v>763</v>
      </c>
      <c r="H1613" s="85" t="s">
        <v>1039</v>
      </c>
      <c r="I1613" s="85">
        <v>5</v>
      </c>
      <c r="J1613" s="87">
        <v>9.99</v>
      </c>
      <c r="K1613" s="88">
        <f t="shared" si="78"/>
        <v>49.95</v>
      </c>
      <c r="L1613" s="85" t="s">
        <v>1314</v>
      </c>
    </row>
    <row r="1614" spans="1:12" x14ac:dyDescent="0.25">
      <c r="A1614" s="84" t="str">
        <f t="shared" si="76"/>
        <v>OutubroSEMANA 5Suíno - Lombo Salgado</v>
      </c>
      <c r="B1614" s="85" t="s">
        <v>37</v>
      </c>
      <c r="C1614" s="85" t="s">
        <v>24</v>
      </c>
      <c r="D1614" s="86">
        <v>31</v>
      </c>
      <c r="E1614" s="116" t="str">
        <f t="shared" si="77"/>
        <v>Carnes</v>
      </c>
      <c r="F1614" s="85" t="s">
        <v>1078</v>
      </c>
      <c r="G1614" s="85" t="s">
        <v>768</v>
      </c>
      <c r="H1614" s="85" t="s">
        <v>1039</v>
      </c>
      <c r="I1614" s="85">
        <v>20</v>
      </c>
      <c r="J1614" s="87">
        <v>10.97</v>
      </c>
      <c r="K1614" s="88">
        <f t="shared" si="78"/>
        <v>219.4</v>
      </c>
      <c r="L1614" s="85" t="s">
        <v>1314</v>
      </c>
    </row>
    <row r="1615" spans="1:12" x14ac:dyDescent="0.25">
      <c r="A1615" s="84" t="str">
        <f t="shared" si="76"/>
        <v>OutubroSEMANA 5Pescados - Camarão IQF Evisc. 51/60</v>
      </c>
      <c r="B1615" s="85" t="s">
        <v>37</v>
      </c>
      <c r="C1615" s="85" t="s">
        <v>24</v>
      </c>
      <c r="D1615" s="86">
        <v>31</v>
      </c>
      <c r="E1615" s="116" t="str">
        <f t="shared" si="77"/>
        <v>Carnes</v>
      </c>
      <c r="F1615" s="85" t="s">
        <v>1053</v>
      </c>
      <c r="G1615" s="85" t="s">
        <v>594</v>
      </c>
      <c r="H1615" s="85" t="s">
        <v>1039</v>
      </c>
      <c r="I1615" s="85">
        <v>6</v>
      </c>
      <c r="J1615" s="87">
        <v>66.5</v>
      </c>
      <c r="K1615" s="88">
        <f t="shared" si="78"/>
        <v>399</v>
      </c>
      <c r="L1615" s="85" t="s">
        <v>1315</v>
      </c>
    </row>
    <row r="1616" spans="1:12" x14ac:dyDescent="0.25">
      <c r="A1616" s="84" t="str">
        <f t="shared" si="76"/>
        <v>OutubroSEMANA 5Feijão Mulatinho</v>
      </c>
      <c r="B1616" s="85" t="s">
        <v>37</v>
      </c>
      <c r="C1616" s="85" t="s">
        <v>24</v>
      </c>
      <c r="D1616" s="86">
        <v>31</v>
      </c>
      <c r="E1616" s="116" t="str">
        <f t="shared" si="77"/>
        <v>Mercado</v>
      </c>
      <c r="F1616" s="85" t="s">
        <v>1089</v>
      </c>
      <c r="G1616" s="85" t="s">
        <v>351</v>
      </c>
      <c r="H1616" s="85" t="s">
        <v>1039</v>
      </c>
      <c r="I1616" s="85">
        <f>10*0.5</f>
        <v>5</v>
      </c>
      <c r="J1616" s="87">
        <f>55/5</f>
        <v>11</v>
      </c>
      <c r="K1616" s="88">
        <f t="shared" si="78"/>
        <v>55</v>
      </c>
      <c r="L1616" s="85" t="s">
        <v>1316</v>
      </c>
    </row>
    <row r="1617" spans="1:12" x14ac:dyDescent="0.25">
      <c r="A1617" s="84" t="str">
        <f t="shared" si="76"/>
        <v>OutubroSEMANA 5Óleo de Soja 18 Lt</v>
      </c>
      <c r="B1617" s="85" t="s">
        <v>37</v>
      </c>
      <c r="C1617" s="85" t="s">
        <v>24</v>
      </c>
      <c r="D1617" s="86">
        <v>31</v>
      </c>
      <c r="E1617" s="116" t="str">
        <f t="shared" si="77"/>
        <v>Mercado</v>
      </c>
      <c r="F1617" s="85" t="s">
        <v>1089</v>
      </c>
      <c r="G1617" s="85" t="s">
        <v>545</v>
      </c>
      <c r="H1617" s="85" t="s">
        <v>1082</v>
      </c>
      <c r="I1617" s="85">
        <v>1</v>
      </c>
      <c r="J1617" s="87">
        <v>68</v>
      </c>
      <c r="K1617" s="88">
        <f t="shared" si="78"/>
        <v>68</v>
      </c>
      <c r="L1617" s="85" t="s">
        <v>1316</v>
      </c>
    </row>
    <row r="1618" spans="1:12" x14ac:dyDescent="0.25">
      <c r="A1618" s="84" t="str">
        <f t="shared" si="76"/>
        <v>OutubroSEMANA 5Maisena Amido de Milho 1 Kg</v>
      </c>
      <c r="B1618" s="85" t="s">
        <v>37</v>
      </c>
      <c r="C1618" s="85" t="s">
        <v>24</v>
      </c>
      <c r="D1618" s="86">
        <v>31</v>
      </c>
      <c r="E1618" s="116" t="str">
        <f t="shared" si="77"/>
        <v>Mercado</v>
      </c>
      <c r="F1618" s="85" t="s">
        <v>1089</v>
      </c>
      <c r="G1618" s="85" t="s">
        <v>493</v>
      </c>
      <c r="H1618" s="85" t="s">
        <v>1039</v>
      </c>
      <c r="I1618" s="85">
        <v>7</v>
      </c>
      <c r="J1618" s="87">
        <v>11.42</v>
      </c>
      <c r="K1618" s="88">
        <f t="shared" si="78"/>
        <v>79.94</v>
      </c>
      <c r="L1618" s="85" t="s">
        <v>1316</v>
      </c>
    </row>
    <row r="1619" spans="1:12" x14ac:dyDescent="0.25">
      <c r="A1619" s="84" t="str">
        <f t="shared" si="76"/>
        <v>OutubroSEMANA 5Batata Doce</v>
      </c>
      <c r="B1619" s="85" t="s">
        <v>37</v>
      </c>
      <c r="C1619" s="85" t="s">
        <v>24</v>
      </c>
      <c r="D1619" s="86">
        <v>31</v>
      </c>
      <c r="E1619" s="116" t="str">
        <f t="shared" si="77"/>
        <v>Hortifruti</v>
      </c>
      <c r="F1619" s="85" t="s">
        <v>1054</v>
      </c>
      <c r="G1619" s="85" t="s">
        <v>170</v>
      </c>
      <c r="H1619" s="85" t="s">
        <v>1039</v>
      </c>
      <c r="I1619" s="85">
        <v>19.48</v>
      </c>
      <c r="J1619" s="87">
        <f>35/19.48</f>
        <v>1.7967145790554415</v>
      </c>
      <c r="K1619" s="88">
        <f t="shared" si="78"/>
        <v>35</v>
      </c>
      <c r="L1619" s="85">
        <v>2087</v>
      </c>
    </row>
    <row r="1620" spans="1:12" x14ac:dyDescent="0.25">
      <c r="A1620" s="84" t="str">
        <f t="shared" si="76"/>
        <v>OutubroSEMANA 5Cenoura</v>
      </c>
      <c r="B1620" s="85" t="s">
        <v>37</v>
      </c>
      <c r="C1620" s="85" t="s">
        <v>24</v>
      </c>
      <c r="D1620" s="86">
        <v>31</v>
      </c>
      <c r="E1620" s="116" t="str">
        <f t="shared" si="77"/>
        <v>Hortifruti</v>
      </c>
      <c r="F1620" s="85" t="s">
        <v>1054</v>
      </c>
      <c r="G1620" s="85" t="s">
        <v>249</v>
      </c>
      <c r="H1620" s="85" t="s">
        <v>1039</v>
      </c>
      <c r="I1620" s="85">
        <v>18.16</v>
      </c>
      <c r="J1620" s="87">
        <f>48/18.16</f>
        <v>2.643171806167401</v>
      </c>
      <c r="K1620" s="88">
        <f t="shared" si="78"/>
        <v>48</v>
      </c>
      <c r="L1620" s="85">
        <v>2087</v>
      </c>
    </row>
    <row r="1621" spans="1:12" x14ac:dyDescent="0.25">
      <c r="A1621" s="84" t="str">
        <f t="shared" si="76"/>
        <v>OutubroSEMANA 5Quiabo</v>
      </c>
      <c r="B1621" s="85" t="s">
        <v>37</v>
      </c>
      <c r="C1621" s="85" t="s">
        <v>24</v>
      </c>
      <c r="D1621" s="86">
        <v>31</v>
      </c>
      <c r="E1621" s="116" t="str">
        <f t="shared" si="77"/>
        <v>Hortifruti</v>
      </c>
      <c r="F1621" s="85" t="s">
        <v>1054</v>
      </c>
      <c r="G1621" s="85" t="s">
        <v>690</v>
      </c>
      <c r="H1621" s="85" t="s">
        <v>1039</v>
      </c>
      <c r="I1621" s="85">
        <v>10</v>
      </c>
      <c r="J1621" s="87">
        <v>6</v>
      </c>
      <c r="K1621" s="88">
        <f t="shared" si="78"/>
        <v>60</v>
      </c>
      <c r="L1621" s="85">
        <v>2087</v>
      </c>
    </row>
    <row r="1622" spans="1:12" x14ac:dyDescent="0.25">
      <c r="A1622" s="84" t="str">
        <f t="shared" si="76"/>
        <v xml:space="preserve">OutubroSEMANA 5Alho Poró </v>
      </c>
      <c r="B1622" s="85" t="s">
        <v>37</v>
      </c>
      <c r="C1622" s="85" t="s">
        <v>24</v>
      </c>
      <c r="D1622" s="86">
        <v>31</v>
      </c>
      <c r="E1622" s="116" t="str">
        <f t="shared" si="77"/>
        <v>Hortifruti</v>
      </c>
      <c r="F1622" s="85" t="s">
        <v>1054</v>
      </c>
      <c r="G1622" s="85" t="s">
        <v>113</v>
      </c>
      <c r="H1622" s="85" t="s">
        <v>1039</v>
      </c>
      <c r="I1622" s="85">
        <v>4</v>
      </c>
      <c r="J1622" s="87">
        <v>8</v>
      </c>
      <c r="K1622" s="88">
        <f t="shared" si="78"/>
        <v>32</v>
      </c>
      <c r="L1622" s="85">
        <v>2087</v>
      </c>
    </row>
    <row r="1623" spans="1:12" x14ac:dyDescent="0.25">
      <c r="A1623" s="84" t="str">
        <f t="shared" si="76"/>
        <v>OutubroSEMANA 5Brócolis Americano</v>
      </c>
      <c r="B1623" s="85" t="s">
        <v>37</v>
      </c>
      <c r="C1623" s="85" t="s">
        <v>24</v>
      </c>
      <c r="D1623" s="86">
        <v>31</v>
      </c>
      <c r="E1623" s="116" t="str">
        <f t="shared" si="77"/>
        <v>Hortifruti</v>
      </c>
      <c r="F1623" s="85" t="s">
        <v>1054</v>
      </c>
      <c r="G1623" s="85" t="s">
        <v>194</v>
      </c>
      <c r="H1623" s="85" t="s">
        <v>1039</v>
      </c>
      <c r="I1623" s="85">
        <v>7</v>
      </c>
      <c r="J1623" s="87">
        <v>7</v>
      </c>
      <c r="K1623" s="88">
        <f t="shared" si="78"/>
        <v>49</v>
      </c>
      <c r="L1623" s="85">
        <v>2087</v>
      </c>
    </row>
    <row r="1624" spans="1:12" x14ac:dyDescent="0.25">
      <c r="A1624" s="84" t="str">
        <f t="shared" si="76"/>
        <v>OutubroSEMANA 5Cebolinha Verde</v>
      </c>
      <c r="B1624" s="85" t="s">
        <v>37</v>
      </c>
      <c r="C1624" s="85" t="s">
        <v>24</v>
      </c>
      <c r="D1624" s="86">
        <v>31</v>
      </c>
      <c r="E1624" s="116" t="str">
        <f t="shared" si="77"/>
        <v>Hortifruti</v>
      </c>
      <c r="F1624" s="85" t="s">
        <v>1054</v>
      </c>
      <c r="G1624" s="85" t="s">
        <v>247</v>
      </c>
      <c r="H1624" s="85" t="s">
        <v>1039</v>
      </c>
      <c r="I1624" s="85">
        <f>1-0.288</f>
        <v>0.71199999999999997</v>
      </c>
      <c r="J1624" s="87">
        <v>7</v>
      </c>
      <c r="K1624" s="88">
        <f t="shared" si="78"/>
        <v>4.984</v>
      </c>
      <c r="L1624" s="85">
        <v>2087</v>
      </c>
    </row>
    <row r="1625" spans="1:12" x14ac:dyDescent="0.25">
      <c r="A1625" s="84" t="str">
        <f t="shared" si="76"/>
        <v>OutubroSEMANA 5Manjericão</v>
      </c>
      <c r="B1625" s="85" t="s">
        <v>37</v>
      </c>
      <c r="C1625" s="85" t="s">
        <v>24</v>
      </c>
      <c r="D1625" s="86">
        <v>31</v>
      </c>
      <c r="E1625" s="116" t="str">
        <f t="shared" si="77"/>
        <v>Hortifruti</v>
      </c>
      <c r="F1625" s="85" t="s">
        <v>1054</v>
      </c>
      <c r="G1625" s="85" t="s">
        <v>499</v>
      </c>
      <c r="H1625" s="85" t="s">
        <v>1039</v>
      </c>
      <c r="I1625" s="85">
        <v>0.3</v>
      </c>
      <c r="J1625" s="87">
        <v>11</v>
      </c>
      <c r="K1625" s="88">
        <f t="shared" si="78"/>
        <v>3.3</v>
      </c>
      <c r="L1625" s="85">
        <v>2087</v>
      </c>
    </row>
    <row r="1626" spans="1:12" x14ac:dyDescent="0.25">
      <c r="A1626" s="84" t="str">
        <f t="shared" si="76"/>
        <v>OutubroSEMANA 5Salsa</v>
      </c>
      <c r="B1626" s="85" t="s">
        <v>37</v>
      </c>
      <c r="C1626" s="85" t="s">
        <v>24</v>
      </c>
      <c r="D1626" s="86">
        <v>31</v>
      </c>
      <c r="E1626" s="116" t="str">
        <f t="shared" si="77"/>
        <v>Hortifruti</v>
      </c>
      <c r="F1626" s="85" t="s">
        <v>1054</v>
      </c>
      <c r="G1626" s="85" t="s">
        <v>729</v>
      </c>
      <c r="H1626" s="85" t="s">
        <v>1039</v>
      </c>
      <c r="I1626" s="85">
        <v>1</v>
      </c>
      <c r="J1626" s="87">
        <v>7</v>
      </c>
      <c r="K1626" s="88">
        <f t="shared" si="78"/>
        <v>7</v>
      </c>
      <c r="L1626" s="85">
        <v>2087</v>
      </c>
    </row>
    <row r="1627" spans="1:12" x14ac:dyDescent="0.25">
      <c r="A1627" s="84" t="str">
        <f t="shared" si="76"/>
        <v>OutubroSEMANA 5Tomilho</v>
      </c>
      <c r="B1627" s="85" t="s">
        <v>37</v>
      </c>
      <c r="C1627" s="85" t="s">
        <v>24</v>
      </c>
      <c r="D1627" s="86">
        <v>31</v>
      </c>
      <c r="E1627" s="116" t="str">
        <f t="shared" si="77"/>
        <v>Hortifruti</v>
      </c>
      <c r="F1627" s="85" t="s">
        <v>1054</v>
      </c>
      <c r="G1627" s="85" t="s">
        <v>798</v>
      </c>
      <c r="H1627" s="85" t="s">
        <v>1039</v>
      </c>
      <c r="I1627" s="85">
        <v>0.2</v>
      </c>
      <c r="J1627" s="87">
        <v>25</v>
      </c>
      <c r="K1627" s="88">
        <f t="shared" si="78"/>
        <v>5</v>
      </c>
      <c r="L1627" s="85">
        <v>2087</v>
      </c>
    </row>
    <row r="1628" spans="1:12" x14ac:dyDescent="0.25">
      <c r="A1628" s="84" t="str">
        <f t="shared" si="76"/>
        <v>OutubroSEMANA 5Capim Limão</v>
      </c>
      <c r="B1628" s="85" t="s">
        <v>37</v>
      </c>
      <c r="C1628" s="85" t="s">
        <v>24</v>
      </c>
      <c r="D1628" s="86">
        <v>31</v>
      </c>
      <c r="E1628" s="116" t="str">
        <f t="shared" si="77"/>
        <v>Hortifruti</v>
      </c>
      <c r="F1628" s="85" t="s">
        <v>1054</v>
      </c>
      <c r="G1628" s="85" t="s">
        <v>211</v>
      </c>
      <c r="H1628" s="85" t="s">
        <v>1039</v>
      </c>
      <c r="I1628" s="85">
        <v>0.1</v>
      </c>
      <c r="J1628" s="87">
        <v>15</v>
      </c>
      <c r="K1628" s="88">
        <f t="shared" si="78"/>
        <v>1.5</v>
      </c>
      <c r="L1628" s="85">
        <v>2087</v>
      </c>
    </row>
    <row r="1629" spans="1:12" x14ac:dyDescent="0.25">
      <c r="A1629" s="84" t="str">
        <f t="shared" si="76"/>
        <v>OutubroSEMANA 5Tofu Kilo</v>
      </c>
      <c r="B1629" s="85" t="s">
        <v>37</v>
      </c>
      <c r="C1629" s="85" t="s">
        <v>24</v>
      </c>
      <c r="D1629" s="86">
        <v>31</v>
      </c>
      <c r="E1629" s="116" t="str">
        <f t="shared" si="77"/>
        <v>Hortifruti</v>
      </c>
      <c r="F1629" s="85" t="s">
        <v>1054</v>
      </c>
      <c r="G1629" s="85" t="s">
        <v>789</v>
      </c>
      <c r="H1629" s="85" t="s">
        <v>1039</v>
      </c>
      <c r="I1629" s="85">
        <v>2</v>
      </c>
      <c r="J1629" s="87">
        <v>14</v>
      </c>
      <c r="K1629" s="88">
        <f t="shared" si="78"/>
        <v>28</v>
      </c>
      <c r="L1629" s="85">
        <v>2087</v>
      </c>
    </row>
    <row r="1630" spans="1:12" x14ac:dyDescent="0.25">
      <c r="A1630" s="84" t="str">
        <f t="shared" si="76"/>
        <v xml:space="preserve">OutubroSEMANA 5Abacaxi </v>
      </c>
      <c r="B1630" s="85" t="s">
        <v>37</v>
      </c>
      <c r="C1630" s="85" t="s">
        <v>24</v>
      </c>
      <c r="D1630" s="86">
        <v>31</v>
      </c>
      <c r="E1630" s="116" t="str">
        <f t="shared" si="77"/>
        <v>Hortifruti</v>
      </c>
      <c r="F1630" s="85" t="s">
        <v>1054</v>
      </c>
      <c r="G1630" s="85" t="s">
        <v>65</v>
      </c>
      <c r="H1630" s="85" t="s">
        <v>1039</v>
      </c>
      <c r="I1630" s="85">
        <v>10</v>
      </c>
      <c r="J1630" s="87">
        <v>2.4</v>
      </c>
      <c r="K1630" s="88">
        <f t="shared" si="78"/>
        <v>24</v>
      </c>
      <c r="L1630" s="85">
        <v>2087</v>
      </c>
    </row>
    <row r="1631" spans="1:12" x14ac:dyDescent="0.25">
      <c r="A1631" s="84" t="str">
        <f t="shared" si="76"/>
        <v>OutubroSEMANA 5Kiwi</v>
      </c>
      <c r="B1631" s="85" t="s">
        <v>37</v>
      </c>
      <c r="C1631" s="85" t="s">
        <v>24</v>
      </c>
      <c r="D1631" s="86">
        <v>31</v>
      </c>
      <c r="E1631" s="116" t="str">
        <f t="shared" si="77"/>
        <v>Hortifruti</v>
      </c>
      <c r="F1631" s="85" t="s">
        <v>1054</v>
      </c>
      <c r="G1631" s="85" t="s">
        <v>454</v>
      </c>
      <c r="H1631" s="85" t="s">
        <v>1039</v>
      </c>
      <c r="I1631" s="85">
        <v>1</v>
      </c>
      <c r="J1631" s="87">
        <v>12</v>
      </c>
      <c r="K1631" s="88">
        <f t="shared" si="78"/>
        <v>12</v>
      </c>
      <c r="L1631" s="85">
        <v>2087</v>
      </c>
    </row>
    <row r="1632" spans="1:12" x14ac:dyDescent="0.25">
      <c r="A1632" s="84" t="str">
        <f t="shared" si="76"/>
        <v>OutubroSEMANA 5Acelga</v>
      </c>
      <c r="B1632" s="85" t="s">
        <v>37</v>
      </c>
      <c r="C1632" s="85" t="s">
        <v>24</v>
      </c>
      <c r="D1632" s="86">
        <v>31</v>
      </c>
      <c r="E1632" s="116" t="str">
        <f t="shared" si="77"/>
        <v>Hortifruti</v>
      </c>
      <c r="F1632" s="90" t="s">
        <v>1055</v>
      </c>
      <c r="G1632" s="85" t="s">
        <v>75</v>
      </c>
      <c r="H1632" s="85" t="s">
        <v>1039</v>
      </c>
      <c r="I1632" s="90">
        <v>2</v>
      </c>
      <c r="J1632" s="89">
        <v>2.2000000000000002</v>
      </c>
      <c r="K1632" s="88">
        <f t="shared" si="78"/>
        <v>4.4000000000000004</v>
      </c>
      <c r="L1632" s="90">
        <v>6212</v>
      </c>
    </row>
    <row r="1633" spans="1:12" x14ac:dyDescent="0.25">
      <c r="A1633" s="84" t="str">
        <f t="shared" si="76"/>
        <v>OutubroSEMANA 5Alfafa</v>
      </c>
      <c r="B1633" s="85" t="s">
        <v>37</v>
      </c>
      <c r="C1633" s="85" t="s">
        <v>24</v>
      </c>
      <c r="D1633" s="86">
        <v>31</v>
      </c>
      <c r="E1633" s="116" t="str">
        <f t="shared" si="77"/>
        <v>Hortifruti</v>
      </c>
      <c r="F1633" s="90" t="s">
        <v>1055</v>
      </c>
      <c r="G1633" s="85" t="s">
        <v>110</v>
      </c>
      <c r="H1633" s="85" t="s">
        <v>1039</v>
      </c>
      <c r="I1633" s="85">
        <v>0.3</v>
      </c>
      <c r="J1633" s="87">
        <f>13/0.3</f>
        <v>43.333333333333336</v>
      </c>
      <c r="K1633" s="88">
        <f t="shared" si="78"/>
        <v>13</v>
      </c>
      <c r="L1633" s="90">
        <v>6212</v>
      </c>
    </row>
    <row r="1634" spans="1:12" x14ac:dyDescent="0.25">
      <c r="A1634" s="84" t="str">
        <f t="shared" si="76"/>
        <v>OutubroSEMANA 5Batata HBT</v>
      </c>
      <c r="B1634" s="85" t="s">
        <v>37</v>
      </c>
      <c r="C1634" s="85" t="s">
        <v>24</v>
      </c>
      <c r="D1634" s="86">
        <v>31</v>
      </c>
      <c r="E1634" s="116" t="str">
        <f t="shared" si="77"/>
        <v>Hortifruti</v>
      </c>
      <c r="F1634" s="90" t="s">
        <v>1055</v>
      </c>
      <c r="G1634" s="85" t="s">
        <v>171</v>
      </c>
      <c r="H1634" s="85" t="s">
        <v>1039</v>
      </c>
      <c r="I1634" s="85">
        <v>25</v>
      </c>
      <c r="J1634" s="87">
        <v>1.69</v>
      </c>
      <c r="K1634" s="88">
        <f t="shared" si="78"/>
        <v>42.25</v>
      </c>
      <c r="L1634" s="90">
        <v>6212</v>
      </c>
    </row>
    <row r="1635" spans="1:12" x14ac:dyDescent="0.25">
      <c r="A1635" s="84" t="str">
        <f t="shared" si="76"/>
        <v>OutubroSEMANA 5Côco Verde</v>
      </c>
      <c r="B1635" s="85" t="s">
        <v>37</v>
      </c>
      <c r="C1635" s="85" t="s">
        <v>24</v>
      </c>
      <c r="D1635" s="86">
        <v>31</v>
      </c>
      <c r="E1635" s="116" t="str">
        <f t="shared" si="77"/>
        <v>Hortifruti</v>
      </c>
      <c r="F1635" s="90" t="s">
        <v>1055</v>
      </c>
      <c r="G1635" s="85" t="s">
        <v>288</v>
      </c>
      <c r="H1635" s="85" t="s">
        <v>1038</v>
      </c>
      <c r="I1635" s="90">
        <v>15</v>
      </c>
      <c r="J1635" s="89">
        <v>1.98</v>
      </c>
      <c r="K1635" s="88">
        <f t="shared" si="78"/>
        <v>29.7</v>
      </c>
      <c r="L1635" s="90">
        <v>6212</v>
      </c>
    </row>
    <row r="1636" spans="1:12" x14ac:dyDescent="0.25">
      <c r="A1636" s="84" t="str">
        <f t="shared" si="76"/>
        <v>OutubroSEMANA 5Hortelã</v>
      </c>
      <c r="B1636" s="85" t="s">
        <v>37</v>
      </c>
      <c r="C1636" s="85" t="s">
        <v>24</v>
      </c>
      <c r="D1636" s="86">
        <v>31</v>
      </c>
      <c r="E1636" s="116" t="str">
        <f t="shared" si="77"/>
        <v>Hortifruti</v>
      </c>
      <c r="F1636" s="90" t="s">
        <v>1055</v>
      </c>
      <c r="G1636" s="85" t="s">
        <v>405</v>
      </c>
      <c r="H1636" s="85" t="s">
        <v>1039</v>
      </c>
      <c r="I1636" s="85">
        <v>0.5</v>
      </c>
      <c r="J1636" s="87">
        <v>4.5</v>
      </c>
      <c r="K1636" s="88">
        <f t="shared" si="78"/>
        <v>2.25</v>
      </c>
      <c r="L1636" s="90">
        <v>6212</v>
      </c>
    </row>
    <row r="1637" spans="1:12" x14ac:dyDescent="0.25">
      <c r="A1637" s="84" t="str">
        <f t="shared" si="76"/>
        <v>OutubroSEMANA 5Inhame</v>
      </c>
      <c r="B1637" s="85" t="s">
        <v>37</v>
      </c>
      <c r="C1637" s="85" t="s">
        <v>24</v>
      </c>
      <c r="D1637" s="86">
        <v>31</v>
      </c>
      <c r="E1637" s="116" t="str">
        <f t="shared" si="77"/>
        <v>Hortifruti</v>
      </c>
      <c r="F1637" s="90" t="s">
        <v>1055</v>
      </c>
      <c r="G1637" s="85" t="s">
        <v>448</v>
      </c>
      <c r="H1637" s="85" t="s">
        <v>1039</v>
      </c>
      <c r="I1637" s="85">
        <v>2</v>
      </c>
      <c r="J1637" s="87">
        <v>2.4</v>
      </c>
      <c r="K1637" s="88">
        <f t="shared" si="78"/>
        <v>4.8</v>
      </c>
      <c r="L1637" s="90">
        <v>6212</v>
      </c>
    </row>
    <row r="1638" spans="1:12" x14ac:dyDescent="0.25">
      <c r="A1638" s="84" t="str">
        <f t="shared" si="76"/>
        <v>OutubroSEMANA 5Melância</v>
      </c>
      <c r="B1638" s="85" t="s">
        <v>37</v>
      </c>
      <c r="C1638" s="85" t="s">
        <v>24</v>
      </c>
      <c r="D1638" s="86">
        <v>31</v>
      </c>
      <c r="E1638" s="116" t="str">
        <f t="shared" si="77"/>
        <v>Hortifruti</v>
      </c>
      <c r="F1638" s="90" t="s">
        <v>1055</v>
      </c>
      <c r="G1638" s="85" t="s">
        <v>517</v>
      </c>
      <c r="H1638" s="85" t="s">
        <v>1039</v>
      </c>
      <c r="I1638" s="85">
        <v>11</v>
      </c>
      <c r="J1638" s="87">
        <v>1.32</v>
      </c>
      <c r="K1638" s="88">
        <f t="shared" si="78"/>
        <v>14.520000000000001</v>
      </c>
      <c r="L1638" s="90">
        <v>6212</v>
      </c>
    </row>
    <row r="1639" spans="1:12" x14ac:dyDescent="0.25">
      <c r="A1639" s="84" t="str">
        <f t="shared" si="76"/>
        <v>OutubroSEMANA 5Ovos Extra</v>
      </c>
      <c r="B1639" s="85" t="s">
        <v>37</v>
      </c>
      <c r="C1639" s="85" t="s">
        <v>24</v>
      </c>
      <c r="D1639" s="86">
        <v>31</v>
      </c>
      <c r="E1639" s="116" t="str">
        <f t="shared" si="77"/>
        <v>Hortifruti</v>
      </c>
      <c r="F1639" s="90" t="s">
        <v>1055</v>
      </c>
      <c r="G1639" s="85" t="s">
        <v>550</v>
      </c>
      <c r="H1639" s="85" t="s">
        <v>1038</v>
      </c>
      <c r="I1639" s="85">
        <v>360</v>
      </c>
      <c r="J1639" s="87">
        <f>94/360</f>
        <v>0.26111111111111113</v>
      </c>
      <c r="K1639" s="88">
        <f t="shared" si="78"/>
        <v>94</v>
      </c>
      <c r="L1639" s="90">
        <v>6212</v>
      </c>
    </row>
    <row r="1640" spans="1:12" x14ac:dyDescent="0.25">
      <c r="A1640" s="84" t="str">
        <f t="shared" si="76"/>
        <v>OutubroSEMANA 5Repolho</v>
      </c>
      <c r="B1640" s="85" t="s">
        <v>37</v>
      </c>
      <c r="C1640" s="85" t="s">
        <v>24</v>
      </c>
      <c r="D1640" s="86">
        <v>31</v>
      </c>
      <c r="E1640" s="116" t="str">
        <f t="shared" si="77"/>
        <v>Hortifruti</v>
      </c>
      <c r="F1640" s="90" t="s">
        <v>1055</v>
      </c>
      <c r="G1640" s="85" t="s">
        <v>701</v>
      </c>
      <c r="H1640" s="85" t="s">
        <v>1039</v>
      </c>
      <c r="I1640" s="85">
        <v>5</v>
      </c>
      <c r="J1640" s="87">
        <v>1.2</v>
      </c>
      <c r="K1640" s="88">
        <f t="shared" si="78"/>
        <v>6</v>
      </c>
      <c r="L1640" s="90">
        <v>6212</v>
      </c>
    </row>
    <row r="1641" spans="1:12" x14ac:dyDescent="0.25">
      <c r="A1641" s="84" t="str">
        <f t="shared" si="76"/>
        <v>OutubroSEMANA 5Salsa Crespa Sushi</v>
      </c>
      <c r="B1641" s="85" t="s">
        <v>37</v>
      </c>
      <c r="C1641" s="85" t="s">
        <v>24</v>
      </c>
      <c r="D1641" s="86">
        <v>31</v>
      </c>
      <c r="E1641" s="116" t="str">
        <f t="shared" si="77"/>
        <v>Sushi</v>
      </c>
      <c r="F1641" s="90" t="s">
        <v>1055</v>
      </c>
      <c r="G1641" s="85" t="s">
        <v>731</v>
      </c>
      <c r="H1641" s="85" t="s">
        <v>1039</v>
      </c>
      <c r="I1641" s="85">
        <v>0.1</v>
      </c>
      <c r="J1641" s="87">
        <v>12.5</v>
      </c>
      <c r="K1641" s="88">
        <f t="shared" si="78"/>
        <v>1.25</v>
      </c>
      <c r="L1641" s="90">
        <v>6212</v>
      </c>
    </row>
    <row r="1642" spans="1:12" x14ac:dyDescent="0.25">
      <c r="A1642" s="84" t="str">
        <f t="shared" si="76"/>
        <v>OutubroSEMANA 5Vagem Macarrão</v>
      </c>
      <c r="B1642" s="85" t="s">
        <v>37</v>
      </c>
      <c r="C1642" s="85" t="s">
        <v>24</v>
      </c>
      <c r="D1642" s="86">
        <v>31</v>
      </c>
      <c r="E1642" s="116" t="str">
        <f t="shared" si="77"/>
        <v>Hortifruti</v>
      </c>
      <c r="F1642" s="90" t="s">
        <v>1055</v>
      </c>
      <c r="G1642" s="85" t="s">
        <v>832</v>
      </c>
      <c r="H1642" s="85" t="s">
        <v>1039</v>
      </c>
      <c r="I1642" s="85">
        <v>5</v>
      </c>
      <c r="J1642" s="87">
        <v>3.9</v>
      </c>
      <c r="K1642" s="88">
        <f t="shared" si="78"/>
        <v>19.5</v>
      </c>
      <c r="L1642" s="90">
        <v>6212</v>
      </c>
    </row>
    <row r="1643" spans="1:12" x14ac:dyDescent="0.25">
      <c r="A1643" s="84" t="str">
        <f t="shared" si="76"/>
        <v>OutubroSEMANA 5Pepino Japonês Sushi</v>
      </c>
      <c r="B1643" s="85" t="s">
        <v>37</v>
      </c>
      <c r="C1643" s="85" t="s">
        <v>24</v>
      </c>
      <c r="D1643" s="86">
        <v>27</v>
      </c>
      <c r="E1643" s="116" t="str">
        <f t="shared" si="77"/>
        <v>Sushi</v>
      </c>
      <c r="F1643" s="85" t="s">
        <v>1055</v>
      </c>
      <c r="G1643" s="85" t="s">
        <v>579</v>
      </c>
      <c r="H1643" s="85" t="s">
        <v>1039</v>
      </c>
      <c r="I1643" s="85">
        <v>0.26</v>
      </c>
      <c r="J1643" s="87">
        <f>48.5/17.58</f>
        <v>2.7588168373151309</v>
      </c>
      <c r="K1643" s="88">
        <f t="shared" si="78"/>
        <v>0.7172923777019341</v>
      </c>
      <c r="L1643" s="85">
        <v>5825</v>
      </c>
    </row>
    <row r="1644" spans="1:12" x14ac:dyDescent="0.25">
      <c r="A1644" s="84" t="str">
        <f t="shared" si="76"/>
        <v>OutubroSEMANA 5Cebolinha Verde Sushi</v>
      </c>
      <c r="B1644" s="85" t="s">
        <v>37</v>
      </c>
      <c r="C1644" s="85" t="s">
        <v>24</v>
      </c>
      <c r="D1644" s="86">
        <v>31</v>
      </c>
      <c r="E1644" s="116" t="str">
        <f t="shared" si="77"/>
        <v>Sushi</v>
      </c>
      <c r="F1644" s="85" t="s">
        <v>1054</v>
      </c>
      <c r="G1644" s="85" t="s">
        <v>248</v>
      </c>
      <c r="H1644" s="85" t="s">
        <v>1039</v>
      </c>
      <c r="I1644" s="85">
        <v>0.28799999999999998</v>
      </c>
      <c r="J1644" s="87">
        <v>7</v>
      </c>
      <c r="K1644" s="88">
        <f t="shared" si="78"/>
        <v>2.016</v>
      </c>
      <c r="L1644" s="85">
        <v>2087</v>
      </c>
    </row>
    <row r="1645" spans="1:12" x14ac:dyDescent="0.25">
      <c r="A1645" s="84" t="str">
        <f t="shared" si="76"/>
        <v>OutubroSEMANA 4Perfumador de Ambiente</v>
      </c>
      <c r="B1645" s="85" t="s">
        <v>37</v>
      </c>
      <c r="C1645" s="85" t="s">
        <v>23</v>
      </c>
      <c r="D1645" s="86">
        <v>27</v>
      </c>
      <c r="E1645" s="116" t="str">
        <f t="shared" si="77"/>
        <v>Limpeza</v>
      </c>
      <c r="F1645" s="85" t="s">
        <v>1318</v>
      </c>
      <c r="G1645" s="85" t="s">
        <v>583</v>
      </c>
      <c r="H1645" s="85" t="s">
        <v>1038</v>
      </c>
      <c r="I1645" s="85">
        <v>2</v>
      </c>
      <c r="J1645" s="87">
        <v>60</v>
      </c>
      <c r="K1645" s="88">
        <f t="shared" si="78"/>
        <v>120</v>
      </c>
      <c r="L1645" s="85" t="s">
        <v>1317</v>
      </c>
    </row>
    <row r="1646" spans="1:12" x14ac:dyDescent="0.25">
      <c r="A1646" s="84" t="str">
        <f t="shared" si="76"/>
        <v>OutubroSEMANA 4Perfumador de Ambiente</v>
      </c>
      <c r="B1646" s="85" t="s">
        <v>37</v>
      </c>
      <c r="C1646" s="85" t="s">
        <v>23</v>
      </c>
      <c r="D1646" s="86">
        <v>27</v>
      </c>
      <c r="E1646" s="116" t="str">
        <f t="shared" si="77"/>
        <v>Limpeza</v>
      </c>
      <c r="F1646" s="85" t="s">
        <v>1318</v>
      </c>
      <c r="G1646" s="85" t="s">
        <v>583</v>
      </c>
      <c r="H1646" s="85" t="s">
        <v>1038</v>
      </c>
      <c r="I1646" s="85">
        <v>2</v>
      </c>
      <c r="J1646" s="87">
        <v>91.3</v>
      </c>
      <c r="K1646" s="88">
        <f t="shared" si="78"/>
        <v>182.6</v>
      </c>
      <c r="L1646" s="85">
        <v>1493</v>
      </c>
    </row>
    <row r="1647" spans="1:12" x14ac:dyDescent="0.25">
      <c r="A1647" s="84" t="str">
        <f t="shared" si="76"/>
        <v>OutubroSEMANA 5Pão Árabe</v>
      </c>
      <c r="B1647" s="85" t="s">
        <v>37</v>
      </c>
      <c r="C1647" s="85" t="s">
        <v>24</v>
      </c>
      <c r="D1647" s="86">
        <v>31</v>
      </c>
      <c r="E1647" s="116" t="str">
        <f t="shared" si="77"/>
        <v>Mercado</v>
      </c>
      <c r="F1647" s="85" t="s">
        <v>1036</v>
      </c>
      <c r="G1647" s="85" t="s">
        <v>561</v>
      </c>
      <c r="H1647" s="85" t="s">
        <v>1037</v>
      </c>
      <c r="I1647" s="85">
        <v>3</v>
      </c>
      <c r="J1647" s="87">
        <v>6.7</v>
      </c>
      <c r="K1647" s="88">
        <f t="shared" si="78"/>
        <v>20.100000000000001</v>
      </c>
      <c r="L1647" s="85"/>
    </row>
    <row r="1648" spans="1:12" x14ac:dyDescent="0.25">
      <c r="A1648" s="84" t="str">
        <f t="shared" si="76"/>
        <v>OutubroSEMANA 5Ovo de Codorna</v>
      </c>
      <c r="B1648" s="85" t="s">
        <v>37</v>
      </c>
      <c r="C1648" s="85" t="s">
        <v>24</v>
      </c>
      <c r="D1648" s="86">
        <v>31</v>
      </c>
      <c r="E1648" s="116" t="str">
        <f t="shared" si="77"/>
        <v>Hortifruti</v>
      </c>
      <c r="F1648" s="85" t="s">
        <v>1068</v>
      </c>
      <c r="G1648" s="85" t="s">
        <v>549</v>
      </c>
      <c r="H1648" s="85" t="s">
        <v>1037</v>
      </c>
      <c r="I1648" s="85">
        <v>16</v>
      </c>
      <c r="J1648" s="87">
        <v>10.4</v>
      </c>
      <c r="K1648" s="88">
        <f t="shared" si="78"/>
        <v>166.4</v>
      </c>
      <c r="L1648" s="85"/>
    </row>
    <row r="1649" spans="1:12" x14ac:dyDescent="0.25">
      <c r="A1649" s="84" t="str">
        <f t="shared" si="76"/>
        <v>OutubroSEMANA 1Farinha Panco (sushi)</v>
      </c>
      <c r="B1649" s="85" t="s">
        <v>37</v>
      </c>
      <c r="C1649" s="85" t="s">
        <v>20</v>
      </c>
      <c r="D1649" s="86">
        <v>3</v>
      </c>
      <c r="E1649" s="116" t="str">
        <f t="shared" si="77"/>
        <v>Sushi</v>
      </c>
      <c r="F1649" s="85" t="s">
        <v>1319</v>
      </c>
      <c r="G1649" s="85" t="s">
        <v>1294</v>
      </c>
      <c r="H1649" s="85" t="s">
        <v>1039</v>
      </c>
      <c r="I1649" s="85">
        <v>4</v>
      </c>
      <c r="J1649" s="87">
        <v>17.7</v>
      </c>
      <c r="K1649" s="88">
        <f t="shared" si="78"/>
        <v>70.8</v>
      </c>
      <c r="L1649" s="85" t="s">
        <v>1076</v>
      </c>
    </row>
    <row r="1650" spans="1:12" x14ac:dyDescent="0.25">
      <c r="A1650" s="84" t="str">
        <f t="shared" si="76"/>
        <v>OutubroSEMANA 1Farinha de Trigo (sushi)</v>
      </c>
      <c r="B1650" s="85" t="s">
        <v>37</v>
      </c>
      <c r="C1650" s="85" t="s">
        <v>20</v>
      </c>
      <c r="D1650" s="86">
        <v>4</v>
      </c>
      <c r="E1650" s="116" t="str">
        <f t="shared" si="77"/>
        <v>Sushi</v>
      </c>
      <c r="F1650" s="85" t="s">
        <v>1089</v>
      </c>
      <c r="G1650" s="85" t="s">
        <v>1298</v>
      </c>
      <c r="H1650" s="85" t="s">
        <v>1039</v>
      </c>
      <c r="I1650" s="85">
        <v>1</v>
      </c>
      <c r="J1650" s="87">
        <v>1.6220000000000001</v>
      </c>
      <c r="K1650" s="88">
        <f t="shared" si="78"/>
        <v>1.6220000000000001</v>
      </c>
      <c r="L1650" s="85">
        <v>953632</v>
      </c>
    </row>
    <row r="1651" spans="1:12" x14ac:dyDescent="0.25">
      <c r="A1651" s="84" t="str">
        <f t="shared" si="76"/>
        <v>OutubroSEMANA 1Massa de Harumaki (sushi)</v>
      </c>
      <c r="B1651" s="85" t="s">
        <v>37</v>
      </c>
      <c r="C1651" s="85" t="s">
        <v>20</v>
      </c>
      <c r="D1651" s="86">
        <v>3</v>
      </c>
      <c r="E1651" s="116" t="str">
        <f t="shared" si="77"/>
        <v>Sushi</v>
      </c>
      <c r="F1651" s="85" t="s">
        <v>1319</v>
      </c>
      <c r="G1651" s="85" t="s">
        <v>1295</v>
      </c>
      <c r="H1651" s="85" t="s">
        <v>1075</v>
      </c>
      <c r="I1651" s="85">
        <v>24</v>
      </c>
      <c r="J1651" s="87">
        <f>82.92/144</f>
        <v>0.57583333333333331</v>
      </c>
      <c r="K1651" s="88">
        <f t="shared" si="78"/>
        <v>13.82</v>
      </c>
      <c r="L1651" s="85" t="s">
        <v>1076</v>
      </c>
    </row>
    <row r="1652" spans="1:12" x14ac:dyDescent="0.25">
      <c r="A1652" s="84" t="str">
        <f t="shared" si="76"/>
        <v>OutubroSEMANA 2Marca Texto Pilot</v>
      </c>
      <c r="B1652" s="85" t="s">
        <v>37</v>
      </c>
      <c r="C1652" s="85" t="s">
        <v>21</v>
      </c>
      <c r="D1652" s="86">
        <v>9</v>
      </c>
      <c r="E1652" s="116" t="str">
        <f t="shared" si="77"/>
        <v>Escritório</v>
      </c>
      <c r="F1652" s="85" t="s">
        <v>1141</v>
      </c>
      <c r="G1652" s="85" t="s">
        <v>1299</v>
      </c>
      <c r="H1652" s="85" t="s">
        <v>1038</v>
      </c>
      <c r="I1652" s="85">
        <v>10</v>
      </c>
      <c r="J1652" s="87">
        <v>1.93</v>
      </c>
      <c r="K1652" s="88">
        <f t="shared" si="78"/>
        <v>19.3</v>
      </c>
      <c r="L1652" s="85">
        <v>960708</v>
      </c>
    </row>
    <row r="1653" spans="1:12" x14ac:dyDescent="0.25">
      <c r="A1653" s="84" t="str">
        <f t="shared" si="76"/>
        <v>OutubroSEMANA 1Pasta L</v>
      </c>
      <c r="B1653" s="85" t="s">
        <v>37</v>
      </c>
      <c r="C1653" s="85" t="s">
        <v>20</v>
      </c>
      <c r="D1653" s="86">
        <v>9</v>
      </c>
      <c r="E1653" s="116" t="str">
        <f t="shared" si="77"/>
        <v>Escritório</v>
      </c>
      <c r="F1653" s="85" t="s">
        <v>1141</v>
      </c>
      <c r="G1653" s="85" t="s">
        <v>1300</v>
      </c>
      <c r="H1653" s="85" t="s">
        <v>1038</v>
      </c>
      <c r="I1653" s="85">
        <v>10</v>
      </c>
      <c r="J1653" s="87">
        <v>0.75</v>
      </c>
      <c r="K1653" s="88">
        <f t="shared" si="78"/>
        <v>7.5</v>
      </c>
      <c r="L1653" s="85">
        <v>960708</v>
      </c>
    </row>
    <row r="1654" spans="1:12" x14ac:dyDescent="0.25">
      <c r="A1654" s="84" t="str">
        <f t="shared" si="76"/>
        <v>OutubroSEMANA 1Folha de Alga 50F (cozinha)</v>
      </c>
      <c r="B1654" s="85" t="s">
        <v>37</v>
      </c>
      <c r="C1654" s="85" t="s">
        <v>20</v>
      </c>
      <c r="D1654" s="86">
        <v>6</v>
      </c>
      <c r="E1654" s="116" t="str">
        <f t="shared" si="77"/>
        <v>Mercado</v>
      </c>
      <c r="F1654" s="85" t="s">
        <v>1121</v>
      </c>
      <c r="G1654" s="85" t="s">
        <v>1302</v>
      </c>
      <c r="H1654" s="85" t="s">
        <v>1037</v>
      </c>
      <c r="I1654" s="85">
        <v>2</v>
      </c>
      <c r="J1654" s="87">
        <v>33</v>
      </c>
      <c r="K1654" s="88">
        <f t="shared" si="78"/>
        <v>66</v>
      </c>
      <c r="L1654" s="85">
        <v>3607</v>
      </c>
    </row>
    <row r="1655" spans="1:12" x14ac:dyDescent="0.25">
      <c r="A1655" s="84" t="str">
        <f t="shared" si="76"/>
        <v>OutubroSEMANA 3Farinha Panco (sushi)</v>
      </c>
      <c r="B1655" s="85" t="s">
        <v>37</v>
      </c>
      <c r="C1655" s="85" t="s">
        <v>22</v>
      </c>
      <c r="D1655" s="86">
        <v>18</v>
      </c>
      <c r="E1655" s="116" t="str">
        <f t="shared" si="77"/>
        <v>Sushi</v>
      </c>
      <c r="F1655" s="85" t="s">
        <v>1208</v>
      </c>
      <c r="G1655" s="85" t="s">
        <v>1294</v>
      </c>
      <c r="H1655" s="85" t="s">
        <v>1039</v>
      </c>
      <c r="I1655" s="85">
        <v>2</v>
      </c>
      <c r="J1655" s="87">
        <v>17.7</v>
      </c>
      <c r="K1655" s="88">
        <f t="shared" si="78"/>
        <v>35.4</v>
      </c>
      <c r="L1655" s="85" t="s">
        <v>1209</v>
      </c>
    </row>
    <row r="1656" spans="1:12" x14ac:dyDescent="0.25">
      <c r="A1656" s="84" t="str">
        <f t="shared" si="76"/>
        <v>OutubroSEMANA 3Massa de Harumaki (sushi)</v>
      </c>
      <c r="B1656" s="85" t="s">
        <v>37</v>
      </c>
      <c r="C1656" s="85" t="s">
        <v>22</v>
      </c>
      <c r="D1656" s="86">
        <v>18</v>
      </c>
      <c r="E1656" s="116" t="str">
        <f t="shared" si="77"/>
        <v>Sushi</v>
      </c>
      <c r="F1656" s="85" t="s">
        <v>1208</v>
      </c>
      <c r="G1656" s="85" t="s">
        <v>1295</v>
      </c>
      <c r="H1656" s="85" t="s">
        <v>1075</v>
      </c>
      <c r="I1656" s="85">
        <v>24</v>
      </c>
      <c r="J1656" s="87">
        <f>82.92/144</f>
        <v>0.57583333333333331</v>
      </c>
      <c r="K1656" s="88">
        <f t="shared" si="78"/>
        <v>13.82</v>
      </c>
      <c r="L1656" s="85" t="s">
        <v>1209</v>
      </c>
    </row>
    <row r="1657" spans="1:12" x14ac:dyDescent="0.25">
      <c r="A1657" s="84" t="str">
        <f t="shared" si="76"/>
        <v>OutubroSEMANA 4Banete Pec Pão (cozinha)</v>
      </c>
      <c r="B1657" s="85" t="s">
        <v>37</v>
      </c>
      <c r="C1657" s="85" t="s">
        <v>23</v>
      </c>
      <c r="D1657" s="86">
        <v>25</v>
      </c>
      <c r="E1657" s="116" t="str">
        <f t="shared" si="77"/>
        <v>Mercado</v>
      </c>
      <c r="F1657" s="85" t="s">
        <v>1056</v>
      </c>
      <c r="G1657" s="85" t="s">
        <v>1301</v>
      </c>
      <c r="H1657" s="85" t="s">
        <v>1039</v>
      </c>
      <c r="I1657" s="85">
        <v>0.40799999999999997</v>
      </c>
      <c r="J1657" s="87">
        <f>8.11/0.408</f>
        <v>19.877450980392158</v>
      </c>
      <c r="K1657" s="88">
        <f t="shared" si="78"/>
        <v>8.11</v>
      </c>
      <c r="L1657" s="85"/>
    </row>
    <row r="1658" spans="1:12" x14ac:dyDescent="0.25">
      <c r="A1658" s="84" t="str">
        <f t="shared" si="76"/>
        <v>OutubroSEMANA 5Selecione</v>
      </c>
      <c r="B1658" s="85" t="s">
        <v>37</v>
      </c>
      <c r="C1658" s="85" t="s">
        <v>24</v>
      </c>
      <c r="D1658" s="86"/>
      <c r="E1658" s="116" t="str">
        <f t="shared" si="77"/>
        <v>-</v>
      </c>
      <c r="F1658" s="85"/>
      <c r="G1658" s="85" t="s">
        <v>19</v>
      </c>
      <c r="H1658" s="85"/>
      <c r="I1658" s="85"/>
      <c r="J1658" s="87"/>
      <c r="K1658" s="88">
        <f t="shared" si="78"/>
        <v>0</v>
      </c>
      <c r="L1658" s="85"/>
    </row>
    <row r="1659" spans="1:12" x14ac:dyDescent="0.25">
      <c r="A1659" s="84" t="str">
        <f t="shared" si="76"/>
        <v>OutubroSEMANA 5Selecione</v>
      </c>
      <c r="B1659" s="85" t="s">
        <v>37</v>
      </c>
      <c r="C1659" s="85" t="s">
        <v>24</v>
      </c>
      <c r="D1659" s="86"/>
      <c r="E1659" s="116" t="str">
        <f t="shared" si="77"/>
        <v>-</v>
      </c>
      <c r="F1659" s="85"/>
      <c r="G1659" s="85" t="s">
        <v>19</v>
      </c>
      <c r="H1659" s="85"/>
      <c r="I1659" s="85"/>
      <c r="J1659" s="87"/>
      <c r="K1659" s="88">
        <f t="shared" si="78"/>
        <v>0</v>
      </c>
      <c r="L1659" s="85"/>
    </row>
    <row r="1660" spans="1:12" x14ac:dyDescent="0.25">
      <c r="A1660" s="84" t="str">
        <f t="shared" si="76"/>
        <v>OutubroSEMANA 5Selecione</v>
      </c>
      <c r="B1660" s="85" t="s">
        <v>37</v>
      </c>
      <c r="C1660" s="85" t="s">
        <v>24</v>
      </c>
      <c r="D1660" s="86"/>
      <c r="E1660" s="116" t="str">
        <f t="shared" si="77"/>
        <v>-</v>
      </c>
      <c r="F1660" s="85"/>
      <c r="G1660" s="85" t="s">
        <v>19</v>
      </c>
      <c r="H1660" s="85"/>
      <c r="I1660" s="85"/>
      <c r="J1660" s="87"/>
      <c r="K1660" s="88">
        <f t="shared" si="78"/>
        <v>0</v>
      </c>
      <c r="L1660" s="85"/>
    </row>
    <row r="1661" spans="1:12" x14ac:dyDescent="0.25">
      <c r="A1661" s="84" t="str">
        <f t="shared" si="76"/>
        <v>OutubroSEMANA 5Selecione</v>
      </c>
      <c r="B1661" s="85" t="s">
        <v>37</v>
      </c>
      <c r="C1661" s="85" t="s">
        <v>24</v>
      </c>
      <c r="D1661" s="86"/>
      <c r="E1661" s="116" t="str">
        <f t="shared" si="77"/>
        <v>-</v>
      </c>
      <c r="F1661" s="85"/>
      <c r="G1661" s="85" t="s">
        <v>19</v>
      </c>
      <c r="H1661" s="85"/>
      <c r="I1661" s="85"/>
      <c r="J1661" s="87"/>
      <c r="K1661" s="88">
        <f t="shared" si="78"/>
        <v>0</v>
      </c>
      <c r="L1661" s="85"/>
    </row>
    <row r="1662" spans="1:12" x14ac:dyDescent="0.25">
      <c r="A1662" s="84" t="str">
        <f t="shared" si="76"/>
        <v>OutubroSEMANA 5Selecione</v>
      </c>
      <c r="B1662" s="85" t="s">
        <v>37</v>
      </c>
      <c r="C1662" s="85" t="s">
        <v>24</v>
      </c>
      <c r="D1662" s="86"/>
      <c r="E1662" s="116" t="str">
        <f t="shared" si="77"/>
        <v>-</v>
      </c>
      <c r="F1662" s="85"/>
      <c r="G1662" s="85" t="s">
        <v>19</v>
      </c>
      <c r="H1662" s="85"/>
      <c r="I1662" s="85"/>
      <c r="J1662" s="87"/>
      <c r="K1662" s="88">
        <f t="shared" si="78"/>
        <v>0</v>
      </c>
      <c r="L1662" s="85"/>
    </row>
    <row r="1663" spans="1:12" x14ac:dyDescent="0.25">
      <c r="A1663" s="84" t="str">
        <f t="shared" si="76"/>
        <v>OutubroSEMANA 5Selecione</v>
      </c>
      <c r="B1663" s="85" t="s">
        <v>37</v>
      </c>
      <c r="C1663" s="85" t="s">
        <v>24</v>
      </c>
      <c r="D1663" s="86"/>
      <c r="E1663" s="116" t="str">
        <f t="shared" si="77"/>
        <v>-</v>
      </c>
      <c r="F1663" s="85"/>
      <c r="G1663" s="85" t="s">
        <v>19</v>
      </c>
      <c r="H1663" s="85"/>
      <c r="I1663" s="85"/>
      <c r="J1663" s="87"/>
      <c r="K1663" s="88">
        <f t="shared" si="78"/>
        <v>0</v>
      </c>
      <c r="L1663" s="85"/>
    </row>
    <row r="1664" spans="1:12" x14ac:dyDescent="0.25">
      <c r="A1664" s="84" t="str">
        <f t="shared" si="76"/>
        <v>OutubroSEMANA 5Selecione</v>
      </c>
      <c r="B1664" s="85" t="s">
        <v>37</v>
      </c>
      <c r="C1664" s="85" t="s">
        <v>24</v>
      </c>
      <c r="D1664" s="86"/>
      <c r="E1664" s="116" t="str">
        <f t="shared" si="77"/>
        <v>-</v>
      </c>
      <c r="F1664" s="85"/>
      <c r="G1664" s="85" t="s">
        <v>19</v>
      </c>
      <c r="H1664" s="85"/>
      <c r="I1664" s="85"/>
      <c r="J1664" s="87"/>
      <c r="K1664" s="88">
        <f t="shared" si="78"/>
        <v>0</v>
      </c>
      <c r="L1664" s="85"/>
    </row>
    <row r="1665" spans="1:12" x14ac:dyDescent="0.25">
      <c r="A1665" s="84" t="str">
        <f t="shared" si="76"/>
        <v>OutubroSEMANA 5Selecione</v>
      </c>
      <c r="B1665" s="85" t="s">
        <v>37</v>
      </c>
      <c r="C1665" s="85" t="s">
        <v>24</v>
      </c>
      <c r="D1665" s="86"/>
      <c r="E1665" s="116" t="str">
        <f t="shared" si="77"/>
        <v>-</v>
      </c>
      <c r="F1665" s="85"/>
      <c r="G1665" s="85" t="s">
        <v>19</v>
      </c>
      <c r="H1665" s="85"/>
      <c r="I1665" s="85"/>
      <c r="J1665" s="87"/>
      <c r="K1665" s="88">
        <f t="shared" si="78"/>
        <v>0</v>
      </c>
      <c r="L1665" s="85"/>
    </row>
    <row r="1666" spans="1:12" x14ac:dyDescent="0.25">
      <c r="A1666" s="84" t="str">
        <f t="shared" ref="A1666:A1729" si="79">CONCATENATE(B1666,C1666,G1666)</f>
        <v>SelecioneSelecioneSelecione</v>
      </c>
      <c r="B1666" s="85" t="s">
        <v>19</v>
      </c>
      <c r="C1666" s="85" t="s">
        <v>19</v>
      </c>
      <c r="D1666" s="86"/>
      <c r="E1666" s="116" t="str">
        <f t="shared" ref="E1666:E1729" si="80">VLOOKUP(G1666,$M$1:$O$968,3,0)</f>
        <v>-</v>
      </c>
      <c r="F1666" s="85"/>
      <c r="G1666" s="85" t="s">
        <v>19</v>
      </c>
      <c r="H1666" s="85"/>
      <c r="I1666" s="85"/>
      <c r="J1666" s="87"/>
      <c r="K1666" s="88">
        <f t="shared" ref="K1666:K1729" si="81">I1666*J1666</f>
        <v>0</v>
      </c>
      <c r="L1666" s="85"/>
    </row>
    <row r="1667" spans="1:12" x14ac:dyDescent="0.25">
      <c r="A1667" s="84" t="str">
        <f t="shared" si="79"/>
        <v>SelecioneSelecioneSelecione</v>
      </c>
      <c r="B1667" s="85" t="s">
        <v>19</v>
      </c>
      <c r="C1667" s="85" t="s">
        <v>19</v>
      </c>
      <c r="D1667" s="86"/>
      <c r="E1667" s="116" t="str">
        <f t="shared" si="80"/>
        <v>-</v>
      </c>
      <c r="F1667" s="85"/>
      <c r="G1667" s="85" t="s">
        <v>19</v>
      </c>
      <c r="H1667" s="85"/>
      <c r="I1667" s="85"/>
      <c r="J1667" s="87"/>
      <c r="K1667" s="88">
        <f t="shared" si="81"/>
        <v>0</v>
      </c>
      <c r="L1667" s="85"/>
    </row>
    <row r="1668" spans="1:12" x14ac:dyDescent="0.25">
      <c r="A1668" s="84" t="str">
        <f t="shared" si="79"/>
        <v>SelecioneSelecioneSelecione</v>
      </c>
      <c r="B1668" s="85" t="s">
        <v>19</v>
      </c>
      <c r="C1668" s="85" t="s">
        <v>19</v>
      </c>
      <c r="D1668" s="86"/>
      <c r="E1668" s="116" t="str">
        <f t="shared" si="80"/>
        <v>-</v>
      </c>
      <c r="F1668" s="85"/>
      <c r="G1668" s="85" t="s">
        <v>19</v>
      </c>
      <c r="H1668" s="85"/>
      <c r="I1668" s="85"/>
      <c r="J1668" s="87"/>
      <c r="K1668" s="88">
        <f t="shared" si="81"/>
        <v>0</v>
      </c>
      <c r="L1668" s="85"/>
    </row>
    <row r="1669" spans="1:12" x14ac:dyDescent="0.25">
      <c r="A1669" s="84" t="str">
        <f t="shared" si="79"/>
        <v>SelecioneSelecioneSelecione</v>
      </c>
      <c r="B1669" s="85" t="s">
        <v>19</v>
      </c>
      <c r="C1669" s="85" t="s">
        <v>19</v>
      </c>
      <c r="D1669" s="86"/>
      <c r="E1669" s="116" t="str">
        <f t="shared" si="80"/>
        <v>-</v>
      </c>
      <c r="F1669" s="85"/>
      <c r="G1669" s="85" t="s">
        <v>19</v>
      </c>
      <c r="H1669" s="85"/>
      <c r="I1669" s="85"/>
      <c r="J1669" s="87"/>
      <c r="K1669" s="88">
        <f t="shared" si="81"/>
        <v>0</v>
      </c>
      <c r="L1669" s="85"/>
    </row>
    <row r="1670" spans="1:12" x14ac:dyDescent="0.25">
      <c r="A1670" s="84" t="str">
        <f t="shared" si="79"/>
        <v>SelecioneSelecioneSelecione</v>
      </c>
      <c r="B1670" s="85" t="s">
        <v>19</v>
      </c>
      <c r="C1670" s="85" t="s">
        <v>19</v>
      </c>
      <c r="D1670" s="86"/>
      <c r="E1670" s="116" t="str">
        <f t="shared" si="80"/>
        <v>-</v>
      </c>
      <c r="F1670" s="85"/>
      <c r="G1670" s="85" t="s">
        <v>19</v>
      </c>
      <c r="H1670" s="85"/>
      <c r="I1670" s="85"/>
      <c r="J1670" s="87"/>
      <c r="K1670" s="88">
        <f t="shared" si="81"/>
        <v>0</v>
      </c>
      <c r="L1670" s="85"/>
    </row>
    <row r="1671" spans="1:12" x14ac:dyDescent="0.25">
      <c r="A1671" s="84" t="str">
        <f t="shared" si="79"/>
        <v>SelecioneSelecioneSelecione</v>
      </c>
      <c r="B1671" s="85" t="s">
        <v>19</v>
      </c>
      <c r="C1671" s="85" t="s">
        <v>19</v>
      </c>
      <c r="D1671" s="86"/>
      <c r="E1671" s="116" t="str">
        <f t="shared" si="80"/>
        <v>-</v>
      </c>
      <c r="F1671" s="85"/>
      <c r="G1671" s="85" t="s">
        <v>19</v>
      </c>
      <c r="H1671" s="85"/>
      <c r="I1671" s="85"/>
      <c r="J1671" s="87"/>
      <c r="K1671" s="88">
        <f t="shared" si="81"/>
        <v>0</v>
      </c>
      <c r="L1671" s="85"/>
    </row>
    <row r="1672" spans="1:12" x14ac:dyDescent="0.25">
      <c r="A1672" s="84" t="str">
        <f t="shared" si="79"/>
        <v>SelecioneSelecioneSelecione</v>
      </c>
      <c r="B1672" s="85" t="s">
        <v>19</v>
      </c>
      <c r="C1672" s="85" t="s">
        <v>19</v>
      </c>
      <c r="D1672" s="86"/>
      <c r="E1672" s="116" t="str">
        <f t="shared" si="80"/>
        <v>-</v>
      </c>
      <c r="F1672" s="85"/>
      <c r="G1672" s="85" t="s">
        <v>19</v>
      </c>
      <c r="H1672" s="85"/>
      <c r="I1672" s="85"/>
      <c r="J1672" s="87"/>
      <c r="K1672" s="88">
        <f t="shared" si="81"/>
        <v>0</v>
      </c>
      <c r="L1672" s="85"/>
    </row>
    <row r="1673" spans="1:12" x14ac:dyDescent="0.25">
      <c r="A1673" s="84" t="str">
        <f t="shared" si="79"/>
        <v>SelecioneSelecioneSelecione</v>
      </c>
      <c r="B1673" s="85" t="s">
        <v>19</v>
      </c>
      <c r="C1673" s="85" t="s">
        <v>19</v>
      </c>
      <c r="D1673" s="86"/>
      <c r="E1673" s="116" t="str">
        <f t="shared" si="80"/>
        <v>-</v>
      </c>
      <c r="F1673" s="85"/>
      <c r="G1673" s="85" t="s">
        <v>19</v>
      </c>
      <c r="H1673" s="85"/>
      <c r="I1673" s="85"/>
      <c r="J1673" s="87"/>
      <c r="K1673" s="88">
        <f t="shared" si="81"/>
        <v>0</v>
      </c>
      <c r="L1673" s="85"/>
    </row>
    <row r="1674" spans="1:12" x14ac:dyDescent="0.25">
      <c r="A1674" s="84" t="str">
        <f t="shared" si="79"/>
        <v>SelecioneSelecioneSelecione</v>
      </c>
      <c r="B1674" s="85" t="s">
        <v>19</v>
      </c>
      <c r="C1674" s="85" t="s">
        <v>19</v>
      </c>
      <c r="D1674" s="86"/>
      <c r="E1674" s="116" t="str">
        <f t="shared" si="80"/>
        <v>-</v>
      </c>
      <c r="F1674" s="85"/>
      <c r="G1674" s="85" t="s">
        <v>19</v>
      </c>
      <c r="H1674" s="85"/>
      <c r="I1674" s="85"/>
      <c r="J1674" s="87"/>
      <c r="K1674" s="88">
        <f t="shared" si="81"/>
        <v>0</v>
      </c>
      <c r="L1674" s="85"/>
    </row>
    <row r="1675" spans="1:12" x14ac:dyDescent="0.25">
      <c r="A1675" s="84" t="str">
        <f t="shared" si="79"/>
        <v>SelecioneSelecioneSelecione</v>
      </c>
      <c r="B1675" s="85" t="s">
        <v>19</v>
      </c>
      <c r="C1675" s="85" t="s">
        <v>19</v>
      </c>
      <c r="D1675" s="86"/>
      <c r="E1675" s="116" t="str">
        <f t="shared" si="80"/>
        <v>-</v>
      </c>
      <c r="F1675" s="85"/>
      <c r="G1675" s="85" t="s">
        <v>19</v>
      </c>
      <c r="H1675" s="85"/>
      <c r="I1675" s="85"/>
      <c r="J1675" s="87"/>
      <c r="K1675" s="88">
        <f t="shared" si="81"/>
        <v>0</v>
      </c>
      <c r="L1675" s="85"/>
    </row>
    <row r="1676" spans="1:12" x14ac:dyDescent="0.25">
      <c r="A1676" s="84" t="str">
        <f t="shared" si="79"/>
        <v>SelecioneSelecioneSelecione</v>
      </c>
      <c r="B1676" s="85" t="s">
        <v>19</v>
      </c>
      <c r="C1676" s="85" t="s">
        <v>19</v>
      </c>
      <c r="D1676" s="86"/>
      <c r="E1676" s="116" t="str">
        <f t="shared" si="80"/>
        <v>-</v>
      </c>
      <c r="F1676" s="85"/>
      <c r="G1676" s="85" t="s">
        <v>19</v>
      </c>
      <c r="H1676" s="85"/>
      <c r="I1676" s="85"/>
      <c r="J1676" s="87"/>
      <c r="K1676" s="88">
        <f t="shared" si="81"/>
        <v>0</v>
      </c>
      <c r="L1676" s="85"/>
    </row>
    <row r="1677" spans="1:12" x14ac:dyDescent="0.25">
      <c r="A1677" s="84" t="str">
        <f t="shared" si="79"/>
        <v>SelecioneSelecioneSelecione</v>
      </c>
      <c r="B1677" s="85" t="s">
        <v>19</v>
      </c>
      <c r="C1677" s="85" t="s">
        <v>19</v>
      </c>
      <c r="D1677" s="86"/>
      <c r="E1677" s="116" t="str">
        <f t="shared" si="80"/>
        <v>-</v>
      </c>
      <c r="F1677" s="85"/>
      <c r="G1677" s="85" t="s">
        <v>19</v>
      </c>
      <c r="H1677" s="85"/>
      <c r="I1677" s="85"/>
      <c r="J1677" s="87"/>
      <c r="K1677" s="88">
        <f t="shared" si="81"/>
        <v>0</v>
      </c>
      <c r="L1677" s="85"/>
    </row>
    <row r="1678" spans="1:12" x14ac:dyDescent="0.25">
      <c r="A1678" s="84" t="str">
        <f t="shared" si="79"/>
        <v>SelecioneSelecioneSelecione</v>
      </c>
      <c r="B1678" s="85" t="s">
        <v>19</v>
      </c>
      <c r="C1678" s="85" t="s">
        <v>19</v>
      </c>
      <c r="D1678" s="86"/>
      <c r="E1678" s="116" t="str">
        <f t="shared" si="80"/>
        <v>-</v>
      </c>
      <c r="F1678" s="85"/>
      <c r="G1678" s="85" t="s">
        <v>19</v>
      </c>
      <c r="H1678" s="85"/>
      <c r="I1678" s="85"/>
      <c r="J1678" s="87"/>
      <c r="K1678" s="88">
        <f t="shared" si="81"/>
        <v>0</v>
      </c>
      <c r="L1678" s="85"/>
    </row>
    <row r="1679" spans="1:12" x14ac:dyDescent="0.25">
      <c r="A1679" s="84" t="str">
        <f t="shared" si="79"/>
        <v>SelecioneSelecioneSelecione</v>
      </c>
      <c r="B1679" s="85" t="s">
        <v>19</v>
      </c>
      <c r="C1679" s="85" t="s">
        <v>19</v>
      </c>
      <c r="D1679" s="86"/>
      <c r="E1679" s="116" t="str">
        <f t="shared" si="80"/>
        <v>-</v>
      </c>
      <c r="F1679" s="85"/>
      <c r="G1679" s="85" t="s">
        <v>19</v>
      </c>
      <c r="H1679" s="85"/>
      <c r="I1679" s="85"/>
      <c r="J1679" s="87"/>
      <c r="K1679" s="88">
        <f t="shared" si="81"/>
        <v>0</v>
      </c>
      <c r="L1679" s="85"/>
    </row>
    <row r="1680" spans="1:12" x14ac:dyDescent="0.25">
      <c r="A1680" s="84" t="str">
        <f t="shared" si="79"/>
        <v>SelecioneSelecioneSelecione</v>
      </c>
      <c r="B1680" s="85" t="s">
        <v>19</v>
      </c>
      <c r="C1680" s="85" t="s">
        <v>19</v>
      </c>
      <c r="D1680" s="86"/>
      <c r="E1680" s="116" t="str">
        <f t="shared" si="80"/>
        <v>-</v>
      </c>
      <c r="F1680" s="85"/>
      <c r="G1680" s="85" t="s">
        <v>19</v>
      </c>
      <c r="H1680" s="85"/>
      <c r="I1680" s="85"/>
      <c r="J1680" s="87"/>
      <c r="K1680" s="88">
        <f t="shared" si="81"/>
        <v>0</v>
      </c>
      <c r="L1680" s="85"/>
    </row>
    <row r="1681" spans="1:12" x14ac:dyDescent="0.25">
      <c r="A1681" s="84" t="str">
        <f t="shared" si="79"/>
        <v>SelecioneSelecioneSelecione</v>
      </c>
      <c r="B1681" s="85" t="s">
        <v>19</v>
      </c>
      <c r="C1681" s="85" t="s">
        <v>19</v>
      </c>
      <c r="D1681" s="86"/>
      <c r="E1681" s="116" t="str">
        <f t="shared" si="80"/>
        <v>-</v>
      </c>
      <c r="F1681" s="85"/>
      <c r="G1681" s="85" t="s">
        <v>19</v>
      </c>
      <c r="H1681" s="85"/>
      <c r="I1681" s="85"/>
      <c r="J1681" s="87"/>
      <c r="K1681" s="88">
        <f t="shared" si="81"/>
        <v>0</v>
      </c>
      <c r="L1681" s="85"/>
    </row>
    <row r="1682" spans="1:12" x14ac:dyDescent="0.25">
      <c r="A1682" s="84" t="str">
        <f t="shared" si="79"/>
        <v>SelecioneSelecioneSelecione</v>
      </c>
      <c r="B1682" s="85" t="s">
        <v>19</v>
      </c>
      <c r="C1682" s="85" t="s">
        <v>19</v>
      </c>
      <c r="D1682" s="86"/>
      <c r="E1682" s="116" t="str">
        <f t="shared" si="80"/>
        <v>-</v>
      </c>
      <c r="F1682" s="85"/>
      <c r="G1682" s="85" t="s">
        <v>19</v>
      </c>
      <c r="H1682" s="85"/>
      <c r="I1682" s="85"/>
      <c r="J1682" s="87"/>
      <c r="K1682" s="88">
        <f t="shared" si="81"/>
        <v>0</v>
      </c>
      <c r="L1682" s="85"/>
    </row>
    <row r="1683" spans="1:12" x14ac:dyDescent="0.25">
      <c r="A1683" s="84" t="str">
        <f t="shared" si="79"/>
        <v>SelecioneSelecioneSelecione</v>
      </c>
      <c r="B1683" s="85" t="s">
        <v>19</v>
      </c>
      <c r="C1683" s="85" t="s">
        <v>19</v>
      </c>
      <c r="D1683" s="86"/>
      <c r="E1683" s="116" t="str">
        <f t="shared" si="80"/>
        <v>-</v>
      </c>
      <c r="F1683" s="85"/>
      <c r="G1683" s="85" t="s">
        <v>19</v>
      </c>
      <c r="H1683" s="85"/>
      <c r="I1683" s="85"/>
      <c r="J1683" s="87"/>
      <c r="K1683" s="88">
        <f t="shared" si="81"/>
        <v>0</v>
      </c>
      <c r="L1683" s="85"/>
    </row>
    <row r="1684" spans="1:12" x14ac:dyDescent="0.25">
      <c r="A1684" s="84" t="str">
        <f t="shared" si="79"/>
        <v>SelecioneSelecioneSelecione</v>
      </c>
      <c r="B1684" s="85" t="s">
        <v>19</v>
      </c>
      <c r="C1684" s="85" t="s">
        <v>19</v>
      </c>
      <c r="D1684" s="86"/>
      <c r="E1684" s="116" t="str">
        <f t="shared" si="80"/>
        <v>-</v>
      </c>
      <c r="F1684" s="85"/>
      <c r="G1684" s="85" t="s">
        <v>19</v>
      </c>
      <c r="H1684" s="85"/>
      <c r="I1684" s="85"/>
      <c r="J1684" s="87"/>
      <c r="K1684" s="88">
        <f t="shared" si="81"/>
        <v>0</v>
      </c>
      <c r="L1684" s="85"/>
    </row>
    <row r="1685" spans="1:12" x14ac:dyDescent="0.25">
      <c r="A1685" s="84" t="str">
        <f t="shared" si="79"/>
        <v>SelecioneSelecioneSelecione</v>
      </c>
      <c r="B1685" s="85" t="s">
        <v>19</v>
      </c>
      <c r="C1685" s="85" t="s">
        <v>19</v>
      </c>
      <c r="D1685" s="86"/>
      <c r="E1685" s="116" t="str">
        <f t="shared" si="80"/>
        <v>-</v>
      </c>
      <c r="F1685" s="85"/>
      <c r="G1685" s="85" t="s">
        <v>19</v>
      </c>
      <c r="H1685" s="85"/>
      <c r="I1685" s="85"/>
      <c r="J1685" s="87"/>
      <c r="K1685" s="88">
        <f t="shared" si="81"/>
        <v>0</v>
      </c>
      <c r="L1685" s="85"/>
    </row>
    <row r="1686" spans="1:12" x14ac:dyDescent="0.25">
      <c r="A1686" s="84" t="str">
        <f t="shared" si="79"/>
        <v>SelecioneSelecioneSelecione</v>
      </c>
      <c r="B1686" s="85" t="s">
        <v>19</v>
      </c>
      <c r="C1686" s="85" t="s">
        <v>19</v>
      </c>
      <c r="D1686" s="86"/>
      <c r="E1686" s="116" t="str">
        <f t="shared" si="80"/>
        <v>-</v>
      </c>
      <c r="F1686" s="85"/>
      <c r="G1686" s="85" t="s">
        <v>19</v>
      </c>
      <c r="H1686" s="85"/>
      <c r="I1686" s="85"/>
      <c r="J1686" s="87"/>
      <c r="K1686" s="88">
        <f t="shared" si="81"/>
        <v>0</v>
      </c>
      <c r="L1686" s="85"/>
    </row>
    <row r="1687" spans="1:12" x14ac:dyDescent="0.25">
      <c r="A1687" s="84" t="str">
        <f t="shared" si="79"/>
        <v>SelecioneSelecioneSelecione</v>
      </c>
      <c r="B1687" s="85" t="s">
        <v>19</v>
      </c>
      <c r="C1687" s="85" t="s">
        <v>19</v>
      </c>
      <c r="D1687" s="86"/>
      <c r="E1687" s="116" t="str">
        <f t="shared" si="80"/>
        <v>-</v>
      </c>
      <c r="F1687" s="85"/>
      <c r="G1687" s="85" t="s">
        <v>19</v>
      </c>
      <c r="H1687" s="85"/>
      <c r="I1687" s="85"/>
      <c r="J1687" s="87"/>
      <c r="K1687" s="88">
        <f t="shared" si="81"/>
        <v>0</v>
      </c>
      <c r="L1687" s="85"/>
    </row>
    <row r="1688" spans="1:12" x14ac:dyDescent="0.25">
      <c r="A1688" s="84" t="str">
        <f t="shared" si="79"/>
        <v>SelecioneSelecioneSelecione</v>
      </c>
      <c r="B1688" s="85" t="s">
        <v>19</v>
      </c>
      <c r="C1688" s="85" t="s">
        <v>19</v>
      </c>
      <c r="D1688" s="86"/>
      <c r="E1688" s="116" t="str">
        <f t="shared" si="80"/>
        <v>-</v>
      </c>
      <c r="F1688" s="85"/>
      <c r="G1688" s="85" t="s">
        <v>19</v>
      </c>
      <c r="H1688" s="85"/>
      <c r="I1688" s="85"/>
      <c r="J1688" s="87"/>
      <c r="K1688" s="88">
        <f t="shared" si="81"/>
        <v>0</v>
      </c>
      <c r="L1688" s="85"/>
    </row>
    <row r="1689" spans="1:12" x14ac:dyDescent="0.25">
      <c r="A1689" s="84" t="str">
        <f t="shared" si="79"/>
        <v>SelecioneSelecioneSelecione</v>
      </c>
      <c r="B1689" s="85" t="s">
        <v>19</v>
      </c>
      <c r="C1689" s="85" t="s">
        <v>19</v>
      </c>
      <c r="D1689" s="86"/>
      <c r="E1689" s="116" t="str">
        <f t="shared" si="80"/>
        <v>-</v>
      </c>
      <c r="F1689" s="85"/>
      <c r="G1689" s="85" t="s">
        <v>19</v>
      </c>
      <c r="H1689" s="85"/>
      <c r="I1689" s="85"/>
      <c r="J1689" s="87"/>
      <c r="K1689" s="88">
        <f t="shared" si="81"/>
        <v>0</v>
      </c>
      <c r="L1689" s="85"/>
    </row>
    <row r="1690" spans="1:12" x14ac:dyDescent="0.25">
      <c r="A1690" s="84" t="str">
        <f t="shared" si="79"/>
        <v>SelecioneSelecioneSelecione</v>
      </c>
      <c r="B1690" s="85" t="s">
        <v>19</v>
      </c>
      <c r="C1690" s="85" t="s">
        <v>19</v>
      </c>
      <c r="D1690" s="86"/>
      <c r="E1690" s="116" t="str">
        <f t="shared" si="80"/>
        <v>-</v>
      </c>
      <c r="F1690" s="85"/>
      <c r="G1690" s="85" t="s">
        <v>19</v>
      </c>
      <c r="H1690" s="85"/>
      <c r="I1690" s="85"/>
      <c r="J1690" s="87"/>
      <c r="K1690" s="88">
        <f t="shared" si="81"/>
        <v>0</v>
      </c>
      <c r="L1690" s="85"/>
    </row>
    <row r="1691" spans="1:12" x14ac:dyDescent="0.25">
      <c r="A1691" s="84" t="str">
        <f t="shared" si="79"/>
        <v>SelecioneSelecioneSelecione</v>
      </c>
      <c r="B1691" s="85" t="s">
        <v>19</v>
      </c>
      <c r="C1691" s="85" t="s">
        <v>19</v>
      </c>
      <c r="D1691" s="86"/>
      <c r="E1691" s="116" t="str">
        <f t="shared" si="80"/>
        <v>-</v>
      </c>
      <c r="F1691" s="85"/>
      <c r="G1691" s="85" t="s">
        <v>19</v>
      </c>
      <c r="H1691" s="85"/>
      <c r="I1691" s="85"/>
      <c r="J1691" s="87"/>
      <c r="K1691" s="88">
        <f t="shared" si="81"/>
        <v>0</v>
      </c>
      <c r="L1691" s="85"/>
    </row>
    <row r="1692" spans="1:12" x14ac:dyDescent="0.25">
      <c r="A1692" s="84" t="str">
        <f t="shared" si="79"/>
        <v>SelecioneSelecioneSelecione</v>
      </c>
      <c r="B1692" s="85" t="s">
        <v>19</v>
      </c>
      <c r="C1692" s="85" t="s">
        <v>19</v>
      </c>
      <c r="D1692" s="86"/>
      <c r="E1692" s="116" t="str">
        <f t="shared" si="80"/>
        <v>-</v>
      </c>
      <c r="F1692" s="85"/>
      <c r="G1692" s="85" t="s">
        <v>19</v>
      </c>
      <c r="H1692" s="85"/>
      <c r="I1692" s="85"/>
      <c r="J1692" s="87"/>
      <c r="K1692" s="88">
        <f t="shared" si="81"/>
        <v>0</v>
      </c>
      <c r="L1692" s="85"/>
    </row>
    <row r="1693" spans="1:12" x14ac:dyDescent="0.25">
      <c r="A1693" s="84" t="str">
        <f t="shared" si="79"/>
        <v>SelecioneSelecioneSelecione</v>
      </c>
      <c r="B1693" s="85" t="s">
        <v>19</v>
      </c>
      <c r="C1693" s="85" t="s">
        <v>19</v>
      </c>
      <c r="D1693" s="93"/>
      <c r="E1693" s="116" t="str">
        <f t="shared" si="80"/>
        <v>-</v>
      </c>
      <c r="F1693" s="90"/>
      <c r="G1693" s="85" t="s">
        <v>19</v>
      </c>
      <c r="H1693" s="85"/>
      <c r="I1693" s="90"/>
      <c r="J1693" s="89"/>
      <c r="K1693" s="88">
        <f t="shared" si="81"/>
        <v>0</v>
      </c>
      <c r="L1693" s="90"/>
    </row>
    <row r="1694" spans="1:12" x14ac:dyDescent="0.25">
      <c r="A1694" s="84" t="str">
        <f t="shared" si="79"/>
        <v>SelecioneSelecioneSelecione</v>
      </c>
      <c r="B1694" s="85" t="s">
        <v>19</v>
      </c>
      <c r="C1694" s="85" t="s">
        <v>19</v>
      </c>
      <c r="D1694" s="86"/>
      <c r="E1694" s="116" t="str">
        <f t="shared" si="80"/>
        <v>-</v>
      </c>
      <c r="F1694" s="85"/>
      <c r="G1694" s="85" t="s">
        <v>19</v>
      </c>
      <c r="H1694" s="85"/>
      <c r="I1694" s="85"/>
      <c r="J1694" s="87"/>
      <c r="K1694" s="88">
        <f t="shared" si="81"/>
        <v>0</v>
      </c>
      <c r="L1694" s="85"/>
    </row>
    <row r="1695" spans="1:12" x14ac:dyDescent="0.25">
      <c r="A1695" s="84" t="str">
        <f t="shared" si="79"/>
        <v>SelecioneSelecioneSelecione</v>
      </c>
      <c r="B1695" s="85" t="s">
        <v>19</v>
      </c>
      <c r="C1695" s="85" t="s">
        <v>19</v>
      </c>
      <c r="D1695" s="86"/>
      <c r="E1695" s="116" t="str">
        <f t="shared" si="80"/>
        <v>-</v>
      </c>
      <c r="F1695" s="85"/>
      <c r="G1695" s="85" t="s">
        <v>19</v>
      </c>
      <c r="H1695" s="85"/>
      <c r="I1695" s="85"/>
      <c r="J1695" s="87"/>
      <c r="K1695" s="88">
        <f t="shared" si="81"/>
        <v>0</v>
      </c>
      <c r="L1695" s="85"/>
    </row>
    <row r="1696" spans="1:12" x14ac:dyDescent="0.25">
      <c r="A1696" s="84" t="str">
        <f t="shared" si="79"/>
        <v>SelecioneSelecioneSelecione</v>
      </c>
      <c r="B1696" s="85" t="s">
        <v>19</v>
      </c>
      <c r="C1696" s="85" t="s">
        <v>19</v>
      </c>
      <c r="D1696" s="86"/>
      <c r="E1696" s="116" t="str">
        <f t="shared" si="80"/>
        <v>-</v>
      </c>
      <c r="F1696" s="85"/>
      <c r="G1696" s="85" t="s">
        <v>19</v>
      </c>
      <c r="H1696" s="85"/>
      <c r="I1696" s="85"/>
      <c r="J1696" s="87"/>
      <c r="K1696" s="88">
        <f t="shared" si="81"/>
        <v>0</v>
      </c>
      <c r="L1696" s="85"/>
    </row>
    <row r="1697" spans="1:12" x14ac:dyDescent="0.25">
      <c r="A1697" s="84" t="str">
        <f t="shared" si="79"/>
        <v>SelecioneSelecioneSelecione</v>
      </c>
      <c r="B1697" s="85" t="s">
        <v>19</v>
      </c>
      <c r="C1697" s="85" t="s">
        <v>19</v>
      </c>
      <c r="D1697" s="86"/>
      <c r="E1697" s="116" t="str">
        <f t="shared" si="80"/>
        <v>-</v>
      </c>
      <c r="F1697" s="85"/>
      <c r="G1697" s="85" t="s">
        <v>19</v>
      </c>
      <c r="H1697" s="85"/>
      <c r="I1697" s="85"/>
      <c r="J1697" s="87"/>
      <c r="K1697" s="88">
        <f t="shared" si="81"/>
        <v>0</v>
      </c>
      <c r="L1697" s="85"/>
    </row>
    <row r="1698" spans="1:12" x14ac:dyDescent="0.25">
      <c r="A1698" s="84" t="str">
        <f t="shared" si="79"/>
        <v>SelecioneSelecioneSelecione</v>
      </c>
      <c r="B1698" s="85" t="s">
        <v>19</v>
      </c>
      <c r="C1698" s="85" t="s">
        <v>19</v>
      </c>
      <c r="D1698" s="86"/>
      <c r="E1698" s="116" t="str">
        <f t="shared" si="80"/>
        <v>-</v>
      </c>
      <c r="F1698" s="85"/>
      <c r="G1698" s="85" t="s">
        <v>19</v>
      </c>
      <c r="H1698" s="85"/>
      <c r="I1698" s="85"/>
      <c r="J1698" s="87"/>
      <c r="K1698" s="88">
        <f t="shared" si="81"/>
        <v>0</v>
      </c>
      <c r="L1698" s="85"/>
    </row>
    <row r="1699" spans="1:12" x14ac:dyDescent="0.25">
      <c r="A1699" s="84" t="str">
        <f t="shared" si="79"/>
        <v>SelecioneSelecioneSelecione</v>
      </c>
      <c r="B1699" s="85" t="s">
        <v>19</v>
      </c>
      <c r="C1699" s="85" t="s">
        <v>19</v>
      </c>
      <c r="D1699" s="86"/>
      <c r="E1699" s="116" t="str">
        <f t="shared" si="80"/>
        <v>-</v>
      </c>
      <c r="F1699" s="85"/>
      <c r="G1699" s="85" t="s">
        <v>19</v>
      </c>
      <c r="H1699" s="85"/>
      <c r="I1699" s="85"/>
      <c r="J1699" s="87"/>
      <c r="K1699" s="88">
        <f t="shared" si="81"/>
        <v>0</v>
      </c>
      <c r="L1699" s="85"/>
    </row>
    <row r="1700" spans="1:12" x14ac:dyDescent="0.25">
      <c r="A1700" s="84" t="str">
        <f t="shared" si="79"/>
        <v>SelecioneSelecioneSelecione</v>
      </c>
      <c r="B1700" s="85" t="s">
        <v>19</v>
      </c>
      <c r="C1700" s="85" t="s">
        <v>19</v>
      </c>
      <c r="D1700" s="86"/>
      <c r="E1700" s="116" t="str">
        <f t="shared" si="80"/>
        <v>-</v>
      </c>
      <c r="F1700" s="85"/>
      <c r="G1700" s="85" t="s">
        <v>19</v>
      </c>
      <c r="H1700" s="85"/>
      <c r="I1700" s="85"/>
      <c r="J1700" s="87"/>
      <c r="K1700" s="88">
        <f t="shared" si="81"/>
        <v>0</v>
      </c>
      <c r="L1700" s="85"/>
    </row>
    <row r="1701" spans="1:12" x14ac:dyDescent="0.25">
      <c r="A1701" s="84" t="str">
        <f t="shared" si="79"/>
        <v>SelecioneSelecioneSelecione</v>
      </c>
      <c r="B1701" s="85" t="s">
        <v>19</v>
      </c>
      <c r="C1701" s="85" t="s">
        <v>19</v>
      </c>
      <c r="D1701" s="86"/>
      <c r="E1701" s="116" t="str">
        <f t="shared" si="80"/>
        <v>-</v>
      </c>
      <c r="F1701" s="85"/>
      <c r="G1701" s="85" t="s">
        <v>19</v>
      </c>
      <c r="H1701" s="85"/>
      <c r="I1701" s="85"/>
      <c r="J1701" s="87"/>
      <c r="K1701" s="88">
        <f t="shared" si="81"/>
        <v>0</v>
      </c>
      <c r="L1701" s="85"/>
    </row>
    <row r="1702" spans="1:12" x14ac:dyDescent="0.25">
      <c r="A1702" s="84" t="str">
        <f t="shared" si="79"/>
        <v>SelecioneSelecioneSelecione</v>
      </c>
      <c r="B1702" s="85" t="s">
        <v>19</v>
      </c>
      <c r="C1702" s="85" t="s">
        <v>19</v>
      </c>
      <c r="D1702" s="86"/>
      <c r="E1702" s="116" t="str">
        <f t="shared" si="80"/>
        <v>-</v>
      </c>
      <c r="F1702" s="85"/>
      <c r="G1702" s="85" t="s">
        <v>19</v>
      </c>
      <c r="H1702" s="85"/>
      <c r="I1702" s="85"/>
      <c r="J1702" s="87"/>
      <c r="K1702" s="88">
        <f t="shared" si="81"/>
        <v>0</v>
      </c>
      <c r="L1702" s="85"/>
    </row>
    <row r="1703" spans="1:12" x14ac:dyDescent="0.25">
      <c r="A1703" s="84" t="str">
        <f t="shared" si="79"/>
        <v>SelecioneSelecioneSelecione</v>
      </c>
      <c r="B1703" s="85" t="s">
        <v>19</v>
      </c>
      <c r="C1703" s="85" t="s">
        <v>19</v>
      </c>
      <c r="D1703" s="86"/>
      <c r="E1703" s="116" t="str">
        <f t="shared" si="80"/>
        <v>-</v>
      </c>
      <c r="F1703" s="85"/>
      <c r="G1703" s="85" t="s">
        <v>19</v>
      </c>
      <c r="H1703" s="85"/>
      <c r="I1703" s="85"/>
      <c r="J1703" s="87"/>
      <c r="K1703" s="88">
        <f t="shared" si="81"/>
        <v>0</v>
      </c>
      <c r="L1703" s="85"/>
    </row>
    <row r="1704" spans="1:12" x14ac:dyDescent="0.25">
      <c r="A1704" s="84" t="str">
        <f t="shared" si="79"/>
        <v>SelecioneSelecioneSelecione</v>
      </c>
      <c r="B1704" s="85" t="s">
        <v>19</v>
      </c>
      <c r="C1704" s="85" t="s">
        <v>19</v>
      </c>
      <c r="D1704" s="86"/>
      <c r="E1704" s="116" t="str">
        <f t="shared" si="80"/>
        <v>-</v>
      </c>
      <c r="F1704" s="85"/>
      <c r="G1704" s="85" t="s">
        <v>19</v>
      </c>
      <c r="H1704" s="85"/>
      <c r="I1704" s="85"/>
      <c r="J1704" s="87"/>
      <c r="K1704" s="88">
        <f t="shared" si="81"/>
        <v>0</v>
      </c>
      <c r="L1704" s="85"/>
    </row>
    <row r="1705" spans="1:12" x14ac:dyDescent="0.25">
      <c r="A1705" s="84" t="str">
        <f t="shared" si="79"/>
        <v>SelecioneSelecioneSelecione</v>
      </c>
      <c r="B1705" s="85" t="s">
        <v>19</v>
      </c>
      <c r="C1705" s="85" t="s">
        <v>19</v>
      </c>
      <c r="D1705" s="93"/>
      <c r="E1705" s="116" t="str">
        <f t="shared" si="80"/>
        <v>-</v>
      </c>
      <c r="F1705" s="90"/>
      <c r="G1705" s="85" t="s">
        <v>19</v>
      </c>
      <c r="H1705" s="85"/>
      <c r="I1705" s="90"/>
      <c r="J1705" s="89"/>
      <c r="K1705" s="88">
        <f t="shared" si="81"/>
        <v>0</v>
      </c>
      <c r="L1705" s="90"/>
    </row>
    <row r="1706" spans="1:12" x14ac:dyDescent="0.25">
      <c r="A1706" s="84" t="str">
        <f t="shared" si="79"/>
        <v>SelecioneSelecioneSelecione</v>
      </c>
      <c r="B1706" s="85" t="s">
        <v>19</v>
      </c>
      <c r="C1706" s="85" t="s">
        <v>19</v>
      </c>
      <c r="D1706" s="93"/>
      <c r="E1706" s="116" t="str">
        <f t="shared" si="80"/>
        <v>-</v>
      </c>
      <c r="F1706" s="90"/>
      <c r="G1706" s="85" t="s">
        <v>19</v>
      </c>
      <c r="H1706" s="85"/>
      <c r="I1706" s="90"/>
      <c r="J1706" s="89"/>
      <c r="K1706" s="88">
        <f t="shared" si="81"/>
        <v>0</v>
      </c>
      <c r="L1706" s="90"/>
    </row>
    <row r="1707" spans="1:12" x14ac:dyDescent="0.25">
      <c r="A1707" s="84" t="str">
        <f t="shared" si="79"/>
        <v>SelecioneSelecioneSelecione</v>
      </c>
      <c r="B1707" s="85" t="s">
        <v>19</v>
      </c>
      <c r="C1707" s="85" t="s">
        <v>19</v>
      </c>
      <c r="D1707" s="86"/>
      <c r="E1707" s="116" t="str">
        <f t="shared" si="80"/>
        <v>-</v>
      </c>
      <c r="F1707" s="85"/>
      <c r="G1707" s="85" t="s">
        <v>19</v>
      </c>
      <c r="H1707" s="85"/>
      <c r="I1707" s="85"/>
      <c r="J1707" s="87"/>
      <c r="K1707" s="88">
        <f t="shared" si="81"/>
        <v>0</v>
      </c>
      <c r="L1707" s="85"/>
    </row>
    <row r="1708" spans="1:12" x14ac:dyDescent="0.25">
      <c r="A1708" s="84" t="str">
        <f t="shared" si="79"/>
        <v>SelecioneSelecioneSelecione</v>
      </c>
      <c r="B1708" s="85" t="s">
        <v>19</v>
      </c>
      <c r="C1708" s="85" t="s">
        <v>19</v>
      </c>
      <c r="D1708" s="86"/>
      <c r="E1708" s="116" t="str">
        <f t="shared" si="80"/>
        <v>-</v>
      </c>
      <c r="F1708" s="85"/>
      <c r="G1708" s="85" t="s">
        <v>19</v>
      </c>
      <c r="H1708" s="85"/>
      <c r="I1708" s="85"/>
      <c r="J1708" s="87"/>
      <c r="K1708" s="88">
        <f t="shared" si="81"/>
        <v>0</v>
      </c>
      <c r="L1708" s="85"/>
    </row>
    <row r="1709" spans="1:12" x14ac:dyDescent="0.25">
      <c r="A1709" s="84" t="str">
        <f t="shared" si="79"/>
        <v>SelecioneSelecioneSelecione</v>
      </c>
      <c r="B1709" s="85" t="s">
        <v>19</v>
      </c>
      <c r="C1709" s="85" t="s">
        <v>19</v>
      </c>
      <c r="D1709" s="86"/>
      <c r="E1709" s="116" t="str">
        <f t="shared" si="80"/>
        <v>-</v>
      </c>
      <c r="F1709" s="85"/>
      <c r="G1709" s="85" t="s">
        <v>19</v>
      </c>
      <c r="H1709" s="85"/>
      <c r="I1709" s="85"/>
      <c r="J1709" s="87"/>
      <c r="K1709" s="88">
        <f t="shared" si="81"/>
        <v>0</v>
      </c>
      <c r="L1709" s="85"/>
    </row>
    <row r="1710" spans="1:12" x14ac:dyDescent="0.25">
      <c r="A1710" s="84" t="str">
        <f t="shared" si="79"/>
        <v>SelecioneSelecioneSelecione</v>
      </c>
      <c r="B1710" s="85" t="s">
        <v>19</v>
      </c>
      <c r="C1710" s="85" t="s">
        <v>19</v>
      </c>
      <c r="D1710" s="86"/>
      <c r="E1710" s="116" t="str">
        <f t="shared" si="80"/>
        <v>-</v>
      </c>
      <c r="F1710" s="85"/>
      <c r="G1710" s="85" t="s">
        <v>19</v>
      </c>
      <c r="H1710" s="85"/>
      <c r="I1710" s="85"/>
      <c r="J1710" s="87"/>
      <c r="K1710" s="88">
        <f t="shared" si="81"/>
        <v>0</v>
      </c>
      <c r="L1710" s="85"/>
    </row>
    <row r="1711" spans="1:12" x14ac:dyDescent="0.25">
      <c r="A1711" s="84" t="str">
        <f t="shared" si="79"/>
        <v>SelecioneSelecioneSelecione</v>
      </c>
      <c r="B1711" s="85" t="s">
        <v>19</v>
      </c>
      <c r="C1711" s="85" t="s">
        <v>19</v>
      </c>
      <c r="D1711" s="86"/>
      <c r="E1711" s="116" t="str">
        <f t="shared" si="80"/>
        <v>-</v>
      </c>
      <c r="F1711" s="85"/>
      <c r="G1711" s="85" t="s">
        <v>19</v>
      </c>
      <c r="H1711" s="85"/>
      <c r="I1711" s="85"/>
      <c r="J1711" s="87"/>
      <c r="K1711" s="88">
        <f t="shared" si="81"/>
        <v>0</v>
      </c>
      <c r="L1711" s="85"/>
    </row>
    <row r="1712" spans="1:12" x14ac:dyDescent="0.25">
      <c r="A1712" s="84" t="str">
        <f t="shared" si="79"/>
        <v>SelecioneSelecioneSelecione</v>
      </c>
      <c r="B1712" s="85" t="s">
        <v>19</v>
      </c>
      <c r="C1712" s="85" t="s">
        <v>19</v>
      </c>
      <c r="D1712" s="86"/>
      <c r="E1712" s="116" t="str">
        <f t="shared" si="80"/>
        <v>-</v>
      </c>
      <c r="F1712" s="85"/>
      <c r="G1712" s="85" t="s">
        <v>19</v>
      </c>
      <c r="H1712" s="85"/>
      <c r="I1712" s="85"/>
      <c r="J1712" s="87"/>
      <c r="K1712" s="88">
        <f t="shared" si="81"/>
        <v>0</v>
      </c>
      <c r="L1712" s="85"/>
    </row>
    <row r="1713" spans="1:12" x14ac:dyDescent="0.25">
      <c r="A1713" s="84" t="str">
        <f t="shared" si="79"/>
        <v>SelecioneSelecioneSelecione</v>
      </c>
      <c r="B1713" s="85" t="s">
        <v>19</v>
      </c>
      <c r="C1713" s="85" t="s">
        <v>19</v>
      </c>
      <c r="D1713" s="86"/>
      <c r="E1713" s="116" t="str">
        <f t="shared" si="80"/>
        <v>-</v>
      </c>
      <c r="F1713" s="85"/>
      <c r="G1713" s="85" t="s">
        <v>19</v>
      </c>
      <c r="H1713" s="85"/>
      <c r="I1713" s="85"/>
      <c r="J1713" s="87"/>
      <c r="K1713" s="88">
        <f t="shared" si="81"/>
        <v>0</v>
      </c>
      <c r="L1713" s="85"/>
    </row>
    <row r="1714" spans="1:12" x14ac:dyDescent="0.25">
      <c r="A1714" s="84" t="str">
        <f t="shared" si="79"/>
        <v>SelecioneSelecioneSelecione</v>
      </c>
      <c r="B1714" s="85" t="s">
        <v>19</v>
      </c>
      <c r="C1714" s="85" t="s">
        <v>19</v>
      </c>
      <c r="D1714" s="86"/>
      <c r="E1714" s="116" t="str">
        <f t="shared" si="80"/>
        <v>-</v>
      </c>
      <c r="F1714" s="85"/>
      <c r="G1714" s="85" t="s">
        <v>19</v>
      </c>
      <c r="H1714" s="85"/>
      <c r="I1714" s="85"/>
      <c r="J1714" s="87"/>
      <c r="K1714" s="88">
        <f t="shared" si="81"/>
        <v>0</v>
      </c>
      <c r="L1714" s="85"/>
    </row>
    <row r="1715" spans="1:12" x14ac:dyDescent="0.25">
      <c r="A1715" s="84" t="str">
        <f t="shared" si="79"/>
        <v>SelecioneSelecioneSelecione</v>
      </c>
      <c r="B1715" s="85" t="s">
        <v>19</v>
      </c>
      <c r="C1715" s="85" t="s">
        <v>19</v>
      </c>
      <c r="D1715" s="86"/>
      <c r="E1715" s="116" t="str">
        <f t="shared" si="80"/>
        <v>-</v>
      </c>
      <c r="F1715" s="85"/>
      <c r="G1715" s="85" t="s">
        <v>19</v>
      </c>
      <c r="H1715" s="85"/>
      <c r="I1715" s="85"/>
      <c r="J1715" s="87"/>
      <c r="K1715" s="88">
        <f t="shared" si="81"/>
        <v>0</v>
      </c>
      <c r="L1715" s="85"/>
    </row>
    <row r="1716" spans="1:12" x14ac:dyDescent="0.25">
      <c r="A1716" s="84" t="str">
        <f t="shared" si="79"/>
        <v>SelecioneSelecioneSelecione</v>
      </c>
      <c r="B1716" s="85" t="s">
        <v>19</v>
      </c>
      <c r="C1716" s="85" t="s">
        <v>19</v>
      </c>
      <c r="D1716" s="86"/>
      <c r="E1716" s="116" t="str">
        <f t="shared" si="80"/>
        <v>-</v>
      </c>
      <c r="F1716" s="85"/>
      <c r="G1716" s="85" t="s">
        <v>19</v>
      </c>
      <c r="H1716" s="85"/>
      <c r="I1716" s="85"/>
      <c r="J1716" s="87"/>
      <c r="K1716" s="88">
        <f t="shared" si="81"/>
        <v>0</v>
      </c>
      <c r="L1716" s="85"/>
    </row>
    <row r="1717" spans="1:12" x14ac:dyDescent="0.25">
      <c r="A1717" s="84" t="str">
        <f t="shared" si="79"/>
        <v>SelecioneSelecioneSelecione</v>
      </c>
      <c r="B1717" s="85" t="s">
        <v>19</v>
      </c>
      <c r="C1717" s="85" t="s">
        <v>19</v>
      </c>
      <c r="D1717" s="86"/>
      <c r="E1717" s="116" t="str">
        <f t="shared" si="80"/>
        <v>-</v>
      </c>
      <c r="F1717" s="85"/>
      <c r="G1717" s="85" t="s">
        <v>19</v>
      </c>
      <c r="H1717" s="85"/>
      <c r="I1717" s="85"/>
      <c r="J1717" s="87"/>
      <c r="K1717" s="88">
        <f t="shared" si="81"/>
        <v>0</v>
      </c>
      <c r="L1717" s="85"/>
    </row>
    <row r="1718" spans="1:12" x14ac:dyDescent="0.25">
      <c r="A1718" s="84" t="str">
        <f t="shared" si="79"/>
        <v>SelecioneSelecioneSelecione</v>
      </c>
      <c r="B1718" s="85" t="s">
        <v>19</v>
      </c>
      <c r="C1718" s="85" t="s">
        <v>19</v>
      </c>
      <c r="D1718" s="86"/>
      <c r="E1718" s="116" t="str">
        <f t="shared" si="80"/>
        <v>-</v>
      </c>
      <c r="F1718" s="85"/>
      <c r="G1718" s="85" t="s">
        <v>19</v>
      </c>
      <c r="H1718" s="85"/>
      <c r="I1718" s="85"/>
      <c r="J1718" s="87"/>
      <c r="K1718" s="88">
        <f t="shared" si="81"/>
        <v>0</v>
      </c>
      <c r="L1718" s="85"/>
    </row>
    <row r="1719" spans="1:12" x14ac:dyDescent="0.25">
      <c r="A1719" s="84" t="str">
        <f t="shared" si="79"/>
        <v>SelecioneSelecioneSelecione</v>
      </c>
      <c r="B1719" s="85" t="s">
        <v>19</v>
      </c>
      <c r="C1719" s="85" t="s">
        <v>19</v>
      </c>
      <c r="D1719" s="86"/>
      <c r="E1719" s="116" t="str">
        <f t="shared" si="80"/>
        <v>-</v>
      </c>
      <c r="F1719" s="85"/>
      <c r="G1719" s="85" t="s">
        <v>19</v>
      </c>
      <c r="H1719" s="85"/>
      <c r="I1719" s="85"/>
      <c r="J1719" s="87"/>
      <c r="K1719" s="88">
        <f t="shared" si="81"/>
        <v>0</v>
      </c>
      <c r="L1719" s="85"/>
    </row>
    <row r="1720" spans="1:12" x14ac:dyDescent="0.25">
      <c r="A1720" s="84" t="str">
        <f t="shared" si="79"/>
        <v>SelecioneSelecioneSelecione</v>
      </c>
      <c r="B1720" s="85" t="s">
        <v>19</v>
      </c>
      <c r="C1720" s="85" t="s">
        <v>19</v>
      </c>
      <c r="D1720" s="86"/>
      <c r="E1720" s="116" t="str">
        <f t="shared" si="80"/>
        <v>-</v>
      </c>
      <c r="F1720" s="85"/>
      <c r="G1720" s="85" t="s">
        <v>19</v>
      </c>
      <c r="H1720" s="85"/>
      <c r="I1720" s="85"/>
      <c r="J1720" s="87"/>
      <c r="K1720" s="88">
        <f t="shared" si="81"/>
        <v>0</v>
      </c>
      <c r="L1720" s="85"/>
    </row>
    <row r="1721" spans="1:12" x14ac:dyDescent="0.25">
      <c r="A1721" s="84" t="str">
        <f t="shared" si="79"/>
        <v>SelecioneSelecioneSelecione</v>
      </c>
      <c r="B1721" s="85" t="s">
        <v>19</v>
      </c>
      <c r="C1721" s="85" t="s">
        <v>19</v>
      </c>
      <c r="D1721" s="86"/>
      <c r="E1721" s="116" t="str">
        <f t="shared" si="80"/>
        <v>-</v>
      </c>
      <c r="F1721" s="85"/>
      <c r="G1721" s="85" t="s">
        <v>19</v>
      </c>
      <c r="H1721" s="85"/>
      <c r="I1721" s="85"/>
      <c r="J1721" s="87"/>
      <c r="K1721" s="88">
        <f t="shared" si="81"/>
        <v>0</v>
      </c>
      <c r="L1721" s="85"/>
    </row>
    <row r="1722" spans="1:12" x14ac:dyDescent="0.25">
      <c r="A1722" s="84" t="str">
        <f t="shared" si="79"/>
        <v>SelecioneSelecioneSelecione</v>
      </c>
      <c r="B1722" s="85" t="s">
        <v>19</v>
      </c>
      <c r="C1722" s="85" t="s">
        <v>19</v>
      </c>
      <c r="D1722" s="86"/>
      <c r="E1722" s="116" t="str">
        <f t="shared" si="80"/>
        <v>-</v>
      </c>
      <c r="F1722" s="85"/>
      <c r="G1722" s="85" t="s">
        <v>19</v>
      </c>
      <c r="H1722" s="85"/>
      <c r="I1722" s="85"/>
      <c r="J1722" s="87"/>
      <c r="K1722" s="88">
        <f t="shared" si="81"/>
        <v>0</v>
      </c>
      <c r="L1722" s="85"/>
    </row>
    <row r="1723" spans="1:12" x14ac:dyDescent="0.25">
      <c r="A1723" s="84" t="str">
        <f t="shared" si="79"/>
        <v>SelecioneSelecioneSelecione</v>
      </c>
      <c r="B1723" s="85" t="s">
        <v>19</v>
      </c>
      <c r="C1723" s="85" t="s">
        <v>19</v>
      </c>
      <c r="D1723" s="86"/>
      <c r="E1723" s="116" t="str">
        <f t="shared" si="80"/>
        <v>-</v>
      </c>
      <c r="F1723" s="85"/>
      <c r="G1723" s="85" t="s">
        <v>19</v>
      </c>
      <c r="H1723" s="85"/>
      <c r="I1723" s="85"/>
      <c r="J1723" s="87"/>
      <c r="K1723" s="88">
        <f t="shared" si="81"/>
        <v>0</v>
      </c>
      <c r="L1723" s="85"/>
    </row>
    <row r="1724" spans="1:12" x14ac:dyDescent="0.25">
      <c r="A1724" s="84" t="str">
        <f t="shared" si="79"/>
        <v>SelecioneSelecioneSelecione</v>
      </c>
      <c r="B1724" s="85" t="s">
        <v>19</v>
      </c>
      <c r="C1724" s="85" t="s">
        <v>19</v>
      </c>
      <c r="D1724" s="86"/>
      <c r="E1724" s="116" t="str">
        <f t="shared" si="80"/>
        <v>-</v>
      </c>
      <c r="F1724" s="85"/>
      <c r="G1724" s="85" t="s">
        <v>19</v>
      </c>
      <c r="H1724" s="85"/>
      <c r="I1724" s="85"/>
      <c r="J1724" s="87"/>
      <c r="K1724" s="88">
        <f t="shared" si="81"/>
        <v>0</v>
      </c>
      <c r="L1724" s="85"/>
    </row>
    <row r="1725" spans="1:12" x14ac:dyDescent="0.25">
      <c r="A1725" s="84" t="str">
        <f t="shared" si="79"/>
        <v>SelecioneSelecioneSelecione</v>
      </c>
      <c r="B1725" s="85" t="s">
        <v>19</v>
      </c>
      <c r="C1725" s="85" t="s">
        <v>19</v>
      </c>
      <c r="D1725" s="86"/>
      <c r="E1725" s="116" t="str">
        <f t="shared" si="80"/>
        <v>-</v>
      </c>
      <c r="F1725" s="85"/>
      <c r="G1725" s="85" t="s">
        <v>19</v>
      </c>
      <c r="H1725" s="85"/>
      <c r="I1725" s="85"/>
      <c r="J1725" s="87"/>
      <c r="K1725" s="88">
        <f t="shared" si="81"/>
        <v>0</v>
      </c>
      <c r="L1725" s="85"/>
    </row>
    <row r="1726" spans="1:12" x14ac:dyDescent="0.25">
      <c r="A1726" s="84" t="str">
        <f t="shared" si="79"/>
        <v>SelecioneSelecioneSelecione</v>
      </c>
      <c r="B1726" s="85" t="s">
        <v>19</v>
      </c>
      <c r="C1726" s="85" t="s">
        <v>19</v>
      </c>
      <c r="D1726" s="86"/>
      <c r="E1726" s="116" t="str">
        <f t="shared" si="80"/>
        <v>-</v>
      </c>
      <c r="F1726" s="85"/>
      <c r="G1726" s="85" t="s">
        <v>19</v>
      </c>
      <c r="H1726" s="85"/>
      <c r="I1726" s="85"/>
      <c r="J1726" s="87"/>
      <c r="K1726" s="88">
        <f t="shared" si="81"/>
        <v>0</v>
      </c>
      <c r="L1726" s="85"/>
    </row>
    <row r="1727" spans="1:12" x14ac:dyDescent="0.25">
      <c r="A1727" s="84" t="str">
        <f t="shared" si="79"/>
        <v>SelecioneSelecioneSelecione</v>
      </c>
      <c r="B1727" s="85" t="s">
        <v>19</v>
      </c>
      <c r="C1727" s="85" t="s">
        <v>19</v>
      </c>
      <c r="D1727" s="86"/>
      <c r="E1727" s="116" t="str">
        <f t="shared" si="80"/>
        <v>-</v>
      </c>
      <c r="F1727" s="85"/>
      <c r="G1727" s="85" t="s">
        <v>19</v>
      </c>
      <c r="H1727" s="85"/>
      <c r="I1727" s="85"/>
      <c r="J1727" s="87"/>
      <c r="K1727" s="88">
        <f t="shared" si="81"/>
        <v>0</v>
      </c>
      <c r="L1727" s="85"/>
    </row>
    <row r="1728" spans="1:12" x14ac:dyDescent="0.25">
      <c r="A1728" s="84" t="str">
        <f t="shared" si="79"/>
        <v>SelecioneSelecioneSelecione</v>
      </c>
      <c r="B1728" s="85" t="s">
        <v>19</v>
      </c>
      <c r="C1728" s="85" t="s">
        <v>19</v>
      </c>
      <c r="D1728" s="86"/>
      <c r="E1728" s="116" t="str">
        <f t="shared" si="80"/>
        <v>-</v>
      </c>
      <c r="F1728" s="85"/>
      <c r="G1728" s="85" t="s">
        <v>19</v>
      </c>
      <c r="H1728" s="85"/>
      <c r="I1728" s="85"/>
      <c r="J1728" s="87"/>
      <c r="K1728" s="88">
        <f t="shared" si="81"/>
        <v>0</v>
      </c>
      <c r="L1728" s="85"/>
    </row>
    <row r="1729" spans="1:12" x14ac:dyDescent="0.25">
      <c r="A1729" s="84" t="str">
        <f t="shared" si="79"/>
        <v>SelecioneSelecioneSelecione</v>
      </c>
      <c r="B1729" s="85" t="s">
        <v>19</v>
      </c>
      <c r="C1729" s="85" t="s">
        <v>19</v>
      </c>
      <c r="D1729" s="86"/>
      <c r="E1729" s="116" t="str">
        <f t="shared" si="80"/>
        <v>-</v>
      </c>
      <c r="F1729" s="85"/>
      <c r="G1729" s="85" t="s">
        <v>19</v>
      </c>
      <c r="H1729" s="85"/>
      <c r="I1729" s="85"/>
      <c r="J1729" s="87"/>
      <c r="K1729" s="88">
        <f t="shared" si="81"/>
        <v>0</v>
      </c>
      <c r="L1729" s="85"/>
    </row>
    <row r="1730" spans="1:12" x14ac:dyDescent="0.25">
      <c r="A1730" s="84" t="str">
        <f t="shared" ref="A1730:A1793" si="82">CONCATENATE(B1730,C1730,G1730)</f>
        <v>SelecioneSelecioneSelecione</v>
      </c>
      <c r="B1730" s="85" t="s">
        <v>19</v>
      </c>
      <c r="C1730" s="85" t="s">
        <v>19</v>
      </c>
      <c r="D1730" s="86"/>
      <c r="E1730" s="116" t="str">
        <f t="shared" ref="E1730:E1793" si="83">VLOOKUP(G1730,$M$1:$O$968,3,0)</f>
        <v>-</v>
      </c>
      <c r="F1730" s="85"/>
      <c r="G1730" s="85" t="s">
        <v>19</v>
      </c>
      <c r="H1730" s="85"/>
      <c r="I1730" s="85"/>
      <c r="J1730" s="87"/>
      <c r="K1730" s="88">
        <f t="shared" ref="K1730:K1793" si="84">I1730*J1730</f>
        <v>0</v>
      </c>
      <c r="L1730" s="85"/>
    </row>
    <row r="1731" spans="1:12" x14ac:dyDescent="0.25">
      <c r="A1731" s="84" t="str">
        <f t="shared" si="82"/>
        <v>SelecioneSelecioneSelecione</v>
      </c>
      <c r="B1731" s="85" t="s">
        <v>19</v>
      </c>
      <c r="C1731" s="85" t="s">
        <v>19</v>
      </c>
      <c r="D1731" s="86"/>
      <c r="E1731" s="116" t="str">
        <f t="shared" si="83"/>
        <v>-</v>
      </c>
      <c r="F1731" s="85"/>
      <c r="G1731" s="85" t="s">
        <v>19</v>
      </c>
      <c r="H1731" s="85"/>
      <c r="I1731" s="85"/>
      <c r="J1731" s="87"/>
      <c r="K1731" s="88">
        <f t="shared" si="84"/>
        <v>0</v>
      </c>
      <c r="L1731" s="85"/>
    </row>
    <row r="1732" spans="1:12" x14ac:dyDescent="0.25">
      <c r="A1732" s="84" t="str">
        <f t="shared" si="82"/>
        <v>SelecioneSelecioneSelecione</v>
      </c>
      <c r="B1732" s="85" t="s">
        <v>19</v>
      </c>
      <c r="C1732" s="85" t="s">
        <v>19</v>
      </c>
      <c r="D1732" s="86"/>
      <c r="E1732" s="116" t="str">
        <f t="shared" si="83"/>
        <v>-</v>
      </c>
      <c r="F1732" s="85"/>
      <c r="G1732" s="85" t="s">
        <v>19</v>
      </c>
      <c r="H1732" s="85"/>
      <c r="I1732" s="85"/>
      <c r="J1732" s="87"/>
      <c r="K1732" s="88">
        <f t="shared" si="84"/>
        <v>0</v>
      </c>
      <c r="L1732" s="85"/>
    </row>
    <row r="1733" spans="1:12" x14ac:dyDescent="0.25">
      <c r="A1733" s="84" t="str">
        <f t="shared" si="82"/>
        <v>SelecioneSelecioneSelecione</v>
      </c>
      <c r="B1733" s="85" t="s">
        <v>19</v>
      </c>
      <c r="C1733" s="85" t="s">
        <v>19</v>
      </c>
      <c r="D1733" s="86"/>
      <c r="E1733" s="116" t="str">
        <f t="shared" si="83"/>
        <v>-</v>
      </c>
      <c r="F1733" s="85"/>
      <c r="G1733" s="85" t="s">
        <v>19</v>
      </c>
      <c r="H1733" s="85"/>
      <c r="I1733" s="85"/>
      <c r="J1733" s="87"/>
      <c r="K1733" s="88">
        <f t="shared" si="84"/>
        <v>0</v>
      </c>
      <c r="L1733" s="85"/>
    </row>
    <row r="1734" spans="1:12" x14ac:dyDescent="0.25">
      <c r="A1734" s="84" t="str">
        <f t="shared" si="82"/>
        <v>SelecioneSelecioneSelecione</v>
      </c>
      <c r="B1734" s="85" t="s">
        <v>19</v>
      </c>
      <c r="C1734" s="85" t="s">
        <v>19</v>
      </c>
      <c r="D1734" s="86"/>
      <c r="E1734" s="116" t="str">
        <f t="shared" si="83"/>
        <v>-</v>
      </c>
      <c r="F1734" s="85"/>
      <c r="G1734" s="85" t="s">
        <v>19</v>
      </c>
      <c r="H1734" s="85"/>
      <c r="I1734" s="85"/>
      <c r="J1734" s="87"/>
      <c r="K1734" s="88">
        <f t="shared" si="84"/>
        <v>0</v>
      </c>
      <c r="L1734" s="85"/>
    </row>
    <row r="1735" spans="1:12" x14ac:dyDescent="0.25">
      <c r="A1735" s="84" t="str">
        <f t="shared" si="82"/>
        <v>SelecioneSelecioneSelecione</v>
      </c>
      <c r="B1735" s="85" t="s">
        <v>19</v>
      </c>
      <c r="C1735" s="85" t="s">
        <v>19</v>
      </c>
      <c r="D1735" s="86"/>
      <c r="E1735" s="116" t="str">
        <f t="shared" si="83"/>
        <v>-</v>
      </c>
      <c r="F1735" s="85"/>
      <c r="G1735" s="85" t="s">
        <v>19</v>
      </c>
      <c r="H1735" s="85"/>
      <c r="I1735" s="85"/>
      <c r="J1735" s="87"/>
      <c r="K1735" s="88">
        <f t="shared" si="84"/>
        <v>0</v>
      </c>
      <c r="L1735" s="85"/>
    </row>
    <row r="1736" spans="1:12" x14ac:dyDescent="0.25">
      <c r="A1736" s="84" t="str">
        <f t="shared" si="82"/>
        <v>SelecioneSelecioneSelecione</v>
      </c>
      <c r="B1736" s="85" t="s">
        <v>19</v>
      </c>
      <c r="C1736" s="85" t="s">
        <v>19</v>
      </c>
      <c r="D1736" s="86"/>
      <c r="E1736" s="116" t="str">
        <f t="shared" si="83"/>
        <v>-</v>
      </c>
      <c r="F1736" s="85"/>
      <c r="G1736" s="85" t="s">
        <v>19</v>
      </c>
      <c r="H1736" s="85"/>
      <c r="I1736" s="85"/>
      <c r="J1736" s="87"/>
      <c r="K1736" s="88">
        <f t="shared" si="84"/>
        <v>0</v>
      </c>
      <c r="L1736" s="85"/>
    </row>
    <row r="1737" spans="1:12" x14ac:dyDescent="0.25">
      <c r="A1737" s="84" t="str">
        <f t="shared" si="82"/>
        <v>SelecioneSelecioneSelecione</v>
      </c>
      <c r="B1737" s="85" t="s">
        <v>19</v>
      </c>
      <c r="C1737" s="85" t="s">
        <v>19</v>
      </c>
      <c r="D1737" s="86"/>
      <c r="E1737" s="116" t="str">
        <f t="shared" si="83"/>
        <v>-</v>
      </c>
      <c r="F1737" s="85"/>
      <c r="G1737" s="85" t="s">
        <v>19</v>
      </c>
      <c r="H1737" s="85"/>
      <c r="I1737" s="85"/>
      <c r="J1737" s="87"/>
      <c r="K1737" s="88">
        <f t="shared" si="84"/>
        <v>0</v>
      </c>
      <c r="L1737" s="85"/>
    </row>
    <row r="1738" spans="1:12" x14ac:dyDescent="0.25">
      <c r="A1738" s="84" t="str">
        <f t="shared" si="82"/>
        <v>SelecioneSelecioneSelecione</v>
      </c>
      <c r="B1738" s="85" t="s">
        <v>19</v>
      </c>
      <c r="C1738" s="85" t="s">
        <v>19</v>
      </c>
      <c r="D1738" s="86"/>
      <c r="E1738" s="116" t="str">
        <f t="shared" si="83"/>
        <v>-</v>
      </c>
      <c r="F1738" s="85"/>
      <c r="G1738" s="85" t="s">
        <v>19</v>
      </c>
      <c r="H1738" s="85"/>
      <c r="I1738" s="85"/>
      <c r="J1738" s="87"/>
      <c r="K1738" s="88">
        <f t="shared" si="84"/>
        <v>0</v>
      </c>
      <c r="L1738" s="85"/>
    </row>
    <row r="1739" spans="1:12" x14ac:dyDescent="0.25">
      <c r="A1739" s="84" t="str">
        <f t="shared" si="82"/>
        <v>SelecioneSelecioneSelecione</v>
      </c>
      <c r="B1739" s="85" t="s">
        <v>19</v>
      </c>
      <c r="C1739" s="85" t="s">
        <v>19</v>
      </c>
      <c r="D1739" s="86"/>
      <c r="E1739" s="116" t="str">
        <f t="shared" si="83"/>
        <v>-</v>
      </c>
      <c r="F1739" s="85"/>
      <c r="G1739" s="85" t="s">
        <v>19</v>
      </c>
      <c r="H1739" s="85"/>
      <c r="I1739" s="85"/>
      <c r="J1739" s="87"/>
      <c r="K1739" s="88">
        <f t="shared" si="84"/>
        <v>0</v>
      </c>
      <c r="L1739" s="85"/>
    </row>
    <row r="1740" spans="1:12" x14ac:dyDescent="0.25">
      <c r="A1740" s="84" t="str">
        <f t="shared" si="82"/>
        <v>SelecioneSelecioneSelecione</v>
      </c>
      <c r="B1740" s="85" t="s">
        <v>19</v>
      </c>
      <c r="C1740" s="85" t="s">
        <v>19</v>
      </c>
      <c r="D1740" s="86"/>
      <c r="E1740" s="116" t="str">
        <f t="shared" si="83"/>
        <v>-</v>
      </c>
      <c r="F1740" s="85"/>
      <c r="G1740" s="85" t="s">
        <v>19</v>
      </c>
      <c r="H1740" s="85"/>
      <c r="I1740" s="85"/>
      <c r="J1740" s="87"/>
      <c r="K1740" s="88">
        <f t="shared" si="84"/>
        <v>0</v>
      </c>
      <c r="L1740" s="85"/>
    </row>
    <row r="1741" spans="1:12" x14ac:dyDescent="0.25">
      <c r="A1741" s="84" t="str">
        <f t="shared" si="82"/>
        <v>SelecioneSelecioneSelecione</v>
      </c>
      <c r="B1741" s="85" t="s">
        <v>19</v>
      </c>
      <c r="C1741" s="85" t="s">
        <v>19</v>
      </c>
      <c r="D1741" s="86"/>
      <c r="E1741" s="116" t="str">
        <f t="shared" si="83"/>
        <v>-</v>
      </c>
      <c r="F1741" s="85"/>
      <c r="G1741" s="85" t="s">
        <v>19</v>
      </c>
      <c r="H1741" s="85"/>
      <c r="I1741" s="85"/>
      <c r="J1741" s="87"/>
      <c r="K1741" s="88">
        <f t="shared" si="84"/>
        <v>0</v>
      </c>
      <c r="L1741" s="85"/>
    </row>
    <row r="1742" spans="1:12" x14ac:dyDescent="0.25">
      <c r="A1742" s="84" t="str">
        <f t="shared" si="82"/>
        <v>SelecioneSelecioneSelecione</v>
      </c>
      <c r="B1742" s="85" t="s">
        <v>19</v>
      </c>
      <c r="C1742" s="85" t="s">
        <v>19</v>
      </c>
      <c r="D1742" s="86"/>
      <c r="E1742" s="116" t="str">
        <f t="shared" si="83"/>
        <v>-</v>
      </c>
      <c r="F1742" s="85"/>
      <c r="G1742" s="85" t="s">
        <v>19</v>
      </c>
      <c r="H1742" s="85"/>
      <c r="I1742" s="85"/>
      <c r="J1742" s="87"/>
      <c r="K1742" s="88">
        <f t="shared" si="84"/>
        <v>0</v>
      </c>
      <c r="L1742" s="85"/>
    </row>
    <row r="1743" spans="1:12" x14ac:dyDescent="0.25">
      <c r="A1743" s="84" t="str">
        <f t="shared" si="82"/>
        <v>SelecioneSelecioneSelecione</v>
      </c>
      <c r="B1743" s="85" t="s">
        <v>19</v>
      </c>
      <c r="C1743" s="85" t="s">
        <v>19</v>
      </c>
      <c r="D1743" s="86"/>
      <c r="E1743" s="116" t="str">
        <f t="shared" si="83"/>
        <v>-</v>
      </c>
      <c r="F1743" s="85"/>
      <c r="G1743" s="85" t="s">
        <v>19</v>
      </c>
      <c r="H1743" s="85"/>
      <c r="I1743" s="85"/>
      <c r="J1743" s="87"/>
      <c r="K1743" s="88">
        <f t="shared" si="84"/>
        <v>0</v>
      </c>
      <c r="L1743" s="85"/>
    </row>
    <row r="1744" spans="1:12" x14ac:dyDescent="0.25">
      <c r="A1744" s="84" t="str">
        <f t="shared" si="82"/>
        <v>SelecioneSelecioneSelecione</v>
      </c>
      <c r="B1744" s="85" t="s">
        <v>19</v>
      </c>
      <c r="C1744" s="85" t="s">
        <v>19</v>
      </c>
      <c r="D1744" s="86"/>
      <c r="E1744" s="116" t="str">
        <f t="shared" si="83"/>
        <v>-</v>
      </c>
      <c r="F1744" s="85"/>
      <c r="G1744" s="85" t="s">
        <v>19</v>
      </c>
      <c r="H1744" s="85"/>
      <c r="I1744" s="85"/>
      <c r="J1744" s="87"/>
      <c r="K1744" s="88">
        <f t="shared" si="84"/>
        <v>0</v>
      </c>
      <c r="L1744" s="85"/>
    </row>
    <row r="1745" spans="1:12" x14ac:dyDescent="0.25">
      <c r="A1745" s="84" t="str">
        <f t="shared" si="82"/>
        <v>SelecioneSelecioneSelecione</v>
      </c>
      <c r="B1745" s="85" t="s">
        <v>19</v>
      </c>
      <c r="C1745" s="85" t="s">
        <v>19</v>
      </c>
      <c r="D1745" s="86"/>
      <c r="E1745" s="116" t="str">
        <f t="shared" si="83"/>
        <v>-</v>
      </c>
      <c r="F1745" s="85"/>
      <c r="G1745" s="85" t="s">
        <v>19</v>
      </c>
      <c r="H1745" s="85"/>
      <c r="I1745" s="85"/>
      <c r="J1745" s="87"/>
      <c r="K1745" s="88">
        <f t="shared" si="84"/>
        <v>0</v>
      </c>
      <c r="L1745" s="85"/>
    </row>
    <row r="1746" spans="1:12" x14ac:dyDescent="0.25">
      <c r="A1746" s="84" t="str">
        <f t="shared" si="82"/>
        <v>SelecioneSelecioneSelecione</v>
      </c>
      <c r="B1746" s="85" t="s">
        <v>19</v>
      </c>
      <c r="C1746" s="85" t="s">
        <v>19</v>
      </c>
      <c r="D1746" s="86"/>
      <c r="E1746" s="116" t="str">
        <f t="shared" si="83"/>
        <v>-</v>
      </c>
      <c r="F1746" s="85"/>
      <c r="G1746" s="85" t="s">
        <v>19</v>
      </c>
      <c r="H1746" s="85"/>
      <c r="I1746" s="85"/>
      <c r="J1746" s="87"/>
      <c r="K1746" s="88">
        <f t="shared" si="84"/>
        <v>0</v>
      </c>
      <c r="L1746" s="85"/>
    </row>
    <row r="1747" spans="1:12" x14ac:dyDescent="0.25">
      <c r="A1747" s="84" t="str">
        <f t="shared" si="82"/>
        <v>SelecioneSelecioneSelecione</v>
      </c>
      <c r="B1747" s="85" t="s">
        <v>19</v>
      </c>
      <c r="C1747" s="85" t="s">
        <v>19</v>
      </c>
      <c r="D1747" s="86"/>
      <c r="E1747" s="116" t="str">
        <f t="shared" si="83"/>
        <v>-</v>
      </c>
      <c r="F1747" s="85"/>
      <c r="G1747" s="85" t="s">
        <v>19</v>
      </c>
      <c r="H1747" s="85"/>
      <c r="I1747" s="85"/>
      <c r="J1747" s="87"/>
      <c r="K1747" s="88">
        <f t="shared" si="84"/>
        <v>0</v>
      </c>
      <c r="L1747" s="85"/>
    </row>
    <row r="1748" spans="1:12" x14ac:dyDescent="0.25">
      <c r="A1748" s="84" t="str">
        <f t="shared" si="82"/>
        <v>SelecioneSelecioneSelecione</v>
      </c>
      <c r="B1748" s="85" t="s">
        <v>19</v>
      </c>
      <c r="C1748" s="85" t="s">
        <v>19</v>
      </c>
      <c r="D1748" s="86"/>
      <c r="E1748" s="116" t="str">
        <f t="shared" si="83"/>
        <v>-</v>
      </c>
      <c r="F1748" s="85"/>
      <c r="G1748" s="85" t="s">
        <v>19</v>
      </c>
      <c r="H1748" s="85"/>
      <c r="I1748" s="85"/>
      <c r="J1748" s="87"/>
      <c r="K1748" s="88">
        <f t="shared" si="84"/>
        <v>0</v>
      </c>
      <c r="L1748" s="85"/>
    </row>
    <row r="1749" spans="1:12" x14ac:dyDescent="0.25">
      <c r="A1749" s="84" t="str">
        <f t="shared" si="82"/>
        <v>SelecioneSelecioneSelecione</v>
      </c>
      <c r="B1749" s="85" t="s">
        <v>19</v>
      </c>
      <c r="C1749" s="85" t="s">
        <v>19</v>
      </c>
      <c r="D1749" s="86"/>
      <c r="E1749" s="116" t="str">
        <f t="shared" si="83"/>
        <v>-</v>
      </c>
      <c r="F1749" s="85"/>
      <c r="G1749" s="85" t="s">
        <v>19</v>
      </c>
      <c r="H1749" s="85"/>
      <c r="I1749" s="85"/>
      <c r="J1749" s="87"/>
      <c r="K1749" s="88">
        <f t="shared" si="84"/>
        <v>0</v>
      </c>
      <c r="L1749" s="85"/>
    </row>
    <row r="1750" spans="1:12" x14ac:dyDescent="0.25">
      <c r="A1750" s="84" t="str">
        <f t="shared" si="82"/>
        <v>SelecioneSelecioneSelecione</v>
      </c>
      <c r="B1750" s="85" t="s">
        <v>19</v>
      </c>
      <c r="C1750" s="85" t="s">
        <v>19</v>
      </c>
      <c r="D1750" s="86"/>
      <c r="E1750" s="116" t="str">
        <f t="shared" si="83"/>
        <v>-</v>
      </c>
      <c r="F1750" s="85"/>
      <c r="G1750" s="85" t="s">
        <v>19</v>
      </c>
      <c r="H1750" s="85"/>
      <c r="I1750" s="85"/>
      <c r="J1750" s="87"/>
      <c r="K1750" s="88">
        <f t="shared" si="84"/>
        <v>0</v>
      </c>
      <c r="L1750" s="85"/>
    </row>
    <row r="1751" spans="1:12" x14ac:dyDescent="0.25">
      <c r="A1751" s="84" t="str">
        <f t="shared" si="82"/>
        <v>SelecioneSelecioneSelecione</v>
      </c>
      <c r="B1751" s="85" t="s">
        <v>19</v>
      </c>
      <c r="C1751" s="85" t="s">
        <v>19</v>
      </c>
      <c r="D1751" s="86"/>
      <c r="E1751" s="116" t="str">
        <f t="shared" si="83"/>
        <v>-</v>
      </c>
      <c r="F1751" s="85"/>
      <c r="G1751" s="85" t="s">
        <v>19</v>
      </c>
      <c r="H1751" s="85"/>
      <c r="I1751" s="85"/>
      <c r="J1751" s="87"/>
      <c r="K1751" s="88">
        <f t="shared" si="84"/>
        <v>0</v>
      </c>
      <c r="L1751" s="85"/>
    </row>
    <row r="1752" spans="1:12" x14ac:dyDescent="0.25">
      <c r="A1752" s="84" t="str">
        <f t="shared" si="82"/>
        <v>SelecioneSelecioneSelecione</v>
      </c>
      <c r="B1752" s="85" t="s">
        <v>19</v>
      </c>
      <c r="C1752" s="85" t="s">
        <v>19</v>
      </c>
      <c r="D1752" s="86"/>
      <c r="E1752" s="116" t="str">
        <f t="shared" si="83"/>
        <v>-</v>
      </c>
      <c r="F1752" s="85"/>
      <c r="G1752" s="85" t="s">
        <v>19</v>
      </c>
      <c r="H1752" s="85"/>
      <c r="I1752" s="85"/>
      <c r="J1752" s="87"/>
      <c r="K1752" s="88">
        <f t="shared" si="84"/>
        <v>0</v>
      </c>
      <c r="L1752" s="85"/>
    </row>
    <row r="1753" spans="1:12" x14ac:dyDescent="0.25">
      <c r="A1753" s="84" t="str">
        <f t="shared" si="82"/>
        <v>SelecioneSelecioneSelecione</v>
      </c>
      <c r="B1753" s="85" t="s">
        <v>19</v>
      </c>
      <c r="C1753" s="85" t="s">
        <v>19</v>
      </c>
      <c r="D1753" s="86"/>
      <c r="E1753" s="116" t="str">
        <f t="shared" si="83"/>
        <v>-</v>
      </c>
      <c r="F1753" s="85"/>
      <c r="G1753" s="85" t="s">
        <v>19</v>
      </c>
      <c r="H1753" s="85"/>
      <c r="I1753" s="85"/>
      <c r="J1753" s="87"/>
      <c r="K1753" s="88">
        <f t="shared" si="84"/>
        <v>0</v>
      </c>
      <c r="L1753" s="85"/>
    </row>
    <row r="1754" spans="1:12" x14ac:dyDescent="0.25">
      <c r="A1754" s="84" t="str">
        <f t="shared" si="82"/>
        <v>SelecioneSelecioneSelecione</v>
      </c>
      <c r="B1754" s="85" t="s">
        <v>19</v>
      </c>
      <c r="C1754" s="85" t="s">
        <v>19</v>
      </c>
      <c r="D1754" s="86"/>
      <c r="E1754" s="116" t="str">
        <f t="shared" si="83"/>
        <v>-</v>
      </c>
      <c r="F1754" s="85"/>
      <c r="G1754" s="85" t="s">
        <v>19</v>
      </c>
      <c r="H1754" s="85"/>
      <c r="I1754" s="85"/>
      <c r="J1754" s="87"/>
      <c r="K1754" s="88">
        <f t="shared" si="84"/>
        <v>0</v>
      </c>
      <c r="L1754" s="85"/>
    </row>
    <row r="1755" spans="1:12" x14ac:dyDescent="0.25">
      <c r="A1755" s="84" t="str">
        <f t="shared" si="82"/>
        <v>SelecioneSelecioneSelecione</v>
      </c>
      <c r="B1755" s="85" t="s">
        <v>19</v>
      </c>
      <c r="C1755" s="85" t="s">
        <v>19</v>
      </c>
      <c r="D1755" s="86"/>
      <c r="E1755" s="116" t="str">
        <f t="shared" si="83"/>
        <v>-</v>
      </c>
      <c r="F1755" s="85"/>
      <c r="G1755" s="85" t="s">
        <v>19</v>
      </c>
      <c r="H1755" s="85"/>
      <c r="I1755" s="85"/>
      <c r="J1755" s="87"/>
      <c r="K1755" s="88">
        <f t="shared" si="84"/>
        <v>0</v>
      </c>
      <c r="L1755" s="85"/>
    </row>
    <row r="1756" spans="1:12" x14ac:dyDescent="0.25">
      <c r="A1756" s="84" t="str">
        <f t="shared" si="82"/>
        <v>SelecioneSelecioneSelecione</v>
      </c>
      <c r="B1756" s="85" t="s">
        <v>19</v>
      </c>
      <c r="C1756" s="85" t="s">
        <v>19</v>
      </c>
      <c r="D1756" s="86"/>
      <c r="E1756" s="116" t="str">
        <f t="shared" si="83"/>
        <v>-</v>
      </c>
      <c r="F1756" s="85"/>
      <c r="G1756" s="85" t="s">
        <v>19</v>
      </c>
      <c r="H1756" s="85"/>
      <c r="I1756" s="85"/>
      <c r="J1756" s="87"/>
      <c r="K1756" s="88">
        <f t="shared" si="84"/>
        <v>0</v>
      </c>
      <c r="L1756" s="85"/>
    </row>
    <row r="1757" spans="1:12" x14ac:dyDescent="0.25">
      <c r="A1757" s="84" t="str">
        <f t="shared" si="82"/>
        <v>SelecioneSelecioneSelecione</v>
      </c>
      <c r="B1757" s="85" t="s">
        <v>19</v>
      </c>
      <c r="C1757" s="85" t="s">
        <v>19</v>
      </c>
      <c r="D1757" s="86"/>
      <c r="E1757" s="116" t="str">
        <f t="shared" si="83"/>
        <v>-</v>
      </c>
      <c r="F1757" s="85"/>
      <c r="G1757" s="85" t="s">
        <v>19</v>
      </c>
      <c r="H1757" s="85"/>
      <c r="I1757" s="85"/>
      <c r="J1757" s="87"/>
      <c r="K1757" s="88">
        <f t="shared" si="84"/>
        <v>0</v>
      </c>
      <c r="L1757" s="85"/>
    </row>
    <row r="1758" spans="1:12" x14ac:dyDescent="0.25">
      <c r="A1758" s="84" t="str">
        <f t="shared" si="82"/>
        <v>SelecioneSelecioneSelecione</v>
      </c>
      <c r="B1758" s="85" t="s">
        <v>19</v>
      </c>
      <c r="C1758" s="85" t="s">
        <v>19</v>
      </c>
      <c r="D1758" s="86"/>
      <c r="E1758" s="116" t="str">
        <f t="shared" si="83"/>
        <v>-</v>
      </c>
      <c r="F1758" s="85"/>
      <c r="G1758" s="85" t="s">
        <v>19</v>
      </c>
      <c r="H1758" s="85"/>
      <c r="I1758" s="85"/>
      <c r="J1758" s="87"/>
      <c r="K1758" s="88">
        <f t="shared" si="84"/>
        <v>0</v>
      </c>
      <c r="L1758" s="85"/>
    </row>
    <row r="1759" spans="1:12" x14ac:dyDescent="0.25">
      <c r="A1759" s="84" t="str">
        <f t="shared" si="82"/>
        <v>SelecioneSelecioneSelecione</v>
      </c>
      <c r="B1759" s="85" t="s">
        <v>19</v>
      </c>
      <c r="C1759" s="85" t="s">
        <v>19</v>
      </c>
      <c r="D1759" s="86"/>
      <c r="E1759" s="116" t="str">
        <f t="shared" si="83"/>
        <v>-</v>
      </c>
      <c r="F1759" s="85"/>
      <c r="G1759" s="85" t="s">
        <v>19</v>
      </c>
      <c r="H1759" s="85"/>
      <c r="I1759" s="85"/>
      <c r="J1759" s="87"/>
      <c r="K1759" s="88">
        <f t="shared" si="84"/>
        <v>0</v>
      </c>
      <c r="L1759" s="85"/>
    </row>
    <row r="1760" spans="1:12" x14ac:dyDescent="0.25">
      <c r="A1760" s="84" t="str">
        <f t="shared" si="82"/>
        <v>SelecioneSelecioneSelecione</v>
      </c>
      <c r="B1760" s="85" t="s">
        <v>19</v>
      </c>
      <c r="C1760" s="85" t="s">
        <v>19</v>
      </c>
      <c r="D1760" s="86"/>
      <c r="E1760" s="116" t="str">
        <f t="shared" si="83"/>
        <v>-</v>
      </c>
      <c r="F1760" s="85"/>
      <c r="G1760" s="85" t="s">
        <v>19</v>
      </c>
      <c r="H1760" s="85"/>
      <c r="I1760" s="85"/>
      <c r="J1760" s="87"/>
      <c r="K1760" s="88">
        <f t="shared" si="84"/>
        <v>0</v>
      </c>
      <c r="L1760" s="85"/>
    </row>
    <row r="1761" spans="1:12" x14ac:dyDescent="0.25">
      <c r="A1761" s="84" t="str">
        <f t="shared" si="82"/>
        <v>SelecioneSelecioneSelecione</v>
      </c>
      <c r="B1761" s="85" t="s">
        <v>19</v>
      </c>
      <c r="C1761" s="85" t="s">
        <v>19</v>
      </c>
      <c r="D1761" s="86"/>
      <c r="E1761" s="116" t="str">
        <f t="shared" si="83"/>
        <v>-</v>
      </c>
      <c r="F1761" s="85"/>
      <c r="G1761" s="85" t="s">
        <v>19</v>
      </c>
      <c r="H1761" s="85"/>
      <c r="I1761" s="85"/>
      <c r="J1761" s="87"/>
      <c r="K1761" s="88">
        <f t="shared" si="84"/>
        <v>0</v>
      </c>
      <c r="L1761" s="85"/>
    </row>
    <row r="1762" spans="1:12" x14ac:dyDescent="0.25">
      <c r="A1762" s="84" t="str">
        <f t="shared" si="82"/>
        <v>SelecioneSelecioneSelecione</v>
      </c>
      <c r="B1762" s="85" t="s">
        <v>19</v>
      </c>
      <c r="C1762" s="85" t="s">
        <v>19</v>
      </c>
      <c r="D1762" s="86"/>
      <c r="E1762" s="116" t="str">
        <f t="shared" si="83"/>
        <v>-</v>
      </c>
      <c r="F1762" s="85"/>
      <c r="G1762" s="85" t="s">
        <v>19</v>
      </c>
      <c r="H1762" s="85"/>
      <c r="I1762" s="85"/>
      <c r="J1762" s="87"/>
      <c r="K1762" s="88">
        <f t="shared" si="84"/>
        <v>0</v>
      </c>
      <c r="L1762" s="85"/>
    </row>
    <row r="1763" spans="1:12" x14ac:dyDescent="0.25">
      <c r="A1763" s="84" t="str">
        <f t="shared" si="82"/>
        <v>SelecioneSelecioneSelecione</v>
      </c>
      <c r="B1763" s="85" t="s">
        <v>19</v>
      </c>
      <c r="C1763" s="85" t="s">
        <v>19</v>
      </c>
      <c r="D1763" s="86"/>
      <c r="E1763" s="116" t="str">
        <f t="shared" si="83"/>
        <v>-</v>
      </c>
      <c r="F1763" s="85"/>
      <c r="G1763" s="85" t="s">
        <v>19</v>
      </c>
      <c r="H1763" s="85"/>
      <c r="I1763" s="85"/>
      <c r="J1763" s="87"/>
      <c r="K1763" s="88">
        <f t="shared" si="84"/>
        <v>0</v>
      </c>
      <c r="L1763" s="85"/>
    </row>
    <row r="1764" spans="1:12" x14ac:dyDescent="0.25">
      <c r="A1764" s="84" t="str">
        <f t="shared" si="82"/>
        <v>SelecioneSelecioneSelecione</v>
      </c>
      <c r="B1764" s="85" t="s">
        <v>19</v>
      </c>
      <c r="C1764" s="85" t="s">
        <v>19</v>
      </c>
      <c r="D1764" s="86"/>
      <c r="E1764" s="116" t="str">
        <f t="shared" si="83"/>
        <v>-</v>
      </c>
      <c r="F1764" s="85"/>
      <c r="G1764" s="85" t="s">
        <v>19</v>
      </c>
      <c r="H1764" s="85"/>
      <c r="I1764" s="85"/>
      <c r="J1764" s="87"/>
      <c r="K1764" s="88">
        <f t="shared" si="84"/>
        <v>0</v>
      </c>
      <c r="L1764" s="85"/>
    </row>
    <row r="1765" spans="1:12" x14ac:dyDescent="0.25">
      <c r="A1765" s="84" t="str">
        <f t="shared" si="82"/>
        <v>SelecioneSelecioneSelecione</v>
      </c>
      <c r="B1765" s="85" t="s">
        <v>19</v>
      </c>
      <c r="C1765" s="85" t="s">
        <v>19</v>
      </c>
      <c r="D1765" s="86"/>
      <c r="E1765" s="116" t="str">
        <f t="shared" si="83"/>
        <v>-</v>
      </c>
      <c r="F1765" s="85"/>
      <c r="G1765" s="85" t="s">
        <v>19</v>
      </c>
      <c r="H1765" s="85"/>
      <c r="I1765" s="85"/>
      <c r="J1765" s="87"/>
      <c r="K1765" s="88">
        <f t="shared" si="84"/>
        <v>0</v>
      </c>
      <c r="L1765" s="85"/>
    </row>
    <row r="1766" spans="1:12" x14ac:dyDescent="0.25">
      <c r="A1766" s="84" t="str">
        <f t="shared" si="82"/>
        <v>SelecioneSelecioneSelecione</v>
      </c>
      <c r="B1766" s="85" t="s">
        <v>19</v>
      </c>
      <c r="C1766" s="85" t="s">
        <v>19</v>
      </c>
      <c r="D1766" s="86"/>
      <c r="E1766" s="116" t="str">
        <f t="shared" si="83"/>
        <v>-</v>
      </c>
      <c r="F1766" s="85"/>
      <c r="G1766" s="85" t="s">
        <v>19</v>
      </c>
      <c r="H1766" s="85"/>
      <c r="I1766" s="85"/>
      <c r="J1766" s="87"/>
      <c r="K1766" s="88">
        <f t="shared" si="84"/>
        <v>0</v>
      </c>
      <c r="L1766" s="85"/>
    </row>
    <row r="1767" spans="1:12" x14ac:dyDescent="0.25">
      <c r="A1767" s="84" t="str">
        <f t="shared" si="82"/>
        <v>SelecioneSelecioneSelecione</v>
      </c>
      <c r="B1767" s="85" t="s">
        <v>19</v>
      </c>
      <c r="C1767" s="85" t="s">
        <v>19</v>
      </c>
      <c r="D1767" s="86"/>
      <c r="E1767" s="116" t="str">
        <f t="shared" si="83"/>
        <v>-</v>
      </c>
      <c r="F1767" s="85"/>
      <c r="G1767" s="85" t="s">
        <v>19</v>
      </c>
      <c r="H1767" s="85"/>
      <c r="I1767" s="85"/>
      <c r="J1767" s="87"/>
      <c r="K1767" s="88">
        <f t="shared" si="84"/>
        <v>0</v>
      </c>
      <c r="L1767" s="85"/>
    </row>
    <row r="1768" spans="1:12" x14ac:dyDescent="0.25">
      <c r="A1768" s="84" t="str">
        <f t="shared" si="82"/>
        <v>SelecioneSelecioneSelecione</v>
      </c>
      <c r="B1768" s="85" t="s">
        <v>19</v>
      </c>
      <c r="C1768" s="85" t="s">
        <v>19</v>
      </c>
      <c r="D1768" s="86"/>
      <c r="E1768" s="116" t="str">
        <f t="shared" si="83"/>
        <v>-</v>
      </c>
      <c r="F1768" s="85"/>
      <c r="G1768" s="85" t="s">
        <v>19</v>
      </c>
      <c r="H1768" s="85"/>
      <c r="I1768" s="85"/>
      <c r="J1768" s="87"/>
      <c r="K1768" s="88">
        <f t="shared" si="84"/>
        <v>0</v>
      </c>
      <c r="L1768" s="85"/>
    </row>
    <row r="1769" spans="1:12" x14ac:dyDescent="0.25">
      <c r="A1769" s="84" t="str">
        <f t="shared" si="82"/>
        <v>SelecioneSelecioneSelecione</v>
      </c>
      <c r="B1769" s="85" t="s">
        <v>19</v>
      </c>
      <c r="C1769" s="85" t="s">
        <v>19</v>
      </c>
      <c r="D1769" s="86"/>
      <c r="E1769" s="116" t="str">
        <f t="shared" si="83"/>
        <v>-</v>
      </c>
      <c r="F1769" s="85"/>
      <c r="G1769" s="85" t="s">
        <v>19</v>
      </c>
      <c r="H1769" s="85"/>
      <c r="I1769" s="85"/>
      <c r="J1769" s="87"/>
      <c r="K1769" s="88">
        <f t="shared" si="84"/>
        <v>0</v>
      </c>
      <c r="L1769" s="85"/>
    </row>
    <row r="1770" spans="1:12" x14ac:dyDescent="0.25">
      <c r="A1770" s="84" t="str">
        <f t="shared" si="82"/>
        <v>SelecioneSelecioneSelecione</v>
      </c>
      <c r="B1770" s="85" t="s">
        <v>19</v>
      </c>
      <c r="C1770" s="85" t="s">
        <v>19</v>
      </c>
      <c r="D1770" s="86"/>
      <c r="E1770" s="116" t="str">
        <f t="shared" si="83"/>
        <v>-</v>
      </c>
      <c r="F1770" s="85"/>
      <c r="G1770" s="85" t="s">
        <v>19</v>
      </c>
      <c r="H1770" s="85"/>
      <c r="I1770" s="85"/>
      <c r="J1770" s="87"/>
      <c r="K1770" s="88">
        <f t="shared" si="84"/>
        <v>0</v>
      </c>
      <c r="L1770" s="85"/>
    </row>
    <row r="1771" spans="1:12" x14ac:dyDescent="0.25">
      <c r="A1771" s="84" t="str">
        <f t="shared" si="82"/>
        <v>SelecioneSelecioneSelecione</v>
      </c>
      <c r="B1771" s="85" t="s">
        <v>19</v>
      </c>
      <c r="C1771" s="85" t="s">
        <v>19</v>
      </c>
      <c r="D1771" s="86"/>
      <c r="E1771" s="116" t="str">
        <f t="shared" si="83"/>
        <v>-</v>
      </c>
      <c r="F1771" s="85"/>
      <c r="G1771" s="85" t="s">
        <v>19</v>
      </c>
      <c r="H1771" s="85"/>
      <c r="I1771" s="85"/>
      <c r="J1771" s="87"/>
      <c r="K1771" s="88">
        <f t="shared" si="84"/>
        <v>0</v>
      </c>
      <c r="L1771" s="85"/>
    </row>
    <row r="1772" spans="1:12" x14ac:dyDescent="0.25">
      <c r="A1772" s="84" t="str">
        <f t="shared" si="82"/>
        <v>SelecioneSelecioneSelecione</v>
      </c>
      <c r="B1772" s="85" t="s">
        <v>19</v>
      </c>
      <c r="C1772" s="85" t="s">
        <v>19</v>
      </c>
      <c r="D1772" s="86"/>
      <c r="E1772" s="116" t="str">
        <f t="shared" si="83"/>
        <v>-</v>
      </c>
      <c r="F1772" s="85"/>
      <c r="G1772" s="85" t="s">
        <v>19</v>
      </c>
      <c r="H1772" s="85"/>
      <c r="I1772" s="85"/>
      <c r="J1772" s="87"/>
      <c r="K1772" s="88">
        <f t="shared" si="84"/>
        <v>0</v>
      </c>
      <c r="L1772" s="85"/>
    </row>
    <row r="1773" spans="1:12" x14ac:dyDescent="0.25">
      <c r="A1773" s="84" t="str">
        <f t="shared" si="82"/>
        <v>SelecioneSelecioneSelecione</v>
      </c>
      <c r="B1773" s="85" t="s">
        <v>19</v>
      </c>
      <c r="C1773" s="85" t="s">
        <v>19</v>
      </c>
      <c r="D1773" s="86"/>
      <c r="E1773" s="116" t="str">
        <f t="shared" si="83"/>
        <v>-</v>
      </c>
      <c r="F1773" s="85"/>
      <c r="G1773" s="85" t="s">
        <v>19</v>
      </c>
      <c r="H1773" s="85"/>
      <c r="I1773" s="85"/>
      <c r="J1773" s="87"/>
      <c r="K1773" s="88">
        <f t="shared" si="84"/>
        <v>0</v>
      </c>
      <c r="L1773" s="85"/>
    </row>
    <row r="1774" spans="1:12" x14ac:dyDescent="0.25">
      <c r="A1774" s="84" t="str">
        <f t="shared" si="82"/>
        <v>SelecioneSelecioneSelecione</v>
      </c>
      <c r="B1774" s="85" t="s">
        <v>19</v>
      </c>
      <c r="C1774" s="85" t="s">
        <v>19</v>
      </c>
      <c r="D1774" s="86"/>
      <c r="E1774" s="116" t="str">
        <f t="shared" si="83"/>
        <v>-</v>
      </c>
      <c r="F1774" s="85"/>
      <c r="G1774" s="85" t="s">
        <v>19</v>
      </c>
      <c r="H1774" s="85"/>
      <c r="I1774" s="85"/>
      <c r="J1774" s="87"/>
      <c r="K1774" s="88">
        <f t="shared" si="84"/>
        <v>0</v>
      </c>
      <c r="L1774" s="85"/>
    </row>
    <row r="1775" spans="1:12" x14ac:dyDescent="0.25">
      <c r="A1775" s="84" t="str">
        <f t="shared" si="82"/>
        <v>SelecioneSelecioneSelecione</v>
      </c>
      <c r="B1775" s="85" t="s">
        <v>19</v>
      </c>
      <c r="C1775" s="85" t="s">
        <v>19</v>
      </c>
      <c r="D1775" s="86"/>
      <c r="E1775" s="116" t="str">
        <f t="shared" si="83"/>
        <v>-</v>
      </c>
      <c r="F1775" s="85"/>
      <c r="G1775" s="85" t="s">
        <v>19</v>
      </c>
      <c r="H1775" s="85"/>
      <c r="I1775" s="85"/>
      <c r="J1775" s="87"/>
      <c r="K1775" s="88">
        <f t="shared" si="84"/>
        <v>0</v>
      </c>
      <c r="L1775" s="85"/>
    </row>
    <row r="1776" spans="1:12" x14ac:dyDescent="0.25">
      <c r="A1776" s="84" t="str">
        <f t="shared" si="82"/>
        <v>SelecioneSelecioneSelecione</v>
      </c>
      <c r="B1776" s="85" t="s">
        <v>19</v>
      </c>
      <c r="C1776" s="85" t="s">
        <v>19</v>
      </c>
      <c r="D1776" s="86"/>
      <c r="E1776" s="116" t="str">
        <f t="shared" si="83"/>
        <v>-</v>
      </c>
      <c r="F1776" s="85"/>
      <c r="G1776" s="85" t="s">
        <v>19</v>
      </c>
      <c r="H1776" s="85"/>
      <c r="I1776" s="85"/>
      <c r="J1776" s="87"/>
      <c r="K1776" s="88">
        <f t="shared" si="84"/>
        <v>0</v>
      </c>
      <c r="L1776" s="85"/>
    </row>
    <row r="1777" spans="1:12" x14ac:dyDescent="0.25">
      <c r="A1777" s="84" t="str">
        <f t="shared" si="82"/>
        <v>SelecioneSelecioneSelecione</v>
      </c>
      <c r="B1777" s="85" t="s">
        <v>19</v>
      </c>
      <c r="C1777" s="85" t="s">
        <v>19</v>
      </c>
      <c r="D1777" s="86"/>
      <c r="E1777" s="116" t="str">
        <f t="shared" si="83"/>
        <v>-</v>
      </c>
      <c r="F1777" s="85"/>
      <c r="G1777" s="85" t="s">
        <v>19</v>
      </c>
      <c r="H1777" s="85"/>
      <c r="I1777" s="85"/>
      <c r="J1777" s="87"/>
      <c r="K1777" s="88">
        <f t="shared" si="84"/>
        <v>0</v>
      </c>
      <c r="L1777" s="85"/>
    </row>
    <row r="1778" spans="1:12" x14ac:dyDescent="0.25">
      <c r="A1778" s="84" t="str">
        <f t="shared" si="82"/>
        <v>SelecioneSelecioneSelecione</v>
      </c>
      <c r="B1778" s="85" t="s">
        <v>19</v>
      </c>
      <c r="C1778" s="85" t="s">
        <v>19</v>
      </c>
      <c r="D1778" s="86"/>
      <c r="E1778" s="116" t="str">
        <f t="shared" si="83"/>
        <v>-</v>
      </c>
      <c r="F1778" s="85"/>
      <c r="G1778" s="85" t="s">
        <v>19</v>
      </c>
      <c r="H1778" s="85"/>
      <c r="I1778" s="85"/>
      <c r="J1778" s="87"/>
      <c r="K1778" s="88">
        <f t="shared" si="84"/>
        <v>0</v>
      </c>
      <c r="L1778" s="85"/>
    </row>
    <row r="1779" spans="1:12" x14ac:dyDescent="0.25">
      <c r="A1779" s="84" t="str">
        <f t="shared" si="82"/>
        <v>SelecioneSelecioneSelecione</v>
      </c>
      <c r="B1779" s="85" t="s">
        <v>19</v>
      </c>
      <c r="C1779" s="85" t="s">
        <v>19</v>
      </c>
      <c r="D1779" s="86"/>
      <c r="E1779" s="116" t="str">
        <f t="shared" si="83"/>
        <v>-</v>
      </c>
      <c r="F1779" s="85"/>
      <c r="G1779" s="85" t="s">
        <v>19</v>
      </c>
      <c r="H1779" s="85"/>
      <c r="I1779" s="85"/>
      <c r="J1779" s="87"/>
      <c r="K1779" s="88">
        <f t="shared" si="84"/>
        <v>0</v>
      </c>
      <c r="L1779" s="85"/>
    </row>
    <row r="1780" spans="1:12" x14ac:dyDescent="0.25">
      <c r="A1780" s="84" t="str">
        <f t="shared" si="82"/>
        <v>SelecioneSelecioneSelecione</v>
      </c>
      <c r="B1780" s="85" t="s">
        <v>19</v>
      </c>
      <c r="C1780" s="85" t="s">
        <v>19</v>
      </c>
      <c r="D1780" s="86"/>
      <c r="E1780" s="116" t="str">
        <f t="shared" si="83"/>
        <v>-</v>
      </c>
      <c r="F1780" s="85"/>
      <c r="G1780" s="85" t="s">
        <v>19</v>
      </c>
      <c r="H1780" s="85"/>
      <c r="I1780" s="85"/>
      <c r="J1780" s="87"/>
      <c r="K1780" s="88">
        <f t="shared" si="84"/>
        <v>0</v>
      </c>
      <c r="L1780" s="85"/>
    </row>
    <row r="1781" spans="1:12" x14ac:dyDescent="0.25">
      <c r="A1781" s="84" t="str">
        <f t="shared" si="82"/>
        <v>SelecioneSelecioneSelecione</v>
      </c>
      <c r="B1781" s="85" t="s">
        <v>19</v>
      </c>
      <c r="C1781" s="85" t="s">
        <v>19</v>
      </c>
      <c r="D1781" s="86"/>
      <c r="E1781" s="116" t="str">
        <f t="shared" si="83"/>
        <v>-</v>
      </c>
      <c r="F1781" s="85"/>
      <c r="G1781" s="85" t="s">
        <v>19</v>
      </c>
      <c r="H1781" s="85"/>
      <c r="I1781" s="85"/>
      <c r="J1781" s="87"/>
      <c r="K1781" s="88">
        <f t="shared" si="84"/>
        <v>0</v>
      </c>
      <c r="L1781" s="85"/>
    </row>
    <row r="1782" spans="1:12" x14ac:dyDescent="0.25">
      <c r="A1782" s="84" t="str">
        <f t="shared" si="82"/>
        <v>SelecioneSelecioneSelecione</v>
      </c>
      <c r="B1782" s="85" t="s">
        <v>19</v>
      </c>
      <c r="C1782" s="85" t="s">
        <v>19</v>
      </c>
      <c r="D1782" s="86"/>
      <c r="E1782" s="116" t="str">
        <f t="shared" si="83"/>
        <v>-</v>
      </c>
      <c r="F1782" s="85"/>
      <c r="G1782" s="85" t="s">
        <v>19</v>
      </c>
      <c r="H1782" s="85"/>
      <c r="I1782" s="85"/>
      <c r="J1782" s="87"/>
      <c r="K1782" s="88">
        <f t="shared" si="84"/>
        <v>0</v>
      </c>
      <c r="L1782" s="85"/>
    </row>
    <row r="1783" spans="1:12" x14ac:dyDescent="0.25">
      <c r="A1783" s="84" t="str">
        <f t="shared" si="82"/>
        <v>SelecioneSelecioneSelecione</v>
      </c>
      <c r="B1783" s="85" t="s">
        <v>19</v>
      </c>
      <c r="C1783" s="85" t="s">
        <v>19</v>
      </c>
      <c r="D1783" s="86"/>
      <c r="E1783" s="116" t="str">
        <f t="shared" si="83"/>
        <v>-</v>
      </c>
      <c r="F1783" s="85"/>
      <c r="G1783" s="85" t="s">
        <v>19</v>
      </c>
      <c r="H1783" s="85"/>
      <c r="I1783" s="85"/>
      <c r="J1783" s="87"/>
      <c r="K1783" s="88">
        <f t="shared" si="84"/>
        <v>0</v>
      </c>
      <c r="L1783" s="85"/>
    </row>
    <row r="1784" spans="1:12" x14ac:dyDescent="0.25">
      <c r="A1784" s="84" t="str">
        <f t="shared" si="82"/>
        <v>SelecioneSelecioneSelecione</v>
      </c>
      <c r="B1784" s="85" t="s">
        <v>19</v>
      </c>
      <c r="C1784" s="85" t="s">
        <v>19</v>
      </c>
      <c r="D1784" s="86"/>
      <c r="E1784" s="116" t="str">
        <f t="shared" si="83"/>
        <v>-</v>
      </c>
      <c r="F1784" s="85"/>
      <c r="G1784" s="85" t="s">
        <v>19</v>
      </c>
      <c r="H1784" s="85"/>
      <c r="I1784" s="85"/>
      <c r="J1784" s="87"/>
      <c r="K1784" s="88">
        <f t="shared" si="84"/>
        <v>0</v>
      </c>
      <c r="L1784" s="85"/>
    </row>
    <row r="1785" spans="1:12" x14ac:dyDescent="0.25">
      <c r="A1785" s="84" t="str">
        <f t="shared" si="82"/>
        <v>SelecioneSelecioneSelecione</v>
      </c>
      <c r="B1785" s="85" t="s">
        <v>19</v>
      </c>
      <c r="C1785" s="85" t="s">
        <v>19</v>
      </c>
      <c r="D1785" s="86"/>
      <c r="E1785" s="116" t="str">
        <f t="shared" si="83"/>
        <v>-</v>
      </c>
      <c r="F1785" s="85"/>
      <c r="G1785" s="85" t="s">
        <v>19</v>
      </c>
      <c r="H1785" s="85"/>
      <c r="I1785" s="85"/>
      <c r="J1785" s="87"/>
      <c r="K1785" s="88">
        <f t="shared" si="84"/>
        <v>0</v>
      </c>
      <c r="L1785" s="85"/>
    </row>
    <row r="1786" spans="1:12" x14ac:dyDescent="0.25">
      <c r="A1786" s="84" t="str">
        <f t="shared" si="82"/>
        <v>SelecioneSelecioneSelecione</v>
      </c>
      <c r="B1786" s="85" t="s">
        <v>19</v>
      </c>
      <c r="C1786" s="85" t="s">
        <v>19</v>
      </c>
      <c r="D1786" s="86"/>
      <c r="E1786" s="116" t="str">
        <f t="shared" si="83"/>
        <v>-</v>
      </c>
      <c r="F1786" s="85"/>
      <c r="G1786" s="85" t="s">
        <v>19</v>
      </c>
      <c r="H1786" s="85"/>
      <c r="I1786" s="85"/>
      <c r="J1786" s="87"/>
      <c r="K1786" s="88">
        <f t="shared" si="84"/>
        <v>0</v>
      </c>
      <c r="L1786" s="85"/>
    </row>
    <row r="1787" spans="1:12" x14ac:dyDescent="0.25">
      <c r="A1787" s="84" t="str">
        <f t="shared" si="82"/>
        <v>SelecioneSelecioneSelecione</v>
      </c>
      <c r="B1787" s="85" t="s">
        <v>19</v>
      </c>
      <c r="C1787" s="85" t="s">
        <v>19</v>
      </c>
      <c r="D1787" s="86"/>
      <c r="E1787" s="116" t="str">
        <f t="shared" si="83"/>
        <v>-</v>
      </c>
      <c r="F1787" s="85"/>
      <c r="G1787" s="85" t="s">
        <v>19</v>
      </c>
      <c r="H1787" s="85"/>
      <c r="I1787" s="85"/>
      <c r="J1787" s="87"/>
      <c r="K1787" s="88">
        <f t="shared" si="84"/>
        <v>0</v>
      </c>
      <c r="L1787" s="85"/>
    </row>
    <row r="1788" spans="1:12" x14ac:dyDescent="0.25">
      <c r="A1788" s="84" t="str">
        <f t="shared" si="82"/>
        <v>SelecioneSelecioneSelecione</v>
      </c>
      <c r="B1788" s="85" t="s">
        <v>19</v>
      </c>
      <c r="C1788" s="85" t="s">
        <v>19</v>
      </c>
      <c r="D1788" s="86"/>
      <c r="E1788" s="116" t="str">
        <f t="shared" si="83"/>
        <v>-</v>
      </c>
      <c r="F1788" s="85"/>
      <c r="G1788" s="85" t="s">
        <v>19</v>
      </c>
      <c r="H1788" s="85"/>
      <c r="I1788" s="85"/>
      <c r="J1788" s="87"/>
      <c r="K1788" s="88">
        <f t="shared" si="84"/>
        <v>0</v>
      </c>
      <c r="L1788" s="85"/>
    </row>
    <row r="1789" spans="1:12" x14ac:dyDescent="0.25">
      <c r="A1789" s="84" t="str">
        <f t="shared" si="82"/>
        <v>SelecioneSelecioneSelecione</v>
      </c>
      <c r="B1789" s="85" t="s">
        <v>19</v>
      </c>
      <c r="C1789" s="85" t="s">
        <v>19</v>
      </c>
      <c r="D1789" s="86"/>
      <c r="E1789" s="116" t="str">
        <f t="shared" si="83"/>
        <v>-</v>
      </c>
      <c r="F1789" s="85"/>
      <c r="G1789" s="85" t="s">
        <v>19</v>
      </c>
      <c r="H1789" s="85"/>
      <c r="I1789" s="85"/>
      <c r="J1789" s="87"/>
      <c r="K1789" s="88">
        <f t="shared" si="84"/>
        <v>0</v>
      </c>
      <c r="L1789" s="85"/>
    </row>
    <row r="1790" spans="1:12" x14ac:dyDescent="0.25">
      <c r="A1790" s="84" t="str">
        <f t="shared" si="82"/>
        <v>SelecioneSelecioneSelecione</v>
      </c>
      <c r="B1790" s="85" t="s">
        <v>19</v>
      </c>
      <c r="C1790" s="85" t="s">
        <v>19</v>
      </c>
      <c r="D1790" s="86"/>
      <c r="E1790" s="116" t="str">
        <f t="shared" si="83"/>
        <v>-</v>
      </c>
      <c r="F1790" s="85"/>
      <c r="G1790" s="85" t="s">
        <v>19</v>
      </c>
      <c r="H1790" s="85"/>
      <c r="I1790" s="85"/>
      <c r="J1790" s="87"/>
      <c r="K1790" s="88">
        <f t="shared" si="84"/>
        <v>0</v>
      </c>
      <c r="L1790" s="85"/>
    </row>
    <row r="1791" spans="1:12" x14ac:dyDescent="0.25">
      <c r="A1791" s="84" t="str">
        <f t="shared" si="82"/>
        <v>SelecioneSelecioneSelecione</v>
      </c>
      <c r="B1791" s="85" t="s">
        <v>19</v>
      </c>
      <c r="C1791" s="85" t="s">
        <v>19</v>
      </c>
      <c r="D1791" s="86"/>
      <c r="E1791" s="116" t="str">
        <f t="shared" si="83"/>
        <v>-</v>
      </c>
      <c r="F1791" s="85"/>
      <c r="G1791" s="85" t="s">
        <v>19</v>
      </c>
      <c r="H1791" s="85"/>
      <c r="I1791" s="85"/>
      <c r="J1791" s="87"/>
      <c r="K1791" s="88">
        <f t="shared" si="84"/>
        <v>0</v>
      </c>
      <c r="L1791" s="85"/>
    </row>
    <row r="1792" spans="1:12" x14ac:dyDescent="0.25">
      <c r="A1792" s="84" t="str">
        <f t="shared" si="82"/>
        <v>SelecioneSelecioneSelecione</v>
      </c>
      <c r="B1792" s="85" t="s">
        <v>19</v>
      </c>
      <c r="C1792" s="85" t="s">
        <v>19</v>
      </c>
      <c r="D1792" s="86"/>
      <c r="E1792" s="116" t="str">
        <f t="shared" si="83"/>
        <v>-</v>
      </c>
      <c r="F1792" s="85"/>
      <c r="G1792" s="85" t="s">
        <v>19</v>
      </c>
      <c r="H1792" s="85"/>
      <c r="I1792" s="85"/>
      <c r="J1792" s="87"/>
      <c r="K1792" s="88">
        <f t="shared" si="84"/>
        <v>0</v>
      </c>
      <c r="L1792" s="85"/>
    </row>
    <row r="1793" spans="1:12" x14ac:dyDescent="0.25">
      <c r="A1793" s="84" t="str">
        <f t="shared" si="82"/>
        <v>SelecioneSelecioneSelecione</v>
      </c>
      <c r="B1793" s="85" t="s">
        <v>19</v>
      </c>
      <c r="C1793" s="85" t="s">
        <v>19</v>
      </c>
      <c r="D1793" s="86"/>
      <c r="E1793" s="116" t="str">
        <f t="shared" si="83"/>
        <v>-</v>
      </c>
      <c r="F1793" s="85"/>
      <c r="G1793" s="85" t="s">
        <v>19</v>
      </c>
      <c r="H1793" s="85"/>
      <c r="I1793" s="85"/>
      <c r="J1793" s="87"/>
      <c r="K1793" s="88">
        <f t="shared" si="84"/>
        <v>0</v>
      </c>
      <c r="L1793" s="85"/>
    </row>
    <row r="1794" spans="1:12" x14ac:dyDescent="0.25">
      <c r="A1794" s="84" t="str">
        <f t="shared" ref="A1794:A1857" si="85">CONCATENATE(B1794,C1794,G1794)</f>
        <v>SelecioneSelecioneSelecione</v>
      </c>
      <c r="B1794" s="85" t="s">
        <v>19</v>
      </c>
      <c r="C1794" s="85" t="s">
        <v>19</v>
      </c>
      <c r="D1794" s="86"/>
      <c r="E1794" s="116" t="str">
        <f t="shared" ref="E1794:E1857" si="86">VLOOKUP(G1794,$M$1:$O$968,3,0)</f>
        <v>-</v>
      </c>
      <c r="F1794" s="85"/>
      <c r="G1794" s="85" t="s">
        <v>19</v>
      </c>
      <c r="H1794" s="85"/>
      <c r="I1794" s="85"/>
      <c r="J1794" s="87"/>
      <c r="K1794" s="88">
        <f t="shared" ref="K1794:K1857" si="87">I1794*J1794</f>
        <v>0</v>
      </c>
      <c r="L1794" s="85"/>
    </row>
    <row r="1795" spans="1:12" x14ac:dyDescent="0.25">
      <c r="A1795" s="84" t="str">
        <f t="shared" si="85"/>
        <v>SelecioneSelecioneSelecione</v>
      </c>
      <c r="B1795" s="85" t="s">
        <v>19</v>
      </c>
      <c r="C1795" s="85" t="s">
        <v>19</v>
      </c>
      <c r="D1795" s="86"/>
      <c r="E1795" s="116" t="str">
        <f t="shared" si="86"/>
        <v>-</v>
      </c>
      <c r="F1795" s="85"/>
      <c r="G1795" s="85" t="s">
        <v>19</v>
      </c>
      <c r="H1795" s="85"/>
      <c r="I1795" s="85"/>
      <c r="J1795" s="87"/>
      <c r="K1795" s="88">
        <f t="shared" si="87"/>
        <v>0</v>
      </c>
      <c r="L1795" s="85"/>
    </row>
    <row r="1796" spans="1:12" x14ac:dyDescent="0.25">
      <c r="A1796" s="84" t="str">
        <f t="shared" si="85"/>
        <v>SelecioneSelecioneSelecione</v>
      </c>
      <c r="B1796" s="85" t="s">
        <v>19</v>
      </c>
      <c r="C1796" s="85" t="s">
        <v>19</v>
      </c>
      <c r="D1796" s="86"/>
      <c r="E1796" s="116" t="str">
        <f t="shared" si="86"/>
        <v>-</v>
      </c>
      <c r="F1796" s="85"/>
      <c r="G1796" s="85" t="s">
        <v>19</v>
      </c>
      <c r="H1796" s="85"/>
      <c r="I1796" s="85"/>
      <c r="J1796" s="87"/>
      <c r="K1796" s="88">
        <f t="shared" si="87"/>
        <v>0</v>
      </c>
      <c r="L1796" s="85"/>
    </row>
    <row r="1797" spans="1:12" x14ac:dyDescent="0.25">
      <c r="A1797" s="84" t="str">
        <f t="shared" si="85"/>
        <v>SelecioneSelecioneSelecione</v>
      </c>
      <c r="B1797" s="85" t="s">
        <v>19</v>
      </c>
      <c r="C1797" s="85" t="s">
        <v>19</v>
      </c>
      <c r="D1797" s="86"/>
      <c r="E1797" s="116" t="str">
        <f t="shared" si="86"/>
        <v>-</v>
      </c>
      <c r="F1797" s="85"/>
      <c r="G1797" s="85" t="s">
        <v>19</v>
      </c>
      <c r="H1797" s="85"/>
      <c r="I1797" s="85"/>
      <c r="J1797" s="87"/>
      <c r="K1797" s="88">
        <f t="shared" si="87"/>
        <v>0</v>
      </c>
      <c r="L1797" s="85"/>
    </row>
    <row r="1798" spans="1:12" x14ac:dyDescent="0.25">
      <c r="A1798" s="84" t="str">
        <f t="shared" si="85"/>
        <v>SelecioneSelecioneSelecione</v>
      </c>
      <c r="B1798" s="85" t="s">
        <v>19</v>
      </c>
      <c r="C1798" s="85" t="s">
        <v>19</v>
      </c>
      <c r="D1798" s="86"/>
      <c r="E1798" s="116" t="str">
        <f t="shared" si="86"/>
        <v>-</v>
      </c>
      <c r="F1798" s="85"/>
      <c r="G1798" s="85" t="s">
        <v>19</v>
      </c>
      <c r="H1798" s="85"/>
      <c r="I1798" s="85"/>
      <c r="J1798" s="87"/>
      <c r="K1798" s="88">
        <f t="shared" si="87"/>
        <v>0</v>
      </c>
      <c r="L1798" s="85"/>
    </row>
    <row r="1799" spans="1:12" x14ac:dyDescent="0.25">
      <c r="A1799" s="84" t="str">
        <f t="shared" si="85"/>
        <v>SelecioneSelecioneSelecione</v>
      </c>
      <c r="B1799" s="85" t="s">
        <v>19</v>
      </c>
      <c r="C1799" s="85" t="s">
        <v>19</v>
      </c>
      <c r="D1799" s="86"/>
      <c r="E1799" s="116" t="str">
        <f t="shared" si="86"/>
        <v>-</v>
      </c>
      <c r="F1799" s="85"/>
      <c r="G1799" s="85" t="s">
        <v>19</v>
      </c>
      <c r="H1799" s="85"/>
      <c r="I1799" s="85"/>
      <c r="J1799" s="87"/>
      <c r="K1799" s="88">
        <f t="shared" si="87"/>
        <v>0</v>
      </c>
      <c r="L1799" s="85"/>
    </row>
    <row r="1800" spans="1:12" x14ac:dyDescent="0.25">
      <c r="A1800" s="84" t="str">
        <f t="shared" si="85"/>
        <v>SelecioneSelecioneSelecione</v>
      </c>
      <c r="B1800" s="85" t="s">
        <v>19</v>
      </c>
      <c r="C1800" s="85" t="s">
        <v>19</v>
      </c>
      <c r="D1800" s="86"/>
      <c r="E1800" s="116" t="str">
        <f t="shared" si="86"/>
        <v>-</v>
      </c>
      <c r="F1800" s="85"/>
      <c r="G1800" s="85" t="s">
        <v>19</v>
      </c>
      <c r="H1800" s="85"/>
      <c r="I1800" s="85"/>
      <c r="J1800" s="87"/>
      <c r="K1800" s="88">
        <f t="shared" si="87"/>
        <v>0</v>
      </c>
      <c r="L1800" s="85"/>
    </row>
    <row r="1801" spans="1:12" x14ac:dyDescent="0.25">
      <c r="A1801" s="84" t="str">
        <f t="shared" si="85"/>
        <v>SelecioneSelecioneSelecione</v>
      </c>
      <c r="B1801" s="85" t="s">
        <v>19</v>
      </c>
      <c r="C1801" s="85" t="s">
        <v>19</v>
      </c>
      <c r="D1801" s="86"/>
      <c r="E1801" s="116" t="str">
        <f t="shared" si="86"/>
        <v>-</v>
      </c>
      <c r="F1801" s="85"/>
      <c r="G1801" s="85" t="s">
        <v>19</v>
      </c>
      <c r="H1801" s="85"/>
      <c r="I1801" s="85"/>
      <c r="J1801" s="87"/>
      <c r="K1801" s="88">
        <f t="shared" si="87"/>
        <v>0</v>
      </c>
      <c r="L1801" s="85"/>
    </row>
    <row r="1802" spans="1:12" x14ac:dyDescent="0.25">
      <c r="A1802" s="84" t="str">
        <f t="shared" si="85"/>
        <v>SelecioneSelecioneSelecione</v>
      </c>
      <c r="B1802" s="85" t="s">
        <v>19</v>
      </c>
      <c r="C1802" s="85" t="s">
        <v>19</v>
      </c>
      <c r="D1802" s="86"/>
      <c r="E1802" s="116" t="str">
        <f t="shared" si="86"/>
        <v>-</v>
      </c>
      <c r="F1802" s="85"/>
      <c r="G1802" s="85" t="s">
        <v>19</v>
      </c>
      <c r="H1802" s="85"/>
      <c r="I1802" s="85"/>
      <c r="J1802" s="87"/>
      <c r="K1802" s="88">
        <f t="shared" si="87"/>
        <v>0</v>
      </c>
      <c r="L1802" s="85"/>
    </row>
    <row r="1803" spans="1:12" x14ac:dyDescent="0.25">
      <c r="A1803" s="84" t="str">
        <f t="shared" si="85"/>
        <v>SelecioneSelecioneSelecione</v>
      </c>
      <c r="B1803" s="85" t="s">
        <v>19</v>
      </c>
      <c r="C1803" s="85" t="s">
        <v>19</v>
      </c>
      <c r="D1803" s="86"/>
      <c r="E1803" s="116" t="str">
        <f t="shared" si="86"/>
        <v>-</v>
      </c>
      <c r="F1803" s="85"/>
      <c r="G1803" s="85" t="s">
        <v>19</v>
      </c>
      <c r="H1803" s="85"/>
      <c r="I1803" s="85"/>
      <c r="J1803" s="87"/>
      <c r="K1803" s="88">
        <f t="shared" si="87"/>
        <v>0</v>
      </c>
      <c r="L1803" s="85"/>
    </row>
    <row r="1804" spans="1:12" x14ac:dyDescent="0.25">
      <c r="A1804" s="84" t="str">
        <f t="shared" si="85"/>
        <v>SelecioneSelecioneSelecione</v>
      </c>
      <c r="B1804" s="85" t="s">
        <v>19</v>
      </c>
      <c r="C1804" s="85" t="s">
        <v>19</v>
      </c>
      <c r="D1804" s="86"/>
      <c r="E1804" s="116" t="str">
        <f t="shared" si="86"/>
        <v>-</v>
      </c>
      <c r="F1804" s="85"/>
      <c r="G1804" s="85" t="s">
        <v>19</v>
      </c>
      <c r="H1804" s="85"/>
      <c r="I1804" s="85"/>
      <c r="J1804" s="87"/>
      <c r="K1804" s="88">
        <f t="shared" si="87"/>
        <v>0</v>
      </c>
      <c r="L1804" s="85"/>
    </row>
    <row r="1805" spans="1:12" x14ac:dyDescent="0.25">
      <c r="A1805" s="84" t="str">
        <f t="shared" si="85"/>
        <v>SelecioneSelecioneSelecione</v>
      </c>
      <c r="B1805" s="85" t="s">
        <v>19</v>
      </c>
      <c r="C1805" s="85" t="s">
        <v>19</v>
      </c>
      <c r="D1805" s="86"/>
      <c r="E1805" s="116" t="str">
        <f t="shared" si="86"/>
        <v>-</v>
      </c>
      <c r="F1805" s="85"/>
      <c r="G1805" s="85" t="s">
        <v>19</v>
      </c>
      <c r="H1805" s="85"/>
      <c r="I1805" s="85"/>
      <c r="J1805" s="87"/>
      <c r="K1805" s="88">
        <f t="shared" si="87"/>
        <v>0</v>
      </c>
      <c r="L1805" s="85"/>
    </row>
    <row r="1806" spans="1:12" x14ac:dyDescent="0.25">
      <c r="A1806" s="84" t="str">
        <f t="shared" si="85"/>
        <v>SelecioneSelecioneSelecione</v>
      </c>
      <c r="B1806" s="85" t="s">
        <v>19</v>
      </c>
      <c r="C1806" s="85" t="s">
        <v>19</v>
      </c>
      <c r="D1806" s="86"/>
      <c r="E1806" s="116" t="str">
        <f t="shared" si="86"/>
        <v>-</v>
      </c>
      <c r="F1806" s="85"/>
      <c r="G1806" s="85" t="s">
        <v>19</v>
      </c>
      <c r="H1806" s="85"/>
      <c r="I1806" s="85"/>
      <c r="J1806" s="87"/>
      <c r="K1806" s="88">
        <f t="shared" si="87"/>
        <v>0</v>
      </c>
      <c r="L1806" s="85"/>
    </row>
    <row r="1807" spans="1:12" x14ac:dyDescent="0.25">
      <c r="A1807" s="84" t="str">
        <f t="shared" si="85"/>
        <v>SelecioneSelecioneSelecione</v>
      </c>
      <c r="B1807" s="85" t="s">
        <v>19</v>
      </c>
      <c r="C1807" s="85" t="s">
        <v>19</v>
      </c>
      <c r="D1807" s="86"/>
      <c r="E1807" s="116" t="str">
        <f t="shared" si="86"/>
        <v>-</v>
      </c>
      <c r="F1807" s="85"/>
      <c r="G1807" s="85" t="s">
        <v>19</v>
      </c>
      <c r="H1807" s="85"/>
      <c r="I1807" s="85"/>
      <c r="J1807" s="87"/>
      <c r="K1807" s="88">
        <f t="shared" si="87"/>
        <v>0</v>
      </c>
      <c r="L1807" s="85"/>
    </row>
    <row r="1808" spans="1:12" x14ac:dyDescent="0.25">
      <c r="A1808" s="84" t="str">
        <f t="shared" si="85"/>
        <v>SelecioneSelecioneSelecione</v>
      </c>
      <c r="B1808" s="85" t="s">
        <v>19</v>
      </c>
      <c r="C1808" s="85" t="s">
        <v>19</v>
      </c>
      <c r="D1808" s="86"/>
      <c r="E1808" s="116" t="str">
        <f t="shared" si="86"/>
        <v>-</v>
      </c>
      <c r="F1808" s="85"/>
      <c r="G1808" s="85" t="s">
        <v>19</v>
      </c>
      <c r="H1808" s="85"/>
      <c r="I1808" s="85"/>
      <c r="J1808" s="87"/>
      <c r="K1808" s="88">
        <f t="shared" si="87"/>
        <v>0</v>
      </c>
      <c r="L1808" s="85"/>
    </row>
    <row r="1809" spans="1:12" x14ac:dyDescent="0.25">
      <c r="A1809" s="84" t="str">
        <f t="shared" si="85"/>
        <v>SelecioneSelecioneSelecione</v>
      </c>
      <c r="B1809" s="85" t="s">
        <v>19</v>
      </c>
      <c r="C1809" s="85" t="s">
        <v>19</v>
      </c>
      <c r="D1809" s="86"/>
      <c r="E1809" s="116" t="str">
        <f t="shared" si="86"/>
        <v>-</v>
      </c>
      <c r="F1809" s="85"/>
      <c r="G1809" s="85" t="s">
        <v>19</v>
      </c>
      <c r="H1809" s="85"/>
      <c r="I1809" s="85"/>
      <c r="J1809" s="87"/>
      <c r="K1809" s="88">
        <f t="shared" si="87"/>
        <v>0</v>
      </c>
      <c r="L1809" s="85"/>
    </row>
    <row r="1810" spans="1:12" x14ac:dyDescent="0.25">
      <c r="A1810" s="84" t="str">
        <f t="shared" si="85"/>
        <v>SelecioneSelecioneSelecione</v>
      </c>
      <c r="B1810" s="85" t="s">
        <v>19</v>
      </c>
      <c r="C1810" s="85" t="s">
        <v>19</v>
      </c>
      <c r="D1810" s="86"/>
      <c r="E1810" s="116" t="str">
        <f t="shared" si="86"/>
        <v>-</v>
      </c>
      <c r="F1810" s="85"/>
      <c r="G1810" s="85" t="s">
        <v>19</v>
      </c>
      <c r="H1810" s="85"/>
      <c r="I1810" s="85"/>
      <c r="J1810" s="87"/>
      <c r="K1810" s="88">
        <f t="shared" si="87"/>
        <v>0</v>
      </c>
      <c r="L1810" s="85"/>
    </row>
    <row r="1811" spans="1:12" x14ac:dyDescent="0.25">
      <c r="A1811" s="84" t="str">
        <f t="shared" si="85"/>
        <v>SelecioneSelecioneSelecione</v>
      </c>
      <c r="B1811" s="85" t="s">
        <v>19</v>
      </c>
      <c r="C1811" s="85" t="s">
        <v>19</v>
      </c>
      <c r="D1811" s="86"/>
      <c r="E1811" s="116" t="str">
        <f t="shared" si="86"/>
        <v>-</v>
      </c>
      <c r="F1811" s="85"/>
      <c r="G1811" s="85" t="s">
        <v>19</v>
      </c>
      <c r="H1811" s="85"/>
      <c r="I1811" s="85"/>
      <c r="J1811" s="87"/>
      <c r="K1811" s="88">
        <f t="shared" si="87"/>
        <v>0</v>
      </c>
      <c r="L1811" s="85"/>
    </row>
    <row r="1812" spans="1:12" x14ac:dyDescent="0.25">
      <c r="A1812" s="84" t="str">
        <f t="shared" si="85"/>
        <v>SelecioneSelecioneSelecione</v>
      </c>
      <c r="B1812" s="85" t="s">
        <v>19</v>
      </c>
      <c r="C1812" s="85" t="s">
        <v>19</v>
      </c>
      <c r="D1812" s="86"/>
      <c r="E1812" s="116" t="str">
        <f t="shared" si="86"/>
        <v>-</v>
      </c>
      <c r="F1812" s="85"/>
      <c r="G1812" s="85" t="s">
        <v>19</v>
      </c>
      <c r="H1812" s="85"/>
      <c r="I1812" s="85"/>
      <c r="J1812" s="87"/>
      <c r="K1812" s="88">
        <f t="shared" si="87"/>
        <v>0</v>
      </c>
      <c r="L1812" s="85"/>
    </row>
    <row r="1813" spans="1:12" x14ac:dyDescent="0.25">
      <c r="A1813" s="84" t="str">
        <f t="shared" si="85"/>
        <v>SelecioneSelecioneSelecione</v>
      </c>
      <c r="B1813" s="85" t="s">
        <v>19</v>
      </c>
      <c r="C1813" s="85" t="s">
        <v>19</v>
      </c>
      <c r="D1813" s="86"/>
      <c r="E1813" s="116" t="str">
        <f t="shared" si="86"/>
        <v>-</v>
      </c>
      <c r="F1813" s="85"/>
      <c r="G1813" s="85" t="s">
        <v>19</v>
      </c>
      <c r="H1813" s="85"/>
      <c r="I1813" s="85"/>
      <c r="J1813" s="87"/>
      <c r="K1813" s="88">
        <f t="shared" si="87"/>
        <v>0</v>
      </c>
      <c r="L1813" s="85"/>
    </row>
    <row r="1814" spans="1:12" x14ac:dyDescent="0.25">
      <c r="A1814" s="84" t="str">
        <f t="shared" si="85"/>
        <v>SelecioneSelecioneSelecione</v>
      </c>
      <c r="B1814" s="85" t="s">
        <v>19</v>
      </c>
      <c r="C1814" s="85" t="s">
        <v>19</v>
      </c>
      <c r="D1814" s="86"/>
      <c r="E1814" s="116" t="str">
        <f t="shared" si="86"/>
        <v>-</v>
      </c>
      <c r="F1814" s="85"/>
      <c r="G1814" s="85" t="s">
        <v>19</v>
      </c>
      <c r="H1814" s="85"/>
      <c r="I1814" s="85"/>
      <c r="J1814" s="87"/>
      <c r="K1814" s="88">
        <f t="shared" si="87"/>
        <v>0</v>
      </c>
      <c r="L1814" s="85"/>
    </row>
    <row r="1815" spans="1:12" x14ac:dyDescent="0.25">
      <c r="A1815" s="84" t="str">
        <f t="shared" si="85"/>
        <v>SelecioneSelecioneSelecione</v>
      </c>
      <c r="B1815" s="85" t="s">
        <v>19</v>
      </c>
      <c r="C1815" s="85" t="s">
        <v>19</v>
      </c>
      <c r="D1815" s="86"/>
      <c r="E1815" s="116" t="str">
        <f t="shared" si="86"/>
        <v>-</v>
      </c>
      <c r="F1815" s="85"/>
      <c r="G1815" s="85" t="s">
        <v>19</v>
      </c>
      <c r="H1815" s="85"/>
      <c r="I1815" s="85"/>
      <c r="J1815" s="87"/>
      <c r="K1815" s="88">
        <f t="shared" si="87"/>
        <v>0</v>
      </c>
      <c r="L1815" s="85"/>
    </row>
    <row r="1816" spans="1:12" x14ac:dyDescent="0.25">
      <c r="A1816" s="84" t="str">
        <f t="shared" si="85"/>
        <v>SelecioneSelecioneSelecione</v>
      </c>
      <c r="B1816" s="85" t="s">
        <v>19</v>
      </c>
      <c r="C1816" s="85" t="s">
        <v>19</v>
      </c>
      <c r="D1816" s="86"/>
      <c r="E1816" s="116" t="str">
        <f t="shared" si="86"/>
        <v>-</v>
      </c>
      <c r="F1816" s="85"/>
      <c r="G1816" s="85" t="s">
        <v>19</v>
      </c>
      <c r="H1816" s="85"/>
      <c r="I1816" s="85"/>
      <c r="J1816" s="87"/>
      <c r="K1816" s="88">
        <f t="shared" si="87"/>
        <v>0</v>
      </c>
      <c r="L1816" s="85"/>
    </row>
    <row r="1817" spans="1:12" x14ac:dyDescent="0.25">
      <c r="A1817" s="84" t="str">
        <f t="shared" si="85"/>
        <v>SelecioneSelecioneSelecione</v>
      </c>
      <c r="B1817" s="85" t="s">
        <v>19</v>
      </c>
      <c r="C1817" s="85" t="s">
        <v>19</v>
      </c>
      <c r="D1817" s="86"/>
      <c r="E1817" s="116" t="str">
        <f t="shared" si="86"/>
        <v>-</v>
      </c>
      <c r="F1817" s="85"/>
      <c r="G1817" s="85" t="s">
        <v>19</v>
      </c>
      <c r="H1817" s="85"/>
      <c r="I1817" s="85"/>
      <c r="J1817" s="87"/>
      <c r="K1817" s="88">
        <f t="shared" si="87"/>
        <v>0</v>
      </c>
      <c r="L1817" s="85"/>
    </row>
    <row r="1818" spans="1:12" x14ac:dyDescent="0.25">
      <c r="A1818" s="84" t="str">
        <f t="shared" si="85"/>
        <v>SelecioneSelecioneSelecione</v>
      </c>
      <c r="B1818" s="85" t="s">
        <v>19</v>
      </c>
      <c r="C1818" s="85" t="s">
        <v>19</v>
      </c>
      <c r="D1818" s="86"/>
      <c r="E1818" s="116" t="str">
        <f t="shared" si="86"/>
        <v>-</v>
      </c>
      <c r="F1818" s="85"/>
      <c r="G1818" s="85" t="s">
        <v>19</v>
      </c>
      <c r="H1818" s="85"/>
      <c r="I1818" s="85"/>
      <c r="J1818" s="87"/>
      <c r="K1818" s="88">
        <f t="shared" si="87"/>
        <v>0</v>
      </c>
      <c r="L1818" s="85"/>
    </row>
    <row r="1819" spans="1:12" x14ac:dyDescent="0.25">
      <c r="A1819" s="84" t="str">
        <f t="shared" si="85"/>
        <v>SelecioneSelecioneSelecione</v>
      </c>
      <c r="B1819" s="85" t="s">
        <v>19</v>
      </c>
      <c r="C1819" s="85" t="s">
        <v>19</v>
      </c>
      <c r="D1819" s="86"/>
      <c r="E1819" s="116" t="str">
        <f t="shared" si="86"/>
        <v>-</v>
      </c>
      <c r="F1819" s="85"/>
      <c r="G1819" s="85" t="s">
        <v>19</v>
      </c>
      <c r="H1819" s="85"/>
      <c r="I1819" s="85"/>
      <c r="J1819" s="87"/>
      <c r="K1819" s="88">
        <f t="shared" si="87"/>
        <v>0</v>
      </c>
      <c r="L1819" s="85"/>
    </row>
    <row r="1820" spans="1:12" x14ac:dyDescent="0.25">
      <c r="A1820" s="84" t="str">
        <f t="shared" si="85"/>
        <v>SelecioneSelecioneSelecione</v>
      </c>
      <c r="B1820" s="85" t="s">
        <v>19</v>
      </c>
      <c r="C1820" s="85" t="s">
        <v>19</v>
      </c>
      <c r="D1820" s="86"/>
      <c r="E1820" s="116" t="str">
        <f t="shared" si="86"/>
        <v>-</v>
      </c>
      <c r="F1820" s="85"/>
      <c r="G1820" s="85" t="s">
        <v>19</v>
      </c>
      <c r="H1820" s="85"/>
      <c r="I1820" s="85"/>
      <c r="J1820" s="87"/>
      <c r="K1820" s="88">
        <f t="shared" si="87"/>
        <v>0</v>
      </c>
      <c r="L1820" s="85"/>
    </row>
    <row r="1821" spans="1:12" x14ac:dyDescent="0.25">
      <c r="A1821" s="84" t="str">
        <f t="shared" si="85"/>
        <v>SelecioneSelecioneSelecione</v>
      </c>
      <c r="B1821" s="85" t="s">
        <v>19</v>
      </c>
      <c r="C1821" s="85" t="s">
        <v>19</v>
      </c>
      <c r="D1821" s="86"/>
      <c r="E1821" s="116" t="str">
        <f t="shared" si="86"/>
        <v>-</v>
      </c>
      <c r="F1821" s="85"/>
      <c r="G1821" s="85" t="s">
        <v>19</v>
      </c>
      <c r="H1821" s="85"/>
      <c r="I1821" s="85"/>
      <c r="J1821" s="87"/>
      <c r="K1821" s="88">
        <f t="shared" si="87"/>
        <v>0</v>
      </c>
      <c r="L1821" s="85"/>
    </row>
    <row r="1822" spans="1:12" x14ac:dyDescent="0.25">
      <c r="A1822" s="84" t="str">
        <f t="shared" si="85"/>
        <v>SelecioneSelecioneSelecione</v>
      </c>
      <c r="B1822" s="85" t="s">
        <v>19</v>
      </c>
      <c r="C1822" s="85" t="s">
        <v>19</v>
      </c>
      <c r="D1822" s="86"/>
      <c r="E1822" s="116" t="str">
        <f t="shared" si="86"/>
        <v>-</v>
      </c>
      <c r="F1822" s="85"/>
      <c r="G1822" s="85" t="s">
        <v>19</v>
      </c>
      <c r="H1822" s="85"/>
      <c r="I1822" s="85"/>
      <c r="J1822" s="87"/>
      <c r="K1822" s="88">
        <f t="shared" si="87"/>
        <v>0</v>
      </c>
      <c r="L1822" s="85"/>
    </row>
    <row r="1823" spans="1:12" x14ac:dyDescent="0.25">
      <c r="A1823" s="84" t="str">
        <f t="shared" si="85"/>
        <v>SelecioneSelecioneSelecione</v>
      </c>
      <c r="B1823" s="85" t="s">
        <v>19</v>
      </c>
      <c r="C1823" s="85" t="s">
        <v>19</v>
      </c>
      <c r="D1823" s="86"/>
      <c r="E1823" s="116" t="str">
        <f t="shared" si="86"/>
        <v>-</v>
      </c>
      <c r="F1823" s="85"/>
      <c r="G1823" s="85" t="s">
        <v>19</v>
      </c>
      <c r="H1823" s="85"/>
      <c r="I1823" s="85"/>
      <c r="J1823" s="87"/>
      <c r="K1823" s="88">
        <f t="shared" si="87"/>
        <v>0</v>
      </c>
      <c r="L1823" s="85"/>
    </row>
    <row r="1824" spans="1:12" x14ac:dyDescent="0.25">
      <c r="A1824" s="84" t="str">
        <f t="shared" si="85"/>
        <v>SelecioneSelecioneSelecione</v>
      </c>
      <c r="B1824" s="85" t="s">
        <v>19</v>
      </c>
      <c r="C1824" s="85" t="s">
        <v>19</v>
      </c>
      <c r="D1824" s="86"/>
      <c r="E1824" s="116" t="str">
        <f t="shared" si="86"/>
        <v>-</v>
      </c>
      <c r="F1824" s="85"/>
      <c r="G1824" s="85" t="s">
        <v>19</v>
      </c>
      <c r="H1824" s="85"/>
      <c r="I1824" s="85"/>
      <c r="J1824" s="87"/>
      <c r="K1824" s="88">
        <f t="shared" si="87"/>
        <v>0</v>
      </c>
      <c r="L1824" s="85"/>
    </row>
    <row r="1825" spans="1:12" x14ac:dyDescent="0.25">
      <c r="A1825" s="84" t="str">
        <f t="shared" si="85"/>
        <v>SelecioneSelecioneSelecione</v>
      </c>
      <c r="B1825" s="85" t="s">
        <v>19</v>
      </c>
      <c r="C1825" s="85" t="s">
        <v>19</v>
      </c>
      <c r="D1825" s="86"/>
      <c r="E1825" s="116" t="str">
        <f t="shared" si="86"/>
        <v>-</v>
      </c>
      <c r="F1825" s="85"/>
      <c r="G1825" s="85" t="s">
        <v>19</v>
      </c>
      <c r="H1825" s="85"/>
      <c r="I1825" s="85"/>
      <c r="J1825" s="87"/>
      <c r="K1825" s="88">
        <f t="shared" si="87"/>
        <v>0</v>
      </c>
      <c r="L1825" s="85"/>
    </row>
    <row r="1826" spans="1:12" x14ac:dyDescent="0.25">
      <c r="A1826" s="84" t="str">
        <f t="shared" si="85"/>
        <v>SelecioneSelecioneSelecione</v>
      </c>
      <c r="B1826" s="85" t="s">
        <v>19</v>
      </c>
      <c r="C1826" s="85" t="s">
        <v>19</v>
      </c>
      <c r="D1826" s="86"/>
      <c r="E1826" s="116" t="str">
        <f t="shared" si="86"/>
        <v>-</v>
      </c>
      <c r="F1826" s="85"/>
      <c r="G1826" s="85" t="s">
        <v>19</v>
      </c>
      <c r="H1826" s="85"/>
      <c r="I1826" s="85"/>
      <c r="J1826" s="87"/>
      <c r="K1826" s="88">
        <f t="shared" si="87"/>
        <v>0</v>
      </c>
      <c r="L1826" s="85"/>
    </row>
    <row r="1827" spans="1:12" x14ac:dyDescent="0.25">
      <c r="A1827" s="84" t="str">
        <f t="shared" si="85"/>
        <v>SelecioneSelecioneSelecione</v>
      </c>
      <c r="B1827" s="85" t="s">
        <v>19</v>
      </c>
      <c r="C1827" s="85" t="s">
        <v>19</v>
      </c>
      <c r="D1827" s="86"/>
      <c r="E1827" s="116" t="str">
        <f t="shared" si="86"/>
        <v>-</v>
      </c>
      <c r="F1827" s="85"/>
      <c r="G1827" s="85" t="s">
        <v>19</v>
      </c>
      <c r="H1827" s="85"/>
      <c r="I1827" s="85"/>
      <c r="J1827" s="87"/>
      <c r="K1827" s="88">
        <f t="shared" si="87"/>
        <v>0</v>
      </c>
      <c r="L1827" s="85"/>
    </row>
    <row r="1828" spans="1:12" x14ac:dyDescent="0.25">
      <c r="A1828" s="84" t="str">
        <f t="shared" si="85"/>
        <v>SelecioneSelecioneSelecione</v>
      </c>
      <c r="B1828" s="85" t="s">
        <v>19</v>
      </c>
      <c r="C1828" s="85" t="s">
        <v>19</v>
      </c>
      <c r="D1828" s="86"/>
      <c r="E1828" s="116" t="str">
        <f t="shared" si="86"/>
        <v>-</v>
      </c>
      <c r="F1828" s="85"/>
      <c r="G1828" s="85" t="s">
        <v>19</v>
      </c>
      <c r="H1828" s="85"/>
      <c r="I1828" s="85"/>
      <c r="J1828" s="87"/>
      <c r="K1828" s="88">
        <f t="shared" si="87"/>
        <v>0</v>
      </c>
      <c r="L1828" s="85"/>
    </row>
    <row r="1829" spans="1:12" x14ac:dyDescent="0.25">
      <c r="A1829" s="84" t="str">
        <f t="shared" si="85"/>
        <v>SelecioneSelecioneSelecione</v>
      </c>
      <c r="B1829" s="85" t="s">
        <v>19</v>
      </c>
      <c r="C1829" s="85" t="s">
        <v>19</v>
      </c>
      <c r="D1829" s="86"/>
      <c r="E1829" s="116" t="str">
        <f t="shared" si="86"/>
        <v>-</v>
      </c>
      <c r="F1829" s="85"/>
      <c r="G1829" s="85" t="s">
        <v>19</v>
      </c>
      <c r="H1829" s="85"/>
      <c r="I1829" s="85"/>
      <c r="J1829" s="87"/>
      <c r="K1829" s="88">
        <f t="shared" si="87"/>
        <v>0</v>
      </c>
      <c r="L1829" s="85"/>
    </row>
    <row r="1830" spans="1:12" x14ac:dyDescent="0.25">
      <c r="A1830" s="84" t="str">
        <f t="shared" si="85"/>
        <v>SelecioneSelecioneSelecione</v>
      </c>
      <c r="B1830" s="85" t="s">
        <v>19</v>
      </c>
      <c r="C1830" s="85" t="s">
        <v>19</v>
      </c>
      <c r="D1830" s="86"/>
      <c r="E1830" s="116" t="str">
        <f t="shared" si="86"/>
        <v>-</v>
      </c>
      <c r="F1830" s="85"/>
      <c r="G1830" s="85" t="s">
        <v>19</v>
      </c>
      <c r="H1830" s="85"/>
      <c r="I1830" s="85"/>
      <c r="J1830" s="87"/>
      <c r="K1830" s="88">
        <f t="shared" si="87"/>
        <v>0</v>
      </c>
      <c r="L1830" s="85"/>
    </row>
    <row r="1831" spans="1:12" x14ac:dyDescent="0.25">
      <c r="A1831" s="84" t="str">
        <f t="shared" si="85"/>
        <v>SelecioneSelecioneSelecione</v>
      </c>
      <c r="B1831" s="85" t="s">
        <v>19</v>
      </c>
      <c r="C1831" s="85" t="s">
        <v>19</v>
      </c>
      <c r="D1831" s="86"/>
      <c r="E1831" s="116" t="str">
        <f t="shared" si="86"/>
        <v>-</v>
      </c>
      <c r="F1831" s="85"/>
      <c r="G1831" s="85" t="s">
        <v>19</v>
      </c>
      <c r="H1831" s="85"/>
      <c r="I1831" s="85"/>
      <c r="J1831" s="87"/>
      <c r="K1831" s="88">
        <f t="shared" si="87"/>
        <v>0</v>
      </c>
      <c r="L1831" s="85"/>
    </row>
    <row r="1832" spans="1:12" x14ac:dyDescent="0.25">
      <c r="A1832" s="84" t="str">
        <f t="shared" si="85"/>
        <v>SelecioneSelecioneSelecione</v>
      </c>
      <c r="B1832" s="85" t="s">
        <v>19</v>
      </c>
      <c r="C1832" s="85" t="s">
        <v>19</v>
      </c>
      <c r="D1832" s="86"/>
      <c r="E1832" s="116" t="str">
        <f t="shared" si="86"/>
        <v>-</v>
      </c>
      <c r="F1832" s="85"/>
      <c r="G1832" s="85" t="s">
        <v>19</v>
      </c>
      <c r="H1832" s="85"/>
      <c r="I1832" s="85"/>
      <c r="J1832" s="87"/>
      <c r="K1832" s="88">
        <f t="shared" si="87"/>
        <v>0</v>
      </c>
      <c r="L1832" s="85"/>
    </row>
    <row r="1833" spans="1:12" x14ac:dyDescent="0.25">
      <c r="A1833" s="84" t="str">
        <f t="shared" si="85"/>
        <v>SelecioneSelecioneSelecione</v>
      </c>
      <c r="B1833" s="85" t="s">
        <v>19</v>
      </c>
      <c r="C1833" s="85" t="s">
        <v>19</v>
      </c>
      <c r="D1833" s="86"/>
      <c r="E1833" s="116" t="str">
        <f t="shared" si="86"/>
        <v>-</v>
      </c>
      <c r="F1833" s="85"/>
      <c r="G1833" s="85" t="s">
        <v>19</v>
      </c>
      <c r="H1833" s="85"/>
      <c r="I1833" s="85"/>
      <c r="J1833" s="87"/>
      <c r="K1833" s="88">
        <f t="shared" si="87"/>
        <v>0</v>
      </c>
      <c r="L1833" s="85"/>
    </row>
    <row r="1834" spans="1:12" x14ac:dyDescent="0.25">
      <c r="A1834" s="84" t="str">
        <f t="shared" si="85"/>
        <v>SelecioneSelecioneSelecione</v>
      </c>
      <c r="B1834" s="85" t="s">
        <v>19</v>
      </c>
      <c r="C1834" s="85" t="s">
        <v>19</v>
      </c>
      <c r="D1834" s="86"/>
      <c r="E1834" s="116" t="str">
        <f t="shared" si="86"/>
        <v>-</v>
      </c>
      <c r="F1834" s="85"/>
      <c r="G1834" s="85" t="s">
        <v>19</v>
      </c>
      <c r="H1834" s="85"/>
      <c r="I1834" s="85"/>
      <c r="J1834" s="87"/>
      <c r="K1834" s="88">
        <f t="shared" si="87"/>
        <v>0</v>
      </c>
      <c r="L1834" s="85"/>
    </row>
    <row r="1835" spans="1:12" x14ac:dyDescent="0.25">
      <c r="A1835" s="84" t="str">
        <f t="shared" si="85"/>
        <v>SelecioneSelecioneSelecione</v>
      </c>
      <c r="B1835" s="85" t="s">
        <v>19</v>
      </c>
      <c r="C1835" s="85" t="s">
        <v>19</v>
      </c>
      <c r="D1835" s="86"/>
      <c r="E1835" s="116" t="str">
        <f t="shared" si="86"/>
        <v>-</v>
      </c>
      <c r="F1835" s="85"/>
      <c r="G1835" s="85" t="s">
        <v>19</v>
      </c>
      <c r="H1835" s="85"/>
      <c r="I1835" s="85"/>
      <c r="J1835" s="87"/>
      <c r="K1835" s="88">
        <f t="shared" si="87"/>
        <v>0</v>
      </c>
      <c r="L1835" s="85"/>
    </row>
    <row r="1836" spans="1:12" x14ac:dyDescent="0.25">
      <c r="A1836" s="84" t="str">
        <f t="shared" si="85"/>
        <v>SelecioneSelecioneSelecione</v>
      </c>
      <c r="B1836" s="85" t="s">
        <v>19</v>
      </c>
      <c r="C1836" s="85" t="s">
        <v>19</v>
      </c>
      <c r="D1836" s="86"/>
      <c r="E1836" s="116" t="str">
        <f t="shared" si="86"/>
        <v>-</v>
      </c>
      <c r="F1836" s="85"/>
      <c r="G1836" s="85" t="s">
        <v>19</v>
      </c>
      <c r="H1836" s="85"/>
      <c r="I1836" s="85"/>
      <c r="J1836" s="87"/>
      <c r="K1836" s="88">
        <f t="shared" si="87"/>
        <v>0</v>
      </c>
      <c r="L1836" s="85"/>
    </row>
    <row r="1837" spans="1:12" x14ac:dyDescent="0.25">
      <c r="A1837" s="84" t="str">
        <f t="shared" si="85"/>
        <v>SelecioneSelecioneSelecione</v>
      </c>
      <c r="B1837" s="85" t="s">
        <v>19</v>
      </c>
      <c r="C1837" s="85" t="s">
        <v>19</v>
      </c>
      <c r="D1837" s="86"/>
      <c r="E1837" s="116" t="str">
        <f t="shared" si="86"/>
        <v>-</v>
      </c>
      <c r="F1837" s="85"/>
      <c r="G1837" s="85" t="s">
        <v>19</v>
      </c>
      <c r="H1837" s="85"/>
      <c r="I1837" s="85"/>
      <c r="J1837" s="87"/>
      <c r="K1837" s="88">
        <f t="shared" si="87"/>
        <v>0</v>
      </c>
      <c r="L1837" s="85"/>
    </row>
    <row r="1838" spans="1:12" x14ac:dyDescent="0.25">
      <c r="A1838" s="84" t="str">
        <f t="shared" si="85"/>
        <v>SelecioneSelecioneSelecione</v>
      </c>
      <c r="B1838" s="85" t="s">
        <v>19</v>
      </c>
      <c r="C1838" s="85" t="s">
        <v>19</v>
      </c>
      <c r="D1838" s="86"/>
      <c r="E1838" s="116" t="str">
        <f t="shared" si="86"/>
        <v>-</v>
      </c>
      <c r="F1838" s="85"/>
      <c r="G1838" s="85" t="s">
        <v>19</v>
      </c>
      <c r="H1838" s="85"/>
      <c r="I1838" s="85"/>
      <c r="J1838" s="87"/>
      <c r="K1838" s="88">
        <f t="shared" si="87"/>
        <v>0</v>
      </c>
      <c r="L1838" s="85"/>
    </row>
    <row r="1839" spans="1:12" x14ac:dyDescent="0.25">
      <c r="A1839" s="84" t="str">
        <f t="shared" si="85"/>
        <v>SelecioneSelecioneSelecione</v>
      </c>
      <c r="B1839" s="85" t="s">
        <v>19</v>
      </c>
      <c r="C1839" s="85" t="s">
        <v>19</v>
      </c>
      <c r="D1839" s="86"/>
      <c r="E1839" s="116" t="str">
        <f t="shared" si="86"/>
        <v>-</v>
      </c>
      <c r="F1839" s="85"/>
      <c r="G1839" s="85" t="s">
        <v>19</v>
      </c>
      <c r="H1839" s="85"/>
      <c r="I1839" s="85"/>
      <c r="J1839" s="87"/>
      <c r="K1839" s="88">
        <f t="shared" si="87"/>
        <v>0</v>
      </c>
      <c r="L1839" s="85"/>
    </row>
    <row r="1840" spans="1:12" x14ac:dyDescent="0.25">
      <c r="A1840" s="84" t="str">
        <f t="shared" si="85"/>
        <v>SelecioneSelecioneSelecione</v>
      </c>
      <c r="B1840" s="85" t="s">
        <v>19</v>
      </c>
      <c r="C1840" s="85" t="s">
        <v>19</v>
      </c>
      <c r="D1840" s="86"/>
      <c r="E1840" s="116" t="str">
        <f t="shared" si="86"/>
        <v>-</v>
      </c>
      <c r="F1840" s="85"/>
      <c r="G1840" s="85" t="s">
        <v>19</v>
      </c>
      <c r="H1840" s="85"/>
      <c r="I1840" s="85"/>
      <c r="J1840" s="87"/>
      <c r="K1840" s="88">
        <f t="shared" si="87"/>
        <v>0</v>
      </c>
      <c r="L1840" s="85"/>
    </row>
    <row r="1841" spans="1:12" x14ac:dyDescent="0.25">
      <c r="A1841" s="84" t="str">
        <f t="shared" si="85"/>
        <v>SelecioneSelecioneSelecione</v>
      </c>
      <c r="B1841" s="85" t="s">
        <v>19</v>
      </c>
      <c r="C1841" s="85" t="s">
        <v>19</v>
      </c>
      <c r="D1841" s="86"/>
      <c r="E1841" s="116" t="str">
        <f t="shared" si="86"/>
        <v>-</v>
      </c>
      <c r="F1841" s="85"/>
      <c r="G1841" s="85" t="s">
        <v>19</v>
      </c>
      <c r="H1841" s="85"/>
      <c r="I1841" s="85"/>
      <c r="J1841" s="87"/>
      <c r="K1841" s="88">
        <f t="shared" si="87"/>
        <v>0</v>
      </c>
      <c r="L1841" s="85"/>
    </row>
    <row r="1842" spans="1:12" x14ac:dyDescent="0.25">
      <c r="A1842" s="84" t="str">
        <f t="shared" si="85"/>
        <v>SelecioneSelecioneSelecione</v>
      </c>
      <c r="B1842" s="85" t="s">
        <v>19</v>
      </c>
      <c r="C1842" s="85" t="s">
        <v>19</v>
      </c>
      <c r="D1842" s="86"/>
      <c r="E1842" s="116" t="str">
        <f t="shared" si="86"/>
        <v>-</v>
      </c>
      <c r="F1842" s="85"/>
      <c r="G1842" s="85" t="s">
        <v>19</v>
      </c>
      <c r="H1842" s="85"/>
      <c r="I1842" s="85"/>
      <c r="J1842" s="87"/>
      <c r="K1842" s="88">
        <f t="shared" si="87"/>
        <v>0</v>
      </c>
      <c r="L1842" s="85"/>
    </row>
    <row r="1843" spans="1:12" x14ac:dyDescent="0.25">
      <c r="A1843" s="84" t="str">
        <f t="shared" si="85"/>
        <v>SelecioneSelecioneSelecione</v>
      </c>
      <c r="B1843" s="85" t="s">
        <v>19</v>
      </c>
      <c r="C1843" s="85" t="s">
        <v>19</v>
      </c>
      <c r="D1843" s="86"/>
      <c r="E1843" s="116" t="str">
        <f t="shared" si="86"/>
        <v>-</v>
      </c>
      <c r="F1843" s="85"/>
      <c r="G1843" s="85" t="s">
        <v>19</v>
      </c>
      <c r="H1843" s="85"/>
      <c r="I1843" s="85"/>
      <c r="J1843" s="87"/>
      <c r="K1843" s="88">
        <f t="shared" si="87"/>
        <v>0</v>
      </c>
      <c r="L1843" s="85"/>
    </row>
    <row r="1844" spans="1:12" x14ac:dyDescent="0.25">
      <c r="A1844" s="84" t="str">
        <f t="shared" si="85"/>
        <v>SelecioneSelecioneSelecione</v>
      </c>
      <c r="B1844" s="85" t="s">
        <v>19</v>
      </c>
      <c r="C1844" s="85" t="s">
        <v>19</v>
      </c>
      <c r="D1844" s="86"/>
      <c r="E1844" s="116" t="str">
        <f t="shared" si="86"/>
        <v>-</v>
      </c>
      <c r="F1844" s="85"/>
      <c r="G1844" s="85" t="s">
        <v>19</v>
      </c>
      <c r="H1844" s="85"/>
      <c r="I1844" s="85"/>
      <c r="J1844" s="87"/>
      <c r="K1844" s="88">
        <f t="shared" si="87"/>
        <v>0</v>
      </c>
      <c r="L1844" s="85"/>
    </row>
    <row r="1845" spans="1:12" x14ac:dyDescent="0.25">
      <c r="A1845" s="84" t="str">
        <f t="shared" si="85"/>
        <v>SelecioneSelecioneSelecione</v>
      </c>
      <c r="B1845" s="85" t="s">
        <v>19</v>
      </c>
      <c r="C1845" s="85" t="s">
        <v>19</v>
      </c>
      <c r="D1845" s="86"/>
      <c r="E1845" s="116" t="str">
        <f t="shared" si="86"/>
        <v>-</v>
      </c>
      <c r="F1845" s="85"/>
      <c r="G1845" s="85" t="s">
        <v>19</v>
      </c>
      <c r="H1845" s="85"/>
      <c r="I1845" s="85"/>
      <c r="J1845" s="87"/>
      <c r="K1845" s="88">
        <f t="shared" si="87"/>
        <v>0</v>
      </c>
      <c r="L1845" s="85"/>
    </row>
    <row r="1846" spans="1:12" x14ac:dyDescent="0.25">
      <c r="A1846" s="84" t="str">
        <f t="shared" si="85"/>
        <v>SelecioneSelecioneSelecione</v>
      </c>
      <c r="B1846" s="85" t="s">
        <v>19</v>
      </c>
      <c r="C1846" s="85" t="s">
        <v>19</v>
      </c>
      <c r="D1846" s="86"/>
      <c r="E1846" s="116" t="str">
        <f t="shared" si="86"/>
        <v>-</v>
      </c>
      <c r="F1846" s="85"/>
      <c r="G1846" s="85" t="s">
        <v>19</v>
      </c>
      <c r="H1846" s="85"/>
      <c r="I1846" s="85"/>
      <c r="J1846" s="87"/>
      <c r="K1846" s="88">
        <f t="shared" si="87"/>
        <v>0</v>
      </c>
      <c r="L1846" s="85"/>
    </row>
    <row r="1847" spans="1:12" x14ac:dyDescent="0.25">
      <c r="A1847" s="84" t="str">
        <f t="shared" si="85"/>
        <v>SelecioneSelecioneSelecione</v>
      </c>
      <c r="B1847" s="85" t="s">
        <v>19</v>
      </c>
      <c r="C1847" s="85" t="s">
        <v>19</v>
      </c>
      <c r="D1847" s="86"/>
      <c r="E1847" s="116" t="str">
        <f t="shared" si="86"/>
        <v>-</v>
      </c>
      <c r="F1847" s="85"/>
      <c r="G1847" s="85" t="s">
        <v>19</v>
      </c>
      <c r="H1847" s="85"/>
      <c r="I1847" s="85"/>
      <c r="J1847" s="87"/>
      <c r="K1847" s="88">
        <f t="shared" si="87"/>
        <v>0</v>
      </c>
      <c r="L1847" s="85"/>
    </row>
    <row r="1848" spans="1:12" x14ac:dyDescent="0.25">
      <c r="A1848" s="84" t="str">
        <f t="shared" si="85"/>
        <v>SelecioneSelecioneSelecione</v>
      </c>
      <c r="B1848" s="85" t="s">
        <v>19</v>
      </c>
      <c r="C1848" s="85" t="s">
        <v>19</v>
      </c>
      <c r="D1848" s="86"/>
      <c r="E1848" s="116" t="str">
        <f t="shared" si="86"/>
        <v>-</v>
      </c>
      <c r="F1848" s="85"/>
      <c r="G1848" s="85" t="s">
        <v>19</v>
      </c>
      <c r="H1848" s="85"/>
      <c r="I1848" s="85"/>
      <c r="J1848" s="87"/>
      <c r="K1848" s="88">
        <f t="shared" si="87"/>
        <v>0</v>
      </c>
      <c r="L1848" s="85"/>
    </row>
    <row r="1849" spans="1:12" x14ac:dyDescent="0.25">
      <c r="A1849" s="84" t="str">
        <f t="shared" si="85"/>
        <v>SelecioneSelecioneSelecione</v>
      </c>
      <c r="B1849" s="85" t="s">
        <v>19</v>
      </c>
      <c r="C1849" s="85" t="s">
        <v>19</v>
      </c>
      <c r="D1849" s="86"/>
      <c r="E1849" s="116" t="str">
        <f t="shared" si="86"/>
        <v>-</v>
      </c>
      <c r="F1849" s="85"/>
      <c r="G1849" s="85" t="s">
        <v>19</v>
      </c>
      <c r="H1849" s="85"/>
      <c r="I1849" s="85"/>
      <c r="J1849" s="87"/>
      <c r="K1849" s="88">
        <f t="shared" si="87"/>
        <v>0</v>
      </c>
      <c r="L1849" s="85"/>
    </row>
    <row r="1850" spans="1:12" x14ac:dyDescent="0.25">
      <c r="A1850" s="84" t="str">
        <f t="shared" si="85"/>
        <v>SelecioneSelecioneSelecione</v>
      </c>
      <c r="B1850" s="85" t="s">
        <v>19</v>
      </c>
      <c r="C1850" s="85" t="s">
        <v>19</v>
      </c>
      <c r="D1850" s="86"/>
      <c r="E1850" s="116" t="str">
        <f t="shared" si="86"/>
        <v>-</v>
      </c>
      <c r="F1850" s="85"/>
      <c r="G1850" s="85" t="s">
        <v>19</v>
      </c>
      <c r="H1850" s="85"/>
      <c r="I1850" s="85"/>
      <c r="J1850" s="87"/>
      <c r="K1850" s="88">
        <f t="shared" si="87"/>
        <v>0</v>
      </c>
      <c r="L1850" s="85"/>
    </row>
    <row r="1851" spans="1:12" x14ac:dyDescent="0.25">
      <c r="A1851" s="84" t="str">
        <f t="shared" si="85"/>
        <v>SelecioneSelecioneSelecione</v>
      </c>
      <c r="B1851" s="85" t="s">
        <v>19</v>
      </c>
      <c r="C1851" s="85" t="s">
        <v>19</v>
      </c>
      <c r="D1851" s="86"/>
      <c r="E1851" s="116" t="str">
        <f t="shared" si="86"/>
        <v>-</v>
      </c>
      <c r="F1851" s="85"/>
      <c r="G1851" s="85" t="s">
        <v>19</v>
      </c>
      <c r="H1851" s="85"/>
      <c r="I1851" s="85"/>
      <c r="J1851" s="87"/>
      <c r="K1851" s="88">
        <f t="shared" si="87"/>
        <v>0</v>
      </c>
      <c r="L1851" s="90"/>
    </row>
    <row r="1852" spans="1:12" x14ac:dyDescent="0.25">
      <c r="A1852" s="84" t="str">
        <f t="shared" si="85"/>
        <v>SelecioneSelecioneSelecione</v>
      </c>
      <c r="B1852" s="85" t="s">
        <v>19</v>
      </c>
      <c r="C1852" s="85" t="s">
        <v>19</v>
      </c>
      <c r="D1852" s="86"/>
      <c r="E1852" s="116" t="str">
        <f t="shared" si="86"/>
        <v>-</v>
      </c>
      <c r="F1852" s="85"/>
      <c r="G1852" s="85" t="s">
        <v>19</v>
      </c>
      <c r="H1852" s="85"/>
      <c r="I1852" s="85"/>
      <c r="J1852" s="87"/>
      <c r="K1852" s="88">
        <f t="shared" si="87"/>
        <v>0</v>
      </c>
      <c r="L1852" s="90"/>
    </row>
    <row r="1853" spans="1:12" x14ac:dyDescent="0.25">
      <c r="A1853" s="84" t="str">
        <f t="shared" si="85"/>
        <v>SelecioneSelecioneSelecione</v>
      </c>
      <c r="B1853" s="85" t="s">
        <v>19</v>
      </c>
      <c r="C1853" s="85" t="s">
        <v>19</v>
      </c>
      <c r="D1853" s="86"/>
      <c r="E1853" s="116" t="str">
        <f t="shared" si="86"/>
        <v>-</v>
      </c>
      <c r="F1853" s="85"/>
      <c r="G1853" s="85" t="s">
        <v>19</v>
      </c>
      <c r="H1853" s="85"/>
      <c r="I1853" s="85"/>
      <c r="J1853" s="87"/>
      <c r="K1853" s="88">
        <f t="shared" si="87"/>
        <v>0</v>
      </c>
      <c r="L1853" s="85"/>
    </row>
    <row r="1854" spans="1:12" x14ac:dyDescent="0.25">
      <c r="A1854" s="84" t="str">
        <f t="shared" si="85"/>
        <v>SelecioneSelecioneSelecione</v>
      </c>
      <c r="B1854" s="85" t="s">
        <v>19</v>
      </c>
      <c r="C1854" s="85" t="s">
        <v>19</v>
      </c>
      <c r="D1854" s="86"/>
      <c r="E1854" s="116" t="str">
        <f t="shared" si="86"/>
        <v>-</v>
      </c>
      <c r="F1854" s="85"/>
      <c r="G1854" s="85" t="s">
        <v>19</v>
      </c>
      <c r="H1854" s="85"/>
      <c r="I1854" s="85"/>
      <c r="J1854" s="87"/>
      <c r="K1854" s="88">
        <f t="shared" si="87"/>
        <v>0</v>
      </c>
      <c r="L1854" s="85"/>
    </row>
    <row r="1855" spans="1:12" x14ac:dyDescent="0.25">
      <c r="A1855" s="84" t="str">
        <f t="shared" si="85"/>
        <v>SelecioneSelecioneSelecione</v>
      </c>
      <c r="B1855" s="85" t="s">
        <v>19</v>
      </c>
      <c r="C1855" s="85" t="s">
        <v>19</v>
      </c>
      <c r="D1855" s="86"/>
      <c r="E1855" s="116" t="str">
        <f t="shared" si="86"/>
        <v>-</v>
      </c>
      <c r="F1855" s="85"/>
      <c r="G1855" s="85" t="s">
        <v>19</v>
      </c>
      <c r="H1855" s="85"/>
      <c r="I1855" s="85"/>
      <c r="J1855" s="87"/>
      <c r="K1855" s="88">
        <f t="shared" si="87"/>
        <v>0</v>
      </c>
      <c r="L1855" s="85"/>
    </row>
    <row r="1856" spans="1:12" x14ac:dyDescent="0.25">
      <c r="A1856" s="84" t="str">
        <f t="shared" si="85"/>
        <v>SelecioneSelecioneSelecione</v>
      </c>
      <c r="B1856" s="85" t="s">
        <v>19</v>
      </c>
      <c r="C1856" s="85" t="s">
        <v>19</v>
      </c>
      <c r="D1856" s="86"/>
      <c r="E1856" s="116" t="str">
        <f t="shared" si="86"/>
        <v>-</v>
      </c>
      <c r="F1856" s="85"/>
      <c r="G1856" s="85" t="s">
        <v>19</v>
      </c>
      <c r="H1856" s="85"/>
      <c r="I1856" s="85"/>
      <c r="J1856" s="87"/>
      <c r="K1856" s="88">
        <f t="shared" si="87"/>
        <v>0</v>
      </c>
      <c r="L1856" s="85"/>
    </row>
    <row r="1857" spans="1:12" x14ac:dyDescent="0.25">
      <c r="A1857" s="84" t="str">
        <f t="shared" si="85"/>
        <v>SelecioneSelecioneSelecione</v>
      </c>
      <c r="B1857" s="85" t="s">
        <v>19</v>
      </c>
      <c r="C1857" s="85" t="s">
        <v>19</v>
      </c>
      <c r="D1857" s="86"/>
      <c r="E1857" s="116" t="str">
        <f t="shared" si="86"/>
        <v>-</v>
      </c>
      <c r="F1857" s="85"/>
      <c r="G1857" s="85" t="s">
        <v>19</v>
      </c>
      <c r="H1857" s="85"/>
      <c r="I1857" s="85"/>
      <c r="J1857" s="87"/>
      <c r="K1857" s="88">
        <f t="shared" si="87"/>
        <v>0</v>
      </c>
      <c r="L1857" s="85"/>
    </row>
    <row r="1858" spans="1:12" x14ac:dyDescent="0.25">
      <c r="A1858" s="84" t="str">
        <f t="shared" ref="A1858:A1921" si="88">CONCATENATE(B1858,C1858,G1858)</f>
        <v>SelecioneSelecioneSelecione</v>
      </c>
      <c r="B1858" s="85" t="s">
        <v>19</v>
      </c>
      <c r="C1858" s="85" t="s">
        <v>19</v>
      </c>
      <c r="D1858" s="86"/>
      <c r="E1858" s="116" t="str">
        <f t="shared" ref="E1858:E1921" si="89">VLOOKUP(G1858,$M$1:$O$968,3,0)</f>
        <v>-</v>
      </c>
      <c r="F1858" s="85"/>
      <c r="G1858" s="85" t="s">
        <v>19</v>
      </c>
      <c r="H1858" s="85"/>
      <c r="I1858" s="85"/>
      <c r="J1858" s="87"/>
      <c r="K1858" s="88">
        <f t="shared" ref="K1858:K1921" si="90">I1858*J1858</f>
        <v>0</v>
      </c>
      <c r="L1858" s="85"/>
    </row>
    <row r="1859" spans="1:12" x14ac:dyDescent="0.25">
      <c r="A1859" s="84" t="str">
        <f t="shared" si="88"/>
        <v>SelecioneSelecioneSelecione</v>
      </c>
      <c r="B1859" s="85" t="s">
        <v>19</v>
      </c>
      <c r="C1859" s="85" t="s">
        <v>19</v>
      </c>
      <c r="D1859" s="86"/>
      <c r="E1859" s="116" t="str">
        <f t="shared" si="89"/>
        <v>-</v>
      </c>
      <c r="F1859" s="85"/>
      <c r="G1859" s="85" t="s">
        <v>19</v>
      </c>
      <c r="H1859" s="85"/>
      <c r="I1859" s="85"/>
      <c r="J1859" s="87"/>
      <c r="K1859" s="88">
        <f t="shared" si="90"/>
        <v>0</v>
      </c>
      <c r="L1859" s="85"/>
    </row>
    <row r="1860" spans="1:12" x14ac:dyDescent="0.25">
      <c r="A1860" s="84" t="str">
        <f t="shared" si="88"/>
        <v>SelecioneSelecioneSelecione</v>
      </c>
      <c r="B1860" s="85" t="s">
        <v>19</v>
      </c>
      <c r="C1860" s="85" t="s">
        <v>19</v>
      </c>
      <c r="D1860" s="86"/>
      <c r="E1860" s="116" t="str">
        <f t="shared" si="89"/>
        <v>-</v>
      </c>
      <c r="F1860" s="85"/>
      <c r="G1860" s="85" t="s">
        <v>19</v>
      </c>
      <c r="H1860" s="85"/>
      <c r="I1860" s="85"/>
      <c r="J1860" s="87"/>
      <c r="K1860" s="88">
        <f t="shared" si="90"/>
        <v>0</v>
      </c>
      <c r="L1860" s="85"/>
    </row>
    <row r="1861" spans="1:12" x14ac:dyDescent="0.25">
      <c r="A1861" s="84" t="str">
        <f t="shared" si="88"/>
        <v>SelecioneSelecioneSelecione</v>
      </c>
      <c r="B1861" s="85" t="s">
        <v>19</v>
      </c>
      <c r="C1861" s="85" t="s">
        <v>19</v>
      </c>
      <c r="D1861" s="86"/>
      <c r="E1861" s="116" t="str">
        <f t="shared" si="89"/>
        <v>-</v>
      </c>
      <c r="F1861" s="85"/>
      <c r="G1861" s="85" t="s">
        <v>19</v>
      </c>
      <c r="H1861" s="85"/>
      <c r="I1861" s="85"/>
      <c r="J1861" s="87"/>
      <c r="K1861" s="88">
        <f t="shared" si="90"/>
        <v>0</v>
      </c>
      <c r="L1861" s="85"/>
    </row>
    <row r="1862" spans="1:12" x14ac:dyDescent="0.25">
      <c r="A1862" s="84" t="str">
        <f t="shared" si="88"/>
        <v>SelecioneSelecioneSelecione</v>
      </c>
      <c r="B1862" s="85" t="s">
        <v>19</v>
      </c>
      <c r="C1862" s="85" t="s">
        <v>19</v>
      </c>
      <c r="D1862" s="86"/>
      <c r="E1862" s="116" t="str">
        <f t="shared" si="89"/>
        <v>-</v>
      </c>
      <c r="F1862" s="85"/>
      <c r="G1862" s="85" t="s">
        <v>19</v>
      </c>
      <c r="H1862" s="85"/>
      <c r="I1862" s="85"/>
      <c r="J1862" s="87"/>
      <c r="K1862" s="88">
        <f t="shared" si="90"/>
        <v>0</v>
      </c>
      <c r="L1862" s="85"/>
    </row>
    <row r="1863" spans="1:12" x14ac:dyDescent="0.25">
      <c r="A1863" s="84" t="str">
        <f t="shared" si="88"/>
        <v>SelecioneSelecioneSelecione</v>
      </c>
      <c r="B1863" s="85" t="s">
        <v>19</v>
      </c>
      <c r="C1863" s="85" t="s">
        <v>19</v>
      </c>
      <c r="D1863" s="86"/>
      <c r="E1863" s="116" t="str">
        <f t="shared" si="89"/>
        <v>-</v>
      </c>
      <c r="F1863" s="85"/>
      <c r="G1863" s="85" t="s">
        <v>19</v>
      </c>
      <c r="H1863" s="85"/>
      <c r="I1863" s="85"/>
      <c r="J1863" s="87"/>
      <c r="K1863" s="88">
        <f t="shared" si="90"/>
        <v>0</v>
      </c>
      <c r="L1863" s="85"/>
    </row>
    <row r="1864" spans="1:12" x14ac:dyDescent="0.25">
      <c r="A1864" s="84" t="str">
        <f t="shared" si="88"/>
        <v>SelecioneSelecioneSelecione</v>
      </c>
      <c r="B1864" s="85" t="s">
        <v>19</v>
      </c>
      <c r="C1864" s="85" t="s">
        <v>19</v>
      </c>
      <c r="D1864" s="86"/>
      <c r="E1864" s="116" t="str">
        <f t="shared" si="89"/>
        <v>-</v>
      </c>
      <c r="F1864" s="85"/>
      <c r="G1864" s="85" t="s">
        <v>19</v>
      </c>
      <c r="H1864" s="85"/>
      <c r="I1864" s="85"/>
      <c r="J1864" s="87"/>
      <c r="K1864" s="88">
        <f t="shared" si="90"/>
        <v>0</v>
      </c>
      <c r="L1864" s="85"/>
    </row>
    <row r="1865" spans="1:12" x14ac:dyDescent="0.25">
      <c r="A1865" s="84" t="str">
        <f t="shared" si="88"/>
        <v>SelecioneSelecioneSelecione</v>
      </c>
      <c r="B1865" s="85" t="s">
        <v>19</v>
      </c>
      <c r="C1865" s="85" t="s">
        <v>19</v>
      </c>
      <c r="D1865" s="86"/>
      <c r="E1865" s="116" t="str">
        <f t="shared" si="89"/>
        <v>-</v>
      </c>
      <c r="F1865" s="85"/>
      <c r="G1865" s="85" t="s">
        <v>19</v>
      </c>
      <c r="H1865" s="85"/>
      <c r="I1865" s="85"/>
      <c r="J1865" s="87"/>
      <c r="K1865" s="88">
        <f t="shared" si="90"/>
        <v>0</v>
      </c>
      <c r="L1865" s="85"/>
    </row>
    <row r="1866" spans="1:12" x14ac:dyDescent="0.25">
      <c r="A1866" s="84" t="str">
        <f t="shared" si="88"/>
        <v>SelecioneSelecioneSelecione</v>
      </c>
      <c r="B1866" s="85" t="s">
        <v>19</v>
      </c>
      <c r="C1866" s="85" t="s">
        <v>19</v>
      </c>
      <c r="D1866" s="86"/>
      <c r="E1866" s="116" t="str">
        <f t="shared" si="89"/>
        <v>-</v>
      </c>
      <c r="F1866" s="85"/>
      <c r="G1866" s="85" t="s">
        <v>19</v>
      </c>
      <c r="H1866" s="85"/>
      <c r="I1866" s="85"/>
      <c r="J1866" s="87"/>
      <c r="K1866" s="88">
        <f t="shared" si="90"/>
        <v>0</v>
      </c>
      <c r="L1866" s="85"/>
    </row>
    <row r="1867" spans="1:12" x14ac:dyDescent="0.25">
      <c r="A1867" s="84" t="str">
        <f t="shared" si="88"/>
        <v>SelecioneSelecioneSelecione</v>
      </c>
      <c r="B1867" s="85" t="s">
        <v>19</v>
      </c>
      <c r="C1867" s="85" t="s">
        <v>19</v>
      </c>
      <c r="D1867" s="86"/>
      <c r="E1867" s="116" t="str">
        <f t="shared" si="89"/>
        <v>-</v>
      </c>
      <c r="F1867" s="85"/>
      <c r="G1867" s="85" t="s">
        <v>19</v>
      </c>
      <c r="H1867" s="85"/>
      <c r="I1867" s="85"/>
      <c r="J1867" s="87"/>
      <c r="K1867" s="88">
        <f t="shared" si="90"/>
        <v>0</v>
      </c>
      <c r="L1867" s="85"/>
    </row>
    <row r="1868" spans="1:12" x14ac:dyDescent="0.25">
      <c r="A1868" s="84" t="str">
        <f t="shared" si="88"/>
        <v>SelecioneSelecioneSelecione</v>
      </c>
      <c r="B1868" s="85" t="s">
        <v>19</v>
      </c>
      <c r="C1868" s="85" t="s">
        <v>19</v>
      </c>
      <c r="D1868" s="86"/>
      <c r="E1868" s="116" t="str">
        <f t="shared" si="89"/>
        <v>-</v>
      </c>
      <c r="F1868" s="85"/>
      <c r="G1868" s="85" t="s">
        <v>19</v>
      </c>
      <c r="H1868" s="85"/>
      <c r="I1868" s="85"/>
      <c r="J1868" s="87"/>
      <c r="K1868" s="88">
        <f t="shared" si="90"/>
        <v>0</v>
      </c>
      <c r="L1868" s="85"/>
    </row>
    <row r="1869" spans="1:12" x14ac:dyDescent="0.25">
      <c r="A1869" s="84" t="str">
        <f t="shared" si="88"/>
        <v>SelecioneSelecioneSelecione</v>
      </c>
      <c r="B1869" s="85" t="s">
        <v>19</v>
      </c>
      <c r="C1869" s="85" t="s">
        <v>19</v>
      </c>
      <c r="D1869" s="86"/>
      <c r="E1869" s="116" t="str">
        <f t="shared" si="89"/>
        <v>-</v>
      </c>
      <c r="F1869" s="85"/>
      <c r="G1869" s="85" t="s">
        <v>19</v>
      </c>
      <c r="H1869" s="85"/>
      <c r="I1869" s="85"/>
      <c r="J1869" s="87"/>
      <c r="K1869" s="88">
        <f t="shared" si="90"/>
        <v>0</v>
      </c>
      <c r="L1869" s="85"/>
    </row>
    <row r="1870" spans="1:12" x14ac:dyDescent="0.25">
      <c r="A1870" s="84" t="str">
        <f t="shared" si="88"/>
        <v>SelecioneSelecioneSelecione</v>
      </c>
      <c r="B1870" s="85" t="s">
        <v>19</v>
      </c>
      <c r="C1870" s="85" t="s">
        <v>19</v>
      </c>
      <c r="D1870" s="86"/>
      <c r="E1870" s="116" t="str">
        <f t="shared" si="89"/>
        <v>-</v>
      </c>
      <c r="F1870" s="85"/>
      <c r="G1870" s="85" t="s">
        <v>19</v>
      </c>
      <c r="H1870" s="85"/>
      <c r="I1870" s="85"/>
      <c r="J1870" s="87"/>
      <c r="K1870" s="88">
        <f t="shared" si="90"/>
        <v>0</v>
      </c>
      <c r="L1870" s="85"/>
    </row>
    <row r="1871" spans="1:12" x14ac:dyDescent="0.25">
      <c r="A1871" s="84" t="str">
        <f t="shared" si="88"/>
        <v>SelecioneSelecioneSelecione</v>
      </c>
      <c r="B1871" s="85" t="s">
        <v>19</v>
      </c>
      <c r="C1871" s="85" t="s">
        <v>19</v>
      </c>
      <c r="D1871" s="86"/>
      <c r="E1871" s="116" t="str">
        <f t="shared" si="89"/>
        <v>-</v>
      </c>
      <c r="F1871" s="85"/>
      <c r="G1871" s="85" t="s">
        <v>19</v>
      </c>
      <c r="H1871" s="85"/>
      <c r="I1871" s="85"/>
      <c r="J1871" s="87"/>
      <c r="K1871" s="88">
        <f t="shared" si="90"/>
        <v>0</v>
      </c>
      <c r="L1871" s="85"/>
    </row>
    <row r="1872" spans="1:12" x14ac:dyDescent="0.25">
      <c r="A1872" s="84" t="str">
        <f t="shared" si="88"/>
        <v>SelecioneSelecioneSelecione</v>
      </c>
      <c r="B1872" s="85" t="s">
        <v>19</v>
      </c>
      <c r="C1872" s="85" t="s">
        <v>19</v>
      </c>
      <c r="D1872" s="86"/>
      <c r="E1872" s="116" t="str">
        <f t="shared" si="89"/>
        <v>-</v>
      </c>
      <c r="F1872" s="85"/>
      <c r="G1872" s="85" t="s">
        <v>19</v>
      </c>
      <c r="H1872" s="85"/>
      <c r="I1872" s="85"/>
      <c r="J1872" s="87"/>
      <c r="K1872" s="88">
        <f t="shared" si="90"/>
        <v>0</v>
      </c>
      <c r="L1872" s="85"/>
    </row>
    <row r="1873" spans="1:12" x14ac:dyDescent="0.25">
      <c r="A1873" s="84" t="str">
        <f t="shared" si="88"/>
        <v>SelecioneSelecioneSelecione</v>
      </c>
      <c r="B1873" s="85" t="s">
        <v>19</v>
      </c>
      <c r="C1873" s="85" t="s">
        <v>19</v>
      </c>
      <c r="D1873" s="86"/>
      <c r="E1873" s="116" t="str">
        <f t="shared" si="89"/>
        <v>-</v>
      </c>
      <c r="F1873" s="85"/>
      <c r="G1873" s="85" t="s">
        <v>19</v>
      </c>
      <c r="H1873" s="85"/>
      <c r="I1873" s="85"/>
      <c r="J1873" s="87"/>
      <c r="K1873" s="88">
        <f t="shared" si="90"/>
        <v>0</v>
      </c>
      <c r="L1873" s="85"/>
    </row>
    <row r="1874" spans="1:12" x14ac:dyDescent="0.25">
      <c r="A1874" s="84" t="str">
        <f t="shared" si="88"/>
        <v>SelecioneSelecioneSelecione</v>
      </c>
      <c r="B1874" s="85" t="s">
        <v>19</v>
      </c>
      <c r="C1874" s="85" t="s">
        <v>19</v>
      </c>
      <c r="D1874" s="86"/>
      <c r="E1874" s="116" t="str">
        <f t="shared" si="89"/>
        <v>-</v>
      </c>
      <c r="F1874" s="85"/>
      <c r="G1874" s="85" t="s">
        <v>19</v>
      </c>
      <c r="H1874" s="85"/>
      <c r="I1874" s="85"/>
      <c r="J1874" s="87"/>
      <c r="K1874" s="88">
        <f t="shared" si="90"/>
        <v>0</v>
      </c>
      <c r="L1874" s="85"/>
    </row>
    <row r="1875" spans="1:12" x14ac:dyDescent="0.25">
      <c r="A1875" s="84" t="str">
        <f t="shared" si="88"/>
        <v>SelecioneSelecioneSelecione</v>
      </c>
      <c r="B1875" s="85" t="s">
        <v>19</v>
      </c>
      <c r="C1875" s="85" t="s">
        <v>19</v>
      </c>
      <c r="D1875" s="86"/>
      <c r="E1875" s="116" t="str">
        <f t="shared" si="89"/>
        <v>-</v>
      </c>
      <c r="F1875" s="90"/>
      <c r="G1875" s="85" t="s">
        <v>19</v>
      </c>
      <c r="H1875" s="85"/>
      <c r="I1875" s="85"/>
      <c r="J1875" s="87"/>
      <c r="K1875" s="88">
        <f t="shared" si="90"/>
        <v>0</v>
      </c>
      <c r="L1875" s="85"/>
    </row>
    <row r="1876" spans="1:12" x14ac:dyDescent="0.25">
      <c r="A1876" s="84" t="str">
        <f t="shared" si="88"/>
        <v>SelecioneSelecioneSelecione</v>
      </c>
      <c r="B1876" s="85" t="s">
        <v>19</v>
      </c>
      <c r="C1876" s="85" t="s">
        <v>19</v>
      </c>
      <c r="D1876" s="86"/>
      <c r="E1876" s="116" t="str">
        <f t="shared" si="89"/>
        <v>-</v>
      </c>
      <c r="F1876" s="85"/>
      <c r="G1876" s="85" t="s">
        <v>19</v>
      </c>
      <c r="H1876" s="85"/>
      <c r="I1876" s="85"/>
      <c r="J1876" s="87"/>
      <c r="K1876" s="88">
        <f t="shared" si="90"/>
        <v>0</v>
      </c>
      <c r="L1876" s="85"/>
    </row>
    <row r="1877" spans="1:12" x14ac:dyDescent="0.25">
      <c r="A1877" s="84" t="str">
        <f t="shared" si="88"/>
        <v>SelecioneSelecioneSelecione</v>
      </c>
      <c r="B1877" s="85" t="s">
        <v>19</v>
      </c>
      <c r="C1877" s="85" t="s">
        <v>19</v>
      </c>
      <c r="D1877" s="93"/>
      <c r="E1877" s="116" t="str">
        <f t="shared" si="89"/>
        <v>-</v>
      </c>
      <c r="F1877" s="90"/>
      <c r="G1877" s="85" t="s">
        <v>19</v>
      </c>
      <c r="H1877" s="85"/>
      <c r="I1877" s="90"/>
      <c r="J1877" s="89"/>
      <c r="K1877" s="88">
        <f t="shared" si="90"/>
        <v>0</v>
      </c>
      <c r="L1877" s="90"/>
    </row>
    <row r="1878" spans="1:12" x14ac:dyDescent="0.25">
      <c r="A1878" s="84" t="str">
        <f t="shared" si="88"/>
        <v>SelecioneSelecioneSelecione</v>
      </c>
      <c r="B1878" s="85" t="s">
        <v>19</v>
      </c>
      <c r="C1878" s="85" t="s">
        <v>19</v>
      </c>
      <c r="D1878" s="86"/>
      <c r="E1878" s="116" t="str">
        <f t="shared" si="89"/>
        <v>-</v>
      </c>
      <c r="F1878" s="85"/>
      <c r="G1878" s="85" t="s">
        <v>19</v>
      </c>
      <c r="H1878" s="85"/>
      <c r="I1878" s="85"/>
      <c r="J1878" s="87"/>
      <c r="K1878" s="88">
        <f t="shared" si="90"/>
        <v>0</v>
      </c>
      <c r="L1878" s="85"/>
    </row>
    <row r="1879" spans="1:12" x14ac:dyDescent="0.25">
      <c r="A1879" s="84" t="str">
        <f t="shared" si="88"/>
        <v>SelecioneSelecioneSelecione</v>
      </c>
      <c r="B1879" s="85" t="s">
        <v>19</v>
      </c>
      <c r="C1879" s="85" t="s">
        <v>19</v>
      </c>
      <c r="D1879" s="86"/>
      <c r="E1879" s="116" t="str">
        <f t="shared" si="89"/>
        <v>-</v>
      </c>
      <c r="F1879" s="85"/>
      <c r="G1879" s="85" t="s">
        <v>19</v>
      </c>
      <c r="H1879" s="85"/>
      <c r="I1879" s="85"/>
      <c r="J1879" s="87"/>
      <c r="K1879" s="88">
        <f t="shared" si="90"/>
        <v>0</v>
      </c>
      <c r="L1879" s="85"/>
    </row>
    <row r="1880" spans="1:12" x14ac:dyDescent="0.25">
      <c r="A1880" s="84" t="str">
        <f t="shared" si="88"/>
        <v>SelecioneSelecioneSelecione</v>
      </c>
      <c r="B1880" s="85" t="s">
        <v>19</v>
      </c>
      <c r="C1880" s="85" t="s">
        <v>19</v>
      </c>
      <c r="D1880" s="86"/>
      <c r="E1880" s="116" t="str">
        <f t="shared" si="89"/>
        <v>-</v>
      </c>
      <c r="F1880" s="85"/>
      <c r="G1880" s="85" t="s">
        <v>19</v>
      </c>
      <c r="H1880" s="85"/>
      <c r="I1880" s="85"/>
      <c r="J1880" s="87"/>
      <c r="K1880" s="88">
        <f t="shared" si="90"/>
        <v>0</v>
      </c>
      <c r="L1880" s="85"/>
    </row>
    <row r="1881" spans="1:12" x14ac:dyDescent="0.25">
      <c r="A1881" s="84" t="str">
        <f t="shared" si="88"/>
        <v>SelecioneSelecioneSelecione</v>
      </c>
      <c r="B1881" s="85" t="s">
        <v>19</v>
      </c>
      <c r="C1881" s="85" t="s">
        <v>19</v>
      </c>
      <c r="D1881" s="86"/>
      <c r="E1881" s="116" t="str">
        <f t="shared" si="89"/>
        <v>-</v>
      </c>
      <c r="F1881" s="85"/>
      <c r="G1881" s="85" t="s">
        <v>19</v>
      </c>
      <c r="H1881" s="85"/>
      <c r="I1881" s="85"/>
      <c r="J1881" s="87"/>
      <c r="K1881" s="88">
        <f t="shared" si="90"/>
        <v>0</v>
      </c>
      <c r="L1881" s="85"/>
    </row>
    <row r="1882" spans="1:12" x14ac:dyDescent="0.25">
      <c r="A1882" s="84" t="str">
        <f t="shared" si="88"/>
        <v>SelecioneSelecioneSelecione</v>
      </c>
      <c r="B1882" s="85" t="s">
        <v>19</v>
      </c>
      <c r="C1882" s="85" t="s">
        <v>19</v>
      </c>
      <c r="D1882" s="86"/>
      <c r="E1882" s="116" t="str">
        <f t="shared" si="89"/>
        <v>-</v>
      </c>
      <c r="F1882" s="85"/>
      <c r="G1882" s="85" t="s">
        <v>19</v>
      </c>
      <c r="H1882" s="85"/>
      <c r="I1882" s="85"/>
      <c r="J1882" s="87"/>
      <c r="K1882" s="88">
        <f t="shared" si="90"/>
        <v>0</v>
      </c>
      <c r="L1882" s="85"/>
    </row>
    <row r="1883" spans="1:12" x14ac:dyDescent="0.25">
      <c r="A1883" s="84" t="str">
        <f t="shared" si="88"/>
        <v>SelecioneSelecioneSelecione</v>
      </c>
      <c r="B1883" s="85" t="s">
        <v>19</v>
      </c>
      <c r="C1883" s="85" t="s">
        <v>19</v>
      </c>
      <c r="D1883" s="86"/>
      <c r="E1883" s="116" t="str">
        <f t="shared" si="89"/>
        <v>-</v>
      </c>
      <c r="F1883" s="85"/>
      <c r="G1883" s="85" t="s">
        <v>19</v>
      </c>
      <c r="H1883" s="85"/>
      <c r="I1883" s="85"/>
      <c r="J1883" s="87"/>
      <c r="K1883" s="88">
        <f t="shared" si="90"/>
        <v>0</v>
      </c>
      <c r="L1883" s="85"/>
    </row>
    <row r="1884" spans="1:12" x14ac:dyDescent="0.25">
      <c r="A1884" s="84" t="str">
        <f t="shared" si="88"/>
        <v>SelecioneSelecioneSelecione</v>
      </c>
      <c r="B1884" s="85" t="s">
        <v>19</v>
      </c>
      <c r="C1884" s="85" t="s">
        <v>19</v>
      </c>
      <c r="D1884" s="86"/>
      <c r="E1884" s="116" t="str">
        <f t="shared" si="89"/>
        <v>-</v>
      </c>
      <c r="F1884" s="85"/>
      <c r="G1884" s="85" t="s">
        <v>19</v>
      </c>
      <c r="H1884" s="85"/>
      <c r="I1884" s="85"/>
      <c r="J1884" s="87"/>
      <c r="K1884" s="88">
        <f t="shared" si="90"/>
        <v>0</v>
      </c>
      <c r="L1884" s="85"/>
    </row>
    <row r="1885" spans="1:12" x14ac:dyDescent="0.25">
      <c r="A1885" s="84" t="str">
        <f t="shared" si="88"/>
        <v>SelecioneSelecioneSelecione</v>
      </c>
      <c r="B1885" s="85" t="s">
        <v>19</v>
      </c>
      <c r="C1885" s="85" t="s">
        <v>19</v>
      </c>
      <c r="D1885" s="86"/>
      <c r="E1885" s="116" t="str">
        <f t="shared" si="89"/>
        <v>-</v>
      </c>
      <c r="F1885" s="85"/>
      <c r="G1885" s="85" t="s">
        <v>19</v>
      </c>
      <c r="H1885" s="85"/>
      <c r="I1885" s="85"/>
      <c r="J1885" s="87"/>
      <c r="K1885" s="88">
        <f t="shared" si="90"/>
        <v>0</v>
      </c>
      <c r="L1885" s="85"/>
    </row>
    <row r="1886" spans="1:12" x14ac:dyDescent="0.25">
      <c r="A1886" s="84" t="str">
        <f t="shared" si="88"/>
        <v>SelecioneSelecioneSelecione</v>
      </c>
      <c r="B1886" s="85" t="s">
        <v>19</v>
      </c>
      <c r="C1886" s="85" t="s">
        <v>19</v>
      </c>
      <c r="D1886" s="86"/>
      <c r="E1886" s="116" t="str">
        <f t="shared" si="89"/>
        <v>-</v>
      </c>
      <c r="F1886" s="85"/>
      <c r="G1886" s="85" t="s">
        <v>19</v>
      </c>
      <c r="H1886" s="85"/>
      <c r="I1886" s="85"/>
      <c r="J1886" s="87"/>
      <c r="K1886" s="88">
        <f t="shared" si="90"/>
        <v>0</v>
      </c>
      <c r="L1886" s="85"/>
    </row>
    <row r="1887" spans="1:12" x14ac:dyDescent="0.25">
      <c r="A1887" s="84" t="str">
        <f t="shared" si="88"/>
        <v>SelecioneSelecioneSelecione</v>
      </c>
      <c r="B1887" s="85" t="s">
        <v>19</v>
      </c>
      <c r="C1887" s="85" t="s">
        <v>19</v>
      </c>
      <c r="D1887" s="86"/>
      <c r="E1887" s="116" t="str">
        <f t="shared" si="89"/>
        <v>-</v>
      </c>
      <c r="F1887" s="85"/>
      <c r="G1887" s="85" t="s">
        <v>19</v>
      </c>
      <c r="H1887" s="85"/>
      <c r="I1887" s="85"/>
      <c r="J1887" s="87"/>
      <c r="K1887" s="88">
        <f t="shared" si="90"/>
        <v>0</v>
      </c>
      <c r="L1887" s="85"/>
    </row>
    <row r="1888" spans="1:12" x14ac:dyDescent="0.25">
      <c r="A1888" s="84" t="str">
        <f t="shared" si="88"/>
        <v>SelecioneSelecioneSelecione</v>
      </c>
      <c r="B1888" s="85" t="s">
        <v>19</v>
      </c>
      <c r="C1888" s="85" t="s">
        <v>19</v>
      </c>
      <c r="D1888" s="86"/>
      <c r="E1888" s="116" t="str">
        <f t="shared" si="89"/>
        <v>-</v>
      </c>
      <c r="F1888" s="85"/>
      <c r="G1888" s="85" t="s">
        <v>19</v>
      </c>
      <c r="H1888" s="85"/>
      <c r="I1888" s="85"/>
      <c r="J1888" s="87"/>
      <c r="K1888" s="88">
        <f t="shared" si="90"/>
        <v>0</v>
      </c>
      <c r="L1888" s="85"/>
    </row>
    <row r="1889" spans="1:12" x14ac:dyDescent="0.25">
      <c r="A1889" s="84" t="str">
        <f t="shared" si="88"/>
        <v>SelecioneSelecioneSelecione</v>
      </c>
      <c r="B1889" s="85" t="s">
        <v>19</v>
      </c>
      <c r="C1889" s="85" t="s">
        <v>19</v>
      </c>
      <c r="D1889" s="86"/>
      <c r="E1889" s="116" t="str">
        <f t="shared" si="89"/>
        <v>-</v>
      </c>
      <c r="F1889" s="85"/>
      <c r="G1889" s="85" t="s">
        <v>19</v>
      </c>
      <c r="H1889" s="85"/>
      <c r="I1889" s="85"/>
      <c r="J1889" s="87"/>
      <c r="K1889" s="88">
        <f t="shared" si="90"/>
        <v>0</v>
      </c>
      <c r="L1889" s="85"/>
    </row>
    <row r="1890" spans="1:12" x14ac:dyDescent="0.25">
      <c r="A1890" s="84" t="str">
        <f t="shared" si="88"/>
        <v>SelecioneSelecioneSelecione</v>
      </c>
      <c r="B1890" s="85" t="s">
        <v>19</v>
      </c>
      <c r="C1890" s="85" t="s">
        <v>19</v>
      </c>
      <c r="D1890" s="86"/>
      <c r="E1890" s="116" t="str">
        <f t="shared" si="89"/>
        <v>-</v>
      </c>
      <c r="F1890" s="85"/>
      <c r="G1890" s="85" t="s">
        <v>19</v>
      </c>
      <c r="H1890" s="85"/>
      <c r="I1890" s="85"/>
      <c r="J1890" s="87"/>
      <c r="K1890" s="88">
        <f t="shared" si="90"/>
        <v>0</v>
      </c>
      <c r="L1890" s="85"/>
    </row>
    <row r="1891" spans="1:12" x14ac:dyDescent="0.25">
      <c r="A1891" s="84" t="str">
        <f t="shared" si="88"/>
        <v>SelecioneSelecioneSelecione</v>
      </c>
      <c r="B1891" s="85" t="s">
        <v>19</v>
      </c>
      <c r="C1891" s="85" t="s">
        <v>19</v>
      </c>
      <c r="D1891" s="86"/>
      <c r="E1891" s="116" t="str">
        <f t="shared" si="89"/>
        <v>-</v>
      </c>
      <c r="F1891" s="85"/>
      <c r="G1891" s="85" t="s">
        <v>19</v>
      </c>
      <c r="H1891" s="85"/>
      <c r="I1891" s="85"/>
      <c r="J1891" s="87"/>
      <c r="K1891" s="88">
        <f t="shared" si="90"/>
        <v>0</v>
      </c>
      <c r="L1891" s="85"/>
    </row>
    <row r="1892" spans="1:12" x14ac:dyDescent="0.25">
      <c r="A1892" s="84" t="str">
        <f t="shared" si="88"/>
        <v>SelecioneSelecioneSelecione</v>
      </c>
      <c r="B1892" s="85" t="s">
        <v>19</v>
      </c>
      <c r="C1892" s="85" t="s">
        <v>19</v>
      </c>
      <c r="D1892" s="86"/>
      <c r="E1892" s="116" t="str">
        <f t="shared" si="89"/>
        <v>-</v>
      </c>
      <c r="F1892" s="85"/>
      <c r="G1892" s="85" t="s">
        <v>19</v>
      </c>
      <c r="H1892" s="85"/>
      <c r="I1892" s="85"/>
      <c r="J1892" s="87"/>
      <c r="K1892" s="88">
        <f t="shared" si="90"/>
        <v>0</v>
      </c>
      <c r="L1892" s="85"/>
    </row>
    <row r="1893" spans="1:12" x14ac:dyDescent="0.25">
      <c r="A1893" s="84" t="str">
        <f t="shared" si="88"/>
        <v>SelecioneSelecioneSelecione</v>
      </c>
      <c r="B1893" s="85" t="s">
        <v>19</v>
      </c>
      <c r="C1893" s="85" t="s">
        <v>19</v>
      </c>
      <c r="D1893" s="86"/>
      <c r="E1893" s="116" t="str">
        <f t="shared" si="89"/>
        <v>-</v>
      </c>
      <c r="F1893" s="85"/>
      <c r="G1893" s="85" t="s">
        <v>19</v>
      </c>
      <c r="H1893" s="85"/>
      <c r="I1893" s="85"/>
      <c r="J1893" s="87"/>
      <c r="K1893" s="88">
        <f t="shared" si="90"/>
        <v>0</v>
      </c>
      <c r="L1893" s="85"/>
    </row>
    <row r="1894" spans="1:12" x14ac:dyDescent="0.25">
      <c r="A1894" s="84" t="str">
        <f t="shared" si="88"/>
        <v>SelecioneSelecioneSelecione</v>
      </c>
      <c r="B1894" s="85" t="s">
        <v>19</v>
      </c>
      <c r="C1894" s="85" t="s">
        <v>19</v>
      </c>
      <c r="D1894" s="86"/>
      <c r="E1894" s="116" t="str">
        <f t="shared" si="89"/>
        <v>-</v>
      </c>
      <c r="F1894" s="85"/>
      <c r="G1894" s="85" t="s">
        <v>19</v>
      </c>
      <c r="H1894" s="85"/>
      <c r="I1894" s="85"/>
      <c r="J1894" s="87"/>
      <c r="K1894" s="88">
        <f t="shared" si="90"/>
        <v>0</v>
      </c>
      <c r="L1894" s="85"/>
    </row>
    <row r="1895" spans="1:12" x14ac:dyDescent="0.25">
      <c r="A1895" s="84" t="str">
        <f t="shared" si="88"/>
        <v>SelecioneSelecioneSelecione</v>
      </c>
      <c r="B1895" s="85" t="s">
        <v>19</v>
      </c>
      <c r="C1895" s="85" t="s">
        <v>19</v>
      </c>
      <c r="D1895" s="86"/>
      <c r="E1895" s="116" t="str">
        <f t="shared" si="89"/>
        <v>-</v>
      </c>
      <c r="F1895" s="85"/>
      <c r="G1895" s="85" t="s">
        <v>19</v>
      </c>
      <c r="H1895" s="85"/>
      <c r="I1895" s="85"/>
      <c r="J1895" s="87"/>
      <c r="K1895" s="88">
        <f t="shared" si="90"/>
        <v>0</v>
      </c>
      <c r="L1895" s="85"/>
    </row>
    <row r="1896" spans="1:12" x14ac:dyDescent="0.25">
      <c r="A1896" s="84" t="str">
        <f t="shared" si="88"/>
        <v>SelecioneSelecioneSelecione</v>
      </c>
      <c r="B1896" s="85" t="s">
        <v>19</v>
      </c>
      <c r="C1896" s="85" t="s">
        <v>19</v>
      </c>
      <c r="D1896" s="86"/>
      <c r="E1896" s="116" t="str">
        <f t="shared" si="89"/>
        <v>-</v>
      </c>
      <c r="F1896" s="85"/>
      <c r="G1896" s="85" t="s">
        <v>19</v>
      </c>
      <c r="H1896" s="85"/>
      <c r="I1896" s="85"/>
      <c r="J1896" s="87"/>
      <c r="K1896" s="88">
        <f t="shared" si="90"/>
        <v>0</v>
      </c>
      <c r="L1896" s="85"/>
    </row>
    <row r="1897" spans="1:12" x14ac:dyDescent="0.25">
      <c r="A1897" s="84" t="str">
        <f t="shared" si="88"/>
        <v>SelecioneSelecioneSelecione</v>
      </c>
      <c r="B1897" s="85" t="s">
        <v>19</v>
      </c>
      <c r="C1897" s="85" t="s">
        <v>19</v>
      </c>
      <c r="D1897" s="86"/>
      <c r="E1897" s="116" t="str">
        <f t="shared" si="89"/>
        <v>-</v>
      </c>
      <c r="F1897" s="85"/>
      <c r="G1897" s="85" t="s">
        <v>19</v>
      </c>
      <c r="H1897" s="85"/>
      <c r="I1897" s="85"/>
      <c r="J1897" s="87"/>
      <c r="K1897" s="88">
        <f t="shared" si="90"/>
        <v>0</v>
      </c>
      <c r="L1897" s="85"/>
    </row>
    <row r="1898" spans="1:12" x14ac:dyDescent="0.25">
      <c r="A1898" s="84" t="str">
        <f t="shared" si="88"/>
        <v>SelecioneSelecioneSelecione</v>
      </c>
      <c r="B1898" s="85" t="s">
        <v>19</v>
      </c>
      <c r="C1898" s="85" t="s">
        <v>19</v>
      </c>
      <c r="D1898" s="86"/>
      <c r="E1898" s="116" t="str">
        <f t="shared" si="89"/>
        <v>-</v>
      </c>
      <c r="F1898" s="85"/>
      <c r="G1898" s="85" t="s">
        <v>19</v>
      </c>
      <c r="H1898" s="85"/>
      <c r="I1898" s="85"/>
      <c r="J1898" s="87"/>
      <c r="K1898" s="88">
        <f t="shared" si="90"/>
        <v>0</v>
      </c>
      <c r="L1898" s="85"/>
    </row>
    <row r="1899" spans="1:12" x14ac:dyDescent="0.25">
      <c r="A1899" s="84" t="str">
        <f t="shared" si="88"/>
        <v>SelecioneSelecioneSelecione</v>
      </c>
      <c r="B1899" s="85" t="s">
        <v>19</v>
      </c>
      <c r="C1899" s="85" t="s">
        <v>19</v>
      </c>
      <c r="D1899" s="86"/>
      <c r="E1899" s="116" t="str">
        <f t="shared" si="89"/>
        <v>-</v>
      </c>
      <c r="F1899" s="85"/>
      <c r="G1899" s="85" t="s">
        <v>19</v>
      </c>
      <c r="H1899" s="85"/>
      <c r="I1899" s="85"/>
      <c r="J1899" s="87"/>
      <c r="K1899" s="88">
        <f t="shared" si="90"/>
        <v>0</v>
      </c>
      <c r="L1899" s="85"/>
    </row>
    <row r="1900" spans="1:12" x14ac:dyDescent="0.25">
      <c r="A1900" s="84" t="str">
        <f t="shared" si="88"/>
        <v>SelecioneSelecioneSelecione</v>
      </c>
      <c r="B1900" s="85" t="s">
        <v>19</v>
      </c>
      <c r="C1900" s="85" t="s">
        <v>19</v>
      </c>
      <c r="D1900" s="86"/>
      <c r="E1900" s="116" t="str">
        <f t="shared" si="89"/>
        <v>-</v>
      </c>
      <c r="F1900" s="85"/>
      <c r="G1900" s="85" t="s">
        <v>19</v>
      </c>
      <c r="H1900" s="85"/>
      <c r="I1900" s="85"/>
      <c r="J1900" s="87"/>
      <c r="K1900" s="88">
        <f t="shared" si="90"/>
        <v>0</v>
      </c>
      <c r="L1900" s="85"/>
    </row>
    <row r="1901" spans="1:12" x14ac:dyDescent="0.25">
      <c r="A1901" s="84" t="str">
        <f t="shared" si="88"/>
        <v>SelecioneSelecioneSelecione</v>
      </c>
      <c r="B1901" s="85" t="s">
        <v>19</v>
      </c>
      <c r="C1901" s="85" t="s">
        <v>19</v>
      </c>
      <c r="D1901" s="86"/>
      <c r="E1901" s="116" t="str">
        <f t="shared" si="89"/>
        <v>-</v>
      </c>
      <c r="F1901" s="85"/>
      <c r="G1901" s="85" t="s">
        <v>19</v>
      </c>
      <c r="H1901" s="85"/>
      <c r="I1901" s="85"/>
      <c r="J1901" s="87"/>
      <c r="K1901" s="88">
        <f t="shared" si="90"/>
        <v>0</v>
      </c>
      <c r="L1901" s="85"/>
    </row>
    <row r="1902" spans="1:12" x14ac:dyDescent="0.25">
      <c r="A1902" s="84" t="str">
        <f t="shared" si="88"/>
        <v>SelecioneSelecioneSelecione</v>
      </c>
      <c r="B1902" s="85" t="s">
        <v>19</v>
      </c>
      <c r="C1902" s="85" t="s">
        <v>19</v>
      </c>
      <c r="D1902" s="86"/>
      <c r="E1902" s="116" t="str">
        <f t="shared" si="89"/>
        <v>-</v>
      </c>
      <c r="F1902" s="85"/>
      <c r="G1902" s="85" t="s">
        <v>19</v>
      </c>
      <c r="H1902" s="85"/>
      <c r="I1902" s="85"/>
      <c r="J1902" s="87"/>
      <c r="K1902" s="88">
        <f t="shared" si="90"/>
        <v>0</v>
      </c>
      <c r="L1902" s="85"/>
    </row>
    <row r="1903" spans="1:12" x14ac:dyDescent="0.25">
      <c r="A1903" s="84" t="str">
        <f t="shared" si="88"/>
        <v>SelecioneSelecioneSelecione</v>
      </c>
      <c r="B1903" s="85" t="s">
        <v>19</v>
      </c>
      <c r="C1903" s="85" t="s">
        <v>19</v>
      </c>
      <c r="D1903" s="86"/>
      <c r="E1903" s="116" t="str">
        <f t="shared" si="89"/>
        <v>-</v>
      </c>
      <c r="F1903" s="85"/>
      <c r="G1903" s="85" t="s">
        <v>19</v>
      </c>
      <c r="H1903" s="85"/>
      <c r="I1903" s="85"/>
      <c r="J1903" s="87"/>
      <c r="K1903" s="88">
        <f t="shared" si="90"/>
        <v>0</v>
      </c>
      <c r="L1903" s="85"/>
    </row>
    <row r="1904" spans="1:12" x14ac:dyDescent="0.25">
      <c r="A1904" s="84" t="str">
        <f t="shared" si="88"/>
        <v>SelecioneSelecioneSelecione</v>
      </c>
      <c r="B1904" s="85" t="s">
        <v>19</v>
      </c>
      <c r="C1904" s="85" t="s">
        <v>19</v>
      </c>
      <c r="D1904" s="86"/>
      <c r="E1904" s="116" t="str">
        <f t="shared" si="89"/>
        <v>-</v>
      </c>
      <c r="F1904" s="85"/>
      <c r="G1904" s="85" t="s">
        <v>19</v>
      </c>
      <c r="H1904" s="85"/>
      <c r="I1904" s="85"/>
      <c r="J1904" s="87"/>
      <c r="K1904" s="88">
        <f t="shared" si="90"/>
        <v>0</v>
      </c>
      <c r="L1904" s="85"/>
    </row>
    <row r="1905" spans="1:12" x14ac:dyDescent="0.25">
      <c r="A1905" s="84" t="str">
        <f t="shared" si="88"/>
        <v>SelecioneSelecioneSelecione</v>
      </c>
      <c r="B1905" s="85" t="s">
        <v>19</v>
      </c>
      <c r="C1905" s="85" t="s">
        <v>19</v>
      </c>
      <c r="D1905" s="86"/>
      <c r="E1905" s="116" t="str">
        <f t="shared" si="89"/>
        <v>-</v>
      </c>
      <c r="F1905" s="85"/>
      <c r="G1905" s="85" t="s">
        <v>19</v>
      </c>
      <c r="H1905" s="85"/>
      <c r="I1905" s="85"/>
      <c r="J1905" s="87"/>
      <c r="K1905" s="88">
        <f t="shared" si="90"/>
        <v>0</v>
      </c>
      <c r="L1905" s="85"/>
    </row>
    <row r="1906" spans="1:12" x14ac:dyDescent="0.25">
      <c r="A1906" s="84" t="str">
        <f t="shared" si="88"/>
        <v>SelecioneSelecioneSelecione</v>
      </c>
      <c r="B1906" s="85" t="s">
        <v>19</v>
      </c>
      <c r="C1906" s="85" t="s">
        <v>19</v>
      </c>
      <c r="D1906" s="86"/>
      <c r="E1906" s="116" t="str">
        <f t="shared" si="89"/>
        <v>-</v>
      </c>
      <c r="F1906" s="85"/>
      <c r="G1906" s="85" t="s">
        <v>19</v>
      </c>
      <c r="H1906" s="85"/>
      <c r="I1906" s="85"/>
      <c r="J1906" s="87"/>
      <c r="K1906" s="88">
        <f t="shared" si="90"/>
        <v>0</v>
      </c>
      <c r="L1906" s="85"/>
    </row>
    <row r="1907" spans="1:12" x14ac:dyDescent="0.25">
      <c r="A1907" s="84" t="str">
        <f t="shared" si="88"/>
        <v>SelecioneSelecioneSelecione</v>
      </c>
      <c r="B1907" s="85" t="s">
        <v>19</v>
      </c>
      <c r="C1907" s="85" t="s">
        <v>19</v>
      </c>
      <c r="D1907" s="86"/>
      <c r="E1907" s="116" t="str">
        <f t="shared" si="89"/>
        <v>-</v>
      </c>
      <c r="F1907" s="85"/>
      <c r="G1907" s="85" t="s">
        <v>19</v>
      </c>
      <c r="H1907" s="85"/>
      <c r="I1907" s="85"/>
      <c r="J1907" s="87"/>
      <c r="K1907" s="88">
        <f t="shared" si="90"/>
        <v>0</v>
      </c>
      <c r="L1907" s="85"/>
    </row>
    <row r="1908" spans="1:12" x14ac:dyDescent="0.25">
      <c r="A1908" s="84" t="str">
        <f t="shared" si="88"/>
        <v>SelecioneSelecioneSelecione</v>
      </c>
      <c r="B1908" s="85" t="s">
        <v>19</v>
      </c>
      <c r="C1908" s="85" t="s">
        <v>19</v>
      </c>
      <c r="D1908" s="86"/>
      <c r="E1908" s="116" t="str">
        <f t="shared" si="89"/>
        <v>-</v>
      </c>
      <c r="F1908" s="85"/>
      <c r="G1908" s="85" t="s">
        <v>19</v>
      </c>
      <c r="H1908" s="85"/>
      <c r="I1908" s="85"/>
      <c r="J1908" s="87"/>
      <c r="K1908" s="88">
        <f t="shared" si="90"/>
        <v>0</v>
      </c>
      <c r="L1908" s="85"/>
    </row>
    <row r="1909" spans="1:12" x14ac:dyDescent="0.25">
      <c r="A1909" s="84" t="str">
        <f t="shared" si="88"/>
        <v>SelecioneSelecioneSelecione</v>
      </c>
      <c r="B1909" s="85" t="s">
        <v>19</v>
      </c>
      <c r="C1909" s="85" t="s">
        <v>19</v>
      </c>
      <c r="D1909" s="86"/>
      <c r="E1909" s="116" t="str">
        <f t="shared" si="89"/>
        <v>-</v>
      </c>
      <c r="F1909" s="85"/>
      <c r="G1909" s="85" t="s">
        <v>19</v>
      </c>
      <c r="H1909" s="85"/>
      <c r="I1909" s="85"/>
      <c r="J1909" s="87"/>
      <c r="K1909" s="88">
        <f t="shared" si="90"/>
        <v>0</v>
      </c>
      <c r="L1909" s="85"/>
    </row>
    <row r="1910" spans="1:12" x14ac:dyDescent="0.25">
      <c r="A1910" s="84" t="str">
        <f t="shared" si="88"/>
        <v>SelecioneSelecioneSelecione</v>
      </c>
      <c r="B1910" s="85" t="s">
        <v>19</v>
      </c>
      <c r="C1910" s="85" t="s">
        <v>19</v>
      </c>
      <c r="D1910" s="86"/>
      <c r="E1910" s="116" t="str">
        <f t="shared" si="89"/>
        <v>-</v>
      </c>
      <c r="F1910" s="85"/>
      <c r="G1910" s="85" t="s">
        <v>19</v>
      </c>
      <c r="H1910" s="85"/>
      <c r="I1910" s="85"/>
      <c r="J1910" s="87"/>
      <c r="K1910" s="88">
        <f t="shared" si="90"/>
        <v>0</v>
      </c>
      <c r="L1910" s="85"/>
    </row>
    <row r="1911" spans="1:12" x14ac:dyDescent="0.25">
      <c r="A1911" s="84" t="str">
        <f t="shared" si="88"/>
        <v>SelecioneSelecioneSelecione</v>
      </c>
      <c r="B1911" s="85" t="s">
        <v>19</v>
      </c>
      <c r="C1911" s="85" t="s">
        <v>19</v>
      </c>
      <c r="D1911" s="86"/>
      <c r="E1911" s="116" t="str">
        <f t="shared" si="89"/>
        <v>-</v>
      </c>
      <c r="F1911" s="85"/>
      <c r="G1911" s="85" t="s">
        <v>19</v>
      </c>
      <c r="H1911" s="85"/>
      <c r="I1911" s="85"/>
      <c r="J1911" s="87"/>
      <c r="K1911" s="88">
        <f t="shared" si="90"/>
        <v>0</v>
      </c>
      <c r="L1911" s="85"/>
    </row>
    <row r="1912" spans="1:12" x14ac:dyDescent="0.25">
      <c r="A1912" s="84" t="str">
        <f t="shared" si="88"/>
        <v>SelecioneSelecioneSelecione</v>
      </c>
      <c r="B1912" s="85" t="s">
        <v>19</v>
      </c>
      <c r="C1912" s="85" t="s">
        <v>19</v>
      </c>
      <c r="D1912" s="86"/>
      <c r="E1912" s="116" t="str">
        <f t="shared" si="89"/>
        <v>-</v>
      </c>
      <c r="F1912" s="85"/>
      <c r="G1912" s="85" t="s">
        <v>19</v>
      </c>
      <c r="H1912" s="85"/>
      <c r="I1912" s="85"/>
      <c r="J1912" s="87"/>
      <c r="K1912" s="88">
        <f t="shared" si="90"/>
        <v>0</v>
      </c>
      <c r="L1912" s="85"/>
    </row>
    <row r="1913" spans="1:12" x14ac:dyDescent="0.25">
      <c r="A1913" s="84" t="str">
        <f t="shared" si="88"/>
        <v>SelecioneSelecioneSelecione</v>
      </c>
      <c r="B1913" s="85" t="s">
        <v>19</v>
      </c>
      <c r="C1913" s="85" t="s">
        <v>19</v>
      </c>
      <c r="D1913" s="86"/>
      <c r="E1913" s="116" t="str">
        <f t="shared" si="89"/>
        <v>-</v>
      </c>
      <c r="F1913" s="85"/>
      <c r="G1913" s="85" t="s">
        <v>19</v>
      </c>
      <c r="H1913" s="85"/>
      <c r="I1913" s="85"/>
      <c r="J1913" s="87"/>
      <c r="K1913" s="88">
        <f t="shared" si="90"/>
        <v>0</v>
      </c>
      <c r="L1913" s="85"/>
    </row>
    <row r="1914" spans="1:12" x14ac:dyDescent="0.25">
      <c r="A1914" s="84" t="str">
        <f t="shared" si="88"/>
        <v>SelecioneSelecioneSelecione</v>
      </c>
      <c r="B1914" s="85" t="s">
        <v>19</v>
      </c>
      <c r="C1914" s="85" t="s">
        <v>19</v>
      </c>
      <c r="D1914" s="86"/>
      <c r="E1914" s="116" t="str">
        <f t="shared" si="89"/>
        <v>-</v>
      </c>
      <c r="F1914" s="85"/>
      <c r="G1914" s="85" t="s">
        <v>19</v>
      </c>
      <c r="H1914" s="85"/>
      <c r="I1914" s="85"/>
      <c r="J1914" s="87"/>
      <c r="K1914" s="88">
        <f t="shared" si="90"/>
        <v>0</v>
      </c>
      <c r="L1914" s="85"/>
    </row>
    <row r="1915" spans="1:12" x14ac:dyDescent="0.25">
      <c r="A1915" s="84" t="str">
        <f t="shared" si="88"/>
        <v>SelecioneSelecioneSelecione</v>
      </c>
      <c r="B1915" s="85" t="s">
        <v>19</v>
      </c>
      <c r="C1915" s="85" t="s">
        <v>19</v>
      </c>
      <c r="D1915" s="86"/>
      <c r="E1915" s="116" t="str">
        <f t="shared" si="89"/>
        <v>-</v>
      </c>
      <c r="F1915" s="85"/>
      <c r="G1915" s="85" t="s">
        <v>19</v>
      </c>
      <c r="H1915" s="85"/>
      <c r="I1915" s="85"/>
      <c r="J1915" s="87"/>
      <c r="K1915" s="88">
        <f t="shared" si="90"/>
        <v>0</v>
      </c>
      <c r="L1915" s="85"/>
    </row>
    <row r="1916" spans="1:12" x14ac:dyDescent="0.25">
      <c r="A1916" s="84" t="str">
        <f t="shared" si="88"/>
        <v>SelecioneSelecioneSelecione</v>
      </c>
      <c r="B1916" s="85" t="s">
        <v>19</v>
      </c>
      <c r="C1916" s="85" t="s">
        <v>19</v>
      </c>
      <c r="D1916" s="86"/>
      <c r="E1916" s="116" t="str">
        <f t="shared" si="89"/>
        <v>-</v>
      </c>
      <c r="F1916" s="85"/>
      <c r="G1916" s="85" t="s">
        <v>19</v>
      </c>
      <c r="H1916" s="85"/>
      <c r="I1916" s="85"/>
      <c r="J1916" s="87"/>
      <c r="K1916" s="88">
        <f t="shared" si="90"/>
        <v>0</v>
      </c>
      <c r="L1916" s="85"/>
    </row>
    <row r="1917" spans="1:12" x14ac:dyDescent="0.25">
      <c r="A1917" s="84" t="str">
        <f t="shared" si="88"/>
        <v>SelecioneSelecioneSelecione</v>
      </c>
      <c r="B1917" s="85" t="s">
        <v>19</v>
      </c>
      <c r="C1917" s="85" t="s">
        <v>19</v>
      </c>
      <c r="D1917" s="86"/>
      <c r="E1917" s="116" t="str">
        <f t="shared" si="89"/>
        <v>-</v>
      </c>
      <c r="F1917" s="85"/>
      <c r="G1917" s="85" t="s">
        <v>19</v>
      </c>
      <c r="H1917" s="85"/>
      <c r="I1917" s="85"/>
      <c r="J1917" s="87"/>
      <c r="K1917" s="88">
        <f t="shared" si="90"/>
        <v>0</v>
      </c>
      <c r="L1917" s="85"/>
    </row>
    <row r="1918" spans="1:12" x14ac:dyDescent="0.25">
      <c r="A1918" s="84" t="str">
        <f t="shared" si="88"/>
        <v>SelecioneSelecioneSelecione</v>
      </c>
      <c r="B1918" s="85" t="s">
        <v>19</v>
      </c>
      <c r="C1918" s="85" t="s">
        <v>19</v>
      </c>
      <c r="D1918" s="86"/>
      <c r="E1918" s="116" t="str">
        <f t="shared" si="89"/>
        <v>-</v>
      </c>
      <c r="F1918" s="85"/>
      <c r="G1918" s="85" t="s">
        <v>19</v>
      </c>
      <c r="H1918" s="85"/>
      <c r="I1918" s="85"/>
      <c r="J1918" s="87"/>
      <c r="K1918" s="88">
        <f t="shared" si="90"/>
        <v>0</v>
      </c>
      <c r="L1918" s="85"/>
    </row>
    <row r="1919" spans="1:12" x14ac:dyDescent="0.25">
      <c r="A1919" s="84" t="str">
        <f t="shared" si="88"/>
        <v>SelecioneSelecioneSelecione</v>
      </c>
      <c r="B1919" s="85" t="s">
        <v>19</v>
      </c>
      <c r="C1919" s="85" t="s">
        <v>19</v>
      </c>
      <c r="D1919" s="86"/>
      <c r="E1919" s="116" t="str">
        <f t="shared" si="89"/>
        <v>-</v>
      </c>
      <c r="F1919" s="85"/>
      <c r="G1919" s="85" t="s">
        <v>19</v>
      </c>
      <c r="H1919" s="85"/>
      <c r="I1919" s="85"/>
      <c r="J1919" s="87"/>
      <c r="K1919" s="88">
        <f t="shared" si="90"/>
        <v>0</v>
      </c>
      <c r="L1919" s="85"/>
    </row>
    <row r="1920" spans="1:12" x14ac:dyDescent="0.25">
      <c r="A1920" s="84" t="str">
        <f t="shared" si="88"/>
        <v>SelecioneSelecioneSelecione</v>
      </c>
      <c r="B1920" s="85" t="s">
        <v>19</v>
      </c>
      <c r="C1920" s="85" t="s">
        <v>19</v>
      </c>
      <c r="D1920" s="86"/>
      <c r="E1920" s="116" t="str">
        <f t="shared" si="89"/>
        <v>-</v>
      </c>
      <c r="F1920" s="85"/>
      <c r="G1920" s="85" t="s">
        <v>19</v>
      </c>
      <c r="H1920" s="85"/>
      <c r="I1920" s="85"/>
      <c r="J1920" s="87"/>
      <c r="K1920" s="88">
        <f t="shared" si="90"/>
        <v>0</v>
      </c>
      <c r="L1920" s="85"/>
    </row>
    <row r="1921" spans="1:12" x14ac:dyDescent="0.25">
      <c r="A1921" s="84" t="str">
        <f t="shared" si="88"/>
        <v>SelecioneSelecioneSelecione</v>
      </c>
      <c r="B1921" s="85" t="s">
        <v>19</v>
      </c>
      <c r="C1921" s="85" t="s">
        <v>19</v>
      </c>
      <c r="D1921" s="86"/>
      <c r="E1921" s="116" t="str">
        <f t="shared" si="89"/>
        <v>-</v>
      </c>
      <c r="F1921" s="85"/>
      <c r="G1921" s="85" t="s">
        <v>19</v>
      </c>
      <c r="H1921" s="85"/>
      <c r="I1921" s="85"/>
      <c r="J1921" s="87"/>
      <c r="K1921" s="88">
        <f t="shared" si="90"/>
        <v>0</v>
      </c>
      <c r="L1921" s="85"/>
    </row>
    <row r="1922" spans="1:12" x14ac:dyDescent="0.25">
      <c r="A1922" s="84" t="str">
        <f t="shared" ref="A1922:A1985" si="91">CONCATENATE(B1922,C1922,G1922)</f>
        <v>SelecioneSelecioneSelecione</v>
      </c>
      <c r="B1922" s="85" t="s">
        <v>19</v>
      </c>
      <c r="C1922" s="85" t="s">
        <v>19</v>
      </c>
      <c r="D1922" s="86"/>
      <c r="E1922" s="116" t="str">
        <f t="shared" ref="E1922:E1985" si="92">VLOOKUP(G1922,$M$1:$O$968,3,0)</f>
        <v>-</v>
      </c>
      <c r="F1922" s="85"/>
      <c r="G1922" s="85" t="s">
        <v>19</v>
      </c>
      <c r="H1922" s="85"/>
      <c r="I1922" s="85"/>
      <c r="J1922" s="87"/>
      <c r="K1922" s="88">
        <f t="shared" ref="K1922:K1985" si="93">I1922*J1922</f>
        <v>0</v>
      </c>
      <c r="L1922" s="85"/>
    </row>
    <row r="1923" spans="1:12" x14ac:dyDescent="0.25">
      <c r="A1923" s="84" t="str">
        <f t="shared" si="91"/>
        <v>SelecioneSelecioneSelecione</v>
      </c>
      <c r="B1923" s="85" t="s">
        <v>19</v>
      </c>
      <c r="C1923" s="85" t="s">
        <v>19</v>
      </c>
      <c r="D1923" s="86"/>
      <c r="E1923" s="116" t="str">
        <f t="shared" si="92"/>
        <v>-</v>
      </c>
      <c r="F1923" s="85"/>
      <c r="G1923" s="85" t="s">
        <v>19</v>
      </c>
      <c r="H1923" s="85"/>
      <c r="I1923" s="85"/>
      <c r="J1923" s="87"/>
      <c r="K1923" s="88">
        <f t="shared" si="93"/>
        <v>0</v>
      </c>
      <c r="L1923" s="85"/>
    </row>
    <row r="1924" spans="1:12" x14ac:dyDescent="0.25">
      <c r="A1924" s="84" t="str">
        <f t="shared" si="91"/>
        <v>SelecioneSelecioneSelecione</v>
      </c>
      <c r="B1924" s="85" t="s">
        <v>19</v>
      </c>
      <c r="C1924" s="85" t="s">
        <v>19</v>
      </c>
      <c r="D1924" s="86"/>
      <c r="E1924" s="116" t="str">
        <f t="shared" si="92"/>
        <v>-</v>
      </c>
      <c r="F1924" s="85"/>
      <c r="G1924" s="85" t="s">
        <v>19</v>
      </c>
      <c r="H1924" s="85"/>
      <c r="I1924" s="85"/>
      <c r="J1924" s="87"/>
      <c r="K1924" s="88">
        <f t="shared" si="93"/>
        <v>0</v>
      </c>
      <c r="L1924" s="85"/>
    </row>
    <row r="1925" spans="1:12" x14ac:dyDescent="0.25">
      <c r="A1925" s="84" t="str">
        <f t="shared" si="91"/>
        <v>SelecioneSelecioneSelecione</v>
      </c>
      <c r="B1925" s="85" t="s">
        <v>19</v>
      </c>
      <c r="C1925" s="85" t="s">
        <v>19</v>
      </c>
      <c r="D1925" s="86"/>
      <c r="E1925" s="116" t="str">
        <f t="shared" si="92"/>
        <v>-</v>
      </c>
      <c r="F1925" s="85"/>
      <c r="G1925" s="85" t="s">
        <v>19</v>
      </c>
      <c r="H1925" s="85"/>
      <c r="I1925" s="85"/>
      <c r="J1925" s="87"/>
      <c r="K1925" s="88">
        <f t="shared" si="93"/>
        <v>0</v>
      </c>
      <c r="L1925" s="85"/>
    </row>
    <row r="1926" spans="1:12" x14ac:dyDescent="0.25">
      <c r="A1926" s="84" t="str">
        <f t="shared" si="91"/>
        <v>SelecioneSelecioneSelecione</v>
      </c>
      <c r="B1926" s="85" t="s">
        <v>19</v>
      </c>
      <c r="C1926" s="85" t="s">
        <v>19</v>
      </c>
      <c r="D1926" s="86"/>
      <c r="E1926" s="116" t="str">
        <f t="shared" si="92"/>
        <v>-</v>
      </c>
      <c r="F1926" s="85"/>
      <c r="G1926" s="85" t="s">
        <v>19</v>
      </c>
      <c r="H1926" s="85"/>
      <c r="I1926" s="85"/>
      <c r="J1926" s="87"/>
      <c r="K1926" s="88">
        <f t="shared" si="93"/>
        <v>0</v>
      </c>
      <c r="L1926" s="85"/>
    </row>
    <row r="1927" spans="1:12" x14ac:dyDescent="0.25">
      <c r="A1927" s="84" t="str">
        <f t="shared" si="91"/>
        <v>SelecioneSelecioneSelecione</v>
      </c>
      <c r="B1927" s="85" t="s">
        <v>19</v>
      </c>
      <c r="C1927" s="85" t="s">
        <v>19</v>
      </c>
      <c r="D1927" s="86"/>
      <c r="E1927" s="116" t="str">
        <f t="shared" si="92"/>
        <v>-</v>
      </c>
      <c r="F1927" s="85"/>
      <c r="G1927" s="85" t="s">
        <v>19</v>
      </c>
      <c r="H1927" s="85"/>
      <c r="I1927" s="85"/>
      <c r="J1927" s="87"/>
      <c r="K1927" s="88">
        <f t="shared" si="93"/>
        <v>0</v>
      </c>
      <c r="L1927" s="85"/>
    </row>
    <row r="1928" spans="1:12" x14ac:dyDescent="0.25">
      <c r="A1928" s="84" t="str">
        <f t="shared" si="91"/>
        <v>SelecioneSelecioneSelecione</v>
      </c>
      <c r="B1928" s="85" t="s">
        <v>19</v>
      </c>
      <c r="C1928" s="85" t="s">
        <v>19</v>
      </c>
      <c r="D1928" s="86"/>
      <c r="E1928" s="116" t="str">
        <f t="shared" si="92"/>
        <v>-</v>
      </c>
      <c r="F1928" s="85"/>
      <c r="G1928" s="85" t="s">
        <v>19</v>
      </c>
      <c r="H1928" s="85"/>
      <c r="I1928" s="85"/>
      <c r="J1928" s="87"/>
      <c r="K1928" s="88">
        <f t="shared" si="93"/>
        <v>0</v>
      </c>
      <c r="L1928" s="85"/>
    </row>
    <row r="1929" spans="1:12" x14ac:dyDescent="0.25">
      <c r="A1929" s="84" t="str">
        <f t="shared" si="91"/>
        <v>SelecioneSelecioneSelecione</v>
      </c>
      <c r="B1929" s="85" t="s">
        <v>19</v>
      </c>
      <c r="C1929" s="85" t="s">
        <v>19</v>
      </c>
      <c r="D1929" s="86"/>
      <c r="E1929" s="116" t="str">
        <f t="shared" si="92"/>
        <v>-</v>
      </c>
      <c r="F1929" s="85"/>
      <c r="G1929" s="85" t="s">
        <v>19</v>
      </c>
      <c r="H1929" s="85"/>
      <c r="I1929" s="85"/>
      <c r="J1929" s="87"/>
      <c r="K1929" s="88">
        <f t="shared" si="93"/>
        <v>0</v>
      </c>
      <c r="L1929" s="85"/>
    </row>
    <row r="1930" spans="1:12" x14ac:dyDescent="0.25">
      <c r="A1930" s="84" t="str">
        <f t="shared" si="91"/>
        <v>SelecioneSelecioneSelecione</v>
      </c>
      <c r="B1930" s="85" t="s">
        <v>19</v>
      </c>
      <c r="C1930" s="85" t="s">
        <v>19</v>
      </c>
      <c r="D1930" s="86"/>
      <c r="E1930" s="116" t="str">
        <f t="shared" si="92"/>
        <v>-</v>
      </c>
      <c r="F1930" s="85"/>
      <c r="G1930" s="85" t="s">
        <v>19</v>
      </c>
      <c r="H1930" s="85"/>
      <c r="I1930" s="85"/>
      <c r="J1930" s="87"/>
      <c r="K1930" s="88">
        <f t="shared" si="93"/>
        <v>0</v>
      </c>
      <c r="L1930" s="85"/>
    </row>
    <row r="1931" spans="1:12" x14ac:dyDescent="0.25">
      <c r="A1931" s="84" t="str">
        <f t="shared" si="91"/>
        <v>SelecioneSelecioneSelecione</v>
      </c>
      <c r="B1931" s="85" t="s">
        <v>19</v>
      </c>
      <c r="C1931" s="85" t="s">
        <v>19</v>
      </c>
      <c r="D1931" s="86"/>
      <c r="E1931" s="116" t="str">
        <f t="shared" si="92"/>
        <v>-</v>
      </c>
      <c r="F1931" s="85"/>
      <c r="G1931" s="85" t="s">
        <v>19</v>
      </c>
      <c r="H1931" s="85"/>
      <c r="I1931" s="85"/>
      <c r="J1931" s="87"/>
      <c r="K1931" s="88">
        <f t="shared" si="93"/>
        <v>0</v>
      </c>
      <c r="L1931" s="85"/>
    </row>
    <row r="1932" spans="1:12" x14ac:dyDescent="0.25">
      <c r="A1932" s="84" t="str">
        <f t="shared" si="91"/>
        <v>SelecioneSelecioneSelecione</v>
      </c>
      <c r="B1932" s="85" t="s">
        <v>19</v>
      </c>
      <c r="C1932" s="85" t="s">
        <v>19</v>
      </c>
      <c r="D1932" s="86"/>
      <c r="E1932" s="116" t="str">
        <f t="shared" si="92"/>
        <v>-</v>
      </c>
      <c r="F1932" s="85"/>
      <c r="G1932" s="85" t="s">
        <v>19</v>
      </c>
      <c r="H1932" s="85"/>
      <c r="I1932" s="85"/>
      <c r="J1932" s="87"/>
      <c r="K1932" s="88">
        <f t="shared" si="93"/>
        <v>0</v>
      </c>
      <c r="L1932" s="85"/>
    </row>
    <row r="1933" spans="1:12" x14ac:dyDescent="0.25">
      <c r="A1933" s="84" t="str">
        <f t="shared" si="91"/>
        <v>SelecioneSelecioneSelecione</v>
      </c>
      <c r="B1933" s="85" t="s">
        <v>19</v>
      </c>
      <c r="C1933" s="85" t="s">
        <v>19</v>
      </c>
      <c r="D1933" s="86"/>
      <c r="E1933" s="116" t="str">
        <f t="shared" si="92"/>
        <v>-</v>
      </c>
      <c r="F1933" s="85"/>
      <c r="G1933" s="85" t="s">
        <v>19</v>
      </c>
      <c r="H1933" s="85"/>
      <c r="I1933" s="85"/>
      <c r="J1933" s="87"/>
      <c r="K1933" s="88">
        <f t="shared" si="93"/>
        <v>0</v>
      </c>
      <c r="L1933" s="85"/>
    </row>
    <row r="1934" spans="1:12" x14ac:dyDescent="0.25">
      <c r="A1934" s="84" t="str">
        <f t="shared" si="91"/>
        <v>SelecioneSelecioneSelecione</v>
      </c>
      <c r="B1934" s="85" t="s">
        <v>19</v>
      </c>
      <c r="C1934" s="85" t="s">
        <v>19</v>
      </c>
      <c r="D1934" s="86"/>
      <c r="E1934" s="116" t="str">
        <f t="shared" si="92"/>
        <v>-</v>
      </c>
      <c r="F1934" s="85"/>
      <c r="G1934" s="85" t="s">
        <v>19</v>
      </c>
      <c r="H1934" s="85"/>
      <c r="I1934" s="85"/>
      <c r="J1934" s="87"/>
      <c r="K1934" s="88">
        <f t="shared" si="93"/>
        <v>0</v>
      </c>
      <c r="L1934" s="85"/>
    </row>
    <row r="1935" spans="1:12" x14ac:dyDescent="0.25">
      <c r="A1935" s="84" t="str">
        <f t="shared" si="91"/>
        <v>SelecioneSelecioneSelecione</v>
      </c>
      <c r="B1935" s="85" t="s">
        <v>19</v>
      </c>
      <c r="C1935" s="85" t="s">
        <v>19</v>
      </c>
      <c r="D1935" s="86"/>
      <c r="E1935" s="116" t="str">
        <f t="shared" si="92"/>
        <v>-</v>
      </c>
      <c r="F1935" s="85"/>
      <c r="G1935" s="85" t="s">
        <v>19</v>
      </c>
      <c r="H1935" s="85"/>
      <c r="I1935" s="85"/>
      <c r="J1935" s="87"/>
      <c r="K1935" s="88">
        <f t="shared" si="93"/>
        <v>0</v>
      </c>
      <c r="L1935" s="85"/>
    </row>
    <row r="1936" spans="1:12" x14ac:dyDescent="0.25">
      <c r="A1936" s="84" t="str">
        <f t="shared" si="91"/>
        <v>SelecioneSelecioneSelecione</v>
      </c>
      <c r="B1936" s="85" t="s">
        <v>19</v>
      </c>
      <c r="C1936" s="85" t="s">
        <v>19</v>
      </c>
      <c r="D1936" s="86"/>
      <c r="E1936" s="116" t="str">
        <f t="shared" si="92"/>
        <v>-</v>
      </c>
      <c r="F1936" s="85"/>
      <c r="G1936" s="85" t="s">
        <v>19</v>
      </c>
      <c r="H1936" s="85"/>
      <c r="I1936" s="85"/>
      <c r="J1936" s="87"/>
      <c r="K1936" s="88">
        <f t="shared" si="93"/>
        <v>0</v>
      </c>
      <c r="L1936" s="85"/>
    </row>
    <row r="1937" spans="1:12" x14ac:dyDescent="0.25">
      <c r="A1937" s="84" t="str">
        <f t="shared" si="91"/>
        <v>SelecioneSelecioneSelecione</v>
      </c>
      <c r="B1937" s="85" t="s">
        <v>19</v>
      </c>
      <c r="C1937" s="85" t="s">
        <v>19</v>
      </c>
      <c r="D1937" s="86"/>
      <c r="E1937" s="116" t="str">
        <f t="shared" si="92"/>
        <v>-</v>
      </c>
      <c r="F1937" s="85"/>
      <c r="G1937" s="85" t="s">
        <v>19</v>
      </c>
      <c r="H1937" s="85"/>
      <c r="I1937" s="85"/>
      <c r="J1937" s="87"/>
      <c r="K1937" s="88">
        <f t="shared" si="93"/>
        <v>0</v>
      </c>
      <c r="L1937" s="85"/>
    </row>
    <row r="1938" spans="1:12" x14ac:dyDescent="0.25">
      <c r="A1938" s="84" t="str">
        <f t="shared" si="91"/>
        <v>SelecioneSelecioneSelecione</v>
      </c>
      <c r="B1938" s="85" t="s">
        <v>19</v>
      </c>
      <c r="C1938" s="85" t="s">
        <v>19</v>
      </c>
      <c r="D1938" s="86"/>
      <c r="E1938" s="116" t="str">
        <f t="shared" si="92"/>
        <v>-</v>
      </c>
      <c r="F1938" s="85"/>
      <c r="G1938" s="85" t="s">
        <v>19</v>
      </c>
      <c r="H1938" s="85"/>
      <c r="I1938" s="85"/>
      <c r="J1938" s="87"/>
      <c r="K1938" s="88">
        <f t="shared" si="93"/>
        <v>0</v>
      </c>
      <c r="L1938" s="85"/>
    </row>
    <row r="1939" spans="1:12" x14ac:dyDescent="0.25">
      <c r="A1939" s="84" t="str">
        <f t="shared" si="91"/>
        <v>SelecioneSelecioneSelecione</v>
      </c>
      <c r="B1939" s="85" t="s">
        <v>19</v>
      </c>
      <c r="C1939" s="85" t="s">
        <v>19</v>
      </c>
      <c r="D1939" s="86"/>
      <c r="E1939" s="116" t="str">
        <f t="shared" si="92"/>
        <v>-</v>
      </c>
      <c r="F1939" s="85"/>
      <c r="G1939" s="85" t="s">
        <v>19</v>
      </c>
      <c r="H1939" s="85"/>
      <c r="I1939" s="85"/>
      <c r="J1939" s="87"/>
      <c r="K1939" s="88">
        <f t="shared" si="93"/>
        <v>0</v>
      </c>
      <c r="L1939" s="85"/>
    </row>
    <row r="1940" spans="1:12" x14ac:dyDescent="0.25">
      <c r="A1940" s="84" t="str">
        <f t="shared" si="91"/>
        <v>SelecioneSelecioneSelecione</v>
      </c>
      <c r="B1940" s="85" t="s">
        <v>19</v>
      </c>
      <c r="C1940" s="85" t="s">
        <v>19</v>
      </c>
      <c r="D1940" s="86"/>
      <c r="E1940" s="116" t="str">
        <f t="shared" si="92"/>
        <v>-</v>
      </c>
      <c r="F1940" s="85"/>
      <c r="G1940" s="85" t="s">
        <v>19</v>
      </c>
      <c r="H1940" s="85"/>
      <c r="I1940" s="85"/>
      <c r="J1940" s="87"/>
      <c r="K1940" s="88">
        <f t="shared" si="93"/>
        <v>0</v>
      </c>
      <c r="L1940" s="85"/>
    </row>
    <row r="1941" spans="1:12" x14ac:dyDescent="0.25">
      <c r="A1941" s="84" t="str">
        <f t="shared" si="91"/>
        <v>SelecioneSelecioneSelecione</v>
      </c>
      <c r="B1941" s="85" t="s">
        <v>19</v>
      </c>
      <c r="C1941" s="85" t="s">
        <v>19</v>
      </c>
      <c r="D1941" s="86"/>
      <c r="E1941" s="116" t="str">
        <f t="shared" si="92"/>
        <v>-</v>
      </c>
      <c r="F1941" s="85"/>
      <c r="G1941" s="85" t="s">
        <v>19</v>
      </c>
      <c r="H1941" s="85"/>
      <c r="I1941" s="85"/>
      <c r="J1941" s="87"/>
      <c r="K1941" s="88">
        <f t="shared" si="93"/>
        <v>0</v>
      </c>
      <c r="L1941" s="85"/>
    </row>
    <row r="1942" spans="1:12" x14ac:dyDescent="0.25">
      <c r="A1942" s="84" t="str">
        <f t="shared" si="91"/>
        <v>SelecioneSelecioneSelecione</v>
      </c>
      <c r="B1942" s="85" t="s">
        <v>19</v>
      </c>
      <c r="C1942" s="85" t="s">
        <v>19</v>
      </c>
      <c r="D1942" s="86"/>
      <c r="E1942" s="116" t="str">
        <f t="shared" si="92"/>
        <v>-</v>
      </c>
      <c r="F1942" s="85"/>
      <c r="G1942" s="85" t="s">
        <v>19</v>
      </c>
      <c r="H1942" s="85"/>
      <c r="I1942" s="85"/>
      <c r="J1942" s="87"/>
      <c r="K1942" s="88">
        <f t="shared" si="93"/>
        <v>0</v>
      </c>
      <c r="L1942" s="85"/>
    </row>
    <row r="1943" spans="1:12" x14ac:dyDescent="0.25">
      <c r="A1943" s="84" t="str">
        <f t="shared" si="91"/>
        <v>SelecioneSelecioneSelecione</v>
      </c>
      <c r="B1943" s="85" t="s">
        <v>19</v>
      </c>
      <c r="C1943" s="85" t="s">
        <v>19</v>
      </c>
      <c r="D1943" s="86"/>
      <c r="E1943" s="116" t="str">
        <f t="shared" si="92"/>
        <v>-</v>
      </c>
      <c r="F1943" s="85"/>
      <c r="G1943" s="85" t="s">
        <v>19</v>
      </c>
      <c r="H1943" s="85"/>
      <c r="I1943" s="85"/>
      <c r="J1943" s="87"/>
      <c r="K1943" s="88">
        <f t="shared" si="93"/>
        <v>0</v>
      </c>
      <c r="L1943" s="85"/>
    </row>
    <row r="1944" spans="1:12" x14ac:dyDescent="0.25">
      <c r="A1944" s="84" t="str">
        <f t="shared" si="91"/>
        <v>SelecioneSelecioneSelecione</v>
      </c>
      <c r="B1944" s="85" t="s">
        <v>19</v>
      </c>
      <c r="C1944" s="85" t="s">
        <v>19</v>
      </c>
      <c r="D1944" s="86"/>
      <c r="E1944" s="116" t="str">
        <f t="shared" si="92"/>
        <v>-</v>
      </c>
      <c r="F1944" s="85"/>
      <c r="G1944" s="85" t="s">
        <v>19</v>
      </c>
      <c r="H1944" s="85"/>
      <c r="I1944" s="85"/>
      <c r="J1944" s="87"/>
      <c r="K1944" s="88">
        <f t="shared" si="93"/>
        <v>0</v>
      </c>
      <c r="L1944" s="85"/>
    </row>
    <row r="1945" spans="1:12" x14ac:dyDescent="0.25">
      <c r="A1945" s="84" t="str">
        <f t="shared" si="91"/>
        <v>SelecioneSelecioneSelecione</v>
      </c>
      <c r="B1945" s="85" t="s">
        <v>19</v>
      </c>
      <c r="C1945" s="85" t="s">
        <v>19</v>
      </c>
      <c r="D1945" s="86"/>
      <c r="E1945" s="116" t="str">
        <f t="shared" si="92"/>
        <v>-</v>
      </c>
      <c r="F1945" s="85"/>
      <c r="G1945" s="85" t="s">
        <v>19</v>
      </c>
      <c r="H1945" s="85"/>
      <c r="I1945" s="85"/>
      <c r="J1945" s="87"/>
      <c r="K1945" s="88">
        <f t="shared" si="93"/>
        <v>0</v>
      </c>
      <c r="L1945" s="85"/>
    </row>
    <row r="1946" spans="1:12" x14ac:dyDescent="0.25">
      <c r="A1946" s="84" t="str">
        <f t="shared" si="91"/>
        <v>SelecioneSelecioneSelecione</v>
      </c>
      <c r="B1946" s="85" t="s">
        <v>19</v>
      </c>
      <c r="C1946" s="85" t="s">
        <v>19</v>
      </c>
      <c r="D1946" s="86"/>
      <c r="E1946" s="116" t="str">
        <f t="shared" si="92"/>
        <v>-</v>
      </c>
      <c r="F1946" s="85"/>
      <c r="G1946" s="85" t="s">
        <v>19</v>
      </c>
      <c r="H1946" s="85"/>
      <c r="I1946" s="85"/>
      <c r="J1946" s="87"/>
      <c r="K1946" s="88">
        <f t="shared" si="93"/>
        <v>0</v>
      </c>
      <c r="L1946" s="85"/>
    </row>
    <row r="1947" spans="1:12" x14ac:dyDescent="0.25">
      <c r="A1947" s="84" t="str">
        <f t="shared" si="91"/>
        <v>SelecioneSelecioneSelecione</v>
      </c>
      <c r="B1947" s="85" t="s">
        <v>19</v>
      </c>
      <c r="C1947" s="85" t="s">
        <v>19</v>
      </c>
      <c r="D1947" s="86"/>
      <c r="E1947" s="116" t="str">
        <f t="shared" si="92"/>
        <v>-</v>
      </c>
      <c r="F1947" s="85"/>
      <c r="G1947" s="85" t="s">
        <v>19</v>
      </c>
      <c r="H1947" s="85"/>
      <c r="I1947" s="85"/>
      <c r="J1947" s="87"/>
      <c r="K1947" s="88">
        <f t="shared" si="93"/>
        <v>0</v>
      </c>
      <c r="L1947" s="85"/>
    </row>
    <row r="1948" spans="1:12" x14ac:dyDescent="0.25">
      <c r="A1948" s="84" t="str">
        <f t="shared" si="91"/>
        <v>SelecioneSelecioneSelecione</v>
      </c>
      <c r="B1948" s="85" t="s">
        <v>19</v>
      </c>
      <c r="C1948" s="85" t="s">
        <v>19</v>
      </c>
      <c r="D1948" s="86"/>
      <c r="E1948" s="116" t="str">
        <f t="shared" si="92"/>
        <v>-</v>
      </c>
      <c r="F1948" s="85"/>
      <c r="G1948" s="85" t="s">
        <v>19</v>
      </c>
      <c r="H1948" s="85"/>
      <c r="I1948" s="85"/>
      <c r="J1948" s="87"/>
      <c r="K1948" s="88">
        <f t="shared" si="93"/>
        <v>0</v>
      </c>
      <c r="L1948" s="85"/>
    </row>
    <row r="1949" spans="1:12" x14ac:dyDescent="0.25">
      <c r="A1949" s="84" t="str">
        <f t="shared" si="91"/>
        <v>SelecioneSelecioneSelecione</v>
      </c>
      <c r="B1949" s="85" t="s">
        <v>19</v>
      </c>
      <c r="C1949" s="85" t="s">
        <v>19</v>
      </c>
      <c r="D1949" s="86"/>
      <c r="E1949" s="116" t="str">
        <f t="shared" si="92"/>
        <v>-</v>
      </c>
      <c r="F1949" s="85"/>
      <c r="G1949" s="85" t="s">
        <v>19</v>
      </c>
      <c r="H1949" s="85"/>
      <c r="I1949" s="85"/>
      <c r="J1949" s="87"/>
      <c r="K1949" s="88">
        <f t="shared" si="93"/>
        <v>0</v>
      </c>
      <c r="L1949" s="85"/>
    </row>
    <row r="1950" spans="1:12" x14ac:dyDescent="0.25">
      <c r="A1950" s="84" t="str">
        <f t="shared" si="91"/>
        <v>SelecioneSelecioneSelecione</v>
      </c>
      <c r="B1950" s="85" t="s">
        <v>19</v>
      </c>
      <c r="C1950" s="85" t="s">
        <v>19</v>
      </c>
      <c r="D1950" s="86"/>
      <c r="E1950" s="116" t="str">
        <f t="shared" si="92"/>
        <v>-</v>
      </c>
      <c r="F1950" s="85"/>
      <c r="G1950" s="85" t="s">
        <v>19</v>
      </c>
      <c r="H1950" s="85"/>
      <c r="I1950" s="85"/>
      <c r="J1950" s="87"/>
      <c r="K1950" s="88">
        <f t="shared" si="93"/>
        <v>0</v>
      </c>
      <c r="L1950" s="85"/>
    </row>
    <row r="1951" spans="1:12" x14ac:dyDescent="0.25">
      <c r="A1951" s="84" t="str">
        <f t="shared" si="91"/>
        <v>SelecioneSelecioneSelecione</v>
      </c>
      <c r="B1951" s="85" t="s">
        <v>19</v>
      </c>
      <c r="C1951" s="85" t="s">
        <v>19</v>
      </c>
      <c r="D1951" s="86"/>
      <c r="E1951" s="116" t="str">
        <f t="shared" si="92"/>
        <v>-</v>
      </c>
      <c r="F1951" s="85"/>
      <c r="G1951" s="85" t="s">
        <v>19</v>
      </c>
      <c r="H1951" s="85"/>
      <c r="I1951" s="85"/>
      <c r="J1951" s="87"/>
      <c r="K1951" s="88">
        <f t="shared" si="93"/>
        <v>0</v>
      </c>
      <c r="L1951" s="85"/>
    </row>
    <row r="1952" spans="1:12" x14ac:dyDescent="0.25">
      <c r="A1952" s="84" t="str">
        <f t="shared" si="91"/>
        <v>SelecioneSelecioneSelecione</v>
      </c>
      <c r="B1952" s="85" t="s">
        <v>19</v>
      </c>
      <c r="C1952" s="85" t="s">
        <v>19</v>
      </c>
      <c r="D1952" s="86"/>
      <c r="E1952" s="116" t="str">
        <f t="shared" si="92"/>
        <v>-</v>
      </c>
      <c r="F1952" s="85"/>
      <c r="G1952" s="85" t="s">
        <v>19</v>
      </c>
      <c r="H1952" s="85"/>
      <c r="I1952" s="85"/>
      <c r="J1952" s="87"/>
      <c r="K1952" s="88">
        <f t="shared" si="93"/>
        <v>0</v>
      </c>
      <c r="L1952" s="85"/>
    </row>
    <row r="1953" spans="1:12" x14ac:dyDescent="0.25">
      <c r="A1953" s="84" t="str">
        <f t="shared" si="91"/>
        <v>SelecioneSelecioneSelecione</v>
      </c>
      <c r="B1953" s="85" t="s">
        <v>19</v>
      </c>
      <c r="C1953" s="85" t="s">
        <v>19</v>
      </c>
      <c r="D1953" s="86"/>
      <c r="E1953" s="116" t="str">
        <f t="shared" si="92"/>
        <v>-</v>
      </c>
      <c r="F1953" s="85"/>
      <c r="G1953" s="85" t="s">
        <v>19</v>
      </c>
      <c r="H1953" s="85"/>
      <c r="I1953" s="85"/>
      <c r="J1953" s="87"/>
      <c r="K1953" s="88">
        <f t="shared" si="93"/>
        <v>0</v>
      </c>
      <c r="L1953" s="85"/>
    </row>
    <row r="1954" spans="1:12" x14ac:dyDescent="0.25">
      <c r="A1954" s="84" t="str">
        <f t="shared" si="91"/>
        <v>SelecioneSelecioneSelecione</v>
      </c>
      <c r="B1954" s="85" t="s">
        <v>19</v>
      </c>
      <c r="C1954" s="85" t="s">
        <v>19</v>
      </c>
      <c r="D1954" s="86"/>
      <c r="E1954" s="116" t="str">
        <f t="shared" si="92"/>
        <v>-</v>
      </c>
      <c r="F1954" s="85"/>
      <c r="G1954" s="85" t="s">
        <v>19</v>
      </c>
      <c r="H1954" s="85"/>
      <c r="I1954" s="85"/>
      <c r="J1954" s="87"/>
      <c r="K1954" s="88">
        <f t="shared" si="93"/>
        <v>0</v>
      </c>
      <c r="L1954" s="85"/>
    </row>
    <row r="1955" spans="1:12" x14ac:dyDescent="0.25">
      <c r="A1955" s="84" t="str">
        <f t="shared" si="91"/>
        <v>SelecioneSelecioneSelecione</v>
      </c>
      <c r="B1955" s="85" t="s">
        <v>19</v>
      </c>
      <c r="C1955" s="85" t="s">
        <v>19</v>
      </c>
      <c r="D1955" s="86"/>
      <c r="E1955" s="116" t="str">
        <f t="shared" si="92"/>
        <v>-</v>
      </c>
      <c r="F1955" s="85"/>
      <c r="G1955" s="85" t="s">
        <v>19</v>
      </c>
      <c r="H1955" s="85"/>
      <c r="I1955" s="85"/>
      <c r="J1955" s="87"/>
      <c r="K1955" s="88">
        <f t="shared" si="93"/>
        <v>0</v>
      </c>
      <c r="L1955" s="85"/>
    </row>
    <row r="1956" spans="1:12" x14ac:dyDescent="0.25">
      <c r="A1956" s="84" t="str">
        <f t="shared" si="91"/>
        <v>SelecioneSelecioneSelecione</v>
      </c>
      <c r="B1956" s="85" t="s">
        <v>19</v>
      </c>
      <c r="C1956" s="85" t="s">
        <v>19</v>
      </c>
      <c r="D1956" s="86"/>
      <c r="E1956" s="116" t="str">
        <f t="shared" si="92"/>
        <v>-</v>
      </c>
      <c r="F1956" s="85"/>
      <c r="G1956" s="85" t="s">
        <v>19</v>
      </c>
      <c r="H1956" s="85"/>
      <c r="I1956" s="85"/>
      <c r="J1956" s="87"/>
      <c r="K1956" s="88">
        <f t="shared" si="93"/>
        <v>0</v>
      </c>
      <c r="L1956" s="85"/>
    </row>
    <row r="1957" spans="1:12" x14ac:dyDescent="0.25">
      <c r="A1957" s="84" t="str">
        <f t="shared" si="91"/>
        <v>SelecioneSelecioneSelecione</v>
      </c>
      <c r="B1957" s="85" t="s">
        <v>19</v>
      </c>
      <c r="C1957" s="85" t="s">
        <v>19</v>
      </c>
      <c r="D1957" s="86"/>
      <c r="E1957" s="116" t="str">
        <f t="shared" si="92"/>
        <v>-</v>
      </c>
      <c r="F1957" s="85"/>
      <c r="G1957" s="85" t="s">
        <v>19</v>
      </c>
      <c r="H1957" s="85"/>
      <c r="I1957" s="85"/>
      <c r="J1957" s="87"/>
      <c r="K1957" s="88">
        <f t="shared" si="93"/>
        <v>0</v>
      </c>
      <c r="L1957" s="85"/>
    </row>
    <row r="1958" spans="1:12" x14ac:dyDescent="0.25">
      <c r="A1958" s="84" t="str">
        <f t="shared" si="91"/>
        <v>SelecioneSelecioneSelecione</v>
      </c>
      <c r="B1958" s="85" t="s">
        <v>19</v>
      </c>
      <c r="C1958" s="85" t="s">
        <v>19</v>
      </c>
      <c r="D1958" s="86"/>
      <c r="E1958" s="116" t="str">
        <f t="shared" si="92"/>
        <v>-</v>
      </c>
      <c r="F1958" s="85"/>
      <c r="G1958" s="85" t="s">
        <v>19</v>
      </c>
      <c r="H1958" s="85"/>
      <c r="I1958" s="85"/>
      <c r="J1958" s="87"/>
      <c r="K1958" s="88">
        <f t="shared" si="93"/>
        <v>0</v>
      </c>
      <c r="L1958" s="85"/>
    </row>
    <row r="1959" spans="1:12" x14ac:dyDescent="0.25">
      <c r="A1959" s="84" t="str">
        <f t="shared" si="91"/>
        <v>SelecioneSelecioneSelecione</v>
      </c>
      <c r="B1959" s="85" t="s">
        <v>19</v>
      </c>
      <c r="C1959" s="85" t="s">
        <v>19</v>
      </c>
      <c r="D1959" s="86"/>
      <c r="E1959" s="116" t="str">
        <f t="shared" si="92"/>
        <v>-</v>
      </c>
      <c r="F1959" s="85"/>
      <c r="G1959" s="85" t="s">
        <v>19</v>
      </c>
      <c r="H1959" s="85"/>
      <c r="I1959" s="85"/>
      <c r="J1959" s="87"/>
      <c r="K1959" s="88">
        <f t="shared" si="93"/>
        <v>0</v>
      </c>
      <c r="L1959" s="85"/>
    </row>
    <row r="1960" spans="1:12" x14ac:dyDescent="0.25">
      <c r="A1960" s="84" t="str">
        <f t="shared" si="91"/>
        <v>SelecioneSelecioneSelecione</v>
      </c>
      <c r="B1960" s="85" t="s">
        <v>19</v>
      </c>
      <c r="C1960" s="85" t="s">
        <v>19</v>
      </c>
      <c r="D1960" s="93"/>
      <c r="E1960" s="116" t="str">
        <f t="shared" si="92"/>
        <v>-</v>
      </c>
      <c r="F1960" s="90"/>
      <c r="G1960" s="85" t="s">
        <v>19</v>
      </c>
      <c r="H1960" s="85"/>
      <c r="I1960" s="90"/>
      <c r="J1960" s="89"/>
      <c r="K1960" s="88">
        <f t="shared" si="93"/>
        <v>0</v>
      </c>
      <c r="L1960" s="90"/>
    </row>
    <row r="1961" spans="1:12" x14ac:dyDescent="0.25">
      <c r="A1961" s="84" t="str">
        <f t="shared" si="91"/>
        <v>SelecioneSelecioneSelecione</v>
      </c>
      <c r="B1961" s="85" t="s">
        <v>19</v>
      </c>
      <c r="C1961" s="85" t="s">
        <v>19</v>
      </c>
      <c r="D1961" s="86"/>
      <c r="E1961" s="116" t="str">
        <f t="shared" si="92"/>
        <v>-</v>
      </c>
      <c r="F1961" s="85"/>
      <c r="G1961" s="85" t="s">
        <v>19</v>
      </c>
      <c r="H1961" s="85"/>
      <c r="I1961" s="85"/>
      <c r="J1961" s="87"/>
      <c r="K1961" s="88">
        <f t="shared" si="93"/>
        <v>0</v>
      </c>
      <c r="L1961" s="85"/>
    </row>
    <row r="1962" spans="1:12" x14ac:dyDescent="0.25">
      <c r="A1962" s="84" t="str">
        <f t="shared" si="91"/>
        <v>SelecioneSelecioneSelecione</v>
      </c>
      <c r="B1962" s="85" t="s">
        <v>19</v>
      </c>
      <c r="C1962" s="85" t="s">
        <v>19</v>
      </c>
      <c r="D1962" s="86"/>
      <c r="E1962" s="116" t="str">
        <f t="shared" si="92"/>
        <v>-</v>
      </c>
      <c r="F1962" s="85"/>
      <c r="G1962" s="85" t="s">
        <v>19</v>
      </c>
      <c r="H1962" s="85"/>
      <c r="I1962" s="85"/>
      <c r="J1962" s="87"/>
      <c r="K1962" s="88">
        <f t="shared" si="93"/>
        <v>0</v>
      </c>
      <c r="L1962" s="85"/>
    </row>
    <row r="1963" spans="1:12" x14ac:dyDescent="0.25">
      <c r="A1963" s="84" t="str">
        <f t="shared" si="91"/>
        <v>SelecioneSelecioneSelecione</v>
      </c>
      <c r="B1963" s="85" t="s">
        <v>19</v>
      </c>
      <c r="C1963" s="85" t="s">
        <v>19</v>
      </c>
      <c r="D1963" s="86"/>
      <c r="E1963" s="116" t="str">
        <f t="shared" si="92"/>
        <v>-</v>
      </c>
      <c r="F1963" s="85"/>
      <c r="G1963" s="85" t="s">
        <v>19</v>
      </c>
      <c r="H1963" s="85"/>
      <c r="I1963" s="85"/>
      <c r="J1963" s="87"/>
      <c r="K1963" s="88">
        <f t="shared" si="93"/>
        <v>0</v>
      </c>
      <c r="L1963" s="85"/>
    </row>
    <row r="1964" spans="1:12" x14ac:dyDescent="0.25">
      <c r="A1964" s="84" t="str">
        <f t="shared" si="91"/>
        <v>SelecioneSelecioneSelecione</v>
      </c>
      <c r="B1964" s="85" t="s">
        <v>19</v>
      </c>
      <c r="C1964" s="85" t="s">
        <v>19</v>
      </c>
      <c r="D1964" s="86"/>
      <c r="E1964" s="116" t="str">
        <f t="shared" si="92"/>
        <v>-</v>
      </c>
      <c r="F1964" s="85"/>
      <c r="G1964" s="85" t="s">
        <v>19</v>
      </c>
      <c r="H1964" s="85"/>
      <c r="I1964" s="85"/>
      <c r="J1964" s="87"/>
      <c r="K1964" s="88">
        <f t="shared" si="93"/>
        <v>0</v>
      </c>
      <c r="L1964" s="85"/>
    </row>
    <row r="1965" spans="1:12" x14ac:dyDescent="0.25">
      <c r="A1965" s="84" t="str">
        <f t="shared" si="91"/>
        <v>SelecioneSelecioneSelecione</v>
      </c>
      <c r="B1965" s="85" t="s">
        <v>19</v>
      </c>
      <c r="C1965" s="85" t="s">
        <v>19</v>
      </c>
      <c r="D1965" s="86"/>
      <c r="E1965" s="116" t="str">
        <f t="shared" si="92"/>
        <v>-</v>
      </c>
      <c r="F1965" s="85"/>
      <c r="G1965" s="85" t="s">
        <v>19</v>
      </c>
      <c r="H1965" s="85"/>
      <c r="I1965" s="85"/>
      <c r="J1965" s="87"/>
      <c r="K1965" s="88">
        <f t="shared" si="93"/>
        <v>0</v>
      </c>
      <c r="L1965" s="85"/>
    </row>
    <row r="1966" spans="1:12" x14ac:dyDescent="0.25">
      <c r="A1966" s="84" t="str">
        <f t="shared" si="91"/>
        <v>SelecioneSelecioneSelecione</v>
      </c>
      <c r="B1966" s="85" t="s">
        <v>19</v>
      </c>
      <c r="C1966" s="85" t="s">
        <v>19</v>
      </c>
      <c r="D1966" s="86"/>
      <c r="E1966" s="116" t="str">
        <f t="shared" si="92"/>
        <v>-</v>
      </c>
      <c r="F1966" s="85"/>
      <c r="G1966" s="85" t="s">
        <v>19</v>
      </c>
      <c r="H1966" s="85"/>
      <c r="I1966" s="85"/>
      <c r="J1966" s="87"/>
      <c r="K1966" s="88">
        <f t="shared" si="93"/>
        <v>0</v>
      </c>
      <c r="L1966" s="85"/>
    </row>
    <row r="1967" spans="1:12" x14ac:dyDescent="0.25">
      <c r="A1967" s="84" t="str">
        <f t="shared" si="91"/>
        <v>SelecioneSelecioneSelecione</v>
      </c>
      <c r="B1967" s="85" t="s">
        <v>19</v>
      </c>
      <c r="C1967" s="85" t="s">
        <v>19</v>
      </c>
      <c r="D1967" s="86"/>
      <c r="E1967" s="116" t="str">
        <f t="shared" si="92"/>
        <v>-</v>
      </c>
      <c r="F1967" s="85"/>
      <c r="G1967" s="85" t="s">
        <v>19</v>
      </c>
      <c r="H1967" s="85"/>
      <c r="I1967" s="85"/>
      <c r="J1967" s="87"/>
      <c r="K1967" s="88">
        <f t="shared" si="93"/>
        <v>0</v>
      </c>
      <c r="L1967" s="85"/>
    </row>
    <row r="1968" spans="1:12" x14ac:dyDescent="0.25">
      <c r="A1968" s="84" t="str">
        <f t="shared" si="91"/>
        <v>SelecioneSelecioneSelecione</v>
      </c>
      <c r="B1968" s="85" t="s">
        <v>19</v>
      </c>
      <c r="C1968" s="85" t="s">
        <v>19</v>
      </c>
      <c r="D1968" s="86"/>
      <c r="E1968" s="116" t="str">
        <f t="shared" si="92"/>
        <v>-</v>
      </c>
      <c r="F1968" s="85"/>
      <c r="G1968" s="85" t="s">
        <v>19</v>
      </c>
      <c r="H1968" s="85"/>
      <c r="I1968" s="85"/>
      <c r="J1968" s="87"/>
      <c r="K1968" s="88">
        <f t="shared" si="93"/>
        <v>0</v>
      </c>
      <c r="L1968" s="85"/>
    </row>
    <row r="1969" spans="1:12" x14ac:dyDescent="0.25">
      <c r="A1969" s="84" t="str">
        <f t="shared" si="91"/>
        <v>SelecioneSelecioneSelecione</v>
      </c>
      <c r="B1969" s="85" t="s">
        <v>19</v>
      </c>
      <c r="C1969" s="85" t="s">
        <v>19</v>
      </c>
      <c r="D1969" s="86"/>
      <c r="E1969" s="116" t="str">
        <f t="shared" si="92"/>
        <v>-</v>
      </c>
      <c r="F1969" s="85"/>
      <c r="G1969" s="85" t="s">
        <v>19</v>
      </c>
      <c r="H1969" s="85"/>
      <c r="I1969" s="85"/>
      <c r="J1969" s="87"/>
      <c r="K1969" s="88">
        <f t="shared" si="93"/>
        <v>0</v>
      </c>
      <c r="L1969" s="85"/>
    </row>
    <row r="1970" spans="1:12" x14ac:dyDescent="0.25">
      <c r="A1970" s="84" t="str">
        <f t="shared" si="91"/>
        <v>SelecioneSelecioneSelecione</v>
      </c>
      <c r="B1970" s="85" t="s">
        <v>19</v>
      </c>
      <c r="C1970" s="85" t="s">
        <v>19</v>
      </c>
      <c r="D1970" s="86"/>
      <c r="E1970" s="116" t="str">
        <f t="shared" si="92"/>
        <v>-</v>
      </c>
      <c r="F1970" s="85"/>
      <c r="G1970" s="85" t="s">
        <v>19</v>
      </c>
      <c r="H1970" s="85"/>
      <c r="I1970" s="85"/>
      <c r="J1970" s="87"/>
      <c r="K1970" s="88">
        <f t="shared" si="93"/>
        <v>0</v>
      </c>
      <c r="L1970" s="85"/>
    </row>
    <row r="1971" spans="1:12" x14ac:dyDescent="0.25">
      <c r="A1971" s="84" t="str">
        <f t="shared" si="91"/>
        <v>SelecioneSelecioneSelecione</v>
      </c>
      <c r="B1971" s="85" t="s">
        <v>19</v>
      </c>
      <c r="C1971" s="85" t="s">
        <v>19</v>
      </c>
      <c r="D1971" s="86"/>
      <c r="E1971" s="116" t="str">
        <f t="shared" si="92"/>
        <v>-</v>
      </c>
      <c r="F1971" s="85"/>
      <c r="G1971" s="85" t="s">
        <v>19</v>
      </c>
      <c r="H1971" s="85"/>
      <c r="I1971" s="85"/>
      <c r="J1971" s="87"/>
      <c r="K1971" s="88">
        <f t="shared" si="93"/>
        <v>0</v>
      </c>
      <c r="L1971" s="85"/>
    </row>
    <row r="1972" spans="1:12" x14ac:dyDescent="0.25">
      <c r="A1972" s="84" t="str">
        <f t="shared" si="91"/>
        <v>SelecioneSelecioneSelecione</v>
      </c>
      <c r="B1972" s="85" t="s">
        <v>19</v>
      </c>
      <c r="C1972" s="85" t="s">
        <v>19</v>
      </c>
      <c r="D1972" s="86"/>
      <c r="E1972" s="116" t="str">
        <f t="shared" si="92"/>
        <v>-</v>
      </c>
      <c r="F1972" s="85"/>
      <c r="G1972" s="85" t="s">
        <v>19</v>
      </c>
      <c r="H1972" s="85"/>
      <c r="I1972" s="85"/>
      <c r="J1972" s="87"/>
      <c r="K1972" s="88">
        <f t="shared" si="93"/>
        <v>0</v>
      </c>
      <c r="L1972" s="85"/>
    </row>
    <row r="1973" spans="1:12" x14ac:dyDescent="0.25">
      <c r="A1973" s="84" t="str">
        <f t="shared" si="91"/>
        <v>SelecioneSelecioneSelecione</v>
      </c>
      <c r="B1973" s="85" t="s">
        <v>19</v>
      </c>
      <c r="C1973" s="85" t="s">
        <v>19</v>
      </c>
      <c r="D1973" s="86"/>
      <c r="E1973" s="116" t="str">
        <f t="shared" si="92"/>
        <v>-</v>
      </c>
      <c r="F1973" s="85"/>
      <c r="G1973" s="85" t="s">
        <v>19</v>
      </c>
      <c r="H1973" s="85"/>
      <c r="I1973" s="85"/>
      <c r="J1973" s="87"/>
      <c r="K1973" s="88">
        <f t="shared" si="93"/>
        <v>0</v>
      </c>
      <c r="L1973" s="85"/>
    </row>
    <row r="1974" spans="1:12" x14ac:dyDescent="0.25">
      <c r="A1974" s="84" t="str">
        <f t="shared" si="91"/>
        <v>SelecioneSelecioneSelecione</v>
      </c>
      <c r="B1974" s="85" t="s">
        <v>19</v>
      </c>
      <c r="C1974" s="85" t="s">
        <v>19</v>
      </c>
      <c r="D1974" s="86"/>
      <c r="E1974" s="116" t="str">
        <f t="shared" si="92"/>
        <v>-</v>
      </c>
      <c r="F1974" s="85"/>
      <c r="G1974" s="85" t="s">
        <v>19</v>
      </c>
      <c r="H1974" s="85"/>
      <c r="I1974" s="85"/>
      <c r="J1974" s="87"/>
      <c r="K1974" s="88">
        <f t="shared" si="93"/>
        <v>0</v>
      </c>
      <c r="L1974" s="85"/>
    </row>
    <row r="1975" spans="1:12" x14ac:dyDescent="0.25">
      <c r="A1975" s="84" t="str">
        <f t="shared" si="91"/>
        <v>SelecioneSelecioneSelecione</v>
      </c>
      <c r="B1975" s="85" t="s">
        <v>19</v>
      </c>
      <c r="C1975" s="85" t="s">
        <v>19</v>
      </c>
      <c r="D1975" s="86"/>
      <c r="E1975" s="116" t="str">
        <f t="shared" si="92"/>
        <v>-</v>
      </c>
      <c r="F1975" s="85"/>
      <c r="G1975" s="85" t="s">
        <v>19</v>
      </c>
      <c r="H1975" s="85"/>
      <c r="I1975" s="85"/>
      <c r="J1975" s="87"/>
      <c r="K1975" s="88">
        <f t="shared" si="93"/>
        <v>0</v>
      </c>
      <c r="L1975" s="85"/>
    </row>
    <row r="1976" spans="1:12" x14ac:dyDescent="0.25">
      <c r="A1976" s="84" t="str">
        <f t="shared" si="91"/>
        <v>SelecioneSelecioneSelecione</v>
      </c>
      <c r="B1976" s="85" t="s">
        <v>19</v>
      </c>
      <c r="C1976" s="85" t="s">
        <v>19</v>
      </c>
      <c r="D1976" s="86"/>
      <c r="E1976" s="116" t="str">
        <f t="shared" si="92"/>
        <v>-</v>
      </c>
      <c r="F1976" s="85"/>
      <c r="G1976" s="85" t="s">
        <v>19</v>
      </c>
      <c r="H1976" s="85"/>
      <c r="I1976" s="85"/>
      <c r="J1976" s="87"/>
      <c r="K1976" s="88">
        <f t="shared" si="93"/>
        <v>0</v>
      </c>
      <c r="L1976" s="85"/>
    </row>
    <row r="1977" spans="1:12" x14ac:dyDescent="0.25">
      <c r="A1977" s="84" t="str">
        <f t="shared" si="91"/>
        <v>SelecioneSelecioneSelecione</v>
      </c>
      <c r="B1977" s="85" t="s">
        <v>19</v>
      </c>
      <c r="C1977" s="85" t="s">
        <v>19</v>
      </c>
      <c r="D1977" s="86"/>
      <c r="E1977" s="116" t="str">
        <f t="shared" si="92"/>
        <v>-</v>
      </c>
      <c r="F1977" s="85"/>
      <c r="G1977" s="85" t="s">
        <v>19</v>
      </c>
      <c r="H1977" s="85"/>
      <c r="I1977" s="85"/>
      <c r="J1977" s="87"/>
      <c r="K1977" s="88">
        <f t="shared" si="93"/>
        <v>0</v>
      </c>
      <c r="L1977" s="85"/>
    </row>
    <row r="1978" spans="1:12" x14ac:dyDescent="0.25">
      <c r="A1978" s="84" t="str">
        <f t="shared" si="91"/>
        <v>SelecioneSelecioneSelecione</v>
      </c>
      <c r="B1978" s="85" t="s">
        <v>19</v>
      </c>
      <c r="C1978" s="85" t="s">
        <v>19</v>
      </c>
      <c r="D1978" s="86"/>
      <c r="E1978" s="116" t="str">
        <f t="shared" si="92"/>
        <v>-</v>
      </c>
      <c r="F1978" s="85"/>
      <c r="G1978" s="85" t="s">
        <v>19</v>
      </c>
      <c r="H1978" s="85"/>
      <c r="I1978" s="85"/>
      <c r="J1978" s="87"/>
      <c r="K1978" s="88">
        <f t="shared" si="93"/>
        <v>0</v>
      </c>
      <c r="L1978" s="85"/>
    </row>
    <row r="1979" spans="1:12" x14ac:dyDescent="0.25">
      <c r="A1979" s="84" t="str">
        <f t="shared" si="91"/>
        <v>SelecioneSelecioneSelecione</v>
      </c>
      <c r="B1979" s="85" t="s">
        <v>19</v>
      </c>
      <c r="C1979" s="85" t="s">
        <v>19</v>
      </c>
      <c r="D1979" s="86"/>
      <c r="E1979" s="116" t="str">
        <f t="shared" si="92"/>
        <v>-</v>
      </c>
      <c r="F1979" s="85"/>
      <c r="G1979" s="85" t="s">
        <v>19</v>
      </c>
      <c r="H1979" s="85"/>
      <c r="I1979" s="85"/>
      <c r="J1979" s="87"/>
      <c r="K1979" s="88">
        <f t="shared" si="93"/>
        <v>0</v>
      </c>
      <c r="L1979" s="85"/>
    </row>
    <row r="1980" spans="1:12" x14ac:dyDescent="0.25">
      <c r="A1980" s="84" t="str">
        <f t="shared" si="91"/>
        <v>SelecioneSelecioneSelecione</v>
      </c>
      <c r="B1980" s="85" t="s">
        <v>19</v>
      </c>
      <c r="C1980" s="85" t="s">
        <v>19</v>
      </c>
      <c r="D1980" s="86"/>
      <c r="E1980" s="116" t="str">
        <f t="shared" si="92"/>
        <v>-</v>
      </c>
      <c r="F1980" s="85"/>
      <c r="G1980" s="85" t="s">
        <v>19</v>
      </c>
      <c r="H1980" s="85"/>
      <c r="I1980" s="85"/>
      <c r="J1980" s="87"/>
      <c r="K1980" s="88">
        <f t="shared" si="93"/>
        <v>0</v>
      </c>
      <c r="L1980" s="85"/>
    </row>
    <row r="1981" spans="1:12" x14ac:dyDescent="0.25">
      <c r="A1981" s="84" t="str">
        <f t="shared" si="91"/>
        <v>SelecioneSelecioneSelecione</v>
      </c>
      <c r="B1981" s="85" t="s">
        <v>19</v>
      </c>
      <c r="C1981" s="85" t="s">
        <v>19</v>
      </c>
      <c r="D1981" s="86"/>
      <c r="E1981" s="116" t="str">
        <f t="shared" si="92"/>
        <v>-</v>
      </c>
      <c r="F1981" s="85"/>
      <c r="G1981" s="85" t="s">
        <v>19</v>
      </c>
      <c r="H1981" s="85"/>
      <c r="I1981" s="85"/>
      <c r="J1981" s="87"/>
      <c r="K1981" s="88">
        <f t="shared" si="93"/>
        <v>0</v>
      </c>
      <c r="L1981" s="85"/>
    </row>
    <row r="1982" spans="1:12" x14ac:dyDescent="0.25">
      <c r="A1982" s="84" t="str">
        <f t="shared" si="91"/>
        <v>SelecioneSelecioneSelecione</v>
      </c>
      <c r="B1982" s="85" t="s">
        <v>19</v>
      </c>
      <c r="C1982" s="85" t="s">
        <v>19</v>
      </c>
      <c r="D1982" s="86"/>
      <c r="E1982" s="116" t="str">
        <f t="shared" si="92"/>
        <v>-</v>
      </c>
      <c r="F1982" s="85"/>
      <c r="G1982" s="85" t="s">
        <v>19</v>
      </c>
      <c r="H1982" s="85"/>
      <c r="I1982" s="85"/>
      <c r="J1982" s="87"/>
      <c r="K1982" s="88">
        <f t="shared" si="93"/>
        <v>0</v>
      </c>
      <c r="L1982" s="85"/>
    </row>
    <row r="1983" spans="1:12" x14ac:dyDescent="0.25">
      <c r="A1983" s="84" t="str">
        <f t="shared" si="91"/>
        <v>SelecioneSelecioneSelecione</v>
      </c>
      <c r="B1983" s="85" t="s">
        <v>19</v>
      </c>
      <c r="C1983" s="85" t="s">
        <v>19</v>
      </c>
      <c r="D1983" s="86"/>
      <c r="E1983" s="116" t="str">
        <f t="shared" si="92"/>
        <v>-</v>
      </c>
      <c r="F1983" s="85"/>
      <c r="G1983" s="85" t="s">
        <v>19</v>
      </c>
      <c r="H1983" s="85"/>
      <c r="I1983" s="85"/>
      <c r="J1983" s="87"/>
      <c r="K1983" s="88">
        <f t="shared" si="93"/>
        <v>0</v>
      </c>
      <c r="L1983" s="85"/>
    </row>
    <row r="1984" spans="1:12" x14ac:dyDescent="0.25">
      <c r="A1984" s="84" t="str">
        <f t="shared" si="91"/>
        <v>SelecioneSelecioneSelecione</v>
      </c>
      <c r="B1984" s="85" t="s">
        <v>19</v>
      </c>
      <c r="C1984" s="85" t="s">
        <v>19</v>
      </c>
      <c r="D1984" s="86"/>
      <c r="E1984" s="116" t="str">
        <f t="shared" si="92"/>
        <v>-</v>
      </c>
      <c r="F1984" s="85"/>
      <c r="G1984" s="85" t="s">
        <v>19</v>
      </c>
      <c r="H1984" s="85"/>
      <c r="I1984" s="85"/>
      <c r="J1984" s="87"/>
      <c r="K1984" s="88">
        <f t="shared" si="93"/>
        <v>0</v>
      </c>
      <c r="L1984" s="85"/>
    </row>
    <row r="1985" spans="1:12" x14ac:dyDescent="0.25">
      <c r="A1985" s="84" t="str">
        <f t="shared" si="91"/>
        <v>SelecioneSelecioneSelecione</v>
      </c>
      <c r="B1985" s="85" t="s">
        <v>19</v>
      </c>
      <c r="C1985" s="85" t="s">
        <v>19</v>
      </c>
      <c r="D1985" s="86"/>
      <c r="E1985" s="116" t="str">
        <f t="shared" si="92"/>
        <v>-</v>
      </c>
      <c r="F1985" s="85"/>
      <c r="G1985" s="85" t="s">
        <v>19</v>
      </c>
      <c r="H1985" s="85"/>
      <c r="I1985" s="85"/>
      <c r="J1985" s="87"/>
      <c r="K1985" s="88">
        <f t="shared" si="93"/>
        <v>0</v>
      </c>
      <c r="L1985" s="85"/>
    </row>
    <row r="1986" spans="1:12" x14ac:dyDescent="0.25">
      <c r="A1986" s="84" t="str">
        <f t="shared" ref="A1986:A2049" si="94">CONCATENATE(B1986,C1986,G1986)</f>
        <v>SelecioneSelecioneSelecione</v>
      </c>
      <c r="B1986" s="85" t="s">
        <v>19</v>
      </c>
      <c r="C1986" s="85" t="s">
        <v>19</v>
      </c>
      <c r="D1986" s="86"/>
      <c r="E1986" s="116" t="str">
        <f t="shared" ref="E1986:E2049" si="95">VLOOKUP(G1986,$M$1:$O$968,3,0)</f>
        <v>-</v>
      </c>
      <c r="F1986" s="85"/>
      <c r="G1986" s="85" t="s">
        <v>19</v>
      </c>
      <c r="H1986" s="85"/>
      <c r="I1986" s="85"/>
      <c r="J1986" s="87"/>
      <c r="K1986" s="88">
        <f t="shared" ref="K1986:K2049" si="96">I1986*J1986</f>
        <v>0</v>
      </c>
      <c r="L1986" s="85"/>
    </row>
    <row r="1987" spans="1:12" x14ac:dyDescent="0.25">
      <c r="A1987" s="84" t="str">
        <f t="shared" si="94"/>
        <v>SelecioneSelecioneSelecione</v>
      </c>
      <c r="B1987" s="85" t="s">
        <v>19</v>
      </c>
      <c r="C1987" s="85" t="s">
        <v>19</v>
      </c>
      <c r="D1987" s="86"/>
      <c r="E1987" s="116" t="str">
        <f t="shared" si="95"/>
        <v>-</v>
      </c>
      <c r="F1987" s="85"/>
      <c r="G1987" s="85" t="s">
        <v>19</v>
      </c>
      <c r="H1987" s="85"/>
      <c r="I1987" s="85"/>
      <c r="J1987" s="87"/>
      <c r="K1987" s="88">
        <f t="shared" si="96"/>
        <v>0</v>
      </c>
      <c r="L1987" s="85"/>
    </row>
    <row r="1988" spans="1:12" x14ac:dyDescent="0.25">
      <c r="A1988" s="84" t="str">
        <f t="shared" si="94"/>
        <v>SelecioneSelecioneSelecione</v>
      </c>
      <c r="B1988" s="85" t="s">
        <v>19</v>
      </c>
      <c r="C1988" s="85" t="s">
        <v>19</v>
      </c>
      <c r="D1988" s="86"/>
      <c r="E1988" s="116" t="str">
        <f t="shared" si="95"/>
        <v>-</v>
      </c>
      <c r="F1988" s="85"/>
      <c r="G1988" s="85" t="s">
        <v>19</v>
      </c>
      <c r="H1988" s="85"/>
      <c r="I1988" s="85"/>
      <c r="J1988" s="87"/>
      <c r="K1988" s="88">
        <f t="shared" si="96"/>
        <v>0</v>
      </c>
      <c r="L1988" s="85"/>
    </row>
    <row r="1989" spans="1:12" x14ac:dyDescent="0.25">
      <c r="A1989" s="84" t="str">
        <f t="shared" si="94"/>
        <v>SelecioneSelecioneSelecione</v>
      </c>
      <c r="B1989" s="85" t="s">
        <v>19</v>
      </c>
      <c r="C1989" s="85" t="s">
        <v>19</v>
      </c>
      <c r="D1989" s="86"/>
      <c r="E1989" s="116" t="str">
        <f t="shared" si="95"/>
        <v>-</v>
      </c>
      <c r="F1989" s="85"/>
      <c r="G1989" s="85" t="s">
        <v>19</v>
      </c>
      <c r="H1989" s="85"/>
      <c r="I1989" s="85"/>
      <c r="J1989" s="87"/>
      <c r="K1989" s="88">
        <f t="shared" si="96"/>
        <v>0</v>
      </c>
      <c r="L1989" s="85"/>
    </row>
    <row r="1990" spans="1:12" x14ac:dyDescent="0.25">
      <c r="A1990" s="84" t="str">
        <f t="shared" si="94"/>
        <v>SelecioneSelecioneSelecione</v>
      </c>
      <c r="B1990" s="85" t="s">
        <v>19</v>
      </c>
      <c r="C1990" s="85" t="s">
        <v>19</v>
      </c>
      <c r="D1990" s="86"/>
      <c r="E1990" s="116" t="str">
        <f t="shared" si="95"/>
        <v>-</v>
      </c>
      <c r="F1990" s="85"/>
      <c r="G1990" s="85" t="s">
        <v>19</v>
      </c>
      <c r="H1990" s="85"/>
      <c r="I1990" s="85"/>
      <c r="J1990" s="87"/>
      <c r="K1990" s="88">
        <f t="shared" si="96"/>
        <v>0</v>
      </c>
      <c r="L1990" s="85"/>
    </row>
    <row r="1991" spans="1:12" x14ac:dyDescent="0.25">
      <c r="A1991" s="84" t="str">
        <f t="shared" si="94"/>
        <v>SelecioneSelecioneSelecione</v>
      </c>
      <c r="B1991" s="85" t="s">
        <v>19</v>
      </c>
      <c r="C1991" s="85" t="s">
        <v>19</v>
      </c>
      <c r="D1991" s="86"/>
      <c r="E1991" s="116" t="str">
        <f t="shared" si="95"/>
        <v>-</v>
      </c>
      <c r="F1991" s="85"/>
      <c r="G1991" s="85" t="s">
        <v>19</v>
      </c>
      <c r="H1991" s="85"/>
      <c r="I1991" s="85"/>
      <c r="J1991" s="87"/>
      <c r="K1991" s="88">
        <f t="shared" si="96"/>
        <v>0</v>
      </c>
      <c r="L1991" s="85"/>
    </row>
    <row r="1992" spans="1:12" x14ac:dyDescent="0.25">
      <c r="A1992" s="84" t="str">
        <f t="shared" si="94"/>
        <v>SelecioneSelecioneSelecione</v>
      </c>
      <c r="B1992" s="85" t="s">
        <v>19</v>
      </c>
      <c r="C1992" s="85" t="s">
        <v>19</v>
      </c>
      <c r="D1992" s="86"/>
      <c r="E1992" s="116" t="str">
        <f t="shared" si="95"/>
        <v>-</v>
      </c>
      <c r="F1992" s="85"/>
      <c r="G1992" s="85" t="s">
        <v>19</v>
      </c>
      <c r="H1992" s="85"/>
      <c r="I1992" s="85"/>
      <c r="J1992" s="87"/>
      <c r="K1992" s="88">
        <f t="shared" si="96"/>
        <v>0</v>
      </c>
      <c r="L1992" s="85"/>
    </row>
    <row r="1993" spans="1:12" x14ac:dyDescent="0.25">
      <c r="A1993" s="84" t="str">
        <f t="shared" si="94"/>
        <v>SelecioneSelecioneSelecione</v>
      </c>
      <c r="B1993" s="85" t="s">
        <v>19</v>
      </c>
      <c r="C1993" s="85" t="s">
        <v>19</v>
      </c>
      <c r="D1993" s="86"/>
      <c r="E1993" s="116" t="str">
        <f t="shared" si="95"/>
        <v>-</v>
      </c>
      <c r="F1993" s="85"/>
      <c r="G1993" s="85" t="s">
        <v>19</v>
      </c>
      <c r="H1993" s="85"/>
      <c r="I1993" s="85"/>
      <c r="J1993" s="87"/>
      <c r="K1993" s="88">
        <f t="shared" si="96"/>
        <v>0</v>
      </c>
      <c r="L1993" s="85"/>
    </row>
    <row r="1994" spans="1:12" x14ac:dyDescent="0.25">
      <c r="A1994" s="84" t="str">
        <f t="shared" si="94"/>
        <v>SelecioneSelecioneSelecione</v>
      </c>
      <c r="B1994" s="85" t="s">
        <v>19</v>
      </c>
      <c r="C1994" s="85" t="s">
        <v>19</v>
      </c>
      <c r="D1994" s="86"/>
      <c r="E1994" s="116" t="str">
        <f t="shared" si="95"/>
        <v>-</v>
      </c>
      <c r="F1994" s="85"/>
      <c r="G1994" s="85" t="s">
        <v>19</v>
      </c>
      <c r="H1994" s="85"/>
      <c r="I1994" s="85"/>
      <c r="J1994" s="87"/>
      <c r="K1994" s="88">
        <f t="shared" si="96"/>
        <v>0</v>
      </c>
      <c r="L1994" s="85"/>
    </row>
    <row r="1995" spans="1:12" x14ac:dyDescent="0.25">
      <c r="A1995" s="84" t="str">
        <f t="shared" si="94"/>
        <v>SelecioneSelecioneSelecione</v>
      </c>
      <c r="B1995" s="85" t="s">
        <v>19</v>
      </c>
      <c r="C1995" s="85" t="s">
        <v>19</v>
      </c>
      <c r="D1995" s="86"/>
      <c r="E1995" s="116" t="str">
        <f t="shared" si="95"/>
        <v>-</v>
      </c>
      <c r="F1995" s="85"/>
      <c r="G1995" s="85" t="s">
        <v>19</v>
      </c>
      <c r="H1995" s="85"/>
      <c r="I1995" s="85"/>
      <c r="J1995" s="87"/>
      <c r="K1995" s="88">
        <f t="shared" si="96"/>
        <v>0</v>
      </c>
      <c r="L1995" s="85"/>
    </row>
    <row r="1996" spans="1:12" x14ac:dyDescent="0.25">
      <c r="A1996" s="84" t="str">
        <f t="shared" si="94"/>
        <v>SelecioneSelecioneSelecione</v>
      </c>
      <c r="B1996" s="85" t="s">
        <v>19</v>
      </c>
      <c r="C1996" s="85" t="s">
        <v>19</v>
      </c>
      <c r="D1996" s="86"/>
      <c r="E1996" s="116" t="str">
        <f t="shared" si="95"/>
        <v>-</v>
      </c>
      <c r="F1996" s="85"/>
      <c r="G1996" s="85" t="s">
        <v>19</v>
      </c>
      <c r="H1996" s="85"/>
      <c r="I1996" s="85"/>
      <c r="J1996" s="87"/>
      <c r="K1996" s="88">
        <f t="shared" si="96"/>
        <v>0</v>
      </c>
      <c r="L1996" s="85"/>
    </row>
    <row r="1997" spans="1:12" x14ac:dyDescent="0.25">
      <c r="A1997" s="84" t="str">
        <f t="shared" si="94"/>
        <v>SelecioneSelecioneSelecione</v>
      </c>
      <c r="B1997" s="85" t="s">
        <v>19</v>
      </c>
      <c r="C1997" s="85" t="s">
        <v>19</v>
      </c>
      <c r="D1997" s="86"/>
      <c r="E1997" s="116" t="str">
        <f t="shared" si="95"/>
        <v>-</v>
      </c>
      <c r="F1997" s="85"/>
      <c r="G1997" s="85" t="s">
        <v>19</v>
      </c>
      <c r="H1997" s="85"/>
      <c r="I1997" s="85"/>
      <c r="J1997" s="87"/>
      <c r="K1997" s="88">
        <f t="shared" si="96"/>
        <v>0</v>
      </c>
      <c r="L1997" s="85"/>
    </row>
    <row r="1998" spans="1:12" x14ac:dyDescent="0.25">
      <c r="A1998" s="84" t="str">
        <f t="shared" si="94"/>
        <v>SelecioneSelecioneSelecione</v>
      </c>
      <c r="B1998" s="85" t="s">
        <v>19</v>
      </c>
      <c r="C1998" s="85" t="s">
        <v>19</v>
      </c>
      <c r="D1998" s="86"/>
      <c r="E1998" s="116" t="str">
        <f t="shared" si="95"/>
        <v>-</v>
      </c>
      <c r="F1998" s="85"/>
      <c r="G1998" s="85" t="s">
        <v>19</v>
      </c>
      <c r="H1998" s="85"/>
      <c r="I1998" s="85"/>
      <c r="J1998" s="87"/>
      <c r="K1998" s="88">
        <f t="shared" si="96"/>
        <v>0</v>
      </c>
      <c r="L1998" s="85"/>
    </row>
    <row r="1999" spans="1:12" x14ac:dyDescent="0.25">
      <c r="A1999" s="84" t="str">
        <f t="shared" si="94"/>
        <v>SelecioneSelecioneSelecione</v>
      </c>
      <c r="B1999" s="85" t="s">
        <v>19</v>
      </c>
      <c r="C1999" s="85" t="s">
        <v>19</v>
      </c>
      <c r="D1999" s="86"/>
      <c r="E1999" s="116" t="str">
        <f t="shared" si="95"/>
        <v>-</v>
      </c>
      <c r="F1999" s="85"/>
      <c r="G1999" s="85" t="s">
        <v>19</v>
      </c>
      <c r="H1999" s="85"/>
      <c r="I1999" s="85"/>
      <c r="J1999" s="87"/>
      <c r="K1999" s="88">
        <f t="shared" si="96"/>
        <v>0</v>
      </c>
      <c r="L1999" s="85"/>
    </row>
    <row r="2000" spans="1:12" x14ac:dyDescent="0.25">
      <c r="A2000" s="84" t="str">
        <f t="shared" si="94"/>
        <v>SelecioneSelecioneSelecione</v>
      </c>
      <c r="B2000" s="85" t="s">
        <v>19</v>
      </c>
      <c r="C2000" s="85" t="s">
        <v>19</v>
      </c>
      <c r="D2000" s="86"/>
      <c r="E2000" s="116" t="str">
        <f t="shared" si="95"/>
        <v>-</v>
      </c>
      <c r="F2000" s="85"/>
      <c r="G2000" s="85" t="s">
        <v>19</v>
      </c>
      <c r="H2000" s="85"/>
      <c r="I2000" s="85"/>
      <c r="J2000" s="87"/>
      <c r="K2000" s="88">
        <f t="shared" si="96"/>
        <v>0</v>
      </c>
      <c r="L2000" s="85"/>
    </row>
    <row r="2001" spans="1:12" x14ac:dyDescent="0.25">
      <c r="A2001" s="84" t="str">
        <f t="shared" si="94"/>
        <v>SelecioneSelecioneSelecione</v>
      </c>
      <c r="B2001" s="85" t="s">
        <v>19</v>
      </c>
      <c r="C2001" s="85" t="s">
        <v>19</v>
      </c>
      <c r="D2001" s="86"/>
      <c r="E2001" s="116" t="str">
        <f t="shared" si="95"/>
        <v>-</v>
      </c>
      <c r="F2001" s="85"/>
      <c r="G2001" s="85" t="s">
        <v>19</v>
      </c>
      <c r="H2001" s="85"/>
      <c r="I2001" s="85"/>
      <c r="J2001" s="87"/>
      <c r="K2001" s="88">
        <f t="shared" si="96"/>
        <v>0</v>
      </c>
      <c r="L2001" s="85"/>
    </row>
    <row r="2002" spans="1:12" x14ac:dyDescent="0.25">
      <c r="A2002" s="84" t="str">
        <f t="shared" si="94"/>
        <v>SelecioneSelecioneSelecione</v>
      </c>
      <c r="B2002" s="85" t="s">
        <v>19</v>
      </c>
      <c r="C2002" s="85" t="s">
        <v>19</v>
      </c>
      <c r="D2002" s="86"/>
      <c r="E2002" s="116" t="str">
        <f t="shared" si="95"/>
        <v>-</v>
      </c>
      <c r="F2002" s="85"/>
      <c r="G2002" s="85" t="s">
        <v>19</v>
      </c>
      <c r="H2002" s="85"/>
      <c r="I2002" s="85"/>
      <c r="J2002" s="87"/>
      <c r="K2002" s="88">
        <f t="shared" si="96"/>
        <v>0</v>
      </c>
      <c r="L2002" s="85"/>
    </row>
    <row r="2003" spans="1:12" x14ac:dyDescent="0.25">
      <c r="A2003" s="84" t="str">
        <f t="shared" si="94"/>
        <v>SelecioneSelecioneSelecione</v>
      </c>
      <c r="B2003" s="85" t="s">
        <v>19</v>
      </c>
      <c r="C2003" s="85" t="s">
        <v>19</v>
      </c>
      <c r="D2003" s="86"/>
      <c r="E2003" s="116" t="str">
        <f t="shared" si="95"/>
        <v>-</v>
      </c>
      <c r="F2003" s="85"/>
      <c r="G2003" s="85" t="s">
        <v>19</v>
      </c>
      <c r="H2003" s="85"/>
      <c r="I2003" s="85"/>
      <c r="J2003" s="87"/>
      <c r="K2003" s="88">
        <f t="shared" si="96"/>
        <v>0</v>
      </c>
      <c r="L2003" s="85"/>
    </row>
    <row r="2004" spans="1:12" x14ac:dyDescent="0.25">
      <c r="A2004" s="84" t="str">
        <f t="shared" si="94"/>
        <v>SelecioneSelecioneSelecione</v>
      </c>
      <c r="B2004" s="85" t="s">
        <v>19</v>
      </c>
      <c r="C2004" s="85" t="s">
        <v>19</v>
      </c>
      <c r="D2004" s="86"/>
      <c r="E2004" s="116" t="str">
        <f t="shared" si="95"/>
        <v>-</v>
      </c>
      <c r="F2004" s="85"/>
      <c r="G2004" s="85" t="s">
        <v>19</v>
      </c>
      <c r="H2004" s="85"/>
      <c r="I2004" s="85"/>
      <c r="J2004" s="87"/>
      <c r="K2004" s="88">
        <f t="shared" si="96"/>
        <v>0</v>
      </c>
      <c r="L2004" s="85"/>
    </row>
    <row r="2005" spans="1:12" x14ac:dyDescent="0.25">
      <c r="A2005" s="84" t="str">
        <f t="shared" si="94"/>
        <v>SelecioneSelecioneSelecione</v>
      </c>
      <c r="B2005" s="85" t="s">
        <v>19</v>
      </c>
      <c r="C2005" s="85" t="s">
        <v>19</v>
      </c>
      <c r="D2005" s="86"/>
      <c r="E2005" s="116" t="str">
        <f t="shared" si="95"/>
        <v>-</v>
      </c>
      <c r="F2005" s="85"/>
      <c r="G2005" s="85" t="s">
        <v>19</v>
      </c>
      <c r="H2005" s="85"/>
      <c r="I2005" s="85"/>
      <c r="J2005" s="87"/>
      <c r="K2005" s="88">
        <f t="shared" si="96"/>
        <v>0</v>
      </c>
      <c r="L2005" s="85"/>
    </row>
    <row r="2006" spans="1:12" x14ac:dyDescent="0.25">
      <c r="A2006" s="84" t="str">
        <f t="shared" si="94"/>
        <v>SelecioneSelecioneSelecione</v>
      </c>
      <c r="B2006" s="85" t="s">
        <v>19</v>
      </c>
      <c r="C2006" s="85" t="s">
        <v>19</v>
      </c>
      <c r="D2006" s="86"/>
      <c r="E2006" s="116" t="str">
        <f t="shared" si="95"/>
        <v>-</v>
      </c>
      <c r="F2006" s="85"/>
      <c r="G2006" s="85" t="s">
        <v>19</v>
      </c>
      <c r="H2006" s="85"/>
      <c r="I2006" s="85"/>
      <c r="J2006" s="87"/>
      <c r="K2006" s="88">
        <f t="shared" si="96"/>
        <v>0</v>
      </c>
      <c r="L2006" s="85"/>
    </row>
    <row r="2007" spans="1:12" x14ac:dyDescent="0.25">
      <c r="A2007" s="84" t="str">
        <f t="shared" si="94"/>
        <v>SelecioneSelecioneSelecione</v>
      </c>
      <c r="B2007" s="85" t="s">
        <v>19</v>
      </c>
      <c r="C2007" s="85" t="s">
        <v>19</v>
      </c>
      <c r="D2007" s="86"/>
      <c r="E2007" s="116" t="str">
        <f t="shared" si="95"/>
        <v>-</v>
      </c>
      <c r="F2007" s="85"/>
      <c r="G2007" s="85" t="s">
        <v>19</v>
      </c>
      <c r="H2007" s="85"/>
      <c r="I2007" s="85"/>
      <c r="J2007" s="87"/>
      <c r="K2007" s="88">
        <f t="shared" si="96"/>
        <v>0</v>
      </c>
      <c r="L2007" s="85"/>
    </row>
    <row r="2008" spans="1:12" x14ac:dyDescent="0.25">
      <c r="A2008" s="84" t="str">
        <f t="shared" si="94"/>
        <v>SelecioneSelecioneSelecione</v>
      </c>
      <c r="B2008" s="85" t="s">
        <v>19</v>
      </c>
      <c r="C2008" s="85" t="s">
        <v>19</v>
      </c>
      <c r="D2008" s="86"/>
      <c r="E2008" s="116" t="str">
        <f t="shared" si="95"/>
        <v>-</v>
      </c>
      <c r="F2008" s="85"/>
      <c r="G2008" s="85" t="s">
        <v>19</v>
      </c>
      <c r="H2008" s="85"/>
      <c r="I2008" s="85"/>
      <c r="J2008" s="87"/>
      <c r="K2008" s="88">
        <f t="shared" si="96"/>
        <v>0</v>
      </c>
      <c r="L2008" s="85"/>
    </row>
    <row r="2009" spans="1:12" x14ac:dyDescent="0.25">
      <c r="A2009" s="84" t="str">
        <f t="shared" si="94"/>
        <v>SelecioneSelecioneSelecione</v>
      </c>
      <c r="B2009" s="85" t="s">
        <v>19</v>
      </c>
      <c r="C2009" s="85" t="s">
        <v>19</v>
      </c>
      <c r="D2009" s="86"/>
      <c r="E2009" s="116" t="str">
        <f t="shared" si="95"/>
        <v>-</v>
      </c>
      <c r="F2009" s="85"/>
      <c r="G2009" s="85" t="s">
        <v>19</v>
      </c>
      <c r="H2009" s="85"/>
      <c r="I2009" s="85"/>
      <c r="J2009" s="87"/>
      <c r="K2009" s="88">
        <f t="shared" si="96"/>
        <v>0</v>
      </c>
      <c r="L2009" s="85"/>
    </row>
    <row r="2010" spans="1:12" x14ac:dyDescent="0.25">
      <c r="A2010" s="84" t="str">
        <f t="shared" si="94"/>
        <v>SelecioneSelecioneSelecione</v>
      </c>
      <c r="B2010" s="85" t="s">
        <v>19</v>
      </c>
      <c r="C2010" s="85" t="s">
        <v>19</v>
      </c>
      <c r="D2010" s="86"/>
      <c r="E2010" s="116" t="str">
        <f t="shared" si="95"/>
        <v>-</v>
      </c>
      <c r="F2010" s="85"/>
      <c r="G2010" s="85" t="s">
        <v>19</v>
      </c>
      <c r="H2010" s="85"/>
      <c r="I2010" s="85"/>
      <c r="J2010" s="87"/>
      <c r="K2010" s="88">
        <f t="shared" si="96"/>
        <v>0</v>
      </c>
      <c r="L2010" s="85"/>
    </row>
    <row r="2011" spans="1:12" x14ac:dyDescent="0.25">
      <c r="A2011" s="84" t="str">
        <f t="shared" si="94"/>
        <v>SelecioneSelecioneSelecione</v>
      </c>
      <c r="B2011" s="85" t="s">
        <v>19</v>
      </c>
      <c r="C2011" s="85" t="s">
        <v>19</v>
      </c>
      <c r="D2011" s="86"/>
      <c r="E2011" s="116" t="str">
        <f t="shared" si="95"/>
        <v>-</v>
      </c>
      <c r="F2011" s="85"/>
      <c r="G2011" s="85" t="s">
        <v>19</v>
      </c>
      <c r="H2011" s="85"/>
      <c r="I2011" s="85"/>
      <c r="J2011" s="87"/>
      <c r="K2011" s="88">
        <f t="shared" si="96"/>
        <v>0</v>
      </c>
      <c r="L2011" s="85"/>
    </row>
    <row r="2012" spans="1:12" x14ac:dyDescent="0.25">
      <c r="A2012" s="84" t="str">
        <f t="shared" si="94"/>
        <v>SelecioneSelecioneSelecione</v>
      </c>
      <c r="B2012" s="85" t="s">
        <v>19</v>
      </c>
      <c r="C2012" s="85" t="s">
        <v>19</v>
      </c>
      <c r="D2012" s="86"/>
      <c r="E2012" s="116" t="str">
        <f t="shared" si="95"/>
        <v>-</v>
      </c>
      <c r="F2012" s="85"/>
      <c r="G2012" s="85" t="s">
        <v>19</v>
      </c>
      <c r="H2012" s="85"/>
      <c r="I2012" s="85"/>
      <c r="J2012" s="87"/>
      <c r="K2012" s="88">
        <f t="shared" si="96"/>
        <v>0</v>
      </c>
      <c r="L2012" s="85"/>
    </row>
    <row r="2013" spans="1:12" x14ac:dyDescent="0.25">
      <c r="A2013" s="84" t="str">
        <f t="shared" si="94"/>
        <v>SelecioneSelecioneSelecione</v>
      </c>
      <c r="B2013" s="85" t="s">
        <v>19</v>
      </c>
      <c r="C2013" s="85" t="s">
        <v>19</v>
      </c>
      <c r="D2013" s="86"/>
      <c r="E2013" s="116" t="str">
        <f t="shared" si="95"/>
        <v>-</v>
      </c>
      <c r="F2013" s="85"/>
      <c r="G2013" s="85" t="s">
        <v>19</v>
      </c>
      <c r="H2013" s="85"/>
      <c r="I2013" s="85"/>
      <c r="J2013" s="87"/>
      <c r="K2013" s="88">
        <f t="shared" si="96"/>
        <v>0</v>
      </c>
      <c r="L2013" s="85"/>
    </row>
    <row r="2014" spans="1:12" x14ac:dyDescent="0.25">
      <c r="A2014" s="84" t="str">
        <f t="shared" si="94"/>
        <v>SelecioneSelecioneSelecione</v>
      </c>
      <c r="B2014" s="85" t="s">
        <v>19</v>
      </c>
      <c r="C2014" s="85" t="s">
        <v>19</v>
      </c>
      <c r="D2014" s="86"/>
      <c r="E2014" s="116" t="str">
        <f t="shared" si="95"/>
        <v>-</v>
      </c>
      <c r="F2014" s="85"/>
      <c r="G2014" s="85" t="s">
        <v>19</v>
      </c>
      <c r="H2014" s="85"/>
      <c r="I2014" s="85"/>
      <c r="J2014" s="87"/>
      <c r="K2014" s="88">
        <f t="shared" si="96"/>
        <v>0</v>
      </c>
      <c r="L2014" s="85"/>
    </row>
    <row r="2015" spans="1:12" x14ac:dyDescent="0.25">
      <c r="A2015" s="84" t="str">
        <f t="shared" si="94"/>
        <v>SelecioneSelecioneSelecione</v>
      </c>
      <c r="B2015" s="85" t="s">
        <v>19</v>
      </c>
      <c r="C2015" s="85" t="s">
        <v>19</v>
      </c>
      <c r="D2015" s="86"/>
      <c r="E2015" s="116" t="str">
        <f t="shared" si="95"/>
        <v>-</v>
      </c>
      <c r="F2015" s="85"/>
      <c r="G2015" s="85" t="s">
        <v>19</v>
      </c>
      <c r="H2015" s="85"/>
      <c r="I2015" s="85"/>
      <c r="J2015" s="87"/>
      <c r="K2015" s="88">
        <f t="shared" si="96"/>
        <v>0</v>
      </c>
      <c r="L2015" s="85"/>
    </row>
    <row r="2016" spans="1:12" x14ac:dyDescent="0.25">
      <c r="A2016" s="84" t="str">
        <f t="shared" si="94"/>
        <v>SelecioneSelecioneSelecione</v>
      </c>
      <c r="B2016" s="85" t="s">
        <v>19</v>
      </c>
      <c r="C2016" s="85" t="s">
        <v>19</v>
      </c>
      <c r="D2016" s="86"/>
      <c r="E2016" s="116" t="str">
        <f t="shared" si="95"/>
        <v>-</v>
      </c>
      <c r="F2016" s="85"/>
      <c r="G2016" s="85" t="s">
        <v>19</v>
      </c>
      <c r="H2016" s="85"/>
      <c r="I2016" s="85"/>
      <c r="J2016" s="87"/>
      <c r="K2016" s="88">
        <f t="shared" si="96"/>
        <v>0</v>
      </c>
      <c r="L2016" s="85"/>
    </row>
    <row r="2017" spans="1:12" x14ac:dyDescent="0.25">
      <c r="A2017" s="84" t="str">
        <f t="shared" si="94"/>
        <v>SelecioneSelecioneSelecione</v>
      </c>
      <c r="B2017" s="85" t="s">
        <v>19</v>
      </c>
      <c r="C2017" s="85" t="s">
        <v>19</v>
      </c>
      <c r="D2017" s="86"/>
      <c r="E2017" s="116" t="str">
        <f t="shared" si="95"/>
        <v>-</v>
      </c>
      <c r="F2017" s="85"/>
      <c r="G2017" s="85" t="s">
        <v>19</v>
      </c>
      <c r="H2017" s="85"/>
      <c r="I2017" s="85"/>
      <c r="J2017" s="87"/>
      <c r="K2017" s="88">
        <f t="shared" si="96"/>
        <v>0</v>
      </c>
      <c r="L2017" s="85"/>
    </row>
    <row r="2018" spans="1:12" x14ac:dyDescent="0.25">
      <c r="A2018" s="84" t="str">
        <f t="shared" si="94"/>
        <v>SelecioneSelecioneSelecione</v>
      </c>
      <c r="B2018" s="85" t="s">
        <v>19</v>
      </c>
      <c r="C2018" s="85" t="s">
        <v>19</v>
      </c>
      <c r="D2018" s="86"/>
      <c r="E2018" s="116" t="str">
        <f t="shared" si="95"/>
        <v>-</v>
      </c>
      <c r="F2018" s="85"/>
      <c r="G2018" s="85" t="s">
        <v>19</v>
      </c>
      <c r="H2018" s="85"/>
      <c r="I2018" s="85"/>
      <c r="J2018" s="87"/>
      <c r="K2018" s="88">
        <f t="shared" si="96"/>
        <v>0</v>
      </c>
      <c r="L2018" s="85"/>
    </row>
    <row r="2019" spans="1:12" x14ac:dyDescent="0.25">
      <c r="A2019" s="84" t="str">
        <f t="shared" si="94"/>
        <v>SelecioneSelecioneSelecione</v>
      </c>
      <c r="B2019" s="85" t="s">
        <v>19</v>
      </c>
      <c r="C2019" s="85" t="s">
        <v>19</v>
      </c>
      <c r="D2019" s="86"/>
      <c r="E2019" s="116" t="str">
        <f t="shared" si="95"/>
        <v>-</v>
      </c>
      <c r="F2019" s="85"/>
      <c r="G2019" s="85" t="s">
        <v>19</v>
      </c>
      <c r="H2019" s="85"/>
      <c r="I2019" s="85"/>
      <c r="J2019" s="87"/>
      <c r="K2019" s="88">
        <f t="shared" si="96"/>
        <v>0</v>
      </c>
      <c r="L2019" s="85"/>
    </row>
    <row r="2020" spans="1:12" x14ac:dyDescent="0.25">
      <c r="A2020" s="84" t="str">
        <f t="shared" si="94"/>
        <v>SelecioneSelecioneSelecione</v>
      </c>
      <c r="B2020" s="85" t="s">
        <v>19</v>
      </c>
      <c r="C2020" s="85" t="s">
        <v>19</v>
      </c>
      <c r="D2020" s="86"/>
      <c r="E2020" s="116" t="str">
        <f t="shared" si="95"/>
        <v>-</v>
      </c>
      <c r="F2020" s="85"/>
      <c r="G2020" s="85" t="s">
        <v>19</v>
      </c>
      <c r="H2020" s="85"/>
      <c r="I2020" s="85"/>
      <c r="J2020" s="87"/>
      <c r="K2020" s="88">
        <f t="shared" si="96"/>
        <v>0</v>
      </c>
      <c r="L2020" s="85"/>
    </row>
    <row r="2021" spans="1:12" x14ac:dyDescent="0.25">
      <c r="A2021" s="84" t="str">
        <f t="shared" si="94"/>
        <v>SelecioneSelecioneSelecione</v>
      </c>
      <c r="B2021" s="85" t="s">
        <v>19</v>
      </c>
      <c r="C2021" s="85" t="s">
        <v>19</v>
      </c>
      <c r="D2021" s="86"/>
      <c r="E2021" s="116" t="str">
        <f t="shared" si="95"/>
        <v>-</v>
      </c>
      <c r="F2021" s="85"/>
      <c r="G2021" s="85" t="s">
        <v>19</v>
      </c>
      <c r="H2021" s="85"/>
      <c r="I2021" s="85"/>
      <c r="J2021" s="87"/>
      <c r="K2021" s="88">
        <f t="shared" si="96"/>
        <v>0</v>
      </c>
      <c r="L2021" s="85"/>
    </row>
    <row r="2022" spans="1:12" x14ac:dyDescent="0.25">
      <c r="A2022" s="84" t="str">
        <f t="shared" si="94"/>
        <v>SelecioneSelecioneSelecione</v>
      </c>
      <c r="B2022" s="85" t="s">
        <v>19</v>
      </c>
      <c r="C2022" s="85" t="s">
        <v>19</v>
      </c>
      <c r="D2022" s="86"/>
      <c r="E2022" s="116" t="str">
        <f t="shared" si="95"/>
        <v>-</v>
      </c>
      <c r="F2022" s="85"/>
      <c r="G2022" s="85" t="s">
        <v>19</v>
      </c>
      <c r="H2022" s="85"/>
      <c r="I2022" s="85"/>
      <c r="J2022" s="87"/>
      <c r="K2022" s="88">
        <f t="shared" si="96"/>
        <v>0</v>
      </c>
      <c r="L2022" s="85"/>
    </row>
    <row r="2023" spans="1:12" x14ac:dyDescent="0.25">
      <c r="A2023" s="84" t="str">
        <f t="shared" si="94"/>
        <v>SelecioneSelecioneSelecione</v>
      </c>
      <c r="B2023" s="85" t="s">
        <v>19</v>
      </c>
      <c r="C2023" s="85" t="s">
        <v>19</v>
      </c>
      <c r="D2023" s="86"/>
      <c r="E2023" s="116" t="str">
        <f t="shared" si="95"/>
        <v>-</v>
      </c>
      <c r="F2023" s="85"/>
      <c r="G2023" s="85" t="s">
        <v>19</v>
      </c>
      <c r="H2023" s="85"/>
      <c r="I2023" s="85"/>
      <c r="J2023" s="87"/>
      <c r="K2023" s="88">
        <f t="shared" si="96"/>
        <v>0</v>
      </c>
      <c r="L2023" s="85"/>
    </row>
    <row r="2024" spans="1:12" x14ac:dyDescent="0.25">
      <c r="A2024" s="84" t="str">
        <f t="shared" si="94"/>
        <v>SelecioneSelecioneSelecione</v>
      </c>
      <c r="B2024" s="85" t="s">
        <v>19</v>
      </c>
      <c r="C2024" s="85" t="s">
        <v>19</v>
      </c>
      <c r="D2024" s="86"/>
      <c r="E2024" s="116" t="str">
        <f t="shared" si="95"/>
        <v>-</v>
      </c>
      <c r="F2024" s="85"/>
      <c r="G2024" s="85" t="s">
        <v>19</v>
      </c>
      <c r="H2024" s="85"/>
      <c r="I2024" s="85"/>
      <c r="J2024" s="87"/>
      <c r="K2024" s="88">
        <f t="shared" si="96"/>
        <v>0</v>
      </c>
      <c r="L2024" s="85"/>
    </row>
    <row r="2025" spans="1:12" x14ac:dyDescent="0.25">
      <c r="A2025" s="84" t="str">
        <f t="shared" si="94"/>
        <v>SelecioneSelecioneSelecione</v>
      </c>
      <c r="B2025" s="85" t="s">
        <v>19</v>
      </c>
      <c r="C2025" s="85" t="s">
        <v>19</v>
      </c>
      <c r="D2025" s="86"/>
      <c r="E2025" s="116" t="str">
        <f t="shared" si="95"/>
        <v>-</v>
      </c>
      <c r="F2025" s="85"/>
      <c r="G2025" s="85" t="s">
        <v>19</v>
      </c>
      <c r="H2025" s="85"/>
      <c r="I2025" s="85"/>
      <c r="J2025" s="87"/>
      <c r="K2025" s="88">
        <f t="shared" si="96"/>
        <v>0</v>
      </c>
      <c r="L2025" s="85"/>
    </row>
    <row r="2026" spans="1:12" x14ac:dyDescent="0.25">
      <c r="A2026" s="84" t="str">
        <f t="shared" si="94"/>
        <v>SelecioneSelecioneSelecione</v>
      </c>
      <c r="B2026" s="85" t="s">
        <v>19</v>
      </c>
      <c r="C2026" s="85" t="s">
        <v>19</v>
      </c>
      <c r="D2026" s="86"/>
      <c r="E2026" s="116" t="str">
        <f t="shared" si="95"/>
        <v>-</v>
      </c>
      <c r="F2026" s="85"/>
      <c r="G2026" s="85" t="s">
        <v>19</v>
      </c>
      <c r="H2026" s="85"/>
      <c r="I2026" s="85"/>
      <c r="J2026" s="87"/>
      <c r="K2026" s="88">
        <f t="shared" si="96"/>
        <v>0</v>
      </c>
      <c r="L2026" s="85"/>
    </row>
    <row r="2027" spans="1:12" x14ac:dyDescent="0.25">
      <c r="A2027" s="84" t="str">
        <f t="shared" si="94"/>
        <v>SelecioneSelecioneSelecione</v>
      </c>
      <c r="B2027" s="85" t="s">
        <v>19</v>
      </c>
      <c r="C2027" s="85" t="s">
        <v>19</v>
      </c>
      <c r="D2027" s="86"/>
      <c r="E2027" s="116" t="str">
        <f t="shared" si="95"/>
        <v>-</v>
      </c>
      <c r="F2027" s="85"/>
      <c r="G2027" s="85" t="s">
        <v>19</v>
      </c>
      <c r="H2027" s="85"/>
      <c r="I2027" s="85"/>
      <c r="J2027" s="87"/>
      <c r="K2027" s="88">
        <f t="shared" si="96"/>
        <v>0</v>
      </c>
      <c r="L2027" s="85"/>
    </row>
    <row r="2028" spans="1:12" x14ac:dyDescent="0.25">
      <c r="A2028" s="84" t="str">
        <f t="shared" si="94"/>
        <v>SelecioneSelecioneSelecione</v>
      </c>
      <c r="B2028" s="85" t="s">
        <v>19</v>
      </c>
      <c r="C2028" s="85" t="s">
        <v>19</v>
      </c>
      <c r="D2028" s="86"/>
      <c r="E2028" s="116" t="str">
        <f t="shared" si="95"/>
        <v>-</v>
      </c>
      <c r="F2028" s="85"/>
      <c r="G2028" s="85" t="s">
        <v>19</v>
      </c>
      <c r="H2028" s="85"/>
      <c r="I2028" s="85"/>
      <c r="J2028" s="87"/>
      <c r="K2028" s="88">
        <f t="shared" si="96"/>
        <v>0</v>
      </c>
      <c r="L2028" s="85"/>
    </row>
    <row r="2029" spans="1:12" x14ac:dyDescent="0.25">
      <c r="A2029" s="84" t="str">
        <f t="shared" si="94"/>
        <v>SelecioneSelecioneSelecione</v>
      </c>
      <c r="B2029" s="85" t="s">
        <v>19</v>
      </c>
      <c r="C2029" s="85" t="s">
        <v>19</v>
      </c>
      <c r="D2029" s="86"/>
      <c r="E2029" s="116" t="str">
        <f t="shared" si="95"/>
        <v>-</v>
      </c>
      <c r="F2029" s="85"/>
      <c r="G2029" s="85" t="s">
        <v>19</v>
      </c>
      <c r="H2029" s="85"/>
      <c r="I2029" s="85"/>
      <c r="J2029" s="87"/>
      <c r="K2029" s="88">
        <f t="shared" si="96"/>
        <v>0</v>
      </c>
      <c r="L2029" s="85"/>
    </row>
    <row r="2030" spans="1:12" x14ac:dyDescent="0.25">
      <c r="A2030" s="84" t="str">
        <f t="shared" si="94"/>
        <v>SelecioneSelecioneSelecione</v>
      </c>
      <c r="B2030" s="85" t="s">
        <v>19</v>
      </c>
      <c r="C2030" s="85" t="s">
        <v>19</v>
      </c>
      <c r="D2030" s="86"/>
      <c r="E2030" s="116" t="str">
        <f t="shared" si="95"/>
        <v>-</v>
      </c>
      <c r="F2030" s="85"/>
      <c r="G2030" s="85" t="s">
        <v>19</v>
      </c>
      <c r="H2030" s="85"/>
      <c r="I2030" s="85"/>
      <c r="J2030" s="87"/>
      <c r="K2030" s="88">
        <f t="shared" si="96"/>
        <v>0</v>
      </c>
      <c r="L2030" s="85"/>
    </row>
    <row r="2031" spans="1:12" x14ac:dyDescent="0.25">
      <c r="A2031" s="84" t="str">
        <f t="shared" si="94"/>
        <v>SelecioneSelecioneSelecione</v>
      </c>
      <c r="B2031" s="85" t="s">
        <v>19</v>
      </c>
      <c r="C2031" s="85" t="s">
        <v>19</v>
      </c>
      <c r="D2031" s="86"/>
      <c r="E2031" s="116" t="str">
        <f t="shared" si="95"/>
        <v>-</v>
      </c>
      <c r="F2031" s="85"/>
      <c r="G2031" s="85" t="s">
        <v>19</v>
      </c>
      <c r="H2031" s="85"/>
      <c r="I2031" s="85"/>
      <c r="J2031" s="87"/>
      <c r="K2031" s="88">
        <f t="shared" si="96"/>
        <v>0</v>
      </c>
      <c r="L2031" s="85"/>
    </row>
    <row r="2032" spans="1:12" x14ac:dyDescent="0.25">
      <c r="A2032" s="84" t="str">
        <f t="shared" si="94"/>
        <v>SelecioneSelecioneSelecione</v>
      </c>
      <c r="B2032" s="85" t="s">
        <v>19</v>
      </c>
      <c r="C2032" s="85" t="s">
        <v>19</v>
      </c>
      <c r="D2032" s="86"/>
      <c r="E2032" s="116" t="str">
        <f t="shared" si="95"/>
        <v>-</v>
      </c>
      <c r="F2032" s="85"/>
      <c r="G2032" s="85" t="s">
        <v>19</v>
      </c>
      <c r="H2032" s="85"/>
      <c r="I2032" s="85"/>
      <c r="J2032" s="87"/>
      <c r="K2032" s="88">
        <f t="shared" si="96"/>
        <v>0</v>
      </c>
      <c r="L2032" s="85"/>
    </row>
    <row r="2033" spans="1:12" x14ac:dyDescent="0.25">
      <c r="A2033" s="84" t="str">
        <f t="shared" si="94"/>
        <v>SelecioneSelecioneSelecione</v>
      </c>
      <c r="B2033" s="85" t="s">
        <v>19</v>
      </c>
      <c r="C2033" s="85" t="s">
        <v>19</v>
      </c>
      <c r="D2033" s="86"/>
      <c r="E2033" s="116" t="str">
        <f t="shared" si="95"/>
        <v>-</v>
      </c>
      <c r="F2033" s="85"/>
      <c r="G2033" s="85" t="s">
        <v>19</v>
      </c>
      <c r="H2033" s="85"/>
      <c r="I2033" s="85"/>
      <c r="J2033" s="87"/>
      <c r="K2033" s="88">
        <f t="shared" si="96"/>
        <v>0</v>
      </c>
      <c r="L2033" s="85"/>
    </row>
    <row r="2034" spans="1:12" x14ac:dyDescent="0.25">
      <c r="A2034" s="84" t="str">
        <f t="shared" si="94"/>
        <v>SelecioneSelecioneSelecione</v>
      </c>
      <c r="B2034" s="85" t="s">
        <v>19</v>
      </c>
      <c r="C2034" s="85" t="s">
        <v>19</v>
      </c>
      <c r="D2034" s="86"/>
      <c r="E2034" s="116" t="str">
        <f t="shared" si="95"/>
        <v>-</v>
      </c>
      <c r="F2034" s="85"/>
      <c r="G2034" s="85" t="s">
        <v>19</v>
      </c>
      <c r="H2034" s="85"/>
      <c r="I2034" s="85"/>
      <c r="J2034" s="87"/>
      <c r="K2034" s="88">
        <f t="shared" si="96"/>
        <v>0</v>
      </c>
      <c r="L2034" s="85"/>
    </row>
    <row r="2035" spans="1:12" x14ac:dyDescent="0.25">
      <c r="A2035" s="84" t="str">
        <f t="shared" si="94"/>
        <v>SelecioneSelecioneSelecione</v>
      </c>
      <c r="B2035" s="85" t="s">
        <v>19</v>
      </c>
      <c r="C2035" s="85" t="s">
        <v>19</v>
      </c>
      <c r="D2035" s="86"/>
      <c r="E2035" s="116" t="str">
        <f t="shared" si="95"/>
        <v>-</v>
      </c>
      <c r="F2035" s="85"/>
      <c r="G2035" s="85" t="s">
        <v>19</v>
      </c>
      <c r="H2035" s="85"/>
      <c r="I2035" s="85"/>
      <c r="J2035" s="87"/>
      <c r="K2035" s="88">
        <f t="shared" si="96"/>
        <v>0</v>
      </c>
      <c r="L2035" s="85"/>
    </row>
    <row r="2036" spans="1:12" x14ac:dyDescent="0.25">
      <c r="A2036" s="84" t="str">
        <f t="shared" si="94"/>
        <v>SelecioneSelecioneSelecione</v>
      </c>
      <c r="B2036" s="85" t="s">
        <v>19</v>
      </c>
      <c r="C2036" s="85" t="s">
        <v>19</v>
      </c>
      <c r="D2036" s="86"/>
      <c r="E2036" s="116" t="str">
        <f t="shared" si="95"/>
        <v>-</v>
      </c>
      <c r="F2036" s="85"/>
      <c r="G2036" s="85" t="s">
        <v>19</v>
      </c>
      <c r="H2036" s="85"/>
      <c r="I2036" s="85"/>
      <c r="J2036" s="87"/>
      <c r="K2036" s="88">
        <f t="shared" si="96"/>
        <v>0</v>
      </c>
      <c r="L2036" s="85"/>
    </row>
    <row r="2037" spans="1:12" x14ac:dyDescent="0.25">
      <c r="A2037" s="84" t="str">
        <f t="shared" si="94"/>
        <v>SelecioneSelecioneSelecione</v>
      </c>
      <c r="B2037" s="85" t="s">
        <v>19</v>
      </c>
      <c r="C2037" s="85" t="s">
        <v>19</v>
      </c>
      <c r="D2037" s="86"/>
      <c r="E2037" s="116" t="str">
        <f t="shared" si="95"/>
        <v>-</v>
      </c>
      <c r="F2037" s="85"/>
      <c r="G2037" s="85" t="s">
        <v>19</v>
      </c>
      <c r="H2037" s="85"/>
      <c r="I2037" s="85"/>
      <c r="J2037" s="87"/>
      <c r="K2037" s="88">
        <f t="shared" si="96"/>
        <v>0</v>
      </c>
      <c r="L2037" s="85"/>
    </row>
    <row r="2038" spans="1:12" x14ac:dyDescent="0.25">
      <c r="A2038" s="84" t="str">
        <f t="shared" si="94"/>
        <v>SelecioneSelecioneSelecione</v>
      </c>
      <c r="B2038" s="85" t="s">
        <v>19</v>
      </c>
      <c r="C2038" s="85" t="s">
        <v>19</v>
      </c>
      <c r="D2038" s="86"/>
      <c r="E2038" s="116" t="str">
        <f t="shared" si="95"/>
        <v>-</v>
      </c>
      <c r="F2038" s="85"/>
      <c r="G2038" s="85" t="s">
        <v>19</v>
      </c>
      <c r="H2038" s="85"/>
      <c r="I2038" s="85"/>
      <c r="J2038" s="87"/>
      <c r="K2038" s="88">
        <f t="shared" si="96"/>
        <v>0</v>
      </c>
      <c r="L2038" s="85"/>
    </row>
    <row r="2039" spans="1:12" x14ac:dyDescent="0.25">
      <c r="A2039" s="84" t="str">
        <f t="shared" si="94"/>
        <v>SelecioneSelecioneSelecione</v>
      </c>
      <c r="B2039" s="85" t="s">
        <v>19</v>
      </c>
      <c r="C2039" s="85" t="s">
        <v>19</v>
      </c>
      <c r="D2039" s="86"/>
      <c r="E2039" s="116" t="str">
        <f t="shared" si="95"/>
        <v>-</v>
      </c>
      <c r="F2039" s="85"/>
      <c r="G2039" s="85" t="s">
        <v>19</v>
      </c>
      <c r="H2039" s="85"/>
      <c r="I2039" s="85"/>
      <c r="J2039" s="87"/>
      <c r="K2039" s="88">
        <f t="shared" si="96"/>
        <v>0</v>
      </c>
      <c r="L2039" s="85"/>
    </row>
    <row r="2040" spans="1:12" x14ac:dyDescent="0.25">
      <c r="A2040" s="84" t="str">
        <f t="shared" si="94"/>
        <v>SelecioneSelecioneSelecione</v>
      </c>
      <c r="B2040" s="85" t="s">
        <v>19</v>
      </c>
      <c r="C2040" s="85" t="s">
        <v>19</v>
      </c>
      <c r="D2040" s="86"/>
      <c r="E2040" s="116" t="str">
        <f t="shared" si="95"/>
        <v>-</v>
      </c>
      <c r="F2040" s="85"/>
      <c r="G2040" s="85" t="s">
        <v>19</v>
      </c>
      <c r="H2040" s="85"/>
      <c r="I2040" s="85"/>
      <c r="J2040" s="87"/>
      <c r="K2040" s="88">
        <f t="shared" si="96"/>
        <v>0</v>
      </c>
      <c r="L2040" s="85"/>
    </row>
    <row r="2041" spans="1:12" x14ac:dyDescent="0.25">
      <c r="A2041" s="84" t="str">
        <f t="shared" si="94"/>
        <v>SelecioneSelecioneSelecione</v>
      </c>
      <c r="B2041" s="85" t="s">
        <v>19</v>
      </c>
      <c r="C2041" s="85" t="s">
        <v>19</v>
      </c>
      <c r="D2041" s="86"/>
      <c r="E2041" s="116" t="str">
        <f t="shared" si="95"/>
        <v>-</v>
      </c>
      <c r="F2041" s="85"/>
      <c r="G2041" s="85" t="s">
        <v>19</v>
      </c>
      <c r="H2041" s="85"/>
      <c r="I2041" s="85"/>
      <c r="J2041" s="87"/>
      <c r="K2041" s="88">
        <f t="shared" si="96"/>
        <v>0</v>
      </c>
      <c r="L2041" s="85"/>
    </row>
    <row r="2042" spans="1:12" x14ac:dyDescent="0.25">
      <c r="A2042" s="84" t="str">
        <f t="shared" si="94"/>
        <v>SelecioneSelecioneSelecione</v>
      </c>
      <c r="B2042" s="85" t="s">
        <v>19</v>
      </c>
      <c r="C2042" s="85" t="s">
        <v>19</v>
      </c>
      <c r="D2042" s="86"/>
      <c r="E2042" s="116" t="str">
        <f t="shared" si="95"/>
        <v>-</v>
      </c>
      <c r="F2042" s="85"/>
      <c r="G2042" s="85" t="s">
        <v>19</v>
      </c>
      <c r="H2042" s="85"/>
      <c r="I2042" s="85"/>
      <c r="J2042" s="87"/>
      <c r="K2042" s="88">
        <f t="shared" si="96"/>
        <v>0</v>
      </c>
      <c r="L2042" s="85"/>
    </row>
    <row r="2043" spans="1:12" x14ac:dyDescent="0.25">
      <c r="A2043" s="84" t="str">
        <f t="shared" si="94"/>
        <v>SelecioneSelecioneSelecione</v>
      </c>
      <c r="B2043" s="85" t="s">
        <v>19</v>
      </c>
      <c r="C2043" s="85" t="s">
        <v>19</v>
      </c>
      <c r="D2043" s="86"/>
      <c r="E2043" s="116" t="str">
        <f t="shared" si="95"/>
        <v>-</v>
      </c>
      <c r="F2043" s="85"/>
      <c r="G2043" s="85" t="s">
        <v>19</v>
      </c>
      <c r="H2043" s="85"/>
      <c r="I2043" s="85"/>
      <c r="J2043" s="87"/>
      <c r="K2043" s="88">
        <f t="shared" si="96"/>
        <v>0</v>
      </c>
      <c r="L2043" s="85"/>
    </row>
    <row r="2044" spans="1:12" x14ac:dyDescent="0.25">
      <c r="A2044" s="84" t="str">
        <f t="shared" si="94"/>
        <v>SelecioneSelecioneSelecione</v>
      </c>
      <c r="B2044" s="85" t="s">
        <v>19</v>
      </c>
      <c r="C2044" s="85" t="s">
        <v>19</v>
      </c>
      <c r="D2044" s="86"/>
      <c r="E2044" s="116" t="str">
        <f t="shared" si="95"/>
        <v>-</v>
      </c>
      <c r="F2044" s="85"/>
      <c r="G2044" s="85" t="s">
        <v>19</v>
      </c>
      <c r="H2044" s="85"/>
      <c r="I2044" s="85"/>
      <c r="J2044" s="87"/>
      <c r="K2044" s="88">
        <f t="shared" si="96"/>
        <v>0</v>
      </c>
      <c r="L2044" s="85"/>
    </row>
    <row r="2045" spans="1:12" x14ac:dyDescent="0.25">
      <c r="A2045" s="84" t="str">
        <f t="shared" si="94"/>
        <v>SelecioneSelecioneSelecione</v>
      </c>
      <c r="B2045" s="85" t="s">
        <v>19</v>
      </c>
      <c r="C2045" s="85" t="s">
        <v>19</v>
      </c>
      <c r="D2045" s="86"/>
      <c r="E2045" s="116" t="str">
        <f t="shared" si="95"/>
        <v>-</v>
      </c>
      <c r="F2045" s="85"/>
      <c r="G2045" s="85" t="s">
        <v>19</v>
      </c>
      <c r="H2045" s="85"/>
      <c r="I2045" s="85"/>
      <c r="J2045" s="87"/>
      <c r="K2045" s="88">
        <f t="shared" si="96"/>
        <v>0</v>
      </c>
      <c r="L2045" s="85"/>
    </row>
    <row r="2046" spans="1:12" x14ac:dyDescent="0.25">
      <c r="A2046" s="84" t="str">
        <f t="shared" si="94"/>
        <v>SelecioneSelecioneSelecione</v>
      </c>
      <c r="B2046" s="85" t="s">
        <v>19</v>
      </c>
      <c r="C2046" s="85" t="s">
        <v>19</v>
      </c>
      <c r="D2046" s="86"/>
      <c r="E2046" s="116" t="str">
        <f t="shared" si="95"/>
        <v>-</v>
      </c>
      <c r="F2046" s="85"/>
      <c r="G2046" s="85" t="s">
        <v>19</v>
      </c>
      <c r="H2046" s="85"/>
      <c r="I2046" s="85"/>
      <c r="J2046" s="87"/>
      <c r="K2046" s="88">
        <f t="shared" si="96"/>
        <v>0</v>
      </c>
      <c r="L2046" s="85"/>
    </row>
    <row r="2047" spans="1:12" x14ac:dyDescent="0.25">
      <c r="A2047" s="84" t="str">
        <f t="shared" si="94"/>
        <v>SelecioneSelecioneSelecione</v>
      </c>
      <c r="B2047" s="85" t="s">
        <v>19</v>
      </c>
      <c r="C2047" s="85" t="s">
        <v>19</v>
      </c>
      <c r="D2047" s="86"/>
      <c r="E2047" s="116" t="str">
        <f t="shared" si="95"/>
        <v>-</v>
      </c>
      <c r="F2047" s="85"/>
      <c r="G2047" s="85" t="s">
        <v>19</v>
      </c>
      <c r="H2047" s="85"/>
      <c r="I2047" s="85"/>
      <c r="J2047" s="87"/>
      <c r="K2047" s="88">
        <f t="shared" si="96"/>
        <v>0</v>
      </c>
      <c r="L2047" s="85"/>
    </row>
    <row r="2048" spans="1:12" x14ac:dyDescent="0.25">
      <c r="A2048" s="84" t="str">
        <f t="shared" si="94"/>
        <v>SelecioneSelecioneSelecione</v>
      </c>
      <c r="B2048" s="85" t="s">
        <v>19</v>
      </c>
      <c r="C2048" s="85" t="s">
        <v>19</v>
      </c>
      <c r="D2048" s="86"/>
      <c r="E2048" s="116" t="str">
        <f t="shared" si="95"/>
        <v>-</v>
      </c>
      <c r="F2048" s="85"/>
      <c r="G2048" s="85" t="s">
        <v>19</v>
      </c>
      <c r="H2048" s="85"/>
      <c r="I2048" s="85"/>
      <c r="J2048" s="87"/>
      <c r="K2048" s="88">
        <f t="shared" si="96"/>
        <v>0</v>
      </c>
      <c r="L2048" s="85"/>
    </row>
    <row r="2049" spans="1:12" x14ac:dyDescent="0.25">
      <c r="A2049" s="84" t="str">
        <f t="shared" si="94"/>
        <v>SelecioneSelecioneSelecione</v>
      </c>
      <c r="B2049" s="85" t="s">
        <v>19</v>
      </c>
      <c r="C2049" s="85" t="s">
        <v>19</v>
      </c>
      <c r="D2049" s="86"/>
      <c r="E2049" s="116" t="str">
        <f t="shared" si="95"/>
        <v>-</v>
      </c>
      <c r="F2049" s="85"/>
      <c r="G2049" s="85" t="s">
        <v>19</v>
      </c>
      <c r="H2049" s="85"/>
      <c r="I2049" s="85"/>
      <c r="J2049" s="87"/>
      <c r="K2049" s="88">
        <f t="shared" si="96"/>
        <v>0</v>
      </c>
      <c r="L2049" s="85"/>
    </row>
    <row r="2050" spans="1:12" x14ac:dyDescent="0.25">
      <c r="A2050" s="84" t="str">
        <f t="shared" ref="A2050:A2113" si="97">CONCATENATE(B2050,C2050,G2050)</f>
        <v>SelecioneSelecioneSelecione</v>
      </c>
      <c r="B2050" s="85" t="s">
        <v>19</v>
      </c>
      <c r="C2050" s="85" t="s">
        <v>19</v>
      </c>
      <c r="D2050" s="86"/>
      <c r="E2050" s="116" t="str">
        <f t="shared" ref="E2050:E2113" si="98">VLOOKUP(G2050,$M$1:$O$968,3,0)</f>
        <v>-</v>
      </c>
      <c r="F2050" s="85"/>
      <c r="G2050" s="85" t="s">
        <v>19</v>
      </c>
      <c r="H2050" s="85"/>
      <c r="I2050" s="85"/>
      <c r="J2050" s="87"/>
      <c r="K2050" s="88">
        <f t="shared" ref="K2050:K2113" si="99">I2050*J2050</f>
        <v>0</v>
      </c>
      <c r="L2050" s="85"/>
    </row>
    <row r="2051" spans="1:12" x14ac:dyDescent="0.25">
      <c r="A2051" s="84" t="str">
        <f t="shared" si="97"/>
        <v>SelecioneSelecioneSelecione</v>
      </c>
      <c r="B2051" s="85" t="s">
        <v>19</v>
      </c>
      <c r="C2051" s="85" t="s">
        <v>19</v>
      </c>
      <c r="D2051" s="86"/>
      <c r="E2051" s="116" t="str">
        <f t="shared" si="98"/>
        <v>-</v>
      </c>
      <c r="F2051" s="85"/>
      <c r="G2051" s="85" t="s">
        <v>19</v>
      </c>
      <c r="H2051" s="85"/>
      <c r="I2051" s="85"/>
      <c r="J2051" s="87"/>
      <c r="K2051" s="88">
        <f t="shared" si="99"/>
        <v>0</v>
      </c>
      <c r="L2051" s="85"/>
    </row>
    <row r="2052" spans="1:12" x14ac:dyDescent="0.25">
      <c r="A2052" s="84" t="str">
        <f t="shared" si="97"/>
        <v>SelecioneSelecioneSelecione</v>
      </c>
      <c r="B2052" s="85" t="s">
        <v>19</v>
      </c>
      <c r="C2052" s="85" t="s">
        <v>19</v>
      </c>
      <c r="D2052" s="86"/>
      <c r="E2052" s="116" t="str">
        <f t="shared" si="98"/>
        <v>-</v>
      </c>
      <c r="F2052" s="85"/>
      <c r="G2052" s="85" t="s">
        <v>19</v>
      </c>
      <c r="H2052" s="85"/>
      <c r="I2052" s="85"/>
      <c r="J2052" s="87"/>
      <c r="K2052" s="88">
        <f t="shared" si="99"/>
        <v>0</v>
      </c>
      <c r="L2052" s="85"/>
    </row>
    <row r="2053" spans="1:12" x14ac:dyDescent="0.25">
      <c r="A2053" s="84" t="str">
        <f t="shared" si="97"/>
        <v>SelecioneSelecioneSelecione</v>
      </c>
      <c r="B2053" s="85" t="s">
        <v>19</v>
      </c>
      <c r="C2053" s="85" t="s">
        <v>19</v>
      </c>
      <c r="D2053" s="86"/>
      <c r="E2053" s="116" t="str">
        <f t="shared" si="98"/>
        <v>-</v>
      </c>
      <c r="F2053" s="85"/>
      <c r="G2053" s="85" t="s">
        <v>19</v>
      </c>
      <c r="H2053" s="85"/>
      <c r="I2053" s="85"/>
      <c r="J2053" s="87"/>
      <c r="K2053" s="88">
        <f t="shared" si="99"/>
        <v>0</v>
      </c>
      <c r="L2053" s="85"/>
    </row>
    <row r="2054" spans="1:12" x14ac:dyDescent="0.25">
      <c r="A2054" s="84" t="str">
        <f t="shared" si="97"/>
        <v>SelecioneSelecioneSelecione</v>
      </c>
      <c r="B2054" s="85" t="s">
        <v>19</v>
      </c>
      <c r="C2054" s="85" t="s">
        <v>19</v>
      </c>
      <c r="D2054" s="86"/>
      <c r="E2054" s="116" t="str">
        <f t="shared" si="98"/>
        <v>-</v>
      </c>
      <c r="F2054" s="85"/>
      <c r="G2054" s="85" t="s">
        <v>19</v>
      </c>
      <c r="H2054" s="85"/>
      <c r="I2054" s="85"/>
      <c r="J2054" s="87"/>
      <c r="K2054" s="88">
        <f t="shared" si="99"/>
        <v>0</v>
      </c>
      <c r="L2054" s="85"/>
    </row>
    <row r="2055" spans="1:12" x14ac:dyDescent="0.25">
      <c r="A2055" s="84" t="str">
        <f t="shared" si="97"/>
        <v>SelecioneSelecioneSelecione</v>
      </c>
      <c r="B2055" s="85" t="s">
        <v>19</v>
      </c>
      <c r="C2055" s="85" t="s">
        <v>19</v>
      </c>
      <c r="D2055" s="86"/>
      <c r="E2055" s="116" t="str">
        <f t="shared" si="98"/>
        <v>-</v>
      </c>
      <c r="F2055" s="85"/>
      <c r="G2055" s="85" t="s">
        <v>19</v>
      </c>
      <c r="H2055" s="85"/>
      <c r="I2055" s="85"/>
      <c r="J2055" s="87"/>
      <c r="K2055" s="88">
        <f t="shared" si="99"/>
        <v>0</v>
      </c>
      <c r="L2055" s="85"/>
    </row>
    <row r="2056" spans="1:12" x14ac:dyDescent="0.25">
      <c r="A2056" s="84" t="str">
        <f t="shared" si="97"/>
        <v>SelecioneSelecioneSelecione</v>
      </c>
      <c r="B2056" s="85" t="s">
        <v>19</v>
      </c>
      <c r="C2056" s="85" t="s">
        <v>19</v>
      </c>
      <c r="D2056" s="86"/>
      <c r="E2056" s="116" t="str">
        <f t="shared" si="98"/>
        <v>-</v>
      </c>
      <c r="F2056" s="85"/>
      <c r="G2056" s="85" t="s">
        <v>19</v>
      </c>
      <c r="H2056" s="85"/>
      <c r="I2056" s="85"/>
      <c r="J2056" s="87"/>
      <c r="K2056" s="88">
        <f t="shared" si="99"/>
        <v>0</v>
      </c>
      <c r="L2056" s="85"/>
    </row>
    <row r="2057" spans="1:12" x14ac:dyDescent="0.25">
      <c r="A2057" s="84" t="str">
        <f t="shared" si="97"/>
        <v>SelecioneSelecioneSelecione</v>
      </c>
      <c r="B2057" s="85" t="s">
        <v>19</v>
      </c>
      <c r="C2057" s="85" t="s">
        <v>19</v>
      </c>
      <c r="D2057" s="86"/>
      <c r="E2057" s="116" t="str">
        <f t="shared" si="98"/>
        <v>-</v>
      </c>
      <c r="F2057" s="85"/>
      <c r="G2057" s="85" t="s">
        <v>19</v>
      </c>
      <c r="H2057" s="85"/>
      <c r="I2057" s="85"/>
      <c r="J2057" s="87"/>
      <c r="K2057" s="88">
        <f t="shared" si="99"/>
        <v>0</v>
      </c>
      <c r="L2057" s="85"/>
    </row>
    <row r="2058" spans="1:12" x14ac:dyDescent="0.25">
      <c r="A2058" s="84" t="str">
        <f t="shared" si="97"/>
        <v>SelecioneSelecioneSelecione</v>
      </c>
      <c r="B2058" s="85" t="s">
        <v>19</v>
      </c>
      <c r="C2058" s="85" t="s">
        <v>19</v>
      </c>
      <c r="D2058" s="86"/>
      <c r="E2058" s="116" t="str">
        <f t="shared" si="98"/>
        <v>-</v>
      </c>
      <c r="F2058" s="85"/>
      <c r="G2058" s="85" t="s">
        <v>19</v>
      </c>
      <c r="H2058" s="85"/>
      <c r="I2058" s="85"/>
      <c r="J2058" s="87"/>
      <c r="K2058" s="88">
        <f t="shared" si="99"/>
        <v>0</v>
      </c>
      <c r="L2058" s="85"/>
    </row>
    <row r="2059" spans="1:12" x14ac:dyDescent="0.25">
      <c r="A2059" s="84" t="str">
        <f t="shared" si="97"/>
        <v>SelecioneSelecioneSelecione</v>
      </c>
      <c r="B2059" s="85" t="s">
        <v>19</v>
      </c>
      <c r="C2059" s="85" t="s">
        <v>19</v>
      </c>
      <c r="D2059" s="86"/>
      <c r="E2059" s="116" t="str">
        <f t="shared" si="98"/>
        <v>-</v>
      </c>
      <c r="F2059" s="85"/>
      <c r="G2059" s="85" t="s">
        <v>19</v>
      </c>
      <c r="H2059" s="85"/>
      <c r="I2059" s="85"/>
      <c r="J2059" s="87"/>
      <c r="K2059" s="88">
        <f t="shared" si="99"/>
        <v>0</v>
      </c>
      <c r="L2059" s="85"/>
    </row>
    <row r="2060" spans="1:12" x14ac:dyDescent="0.25">
      <c r="A2060" s="84" t="str">
        <f t="shared" si="97"/>
        <v>SelecioneSelecioneSelecione</v>
      </c>
      <c r="B2060" s="85" t="s">
        <v>19</v>
      </c>
      <c r="C2060" s="85" t="s">
        <v>19</v>
      </c>
      <c r="D2060" s="86"/>
      <c r="E2060" s="116" t="str">
        <f t="shared" si="98"/>
        <v>-</v>
      </c>
      <c r="F2060" s="85"/>
      <c r="G2060" s="85" t="s">
        <v>19</v>
      </c>
      <c r="H2060" s="85"/>
      <c r="I2060" s="85"/>
      <c r="J2060" s="87"/>
      <c r="K2060" s="88">
        <f t="shared" si="99"/>
        <v>0</v>
      </c>
      <c r="L2060" s="85"/>
    </row>
    <row r="2061" spans="1:12" x14ac:dyDescent="0.25">
      <c r="A2061" s="84" t="str">
        <f t="shared" si="97"/>
        <v>SelecioneSelecioneSelecione</v>
      </c>
      <c r="B2061" s="85" t="s">
        <v>19</v>
      </c>
      <c r="C2061" s="85" t="s">
        <v>19</v>
      </c>
      <c r="D2061" s="86"/>
      <c r="E2061" s="116" t="str">
        <f t="shared" si="98"/>
        <v>-</v>
      </c>
      <c r="F2061" s="85"/>
      <c r="G2061" s="85" t="s">
        <v>19</v>
      </c>
      <c r="H2061" s="85"/>
      <c r="I2061" s="85"/>
      <c r="J2061" s="87"/>
      <c r="K2061" s="88">
        <f t="shared" si="99"/>
        <v>0</v>
      </c>
      <c r="L2061" s="85"/>
    </row>
    <row r="2062" spans="1:12" x14ac:dyDescent="0.25">
      <c r="A2062" s="84" t="str">
        <f t="shared" si="97"/>
        <v>SelecioneSelecioneSelecione</v>
      </c>
      <c r="B2062" s="85" t="s">
        <v>19</v>
      </c>
      <c r="C2062" s="85" t="s">
        <v>19</v>
      </c>
      <c r="D2062" s="93"/>
      <c r="E2062" s="116" t="str">
        <f t="shared" si="98"/>
        <v>-</v>
      </c>
      <c r="F2062" s="90"/>
      <c r="G2062" s="85" t="s">
        <v>19</v>
      </c>
      <c r="H2062" s="85"/>
      <c r="I2062" s="90"/>
      <c r="J2062" s="89"/>
      <c r="K2062" s="88">
        <f t="shared" si="99"/>
        <v>0</v>
      </c>
      <c r="L2062" s="90"/>
    </row>
    <row r="2063" spans="1:12" x14ac:dyDescent="0.25">
      <c r="A2063" s="84" t="str">
        <f t="shared" si="97"/>
        <v>SelecioneSelecioneSelecione</v>
      </c>
      <c r="B2063" s="85" t="s">
        <v>19</v>
      </c>
      <c r="C2063" s="85" t="s">
        <v>19</v>
      </c>
      <c r="D2063" s="86"/>
      <c r="E2063" s="116" t="str">
        <f t="shared" si="98"/>
        <v>-</v>
      </c>
      <c r="F2063" s="85"/>
      <c r="G2063" s="85" t="s">
        <v>19</v>
      </c>
      <c r="H2063" s="85"/>
      <c r="I2063" s="85"/>
      <c r="J2063" s="87"/>
      <c r="K2063" s="88">
        <f t="shared" si="99"/>
        <v>0</v>
      </c>
      <c r="L2063" s="85"/>
    </row>
    <row r="2064" spans="1:12" x14ac:dyDescent="0.25">
      <c r="A2064" s="84" t="str">
        <f t="shared" si="97"/>
        <v>SelecioneSelecioneSelecione</v>
      </c>
      <c r="B2064" s="85" t="s">
        <v>19</v>
      </c>
      <c r="C2064" s="85" t="s">
        <v>19</v>
      </c>
      <c r="D2064" s="86"/>
      <c r="E2064" s="116" t="str">
        <f t="shared" si="98"/>
        <v>-</v>
      </c>
      <c r="F2064" s="85"/>
      <c r="G2064" s="85" t="s">
        <v>19</v>
      </c>
      <c r="H2064" s="85"/>
      <c r="I2064" s="85"/>
      <c r="J2064" s="87"/>
      <c r="K2064" s="88">
        <f t="shared" si="99"/>
        <v>0</v>
      </c>
      <c r="L2064" s="85"/>
    </row>
    <row r="2065" spans="1:12" x14ac:dyDescent="0.25">
      <c r="A2065" s="84" t="str">
        <f t="shared" si="97"/>
        <v>SelecioneSelecioneSelecione</v>
      </c>
      <c r="B2065" s="85" t="s">
        <v>19</v>
      </c>
      <c r="C2065" s="85" t="s">
        <v>19</v>
      </c>
      <c r="D2065" s="86"/>
      <c r="E2065" s="116" t="str">
        <f t="shared" si="98"/>
        <v>-</v>
      </c>
      <c r="F2065" s="85"/>
      <c r="G2065" s="85" t="s">
        <v>19</v>
      </c>
      <c r="H2065" s="85"/>
      <c r="I2065" s="85"/>
      <c r="J2065" s="87"/>
      <c r="K2065" s="88">
        <f t="shared" si="99"/>
        <v>0</v>
      </c>
      <c r="L2065" s="85"/>
    </row>
    <row r="2066" spans="1:12" x14ac:dyDescent="0.25">
      <c r="A2066" s="84" t="str">
        <f t="shared" si="97"/>
        <v>SelecioneSelecioneSelecione</v>
      </c>
      <c r="B2066" s="85" t="s">
        <v>19</v>
      </c>
      <c r="C2066" s="85" t="s">
        <v>19</v>
      </c>
      <c r="D2066" s="86"/>
      <c r="E2066" s="116" t="str">
        <f t="shared" si="98"/>
        <v>-</v>
      </c>
      <c r="F2066" s="85"/>
      <c r="G2066" s="85" t="s">
        <v>19</v>
      </c>
      <c r="H2066" s="85"/>
      <c r="I2066" s="85"/>
      <c r="J2066" s="87"/>
      <c r="K2066" s="88">
        <f t="shared" si="99"/>
        <v>0</v>
      </c>
      <c r="L2066" s="85"/>
    </row>
    <row r="2067" spans="1:12" x14ac:dyDescent="0.25">
      <c r="A2067" s="84" t="str">
        <f t="shared" si="97"/>
        <v>SelecioneSelecioneSelecione</v>
      </c>
      <c r="B2067" s="85" t="s">
        <v>19</v>
      </c>
      <c r="C2067" s="85" t="s">
        <v>19</v>
      </c>
      <c r="D2067" s="86"/>
      <c r="E2067" s="116" t="str">
        <f t="shared" si="98"/>
        <v>-</v>
      </c>
      <c r="F2067" s="85"/>
      <c r="G2067" s="85" t="s">
        <v>19</v>
      </c>
      <c r="H2067" s="85"/>
      <c r="I2067" s="85"/>
      <c r="J2067" s="87"/>
      <c r="K2067" s="88">
        <f t="shared" si="99"/>
        <v>0</v>
      </c>
      <c r="L2067" s="85"/>
    </row>
    <row r="2068" spans="1:12" x14ac:dyDescent="0.25">
      <c r="A2068" s="84" t="str">
        <f t="shared" si="97"/>
        <v>SelecioneSelecioneSelecione</v>
      </c>
      <c r="B2068" s="85" t="s">
        <v>19</v>
      </c>
      <c r="C2068" s="85" t="s">
        <v>19</v>
      </c>
      <c r="D2068" s="86"/>
      <c r="E2068" s="116" t="str">
        <f t="shared" si="98"/>
        <v>-</v>
      </c>
      <c r="F2068" s="85"/>
      <c r="G2068" s="85" t="s">
        <v>19</v>
      </c>
      <c r="H2068" s="85"/>
      <c r="I2068" s="85"/>
      <c r="J2068" s="87"/>
      <c r="K2068" s="88">
        <f t="shared" si="99"/>
        <v>0</v>
      </c>
      <c r="L2068" s="85"/>
    </row>
    <row r="2069" spans="1:12" x14ac:dyDescent="0.25">
      <c r="A2069" s="84" t="str">
        <f t="shared" si="97"/>
        <v>SelecioneSelecioneSelecione</v>
      </c>
      <c r="B2069" s="85" t="s">
        <v>19</v>
      </c>
      <c r="C2069" s="85" t="s">
        <v>19</v>
      </c>
      <c r="D2069" s="86"/>
      <c r="E2069" s="116" t="str">
        <f t="shared" si="98"/>
        <v>-</v>
      </c>
      <c r="F2069" s="85"/>
      <c r="G2069" s="85" t="s">
        <v>19</v>
      </c>
      <c r="H2069" s="85"/>
      <c r="I2069" s="85"/>
      <c r="J2069" s="87"/>
      <c r="K2069" s="88">
        <f t="shared" si="99"/>
        <v>0</v>
      </c>
      <c r="L2069" s="85"/>
    </row>
    <row r="2070" spans="1:12" x14ac:dyDescent="0.25">
      <c r="A2070" s="84" t="str">
        <f t="shared" si="97"/>
        <v>SelecioneSelecioneSelecione</v>
      </c>
      <c r="B2070" s="85" t="s">
        <v>19</v>
      </c>
      <c r="C2070" s="85" t="s">
        <v>19</v>
      </c>
      <c r="D2070" s="86"/>
      <c r="E2070" s="116" t="str">
        <f t="shared" si="98"/>
        <v>-</v>
      </c>
      <c r="F2070" s="85"/>
      <c r="G2070" s="85" t="s">
        <v>19</v>
      </c>
      <c r="H2070" s="85"/>
      <c r="I2070" s="85"/>
      <c r="J2070" s="87"/>
      <c r="K2070" s="88">
        <f t="shared" si="99"/>
        <v>0</v>
      </c>
      <c r="L2070" s="85"/>
    </row>
    <row r="2071" spans="1:12" x14ac:dyDescent="0.25">
      <c r="A2071" s="84" t="str">
        <f t="shared" si="97"/>
        <v>SelecioneSelecioneSelecione</v>
      </c>
      <c r="B2071" s="85" t="s">
        <v>19</v>
      </c>
      <c r="C2071" s="85" t="s">
        <v>19</v>
      </c>
      <c r="D2071" s="86"/>
      <c r="E2071" s="116" t="str">
        <f t="shared" si="98"/>
        <v>-</v>
      </c>
      <c r="F2071" s="85"/>
      <c r="G2071" s="85" t="s">
        <v>19</v>
      </c>
      <c r="H2071" s="85"/>
      <c r="I2071" s="85"/>
      <c r="J2071" s="87"/>
      <c r="K2071" s="88">
        <f t="shared" si="99"/>
        <v>0</v>
      </c>
      <c r="L2071" s="85"/>
    </row>
    <row r="2072" spans="1:12" x14ac:dyDescent="0.25">
      <c r="A2072" s="84" t="str">
        <f t="shared" si="97"/>
        <v>SelecioneSelecioneSelecione</v>
      </c>
      <c r="B2072" s="85" t="s">
        <v>19</v>
      </c>
      <c r="C2072" s="85" t="s">
        <v>19</v>
      </c>
      <c r="D2072" s="86"/>
      <c r="E2072" s="116" t="str">
        <f t="shared" si="98"/>
        <v>-</v>
      </c>
      <c r="F2072" s="85"/>
      <c r="G2072" s="85" t="s">
        <v>19</v>
      </c>
      <c r="H2072" s="85"/>
      <c r="I2072" s="85"/>
      <c r="J2072" s="87"/>
      <c r="K2072" s="88">
        <f t="shared" si="99"/>
        <v>0</v>
      </c>
      <c r="L2072" s="85"/>
    </row>
    <row r="2073" spans="1:12" x14ac:dyDescent="0.25">
      <c r="A2073" s="84" t="str">
        <f t="shared" si="97"/>
        <v>SelecioneSelecioneSelecione</v>
      </c>
      <c r="B2073" s="85" t="s">
        <v>19</v>
      </c>
      <c r="C2073" s="85" t="s">
        <v>19</v>
      </c>
      <c r="D2073" s="86"/>
      <c r="E2073" s="116" t="str">
        <f t="shared" si="98"/>
        <v>-</v>
      </c>
      <c r="F2073" s="85"/>
      <c r="G2073" s="85" t="s">
        <v>19</v>
      </c>
      <c r="H2073" s="85"/>
      <c r="I2073" s="85"/>
      <c r="J2073" s="87"/>
      <c r="K2073" s="88">
        <f t="shared" si="99"/>
        <v>0</v>
      </c>
      <c r="L2073" s="85"/>
    </row>
    <row r="2074" spans="1:12" x14ac:dyDescent="0.25">
      <c r="A2074" s="84" t="str">
        <f t="shared" si="97"/>
        <v>SelecioneSelecioneSelecione</v>
      </c>
      <c r="B2074" s="85" t="s">
        <v>19</v>
      </c>
      <c r="C2074" s="85" t="s">
        <v>19</v>
      </c>
      <c r="D2074" s="86"/>
      <c r="E2074" s="116" t="str">
        <f t="shared" si="98"/>
        <v>-</v>
      </c>
      <c r="F2074" s="85"/>
      <c r="G2074" s="85" t="s">
        <v>19</v>
      </c>
      <c r="H2074" s="85"/>
      <c r="I2074" s="85"/>
      <c r="J2074" s="87"/>
      <c r="K2074" s="88">
        <f t="shared" si="99"/>
        <v>0</v>
      </c>
      <c r="L2074" s="85"/>
    </row>
    <row r="2075" spans="1:12" x14ac:dyDescent="0.25">
      <c r="A2075" s="84" t="str">
        <f t="shared" si="97"/>
        <v>SelecioneSelecioneSelecione</v>
      </c>
      <c r="B2075" s="85" t="s">
        <v>19</v>
      </c>
      <c r="C2075" s="85" t="s">
        <v>19</v>
      </c>
      <c r="D2075" s="86"/>
      <c r="E2075" s="116" t="str">
        <f t="shared" si="98"/>
        <v>-</v>
      </c>
      <c r="F2075" s="85"/>
      <c r="G2075" s="85" t="s">
        <v>19</v>
      </c>
      <c r="H2075" s="85"/>
      <c r="I2075" s="85"/>
      <c r="J2075" s="87"/>
      <c r="K2075" s="88">
        <f t="shared" si="99"/>
        <v>0</v>
      </c>
      <c r="L2075" s="85"/>
    </row>
    <row r="2076" spans="1:12" x14ac:dyDescent="0.25">
      <c r="A2076" s="84" t="str">
        <f t="shared" si="97"/>
        <v>SelecioneSelecioneSelecione</v>
      </c>
      <c r="B2076" s="85" t="s">
        <v>19</v>
      </c>
      <c r="C2076" s="85" t="s">
        <v>19</v>
      </c>
      <c r="D2076" s="86"/>
      <c r="E2076" s="116" t="str">
        <f t="shared" si="98"/>
        <v>-</v>
      </c>
      <c r="F2076" s="85"/>
      <c r="G2076" s="85" t="s">
        <v>19</v>
      </c>
      <c r="H2076" s="85"/>
      <c r="I2076" s="85"/>
      <c r="J2076" s="87"/>
      <c r="K2076" s="88">
        <f t="shared" si="99"/>
        <v>0</v>
      </c>
      <c r="L2076" s="85"/>
    </row>
    <row r="2077" spans="1:12" x14ac:dyDescent="0.25">
      <c r="A2077" s="84" t="str">
        <f t="shared" si="97"/>
        <v>SelecioneSelecioneSelecione</v>
      </c>
      <c r="B2077" s="85" t="s">
        <v>19</v>
      </c>
      <c r="C2077" s="85" t="s">
        <v>19</v>
      </c>
      <c r="D2077" s="86"/>
      <c r="E2077" s="116" t="str">
        <f t="shared" si="98"/>
        <v>-</v>
      </c>
      <c r="F2077" s="85"/>
      <c r="G2077" s="85" t="s">
        <v>19</v>
      </c>
      <c r="H2077" s="85"/>
      <c r="I2077" s="85"/>
      <c r="J2077" s="87"/>
      <c r="K2077" s="88">
        <f t="shared" si="99"/>
        <v>0</v>
      </c>
      <c r="L2077" s="85"/>
    </row>
    <row r="2078" spans="1:12" x14ac:dyDescent="0.25">
      <c r="A2078" s="84" t="str">
        <f t="shared" si="97"/>
        <v>SelecioneSelecioneSelecione</v>
      </c>
      <c r="B2078" s="85" t="s">
        <v>19</v>
      </c>
      <c r="C2078" s="85" t="s">
        <v>19</v>
      </c>
      <c r="D2078" s="86"/>
      <c r="E2078" s="116" t="str">
        <f t="shared" si="98"/>
        <v>-</v>
      </c>
      <c r="F2078" s="85"/>
      <c r="G2078" s="85" t="s">
        <v>19</v>
      </c>
      <c r="H2078" s="85"/>
      <c r="I2078" s="85"/>
      <c r="J2078" s="87"/>
      <c r="K2078" s="88">
        <f t="shared" si="99"/>
        <v>0</v>
      </c>
      <c r="L2078" s="85"/>
    </row>
    <row r="2079" spans="1:12" x14ac:dyDescent="0.25">
      <c r="A2079" s="84" t="str">
        <f t="shared" si="97"/>
        <v>SelecioneSelecioneSelecione</v>
      </c>
      <c r="B2079" s="85" t="s">
        <v>19</v>
      </c>
      <c r="C2079" s="85" t="s">
        <v>19</v>
      </c>
      <c r="D2079" s="86"/>
      <c r="E2079" s="116" t="str">
        <f t="shared" si="98"/>
        <v>-</v>
      </c>
      <c r="F2079" s="85"/>
      <c r="G2079" s="85" t="s">
        <v>19</v>
      </c>
      <c r="H2079" s="85"/>
      <c r="I2079" s="85"/>
      <c r="J2079" s="87"/>
      <c r="K2079" s="88">
        <f t="shared" si="99"/>
        <v>0</v>
      </c>
      <c r="L2079" s="85"/>
    </row>
    <row r="2080" spans="1:12" x14ac:dyDescent="0.25">
      <c r="A2080" s="84" t="str">
        <f t="shared" si="97"/>
        <v>SelecioneSelecioneSelecione</v>
      </c>
      <c r="B2080" s="85" t="s">
        <v>19</v>
      </c>
      <c r="C2080" s="85" t="s">
        <v>19</v>
      </c>
      <c r="D2080" s="86"/>
      <c r="E2080" s="116" t="str">
        <f t="shared" si="98"/>
        <v>-</v>
      </c>
      <c r="F2080" s="85"/>
      <c r="G2080" s="85" t="s">
        <v>19</v>
      </c>
      <c r="H2080" s="85"/>
      <c r="I2080" s="85"/>
      <c r="J2080" s="87"/>
      <c r="K2080" s="88">
        <f t="shared" si="99"/>
        <v>0</v>
      </c>
      <c r="L2080" s="85"/>
    </row>
    <row r="2081" spans="1:12" x14ac:dyDescent="0.25">
      <c r="A2081" s="84" t="str">
        <f t="shared" si="97"/>
        <v>SelecioneSelecioneSelecione</v>
      </c>
      <c r="B2081" s="85" t="s">
        <v>19</v>
      </c>
      <c r="C2081" s="85" t="s">
        <v>19</v>
      </c>
      <c r="D2081" s="86"/>
      <c r="E2081" s="116" t="str">
        <f t="shared" si="98"/>
        <v>-</v>
      </c>
      <c r="F2081" s="85"/>
      <c r="G2081" s="85" t="s">
        <v>19</v>
      </c>
      <c r="H2081" s="85"/>
      <c r="I2081" s="85"/>
      <c r="J2081" s="87"/>
      <c r="K2081" s="88">
        <f t="shared" si="99"/>
        <v>0</v>
      </c>
      <c r="L2081" s="85"/>
    </row>
    <row r="2082" spans="1:12" x14ac:dyDescent="0.25">
      <c r="A2082" s="84" t="str">
        <f t="shared" si="97"/>
        <v>SelecioneSelecioneSelecione</v>
      </c>
      <c r="B2082" s="85" t="s">
        <v>19</v>
      </c>
      <c r="C2082" s="85" t="s">
        <v>19</v>
      </c>
      <c r="D2082" s="86"/>
      <c r="E2082" s="116" t="str">
        <f t="shared" si="98"/>
        <v>-</v>
      </c>
      <c r="F2082" s="85"/>
      <c r="G2082" s="85" t="s">
        <v>19</v>
      </c>
      <c r="H2082" s="85"/>
      <c r="I2082" s="85"/>
      <c r="J2082" s="87"/>
      <c r="K2082" s="88">
        <f t="shared" si="99"/>
        <v>0</v>
      </c>
      <c r="L2082" s="85"/>
    </row>
    <row r="2083" spans="1:12" x14ac:dyDescent="0.25">
      <c r="A2083" s="84" t="str">
        <f t="shared" si="97"/>
        <v>SelecioneSelecioneSelecione</v>
      </c>
      <c r="B2083" s="85" t="s">
        <v>19</v>
      </c>
      <c r="C2083" s="85" t="s">
        <v>19</v>
      </c>
      <c r="D2083" s="86"/>
      <c r="E2083" s="116" t="str">
        <f t="shared" si="98"/>
        <v>-</v>
      </c>
      <c r="F2083" s="85"/>
      <c r="G2083" s="85" t="s">
        <v>19</v>
      </c>
      <c r="H2083" s="85"/>
      <c r="I2083" s="85"/>
      <c r="J2083" s="87"/>
      <c r="K2083" s="88">
        <f t="shared" si="99"/>
        <v>0</v>
      </c>
      <c r="L2083" s="85"/>
    </row>
    <row r="2084" spans="1:12" x14ac:dyDescent="0.25">
      <c r="A2084" s="84" t="str">
        <f t="shared" si="97"/>
        <v>SelecioneSelecioneSelecione</v>
      </c>
      <c r="B2084" s="85" t="s">
        <v>19</v>
      </c>
      <c r="C2084" s="85" t="s">
        <v>19</v>
      </c>
      <c r="D2084" s="86"/>
      <c r="E2084" s="116" t="str">
        <f t="shared" si="98"/>
        <v>-</v>
      </c>
      <c r="F2084" s="85"/>
      <c r="G2084" s="85" t="s">
        <v>19</v>
      </c>
      <c r="H2084" s="85"/>
      <c r="I2084" s="85"/>
      <c r="J2084" s="87"/>
      <c r="K2084" s="88">
        <f t="shared" si="99"/>
        <v>0</v>
      </c>
      <c r="L2084" s="85"/>
    </row>
    <row r="2085" spans="1:12" x14ac:dyDescent="0.25">
      <c r="A2085" s="84" t="str">
        <f t="shared" si="97"/>
        <v>SelecioneSelecioneSelecione</v>
      </c>
      <c r="B2085" s="85" t="s">
        <v>19</v>
      </c>
      <c r="C2085" s="85" t="s">
        <v>19</v>
      </c>
      <c r="D2085" s="86"/>
      <c r="E2085" s="116" t="str">
        <f t="shared" si="98"/>
        <v>-</v>
      </c>
      <c r="F2085" s="85"/>
      <c r="G2085" s="85" t="s">
        <v>19</v>
      </c>
      <c r="H2085" s="85"/>
      <c r="I2085" s="85"/>
      <c r="J2085" s="87"/>
      <c r="K2085" s="88">
        <f t="shared" si="99"/>
        <v>0</v>
      </c>
      <c r="L2085" s="85"/>
    </row>
    <row r="2086" spans="1:12" x14ac:dyDescent="0.25">
      <c r="A2086" s="84" t="str">
        <f t="shared" si="97"/>
        <v>SelecioneSelecioneSelecione</v>
      </c>
      <c r="B2086" s="85" t="s">
        <v>19</v>
      </c>
      <c r="C2086" s="85" t="s">
        <v>19</v>
      </c>
      <c r="D2086" s="86"/>
      <c r="E2086" s="116" t="str">
        <f t="shared" si="98"/>
        <v>-</v>
      </c>
      <c r="F2086" s="85"/>
      <c r="G2086" s="85" t="s">
        <v>19</v>
      </c>
      <c r="H2086" s="85"/>
      <c r="I2086" s="85"/>
      <c r="J2086" s="87"/>
      <c r="K2086" s="88">
        <f t="shared" si="99"/>
        <v>0</v>
      </c>
      <c r="L2086" s="85"/>
    </row>
    <row r="2087" spans="1:12" x14ac:dyDescent="0.25">
      <c r="A2087" s="84" t="str">
        <f t="shared" si="97"/>
        <v>SelecioneSelecioneSelecione</v>
      </c>
      <c r="B2087" s="85" t="s">
        <v>19</v>
      </c>
      <c r="C2087" s="85" t="s">
        <v>19</v>
      </c>
      <c r="D2087" s="86"/>
      <c r="E2087" s="116" t="str">
        <f t="shared" si="98"/>
        <v>-</v>
      </c>
      <c r="F2087" s="85"/>
      <c r="G2087" s="85" t="s">
        <v>19</v>
      </c>
      <c r="H2087" s="85"/>
      <c r="I2087" s="85"/>
      <c r="J2087" s="87"/>
      <c r="K2087" s="88">
        <f t="shared" si="99"/>
        <v>0</v>
      </c>
      <c r="L2087" s="85"/>
    </row>
    <row r="2088" spans="1:12" x14ac:dyDescent="0.25">
      <c r="A2088" s="84" t="str">
        <f t="shared" si="97"/>
        <v>SelecioneSelecioneSelecione</v>
      </c>
      <c r="B2088" s="85" t="s">
        <v>19</v>
      </c>
      <c r="C2088" s="85" t="s">
        <v>19</v>
      </c>
      <c r="D2088" s="86"/>
      <c r="E2088" s="116" t="str">
        <f t="shared" si="98"/>
        <v>-</v>
      </c>
      <c r="F2088" s="85"/>
      <c r="G2088" s="85" t="s">
        <v>19</v>
      </c>
      <c r="H2088" s="85"/>
      <c r="I2088" s="85"/>
      <c r="J2088" s="87"/>
      <c r="K2088" s="88">
        <f t="shared" si="99"/>
        <v>0</v>
      </c>
      <c r="L2088" s="85"/>
    </row>
    <row r="2089" spans="1:12" x14ac:dyDescent="0.25">
      <c r="A2089" s="84" t="str">
        <f t="shared" si="97"/>
        <v>SelecioneSelecioneSelecione</v>
      </c>
      <c r="B2089" s="85" t="s">
        <v>19</v>
      </c>
      <c r="C2089" s="85" t="s">
        <v>19</v>
      </c>
      <c r="D2089" s="86"/>
      <c r="E2089" s="116" t="str">
        <f t="shared" si="98"/>
        <v>-</v>
      </c>
      <c r="F2089" s="85"/>
      <c r="G2089" s="85" t="s">
        <v>19</v>
      </c>
      <c r="H2089" s="85"/>
      <c r="I2089" s="85"/>
      <c r="J2089" s="87"/>
      <c r="K2089" s="88">
        <f t="shared" si="99"/>
        <v>0</v>
      </c>
      <c r="L2089" s="85"/>
    </row>
    <row r="2090" spans="1:12" x14ac:dyDescent="0.25">
      <c r="A2090" s="84" t="str">
        <f t="shared" si="97"/>
        <v>SelecioneSelecioneSelecione</v>
      </c>
      <c r="B2090" s="85" t="s">
        <v>19</v>
      </c>
      <c r="C2090" s="85" t="s">
        <v>19</v>
      </c>
      <c r="D2090" s="86"/>
      <c r="E2090" s="116" t="str">
        <f t="shared" si="98"/>
        <v>-</v>
      </c>
      <c r="F2090" s="85"/>
      <c r="G2090" s="85" t="s">
        <v>19</v>
      </c>
      <c r="H2090" s="85"/>
      <c r="I2090" s="85"/>
      <c r="J2090" s="87"/>
      <c r="K2090" s="88">
        <f t="shared" si="99"/>
        <v>0</v>
      </c>
      <c r="L2090" s="85"/>
    </row>
    <row r="2091" spans="1:12" x14ac:dyDescent="0.25">
      <c r="A2091" s="84" t="str">
        <f t="shared" si="97"/>
        <v>SelecioneSelecioneSelecione</v>
      </c>
      <c r="B2091" s="85" t="s">
        <v>19</v>
      </c>
      <c r="C2091" s="85" t="s">
        <v>19</v>
      </c>
      <c r="D2091" s="86"/>
      <c r="E2091" s="116" t="str">
        <f t="shared" si="98"/>
        <v>-</v>
      </c>
      <c r="F2091" s="85"/>
      <c r="G2091" s="85" t="s">
        <v>19</v>
      </c>
      <c r="H2091" s="85"/>
      <c r="I2091" s="85"/>
      <c r="J2091" s="87"/>
      <c r="K2091" s="88">
        <f t="shared" si="99"/>
        <v>0</v>
      </c>
      <c r="L2091" s="85"/>
    </row>
    <row r="2092" spans="1:12" x14ac:dyDescent="0.25">
      <c r="A2092" s="84" t="str">
        <f t="shared" si="97"/>
        <v>SelecioneSelecioneSelecione</v>
      </c>
      <c r="B2092" s="85" t="s">
        <v>19</v>
      </c>
      <c r="C2092" s="85" t="s">
        <v>19</v>
      </c>
      <c r="D2092" s="86"/>
      <c r="E2092" s="116" t="str">
        <f t="shared" si="98"/>
        <v>-</v>
      </c>
      <c r="F2092" s="85"/>
      <c r="G2092" s="85" t="s">
        <v>19</v>
      </c>
      <c r="H2092" s="85"/>
      <c r="I2092" s="85"/>
      <c r="J2092" s="87"/>
      <c r="K2092" s="88">
        <f t="shared" si="99"/>
        <v>0</v>
      </c>
      <c r="L2092" s="85"/>
    </row>
    <row r="2093" spans="1:12" x14ac:dyDescent="0.25">
      <c r="A2093" s="84" t="str">
        <f t="shared" si="97"/>
        <v>SelecioneSelecioneSelecione</v>
      </c>
      <c r="B2093" s="85" t="s">
        <v>19</v>
      </c>
      <c r="C2093" s="85" t="s">
        <v>19</v>
      </c>
      <c r="D2093" s="86"/>
      <c r="E2093" s="116" t="str">
        <f t="shared" si="98"/>
        <v>-</v>
      </c>
      <c r="F2093" s="85"/>
      <c r="G2093" s="85" t="s">
        <v>19</v>
      </c>
      <c r="H2093" s="85"/>
      <c r="I2093" s="85"/>
      <c r="J2093" s="87"/>
      <c r="K2093" s="88">
        <f t="shared" si="99"/>
        <v>0</v>
      </c>
      <c r="L2093" s="85"/>
    </row>
    <row r="2094" spans="1:12" x14ac:dyDescent="0.25">
      <c r="A2094" s="84" t="str">
        <f t="shared" si="97"/>
        <v>SelecioneSelecioneSelecione</v>
      </c>
      <c r="B2094" s="85" t="s">
        <v>19</v>
      </c>
      <c r="C2094" s="85" t="s">
        <v>19</v>
      </c>
      <c r="D2094" s="86"/>
      <c r="E2094" s="116" t="str">
        <f t="shared" si="98"/>
        <v>-</v>
      </c>
      <c r="F2094" s="85"/>
      <c r="G2094" s="85" t="s">
        <v>19</v>
      </c>
      <c r="H2094" s="85"/>
      <c r="I2094" s="85"/>
      <c r="J2094" s="87"/>
      <c r="K2094" s="88">
        <f t="shared" si="99"/>
        <v>0</v>
      </c>
      <c r="L2094" s="85"/>
    </row>
    <row r="2095" spans="1:12" x14ac:dyDescent="0.25">
      <c r="A2095" s="84" t="str">
        <f t="shared" si="97"/>
        <v>SelecioneSelecioneSelecione</v>
      </c>
      <c r="B2095" s="85" t="s">
        <v>19</v>
      </c>
      <c r="C2095" s="85" t="s">
        <v>19</v>
      </c>
      <c r="D2095" s="86"/>
      <c r="E2095" s="116" t="str">
        <f t="shared" si="98"/>
        <v>-</v>
      </c>
      <c r="F2095" s="85"/>
      <c r="G2095" s="85" t="s">
        <v>19</v>
      </c>
      <c r="H2095" s="85"/>
      <c r="I2095" s="85"/>
      <c r="J2095" s="87"/>
      <c r="K2095" s="88">
        <f t="shared" si="99"/>
        <v>0</v>
      </c>
      <c r="L2095" s="85"/>
    </row>
    <row r="2096" spans="1:12" x14ac:dyDescent="0.25">
      <c r="A2096" s="84" t="str">
        <f t="shared" si="97"/>
        <v>SelecioneSelecioneSelecione</v>
      </c>
      <c r="B2096" s="85" t="s">
        <v>19</v>
      </c>
      <c r="C2096" s="85" t="s">
        <v>19</v>
      </c>
      <c r="D2096" s="86"/>
      <c r="E2096" s="116" t="str">
        <f t="shared" si="98"/>
        <v>-</v>
      </c>
      <c r="F2096" s="85"/>
      <c r="G2096" s="85" t="s">
        <v>19</v>
      </c>
      <c r="H2096" s="85"/>
      <c r="I2096" s="85"/>
      <c r="J2096" s="87"/>
      <c r="K2096" s="88">
        <f t="shared" si="99"/>
        <v>0</v>
      </c>
      <c r="L2096" s="85"/>
    </row>
    <row r="2097" spans="1:12" x14ac:dyDescent="0.25">
      <c r="A2097" s="84" t="str">
        <f t="shared" si="97"/>
        <v>SelecioneSelecioneSelecione</v>
      </c>
      <c r="B2097" s="85" t="s">
        <v>19</v>
      </c>
      <c r="C2097" s="85" t="s">
        <v>19</v>
      </c>
      <c r="D2097" s="86"/>
      <c r="E2097" s="116" t="str">
        <f t="shared" si="98"/>
        <v>-</v>
      </c>
      <c r="F2097" s="85"/>
      <c r="G2097" s="85" t="s">
        <v>19</v>
      </c>
      <c r="H2097" s="85"/>
      <c r="I2097" s="85"/>
      <c r="J2097" s="87"/>
      <c r="K2097" s="88">
        <f t="shared" si="99"/>
        <v>0</v>
      </c>
      <c r="L2097" s="85"/>
    </row>
    <row r="2098" spans="1:12" x14ac:dyDescent="0.25">
      <c r="A2098" s="84" t="str">
        <f t="shared" si="97"/>
        <v>SelecioneSelecioneSelecione</v>
      </c>
      <c r="B2098" s="85" t="s">
        <v>19</v>
      </c>
      <c r="C2098" s="85" t="s">
        <v>19</v>
      </c>
      <c r="D2098" s="86"/>
      <c r="E2098" s="116" t="str">
        <f t="shared" si="98"/>
        <v>-</v>
      </c>
      <c r="F2098" s="85"/>
      <c r="G2098" s="85" t="s">
        <v>19</v>
      </c>
      <c r="H2098" s="85"/>
      <c r="I2098" s="85"/>
      <c r="J2098" s="87"/>
      <c r="K2098" s="88">
        <f t="shared" si="99"/>
        <v>0</v>
      </c>
      <c r="L2098" s="85"/>
    </row>
    <row r="2099" spans="1:12" x14ac:dyDescent="0.25">
      <c r="A2099" s="84" t="str">
        <f t="shared" si="97"/>
        <v>SelecioneSelecioneSelecione</v>
      </c>
      <c r="B2099" s="85" t="s">
        <v>19</v>
      </c>
      <c r="C2099" s="85" t="s">
        <v>19</v>
      </c>
      <c r="D2099" s="86"/>
      <c r="E2099" s="116" t="str">
        <f t="shared" si="98"/>
        <v>-</v>
      </c>
      <c r="F2099" s="85"/>
      <c r="G2099" s="85" t="s">
        <v>19</v>
      </c>
      <c r="H2099" s="85"/>
      <c r="I2099" s="85"/>
      <c r="J2099" s="87"/>
      <c r="K2099" s="88">
        <f t="shared" si="99"/>
        <v>0</v>
      </c>
      <c r="L2099" s="85"/>
    </row>
    <row r="2100" spans="1:12" x14ac:dyDescent="0.25">
      <c r="A2100" s="84" t="str">
        <f t="shared" si="97"/>
        <v>SelecioneSelecioneSelecione</v>
      </c>
      <c r="B2100" s="85" t="s">
        <v>19</v>
      </c>
      <c r="C2100" s="85" t="s">
        <v>19</v>
      </c>
      <c r="D2100" s="86"/>
      <c r="E2100" s="116" t="str">
        <f t="shared" si="98"/>
        <v>-</v>
      </c>
      <c r="F2100" s="85"/>
      <c r="G2100" s="85" t="s">
        <v>19</v>
      </c>
      <c r="H2100" s="85"/>
      <c r="I2100" s="85"/>
      <c r="J2100" s="87"/>
      <c r="K2100" s="88">
        <f t="shared" si="99"/>
        <v>0</v>
      </c>
      <c r="L2100" s="85"/>
    </row>
    <row r="2101" spans="1:12" x14ac:dyDescent="0.25">
      <c r="A2101" s="84" t="str">
        <f t="shared" si="97"/>
        <v>SelecioneSelecioneSelecione</v>
      </c>
      <c r="B2101" s="85" t="s">
        <v>19</v>
      </c>
      <c r="C2101" s="85" t="s">
        <v>19</v>
      </c>
      <c r="D2101" s="86"/>
      <c r="E2101" s="116" t="str">
        <f t="shared" si="98"/>
        <v>-</v>
      </c>
      <c r="F2101" s="85"/>
      <c r="G2101" s="85" t="s">
        <v>19</v>
      </c>
      <c r="H2101" s="85"/>
      <c r="I2101" s="85"/>
      <c r="J2101" s="87"/>
      <c r="K2101" s="88">
        <f t="shared" si="99"/>
        <v>0</v>
      </c>
      <c r="L2101" s="85"/>
    </row>
    <row r="2102" spans="1:12" x14ac:dyDescent="0.25">
      <c r="A2102" s="84" t="str">
        <f t="shared" si="97"/>
        <v>SelecioneSelecioneSelecione</v>
      </c>
      <c r="B2102" s="85" t="s">
        <v>19</v>
      </c>
      <c r="C2102" s="85" t="s">
        <v>19</v>
      </c>
      <c r="D2102" s="86"/>
      <c r="E2102" s="116" t="str">
        <f t="shared" si="98"/>
        <v>-</v>
      </c>
      <c r="F2102" s="85"/>
      <c r="G2102" s="85" t="s">
        <v>19</v>
      </c>
      <c r="H2102" s="85"/>
      <c r="I2102" s="85"/>
      <c r="J2102" s="87"/>
      <c r="K2102" s="88">
        <f t="shared" si="99"/>
        <v>0</v>
      </c>
      <c r="L2102" s="85"/>
    </row>
    <row r="2103" spans="1:12" x14ac:dyDescent="0.25">
      <c r="A2103" s="84" t="str">
        <f t="shared" si="97"/>
        <v>SelecioneSelecioneSelecione</v>
      </c>
      <c r="B2103" s="85" t="s">
        <v>19</v>
      </c>
      <c r="C2103" s="85" t="s">
        <v>19</v>
      </c>
      <c r="D2103" s="86"/>
      <c r="E2103" s="116" t="str">
        <f t="shared" si="98"/>
        <v>-</v>
      </c>
      <c r="F2103" s="85"/>
      <c r="G2103" s="85" t="s">
        <v>19</v>
      </c>
      <c r="H2103" s="85"/>
      <c r="I2103" s="85"/>
      <c r="J2103" s="87"/>
      <c r="K2103" s="88">
        <f t="shared" si="99"/>
        <v>0</v>
      </c>
      <c r="L2103" s="85"/>
    </row>
    <row r="2104" spans="1:12" x14ac:dyDescent="0.25">
      <c r="A2104" s="84" t="str">
        <f t="shared" si="97"/>
        <v>SelecioneSelecioneSelecione</v>
      </c>
      <c r="B2104" s="85" t="s">
        <v>19</v>
      </c>
      <c r="C2104" s="85" t="s">
        <v>19</v>
      </c>
      <c r="D2104" s="86"/>
      <c r="E2104" s="116" t="str">
        <f t="shared" si="98"/>
        <v>-</v>
      </c>
      <c r="F2104" s="85"/>
      <c r="G2104" s="85" t="s">
        <v>19</v>
      </c>
      <c r="H2104" s="85"/>
      <c r="I2104" s="85"/>
      <c r="J2104" s="87"/>
      <c r="K2104" s="88">
        <f t="shared" si="99"/>
        <v>0</v>
      </c>
      <c r="L2104" s="85"/>
    </row>
    <row r="2105" spans="1:12" x14ac:dyDescent="0.25">
      <c r="A2105" s="84" t="str">
        <f t="shared" si="97"/>
        <v>SelecioneSelecioneSelecione</v>
      </c>
      <c r="B2105" s="85" t="s">
        <v>19</v>
      </c>
      <c r="C2105" s="85" t="s">
        <v>19</v>
      </c>
      <c r="D2105" s="86"/>
      <c r="E2105" s="116" t="str">
        <f t="shared" si="98"/>
        <v>-</v>
      </c>
      <c r="F2105" s="85"/>
      <c r="G2105" s="85" t="s">
        <v>19</v>
      </c>
      <c r="H2105" s="85"/>
      <c r="I2105" s="85"/>
      <c r="J2105" s="87"/>
      <c r="K2105" s="88">
        <f t="shared" si="99"/>
        <v>0</v>
      </c>
      <c r="L2105" s="85"/>
    </row>
    <row r="2106" spans="1:12" x14ac:dyDescent="0.25">
      <c r="A2106" s="84" t="str">
        <f t="shared" si="97"/>
        <v>SelecioneSelecioneSelecione</v>
      </c>
      <c r="B2106" s="85" t="s">
        <v>19</v>
      </c>
      <c r="C2106" s="85" t="s">
        <v>19</v>
      </c>
      <c r="D2106" s="86"/>
      <c r="E2106" s="116" t="str">
        <f t="shared" si="98"/>
        <v>-</v>
      </c>
      <c r="F2106" s="85"/>
      <c r="G2106" s="85" t="s">
        <v>19</v>
      </c>
      <c r="H2106" s="85"/>
      <c r="I2106" s="85"/>
      <c r="J2106" s="87"/>
      <c r="K2106" s="88">
        <f t="shared" si="99"/>
        <v>0</v>
      </c>
      <c r="L2106" s="85"/>
    </row>
    <row r="2107" spans="1:12" x14ac:dyDescent="0.25">
      <c r="A2107" s="84" t="str">
        <f t="shared" si="97"/>
        <v>SelecioneSelecioneSelecione</v>
      </c>
      <c r="B2107" s="85" t="s">
        <v>19</v>
      </c>
      <c r="C2107" s="85" t="s">
        <v>19</v>
      </c>
      <c r="D2107" s="86"/>
      <c r="E2107" s="116" t="str">
        <f t="shared" si="98"/>
        <v>-</v>
      </c>
      <c r="F2107" s="85"/>
      <c r="G2107" s="85" t="s">
        <v>19</v>
      </c>
      <c r="H2107" s="85"/>
      <c r="I2107" s="85"/>
      <c r="J2107" s="87"/>
      <c r="K2107" s="88">
        <f t="shared" si="99"/>
        <v>0</v>
      </c>
      <c r="L2107" s="85"/>
    </row>
    <row r="2108" spans="1:12" x14ac:dyDescent="0.25">
      <c r="A2108" s="84" t="str">
        <f t="shared" si="97"/>
        <v>SelecioneSelecioneSelecione</v>
      </c>
      <c r="B2108" s="85" t="s">
        <v>19</v>
      </c>
      <c r="C2108" s="85" t="s">
        <v>19</v>
      </c>
      <c r="D2108" s="86"/>
      <c r="E2108" s="116" t="str">
        <f t="shared" si="98"/>
        <v>-</v>
      </c>
      <c r="F2108" s="85"/>
      <c r="G2108" s="85" t="s">
        <v>19</v>
      </c>
      <c r="H2108" s="85"/>
      <c r="I2108" s="85"/>
      <c r="J2108" s="87"/>
      <c r="K2108" s="88">
        <f t="shared" si="99"/>
        <v>0</v>
      </c>
      <c r="L2108" s="85"/>
    </row>
    <row r="2109" spans="1:12" x14ac:dyDescent="0.25">
      <c r="A2109" s="84" t="str">
        <f t="shared" si="97"/>
        <v>SelecioneSelecioneSelecione</v>
      </c>
      <c r="B2109" s="85" t="s">
        <v>19</v>
      </c>
      <c r="C2109" s="85" t="s">
        <v>19</v>
      </c>
      <c r="D2109" s="86"/>
      <c r="E2109" s="116" t="str">
        <f t="shared" si="98"/>
        <v>-</v>
      </c>
      <c r="F2109" s="85"/>
      <c r="G2109" s="85" t="s">
        <v>19</v>
      </c>
      <c r="H2109" s="85"/>
      <c r="I2109" s="85"/>
      <c r="J2109" s="87"/>
      <c r="K2109" s="88">
        <f t="shared" si="99"/>
        <v>0</v>
      </c>
      <c r="L2109" s="85"/>
    </row>
    <row r="2110" spans="1:12" x14ac:dyDescent="0.25">
      <c r="A2110" s="84" t="str">
        <f t="shared" si="97"/>
        <v>SelecioneSelecioneSelecione</v>
      </c>
      <c r="B2110" s="85" t="s">
        <v>19</v>
      </c>
      <c r="C2110" s="85" t="s">
        <v>19</v>
      </c>
      <c r="D2110" s="86"/>
      <c r="E2110" s="116" t="str">
        <f t="shared" si="98"/>
        <v>-</v>
      </c>
      <c r="F2110" s="85"/>
      <c r="G2110" s="85" t="s">
        <v>19</v>
      </c>
      <c r="H2110" s="85"/>
      <c r="I2110" s="85"/>
      <c r="J2110" s="87"/>
      <c r="K2110" s="88">
        <f t="shared" si="99"/>
        <v>0</v>
      </c>
      <c r="L2110" s="85"/>
    </row>
    <row r="2111" spans="1:12" x14ac:dyDescent="0.25">
      <c r="A2111" s="84" t="str">
        <f t="shared" si="97"/>
        <v>SelecioneSelecioneSelecione</v>
      </c>
      <c r="B2111" s="85" t="s">
        <v>19</v>
      </c>
      <c r="C2111" s="85" t="s">
        <v>19</v>
      </c>
      <c r="D2111" s="93"/>
      <c r="E2111" s="116" t="str">
        <f t="shared" si="98"/>
        <v>-</v>
      </c>
      <c r="F2111" s="90"/>
      <c r="G2111" s="85" t="s">
        <v>19</v>
      </c>
      <c r="H2111" s="85"/>
      <c r="I2111" s="90"/>
      <c r="J2111" s="89"/>
      <c r="K2111" s="88">
        <f t="shared" si="99"/>
        <v>0</v>
      </c>
      <c r="L2111" s="90"/>
    </row>
    <row r="2112" spans="1:12" x14ac:dyDescent="0.25">
      <c r="A2112" s="84" t="str">
        <f t="shared" si="97"/>
        <v>SelecioneSelecioneSelecione</v>
      </c>
      <c r="B2112" s="85" t="s">
        <v>19</v>
      </c>
      <c r="C2112" s="85" t="s">
        <v>19</v>
      </c>
      <c r="D2112" s="86"/>
      <c r="E2112" s="116" t="str">
        <f t="shared" si="98"/>
        <v>-</v>
      </c>
      <c r="F2112" s="85"/>
      <c r="G2112" s="85" t="s">
        <v>19</v>
      </c>
      <c r="H2112" s="85"/>
      <c r="I2112" s="85"/>
      <c r="J2112" s="87"/>
      <c r="K2112" s="88">
        <f t="shared" si="99"/>
        <v>0</v>
      </c>
      <c r="L2112" s="85"/>
    </row>
    <row r="2113" spans="1:12" x14ac:dyDescent="0.25">
      <c r="A2113" s="84" t="str">
        <f t="shared" si="97"/>
        <v>SelecioneSelecioneSelecione</v>
      </c>
      <c r="B2113" s="85" t="s">
        <v>19</v>
      </c>
      <c r="C2113" s="85" t="s">
        <v>19</v>
      </c>
      <c r="D2113" s="86"/>
      <c r="E2113" s="116" t="str">
        <f t="shared" si="98"/>
        <v>-</v>
      </c>
      <c r="F2113" s="85"/>
      <c r="G2113" s="85" t="s">
        <v>19</v>
      </c>
      <c r="H2113" s="85"/>
      <c r="I2113" s="85"/>
      <c r="J2113" s="87"/>
      <c r="K2113" s="88">
        <f t="shared" si="99"/>
        <v>0</v>
      </c>
      <c r="L2113" s="85"/>
    </row>
    <row r="2114" spans="1:12" x14ac:dyDescent="0.25">
      <c r="A2114" s="84" t="str">
        <f t="shared" ref="A2114:A2177" si="100">CONCATENATE(B2114,C2114,G2114)</f>
        <v>SelecioneSelecioneSelecione</v>
      </c>
      <c r="B2114" s="85" t="s">
        <v>19</v>
      </c>
      <c r="C2114" s="85" t="s">
        <v>19</v>
      </c>
      <c r="D2114" s="86"/>
      <c r="E2114" s="116" t="str">
        <f t="shared" ref="E2114:E2177" si="101">VLOOKUP(G2114,$M$1:$O$968,3,0)</f>
        <v>-</v>
      </c>
      <c r="F2114" s="85"/>
      <c r="G2114" s="85" t="s">
        <v>19</v>
      </c>
      <c r="H2114" s="85"/>
      <c r="I2114" s="85"/>
      <c r="J2114" s="87"/>
      <c r="K2114" s="88">
        <f t="shared" ref="K2114:K2177" si="102">I2114*J2114</f>
        <v>0</v>
      </c>
      <c r="L2114" s="85"/>
    </row>
    <row r="2115" spans="1:12" x14ac:dyDescent="0.25">
      <c r="A2115" s="84" t="str">
        <f t="shared" si="100"/>
        <v>SelecioneSelecioneSelecione</v>
      </c>
      <c r="B2115" s="85" t="s">
        <v>19</v>
      </c>
      <c r="C2115" s="85" t="s">
        <v>19</v>
      </c>
      <c r="D2115" s="86"/>
      <c r="E2115" s="116" t="str">
        <f t="shared" si="101"/>
        <v>-</v>
      </c>
      <c r="F2115" s="85"/>
      <c r="G2115" s="85" t="s">
        <v>19</v>
      </c>
      <c r="H2115" s="85"/>
      <c r="I2115" s="85"/>
      <c r="J2115" s="87"/>
      <c r="K2115" s="88">
        <f t="shared" si="102"/>
        <v>0</v>
      </c>
      <c r="L2115" s="85"/>
    </row>
    <row r="2116" spans="1:12" x14ac:dyDescent="0.25">
      <c r="A2116" s="84" t="str">
        <f t="shared" si="100"/>
        <v>SelecioneSelecioneSelecione</v>
      </c>
      <c r="B2116" s="85" t="s">
        <v>19</v>
      </c>
      <c r="C2116" s="85" t="s">
        <v>19</v>
      </c>
      <c r="D2116" s="86"/>
      <c r="E2116" s="116" t="str">
        <f t="shared" si="101"/>
        <v>-</v>
      </c>
      <c r="F2116" s="85"/>
      <c r="G2116" s="85" t="s">
        <v>19</v>
      </c>
      <c r="H2116" s="85"/>
      <c r="I2116" s="85"/>
      <c r="J2116" s="87"/>
      <c r="K2116" s="88">
        <f t="shared" si="102"/>
        <v>0</v>
      </c>
      <c r="L2116" s="85"/>
    </row>
    <row r="2117" spans="1:12" x14ac:dyDescent="0.25">
      <c r="A2117" s="84" t="str">
        <f t="shared" si="100"/>
        <v>SelecioneSelecioneSelecione</v>
      </c>
      <c r="B2117" s="85" t="s">
        <v>19</v>
      </c>
      <c r="C2117" s="85" t="s">
        <v>19</v>
      </c>
      <c r="D2117" s="86"/>
      <c r="E2117" s="116" t="str">
        <f t="shared" si="101"/>
        <v>-</v>
      </c>
      <c r="F2117" s="85"/>
      <c r="G2117" s="85" t="s">
        <v>19</v>
      </c>
      <c r="H2117" s="85"/>
      <c r="I2117" s="85"/>
      <c r="J2117" s="87"/>
      <c r="K2117" s="88">
        <f t="shared" si="102"/>
        <v>0</v>
      </c>
      <c r="L2117" s="85"/>
    </row>
    <row r="2118" spans="1:12" x14ac:dyDescent="0.25">
      <c r="A2118" s="84" t="str">
        <f t="shared" si="100"/>
        <v>SelecioneSelecioneSelecione</v>
      </c>
      <c r="B2118" s="85" t="s">
        <v>19</v>
      </c>
      <c r="C2118" s="85" t="s">
        <v>19</v>
      </c>
      <c r="D2118" s="86"/>
      <c r="E2118" s="116" t="str">
        <f t="shared" si="101"/>
        <v>-</v>
      </c>
      <c r="F2118" s="85"/>
      <c r="G2118" s="85" t="s">
        <v>19</v>
      </c>
      <c r="H2118" s="85"/>
      <c r="I2118" s="85"/>
      <c r="J2118" s="87"/>
      <c r="K2118" s="88">
        <f t="shared" si="102"/>
        <v>0</v>
      </c>
      <c r="L2118" s="85"/>
    </row>
    <row r="2119" spans="1:12" x14ac:dyDescent="0.25">
      <c r="A2119" s="84" t="str">
        <f t="shared" si="100"/>
        <v>SelecioneSelecioneSelecione</v>
      </c>
      <c r="B2119" s="85" t="s">
        <v>19</v>
      </c>
      <c r="C2119" s="85" t="s">
        <v>19</v>
      </c>
      <c r="D2119" s="86"/>
      <c r="E2119" s="116" t="str">
        <f t="shared" si="101"/>
        <v>-</v>
      </c>
      <c r="F2119" s="85"/>
      <c r="G2119" s="85" t="s">
        <v>19</v>
      </c>
      <c r="H2119" s="85"/>
      <c r="I2119" s="85"/>
      <c r="J2119" s="87"/>
      <c r="K2119" s="88">
        <f t="shared" si="102"/>
        <v>0</v>
      </c>
      <c r="L2119" s="85"/>
    </row>
    <row r="2120" spans="1:12" x14ac:dyDescent="0.25">
      <c r="A2120" s="84" t="str">
        <f t="shared" si="100"/>
        <v>SelecioneSelecioneSelecione</v>
      </c>
      <c r="B2120" s="85" t="s">
        <v>19</v>
      </c>
      <c r="C2120" s="85" t="s">
        <v>19</v>
      </c>
      <c r="D2120" s="86"/>
      <c r="E2120" s="116" t="str">
        <f t="shared" si="101"/>
        <v>-</v>
      </c>
      <c r="F2120" s="85"/>
      <c r="G2120" s="85" t="s">
        <v>19</v>
      </c>
      <c r="H2120" s="85"/>
      <c r="I2120" s="85"/>
      <c r="J2120" s="87"/>
      <c r="K2120" s="88">
        <f t="shared" si="102"/>
        <v>0</v>
      </c>
      <c r="L2120" s="85"/>
    </row>
    <row r="2121" spans="1:12" x14ac:dyDescent="0.25">
      <c r="A2121" s="84" t="str">
        <f t="shared" si="100"/>
        <v>SelecioneSelecioneSelecione</v>
      </c>
      <c r="B2121" s="85" t="s">
        <v>19</v>
      </c>
      <c r="C2121" s="85" t="s">
        <v>19</v>
      </c>
      <c r="D2121" s="86"/>
      <c r="E2121" s="116" t="str">
        <f t="shared" si="101"/>
        <v>-</v>
      </c>
      <c r="F2121" s="85"/>
      <c r="G2121" s="85" t="s">
        <v>19</v>
      </c>
      <c r="H2121" s="85"/>
      <c r="I2121" s="85"/>
      <c r="J2121" s="87"/>
      <c r="K2121" s="88">
        <f t="shared" si="102"/>
        <v>0</v>
      </c>
      <c r="L2121" s="85"/>
    </row>
    <row r="2122" spans="1:12" x14ac:dyDescent="0.25">
      <c r="A2122" s="84" t="str">
        <f t="shared" si="100"/>
        <v>SelecioneSelecioneSelecione</v>
      </c>
      <c r="B2122" s="85" t="s">
        <v>19</v>
      </c>
      <c r="C2122" s="85" t="s">
        <v>19</v>
      </c>
      <c r="D2122" s="86"/>
      <c r="E2122" s="116" t="str">
        <f t="shared" si="101"/>
        <v>-</v>
      </c>
      <c r="F2122" s="85"/>
      <c r="G2122" s="85" t="s">
        <v>19</v>
      </c>
      <c r="H2122" s="85"/>
      <c r="I2122" s="85"/>
      <c r="J2122" s="87"/>
      <c r="K2122" s="88">
        <f t="shared" si="102"/>
        <v>0</v>
      </c>
      <c r="L2122" s="85"/>
    </row>
    <row r="2123" spans="1:12" x14ac:dyDescent="0.25">
      <c r="A2123" s="84" t="str">
        <f t="shared" si="100"/>
        <v>SelecioneSelecioneSelecione</v>
      </c>
      <c r="B2123" s="85" t="s">
        <v>19</v>
      </c>
      <c r="C2123" s="85" t="s">
        <v>19</v>
      </c>
      <c r="D2123" s="86"/>
      <c r="E2123" s="116" t="str">
        <f t="shared" si="101"/>
        <v>-</v>
      </c>
      <c r="F2123" s="85"/>
      <c r="G2123" s="85" t="s">
        <v>19</v>
      </c>
      <c r="H2123" s="85"/>
      <c r="I2123" s="85"/>
      <c r="J2123" s="87"/>
      <c r="K2123" s="88">
        <f t="shared" si="102"/>
        <v>0</v>
      </c>
      <c r="L2123" s="85"/>
    </row>
    <row r="2124" spans="1:12" x14ac:dyDescent="0.25">
      <c r="A2124" s="84" t="str">
        <f t="shared" si="100"/>
        <v>SelecioneSelecioneSelecione</v>
      </c>
      <c r="B2124" s="85" t="s">
        <v>19</v>
      </c>
      <c r="C2124" s="85" t="s">
        <v>19</v>
      </c>
      <c r="D2124" s="86"/>
      <c r="E2124" s="116" t="str">
        <f t="shared" si="101"/>
        <v>-</v>
      </c>
      <c r="F2124" s="85"/>
      <c r="G2124" s="85" t="s">
        <v>19</v>
      </c>
      <c r="H2124" s="85"/>
      <c r="I2124" s="85"/>
      <c r="J2124" s="87"/>
      <c r="K2124" s="88">
        <f t="shared" si="102"/>
        <v>0</v>
      </c>
      <c r="L2124" s="85"/>
    </row>
    <row r="2125" spans="1:12" x14ac:dyDescent="0.25">
      <c r="A2125" s="84" t="str">
        <f t="shared" si="100"/>
        <v>SelecioneSelecioneSelecione</v>
      </c>
      <c r="B2125" s="85" t="s">
        <v>19</v>
      </c>
      <c r="C2125" s="85" t="s">
        <v>19</v>
      </c>
      <c r="D2125" s="86"/>
      <c r="E2125" s="116" t="str">
        <f t="shared" si="101"/>
        <v>-</v>
      </c>
      <c r="F2125" s="85"/>
      <c r="G2125" s="85" t="s">
        <v>19</v>
      </c>
      <c r="H2125" s="85"/>
      <c r="I2125" s="85"/>
      <c r="J2125" s="87"/>
      <c r="K2125" s="88">
        <f t="shared" si="102"/>
        <v>0</v>
      </c>
      <c r="L2125" s="85"/>
    </row>
    <row r="2126" spans="1:12" x14ac:dyDescent="0.25">
      <c r="A2126" s="84" t="str">
        <f t="shared" si="100"/>
        <v>SelecioneSelecioneSelecione</v>
      </c>
      <c r="B2126" s="85" t="s">
        <v>19</v>
      </c>
      <c r="C2126" s="85" t="s">
        <v>19</v>
      </c>
      <c r="D2126" s="86"/>
      <c r="E2126" s="116" t="str">
        <f t="shared" si="101"/>
        <v>-</v>
      </c>
      <c r="F2126" s="85"/>
      <c r="G2126" s="85" t="s">
        <v>19</v>
      </c>
      <c r="H2126" s="85"/>
      <c r="I2126" s="85"/>
      <c r="J2126" s="87"/>
      <c r="K2126" s="88">
        <f t="shared" si="102"/>
        <v>0</v>
      </c>
      <c r="L2126" s="85"/>
    </row>
    <row r="2127" spans="1:12" x14ac:dyDescent="0.25">
      <c r="A2127" s="84" t="str">
        <f t="shared" si="100"/>
        <v>SelecioneSelecioneSelecione</v>
      </c>
      <c r="B2127" s="85" t="s">
        <v>19</v>
      </c>
      <c r="C2127" s="85" t="s">
        <v>19</v>
      </c>
      <c r="D2127" s="86"/>
      <c r="E2127" s="116" t="str">
        <f t="shared" si="101"/>
        <v>-</v>
      </c>
      <c r="F2127" s="85"/>
      <c r="G2127" s="85" t="s">
        <v>19</v>
      </c>
      <c r="H2127" s="85"/>
      <c r="I2127" s="85"/>
      <c r="J2127" s="87"/>
      <c r="K2127" s="88">
        <f t="shared" si="102"/>
        <v>0</v>
      </c>
      <c r="L2127" s="85"/>
    </row>
    <row r="2128" spans="1:12" x14ac:dyDescent="0.25">
      <c r="A2128" s="84" t="str">
        <f t="shared" si="100"/>
        <v>SelecioneSelecioneSelecione</v>
      </c>
      <c r="B2128" s="85" t="s">
        <v>19</v>
      </c>
      <c r="C2128" s="85" t="s">
        <v>19</v>
      </c>
      <c r="D2128" s="86"/>
      <c r="E2128" s="116" t="str">
        <f t="shared" si="101"/>
        <v>-</v>
      </c>
      <c r="F2128" s="85"/>
      <c r="G2128" s="85" t="s">
        <v>19</v>
      </c>
      <c r="H2128" s="85"/>
      <c r="I2128" s="85"/>
      <c r="J2128" s="87"/>
      <c r="K2128" s="88">
        <f t="shared" si="102"/>
        <v>0</v>
      </c>
      <c r="L2128" s="85"/>
    </row>
    <row r="2129" spans="1:12" x14ac:dyDescent="0.25">
      <c r="A2129" s="84" t="str">
        <f t="shared" si="100"/>
        <v>SelecioneSelecioneSelecione</v>
      </c>
      <c r="B2129" s="85" t="s">
        <v>19</v>
      </c>
      <c r="C2129" s="85" t="s">
        <v>19</v>
      </c>
      <c r="D2129" s="86"/>
      <c r="E2129" s="116" t="str">
        <f t="shared" si="101"/>
        <v>-</v>
      </c>
      <c r="F2129" s="85"/>
      <c r="G2129" s="85" t="s">
        <v>19</v>
      </c>
      <c r="H2129" s="85"/>
      <c r="I2129" s="85"/>
      <c r="J2129" s="87"/>
      <c r="K2129" s="88">
        <f t="shared" si="102"/>
        <v>0</v>
      </c>
      <c r="L2129" s="85"/>
    </row>
    <row r="2130" spans="1:12" x14ac:dyDescent="0.25">
      <c r="A2130" s="84" t="str">
        <f t="shared" si="100"/>
        <v>SelecioneSelecioneSelecione</v>
      </c>
      <c r="B2130" s="85" t="s">
        <v>19</v>
      </c>
      <c r="C2130" s="85" t="s">
        <v>19</v>
      </c>
      <c r="D2130" s="86"/>
      <c r="E2130" s="116" t="str">
        <f t="shared" si="101"/>
        <v>-</v>
      </c>
      <c r="F2130" s="85"/>
      <c r="G2130" s="85" t="s">
        <v>19</v>
      </c>
      <c r="H2130" s="85"/>
      <c r="I2130" s="85"/>
      <c r="J2130" s="87"/>
      <c r="K2130" s="88">
        <f t="shared" si="102"/>
        <v>0</v>
      </c>
      <c r="L2130" s="85"/>
    </row>
    <row r="2131" spans="1:12" x14ac:dyDescent="0.25">
      <c r="A2131" s="84" t="str">
        <f t="shared" si="100"/>
        <v>SelecioneSelecioneSelecione</v>
      </c>
      <c r="B2131" s="85" t="s">
        <v>19</v>
      </c>
      <c r="C2131" s="85" t="s">
        <v>19</v>
      </c>
      <c r="D2131" s="86"/>
      <c r="E2131" s="116" t="str">
        <f t="shared" si="101"/>
        <v>-</v>
      </c>
      <c r="F2131" s="85"/>
      <c r="G2131" s="85" t="s">
        <v>19</v>
      </c>
      <c r="H2131" s="85"/>
      <c r="I2131" s="85"/>
      <c r="J2131" s="87"/>
      <c r="K2131" s="88">
        <f t="shared" si="102"/>
        <v>0</v>
      </c>
      <c r="L2131" s="85"/>
    </row>
    <row r="2132" spans="1:12" x14ac:dyDescent="0.25">
      <c r="A2132" s="84" t="str">
        <f t="shared" si="100"/>
        <v>SelecioneSelecioneSelecione</v>
      </c>
      <c r="B2132" s="85" t="s">
        <v>19</v>
      </c>
      <c r="C2132" s="85" t="s">
        <v>19</v>
      </c>
      <c r="D2132" s="86"/>
      <c r="E2132" s="116" t="str">
        <f t="shared" si="101"/>
        <v>-</v>
      </c>
      <c r="F2132" s="85"/>
      <c r="G2132" s="85" t="s">
        <v>19</v>
      </c>
      <c r="H2132" s="85"/>
      <c r="I2132" s="85"/>
      <c r="J2132" s="87"/>
      <c r="K2132" s="88">
        <f t="shared" si="102"/>
        <v>0</v>
      </c>
      <c r="L2132" s="85"/>
    </row>
    <row r="2133" spans="1:12" x14ac:dyDescent="0.25">
      <c r="A2133" s="84" t="str">
        <f t="shared" si="100"/>
        <v>SelecioneSelecioneSelecione</v>
      </c>
      <c r="B2133" s="85" t="s">
        <v>19</v>
      </c>
      <c r="C2133" s="85" t="s">
        <v>19</v>
      </c>
      <c r="D2133" s="86"/>
      <c r="E2133" s="116" t="str">
        <f t="shared" si="101"/>
        <v>-</v>
      </c>
      <c r="F2133" s="85"/>
      <c r="G2133" s="85" t="s">
        <v>19</v>
      </c>
      <c r="H2133" s="85"/>
      <c r="I2133" s="85"/>
      <c r="J2133" s="87"/>
      <c r="K2133" s="88">
        <f t="shared" si="102"/>
        <v>0</v>
      </c>
      <c r="L2133" s="85"/>
    </row>
    <row r="2134" spans="1:12" x14ac:dyDescent="0.25">
      <c r="A2134" s="84" t="str">
        <f t="shared" si="100"/>
        <v>SelecioneSelecioneSelecione</v>
      </c>
      <c r="B2134" s="85" t="s">
        <v>19</v>
      </c>
      <c r="C2134" s="85" t="s">
        <v>19</v>
      </c>
      <c r="D2134" s="86"/>
      <c r="E2134" s="116" t="str">
        <f t="shared" si="101"/>
        <v>-</v>
      </c>
      <c r="F2134" s="85"/>
      <c r="G2134" s="85" t="s">
        <v>19</v>
      </c>
      <c r="H2134" s="85"/>
      <c r="I2134" s="85"/>
      <c r="J2134" s="87"/>
      <c r="K2134" s="88">
        <f t="shared" si="102"/>
        <v>0</v>
      </c>
      <c r="L2134" s="85"/>
    </row>
    <row r="2135" spans="1:12" x14ac:dyDescent="0.25">
      <c r="A2135" s="84" t="str">
        <f t="shared" si="100"/>
        <v>SelecioneSelecioneSelecione</v>
      </c>
      <c r="B2135" s="85" t="s">
        <v>19</v>
      </c>
      <c r="C2135" s="85" t="s">
        <v>19</v>
      </c>
      <c r="D2135" s="86"/>
      <c r="E2135" s="116" t="str">
        <f t="shared" si="101"/>
        <v>-</v>
      </c>
      <c r="F2135" s="85"/>
      <c r="G2135" s="85" t="s">
        <v>19</v>
      </c>
      <c r="H2135" s="85"/>
      <c r="I2135" s="85"/>
      <c r="J2135" s="87"/>
      <c r="K2135" s="88">
        <f t="shared" si="102"/>
        <v>0</v>
      </c>
      <c r="L2135" s="85"/>
    </row>
    <row r="2136" spans="1:12" x14ac:dyDescent="0.25">
      <c r="A2136" s="84" t="str">
        <f t="shared" si="100"/>
        <v>SelecioneSelecioneSelecione</v>
      </c>
      <c r="B2136" s="85" t="s">
        <v>19</v>
      </c>
      <c r="C2136" s="85" t="s">
        <v>19</v>
      </c>
      <c r="D2136" s="86"/>
      <c r="E2136" s="116" t="str">
        <f t="shared" si="101"/>
        <v>-</v>
      </c>
      <c r="F2136" s="85"/>
      <c r="G2136" s="85" t="s">
        <v>19</v>
      </c>
      <c r="H2136" s="85"/>
      <c r="I2136" s="85"/>
      <c r="J2136" s="87"/>
      <c r="K2136" s="88">
        <f t="shared" si="102"/>
        <v>0</v>
      </c>
      <c r="L2136" s="85"/>
    </row>
    <row r="2137" spans="1:12" x14ac:dyDescent="0.25">
      <c r="A2137" s="84" t="str">
        <f t="shared" si="100"/>
        <v>SelecioneSelecioneSelecione</v>
      </c>
      <c r="B2137" s="85" t="s">
        <v>19</v>
      </c>
      <c r="C2137" s="85" t="s">
        <v>19</v>
      </c>
      <c r="D2137" s="86"/>
      <c r="E2137" s="116" t="str">
        <f t="shared" si="101"/>
        <v>-</v>
      </c>
      <c r="F2137" s="85"/>
      <c r="G2137" s="85" t="s">
        <v>19</v>
      </c>
      <c r="H2137" s="85"/>
      <c r="I2137" s="85"/>
      <c r="J2137" s="87"/>
      <c r="K2137" s="88">
        <f t="shared" si="102"/>
        <v>0</v>
      </c>
      <c r="L2137" s="85"/>
    </row>
    <row r="2138" spans="1:12" x14ac:dyDescent="0.25">
      <c r="A2138" s="84" t="str">
        <f t="shared" si="100"/>
        <v>SelecioneSelecioneSelecione</v>
      </c>
      <c r="B2138" s="85" t="s">
        <v>19</v>
      </c>
      <c r="C2138" s="85" t="s">
        <v>19</v>
      </c>
      <c r="D2138" s="86"/>
      <c r="E2138" s="116" t="str">
        <f t="shared" si="101"/>
        <v>-</v>
      </c>
      <c r="F2138" s="85"/>
      <c r="G2138" s="85" t="s">
        <v>19</v>
      </c>
      <c r="H2138" s="85"/>
      <c r="I2138" s="85"/>
      <c r="J2138" s="87"/>
      <c r="K2138" s="88">
        <f t="shared" si="102"/>
        <v>0</v>
      </c>
      <c r="L2138" s="85"/>
    </row>
    <row r="2139" spans="1:12" x14ac:dyDescent="0.25">
      <c r="A2139" s="84" t="str">
        <f t="shared" si="100"/>
        <v>SelecioneSelecioneSelecione</v>
      </c>
      <c r="B2139" s="85" t="s">
        <v>19</v>
      </c>
      <c r="C2139" s="85" t="s">
        <v>19</v>
      </c>
      <c r="D2139" s="86"/>
      <c r="E2139" s="116" t="str">
        <f t="shared" si="101"/>
        <v>-</v>
      </c>
      <c r="F2139" s="85"/>
      <c r="G2139" s="85" t="s">
        <v>19</v>
      </c>
      <c r="H2139" s="85"/>
      <c r="I2139" s="85"/>
      <c r="J2139" s="87"/>
      <c r="K2139" s="88">
        <f t="shared" si="102"/>
        <v>0</v>
      </c>
      <c r="L2139" s="85"/>
    </row>
    <row r="2140" spans="1:12" x14ac:dyDescent="0.25">
      <c r="A2140" s="84" t="str">
        <f t="shared" si="100"/>
        <v>SelecioneSelecioneSelecione</v>
      </c>
      <c r="B2140" s="85" t="s">
        <v>19</v>
      </c>
      <c r="C2140" s="85" t="s">
        <v>19</v>
      </c>
      <c r="D2140" s="86"/>
      <c r="E2140" s="116" t="str">
        <f t="shared" si="101"/>
        <v>-</v>
      </c>
      <c r="F2140" s="85"/>
      <c r="G2140" s="85" t="s">
        <v>19</v>
      </c>
      <c r="H2140" s="85"/>
      <c r="I2140" s="85"/>
      <c r="J2140" s="87"/>
      <c r="K2140" s="88">
        <f t="shared" si="102"/>
        <v>0</v>
      </c>
      <c r="L2140" s="85"/>
    </row>
    <row r="2141" spans="1:12" x14ac:dyDescent="0.25">
      <c r="A2141" s="84" t="str">
        <f t="shared" si="100"/>
        <v>SelecioneSelecioneSelecione</v>
      </c>
      <c r="B2141" s="85" t="s">
        <v>19</v>
      </c>
      <c r="C2141" s="85" t="s">
        <v>19</v>
      </c>
      <c r="D2141" s="86"/>
      <c r="E2141" s="116" t="str">
        <f t="shared" si="101"/>
        <v>-</v>
      </c>
      <c r="F2141" s="85"/>
      <c r="G2141" s="85" t="s">
        <v>19</v>
      </c>
      <c r="H2141" s="85"/>
      <c r="I2141" s="85"/>
      <c r="J2141" s="87"/>
      <c r="K2141" s="88">
        <f t="shared" si="102"/>
        <v>0</v>
      </c>
      <c r="L2141" s="85"/>
    </row>
    <row r="2142" spans="1:12" x14ac:dyDescent="0.25">
      <c r="A2142" s="84" t="str">
        <f t="shared" si="100"/>
        <v>SelecioneSelecioneSelecione</v>
      </c>
      <c r="B2142" s="85" t="s">
        <v>19</v>
      </c>
      <c r="C2142" s="85" t="s">
        <v>19</v>
      </c>
      <c r="D2142" s="93"/>
      <c r="E2142" s="116" t="str">
        <f t="shared" si="101"/>
        <v>-</v>
      </c>
      <c r="F2142" s="90"/>
      <c r="G2142" s="85" t="s">
        <v>19</v>
      </c>
      <c r="H2142" s="85"/>
      <c r="I2142" s="90"/>
      <c r="J2142" s="89"/>
      <c r="K2142" s="88">
        <f t="shared" si="102"/>
        <v>0</v>
      </c>
      <c r="L2142" s="90"/>
    </row>
    <row r="2143" spans="1:12" x14ac:dyDescent="0.25">
      <c r="A2143" s="84" t="str">
        <f t="shared" si="100"/>
        <v>SelecioneSelecioneSelecione</v>
      </c>
      <c r="B2143" s="85" t="s">
        <v>19</v>
      </c>
      <c r="C2143" s="85" t="s">
        <v>19</v>
      </c>
      <c r="D2143" s="86"/>
      <c r="E2143" s="116" t="str">
        <f t="shared" si="101"/>
        <v>-</v>
      </c>
      <c r="F2143" s="85"/>
      <c r="G2143" s="85" t="s">
        <v>19</v>
      </c>
      <c r="H2143" s="85"/>
      <c r="I2143" s="85"/>
      <c r="J2143" s="87"/>
      <c r="K2143" s="88">
        <f t="shared" si="102"/>
        <v>0</v>
      </c>
      <c r="L2143" s="85"/>
    </row>
    <row r="2144" spans="1:12" x14ac:dyDescent="0.25">
      <c r="A2144" s="84" t="str">
        <f t="shared" si="100"/>
        <v>SelecioneSelecioneSelecione</v>
      </c>
      <c r="B2144" s="85" t="s">
        <v>19</v>
      </c>
      <c r="C2144" s="85" t="s">
        <v>19</v>
      </c>
      <c r="D2144" s="86"/>
      <c r="E2144" s="116" t="str">
        <f t="shared" si="101"/>
        <v>-</v>
      </c>
      <c r="F2144" s="85"/>
      <c r="G2144" s="85" t="s">
        <v>19</v>
      </c>
      <c r="H2144" s="85"/>
      <c r="I2144" s="85"/>
      <c r="J2144" s="87"/>
      <c r="K2144" s="88">
        <f t="shared" si="102"/>
        <v>0</v>
      </c>
      <c r="L2144" s="85"/>
    </row>
    <row r="2145" spans="1:12" x14ac:dyDescent="0.25">
      <c r="A2145" s="84" t="str">
        <f t="shared" si="100"/>
        <v>SelecioneSelecioneSelecione</v>
      </c>
      <c r="B2145" s="85" t="s">
        <v>19</v>
      </c>
      <c r="C2145" s="85" t="s">
        <v>19</v>
      </c>
      <c r="D2145" s="86"/>
      <c r="E2145" s="116" t="str">
        <f t="shared" si="101"/>
        <v>-</v>
      </c>
      <c r="F2145" s="85"/>
      <c r="G2145" s="85" t="s">
        <v>19</v>
      </c>
      <c r="H2145" s="85"/>
      <c r="I2145" s="85"/>
      <c r="J2145" s="87"/>
      <c r="K2145" s="88">
        <f t="shared" si="102"/>
        <v>0</v>
      </c>
      <c r="L2145" s="85"/>
    </row>
    <row r="2146" spans="1:12" x14ac:dyDescent="0.25">
      <c r="A2146" s="84" t="str">
        <f t="shared" si="100"/>
        <v>SelecioneSelecioneSelecione</v>
      </c>
      <c r="B2146" s="85" t="s">
        <v>19</v>
      </c>
      <c r="C2146" s="85" t="s">
        <v>19</v>
      </c>
      <c r="D2146" s="86"/>
      <c r="E2146" s="116" t="str">
        <f t="shared" si="101"/>
        <v>-</v>
      </c>
      <c r="F2146" s="85"/>
      <c r="G2146" s="85" t="s">
        <v>19</v>
      </c>
      <c r="H2146" s="85"/>
      <c r="I2146" s="85"/>
      <c r="J2146" s="87"/>
      <c r="K2146" s="88">
        <f t="shared" si="102"/>
        <v>0</v>
      </c>
      <c r="L2146" s="85"/>
    </row>
    <row r="2147" spans="1:12" x14ac:dyDescent="0.25">
      <c r="A2147" s="84" t="str">
        <f t="shared" si="100"/>
        <v>SelecioneSelecioneSelecione</v>
      </c>
      <c r="B2147" s="85" t="s">
        <v>19</v>
      </c>
      <c r="C2147" s="85" t="s">
        <v>19</v>
      </c>
      <c r="D2147" s="86"/>
      <c r="E2147" s="116" t="str">
        <f t="shared" si="101"/>
        <v>-</v>
      </c>
      <c r="F2147" s="85"/>
      <c r="G2147" s="85" t="s">
        <v>19</v>
      </c>
      <c r="H2147" s="85"/>
      <c r="I2147" s="85"/>
      <c r="J2147" s="87"/>
      <c r="K2147" s="88">
        <f t="shared" si="102"/>
        <v>0</v>
      </c>
      <c r="L2147" s="85"/>
    </row>
    <row r="2148" spans="1:12" x14ac:dyDescent="0.25">
      <c r="A2148" s="84" t="str">
        <f t="shared" si="100"/>
        <v>SelecioneSelecioneSelecione</v>
      </c>
      <c r="B2148" s="85" t="s">
        <v>19</v>
      </c>
      <c r="C2148" s="85" t="s">
        <v>19</v>
      </c>
      <c r="D2148" s="86"/>
      <c r="E2148" s="116" t="str">
        <f t="shared" si="101"/>
        <v>-</v>
      </c>
      <c r="F2148" s="85"/>
      <c r="G2148" s="85" t="s">
        <v>19</v>
      </c>
      <c r="H2148" s="85"/>
      <c r="I2148" s="85"/>
      <c r="J2148" s="87"/>
      <c r="K2148" s="88">
        <f t="shared" si="102"/>
        <v>0</v>
      </c>
      <c r="L2148" s="85"/>
    </row>
    <row r="2149" spans="1:12" x14ac:dyDescent="0.25">
      <c r="A2149" s="84" t="str">
        <f t="shared" si="100"/>
        <v>SelecioneSelecioneSelecione</v>
      </c>
      <c r="B2149" s="85" t="s">
        <v>19</v>
      </c>
      <c r="C2149" s="85" t="s">
        <v>19</v>
      </c>
      <c r="D2149" s="86"/>
      <c r="E2149" s="116" t="str">
        <f t="shared" si="101"/>
        <v>-</v>
      </c>
      <c r="F2149" s="85"/>
      <c r="G2149" s="85" t="s">
        <v>19</v>
      </c>
      <c r="H2149" s="85"/>
      <c r="I2149" s="85"/>
      <c r="J2149" s="87"/>
      <c r="K2149" s="88">
        <f t="shared" si="102"/>
        <v>0</v>
      </c>
      <c r="L2149" s="85"/>
    </row>
    <row r="2150" spans="1:12" x14ac:dyDescent="0.25">
      <c r="A2150" s="84" t="str">
        <f t="shared" si="100"/>
        <v>SelecioneSelecioneSelecione</v>
      </c>
      <c r="B2150" s="85" t="s">
        <v>19</v>
      </c>
      <c r="C2150" s="85" t="s">
        <v>19</v>
      </c>
      <c r="D2150" s="93"/>
      <c r="E2150" s="116" t="str">
        <f t="shared" si="101"/>
        <v>-</v>
      </c>
      <c r="F2150" s="90"/>
      <c r="G2150" s="85" t="s">
        <v>19</v>
      </c>
      <c r="H2150" s="85"/>
      <c r="I2150" s="90"/>
      <c r="J2150" s="89"/>
      <c r="K2150" s="88">
        <f t="shared" si="102"/>
        <v>0</v>
      </c>
      <c r="L2150" s="90"/>
    </row>
    <row r="2151" spans="1:12" x14ac:dyDescent="0.25">
      <c r="A2151" s="84" t="str">
        <f t="shared" si="100"/>
        <v>SelecioneSelecioneSelecione</v>
      </c>
      <c r="B2151" s="85" t="s">
        <v>19</v>
      </c>
      <c r="C2151" s="85" t="s">
        <v>19</v>
      </c>
      <c r="D2151" s="93"/>
      <c r="E2151" s="116" t="str">
        <f t="shared" si="101"/>
        <v>-</v>
      </c>
      <c r="F2151" s="90"/>
      <c r="G2151" s="85" t="s">
        <v>19</v>
      </c>
      <c r="H2151" s="85"/>
      <c r="I2151" s="90"/>
      <c r="J2151" s="89"/>
      <c r="K2151" s="88">
        <f t="shared" si="102"/>
        <v>0</v>
      </c>
      <c r="L2151" s="90"/>
    </row>
    <row r="2152" spans="1:12" x14ac:dyDescent="0.25">
      <c r="A2152" s="84" t="str">
        <f t="shared" si="100"/>
        <v>SelecioneSelecioneSelecione</v>
      </c>
      <c r="B2152" s="85" t="s">
        <v>19</v>
      </c>
      <c r="C2152" s="85" t="s">
        <v>19</v>
      </c>
      <c r="D2152" s="86"/>
      <c r="E2152" s="116" t="str">
        <f t="shared" si="101"/>
        <v>-</v>
      </c>
      <c r="F2152" s="85"/>
      <c r="G2152" s="85" t="s">
        <v>19</v>
      </c>
      <c r="H2152" s="85"/>
      <c r="I2152" s="85"/>
      <c r="J2152" s="87"/>
      <c r="K2152" s="88">
        <f t="shared" si="102"/>
        <v>0</v>
      </c>
      <c r="L2152" s="85"/>
    </row>
    <row r="2153" spans="1:12" x14ac:dyDescent="0.25">
      <c r="A2153" s="84" t="str">
        <f t="shared" si="100"/>
        <v>SelecioneSelecioneSelecione</v>
      </c>
      <c r="B2153" s="85" t="s">
        <v>19</v>
      </c>
      <c r="C2153" s="85" t="s">
        <v>19</v>
      </c>
      <c r="D2153" s="86"/>
      <c r="E2153" s="116" t="str">
        <f t="shared" si="101"/>
        <v>-</v>
      </c>
      <c r="F2153" s="85"/>
      <c r="G2153" s="85" t="s">
        <v>19</v>
      </c>
      <c r="H2153" s="85"/>
      <c r="I2153" s="85"/>
      <c r="J2153" s="87"/>
      <c r="K2153" s="88">
        <f t="shared" si="102"/>
        <v>0</v>
      </c>
      <c r="L2153" s="85"/>
    </row>
    <row r="2154" spans="1:12" x14ac:dyDescent="0.25">
      <c r="A2154" s="84" t="str">
        <f t="shared" si="100"/>
        <v>SelecioneSelecioneSelecione</v>
      </c>
      <c r="B2154" s="85" t="s">
        <v>19</v>
      </c>
      <c r="C2154" s="85" t="s">
        <v>19</v>
      </c>
      <c r="D2154" s="86"/>
      <c r="E2154" s="116" t="str">
        <f t="shared" si="101"/>
        <v>-</v>
      </c>
      <c r="F2154" s="85"/>
      <c r="G2154" s="85" t="s">
        <v>19</v>
      </c>
      <c r="H2154" s="85"/>
      <c r="I2154" s="85"/>
      <c r="J2154" s="87"/>
      <c r="K2154" s="88">
        <f t="shared" si="102"/>
        <v>0</v>
      </c>
      <c r="L2154" s="85"/>
    </row>
    <row r="2155" spans="1:12" x14ac:dyDescent="0.25">
      <c r="A2155" s="84" t="str">
        <f t="shared" si="100"/>
        <v>SelecioneSelecioneSelecione</v>
      </c>
      <c r="B2155" s="85" t="s">
        <v>19</v>
      </c>
      <c r="C2155" s="85" t="s">
        <v>19</v>
      </c>
      <c r="D2155" s="86"/>
      <c r="E2155" s="116" t="str">
        <f t="shared" si="101"/>
        <v>-</v>
      </c>
      <c r="F2155" s="85"/>
      <c r="G2155" s="85" t="s">
        <v>19</v>
      </c>
      <c r="H2155" s="85"/>
      <c r="I2155" s="85"/>
      <c r="J2155" s="87"/>
      <c r="K2155" s="88">
        <f t="shared" si="102"/>
        <v>0</v>
      </c>
      <c r="L2155" s="85"/>
    </row>
    <row r="2156" spans="1:12" x14ac:dyDescent="0.25">
      <c r="A2156" s="84" t="str">
        <f t="shared" si="100"/>
        <v>SelecioneSelecioneSelecione</v>
      </c>
      <c r="B2156" s="85" t="s">
        <v>19</v>
      </c>
      <c r="C2156" s="85" t="s">
        <v>19</v>
      </c>
      <c r="D2156" s="86"/>
      <c r="E2156" s="116" t="str">
        <f t="shared" si="101"/>
        <v>-</v>
      </c>
      <c r="F2156" s="85"/>
      <c r="G2156" s="85" t="s">
        <v>19</v>
      </c>
      <c r="H2156" s="85"/>
      <c r="I2156" s="85"/>
      <c r="J2156" s="87"/>
      <c r="K2156" s="88">
        <f t="shared" si="102"/>
        <v>0</v>
      </c>
      <c r="L2156" s="85"/>
    </row>
    <row r="2157" spans="1:12" x14ac:dyDescent="0.25">
      <c r="A2157" s="84" t="str">
        <f t="shared" si="100"/>
        <v>SelecioneSelecioneSelecione</v>
      </c>
      <c r="B2157" s="85" t="s">
        <v>19</v>
      </c>
      <c r="C2157" s="85" t="s">
        <v>19</v>
      </c>
      <c r="D2157" s="86"/>
      <c r="E2157" s="116" t="str">
        <f t="shared" si="101"/>
        <v>-</v>
      </c>
      <c r="F2157" s="85"/>
      <c r="G2157" s="85" t="s">
        <v>19</v>
      </c>
      <c r="H2157" s="85"/>
      <c r="I2157" s="85"/>
      <c r="J2157" s="87"/>
      <c r="K2157" s="88">
        <f t="shared" si="102"/>
        <v>0</v>
      </c>
      <c r="L2157" s="85"/>
    </row>
    <row r="2158" spans="1:12" x14ac:dyDescent="0.25">
      <c r="A2158" s="84" t="str">
        <f t="shared" si="100"/>
        <v>SelecioneSelecioneSelecione</v>
      </c>
      <c r="B2158" s="85" t="s">
        <v>19</v>
      </c>
      <c r="C2158" s="85" t="s">
        <v>19</v>
      </c>
      <c r="D2158" s="86"/>
      <c r="E2158" s="116" t="str">
        <f t="shared" si="101"/>
        <v>-</v>
      </c>
      <c r="F2158" s="85"/>
      <c r="G2158" s="85" t="s">
        <v>19</v>
      </c>
      <c r="H2158" s="85"/>
      <c r="I2158" s="85"/>
      <c r="J2158" s="87"/>
      <c r="K2158" s="88">
        <f t="shared" si="102"/>
        <v>0</v>
      </c>
      <c r="L2158" s="85"/>
    </row>
    <row r="2159" spans="1:12" x14ac:dyDescent="0.25">
      <c r="A2159" s="84" t="str">
        <f t="shared" si="100"/>
        <v>SelecioneSelecioneSelecione</v>
      </c>
      <c r="B2159" s="85" t="s">
        <v>19</v>
      </c>
      <c r="C2159" s="85" t="s">
        <v>19</v>
      </c>
      <c r="D2159" s="86"/>
      <c r="E2159" s="116" t="str">
        <f t="shared" si="101"/>
        <v>-</v>
      </c>
      <c r="F2159" s="85"/>
      <c r="G2159" s="85" t="s">
        <v>19</v>
      </c>
      <c r="H2159" s="85"/>
      <c r="I2159" s="85"/>
      <c r="J2159" s="87"/>
      <c r="K2159" s="88">
        <f t="shared" si="102"/>
        <v>0</v>
      </c>
      <c r="L2159" s="85"/>
    </row>
    <row r="2160" spans="1:12" x14ac:dyDescent="0.25">
      <c r="A2160" s="84" t="str">
        <f t="shared" si="100"/>
        <v>SelecioneSelecioneSelecione</v>
      </c>
      <c r="B2160" s="85" t="s">
        <v>19</v>
      </c>
      <c r="C2160" s="85" t="s">
        <v>19</v>
      </c>
      <c r="D2160" s="86"/>
      <c r="E2160" s="116" t="str">
        <f t="shared" si="101"/>
        <v>-</v>
      </c>
      <c r="F2160" s="85"/>
      <c r="G2160" s="85" t="s">
        <v>19</v>
      </c>
      <c r="H2160" s="85"/>
      <c r="I2160" s="85"/>
      <c r="J2160" s="87"/>
      <c r="K2160" s="88">
        <f t="shared" si="102"/>
        <v>0</v>
      </c>
      <c r="L2160" s="85"/>
    </row>
    <row r="2161" spans="1:12" x14ac:dyDescent="0.25">
      <c r="A2161" s="84" t="str">
        <f t="shared" si="100"/>
        <v>SelecioneSelecioneSelecione</v>
      </c>
      <c r="B2161" s="85" t="s">
        <v>19</v>
      </c>
      <c r="C2161" s="85" t="s">
        <v>19</v>
      </c>
      <c r="D2161" s="86"/>
      <c r="E2161" s="116" t="str">
        <f t="shared" si="101"/>
        <v>-</v>
      </c>
      <c r="F2161" s="85"/>
      <c r="G2161" s="85" t="s">
        <v>19</v>
      </c>
      <c r="H2161" s="85"/>
      <c r="I2161" s="85"/>
      <c r="J2161" s="87"/>
      <c r="K2161" s="88">
        <f t="shared" si="102"/>
        <v>0</v>
      </c>
      <c r="L2161" s="85"/>
    </row>
    <row r="2162" spans="1:12" x14ac:dyDescent="0.25">
      <c r="A2162" s="84" t="str">
        <f t="shared" si="100"/>
        <v>SelecioneSelecioneSelecione</v>
      </c>
      <c r="B2162" s="85" t="s">
        <v>19</v>
      </c>
      <c r="C2162" s="85" t="s">
        <v>19</v>
      </c>
      <c r="D2162" s="86"/>
      <c r="E2162" s="116" t="str">
        <f t="shared" si="101"/>
        <v>-</v>
      </c>
      <c r="F2162" s="85"/>
      <c r="G2162" s="85" t="s">
        <v>19</v>
      </c>
      <c r="H2162" s="85"/>
      <c r="I2162" s="85"/>
      <c r="J2162" s="87"/>
      <c r="K2162" s="88">
        <f t="shared" si="102"/>
        <v>0</v>
      </c>
      <c r="L2162" s="85"/>
    </row>
    <row r="2163" spans="1:12" x14ac:dyDescent="0.25">
      <c r="A2163" s="84" t="str">
        <f t="shared" si="100"/>
        <v>SelecioneSelecioneSelecione</v>
      </c>
      <c r="B2163" s="85" t="s">
        <v>19</v>
      </c>
      <c r="C2163" s="85" t="s">
        <v>19</v>
      </c>
      <c r="D2163" s="86"/>
      <c r="E2163" s="116" t="str">
        <f t="shared" si="101"/>
        <v>-</v>
      </c>
      <c r="F2163" s="85"/>
      <c r="G2163" s="85" t="s">
        <v>19</v>
      </c>
      <c r="H2163" s="85"/>
      <c r="I2163" s="85"/>
      <c r="J2163" s="87"/>
      <c r="K2163" s="88">
        <f t="shared" si="102"/>
        <v>0</v>
      </c>
      <c r="L2163" s="85"/>
    </row>
    <row r="2164" spans="1:12" x14ac:dyDescent="0.25">
      <c r="A2164" s="84" t="str">
        <f t="shared" si="100"/>
        <v>SelecioneSelecioneSelecione</v>
      </c>
      <c r="B2164" s="85" t="s">
        <v>19</v>
      </c>
      <c r="C2164" s="85" t="s">
        <v>19</v>
      </c>
      <c r="D2164" s="86"/>
      <c r="E2164" s="116" t="str">
        <f t="shared" si="101"/>
        <v>-</v>
      </c>
      <c r="F2164" s="85"/>
      <c r="G2164" s="85" t="s">
        <v>19</v>
      </c>
      <c r="H2164" s="85"/>
      <c r="I2164" s="85"/>
      <c r="J2164" s="87"/>
      <c r="K2164" s="88">
        <f t="shared" si="102"/>
        <v>0</v>
      </c>
      <c r="L2164" s="85"/>
    </row>
    <row r="2165" spans="1:12" x14ac:dyDescent="0.25">
      <c r="A2165" s="84" t="str">
        <f t="shared" si="100"/>
        <v>SelecioneSelecioneSelecione</v>
      </c>
      <c r="B2165" s="85" t="s">
        <v>19</v>
      </c>
      <c r="C2165" s="85" t="s">
        <v>19</v>
      </c>
      <c r="D2165" s="86"/>
      <c r="E2165" s="116" t="str">
        <f t="shared" si="101"/>
        <v>-</v>
      </c>
      <c r="F2165" s="85"/>
      <c r="G2165" s="85" t="s">
        <v>19</v>
      </c>
      <c r="H2165" s="85"/>
      <c r="I2165" s="85"/>
      <c r="J2165" s="87"/>
      <c r="K2165" s="88">
        <f t="shared" si="102"/>
        <v>0</v>
      </c>
      <c r="L2165" s="85"/>
    </row>
    <row r="2166" spans="1:12" x14ac:dyDescent="0.25">
      <c r="A2166" s="84" t="str">
        <f t="shared" si="100"/>
        <v>SelecioneSelecioneSelecione</v>
      </c>
      <c r="B2166" s="85" t="s">
        <v>19</v>
      </c>
      <c r="C2166" s="85" t="s">
        <v>19</v>
      </c>
      <c r="D2166" s="86"/>
      <c r="E2166" s="116" t="str">
        <f t="shared" si="101"/>
        <v>-</v>
      </c>
      <c r="F2166" s="85"/>
      <c r="G2166" s="85" t="s">
        <v>19</v>
      </c>
      <c r="H2166" s="85"/>
      <c r="I2166" s="85"/>
      <c r="J2166" s="87"/>
      <c r="K2166" s="88">
        <f t="shared" si="102"/>
        <v>0</v>
      </c>
      <c r="L2166" s="85"/>
    </row>
    <row r="2167" spans="1:12" x14ac:dyDescent="0.25">
      <c r="A2167" s="84" t="str">
        <f t="shared" si="100"/>
        <v>SelecioneSelecioneSelecione</v>
      </c>
      <c r="B2167" s="85" t="s">
        <v>19</v>
      </c>
      <c r="C2167" s="85" t="s">
        <v>19</v>
      </c>
      <c r="D2167" s="86"/>
      <c r="E2167" s="116" t="str">
        <f t="shared" si="101"/>
        <v>-</v>
      </c>
      <c r="F2167" s="85"/>
      <c r="G2167" s="85" t="s">
        <v>19</v>
      </c>
      <c r="H2167" s="85"/>
      <c r="I2167" s="85"/>
      <c r="J2167" s="87"/>
      <c r="K2167" s="88">
        <f t="shared" si="102"/>
        <v>0</v>
      </c>
      <c r="L2167" s="85"/>
    </row>
    <row r="2168" spans="1:12" x14ac:dyDescent="0.25">
      <c r="A2168" s="84" t="str">
        <f t="shared" si="100"/>
        <v>SelecioneSelecioneSelecione</v>
      </c>
      <c r="B2168" s="85" t="s">
        <v>19</v>
      </c>
      <c r="C2168" s="85" t="s">
        <v>19</v>
      </c>
      <c r="D2168" s="86"/>
      <c r="E2168" s="116" t="str">
        <f t="shared" si="101"/>
        <v>-</v>
      </c>
      <c r="F2168" s="85"/>
      <c r="G2168" s="85" t="s">
        <v>19</v>
      </c>
      <c r="H2168" s="85"/>
      <c r="I2168" s="85"/>
      <c r="J2168" s="87"/>
      <c r="K2168" s="88">
        <f t="shared" si="102"/>
        <v>0</v>
      </c>
      <c r="L2168" s="85"/>
    </row>
    <row r="2169" spans="1:12" x14ac:dyDescent="0.25">
      <c r="A2169" s="84" t="str">
        <f t="shared" si="100"/>
        <v>SelecioneSelecioneSelecione</v>
      </c>
      <c r="B2169" s="85" t="s">
        <v>19</v>
      </c>
      <c r="C2169" s="85" t="s">
        <v>19</v>
      </c>
      <c r="D2169" s="86"/>
      <c r="E2169" s="116" t="str">
        <f t="shared" si="101"/>
        <v>-</v>
      </c>
      <c r="F2169" s="85"/>
      <c r="G2169" s="85" t="s">
        <v>19</v>
      </c>
      <c r="H2169" s="85"/>
      <c r="I2169" s="85"/>
      <c r="J2169" s="87"/>
      <c r="K2169" s="88">
        <f t="shared" si="102"/>
        <v>0</v>
      </c>
      <c r="L2169" s="85"/>
    </row>
    <row r="2170" spans="1:12" x14ac:dyDescent="0.25">
      <c r="A2170" s="84" t="str">
        <f t="shared" si="100"/>
        <v>SelecioneSelecioneSelecione</v>
      </c>
      <c r="B2170" s="85" t="s">
        <v>19</v>
      </c>
      <c r="C2170" s="85" t="s">
        <v>19</v>
      </c>
      <c r="D2170" s="86"/>
      <c r="E2170" s="116" t="str">
        <f t="shared" si="101"/>
        <v>-</v>
      </c>
      <c r="F2170" s="85"/>
      <c r="G2170" s="85" t="s">
        <v>19</v>
      </c>
      <c r="H2170" s="85"/>
      <c r="I2170" s="85"/>
      <c r="J2170" s="87"/>
      <c r="K2170" s="88">
        <f t="shared" si="102"/>
        <v>0</v>
      </c>
      <c r="L2170" s="85"/>
    </row>
    <row r="2171" spans="1:12" x14ac:dyDescent="0.25">
      <c r="A2171" s="84" t="str">
        <f t="shared" si="100"/>
        <v>SelecioneSelecioneSelecione</v>
      </c>
      <c r="B2171" s="85" t="s">
        <v>19</v>
      </c>
      <c r="C2171" s="85" t="s">
        <v>19</v>
      </c>
      <c r="D2171" s="86"/>
      <c r="E2171" s="116" t="str">
        <f t="shared" si="101"/>
        <v>-</v>
      </c>
      <c r="F2171" s="85"/>
      <c r="G2171" s="85" t="s">
        <v>19</v>
      </c>
      <c r="H2171" s="85"/>
      <c r="I2171" s="85"/>
      <c r="J2171" s="87"/>
      <c r="K2171" s="88">
        <f t="shared" si="102"/>
        <v>0</v>
      </c>
      <c r="L2171" s="85"/>
    </row>
    <row r="2172" spans="1:12" x14ac:dyDescent="0.25">
      <c r="A2172" s="84" t="str">
        <f t="shared" si="100"/>
        <v>SelecioneSelecioneSelecione</v>
      </c>
      <c r="B2172" s="85" t="s">
        <v>19</v>
      </c>
      <c r="C2172" s="85" t="s">
        <v>19</v>
      </c>
      <c r="D2172" s="86"/>
      <c r="E2172" s="116" t="str">
        <f t="shared" si="101"/>
        <v>-</v>
      </c>
      <c r="F2172" s="85"/>
      <c r="G2172" s="85" t="s">
        <v>19</v>
      </c>
      <c r="H2172" s="85"/>
      <c r="I2172" s="85"/>
      <c r="J2172" s="87"/>
      <c r="K2172" s="88">
        <f t="shared" si="102"/>
        <v>0</v>
      </c>
      <c r="L2172" s="85"/>
    </row>
    <row r="2173" spans="1:12" x14ac:dyDescent="0.25">
      <c r="A2173" s="84" t="str">
        <f t="shared" si="100"/>
        <v>SelecioneSelecioneSelecione</v>
      </c>
      <c r="B2173" s="85" t="s">
        <v>19</v>
      </c>
      <c r="C2173" s="85" t="s">
        <v>19</v>
      </c>
      <c r="D2173" s="86"/>
      <c r="E2173" s="116" t="str">
        <f t="shared" si="101"/>
        <v>-</v>
      </c>
      <c r="F2173" s="85"/>
      <c r="G2173" s="85" t="s">
        <v>19</v>
      </c>
      <c r="H2173" s="85"/>
      <c r="I2173" s="85"/>
      <c r="J2173" s="87"/>
      <c r="K2173" s="88">
        <f t="shared" si="102"/>
        <v>0</v>
      </c>
      <c r="L2173" s="85"/>
    </row>
    <row r="2174" spans="1:12" x14ac:dyDescent="0.25">
      <c r="A2174" s="84" t="str">
        <f t="shared" si="100"/>
        <v>SelecioneSelecioneSelecione</v>
      </c>
      <c r="B2174" s="85" t="s">
        <v>19</v>
      </c>
      <c r="C2174" s="85" t="s">
        <v>19</v>
      </c>
      <c r="D2174" s="86"/>
      <c r="E2174" s="116" t="str">
        <f t="shared" si="101"/>
        <v>-</v>
      </c>
      <c r="F2174" s="85"/>
      <c r="G2174" s="85" t="s">
        <v>19</v>
      </c>
      <c r="H2174" s="85"/>
      <c r="I2174" s="85"/>
      <c r="J2174" s="87"/>
      <c r="K2174" s="88">
        <f t="shared" si="102"/>
        <v>0</v>
      </c>
      <c r="L2174" s="85"/>
    </row>
    <row r="2175" spans="1:12" x14ac:dyDescent="0.25">
      <c r="A2175" s="84" t="str">
        <f t="shared" si="100"/>
        <v>SelecioneSelecioneSelecione</v>
      </c>
      <c r="B2175" s="85" t="s">
        <v>19</v>
      </c>
      <c r="C2175" s="85" t="s">
        <v>19</v>
      </c>
      <c r="D2175" s="86"/>
      <c r="E2175" s="116" t="str">
        <f t="shared" si="101"/>
        <v>-</v>
      </c>
      <c r="F2175" s="85"/>
      <c r="G2175" s="85" t="s">
        <v>19</v>
      </c>
      <c r="H2175" s="85"/>
      <c r="I2175" s="85"/>
      <c r="J2175" s="87"/>
      <c r="K2175" s="88">
        <f t="shared" si="102"/>
        <v>0</v>
      </c>
      <c r="L2175" s="85"/>
    </row>
    <row r="2176" spans="1:12" x14ac:dyDescent="0.25">
      <c r="A2176" s="84" t="str">
        <f t="shared" si="100"/>
        <v>SelecioneSelecioneSelecione</v>
      </c>
      <c r="B2176" s="85" t="s">
        <v>19</v>
      </c>
      <c r="C2176" s="85" t="s">
        <v>19</v>
      </c>
      <c r="D2176" s="86"/>
      <c r="E2176" s="116" t="str">
        <f t="shared" si="101"/>
        <v>-</v>
      </c>
      <c r="F2176" s="85"/>
      <c r="G2176" s="85" t="s">
        <v>19</v>
      </c>
      <c r="H2176" s="85"/>
      <c r="I2176" s="85"/>
      <c r="J2176" s="87"/>
      <c r="K2176" s="88">
        <f t="shared" si="102"/>
        <v>0</v>
      </c>
      <c r="L2176" s="85"/>
    </row>
    <row r="2177" spans="1:12" x14ac:dyDescent="0.25">
      <c r="A2177" s="84" t="str">
        <f t="shared" si="100"/>
        <v>SelecioneSelecioneSelecione</v>
      </c>
      <c r="B2177" s="85" t="s">
        <v>19</v>
      </c>
      <c r="C2177" s="85" t="s">
        <v>19</v>
      </c>
      <c r="D2177" s="86"/>
      <c r="E2177" s="116" t="str">
        <f t="shared" si="101"/>
        <v>-</v>
      </c>
      <c r="F2177" s="85"/>
      <c r="G2177" s="85" t="s">
        <v>19</v>
      </c>
      <c r="H2177" s="85"/>
      <c r="I2177" s="85"/>
      <c r="J2177" s="87"/>
      <c r="K2177" s="88">
        <f t="shared" si="102"/>
        <v>0</v>
      </c>
      <c r="L2177" s="85"/>
    </row>
    <row r="2178" spans="1:12" x14ac:dyDescent="0.25">
      <c r="A2178" s="84" t="str">
        <f t="shared" ref="A2178:A2241" si="103">CONCATENATE(B2178,C2178,G2178)</f>
        <v>SelecioneSelecioneSelecione</v>
      </c>
      <c r="B2178" s="85" t="s">
        <v>19</v>
      </c>
      <c r="C2178" s="85" t="s">
        <v>19</v>
      </c>
      <c r="D2178" s="86"/>
      <c r="E2178" s="116" t="str">
        <f t="shared" ref="E2178:E2241" si="104">VLOOKUP(G2178,$M$1:$O$968,3,0)</f>
        <v>-</v>
      </c>
      <c r="F2178" s="85"/>
      <c r="G2178" s="85" t="s">
        <v>19</v>
      </c>
      <c r="H2178" s="85"/>
      <c r="I2178" s="85"/>
      <c r="J2178" s="87"/>
      <c r="K2178" s="88">
        <f t="shared" ref="K2178:K2241" si="105">I2178*J2178</f>
        <v>0</v>
      </c>
      <c r="L2178" s="85"/>
    </row>
    <row r="2179" spans="1:12" x14ac:dyDescent="0.25">
      <c r="A2179" s="84" t="str">
        <f t="shared" si="103"/>
        <v>SelecioneSelecioneSelecione</v>
      </c>
      <c r="B2179" s="85" t="s">
        <v>19</v>
      </c>
      <c r="C2179" s="85" t="s">
        <v>19</v>
      </c>
      <c r="D2179" s="86"/>
      <c r="E2179" s="116" t="str">
        <f t="shared" si="104"/>
        <v>-</v>
      </c>
      <c r="F2179" s="85"/>
      <c r="G2179" s="85" t="s">
        <v>19</v>
      </c>
      <c r="H2179" s="85"/>
      <c r="I2179" s="85"/>
      <c r="J2179" s="87"/>
      <c r="K2179" s="88">
        <f t="shared" si="105"/>
        <v>0</v>
      </c>
      <c r="L2179" s="85"/>
    </row>
    <row r="2180" spans="1:12" x14ac:dyDescent="0.25">
      <c r="A2180" s="84" t="str">
        <f t="shared" si="103"/>
        <v>SelecioneSelecioneSelecione</v>
      </c>
      <c r="B2180" s="85" t="s">
        <v>19</v>
      </c>
      <c r="C2180" s="85" t="s">
        <v>19</v>
      </c>
      <c r="D2180" s="86"/>
      <c r="E2180" s="116" t="str">
        <f t="shared" si="104"/>
        <v>-</v>
      </c>
      <c r="F2180" s="85"/>
      <c r="G2180" s="85" t="s">
        <v>19</v>
      </c>
      <c r="H2180" s="85"/>
      <c r="I2180" s="85"/>
      <c r="J2180" s="87"/>
      <c r="K2180" s="88">
        <f t="shared" si="105"/>
        <v>0</v>
      </c>
      <c r="L2180" s="85"/>
    </row>
    <row r="2181" spans="1:12" x14ac:dyDescent="0.25">
      <c r="A2181" s="84" t="str">
        <f t="shared" si="103"/>
        <v>SelecioneSelecioneSelecione</v>
      </c>
      <c r="B2181" s="85" t="s">
        <v>19</v>
      </c>
      <c r="C2181" s="85" t="s">
        <v>19</v>
      </c>
      <c r="D2181" s="86"/>
      <c r="E2181" s="116" t="str">
        <f t="shared" si="104"/>
        <v>-</v>
      </c>
      <c r="F2181" s="85"/>
      <c r="G2181" s="85" t="s">
        <v>19</v>
      </c>
      <c r="H2181" s="85"/>
      <c r="I2181" s="85"/>
      <c r="J2181" s="87"/>
      <c r="K2181" s="88">
        <f t="shared" si="105"/>
        <v>0</v>
      </c>
      <c r="L2181" s="85"/>
    </row>
    <row r="2182" spans="1:12" x14ac:dyDescent="0.25">
      <c r="A2182" s="84" t="str">
        <f t="shared" si="103"/>
        <v>SelecioneSelecioneSelecione</v>
      </c>
      <c r="B2182" s="85" t="s">
        <v>19</v>
      </c>
      <c r="C2182" s="85" t="s">
        <v>19</v>
      </c>
      <c r="D2182" s="86"/>
      <c r="E2182" s="116" t="str">
        <f t="shared" si="104"/>
        <v>-</v>
      </c>
      <c r="F2182" s="85"/>
      <c r="G2182" s="85" t="s">
        <v>19</v>
      </c>
      <c r="H2182" s="85"/>
      <c r="I2182" s="85"/>
      <c r="J2182" s="87"/>
      <c r="K2182" s="88">
        <f t="shared" si="105"/>
        <v>0</v>
      </c>
      <c r="L2182" s="85"/>
    </row>
    <row r="2183" spans="1:12" x14ac:dyDescent="0.25">
      <c r="A2183" s="84" t="str">
        <f t="shared" si="103"/>
        <v>SelecioneSelecioneSelecione</v>
      </c>
      <c r="B2183" s="85" t="s">
        <v>19</v>
      </c>
      <c r="C2183" s="85" t="s">
        <v>19</v>
      </c>
      <c r="D2183" s="86"/>
      <c r="E2183" s="116" t="str">
        <f t="shared" si="104"/>
        <v>-</v>
      </c>
      <c r="F2183" s="90"/>
      <c r="G2183" s="85" t="s">
        <v>19</v>
      </c>
      <c r="H2183" s="85"/>
      <c r="I2183" s="85"/>
      <c r="J2183" s="87"/>
      <c r="K2183" s="88">
        <f t="shared" si="105"/>
        <v>0</v>
      </c>
      <c r="L2183" s="85"/>
    </row>
    <row r="2184" spans="1:12" x14ac:dyDescent="0.25">
      <c r="A2184" s="84" t="str">
        <f t="shared" si="103"/>
        <v>SelecioneSelecioneSelecione</v>
      </c>
      <c r="B2184" s="85" t="s">
        <v>19</v>
      </c>
      <c r="C2184" s="85" t="s">
        <v>19</v>
      </c>
      <c r="D2184" s="86"/>
      <c r="E2184" s="116" t="str">
        <f t="shared" si="104"/>
        <v>-</v>
      </c>
      <c r="F2184" s="85"/>
      <c r="G2184" s="85" t="s">
        <v>19</v>
      </c>
      <c r="H2184" s="85"/>
      <c r="I2184" s="85"/>
      <c r="J2184" s="87"/>
      <c r="K2184" s="88">
        <f t="shared" si="105"/>
        <v>0</v>
      </c>
      <c r="L2184" s="85"/>
    </row>
    <row r="2185" spans="1:12" x14ac:dyDescent="0.25">
      <c r="A2185" s="84" t="str">
        <f t="shared" si="103"/>
        <v>SelecioneSelecioneSelecione</v>
      </c>
      <c r="B2185" s="85" t="s">
        <v>19</v>
      </c>
      <c r="C2185" s="85" t="s">
        <v>19</v>
      </c>
      <c r="D2185" s="86"/>
      <c r="E2185" s="116" t="str">
        <f t="shared" si="104"/>
        <v>-</v>
      </c>
      <c r="F2185" s="85"/>
      <c r="G2185" s="85" t="s">
        <v>19</v>
      </c>
      <c r="H2185" s="85"/>
      <c r="I2185" s="85"/>
      <c r="J2185" s="87"/>
      <c r="K2185" s="88">
        <f t="shared" si="105"/>
        <v>0</v>
      </c>
      <c r="L2185" s="85"/>
    </row>
    <row r="2186" spans="1:12" x14ac:dyDescent="0.25">
      <c r="A2186" s="84" t="str">
        <f t="shared" si="103"/>
        <v>SelecioneSelecioneSelecione</v>
      </c>
      <c r="B2186" s="85" t="s">
        <v>19</v>
      </c>
      <c r="C2186" s="85" t="s">
        <v>19</v>
      </c>
      <c r="D2186" s="86"/>
      <c r="E2186" s="116" t="str">
        <f t="shared" si="104"/>
        <v>-</v>
      </c>
      <c r="F2186" s="85"/>
      <c r="G2186" s="85" t="s">
        <v>19</v>
      </c>
      <c r="H2186" s="85"/>
      <c r="I2186" s="85"/>
      <c r="J2186" s="87"/>
      <c r="K2186" s="88">
        <f t="shared" si="105"/>
        <v>0</v>
      </c>
      <c r="L2186" s="85"/>
    </row>
    <row r="2187" spans="1:12" x14ac:dyDescent="0.25">
      <c r="A2187" s="84" t="str">
        <f t="shared" si="103"/>
        <v>SelecioneSelecioneSelecione</v>
      </c>
      <c r="B2187" s="85" t="s">
        <v>19</v>
      </c>
      <c r="C2187" s="85" t="s">
        <v>19</v>
      </c>
      <c r="D2187" s="86"/>
      <c r="E2187" s="116" t="str">
        <f t="shared" si="104"/>
        <v>-</v>
      </c>
      <c r="F2187" s="85"/>
      <c r="G2187" s="85" t="s">
        <v>19</v>
      </c>
      <c r="H2187" s="85"/>
      <c r="I2187" s="85"/>
      <c r="J2187" s="87"/>
      <c r="K2187" s="88">
        <f t="shared" si="105"/>
        <v>0</v>
      </c>
      <c r="L2187" s="85"/>
    </row>
    <row r="2188" spans="1:12" x14ac:dyDescent="0.25">
      <c r="A2188" s="84" t="str">
        <f t="shared" si="103"/>
        <v>SelecioneSelecioneSelecione</v>
      </c>
      <c r="B2188" s="85" t="s">
        <v>19</v>
      </c>
      <c r="C2188" s="85" t="s">
        <v>19</v>
      </c>
      <c r="D2188" s="86"/>
      <c r="E2188" s="116" t="str">
        <f t="shared" si="104"/>
        <v>-</v>
      </c>
      <c r="F2188" s="85"/>
      <c r="G2188" s="85" t="s">
        <v>19</v>
      </c>
      <c r="H2188" s="85"/>
      <c r="I2188" s="85"/>
      <c r="J2188" s="87"/>
      <c r="K2188" s="88">
        <f t="shared" si="105"/>
        <v>0</v>
      </c>
      <c r="L2188" s="85"/>
    </row>
    <row r="2189" spans="1:12" x14ac:dyDescent="0.25">
      <c r="A2189" s="84" t="str">
        <f t="shared" si="103"/>
        <v>SelecioneSelecioneSelecione</v>
      </c>
      <c r="B2189" s="85" t="s">
        <v>19</v>
      </c>
      <c r="C2189" s="85" t="s">
        <v>19</v>
      </c>
      <c r="D2189" s="86"/>
      <c r="E2189" s="116" t="str">
        <f t="shared" si="104"/>
        <v>-</v>
      </c>
      <c r="F2189" s="85"/>
      <c r="G2189" s="85" t="s">
        <v>19</v>
      </c>
      <c r="H2189" s="85"/>
      <c r="I2189" s="85"/>
      <c r="J2189" s="87"/>
      <c r="K2189" s="88">
        <f t="shared" si="105"/>
        <v>0</v>
      </c>
      <c r="L2189" s="85"/>
    </row>
    <row r="2190" spans="1:12" x14ac:dyDescent="0.25">
      <c r="A2190" s="84" t="str">
        <f t="shared" si="103"/>
        <v>SelecioneSelecioneSelecione</v>
      </c>
      <c r="B2190" s="85" t="s">
        <v>19</v>
      </c>
      <c r="C2190" s="85" t="s">
        <v>19</v>
      </c>
      <c r="D2190" s="86"/>
      <c r="E2190" s="116" t="str">
        <f t="shared" si="104"/>
        <v>-</v>
      </c>
      <c r="F2190" s="85"/>
      <c r="G2190" s="85" t="s">
        <v>19</v>
      </c>
      <c r="H2190" s="85"/>
      <c r="I2190" s="85"/>
      <c r="J2190" s="87"/>
      <c r="K2190" s="88">
        <f t="shared" si="105"/>
        <v>0</v>
      </c>
      <c r="L2190" s="85"/>
    </row>
    <row r="2191" spans="1:12" x14ac:dyDescent="0.25">
      <c r="A2191" s="84" t="str">
        <f t="shared" si="103"/>
        <v>SelecioneSelecioneSelecione</v>
      </c>
      <c r="B2191" s="85" t="s">
        <v>19</v>
      </c>
      <c r="C2191" s="85" t="s">
        <v>19</v>
      </c>
      <c r="D2191" s="86"/>
      <c r="E2191" s="116" t="str">
        <f t="shared" si="104"/>
        <v>-</v>
      </c>
      <c r="F2191" s="85"/>
      <c r="G2191" s="85" t="s">
        <v>19</v>
      </c>
      <c r="H2191" s="85"/>
      <c r="I2191" s="85"/>
      <c r="J2191" s="87"/>
      <c r="K2191" s="88">
        <f t="shared" si="105"/>
        <v>0</v>
      </c>
      <c r="L2191" s="85"/>
    </row>
    <row r="2192" spans="1:12" x14ac:dyDescent="0.25">
      <c r="A2192" s="84" t="str">
        <f t="shared" si="103"/>
        <v>SelecioneSelecioneSelecione</v>
      </c>
      <c r="B2192" s="85" t="s">
        <v>19</v>
      </c>
      <c r="C2192" s="85" t="s">
        <v>19</v>
      </c>
      <c r="D2192" s="86"/>
      <c r="E2192" s="116" t="str">
        <f t="shared" si="104"/>
        <v>-</v>
      </c>
      <c r="F2192" s="85"/>
      <c r="G2192" s="85" t="s">
        <v>19</v>
      </c>
      <c r="H2192" s="85"/>
      <c r="I2192" s="85"/>
      <c r="J2192" s="87"/>
      <c r="K2192" s="88">
        <f t="shared" si="105"/>
        <v>0</v>
      </c>
      <c r="L2192" s="85"/>
    </row>
    <row r="2193" spans="1:12" x14ac:dyDescent="0.25">
      <c r="A2193" s="84" t="str">
        <f t="shared" si="103"/>
        <v>SelecioneSelecioneSelecione</v>
      </c>
      <c r="B2193" s="85" t="s">
        <v>19</v>
      </c>
      <c r="C2193" s="85" t="s">
        <v>19</v>
      </c>
      <c r="D2193" s="86"/>
      <c r="E2193" s="116" t="str">
        <f t="shared" si="104"/>
        <v>-</v>
      </c>
      <c r="F2193" s="85"/>
      <c r="G2193" s="85" t="s">
        <v>19</v>
      </c>
      <c r="H2193" s="85"/>
      <c r="I2193" s="85"/>
      <c r="J2193" s="87"/>
      <c r="K2193" s="88">
        <f t="shared" si="105"/>
        <v>0</v>
      </c>
      <c r="L2193" s="85"/>
    </row>
    <row r="2194" spans="1:12" x14ac:dyDescent="0.25">
      <c r="A2194" s="84" t="str">
        <f t="shared" si="103"/>
        <v>SelecioneSelecioneSelecione</v>
      </c>
      <c r="B2194" s="85" t="s">
        <v>19</v>
      </c>
      <c r="C2194" s="85" t="s">
        <v>19</v>
      </c>
      <c r="D2194" s="86"/>
      <c r="E2194" s="116" t="str">
        <f t="shared" si="104"/>
        <v>-</v>
      </c>
      <c r="F2194" s="85"/>
      <c r="G2194" s="85" t="s">
        <v>19</v>
      </c>
      <c r="H2194" s="85"/>
      <c r="I2194" s="85"/>
      <c r="J2194" s="87"/>
      <c r="K2194" s="88">
        <f t="shared" si="105"/>
        <v>0</v>
      </c>
      <c r="L2194" s="85"/>
    </row>
    <row r="2195" spans="1:12" x14ac:dyDescent="0.25">
      <c r="A2195" s="84" t="str">
        <f t="shared" si="103"/>
        <v>SelecioneSelecioneSelecione</v>
      </c>
      <c r="B2195" s="85" t="s">
        <v>19</v>
      </c>
      <c r="C2195" s="85" t="s">
        <v>19</v>
      </c>
      <c r="D2195" s="86"/>
      <c r="E2195" s="116" t="str">
        <f t="shared" si="104"/>
        <v>-</v>
      </c>
      <c r="F2195" s="85"/>
      <c r="G2195" s="85" t="s">
        <v>19</v>
      </c>
      <c r="H2195" s="85"/>
      <c r="I2195" s="85"/>
      <c r="J2195" s="87"/>
      <c r="K2195" s="88">
        <f t="shared" si="105"/>
        <v>0</v>
      </c>
      <c r="L2195" s="85"/>
    </row>
    <row r="2196" spans="1:12" x14ac:dyDescent="0.25">
      <c r="A2196" s="84" t="str">
        <f t="shared" si="103"/>
        <v>SelecioneSelecioneSelecione</v>
      </c>
      <c r="B2196" s="85" t="s">
        <v>19</v>
      </c>
      <c r="C2196" s="85" t="s">
        <v>19</v>
      </c>
      <c r="D2196" s="86"/>
      <c r="E2196" s="116" t="str">
        <f t="shared" si="104"/>
        <v>-</v>
      </c>
      <c r="F2196" s="85"/>
      <c r="G2196" s="85" t="s">
        <v>19</v>
      </c>
      <c r="H2196" s="85"/>
      <c r="I2196" s="85"/>
      <c r="J2196" s="87"/>
      <c r="K2196" s="88">
        <f t="shared" si="105"/>
        <v>0</v>
      </c>
      <c r="L2196" s="85"/>
    </row>
    <row r="2197" spans="1:12" x14ac:dyDescent="0.25">
      <c r="A2197" s="84" t="str">
        <f t="shared" si="103"/>
        <v>SelecioneSelecioneSelecione</v>
      </c>
      <c r="B2197" s="85" t="s">
        <v>19</v>
      </c>
      <c r="C2197" s="85" t="s">
        <v>19</v>
      </c>
      <c r="D2197" s="86"/>
      <c r="E2197" s="116" t="str">
        <f t="shared" si="104"/>
        <v>-</v>
      </c>
      <c r="F2197" s="85"/>
      <c r="G2197" s="85" t="s">
        <v>19</v>
      </c>
      <c r="H2197" s="85"/>
      <c r="I2197" s="85"/>
      <c r="J2197" s="87"/>
      <c r="K2197" s="88">
        <f t="shared" si="105"/>
        <v>0</v>
      </c>
      <c r="L2197" s="85"/>
    </row>
    <row r="2198" spans="1:12" x14ac:dyDescent="0.25">
      <c r="A2198" s="84" t="str">
        <f t="shared" si="103"/>
        <v>SelecioneSelecioneSelecione</v>
      </c>
      <c r="B2198" s="85" t="s">
        <v>19</v>
      </c>
      <c r="C2198" s="85" t="s">
        <v>19</v>
      </c>
      <c r="D2198" s="86"/>
      <c r="E2198" s="116" t="str">
        <f t="shared" si="104"/>
        <v>-</v>
      </c>
      <c r="F2198" s="85"/>
      <c r="G2198" s="85" t="s">
        <v>19</v>
      </c>
      <c r="H2198" s="85"/>
      <c r="I2198" s="85"/>
      <c r="J2198" s="87"/>
      <c r="K2198" s="88">
        <f t="shared" si="105"/>
        <v>0</v>
      </c>
      <c r="L2198" s="85"/>
    </row>
    <row r="2199" spans="1:12" x14ac:dyDescent="0.25">
      <c r="A2199" s="84" t="str">
        <f t="shared" si="103"/>
        <v>SelecioneSelecioneSelecione</v>
      </c>
      <c r="B2199" s="85" t="s">
        <v>19</v>
      </c>
      <c r="C2199" s="85" t="s">
        <v>19</v>
      </c>
      <c r="D2199" s="86"/>
      <c r="E2199" s="116" t="str">
        <f t="shared" si="104"/>
        <v>-</v>
      </c>
      <c r="F2199" s="85"/>
      <c r="G2199" s="85" t="s">
        <v>19</v>
      </c>
      <c r="H2199" s="85"/>
      <c r="I2199" s="85"/>
      <c r="J2199" s="87"/>
      <c r="K2199" s="88">
        <f t="shared" si="105"/>
        <v>0</v>
      </c>
      <c r="L2199" s="85"/>
    </row>
    <row r="2200" spans="1:12" x14ac:dyDescent="0.25">
      <c r="A2200" s="84" t="str">
        <f t="shared" si="103"/>
        <v>SelecioneSelecioneSelecione</v>
      </c>
      <c r="B2200" s="85" t="s">
        <v>19</v>
      </c>
      <c r="C2200" s="85" t="s">
        <v>19</v>
      </c>
      <c r="D2200" s="86"/>
      <c r="E2200" s="116" t="str">
        <f t="shared" si="104"/>
        <v>-</v>
      </c>
      <c r="F2200" s="85"/>
      <c r="G2200" s="85" t="s">
        <v>19</v>
      </c>
      <c r="H2200" s="85"/>
      <c r="I2200" s="85"/>
      <c r="J2200" s="87"/>
      <c r="K2200" s="88">
        <f t="shared" si="105"/>
        <v>0</v>
      </c>
      <c r="L2200" s="85"/>
    </row>
    <row r="2201" spans="1:12" x14ac:dyDescent="0.25">
      <c r="A2201" s="84" t="str">
        <f t="shared" si="103"/>
        <v>SelecioneSelecioneSelecione</v>
      </c>
      <c r="B2201" s="85" t="s">
        <v>19</v>
      </c>
      <c r="C2201" s="85" t="s">
        <v>19</v>
      </c>
      <c r="D2201" s="86"/>
      <c r="E2201" s="116" t="str">
        <f t="shared" si="104"/>
        <v>-</v>
      </c>
      <c r="F2201" s="85"/>
      <c r="G2201" s="85" t="s">
        <v>19</v>
      </c>
      <c r="H2201" s="85"/>
      <c r="I2201" s="85"/>
      <c r="J2201" s="87"/>
      <c r="K2201" s="88">
        <f t="shared" si="105"/>
        <v>0</v>
      </c>
      <c r="L2201" s="85"/>
    </row>
    <row r="2202" spans="1:12" x14ac:dyDescent="0.25">
      <c r="A2202" s="84" t="str">
        <f t="shared" si="103"/>
        <v>SelecioneSelecioneSelecione</v>
      </c>
      <c r="B2202" s="85" t="s">
        <v>19</v>
      </c>
      <c r="C2202" s="85" t="s">
        <v>19</v>
      </c>
      <c r="D2202" s="86"/>
      <c r="E2202" s="116" t="str">
        <f t="shared" si="104"/>
        <v>-</v>
      </c>
      <c r="F2202" s="85"/>
      <c r="G2202" s="85" t="s">
        <v>19</v>
      </c>
      <c r="H2202" s="85"/>
      <c r="I2202" s="85"/>
      <c r="J2202" s="87"/>
      <c r="K2202" s="88">
        <f t="shared" si="105"/>
        <v>0</v>
      </c>
      <c r="L2202" s="85"/>
    </row>
    <row r="2203" spans="1:12" x14ac:dyDescent="0.25">
      <c r="A2203" s="84" t="str">
        <f t="shared" si="103"/>
        <v>SelecioneSelecioneSelecione</v>
      </c>
      <c r="B2203" s="85" t="s">
        <v>19</v>
      </c>
      <c r="C2203" s="85" t="s">
        <v>19</v>
      </c>
      <c r="D2203" s="86"/>
      <c r="E2203" s="116" t="str">
        <f t="shared" si="104"/>
        <v>-</v>
      </c>
      <c r="F2203" s="85"/>
      <c r="G2203" s="85" t="s">
        <v>19</v>
      </c>
      <c r="H2203" s="85"/>
      <c r="I2203" s="85"/>
      <c r="J2203" s="87"/>
      <c r="K2203" s="88">
        <f t="shared" si="105"/>
        <v>0</v>
      </c>
      <c r="L2203" s="85"/>
    </row>
    <row r="2204" spans="1:12" x14ac:dyDescent="0.25">
      <c r="A2204" s="84" t="str">
        <f t="shared" si="103"/>
        <v>SelecioneSelecioneSelecione</v>
      </c>
      <c r="B2204" s="85" t="s">
        <v>19</v>
      </c>
      <c r="C2204" s="85" t="s">
        <v>19</v>
      </c>
      <c r="D2204" s="86"/>
      <c r="E2204" s="116" t="str">
        <f t="shared" si="104"/>
        <v>-</v>
      </c>
      <c r="F2204" s="85"/>
      <c r="G2204" s="85" t="s">
        <v>19</v>
      </c>
      <c r="H2204" s="85"/>
      <c r="I2204" s="85"/>
      <c r="J2204" s="87"/>
      <c r="K2204" s="88">
        <f t="shared" si="105"/>
        <v>0</v>
      </c>
      <c r="L2204" s="85"/>
    </row>
    <row r="2205" spans="1:12" x14ac:dyDescent="0.25">
      <c r="A2205" s="84" t="str">
        <f t="shared" si="103"/>
        <v>SelecioneSelecioneSelecione</v>
      </c>
      <c r="B2205" s="85" t="s">
        <v>19</v>
      </c>
      <c r="C2205" s="85" t="s">
        <v>19</v>
      </c>
      <c r="D2205" s="86"/>
      <c r="E2205" s="116" t="str">
        <f t="shared" si="104"/>
        <v>-</v>
      </c>
      <c r="F2205" s="85"/>
      <c r="G2205" s="85" t="s">
        <v>19</v>
      </c>
      <c r="H2205" s="85"/>
      <c r="I2205" s="85"/>
      <c r="J2205" s="87"/>
      <c r="K2205" s="88">
        <f t="shared" si="105"/>
        <v>0</v>
      </c>
      <c r="L2205" s="85"/>
    </row>
    <row r="2206" spans="1:12" x14ac:dyDescent="0.25">
      <c r="A2206" s="84" t="str">
        <f t="shared" si="103"/>
        <v>SelecioneSelecioneSelecione</v>
      </c>
      <c r="B2206" s="85" t="s">
        <v>19</v>
      </c>
      <c r="C2206" s="85" t="s">
        <v>19</v>
      </c>
      <c r="D2206" s="86"/>
      <c r="E2206" s="116" t="str">
        <f t="shared" si="104"/>
        <v>-</v>
      </c>
      <c r="F2206" s="85"/>
      <c r="G2206" s="85" t="s">
        <v>19</v>
      </c>
      <c r="H2206" s="85"/>
      <c r="I2206" s="85"/>
      <c r="J2206" s="87"/>
      <c r="K2206" s="88">
        <f t="shared" si="105"/>
        <v>0</v>
      </c>
      <c r="L2206" s="85"/>
    </row>
    <row r="2207" spans="1:12" x14ac:dyDescent="0.25">
      <c r="A2207" s="84" t="str">
        <f t="shared" si="103"/>
        <v>SelecioneSelecioneSelecione</v>
      </c>
      <c r="B2207" s="85" t="s">
        <v>19</v>
      </c>
      <c r="C2207" s="85" t="s">
        <v>19</v>
      </c>
      <c r="D2207" s="86"/>
      <c r="E2207" s="116" t="str">
        <f t="shared" si="104"/>
        <v>-</v>
      </c>
      <c r="F2207" s="85"/>
      <c r="G2207" s="85" t="s">
        <v>19</v>
      </c>
      <c r="H2207" s="85"/>
      <c r="I2207" s="85"/>
      <c r="J2207" s="87"/>
      <c r="K2207" s="88">
        <f t="shared" si="105"/>
        <v>0</v>
      </c>
      <c r="L2207" s="85"/>
    </row>
    <row r="2208" spans="1:12" x14ac:dyDescent="0.25">
      <c r="A2208" s="84" t="str">
        <f t="shared" si="103"/>
        <v>SelecioneSelecioneSelecione</v>
      </c>
      <c r="B2208" s="85" t="s">
        <v>19</v>
      </c>
      <c r="C2208" s="85" t="s">
        <v>19</v>
      </c>
      <c r="D2208" s="86"/>
      <c r="E2208" s="116" t="str">
        <f t="shared" si="104"/>
        <v>-</v>
      </c>
      <c r="F2208" s="85"/>
      <c r="G2208" s="85" t="s">
        <v>19</v>
      </c>
      <c r="H2208" s="85"/>
      <c r="I2208" s="85"/>
      <c r="J2208" s="87"/>
      <c r="K2208" s="88">
        <f t="shared" si="105"/>
        <v>0</v>
      </c>
      <c r="L2208" s="85"/>
    </row>
    <row r="2209" spans="1:12" x14ac:dyDescent="0.25">
      <c r="A2209" s="84" t="str">
        <f t="shared" si="103"/>
        <v>SelecioneSelecioneSelecione</v>
      </c>
      <c r="B2209" s="85" t="s">
        <v>19</v>
      </c>
      <c r="C2209" s="85" t="s">
        <v>19</v>
      </c>
      <c r="D2209" s="86"/>
      <c r="E2209" s="116" t="str">
        <f t="shared" si="104"/>
        <v>-</v>
      </c>
      <c r="F2209" s="85"/>
      <c r="G2209" s="85" t="s">
        <v>19</v>
      </c>
      <c r="H2209" s="85"/>
      <c r="I2209" s="85"/>
      <c r="J2209" s="87"/>
      <c r="K2209" s="88">
        <f t="shared" si="105"/>
        <v>0</v>
      </c>
      <c r="L2209" s="85"/>
    </row>
    <row r="2210" spans="1:12" x14ac:dyDescent="0.25">
      <c r="A2210" s="84" t="str">
        <f t="shared" si="103"/>
        <v>SelecioneSelecioneSelecione</v>
      </c>
      <c r="B2210" s="85" t="s">
        <v>19</v>
      </c>
      <c r="C2210" s="85" t="s">
        <v>19</v>
      </c>
      <c r="D2210" s="86"/>
      <c r="E2210" s="116" t="str">
        <f t="shared" si="104"/>
        <v>-</v>
      </c>
      <c r="F2210" s="85"/>
      <c r="G2210" s="85" t="s">
        <v>19</v>
      </c>
      <c r="H2210" s="85"/>
      <c r="I2210" s="85"/>
      <c r="J2210" s="87"/>
      <c r="K2210" s="88">
        <f t="shared" si="105"/>
        <v>0</v>
      </c>
      <c r="L2210" s="85"/>
    </row>
    <row r="2211" spans="1:12" x14ac:dyDescent="0.25">
      <c r="A2211" s="84" t="str">
        <f t="shared" si="103"/>
        <v>SelecioneSelecioneSelecione</v>
      </c>
      <c r="B2211" s="85" t="s">
        <v>19</v>
      </c>
      <c r="C2211" s="85" t="s">
        <v>19</v>
      </c>
      <c r="D2211" s="86"/>
      <c r="E2211" s="116" t="str">
        <f t="shared" si="104"/>
        <v>-</v>
      </c>
      <c r="F2211" s="85"/>
      <c r="G2211" s="85" t="s">
        <v>19</v>
      </c>
      <c r="H2211" s="85"/>
      <c r="I2211" s="85"/>
      <c r="J2211" s="87"/>
      <c r="K2211" s="88">
        <f t="shared" si="105"/>
        <v>0</v>
      </c>
      <c r="L2211" s="85"/>
    </row>
    <row r="2212" spans="1:12" x14ac:dyDescent="0.25">
      <c r="A2212" s="84" t="str">
        <f t="shared" si="103"/>
        <v>SelecioneSelecioneSelecione</v>
      </c>
      <c r="B2212" s="85" t="s">
        <v>19</v>
      </c>
      <c r="C2212" s="85" t="s">
        <v>19</v>
      </c>
      <c r="D2212" s="86"/>
      <c r="E2212" s="116" t="str">
        <f t="shared" si="104"/>
        <v>-</v>
      </c>
      <c r="F2212" s="85"/>
      <c r="G2212" s="85" t="s">
        <v>19</v>
      </c>
      <c r="H2212" s="85"/>
      <c r="I2212" s="85"/>
      <c r="J2212" s="87"/>
      <c r="K2212" s="88">
        <f t="shared" si="105"/>
        <v>0</v>
      </c>
      <c r="L2212" s="85"/>
    </row>
    <row r="2213" spans="1:12" x14ac:dyDescent="0.25">
      <c r="A2213" s="84" t="str">
        <f t="shared" si="103"/>
        <v>SelecioneSelecioneSelecione</v>
      </c>
      <c r="B2213" s="85" t="s">
        <v>19</v>
      </c>
      <c r="C2213" s="85" t="s">
        <v>19</v>
      </c>
      <c r="D2213" s="86"/>
      <c r="E2213" s="116" t="str">
        <f t="shared" si="104"/>
        <v>-</v>
      </c>
      <c r="F2213" s="85"/>
      <c r="G2213" s="85" t="s">
        <v>19</v>
      </c>
      <c r="H2213" s="85"/>
      <c r="I2213" s="85"/>
      <c r="J2213" s="87"/>
      <c r="K2213" s="88">
        <f t="shared" si="105"/>
        <v>0</v>
      </c>
      <c r="L2213" s="85"/>
    </row>
    <row r="2214" spans="1:12" x14ac:dyDescent="0.25">
      <c r="A2214" s="84" t="str">
        <f t="shared" si="103"/>
        <v>SelecioneSelecioneSelecione</v>
      </c>
      <c r="B2214" s="85" t="s">
        <v>19</v>
      </c>
      <c r="C2214" s="85" t="s">
        <v>19</v>
      </c>
      <c r="D2214" s="86"/>
      <c r="E2214" s="116" t="str">
        <f t="shared" si="104"/>
        <v>-</v>
      </c>
      <c r="F2214" s="85"/>
      <c r="G2214" s="85" t="s">
        <v>19</v>
      </c>
      <c r="H2214" s="85"/>
      <c r="I2214" s="85"/>
      <c r="J2214" s="87"/>
      <c r="K2214" s="88">
        <f t="shared" si="105"/>
        <v>0</v>
      </c>
      <c r="L2214" s="85"/>
    </row>
    <row r="2215" spans="1:12" x14ac:dyDescent="0.25">
      <c r="A2215" s="84" t="str">
        <f t="shared" si="103"/>
        <v>SelecioneSelecioneSelecione</v>
      </c>
      <c r="B2215" s="85" t="s">
        <v>19</v>
      </c>
      <c r="C2215" s="85" t="s">
        <v>19</v>
      </c>
      <c r="D2215" s="86"/>
      <c r="E2215" s="116" t="str">
        <f t="shared" si="104"/>
        <v>-</v>
      </c>
      <c r="F2215" s="85"/>
      <c r="G2215" s="85" t="s">
        <v>19</v>
      </c>
      <c r="H2215" s="85"/>
      <c r="I2215" s="85"/>
      <c r="J2215" s="87"/>
      <c r="K2215" s="88">
        <f t="shared" si="105"/>
        <v>0</v>
      </c>
      <c r="L2215" s="85"/>
    </row>
    <row r="2216" spans="1:12" x14ac:dyDescent="0.25">
      <c r="A2216" s="84" t="str">
        <f t="shared" si="103"/>
        <v>SelecioneSelecioneSelecione</v>
      </c>
      <c r="B2216" s="85" t="s">
        <v>19</v>
      </c>
      <c r="C2216" s="85" t="s">
        <v>19</v>
      </c>
      <c r="D2216" s="86"/>
      <c r="E2216" s="116" t="str">
        <f t="shared" si="104"/>
        <v>-</v>
      </c>
      <c r="F2216" s="85"/>
      <c r="G2216" s="85" t="s">
        <v>19</v>
      </c>
      <c r="H2216" s="85"/>
      <c r="I2216" s="85"/>
      <c r="J2216" s="87"/>
      <c r="K2216" s="88">
        <f t="shared" si="105"/>
        <v>0</v>
      </c>
      <c r="L2216" s="85"/>
    </row>
    <row r="2217" spans="1:12" x14ac:dyDescent="0.25">
      <c r="A2217" s="84" t="str">
        <f t="shared" si="103"/>
        <v>SelecioneSelecioneSelecione</v>
      </c>
      <c r="B2217" s="85" t="s">
        <v>19</v>
      </c>
      <c r="C2217" s="85" t="s">
        <v>19</v>
      </c>
      <c r="D2217" s="86"/>
      <c r="E2217" s="116" t="str">
        <f t="shared" si="104"/>
        <v>-</v>
      </c>
      <c r="F2217" s="85"/>
      <c r="G2217" s="85" t="s">
        <v>19</v>
      </c>
      <c r="H2217" s="85"/>
      <c r="I2217" s="85"/>
      <c r="J2217" s="87"/>
      <c r="K2217" s="88">
        <f t="shared" si="105"/>
        <v>0</v>
      </c>
      <c r="L2217" s="85"/>
    </row>
    <row r="2218" spans="1:12" x14ac:dyDescent="0.25">
      <c r="A2218" s="84" t="str">
        <f t="shared" si="103"/>
        <v>SelecioneSelecioneSelecione</v>
      </c>
      <c r="B2218" s="85" t="s">
        <v>19</v>
      </c>
      <c r="C2218" s="85" t="s">
        <v>19</v>
      </c>
      <c r="D2218" s="86"/>
      <c r="E2218" s="116" t="str">
        <f t="shared" si="104"/>
        <v>-</v>
      </c>
      <c r="F2218" s="85"/>
      <c r="G2218" s="85" t="s">
        <v>19</v>
      </c>
      <c r="H2218" s="85"/>
      <c r="I2218" s="85"/>
      <c r="J2218" s="87"/>
      <c r="K2218" s="88">
        <f t="shared" si="105"/>
        <v>0</v>
      </c>
      <c r="L2218" s="85"/>
    </row>
    <row r="2219" spans="1:12" x14ac:dyDescent="0.25">
      <c r="A2219" s="84" t="str">
        <f t="shared" si="103"/>
        <v>SelecioneSelecioneSelecione</v>
      </c>
      <c r="B2219" s="85" t="s">
        <v>19</v>
      </c>
      <c r="C2219" s="85" t="s">
        <v>19</v>
      </c>
      <c r="D2219" s="86"/>
      <c r="E2219" s="116" t="str">
        <f t="shared" si="104"/>
        <v>-</v>
      </c>
      <c r="F2219" s="85"/>
      <c r="G2219" s="85" t="s">
        <v>19</v>
      </c>
      <c r="H2219" s="85"/>
      <c r="I2219" s="85"/>
      <c r="J2219" s="87"/>
      <c r="K2219" s="88">
        <f t="shared" si="105"/>
        <v>0</v>
      </c>
      <c r="L2219" s="85"/>
    </row>
    <row r="2220" spans="1:12" x14ac:dyDescent="0.25">
      <c r="A2220" s="84" t="str">
        <f t="shared" si="103"/>
        <v>SelecioneSelecioneSelecione</v>
      </c>
      <c r="B2220" s="85" t="s">
        <v>19</v>
      </c>
      <c r="C2220" s="85" t="s">
        <v>19</v>
      </c>
      <c r="D2220" s="86"/>
      <c r="E2220" s="116" t="str">
        <f t="shared" si="104"/>
        <v>-</v>
      </c>
      <c r="F2220" s="85"/>
      <c r="G2220" s="85" t="s">
        <v>19</v>
      </c>
      <c r="H2220" s="85"/>
      <c r="I2220" s="85"/>
      <c r="J2220" s="87"/>
      <c r="K2220" s="88">
        <f t="shared" si="105"/>
        <v>0</v>
      </c>
      <c r="L2220" s="85"/>
    </row>
    <row r="2221" spans="1:12" x14ac:dyDescent="0.25">
      <c r="A2221" s="84" t="str">
        <f t="shared" si="103"/>
        <v>SelecioneSelecioneSelecione</v>
      </c>
      <c r="B2221" s="85" t="s">
        <v>19</v>
      </c>
      <c r="C2221" s="85" t="s">
        <v>19</v>
      </c>
      <c r="D2221" s="86"/>
      <c r="E2221" s="116" t="str">
        <f t="shared" si="104"/>
        <v>-</v>
      </c>
      <c r="F2221" s="85"/>
      <c r="G2221" s="85" t="s">
        <v>19</v>
      </c>
      <c r="H2221" s="85"/>
      <c r="I2221" s="85"/>
      <c r="J2221" s="87"/>
      <c r="K2221" s="88">
        <f t="shared" si="105"/>
        <v>0</v>
      </c>
      <c r="L2221" s="85"/>
    </row>
    <row r="2222" spans="1:12" x14ac:dyDescent="0.25">
      <c r="A2222" s="84" t="str">
        <f t="shared" si="103"/>
        <v>SelecioneSelecioneSelecione</v>
      </c>
      <c r="B2222" s="85" t="s">
        <v>19</v>
      </c>
      <c r="C2222" s="85" t="s">
        <v>19</v>
      </c>
      <c r="D2222" s="86"/>
      <c r="E2222" s="116" t="str">
        <f t="shared" si="104"/>
        <v>-</v>
      </c>
      <c r="F2222" s="85"/>
      <c r="G2222" s="85" t="s">
        <v>19</v>
      </c>
      <c r="H2222" s="85"/>
      <c r="I2222" s="85"/>
      <c r="J2222" s="87"/>
      <c r="K2222" s="88">
        <f t="shared" si="105"/>
        <v>0</v>
      </c>
      <c r="L2222" s="85"/>
    </row>
    <row r="2223" spans="1:12" x14ac:dyDescent="0.25">
      <c r="A2223" s="84" t="str">
        <f t="shared" si="103"/>
        <v>SelecioneSelecioneSelecione</v>
      </c>
      <c r="B2223" s="85" t="s">
        <v>19</v>
      </c>
      <c r="C2223" s="85" t="s">
        <v>19</v>
      </c>
      <c r="D2223" s="86"/>
      <c r="E2223" s="116" t="str">
        <f t="shared" si="104"/>
        <v>-</v>
      </c>
      <c r="F2223" s="85"/>
      <c r="G2223" s="85" t="s">
        <v>19</v>
      </c>
      <c r="H2223" s="85"/>
      <c r="I2223" s="85"/>
      <c r="J2223" s="87"/>
      <c r="K2223" s="88">
        <f t="shared" si="105"/>
        <v>0</v>
      </c>
      <c r="L2223" s="85"/>
    </row>
    <row r="2224" spans="1:12" x14ac:dyDescent="0.25">
      <c r="A2224" s="84" t="str">
        <f t="shared" si="103"/>
        <v>SelecioneSelecioneSelecione</v>
      </c>
      <c r="B2224" s="85" t="s">
        <v>19</v>
      </c>
      <c r="C2224" s="85" t="s">
        <v>19</v>
      </c>
      <c r="D2224" s="86"/>
      <c r="E2224" s="116" t="str">
        <f t="shared" si="104"/>
        <v>-</v>
      </c>
      <c r="F2224" s="85"/>
      <c r="G2224" s="85" t="s">
        <v>19</v>
      </c>
      <c r="H2224" s="85"/>
      <c r="I2224" s="85"/>
      <c r="J2224" s="87"/>
      <c r="K2224" s="88">
        <f t="shared" si="105"/>
        <v>0</v>
      </c>
      <c r="L2224" s="85"/>
    </row>
    <row r="2225" spans="1:12" x14ac:dyDescent="0.25">
      <c r="A2225" s="84" t="str">
        <f t="shared" si="103"/>
        <v>SelecioneSelecioneSelecione</v>
      </c>
      <c r="B2225" s="85" t="s">
        <v>19</v>
      </c>
      <c r="C2225" s="85" t="s">
        <v>19</v>
      </c>
      <c r="D2225" s="86"/>
      <c r="E2225" s="116" t="str">
        <f t="shared" si="104"/>
        <v>-</v>
      </c>
      <c r="F2225" s="85"/>
      <c r="G2225" s="85" t="s">
        <v>19</v>
      </c>
      <c r="H2225" s="85"/>
      <c r="I2225" s="85"/>
      <c r="J2225" s="87"/>
      <c r="K2225" s="88">
        <f t="shared" si="105"/>
        <v>0</v>
      </c>
      <c r="L2225" s="85"/>
    </row>
    <row r="2226" spans="1:12" x14ac:dyDescent="0.25">
      <c r="A2226" s="84" t="str">
        <f t="shared" si="103"/>
        <v>SelecioneSelecioneSelecione</v>
      </c>
      <c r="B2226" s="85" t="s">
        <v>19</v>
      </c>
      <c r="C2226" s="85" t="s">
        <v>19</v>
      </c>
      <c r="D2226" s="86"/>
      <c r="E2226" s="116" t="str">
        <f t="shared" si="104"/>
        <v>-</v>
      </c>
      <c r="F2226" s="85"/>
      <c r="G2226" s="85" t="s">
        <v>19</v>
      </c>
      <c r="H2226" s="85"/>
      <c r="I2226" s="85"/>
      <c r="J2226" s="87"/>
      <c r="K2226" s="88">
        <f t="shared" si="105"/>
        <v>0</v>
      </c>
      <c r="L2226" s="85"/>
    </row>
    <row r="2227" spans="1:12" x14ac:dyDescent="0.25">
      <c r="A2227" s="84" t="str">
        <f t="shared" si="103"/>
        <v>SelecioneSelecioneSelecione</v>
      </c>
      <c r="B2227" s="85" t="s">
        <v>19</v>
      </c>
      <c r="C2227" s="85" t="s">
        <v>19</v>
      </c>
      <c r="D2227" s="86"/>
      <c r="E2227" s="116" t="str">
        <f t="shared" si="104"/>
        <v>-</v>
      </c>
      <c r="F2227" s="85"/>
      <c r="G2227" s="85" t="s">
        <v>19</v>
      </c>
      <c r="H2227" s="85"/>
      <c r="I2227" s="85"/>
      <c r="J2227" s="87"/>
      <c r="K2227" s="88">
        <f t="shared" si="105"/>
        <v>0</v>
      </c>
      <c r="L2227" s="85"/>
    </row>
    <row r="2228" spans="1:12" x14ac:dyDescent="0.25">
      <c r="A2228" s="84" t="str">
        <f t="shared" si="103"/>
        <v>SelecioneSelecioneSelecione</v>
      </c>
      <c r="B2228" s="85" t="s">
        <v>19</v>
      </c>
      <c r="C2228" s="85" t="s">
        <v>19</v>
      </c>
      <c r="D2228" s="86"/>
      <c r="E2228" s="116" t="str">
        <f t="shared" si="104"/>
        <v>-</v>
      </c>
      <c r="F2228" s="85"/>
      <c r="G2228" s="85" t="s">
        <v>19</v>
      </c>
      <c r="H2228" s="85"/>
      <c r="I2228" s="85"/>
      <c r="J2228" s="87"/>
      <c r="K2228" s="88">
        <f t="shared" si="105"/>
        <v>0</v>
      </c>
      <c r="L2228" s="85"/>
    </row>
    <row r="2229" spans="1:12" x14ac:dyDescent="0.25">
      <c r="A2229" s="84" t="str">
        <f t="shared" si="103"/>
        <v>SelecioneSelecioneSelecione</v>
      </c>
      <c r="B2229" s="85" t="s">
        <v>19</v>
      </c>
      <c r="C2229" s="85" t="s">
        <v>19</v>
      </c>
      <c r="D2229" s="86"/>
      <c r="E2229" s="116" t="str">
        <f t="shared" si="104"/>
        <v>-</v>
      </c>
      <c r="F2229" s="85"/>
      <c r="G2229" s="85" t="s">
        <v>19</v>
      </c>
      <c r="H2229" s="85"/>
      <c r="I2229" s="85"/>
      <c r="J2229" s="87"/>
      <c r="K2229" s="88">
        <f t="shared" si="105"/>
        <v>0</v>
      </c>
      <c r="L2229" s="85"/>
    </row>
    <row r="2230" spans="1:12" x14ac:dyDescent="0.25">
      <c r="A2230" s="84" t="str">
        <f t="shared" si="103"/>
        <v>SelecioneSelecioneSelecione</v>
      </c>
      <c r="B2230" s="85" t="s">
        <v>19</v>
      </c>
      <c r="C2230" s="85" t="s">
        <v>19</v>
      </c>
      <c r="D2230" s="86"/>
      <c r="E2230" s="116" t="str">
        <f t="shared" si="104"/>
        <v>-</v>
      </c>
      <c r="F2230" s="85"/>
      <c r="G2230" s="85" t="s">
        <v>19</v>
      </c>
      <c r="H2230" s="85"/>
      <c r="I2230" s="85"/>
      <c r="J2230" s="87"/>
      <c r="K2230" s="88">
        <f t="shared" si="105"/>
        <v>0</v>
      </c>
      <c r="L2230" s="85"/>
    </row>
    <row r="2231" spans="1:12" x14ac:dyDescent="0.25">
      <c r="A2231" s="84" t="str">
        <f t="shared" si="103"/>
        <v>SelecioneSelecioneSelecione</v>
      </c>
      <c r="B2231" s="85" t="s">
        <v>19</v>
      </c>
      <c r="C2231" s="85" t="s">
        <v>19</v>
      </c>
      <c r="D2231" s="86"/>
      <c r="E2231" s="116" t="str">
        <f t="shared" si="104"/>
        <v>-</v>
      </c>
      <c r="F2231" s="85"/>
      <c r="G2231" s="85" t="s">
        <v>19</v>
      </c>
      <c r="H2231" s="85"/>
      <c r="I2231" s="85"/>
      <c r="J2231" s="87"/>
      <c r="K2231" s="88">
        <f t="shared" si="105"/>
        <v>0</v>
      </c>
      <c r="L2231" s="85"/>
    </row>
    <row r="2232" spans="1:12" x14ac:dyDescent="0.25">
      <c r="A2232" s="84" t="str">
        <f t="shared" si="103"/>
        <v>SelecioneSelecioneSelecione</v>
      </c>
      <c r="B2232" s="85" t="s">
        <v>19</v>
      </c>
      <c r="C2232" s="85" t="s">
        <v>19</v>
      </c>
      <c r="D2232" s="86"/>
      <c r="E2232" s="116" t="str">
        <f t="shared" si="104"/>
        <v>-</v>
      </c>
      <c r="F2232" s="85"/>
      <c r="G2232" s="85" t="s">
        <v>19</v>
      </c>
      <c r="H2232" s="85"/>
      <c r="I2232" s="85"/>
      <c r="J2232" s="87"/>
      <c r="K2232" s="88">
        <f t="shared" si="105"/>
        <v>0</v>
      </c>
      <c r="L2232" s="85"/>
    </row>
    <row r="2233" spans="1:12" x14ac:dyDescent="0.25">
      <c r="A2233" s="84" t="str">
        <f t="shared" si="103"/>
        <v>SelecioneSelecioneSelecione</v>
      </c>
      <c r="B2233" s="85" t="s">
        <v>19</v>
      </c>
      <c r="C2233" s="85" t="s">
        <v>19</v>
      </c>
      <c r="D2233" s="93"/>
      <c r="E2233" s="116" t="str">
        <f t="shared" si="104"/>
        <v>-</v>
      </c>
      <c r="F2233" s="90"/>
      <c r="G2233" s="85" t="s">
        <v>19</v>
      </c>
      <c r="H2233" s="85"/>
      <c r="I2233" s="90"/>
      <c r="J2233" s="89"/>
      <c r="K2233" s="88">
        <f t="shared" si="105"/>
        <v>0</v>
      </c>
      <c r="L2233" s="90"/>
    </row>
    <row r="2234" spans="1:12" x14ac:dyDescent="0.25">
      <c r="A2234" s="84" t="str">
        <f t="shared" si="103"/>
        <v>SelecioneSelecioneSelecione</v>
      </c>
      <c r="B2234" s="85" t="s">
        <v>19</v>
      </c>
      <c r="C2234" s="85" t="s">
        <v>19</v>
      </c>
      <c r="D2234" s="86"/>
      <c r="E2234" s="116" t="str">
        <f t="shared" si="104"/>
        <v>-</v>
      </c>
      <c r="F2234" s="85"/>
      <c r="G2234" s="85" t="s">
        <v>19</v>
      </c>
      <c r="H2234" s="85"/>
      <c r="I2234" s="85"/>
      <c r="J2234" s="87"/>
      <c r="K2234" s="88">
        <f t="shared" si="105"/>
        <v>0</v>
      </c>
      <c r="L2234" s="85"/>
    </row>
    <row r="2235" spans="1:12" x14ac:dyDescent="0.25">
      <c r="A2235" s="84" t="str">
        <f t="shared" si="103"/>
        <v>SelecioneSelecioneSelecione</v>
      </c>
      <c r="B2235" s="85" t="s">
        <v>19</v>
      </c>
      <c r="C2235" s="85" t="s">
        <v>19</v>
      </c>
      <c r="D2235" s="86"/>
      <c r="E2235" s="116" t="str">
        <f t="shared" si="104"/>
        <v>-</v>
      </c>
      <c r="F2235" s="85"/>
      <c r="G2235" s="85" t="s">
        <v>19</v>
      </c>
      <c r="H2235" s="85"/>
      <c r="I2235" s="85"/>
      <c r="J2235" s="87"/>
      <c r="K2235" s="88">
        <f t="shared" si="105"/>
        <v>0</v>
      </c>
      <c r="L2235" s="85"/>
    </row>
    <row r="2236" spans="1:12" x14ac:dyDescent="0.25">
      <c r="A2236" s="84" t="str">
        <f t="shared" si="103"/>
        <v>SelecioneSelecioneSelecione</v>
      </c>
      <c r="B2236" s="85" t="s">
        <v>19</v>
      </c>
      <c r="C2236" s="85" t="s">
        <v>19</v>
      </c>
      <c r="D2236" s="93"/>
      <c r="E2236" s="116" t="str">
        <f t="shared" si="104"/>
        <v>-</v>
      </c>
      <c r="F2236" s="90"/>
      <c r="G2236" s="85" t="s">
        <v>19</v>
      </c>
      <c r="H2236" s="85"/>
      <c r="I2236" s="90"/>
      <c r="J2236" s="89"/>
      <c r="K2236" s="88">
        <f t="shared" si="105"/>
        <v>0</v>
      </c>
      <c r="L2236" s="90"/>
    </row>
    <row r="2237" spans="1:12" x14ac:dyDescent="0.25">
      <c r="A2237" s="84" t="str">
        <f t="shared" si="103"/>
        <v>SelecioneSelecioneSelecione</v>
      </c>
      <c r="B2237" s="85" t="s">
        <v>19</v>
      </c>
      <c r="C2237" s="85" t="s">
        <v>19</v>
      </c>
      <c r="D2237" s="86"/>
      <c r="E2237" s="116" t="str">
        <f t="shared" si="104"/>
        <v>-</v>
      </c>
      <c r="F2237" s="85"/>
      <c r="G2237" s="85" t="s">
        <v>19</v>
      </c>
      <c r="H2237" s="85"/>
      <c r="I2237" s="85"/>
      <c r="J2237" s="87"/>
      <c r="K2237" s="88">
        <f t="shared" si="105"/>
        <v>0</v>
      </c>
      <c r="L2237" s="85"/>
    </row>
    <row r="2238" spans="1:12" x14ac:dyDescent="0.25">
      <c r="A2238" s="84" t="str">
        <f t="shared" si="103"/>
        <v>SelecioneSelecioneSelecione</v>
      </c>
      <c r="B2238" s="85" t="s">
        <v>19</v>
      </c>
      <c r="C2238" s="85" t="s">
        <v>19</v>
      </c>
      <c r="D2238" s="86"/>
      <c r="E2238" s="116" t="str">
        <f t="shared" si="104"/>
        <v>-</v>
      </c>
      <c r="F2238" s="85"/>
      <c r="G2238" s="85" t="s">
        <v>19</v>
      </c>
      <c r="H2238" s="85"/>
      <c r="I2238" s="85"/>
      <c r="J2238" s="87"/>
      <c r="K2238" s="88">
        <f t="shared" si="105"/>
        <v>0</v>
      </c>
      <c r="L2238" s="85"/>
    </row>
    <row r="2239" spans="1:12" x14ac:dyDescent="0.25">
      <c r="A2239" s="84" t="str">
        <f t="shared" si="103"/>
        <v>SelecioneSelecioneSelecione</v>
      </c>
      <c r="B2239" s="85" t="s">
        <v>19</v>
      </c>
      <c r="C2239" s="85" t="s">
        <v>19</v>
      </c>
      <c r="D2239" s="86"/>
      <c r="E2239" s="116" t="str">
        <f t="shared" si="104"/>
        <v>-</v>
      </c>
      <c r="F2239" s="85"/>
      <c r="G2239" s="85" t="s">
        <v>19</v>
      </c>
      <c r="H2239" s="85"/>
      <c r="I2239" s="85"/>
      <c r="J2239" s="87"/>
      <c r="K2239" s="88">
        <f t="shared" si="105"/>
        <v>0</v>
      </c>
      <c r="L2239" s="85"/>
    </row>
    <row r="2240" spans="1:12" x14ac:dyDescent="0.25">
      <c r="A2240" s="84" t="str">
        <f t="shared" si="103"/>
        <v>SelecioneSelecioneSelecione</v>
      </c>
      <c r="B2240" s="85" t="s">
        <v>19</v>
      </c>
      <c r="C2240" s="85" t="s">
        <v>19</v>
      </c>
      <c r="D2240" s="86"/>
      <c r="E2240" s="116" t="str">
        <f t="shared" si="104"/>
        <v>-</v>
      </c>
      <c r="F2240" s="85"/>
      <c r="G2240" s="85" t="s">
        <v>19</v>
      </c>
      <c r="H2240" s="85"/>
      <c r="I2240" s="85"/>
      <c r="J2240" s="87"/>
      <c r="K2240" s="88">
        <f t="shared" si="105"/>
        <v>0</v>
      </c>
      <c r="L2240" s="85"/>
    </row>
    <row r="2241" spans="1:12" x14ac:dyDescent="0.25">
      <c r="A2241" s="84" t="str">
        <f t="shared" si="103"/>
        <v>SelecioneSelecioneSelecione</v>
      </c>
      <c r="B2241" s="85" t="s">
        <v>19</v>
      </c>
      <c r="C2241" s="85" t="s">
        <v>19</v>
      </c>
      <c r="D2241" s="86"/>
      <c r="E2241" s="116" t="str">
        <f t="shared" si="104"/>
        <v>-</v>
      </c>
      <c r="F2241" s="85"/>
      <c r="G2241" s="85" t="s">
        <v>19</v>
      </c>
      <c r="H2241" s="85"/>
      <c r="I2241" s="85"/>
      <c r="J2241" s="87"/>
      <c r="K2241" s="88">
        <f t="shared" si="105"/>
        <v>0</v>
      </c>
      <c r="L2241" s="85"/>
    </row>
    <row r="2242" spans="1:12" x14ac:dyDescent="0.25">
      <c r="A2242" s="84" t="str">
        <f t="shared" ref="A2242:A2305" si="106">CONCATENATE(B2242,C2242,G2242)</f>
        <v>SelecioneSelecioneSelecione</v>
      </c>
      <c r="B2242" s="85" t="s">
        <v>19</v>
      </c>
      <c r="C2242" s="85" t="s">
        <v>19</v>
      </c>
      <c r="D2242" s="86"/>
      <c r="E2242" s="116" t="str">
        <f t="shared" ref="E2242:E2305" si="107">VLOOKUP(G2242,$M$1:$O$968,3,0)</f>
        <v>-</v>
      </c>
      <c r="F2242" s="85"/>
      <c r="G2242" s="85" t="s">
        <v>19</v>
      </c>
      <c r="H2242" s="85"/>
      <c r="I2242" s="85"/>
      <c r="J2242" s="87"/>
      <c r="K2242" s="88">
        <f t="shared" ref="K2242:K2305" si="108">I2242*J2242</f>
        <v>0</v>
      </c>
      <c r="L2242" s="85"/>
    </row>
    <row r="2243" spans="1:12" x14ac:dyDescent="0.25">
      <c r="A2243" s="84" t="str">
        <f t="shared" si="106"/>
        <v>SelecioneSelecioneSelecione</v>
      </c>
      <c r="B2243" s="85" t="s">
        <v>19</v>
      </c>
      <c r="C2243" s="85" t="s">
        <v>19</v>
      </c>
      <c r="D2243" s="86"/>
      <c r="E2243" s="116" t="str">
        <f t="shared" si="107"/>
        <v>-</v>
      </c>
      <c r="F2243" s="85"/>
      <c r="G2243" s="85" t="s">
        <v>19</v>
      </c>
      <c r="H2243" s="85"/>
      <c r="I2243" s="85"/>
      <c r="J2243" s="87"/>
      <c r="K2243" s="88">
        <f t="shared" si="108"/>
        <v>0</v>
      </c>
      <c r="L2243" s="85"/>
    </row>
    <row r="2244" spans="1:12" x14ac:dyDescent="0.25">
      <c r="A2244" s="84" t="str">
        <f t="shared" si="106"/>
        <v>SelecioneSelecioneSelecione</v>
      </c>
      <c r="B2244" s="85" t="s">
        <v>19</v>
      </c>
      <c r="C2244" s="85" t="s">
        <v>19</v>
      </c>
      <c r="D2244" s="86"/>
      <c r="E2244" s="116" t="str">
        <f t="shared" si="107"/>
        <v>-</v>
      </c>
      <c r="F2244" s="85"/>
      <c r="G2244" s="85" t="s">
        <v>19</v>
      </c>
      <c r="H2244" s="85"/>
      <c r="I2244" s="85"/>
      <c r="J2244" s="87"/>
      <c r="K2244" s="88">
        <f t="shared" si="108"/>
        <v>0</v>
      </c>
      <c r="L2244" s="85"/>
    </row>
    <row r="2245" spans="1:12" x14ac:dyDescent="0.25">
      <c r="A2245" s="84" t="str">
        <f t="shared" si="106"/>
        <v>SelecioneSelecioneSelecione</v>
      </c>
      <c r="B2245" s="85" t="s">
        <v>19</v>
      </c>
      <c r="C2245" s="85" t="s">
        <v>19</v>
      </c>
      <c r="D2245" s="86"/>
      <c r="E2245" s="116" t="str">
        <f t="shared" si="107"/>
        <v>-</v>
      </c>
      <c r="F2245" s="85"/>
      <c r="G2245" s="85" t="s">
        <v>19</v>
      </c>
      <c r="H2245" s="85"/>
      <c r="I2245" s="85"/>
      <c r="J2245" s="87"/>
      <c r="K2245" s="88">
        <f t="shared" si="108"/>
        <v>0</v>
      </c>
      <c r="L2245" s="85"/>
    </row>
    <row r="2246" spans="1:12" x14ac:dyDescent="0.25">
      <c r="A2246" s="84" t="str">
        <f t="shared" si="106"/>
        <v>SelecioneSelecioneSelecione</v>
      </c>
      <c r="B2246" s="85" t="s">
        <v>19</v>
      </c>
      <c r="C2246" s="85" t="s">
        <v>19</v>
      </c>
      <c r="D2246" s="86"/>
      <c r="E2246" s="116" t="str">
        <f t="shared" si="107"/>
        <v>-</v>
      </c>
      <c r="F2246" s="85"/>
      <c r="G2246" s="85" t="s">
        <v>19</v>
      </c>
      <c r="H2246" s="85"/>
      <c r="I2246" s="85"/>
      <c r="J2246" s="87"/>
      <c r="K2246" s="88">
        <f t="shared" si="108"/>
        <v>0</v>
      </c>
      <c r="L2246" s="85"/>
    </row>
    <row r="2247" spans="1:12" x14ac:dyDescent="0.25">
      <c r="A2247" s="84" t="str">
        <f t="shared" si="106"/>
        <v>SelecioneSelecioneSelecione</v>
      </c>
      <c r="B2247" s="85" t="s">
        <v>19</v>
      </c>
      <c r="C2247" s="85" t="s">
        <v>19</v>
      </c>
      <c r="D2247" s="86"/>
      <c r="E2247" s="116" t="str">
        <f t="shared" si="107"/>
        <v>-</v>
      </c>
      <c r="F2247" s="85"/>
      <c r="G2247" s="85" t="s">
        <v>19</v>
      </c>
      <c r="H2247" s="85"/>
      <c r="I2247" s="85"/>
      <c r="J2247" s="87"/>
      <c r="K2247" s="88">
        <f t="shared" si="108"/>
        <v>0</v>
      </c>
      <c r="L2247" s="85"/>
    </row>
    <row r="2248" spans="1:12" x14ac:dyDescent="0.25">
      <c r="A2248" s="84" t="str">
        <f t="shared" si="106"/>
        <v>SelecioneSelecioneSelecione</v>
      </c>
      <c r="B2248" s="85" t="s">
        <v>19</v>
      </c>
      <c r="C2248" s="85" t="s">
        <v>19</v>
      </c>
      <c r="D2248" s="86"/>
      <c r="E2248" s="116" t="str">
        <f t="shared" si="107"/>
        <v>-</v>
      </c>
      <c r="F2248" s="85"/>
      <c r="G2248" s="85" t="s">
        <v>19</v>
      </c>
      <c r="H2248" s="85"/>
      <c r="I2248" s="85"/>
      <c r="J2248" s="87"/>
      <c r="K2248" s="88">
        <f t="shared" si="108"/>
        <v>0</v>
      </c>
      <c r="L2248" s="85"/>
    </row>
    <row r="2249" spans="1:12" x14ac:dyDescent="0.25">
      <c r="A2249" s="84" t="str">
        <f t="shared" si="106"/>
        <v>SelecioneSelecioneSelecione</v>
      </c>
      <c r="B2249" s="85" t="s">
        <v>19</v>
      </c>
      <c r="C2249" s="85" t="s">
        <v>19</v>
      </c>
      <c r="D2249" s="86"/>
      <c r="E2249" s="116" t="str">
        <f t="shared" si="107"/>
        <v>-</v>
      </c>
      <c r="F2249" s="85"/>
      <c r="G2249" s="85" t="s">
        <v>19</v>
      </c>
      <c r="H2249" s="85"/>
      <c r="I2249" s="85"/>
      <c r="J2249" s="87"/>
      <c r="K2249" s="88">
        <f t="shared" si="108"/>
        <v>0</v>
      </c>
      <c r="L2249" s="85"/>
    </row>
    <row r="2250" spans="1:12" x14ac:dyDescent="0.25">
      <c r="A2250" s="84" t="str">
        <f t="shared" si="106"/>
        <v>SelecioneSelecioneSelecione</v>
      </c>
      <c r="B2250" s="85" t="s">
        <v>19</v>
      </c>
      <c r="C2250" s="85" t="s">
        <v>19</v>
      </c>
      <c r="D2250" s="86"/>
      <c r="E2250" s="116" t="str">
        <f t="shared" si="107"/>
        <v>-</v>
      </c>
      <c r="F2250" s="85"/>
      <c r="G2250" s="85" t="s">
        <v>19</v>
      </c>
      <c r="H2250" s="85"/>
      <c r="I2250" s="85"/>
      <c r="J2250" s="87"/>
      <c r="K2250" s="88">
        <f t="shared" si="108"/>
        <v>0</v>
      </c>
      <c r="L2250" s="85"/>
    </row>
    <row r="2251" spans="1:12" x14ac:dyDescent="0.25">
      <c r="A2251" s="84" t="str">
        <f t="shared" si="106"/>
        <v>SelecioneSelecioneSelecione</v>
      </c>
      <c r="B2251" s="85" t="s">
        <v>19</v>
      </c>
      <c r="C2251" s="85" t="s">
        <v>19</v>
      </c>
      <c r="D2251" s="86"/>
      <c r="E2251" s="116" t="str">
        <f t="shared" si="107"/>
        <v>-</v>
      </c>
      <c r="F2251" s="85"/>
      <c r="G2251" s="85" t="s">
        <v>19</v>
      </c>
      <c r="H2251" s="85"/>
      <c r="I2251" s="85"/>
      <c r="J2251" s="87"/>
      <c r="K2251" s="88">
        <f t="shared" si="108"/>
        <v>0</v>
      </c>
      <c r="L2251" s="85"/>
    </row>
    <row r="2252" spans="1:12" x14ac:dyDescent="0.25">
      <c r="A2252" s="84" t="str">
        <f t="shared" si="106"/>
        <v>SelecioneSelecioneSelecione</v>
      </c>
      <c r="B2252" s="85" t="s">
        <v>19</v>
      </c>
      <c r="C2252" s="85" t="s">
        <v>19</v>
      </c>
      <c r="D2252" s="86"/>
      <c r="E2252" s="116" t="str">
        <f t="shared" si="107"/>
        <v>-</v>
      </c>
      <c r="F2252" s="85"/>
      <c r="G2252" s="85" t="s">
        <v>19</v>
      </c>
      <c r="H2252" s="85"/>
      <c r="I2252" s="85"/>
      <c r="J2252" s="87"/>
      <c r="K2252" s="88">
        <f t="shared" si="108"/>
        <v>0</v>
      </c>
      <c r="L2252" s="85"/>
    </row>
    <row r="2253" spans="1:12" x14ac:dyDescent="0.25">
      <c r="A2253" s="84" t="str">
        <f t="shared" si="106"/>
        <v>SelecioneSelecioneSelecione</v>
      </c>
      <c r="B2253" s="85" t="s">
        <v>19</v>
      </c>
      <c r="C2253" s="85" t="s">
        <v>19</v>
      </c>
      <c r="D2253" s="86"/>
      <c r="E2253" s="116" t="str">
        <f t="shared" si="107"/>
        <v>-</v>
      </c>
      <c r="F2253" s="85"/>
      <c r="G2253" s="85" t="s">
        <v>19</v>
      </c>
      <c r="H2253" s="85"/>
      <c r="I2253" s="85"/>
      <c r="J2253" s="87"/>
      <c r="K2253" s="88">
        <f t="shared" si="108"/>
        <v>0</v>
      </c>
      <c r="L2253" s="85"/>
    </row>
    <row r="2254" spans="1:12" x14ac:dyDescent="0.25">
      <c r="A2254" s="84" t="str">
        <f t="shared" si="106"/>
        <v>SelecioneSelecioneSelecione</v>
      </c>
      <c r="B2254" s="85" t="s">
        <v>19</v>
      </c>
      <c r="C2254" s="85" t="s">
        <v>19</v>
      </c>
      <c r="D2254" s="86"/>
      <c r="E2254" s="116" t="str">
        <f t="shared" si="107"/>
        <v>-</v>
      </c>
      <c r="F2254" s="85"/>
      <c r="G2254" s="85" t="s">
        <v>19</v>
      </c>
      <c r="H2254" s="85"/>
      <c r="I2254" s="85"/>
      <c r="J2254" s="87"/>
      <c r="K2254" s="88">
        <f t="shared" si="108"/>
        <v>0</v>
      </c>
      <c r="L2254" s="85"/>
    </row>
    <row r="2255" spans="1:12" x14ac:dyDescent="0.25">
      <c r="A2255" s="84" t="str">
        <f t="shared" si="106"/>
        <v>SelecioneSelecioneSelecione</v>
      </c>
      <c r="B2255" s="85" t="s">
        <v>19</v>
      </c>
      <c r="C2255" s="85" t="s">
        <v>19</v>
      </c>
      <c r="D2255" s="86"/>
      <c r="E2255" s="116" t="str">
        <f t="shared" si="107"/>
        <v>-</v>
      </c>
      <c r="F2255" s="85"/>
      <c r="G2255" s="85" t="s">
        <v>19</v>
      </c>
      <c r="H2255" s="85"/>
      <c r="I2255" s="85"/>
      <c r="J2255" s="87"/>
      <c r="K2255" s="88">
        <f t="shared" si="108"/>
        <v>0</v>
      </c>
      <c r="L2255" s="85"/>
    </row>
    <row r="2256" spans="1:12" x14ac:dyDescent="0.25">
      <c r="A2256" s="84" t="str">
        <f t="shared" si="106"/>
        <v>SelecioneSelecioneSelecione</v>
      </c>
      <c r="B2256" s="85" t="s">
        <v>19</v>
      </c>
      <c r="C2256" s="85" t="s">
        <v>19</v>
      </c>
      <c r="D2256" s="86"/>
      <c r="E2256" s="116" t="str">
        <f t="shared" si="107"/>
        <v>-</v>
      </c>
      <c r="F2256" s="85"/>
      <c r="G2256" s="85" t="s">
        <v>19</v>
      </c>
      <c r="H2256" s="85"/>
      <c r="I2256" s="85"/>
      <c r="J2256" s="87"/>
      <c r="K2256" s="88">
        <f t="shared" si="108"/>
        <v>0</v>
      </c>
      <c r="L2256" s="85"/>
    </row>
    <row r="2257" spans="1:12" x14ac:dyDescent="0.25">
      <c r="A2257" s="84" t="str">
        <f t="shared" si="106"/>
        <v>SelecioneSelecioneSelecione</v>
      </c>
      <c r="B2257" s="85" t="s">
        <v>19</v>
      </c>
      <c r="C2257" s="85" t="s">
        <v>19</v>
      </c>
      <c r="D2257" s="86"/>
      <c r="E2257" s="116" t="str">
        <f t="shared" si="107"/>
        <v>-</v>
      </c>
      <c r="F2257" s="85"/>
      <c r="G2257" s="85" t="s">
        <v>19</v>
      </c>
      <c r="H2257" s="85"/>
      <c r="I2257" s="85"/>
      <c r="J2257" s="87"/>
      <c r="K2257" s="88">
        <f t="shared" si="108"/>
        <v>0</v>
      </c>
      <c r="L2257" s="85"/>
    </row>
    <row r="2258" spans="1:12" x14ac:dyDescent="0.25">
      <c r="A2258" s="84" t="str">
        <f t="shared" si="106"/>
        <v>SelecioneSelecioneSelecione</v>
      </c>
      <c r="B2258" s="85" t="s">
        <v>19</v>
      </c>
      <c r="C2258" s="85" t="s">
        <v>19</v>
      </c>
      <c r="D2258" s="86"/>
      <c r="E2258" s="116" t="str">
        <f t="shared" si="107"/>
        <v>-</v>
      </c>
      <c r="F2258" s="85"/>
      <c r="G2258" s="85" t="s">
        <v>19</v>
      </c>
      <c r="H2258" s="85"/>
      <c r="I2258" s="85"/>
      <c r="J2258" s="87"/>
      <c r="K2258" s="88">
        <f t="shared" si="108"/>
        <v>0</v>
      </c>
      <c r="L2258" s="85"/>
    </row>
    <row r="2259" spans="1:12" x14ac:dyDescent="0.25">
      <c r="A2259" s="84" t="str">
        <f t="shared" si="106"/>
        <v>SelecioneSelecioneSelecione</v>
      </c>
      <c r="B2259" s="85" t="s">
        <v>19</v>
      </c>
      <c r="C2259" s="85" t="s">
        <v>19</v>
      </c>
      <c r="D2259" s="86"/>
      <c r="E2259" s="116" t="str">
        <f t="shared" si="107"/>
        <v>-</v>
      </c>
      <c r="F2259" s="85"/>
      <c r="G2259" s="85" t="s">
        <v>19</v>
      </c>
      <c r="H2259" s="85"/>
      <c r="I2259" s="85"/>
      <c r="J2259" s="87"/>
      <c r="K2259" s="88">
        <f t="shared" si="108"/>
        <v>0</v>
      </c>
      <c r="L2259" s="85"/>
    </row>
    <row r="2260" spans="1:12" x14ac:dyDescent="0.25">
      <c r="A2260" s="84" t="str">
        <f t="shared" si="106"/>
        <v>SelecioneSelecioneSelecione</v>
      </c>
      <c r="B2260" s="85" t="s">
        <v>19</v>
      </c>
      <c r="C2260" s="85" t="s">
        <v>19</v>
      </c>
      <c r="D2260" s="93"/>
      <c r="E2260" s="116" t="str">
        <f t="shared" si="107"/>
        <v>-</v>
      </c>
      <c r="F2260" s="90"/>
      <c r="G2260" s="85" t="s">
        <v>19</v>
      </c>
      <c r="H2260" s="85"/>
      <c r="I2260" s="90"/>
      <c r="J2260" s="89"/>
      <c r="K2260" s="88">
        <f t="shared" si="108"/>
        <v>0</v>
      </c>
      <c r="L2260" s="90"/>
    </row>
    <row r="2261" spans="1:12" x14ac:dyDescent="0.25">
      <c r="A2261" s="84" t="str">
        <f t="shared" si="106"/>
        <v>SelecioneSelecioneSelecione</v>
      </c>
      <c r="B2261" s="85" t="s">
        <v>19</v>
      </c>
      <c r="C2261" s="85" t="s">
        <v>19</v>
      </c>
      <c r="D2261" s="86"/>
      <c r="E2261" s="116" t="str">
        <f t="shared" si="107"/>
        <v>-</v>
      </c>
      <c r="F2261" s="85"/>
      <c r="G2261" s="85" t="s">
        <v>19</v>
      </c>
      <c r="H2261" s="85"/>
      <c r="I2261" s="85"/>
      <c r="J2261" s="87"/>
      <c r="K2261" s="88">
        <f t="shared" si="108"/>
        <v>0</v>
      </c>
      <c r="L2261" s="85"/>
    </row>
    <row r="2262" spans="1:12" x14ac:dyDescent="0.25">
      <c r="A2262" s="84" t="str">
        <f t="shared" si="106"/>
        <v>SelecioneSelecioneSelecione</v>
      </c>
      <c r="B2262" s="85" t="s">
        <v>19</v>
      </c>
      <c r="C2262" s="85" t="s">
        <v>19</v>
      </c>
      <c r="D2262" s="86"/>
      <c r="E2262" s="116" t="str">
        <f t="shared" si="107"/>
        <v>-</v>
      </c>
      <c r="F2262" s="85"/>
      <c r="G2262" s="85" t="s">
        <v>19</v>
      </c>
      <c r="H2262" s="85"/>
      <c r="I2262" s="85"/>
      <c r="J2262" s="87"/>
      <c r="K2262" s="88">
        <f t="shared" si="108"/>
        <v>0</v>
      </c>
      <c r="L2262" s="85"/>
    </row>
    <row r="2263" spans="1:12" x14ac:dyDescent="0.25">
      <c r="A2263" s="84" t="str">
        <f t="shared" si="106"/>
        <v>SelecioneSelecioneSelecione</v>
      </c>
      <c r="B2263" s="85" t="s">
        <v>19</v>
      </c>
      <c r="C2263" s="85" t="s">
        <v>19</v>
      </c>
      <c r="D2263" s="86"/>
      <c r="E2263" s="116" t="str">
        <f t="shared" si="107"/>
        <v>-</v>
      </c>
      <c r="F2263" s="85"/>
      <c r="G2263" s="85" t="s">
        <v>19</v>
      </c>
      <c r="H2263" s="85"/>
      <c r="I2263" s="85"/>
      <c r="J2263" s="87"/>
      <c r="K2263" s="88">
        <f t="shared" si="108"/>
        <v>0</v>
      </c>
      <c r="L2263" s="85"/>
    </row>
    <row r="2264" spans="1:12" x14ac:dyDescent="0.25">
      <c r="A2264" s="84" t="str">
        <f t="shared" si="106"/>
        <v>SelecioneSelecioneSelecione</v>
      </c>
      <c r="B2264" s="85" t="s">
        <v>19</v>
      </c>
      <c r="C2264" s="85" t="s">
        <v>19</v>
      </c>
      <c r="D2264" s="86"/>
      <c r="E2264" s="116" t="str">
        <f t="shared" si="107"/>
        <v>-</v>
      </c>
      <c r="F2264" s="85"/>
      <c r="G2264" s="85" t="s">
        <v>19</v>
      </c>
      <c r="H2264" s="85"/>
      <c r="I2264" s="85"/>
      <c r="J2264" s="87"/>
      <c r="K2264" s="88">
        <f t="shared" si="108"/>
        <v>0</v>
      </c>
      <c r="L2264" s="85"/>
    </row>
    <row r="2265" spans="1:12" x14ac:dyDescent="0.25">
      <c r="A2265" s="84" t="str">
        <f t="shared" si="106"/>
        <v>SelecioneSelecioneSelecione</v>
      </c>
      <c r="B2265" s="85" t="s">
        <v>19</v>
      </c>
      <c r="C2265" s="85" t="s">
        <v>19</v>
      </c>
      <c r="D2265" s="86"/>
      <c r="E2265" s="116" t="str">
        <f t="shared" si="107"/>
        <v>-</v>
      </c>
      <c r="F2265" s="85"/>
      <c r="G2265" s="85" t="s">
        <v>19</v>
      </c>
      <c r="H2265" s="85"/>
      <c r="I2265" s="85"/>
      <c r="J2265" s="87"/>
      <c r="K2265" s="88">
        <f t="shared" si="108"/>
        <v>0</v>
      </c>
      <c r="L2265" s="85"/>
    </row>
    <row r="2266" spans="1:12" x14ac:dyDescent="0.25">
      <c r="A2266" s="84" t="str">
        <f t="shared" si="106"/>
        <v>SelecioneSelecioneSelecione</v>
      </c>
      <c r="B2266" s="85" t="s">
        <v>19</v>
      </c>
      <c r="C2266" s="85" t="s">
        <v>19</v>
      </c>
      <c r="D2266" s="93"/>
      <c r="E2266" s="116" t="str">
        <f t="shared" si="107"/>
        <v>-</v>
      </c>
      <c r="F2266" s="90"/>
      <c r="G2266" s="85" t="s">
        <v>19</v>
      </c>
      <c r="H2266" s="85"/>
      <c r="I2266" s="90"/>
      <c r="J2266" s="89"/>
      <c r="K2266" s="88">
        <f t="shared" si="108"/>
        <v>0</v>
      </c>
      <c r="L2266" s="90"/>
    </row>
    <row r="2267" spans="1:12" x14ac:dyDescent="0.25">
      <c r="A2267" s="84" t="str">
        <f t="shared" si="106"/>
        <v>SelecioneSelecioneSelecione</v>
      </c>
      <c r="B2267" s="85" t="s">
        <v>19</v>
      </c>
      <c r="C2267" s="85" t="s">
        <v>19</v>
      </c>
      <c r="D2267" s="93"/>
      <c r="E2267" s="116" t="str">
        <f t="shared" si="107"/>
        <v>-</v>
      </c>
      <c r="F2267" s="90"/>
      <c r="G2267" s="85" t="s">
        <v>19</v>
      </c>
      <c r="H2267" s="85"/>
      <c r="I2267" s="90"/>
      <c r="J2267" s="89"/>
      <c r="K2267" s="88">
        <f t="shared" si="108"/>
        <v>0</v>
      </c>
      <c r="L2267" s="90"/>
    </row>
    <row r="2268" spans="1:12" x14ac:dyDescent="0.25">
      <c r="A2268" s="84" t="str">
        <f t="shared" si="106"/>
        <v>SelecioneSelecioneSelecione</v>
      </c>
      <c r="B2268" s="85" t="s">
        <v>19</v>
      </c>
      <c r="C2268" s="85" t="s">
        <v>19</v>
      </c>
      <c r="D2268" s="86"/>
      <c r="E2268" s="116" t="str">
        <f t="shared" si="107"/>
        <v>-</v>
      </c>
      <c r="F2268" s="85"/>
      <c r="G2268" s="85" t="s">
        <v>19</v>
      </c>
      <c r="H2268" s="85"/>
      <c r="I2268" s="85"/>
      <c r="J2268" s="87"/>
      <c r="K2268" s="88">
        <f t="shared" si="108"/>
        <v>0</v>
      </c>
      <c r="L2268" s="85"/>
    </row>
    <row r="2269" spans="1:12" x14ac:dyDescent="0.25">
      <c r="A2269" s="84" t="str">
        <f t="shared" si="106"/>
        <v>SelecioneSelecioneSelecione</v>
      </c>
      <c r="B2269" s="85" t="s">
        <v>19</v>
      </c>
      <c r="C2269" s="85" t="s">
        <v>19</v>
      </c>
      <c r="D2269" s="86"/>
      <c r="E2269" s="116" t="str">
        <f t="shared" si="107"/>
        <v>-</v>
      </c>
      <c r="F2269" s="85"/>
      <c r="G2269" s="85" t="s">
        <v>19</v>
      </c>
      <c r="H2269" s="85"/>
      <c r="I2269" s="85"/>
      <c r="J2269" s="87"/>
      <c r="K2269" s="88">
        <f t="shared" si="108"/>
        <v>0</v>
      </c>
      <c r="L2269" s="85"/>
    </row>
    <row r="2270" spans="1:12" x14ac:dyDescent="0.25">
      <c r="A2270" s="84" t="str">
        <f t="shared" si="106"/>
        <v>SelecioneSelecioneSelecione</v>
      </c>
      <c r="B2270" s="85" t="s">
        <v>19</v>
      </c>
      <c r="C2270" s="85" t="s">
        <v>19</v>
      </c>
      <c r="D2270" s="86"/>
      <c r="E2270" s="116" t="str">
        <f t="shared" si="107"/>
        <v>-</v>
      </c>
      <c r="F2270" s="85"/>
      <c r="G2270" s="85" t="s">
        <v>19</v>
      </c>
      <c r="H2270" s="85"/>
      <c r="I2270" s="85"/>
      <c r="J2270" s="87"/>
      <c r="K2270" s="88">
        <f t="shared" si="108"/>
        <v>0</v>
      </c>
      <c r="L2270" s="85"/>
    </row>
    <row r="2271" spans="1:12" x14ac:dyDescent="0.25">
      <c r="A2271" s="84" t="str">
        <f t="shared" si="106"/>
        <v>SelecioneSelecioneSelecione</v>
      </c>
      <c r="B2271" s="85" t="s">
        <v>19</v>
      </c>
      <c r="C2271" s="85" t="s">
        <v>19</v>
      </c>
      <c r="D2271" s="86"/>
      <c r="E2271" s="116" t="str">
        <f t="shared" si="107"/>
        <v>-</v>
      </c>
      <c r="F2271" s="85"/>
      <c r="G2271" s="85" t="s">
        <v>19</v>
      </c>
      <c r="H2271" s="85"/>
      <c r="I2271" s="85"/>
      <c r="J2271" s="87"/>
      <c r="K2271" s="88">
        <f t="shared" si="108"/>
        <v>0</v>
      </c>
      <c r="L2271" s="85"/>
    </row>
    <row r="2272" spans="1:12" x14ac:dyDescent="0.25">
      <c r="A2272" s="84" t="str">
        <f t="shared" si="106"/>
        <v>SelecioneSelecioneSelecione</v>
      </c>
      <c r="B2272" s="85" t="s">
        <v>19</v>
      </c>
      <c r="C2272" s="85" t="s">
        <v>19</v>
      </c>
      <c r="D2272" s="86"/>
      <c r="E2272" s="116" t="str">
        <f t="shared" si="107"/>
        <v>-</v>
      </c>
      <c r="F2272" s="85"/>
      <c r="G2272" s="85" t="s">
        <v>19</v>
      </c>
      <c r="H2272" s="85"/>
      <c r="I2272" s="85"/>
      <c r="J2272" s="87"/>
      <c r="K2272" s="88">
        <f t="shared" si="108"/>
        <v>0</v>
      </c>
      <c r="L2272" s="85"/>
    </row>
    <row r="2273" spans="1:12" x14ac:dyDescent="0.25">
      <c r="A2273" s="84" t="str">
        <f t="shared" si="106"/>
        <v>SelecioneSelecioneSelecione</v>
      </c>
      <c r="B2273" s="85" t="s">
        <v>19</v>
      </c>
      <c r="C2273" s="85" t="s">
        <v>19</v>
      </c>
      <c r="D2273" s="86"/>
      <c r="E2273" s="116" t="str">
        <f t="shared" si="107"/>
        <v>-</v>
      </c>
      <c r="F2273" s="85"/>
      <c r="G2273" s="85" t="s">
        <v>19</v>
      </c>
      <c r="H2273" s="85"/>
      <c r="I2273" s="85"/>
      <c r="J2273" s="87"/>
      <c r="K2273" s="88">
        <f t="shared" si="108"/>
        <v>0</v>
      </c>
      <c r="L2273" s="85"/>
    </row>
    <row r="2274" spans="1:12" x14ac:dyDescent="0.25">
      <c r="A2274" s="84" t="str">
        <f t="shared" si="106"/>
        <v>SelecioneSelecioneSelecione</v>
      </c>
      <c r="B2274" s="85" t="s">
        <v>19</v>
      </c>
      <c r="C2274" s="85" t="s">
        <v>19</v>
      </c>
      <c r="D2274" s="86"/>
      <c r="E2274" s="116" t="str">
        <f t="shared" si="107"/>
        <v>-</v>
      </c>
      <c r="F2274" s="85"/>
      <c r="G2274" s="85" t="s">
        <v>19</v>
      </c>
      <c r="H2274" s="85"/>
      <c r="I2274" s="85"/>
      <c r="J2274" s="87"/>
      <c r="K2274" s="88">
        <f t="shared" si="108"/>
        <v>0</v>
      </c>
      <c r="L2274" s="85"/>
    </row>
    <row r="2275" spans="1:12" x14ac:dyDescent="0.25">
      <c r="A2275" s="84" t="str">
        <f t="shared" si="106"/>
        <v>SelecioneSelecioneSelecione</v>
      </c>
      <c r="B2275" s="85" t="s">
        <v>19</v>
      </c>
      <c r="C2275" s="85" t="s">
        <v>19</v>
      </c>
      <c r="D2275" s="86"/>
      <c r="E2275" s="116" t="str">
        <f t="shared" si="107"/>
        <v>-</v>
      </c>
      <c r="F2275" s="85"/>
      <c r="G2275" s="85" t="s">
        <v>19</v>
      </c>
      <c r="H2275" s="85"/>
      <c r="I2275" s="85"/>
      <c r="J2275" s="87"/>
      <c r="K2275" s="88">
        <f t="shared" si="108"/>
        <v>0</v>
      </c>
      <c r="L2275" s="85"/>
    </row>
    <row r="2276" spans="1:12" x14ac:dyDescent="0.25">
      <c r="A2276" s="84" t="str">
        <f t="shared" si="106"/>
        <v>SelecioneSelecioneSelecione</v>
      </c>
      <c r="B2276" s="85" t="s">
        <v>19</v>
      </c>
      <c r="C2276" s="85" t="s">
        <v>19</v>
      </c>
      <c r="D2276" s="86"/>
      <c r="E2276" s="116" t="str">
        <f t="shared" si="107"/>
        <v>-</v>
      </c>
      <c r="F2276" s="85"/>
      <c r="G2276" s="85" t="s">
        <v>19</v>
      </c>
      <c r="H2276" s="85"/>
      <c r="I2276" s="85"/>
      <c r="J2276" s="87"/>
      <c r="K2276" s="88">
        <f t="shared" si="108"/>
        <v>0</v>
      </c>
      <c r="L2276" s="85"/>
    </row>
    <row r="2277" spans="1:12" x14ac:dyDescent="0.25">
      <c r="A2277" s="84" t="str">
        <f t="shared" si="106"/>
        <v>SelecioneSelecioneSelecione</v>
      </c>
      <c r="B2277" s="85" t="s">
        <v>19</v>
      </c>
      <c r="C2277" s="85" t="s">
        <v>19</v>
      </c>
      <c r="D2277" s="86"/>
      <c r="E2277" s="116" t="str">
        <f t="shared" si="107"/>
        <v>-</v>
      </c>
      <c r="F2277" s="85"/>
      <c r="G2277" s="85" t="s">
        <v>19</v>
      </c>
      <c r="H2277" s="85"/>
      <c r="I2277" s="85"/>
      <c r="J2277" s="87"/>
      <c r="K2277" s="88">
        <f t="shared" si="108"/>
        <v>0</v>
      </c>
      <c r="L2277" s="85"/>
    </row>
    <row r="2278" spans="1:12" x14ac:dyDescent="0.25">
      <c r="A2278" s="84" t="str">
        <f t="shared" si="106"/>
        <v>SelecioneSelecioneSelecione</v>
      </c>
      <c r="B2278" s="85" t="s">
        <v>19</v>
      </c>
      <c r="C2278" s="85" t="s">
        <v>19</v>
      </c>
      <c r="D2278" s="86"/>
      <c r="E2278" s="116" t="str">
        <f t="shared" si="107"/>
        <v>-</v>
      </c>
      <c r="F2278" s="85"/>
      <c r="G2278" s="85" t="s">
        <v>19</v>
      </c>
      <c r="H2278" s="85"/>
      <c r="I2278" s="85"/>
      <c r="J2278" s="87"/>
      <c r="K2278" s="88">
        <f t="shared" si="108"/>
        <v>0</v>
      </c>
      <c r="L2278" s="85"/>
    </row>
    <row r="2279" spans="1:12" x14ac:dyDescent="0.25">
      <c r="A2279" s="84" t="str">
        <f t="shared" si="106"/>
        <v>SelecioneSelecioneSelecione</v>
      </c>
      <c r="B2279" s="85" t="s">
        <v>19</v>
      </c>
      <c r="C2279" s="85" t="s">
        <v>19</v>
      </c>
      <c r="D2279" s="86"/>
      <c r="E2279" s="116" t="str">
        <f t="shared" si="107"/>
        <v>-</v>
      </c>
      <c r="F2279" s="85"/>
      <c r="G2279" s="85" t="s">
        <v>19</v>
      </c>
      <c r="H2279" s="85"/>
      <c r="I2279" s="85"/>
      <c r="J2279" s="87"/>
      <c r="K2279" s="88">
        <f t="shared" si="108"/>
        <v>0</v>
      </c>
      <c r="L2279" s="85"/>
    </row>
    <row r="2280" spans="1:12" x14ac:dyDescent="0.25">
      <c r="A2280" s="84" t="str">
        <f t="shared" si="106"/>
        <v>SelecioneSelecioneSelecione</v>
      </c>
      <c r="B2280" s="85" t="s">
        <v>19</v>
      </c>
      <c r="C2280" s="85" t="s">
        <v>19</v>
      </c>
      <c r="D2280" s="86"/>
      <c r="E2280" s="116" t="str">
        <f t="shared" si="107"/>
        <v>-</v>
      </c>
      <c r="F2280" s="85"/>
      <c r="G2280" s="85" t="s">
        <v>19</v>
      </c>
      <c r="H2280" s="85"/>
      <c r="I2280" s="85"/>
      <c r="J2280" s="87"/>
      <c r="K2280" s="88">
        <f t="shared" si="108"/>
        <v>0</v>
      </c>
      <c r="L2280" s="85"/>
    </row>
    <row r="2281" spans="1:12" x14ac:dyDescent="0.25">
      <c r="A2281" s="84" t="str">
        <f t="shared" si="106"/>
        <v>SelecioneSelecioneSelecione</v>
      </c>
      <c r="B2281" s="85" t="s">
        <v>19</v>
      </c>
      <c r="C2281" s="85" t="s">
        <v>19</v>
      </c>
      <c r="D2281" s="86"/>
      <c r="E2281" s="116" t="str">
        <f t="shared" si="107"/>
        <v>-</v>
      </c>
      <c r="F2281" s="85"/>
      <c r="G2281" s="85" t="s">
        <v>19</v>
      </c>
      <c r="H2281" s="85"/>
      <c r="I2281" s="85"/>
      <c r="J2281" s="87"/>
      <c r="K2281" s="88">
        <f t="shared" si="108"/>
        <v>0</v>
      </c>
      <c r="L2281" s="85"/>
    </row>
    <row r="2282" spans="1:12" x14ac:dyDescent="0.25">
      <c r="A2282" s="84" t="str">
        <f t="shared" si="106"/>
        <v>SelecioneSelecioneSelecione</v>
      </c>
      <c r="B2282" s="85" t="s">
        <v>19</v>
      </c>
      <c r="C2282" s="85" t="s">
        <v>19</v>
      </c>
      <c r="D2282" s="86"/>
      <c r="E2282" s="116" t="str">
        <f t="shared" si="107"/>
        <v>-</v>
      </c>
      <c r="F2282" s="85"/>
      <c r="G2282" s="85" t="s">
        <v>19</v>
      </c>
      <c r="H2282" s="85"/>
      <c r="I2282" s="85"/>
      <c r="J2282" s="87"/>
      <c r="K2282" s="88">
        <f t="shared" si="108"/>
        <v>0</v>
      </c>
      <c r="L2282" s="85"/>
    </row>
    <row r="2283" spans="1:12" x14ac:dyDescent="0.25">
      <c r="A2283" s="84" t="str">
        <f t="shared" si="106"/>
        <v>SelecioneSelecioneSelecione</v>
      </c>
      <c r="B2283" s="85" t="s">
        <v>19</v>
      </c>
      <c r="C2283" s="85" t="s">
        <v>19</v>
      </c>
      <c r="D2283" s="86"/>
      <c r="E2283" s="116" t="str">
        <f t="shared" si="107"/>
        <v>-</v>
      </c>
      <c r="F2283" s="85"/>
      <c r="G2283" s="85" t="s">
        <v>19</v>
      </c>
      <c r="H2283" s="85"/>
      <c r="I2283" s="85"/>
      <c r="J2283" s="87"/>
      <c r="K2283" s="88">
        <f t="shared" si="108"/>
        <v>0</v>
      </c>
      <c r="L2283" s="85"/>
    </row>
    <row r="2284" spans="1:12" x14ac:dyDescent="0.25">
      <c r="A2284" s="84" t="str">
        <f t="shared" si="106"/>
        <v>SelecioneSelecioneSelecione</v>
      </c>
      <c r="B2284" s="85" t="s">
        <v>19</v>
      </c>
      <c r="C2284" s="85" t="s">
        <v>19</v>
      </c>
      <c r="D2284" s="86"/>
      <c r="E2284" s="116" t="str">
        <f t="shared" si="107"/>
        <v>-</v>
      </c>
      <c r="F2284" s="85"/>
      <c r="G2284" s="85" t="s">
        <v>19</v>
      </c>
      <c r="H2284" s="85"/>
      <c r="I2284" s="85"/>
      <c r="J2284" s="87"/>
      <c r="K2284" s="88">
        <f t="shared" si="108"/>
        <v>0</v>
      </c>
      <c r="L2284" s="85"/>
    </row>
    <row r="2285" spans="1:12" x14ac:dyDescent="0.25">
      <c r="A2285" s="84" t="str">
        <f t="shared" si="106"/>
        <v>SelecioneSelecioneSelecione</v>
      </c>
      <c r="B2285" s="85" t="s">
        <v>19</v>
      </c>
      <c r="C2285" s="85" t="s">
        <v>19</v>
      </c>
      <c r="D2285" s="93"/>
      <c r="E2285" s="116" t="str">
        <f t="shared" si="107"/>
        <v>-</v>
      </c>
      <c r="F2285" s="90"/>
      <c r="G2285" s="85" t="s">
        <v>19</v>
      </c>
      <c r="H2285" s="85"/>
      <c r="I2285" s="90"/>
      <c r="J2285" s="89"/>
      <c r="K2285" s="88">
        <f t="shared" si="108"/>
        <v>0</v>
      </c>
      <c r="L2285" s="90"/>
    </row>
    <row r="2286" spans="1:12" x14ac:dyDescent="0.25">
      <c r="A2286" s="84" t="str">
        <f t="shared" si="106"/>
        <v>SelecioneSelecioneSelecione</v>
      </c>
      <c r="B2286" s="85" t="s">
        <v>19</v>
      </c>
      <c r="C2286" s="85" t="s">
        <v>19</v>
      </c>
      <c r="D2286" s="86"/>
      <c r="E2286" s="116" t="str">
        <f t="shared" si="107"/>
        <v>-</v>
      </c>
      <c r="F2286" s="85"/>
      <c r="G2286" s="85" t="s">
        <v>19</v>
      </c>
      <c r="H2286" s="85"/>
      <c r="I2286" s="85"/>
      <c r="J2286" s="87"/>
      <c r="K2286" s="88">
        <f t="shared" si="108"/>
        <v>0</v>
      </c>
      <c r="L2286" s="85"/>
    </row>
    <row r="2287" spans="1:12" x14ac:dyDescent="0.25">
      <c r="A2287" s="84" t="str">
        <f t="shared" si="106"/>
        <v>SelecioneSelecioneSelecione</v>
      </c>
      <c r="B2287" s="85" t="s">
        <v>19</v>
      </c>
      <c r="C2287" s="85" t="s">
        <v>19</v>
      </c>
      <c r="D2287" s="86"/>
      <c r="E2287" s="116" t="str">
        <f t="shared" si="107"/>
        <v>-</v>
      </c>
      <c r="F2287" s="85"/>
      <c r="G2287" s="85" t="s">
        <v>19</v>
      </c>
      <c r="H2287" s="85"/>
      <c r="I2287" s="85"/>
      <c r="J2287" s="87"/>
      <c r="K2287" s="88">
        <f t="shared" si="108"/>
        <v>0</v>
      </c>
      <c r="L2287" s="85"/>
    </row>
    <row r="2288" spans="1:12" x14ac:dyDescent="0.25">
      <c r="A2288" s="84" t="str">
        <f t="shared" si="106"/>
        <v>SelecioneSelecioneSelecione</v>
      </c>
      <c r="B2288" s="85" t="s">
        <v>19</v>
      </c>
      <c r="C2288" s="85" t="s">
        <v>19</v>
      </c>
      <c r="D2288" s="86"/>
      <c r="E2288" s="116" t="str">
        <f t="shared" si="107"/>
        <v>-</v>
      </c>
      <c r="F2288" s="85"/>
      <c r="G2288" s="85" t="s">
        <v>19</v>
      </c>
      <c r="H2288" s="85"/>
      <c r="I2288" s="85"/>
      <c r="J2288" s="87"/>
      <c r="K2288" s="88">
        <f t="shared" si="108"/>
        <v>0</v>
      </c>
      <c r="L2288" s="85"/>
    </row>
    <row r="2289" spans="1:12" x14ac:dyDescent="0.25">
      <c r="A2289" s="84" t="str">
        <f t="shared" si="106"/>
        <v>SelecioneSelecioneSelecione</v>
      </c>
      <c r="B2289" s="85" t="s">
        <v>19</v>
      </c>
      <c r="C2289" s="85" t="s">
        <v>19</v>
      </c>
      <c r="D2289" s="86"/>
      <c r="E2289" s="116" t="str">
        <f t="shared" si="107"/>
        <v>-</v>
      </c>
      <c r="F2289" s="85"/>
      <c r="G2289" s="85" t="s">
        <v>19</v>
      </c>
      <c r="H2289" s="85"/>
      <c r="I2289" s="85"/>
      <c r="J2289" s="87"/>
      <c r="K2289" s="88">
        <f t="shared" si="108"/>
        <v>0</v>
      </c>
      <c r="L2289" s="85"/>
    </row>
    <row r="2290" spans="1:12" x14ac:dyDescent="0.25">
      <c r="A2290" s="84" t="str">
        <f t="shared" si="106"/>
        <v>SelecioneSelecioneSelecione</v>
      </c>
      <c r="B2290" s="85" t="s">
        <v>19</v>
      </c>
      <c r="C2290" s="85" t="s">
        <v>19</v>
      </c>
      <c r="D2290" s="93"/>
      <c r="E2290" s="116" t="str">
        <f t="shared" si="107"/>
        <v>-</v>
      </c>
      <c r="F2290" s="90"/>
      <c r="G2290" s="85" t="s">
        <v>19</v>
      </c>
      <c r="H2290" s="85"/>
      <c r="I2290" s="90"/>
      <c r="J2290" s="89"/>
      <c r="K2290" s="88">
        <f t="shared" si="108"/>
        <v>0</v>
      </c>
      <c r="L2290" s="90"/>
    </row>
    <row r="2291" spans="1:12" x14ac:dyDescent="0.25">
      <c r="A2291" s="84" t="str">
        <f t="shared" si="106"/>
        <v>SelecioneSelecioneSelecione</v>
      </c>
      <c r="B2291" s="85" t="s">
        <v>19</v>
      </c>
      <c r="C2291" s="85" t="s">
        <v>19</v>
      </c>
      <c r="D2291" s="86"/>
      <c r="E2291" s="116" t="str">
        <f t="shared" si="107"/>
        <v>-</v>
      </c>
      <c r="F2291" s="85"/>
      <c r="G2291" s="85" t="s">
        <v>19</v>
      </c>
      <c r="H2291" s="85"/>
      <c r="I2291" s="85"/>
      <c r="J2291" s="87"/>
      <c r="K2291" s="88">
        <f t="shared" si="108"/>
        <v>0</v>
      </c>
      <c r="L2291" s="85"/>
    </row>
    <row r="2292" spans="1:12" x14ac:dyDescent="0.25">
      <c r="A2292" s="84" t="str">
        <f t="shared" si="106"/>
        <v>SelecioneSelecioneSelecione</v>
      </c>
      <c r="B2292" s="85" t="s">
        <v>19</v>
      </c>
      <c r="C2292" s="85" t="s">
        <v>19</v>
      </c>
      <c r="D2292" s="93"/>
      <c r="E2292" s="116" t="str">
        <f t="shared" si="107"/>
        <v>-</v>
      </c>
      <c r="F2292" s="90"/>
      <c r="G2292" s="85" t="s">
        <v>19</v>
      </c>
      <c r="H2292" s="85"/>
      <c r="I2292" s="90"/>
      <c r="J2292" s="89"/>
      <c r="K2292" s="88">
        <f t="shared" si="108"/>
        <v>0</v>
      </c>
      <c r="L2292" s="90"/>
    </row>
    <row r="2293" spans="1:12" x14ac:dyDescent="0.25">
      <c r="A2293" s="84" t="str">
        <f t="shared" si="106"/>
        <v>SelecioneSelecioneSelecione</v>
      </c>
      <c r="B2293" s="85" t="s">
        <v>19</v>
      </c>
      <c r="C2293" s="85" t="s">
        <v>19</v>
      </c>
      <c r="D2293" s="93"/>
      <c r="E2293" s="116" t="str">
        <f t="shared" si="107"/>
        <v>-</v>
      </c>
      <c r="F2293" s="90"/>
      <c r="G2293" s="85" t="s">
        <v>19</v>
      </c>
      <c r="H2293" s="85"/>
      <c r="I2293" s="90"/>
      <c r="J2293" s="89"/>
      <c r="K2293" s="88">
        <f t="shared" si="108"/>
        <v>0</v>
      </c>
      <c r="L2293" s="90"/>
    </row>
    <row r="2294" spans="1:12" x14ac:dyDescent="0.25">
      <c r="A2294" s="84" t="str">
        <f t="shared" si="106"/>
        <v>SelecioneSelecioneSelecione</v>
      </c>
      <c r="B2294" s="85" t="s">
        <v>19</v>
      </c>
      <c r="C2294" s="85" t="s">
        <v>19</v>
      </c>
      <c r="D2294" s="86"/>
      <c r="E2294" s="116" t="str">
        <f t="shared" si="107"/>
        <v>-</v>
      </c>
      <c r="F2294" s="85"/>
      <c r="G2294" s="85" t="s">
        <v>19</v>
      </c>
      <c r="H2294" s="85"/>
      <c r="I2294" s="85"/>
      <c r="J2294" s="87"/>
      <c r="K2294" s="88">
        <f t="shared" si="108"/>
        <v>0</v>
      </c>
      <c r="L2294" s="85"/>
    </row>
    <row r="2295" spans="1:12" x14ac:dyDescent="0.25">
      <c r="A2295" s="84" t="str">
        <f t="shared" si="106"/>
        <v>SelecioneSelecioneSelecione</v>
      </c>
      <c r="B2295" s="85" t="s">
        <v>19</v>
      </c>
      <c r="C2295" s="85" t="s">
        <v>19</v>
      </c>
      <c r="D2295" s="86"/>
      <c r="E2295" s="116" t="str">
        <f t="shared" si="107"/>
        <v>-</v>
      </c>
      <c r="F2295" s="85"/>
      <c r="G2295" s="85" t="s">
        <v>19</v>
      </c>
      <c r="H2295" s="85"/>
      <c r="I2295" s="85"/>
      <c r="J2295" s="87"/>
      <c r="K2295" s="88">
        <f t="shared" si="108"/>
        <v>0</v>
      </c>
      <c r="L2295" s="85"/>
    </row>
    <row r="2296" spans="1:12" x14ac:dyDescent="0.25">
      <c r="A2296" s="84" t="str">
        <f t="shared" si="106"/>
        <v>SelecioneSelecioneSelecione</v>
      </c>
      <c r="B2296" s="85" t="s">
        <v>19</v>
      </c>
      <c r="C2296" s="85" t="s">
        <v>19</v>
      </c>
      <c r="D2296" s="86"/>
      <c r="E2296" s="116" t="str">
        <f t="shared" si="107"/>
        <v>-</v>
      </c>
      <c r="F2296" s="85"/>
      <c r="G2296" s="85" t="s">
        <v>19</v>
      </c>
      <c r="H2296" s="85"/>
      <c r="I2296" s="85"/>
      <c r="J2296" s="87"/>
      <c r="K2296" s="88">
        <f t="shared" si="108"/>
        <v>0</v>
      </c>
      <c r="L2296" s="85"/>
    </row>
    <row r="2297" spans="1:12" x14ac:dyDescent="0.25">
      <c r="A2297" s="84" t="str">
        <f t="shared" si="106"/>
        <v>SelecioneSelecioneSelecione</v>
      </c>
      <c r="B2297" s="85" t="s">
        <v>19</v>
      </c>
      <c r="C2297" s="85" t="s">
        <v>19</v>
      </c>
      <c r="D2297" s="86"/>
      <c r="E2297" s="116" t="str">
        <f t="shared" si="107"/>
        <v>-</v>
      </c>
      <c r="F2297" s="85"/>
      <c r="G2297" s="85" t="s">
        <v>19</v>
      </c>
      <c r="H2297" s="85"/>
      <c r="I2297" s="85"/>
      <c r="J2297" s="87"/>
      <c r="K2297" s="88">
        <f t="shared" si="108"/>
        <v>0</v>
      </c>
      <c r="L2297" s="85"/>
    </row>
    <row r="2298" spans="1:12" x14ac:dyDescent="0.25">
      <c r="A2298" s="84" t="str">
        <f t="shared" si="106"/>
        <v>SelecioneSelecioneSelecione</v>
      </c>
      <c r="B2298" s="85" t="s">
        <v>19</v>
      </c>
      <c r="C2298" s="85" t="s">
        <v>19</v>
      </c>
      <c r="D2298" s="86"/>
      <c r="E2298" s="116" t="str">
        <f t="shared" si="107"/>
        <v>-</v>
      </c>
      <c r="F2298" s="85"/>
      <c r="G2298" s="85" t="s">
        <v>19</v>
      </c>
      <c r="H2298" s="85"/>
      <c r="I2298" s="85"/>
      <c r="J2298" s="87"/>
      <c r="K2298" s="88">
        <f t="shared" si="108"/>
        <v>0</v>
      </c>
      <c r="L2298" s="85"/>
    </row>
    <row r="2299" spans="1:12" x14ac:dyDescent="0.25">
      <c r="A2299" s="84" t="str">
        <f t="shared" si="106"/>
        <v>SelecioneSelecioneSelecione</v>
      </c>
      <c r="B2299" s="85" t="s">
        <v>19</v>
      </c>
      <c r="C2299" s="85" t="s">
        <v>19</v>
      </c>
      <c r="D2299" s="86"/>
      <c r="E2299" s="116" t="str">
        <f t="shared" si="107"/>
        <v>-</v>
      </c>
      <c r="F2299" s="85"/>
      <c r="G2299" s="85" t="s">
        <v>19</v>
      </c>
      <c r="H2299" s="85"/>
      <c r="I2299" s="85"/>
      <c r="J2299" s="87"/>
      <c r="K2299" s="88">
        <f t="shared" si="108"/>
        <v>0</v>
      </c>
      <c r="L2299" s="85"/>
    </row>
    <row r="2300" spans="1:12" x14ac:dyDescent="0.25">
      <c r="A2300" s="84" t="str">
        <f t="shared" si="106"/>
        <v>SelecioneSelecioneSelecione</v>
      </c>
      <c r="B2300" s="85" t="s">
        <v>19</v>
      </c>
      <c r="C2300" s="85" t="s">
        <v>19</v>
      </c>
      <c r="D2300" s="86"/>
      <c r="E2300" s="116" t="str">
        <f t="shared" si="107"/>
        <v>-</v>
      </c>
      <c r="F2300" s="85"/>
      <c r="G2300" s="85" t="s">
        <v>19</v>
      </c>
      <c r="H2300" s="85"/>
      <c r="I2300" s="85"/>
      <c r="J2300" s="87"/>
      <c r="K2300" s="88">
        <f t="shared" si="108"/>
        <v>0</v>
      </c>
      <c r="L2300" s="85"/>
    </row>
    <row r="2301" spans="1:12" x14ac:dyDescent="0.25">
      <c r="A2301" s="84" t="str">
        <f t="shared" si="106"/>
        <v>SelecioneSelecioneSelecione</v>
      </c>
      <c r="B2301" s="85" t="s">
        <v>19</v>
      </c>
      <c r="C2301" s="85" t="s">
        <v>19</v>
      </c>
      <c r="D2301" s="86"/>
      <c r="E2301" s="116" t="str">
        <f t="shared" si="107"/>
        <v>-</v>
      </c>
      <c r="F2301" s="85"/>
      <c r="G2301" s="85" t="s">
        <v>19</v>
      </c>
      <c r="H2301" s="85"/>
      <c r="I2301" s="85"/>
      <c r="J2301" s="87"/>
      <c r="K2301" s="88">
        <f t="shared" si="108"/>
        <v>0</v>
      </c>
      <c r="L2301" s="85"/>
    </row>
    <row r="2302" spans="1:12" x14ac:dyDescent="0.25">
      <c r="A2302" s="84" t="str">
        <f t="shared" si="106"/>
        <v>SelecioneSelecioneSelecione</v>
      </c>
      <c r="B2302" s="85" t="s">
        <v>19</v>
      </c>
      <c r="C2302" s="85" t="s">
        <v>19</v>
      </c>
      <c r="D2302" s="86"/>
      <c r="E2302" s="116" t="str">
        <f t="shared" si="107"/>
        <v>-</v>
      </c>
      <c r="F2302" s="85"/>
      <c r="G2302" s="85" t="s">
        <v>19</v>
      </c>
      <c r="H2302" s="85"/>
      <c r="I2302" s="85"/>
      <c r="J2302" s="87"/>
      <c r="K2302" s="88">
        <f t="shared" si="108"/>
        <v>0</v>
      </c>
      <c r="L2302" s="85"/>
    </row>
    <row r="2303" spans="1:12" x14ac:dyDescent="0.25">
      <c r="A2303" s="84" t="str">
        <f t="shared" si="106"/>
        <v>SelecioneSelecioneSelecione</v>
      </c>
      <c r="B2303" s="85" t="s">
        <v>19</v>
      </c>
      <c r="C2303" s="85" t="s">
        <v>19</v>
      </c>
      <c r="D2303" s="86"/>
      <c r="E2303" s="116" t="str">
        <f t="shared" si="107"/>
        <v>-</v>
      </c>
      <c r="F2303" s="85"/>
      <c r="G2303" s="85" t="s">
        <v>19</v>
      </c>
      <c r="H2303" s="85"/>
      <c r="I2303" s="85"/>
      <c r="J2303" s="87"/>
      <c r="K2303" s="88">
        <f t="shared" si="108"/>
        <v>0</v>
      </c>
      <c r="L2303" s="85"/>
    </row>
    <row r="2304" spans="1:12" x14ac:dyDescent="0.25">
      <c r="A2304" s="84" t="str">
        <f t="shared" si="106"/>
        <v>SelecioneSelecioneSelecione</v>
      </c>
      <c r="B2304" s="85" t="s">
        <v>19</v>
      </c>
      <c r="C2304" s="85" t="s">
        <v>19</v>
      </c>
      <c r="D2304" s="86"/>
      <c r="E2304" s="116" t="str">
        <f t="shared" si="107"/>
        <v>-</v>
      </c>
      <c r="F2304" s="85"/>
      <c r="G2304" s="85" t="s">
        <v>19</v>
      </c>
      <c r="H2304" s="85"/>
      <c r="I2304" s="85"/>
      <c r="J2304" s="87"/>
      <c r="K2304" s="88">
        <f t="shared" si="108"/>
        <v>0</v>
      </c>
      <c r="L2304" s="85"/>
    </row>
    <row r="2305" spans="1:12" x14ac:dyDescent="0.25">
      <c r="A2305" s="84" t="str">
        <f t="shared" si="106"/>
        <v>SelecioneSelecioneSelecione</v>
      </c>
      <c r="B2305" s="85" t="s">
        <v>19</v>
      </c>
      <c r="C2305" s="85" t="s">
        <v>19</v>
      </c>
      <c r="D2305" s="86"/>
      <c r="E2305" s="116" t="str">
        <f t="shared" si="107"/>
        <v>-</v>
      </c>
      <c r="F2305" s="85"/>
      <c r="G2305" s="85" t="s">
        <v>19</v>
      </c>
      <c r="H2305" s="85"/>
      <c r="I2305" s="85"/>
      <c r="J2305" s="87"/>
      <c r="K2305" s="88">
        <f t="shared" si="108"/>
        <v>0</v>
      </c>
      <c r="L2305" s="85"/>
    </row>
    <row r="2306" spans="1:12" x14ac:dyDescent="0.25">
      <c r="A2306" s="84" t="str">
        <f t="shared" ref="A2306:A2369" si="109">CONCATENATE(B2306,C2306,G2306)</f>
        <v>SelecioneSelecioneSelecione</v>
      </c>
      <c r="B2306" s="85" t="s">
        <v>19</v>
      </c>
      <c r="C2306" s="85" t="s">
        <v>19</v>
      </c>
      <c r="D2306" s="86"/>
      <c r="E2306" s="116" t="str">
        <f t="shared" ref="E2306:E2369" si="110">VLOOKUP(G2306,$M$1:$O$968,3,0)</f>
        <v>-</v>
      </c>
      <c r="F2306" s="85"/>
      <c r="G2306" s="85" t="s">
        <v>19</v>
      </c>
      <c r="H2306" s="85"/>
      <c r="I2306" s="85"/>
      <c r="J2306" s="87"/>
      <c r="K2306" s="88">
        <f t="shared" ref="K2306:K2369" si="111">I2306*J2306</f>
        <v>0</v>
      </c>
      <c r="L2306" s="85"/>
    </row>
    <row r="2307" spans="1:12" x14ac:dyDescent="0.25">
      <c r="A2307" s="84" t="str">
        <f t="shared" si="109"/>
        <v>SelecioneSelecioneSelecione</v>
      </c>
      <c r="B2307" s="85" t="s">
        <v>19</v>
      </c>
      <c r="C2307" s="85" t="s">
        <v>19</v>
      </c>
      <c r="D2307" s="86"/>
      <c r="E2307" s="116" t="str">
        <f t="shared" si="110"/>
        <v>-</v>
      </c>
      <c r="F2307" s="85"/>
      <c r="G2307" s="85" t="s">
        <v>19</v>
      </c>
      <c r="H2307" s="85"/>
      <c r="I2307" s="85"/>
      <c r="J2307" s="87"/>
      <c r="K2307" s="88">
        <f t="shared" si="111"/>
        <v>0</v>
      </c>
      <c r="L2307" s="85"/>
    </row>
    <row r="2308" spans="1:12" x14ac:dyDescent="0.25">
      <c r="A2308" s="84" t="str">
        <f t="shared" si="109"/>
        <v>SelecioneSelecioneSelecione</v>
      </c>
      <c r="B2308" s="85" t="s">
        <v>19</v>
      </c>
      <c r="C2308" s="85" t="s">
        <v>19</v>
      </c>
      <c r="D2308" s="86"/>
      <c r="E2308" s="116" t="str">
        <f t="shared" si="110"/>
        <v>-</v>
      </c>
      <c r="F2308" s="85"/>
      <c r="G2308" s="85" t="s">
        <v>19</v>
      </c>
      <c r="H2308" s="85"/>
      <c r="I2308" s="85"/>
      <c r="J2308" s="87"/>
      <c r="K2308" s="88">
        <f t="shared" si="111"/>
        <v>0</v>
      </c>
      <c r="L2308" s="85"/>
    </row>
    <row r="2309" spans="1:12" x14ac:dyDescent="0.25">
      <c r="A2309" s="84" t="str">
        <f t="shared" si="109"/>
        <v>SelecioneSelecioneSelecione</v>
      </c>
      <c r="B2309" s="85" t="s">
        <v>19</v>
      </c>
      <c r="C2309" s="85" t="s">
        <v>19</v>
      </c>
      <c r="D2309" s="86"/>
      <c r="E2309" s="116" t="str">
        <f t="shared" si="110"/>
        <v>-</v>
      </c>
      <c r="F2309" s="85"/>
      <c r="G2309" s="85" t="s">
        <v>19</v>
      </c>
      <c r="H2309" s="85"/>
      <c r="I2309" s="85"/>
      <c r="J2309" s="87"/>
      <c r="K2309" s="88">
        <f t="shared" si="111"/>
        <v>0</v>
      </c>
      <c r="L2309" s="85"/>
    </row>
    <row r="2310" spans="1:12" x14ac:dyDescent="0.25">
      <c r="A2310" s="84" t="str">
        <f t="shared" si="109"/>
        <v>SelecioneSelecioneSelecione</v>
      </c>
      <c r="B2310" s="85" t="s">
        <v>19</v>
      </c>
      <c r="C2310" s="85" t="s">
        <v>19</v>
      </c>
      <c r="D2310" s="86"/>
      <c r="E2310" s="116" t="str">
        <f t="shared" si="110"/>
        <v>-</v>
      </c>
      <c r="F2310" s="85"/>
      <c r="G2310" s="85" t="s">
        <v>19</v>
      </c>
      <c r="H2310" s="85"/>
      <c r="I2310" s="85"/>
      <c r="J2310" s="87"/>
      <c r="K2310" s="88">
        <f t="shared" si="111"/>
        <v>0</v>
      </c>
      <c r="L2310" s="85"/>
    </row>
    <row r="2311" spans="1:12" x14ac:dyDescent="0.25">
      <c r="A2311" s="84" t="str">
        <f t="shared" si="109"/>
        <v>SelecioneSelecioneSelecione</v>
      </c>
      <c r="B2311" s="85" t="s">
        <v>19</v>
      </c>
      <c r="C2311" s="85" t="s">
        <v>19</v>
      </c>
      <c r="D2311" s="86"/>
      <c r="E2311" s="116" t="str">
        <f t="shared" si="110"/>
        <v>-</v>
      </c>
      <c r="F2311" s="85"/>
      <c r="G2311" s="85" t="s">
        <v>19</v>
      </c>
      <c r="H2311" s="85"/>
      <c r="I2311" s="85"/>
      <c r="J2311" s="87"/>
      <c r="K2311" s="88">
        <f t="shared" si="111"/>
        <v>0</v>
      </c>
      <c r="L2311" s="85"/>
    </row>
    <row r="2312" spans="1:12" x14ac:dyDescent="0.25">
      <c r="A2312" s="84" t="str">
        <f t="shared" si="109"/>
        <v>SelecioneSelecioneSelecione</v>
      </c>
      <c r="B2312" s="85" t="s">
        <v>19</v>
      </c>
      <c r="C2312" s="85" t="s">
        <v>19</v>
      </c>
      <c r="D2312" s="86"/>
      <c r="E2312" s="116" t="str">
        <f t="shared" si="110"/>
        <v>-</v>
      </c>
      <c r="F2312" s="85"/>
      <c r="G2312" s="85" t="s">
        <v>19</v>
      </c>
      <c r="H2312" s="85"/>
      <c r="I2312" s="85"/>
      <c r="J2312" s="87"/>
      <c r="K2312" s="88">
        <f t="shared" si="111"/>
        <v>0</v>
      </c>
      <c r="L2312" s="85"/>
    </row>
    <row r="2313" spans="1:12" x14ac:dyDescent="0.25">
      <c r="A2313" s="84" t="str">
        <f t="shared" si="109"/>
        <v>SelecioneSelecioneSelecione</v>
      </c>
      <c r="B2313" s="85" t="s">
        <v>19</v>
      </c>
      <c r="C2313" s="85" t="s">
        <v>19</v>
      </c>
      <c r="D2313" s="86"/>
      <c r="E2313" s="116" t="str">
        <f t="shared" si="110"/>
        <v>-</v>
      </c>
      <c r="F2313" s="85"/>
      <c r="G2313" s="85" t="s">
        <v>19</v>
      </c>
      <c r="H2313" s="85"/>
      <c r="I2313" s="85"/>
      <c r="J2313" s="87"/>
      <c r="K2313" s="88">
        <f t="shared" si="111"/>
        <v>0</v>
      </c>
      <c r="L2313" s="85"/>
    </row>
    <row r="2314" spans="1:12" x14ac:dyDescent="0.25">
      <c r="A2314" s="84" t="str">
        <f t="shared" si="109"/>
        <v>SelecioneSelecioneSelecione</v>
      </c>
      <c r="B2314" s="85" t="s">
        <v>19</v>
      </c>
      <c r="C2314" s="85" t="s">
        <v>19</v>
      </c>
      <c r="D2314" s="86"/>
      <c r="E2314" s="116" t="str">
        <f t="shared" si="110"/>
        <v>-</v>
      </c>
      <c r="F2314" s="85"/>
      <c r="G2314" s="85" t="s">
        <v>19</v>
      </c>
      <c r="H2314" s="85"/>
      <c r="I2314" s="85"/>
      <c r="J2314" s="87"/>
      <c r="K2314" s="88">
        <f t="shared" si="111"/>
        <v>0</v>
      </c>
      <c r="L2314" s="85"/>
    </row>
    <row r="2315" spans="1:12" x14ac:dyDescent="0.25">
      <c r="A2315" s="84" t="str">
        <f t="shared" si="109"/>
        <v>SelecioneSelecioneSelecione</v>
      </c>
      <c r="B2315" s="85" t="s">
        <v>19</v>
      </c>
      <c r="C2315" s="85" t="s">
        <v>19</v>
      </c>
      <c r="D2315" s="86"/>
      <c r="E2315" s="116" t="str">
        <f t="shared" si="110"/>
        <v>-</v>
      </c>
      <c r="F2315" s="85"/>
      <c r="G2315" s="85" t="s">
        <v>19</v>
      </c>
      <c r="H2315" s="85"/>
      <c r="I2315" s="85"/>
      <c r="J2315" s="87"/>
      <c r="K2315" s="88">
        <f t="shared" si="111"/>
        <v>0</v>
      </c>
      <c r="L2315" s="85"/>
    </row>
    <row r="2316" spans="1:12" x14ac:dyDescent="0.25">
      <c r="A2316" s="84" t="str">
        <f t="shared" si="109"/>
        <v>SelecioneSelecioneSelecione</v>
      </c>
      <c r="B2316" s="85" t="s">
        <v>19</v>
      </c>
      <c r="C2316" s="85" t="s">
        <v>19</v>
      </c>
      <c r="D2316" s="86"/>
      <c r="E2316" s="116" t="str">
        <f t="shared" si="110"/>
        <v>-</v>
      </c>
      <c r="F2316" s="85"/>
      <c r="G2316" s="85" t="s">
        <v>19</v>
      </c>
      <c r="H2316" s="85"/>
      <c r="I2316" s="85"/>
      <c r="J2316" s="87"/>
      <c r="K2316" s="88">
        <f t="shared" si="111"/>
        <v>0</v>
      </c>
      <c r="L2316" s="85"/>
    </row>
    <row r="2317" spans="1:12" x14ac:dyDescent="0.25">
      <c r="A2317" s="84" t="str">
        <f t="shared" si="109"/>
        <v>SelecioneSelecioneSelecione</v>
      </c>
      <c r="B2317" s="85" t="s">
        <v>19</v>
      </c>
      <c r="C2317" s="85" t="s">
        <v>19</v>
      </c>
      <c r="D2317" s="86"/>
      <c r="E2317" s="116" t="str">
        <f t="shared" si="110"/>
        <v>-</v>
      </c>
      <c r="F2317" s="85"/>
      <c r="G2317" s="85" t="s">
        <v>19</v>
      </c>
      <c r="H2317" s="85"/>
      <c r="I2317" s="85"/>
      <c r="J2317" s="87"/>
      <c r="K2317" s="88">
        <f t="shared" si="111"/>
        <v>0</v>
      </c>
      <c r="L2317" s="85"/>
    </row>
    <row r="2318" spans="1:12" x14ac:dyDescent="0.25">
      <c r="A2318" s="84" t="str">
        <f t="shared" si="109"/>
        <v>SelecioneSelecioneSelecione</v>
      </c>
      <c r="B2318" s="85" t="s">
        <v>19</v>
      </c>
      <c r="C2318" s="85" t="s">
        <v>19</v>
      </c>
      <c r="D2318" s="86"/>
      <c r="E2318" s="116" t="str">
        <f t="shared" si="110"/>
        <v>-</v>
      </c>
      <c r="F2318" s="85"/>
      <c r="G2318" s="85" t="s">
        <v>19</v>
      </c>
      <c r="H2318" s="85"/>
      <c r="I2318" s="85"/>
      <c r="J2318" s="87"/>
      <c r="K2318" s="88">
        <f t="shared" si="111"/>
        <v>0</v>
      </c>
      <c r="L2318" s="85"/>
    </row>
    <row r="2319" spans="1:12" x14ac:dyDescent="0.25">
      <c r="A2319" s="84" t="str">
        <f t="shared" si="109"/>
        <v>SelecioneSelecioneSelecione</v>
      </c>
      <c r="B2319" s="85" t="s">
        <v>19</v>
      </c>
      <c r="C2319" s="85" t="s">
        <v>19</v>
      </c>
      <c r="D2319" s="86"/>
      <c r="E2319" s="116" t="str">
        <f t="shared" si="110"/>
        <v>-</v>
      </c>
      <c r="F2319" s="85"/>
      <c r="G2319" s="85" t="s">
        <v>19</v>
      </c>
      <c r="H2319" s="85"/>
      <c r="I2319" s="85"/>
      <c r="J2319" s="87"/>
      <c r="K2319" s="88">
        <f t="shared" si="111"/>
        <v>0</v>
      </c>
      <c r="L2319" s="85"/>
    </row>
    <row r="2320" spans="1:12" x14ac:dyDescent="0.25">
      <c r="A2320" s="84" t="str">
        <f t="shared" si="109"/>
        <v>SelecioneSelecioneSelecione</v>
      </c>
      <c r="B2320" s="85" t="s">
        <v>19</v>
      </c>
      <c r="C2320" s="85" t="s">
        <v>19</v>
      </c>
      <c r="D2320" s="86"/>
      <c r="E2320" s="116" t="str">
        <f t="shared" si="110"/>
        <v>-</v>
      </c>
      <c r="F2320" s="85"/>
      <c r="G2320" s="85" t="s">
        <v>19</v>
      </c>
      <c r="H2320" s="85"/>
      <c r="I2320" s="85"/>
      <c r="J2320" s="87"/>
      <c r="K2320" s="88">
        <f t="shared" si="111"/>
        <v>0</v>
      </c>
      <c r="L2320" s="85"/>
    </row>
    <row r="2321" spans="1:12" x14ac:dyDescent="0.25">
      <c r="A2321" s="84" t="str">
        <f t="shared" si="109"/>
        <v>SelecioneSelecioneSelecione</v>
      </c>
      <c r="B2321" s="85" t="s">
        <v>19</v>
      </c>
      <c r="C2321" s="85" t="s">
        <v>19</v>
      </c>
      <c r="D2321" s="86"/>
      <c r="E2321" s="116" t="str">
        <f t="shared" si="110"/>
        <v>-</v>
      </c>
      <c r="F2321" s="85"/>
      <c r="G2321" s="85" t="s">
        <v>19</v>
      </c>
      <c r="H2321" s="85"/>
      <c r="I2321" s="85"/>
      <c r="J2321" s="87"/>
      <c r="K2321" s="88">
        <f t="shared" si="111"/>
        <v>0</v>
      </c>
      <c r="L2321" s="85"/>
    </row>
    <row r="2322" spans="1:12" x14ac:dyDescent="0.25">
      <c r="A2322" s="84" t="str">
        <f t="shared" si="109"/>
        <v>SelecioneSelecioneSelecione</v>
      </c>
      <c r="B2322" s="85" t="s">
        <v>19</v>
      </c>
      <c r="C2322" s="85" t="s">
        <v>19</v>
      </c>
      <c r="D2322" s="86"/>
      <c r="E2322" s="116" t="str">
        <f t="shared" si="110"/>
        <v>-</v>
      </c>
      <c r="F2322" s="85"/>
      <c r="G2322" s="85" t="s">
        <v>19</v>
      </c>
      <c r="H2322" s="85"/>
      <c r="I2322" s="85"/>
      <c r="J2322" s="87"/>
      <c r="K2322" s="88">
        <f t="shared" si="111"/>
        <v>0</v>
      </c>
      <c r="L2322" s="85"/>
    </row>
    <row r="2323" spans="1:12" x14ac:dyDescent="0.25">
      <c r="A2323" s="84" t="str">
        <f t="shared" si="109"/>
        <v>SelecioneSelecioneSelecione</v>
      </c>
      <c r="B2323" s="85" t="s">
        <v>19</v>
      </c>
      <c r="C2323" s="85" t="s">
        <v>19</v>
      </c>
      <c r="D2323" s="86"/>
      <c r="E2323" s="116" t="str">
        <f t="shared" si="110"/>
        <v>-</v>
      </c>
      <c r="F2323" s="85"/>
      <c r="G2323" s="85" t="s">
        <v>19</v>
      </c>
      <c r="H2323" s="85"/>
      <c r="I2323" s="85"/>
      <c r="J2323" s="87"/>
      <c r="K2323" s="88">
        <f t="shared" si="111"/>
        <v>0</v>
      </c>
      <c r="L2323" s="85"/>
    </row>
    <row r="2324" spans="1:12" x14ac:dyDescent="0.25">
      <c r="A2324" s="84" t="str">
        <f t="shared" si="109"/>
        <v>SelecioneSelecioneSelecione</v>
      </c>
      <c r="B2324" s="85" t="s">
        <v>19</v>
      </c>
      <c r="C2324" s="85" t="s">
        <v>19</v>
      </c>
      <c r="D2324" s="86"/>
      <c r="E2324" s="116" t="str">
        <f t="shared" si="110"/>
        <v>-</v>
      </c>
      <c r="F2324" s="85"/>
      <c r="G2324" s="85" t="s">
        <v>19</v>
      </c>
      <c r="H2324" s="85"/>
      <c r="I2324" s="85"/>
      <c r="J2324" s="87"/>
      <c r="K2324" s="88">
        <f t="shared" si="111"/>
        <v>0</v>
      </c>
      <c r="L2324" s="85"/>
    </row>
    <row r="2325" spans="1:12" x14ac:dyDescent="0.25">
      <c r="A2325" s="84" t="str">
        <f t="shared" si="109"/>
        <v>SelecioneSelecioneSelecione</v>
      </c>
      <c r="B2325" s="85" t="s">
        <v>19</v>
      </c>
      <c r="C2325" s="85" t="s">
        <v>19</v>
      </c>
      <c r="D2325" s="86"/>
      <c r="E2325" s="116" t="str">
        <f t="shared" si="110"/>
        <v>-</v>
      </c>
      <c r="F2325" s="85"/>
      <c r="G2325" s="85" t="s">
        <v>19</v>
      </c>
      <c r="H2325" s="85"/>
      <c r="I2325" s="85"/>
      <c r="J2325" s="87"/>
      <c r="K2325" s="88">
        <f t="shared" si="111"/>
        <v>0</v>
      </c>
      <c r="L2325" s="85"/>
    </row>
    <row r="2326" spans="1:12" x14ac:dyDescent="0.25">
      <c r="A2326" s="84" t="str">
        <f t="shared" si="109"/>
        <v>SelecioneSelecioneSelecione</v>
      </c>
      <c r="B2326" s="85" t="s">
        <v>19</v>
      </c>
      <c r="C2326" s="85" t="s">
        <v>19</v>
      </c>
      <c r="D2326" s="86"/>
      <c r="E2326" s="116" t="str">
        <f t="shared" si="110"/>
        <v>-</v>
      </c>
      <c r="F2326" s="85"/>
      <c r="G2326" s="85" t="s">
        <v>19</v>
      </c>
      <c r="H2326" s="85"/>
      <c r="I2326" s="85"/>
      <c r="J2326" s="87"/>
      <c r="K2326" s="88">
        <f t="shared" si="111"/>
        <v>0</v>
      </c>
      <c r="L2326" s="85"/>
    </row>
    <row r="2327" spans="1:12" x14ac:dyDescent="0.25">
      <c r="A2327" s="84" t="str">
        <f t="shared" si="109"/>
        <v>SelecioneSelecioneSelecione</v>
      </c>
      <c r="B2327" s="85" t="s">
        <v>19</v>
      </c>
      <c r="C2327" s="85" t="s">
        <v>19</v>
      </c>
      <c r="D2327" s="86"/>
      <c r="E2327" s="116" t="str">
        <f t="shared" si="110"/>
        <v>-</v>
      </c>
      <c r="F2327" s="85"/>
      <c r="G2327" s="85" t="s">
        <v>19</v>
      </c>
      <c r="H2327" s="85"/>
      <c r="I2327" s="85"/>
      <c r="J2327" s="87"/>
      <c r="K2327" s="88">
        <f t="shared" si="111"/>
        <v>0</v>
      </c>
      <c r="L2327" s="85"/>
    </row>
    <row r="2328" spans="1:12" x14ac:dyDescent="0.25">
      <c r="A2328" s="84" t="str">
        <f t="shared" si="109"/>
        <v>SelecioneSelecioneSelecione</v>
      </c>
      <c r="B2328" s="85" t="s">
        <v>19</v>
      </c>
      <c r="C2328" s="85" t="s">
        <v>19</v>
      </c>
      <c r="D2328" s="86"/>
      <c r="E2328" s="116" t="str">
        <f t="shared" si="110"/>
        <v>-</v>
      </c>
      <c r="F2328" s="85"/>
      <c r="G2328" s="85" t="s">
        <v>19</v>
      </c>
      <c r="H2328" s="85"/>
      <c r="I2328" s="85"/>
      <c r="J2328" s="87"/>
      <c r="K2328" s="88">
        <f t="shared" si="111"/>
        <v>0</v>
      </c>
      <c r="L2328" s="85"/>
    </row>
    <row r="2329" spans="1:12" x14ac:dyDescent="0.25">
      <c r="A2329" s="84" t="str">
        <f t="shared" si="109"/>
        <v>SelecioneSelecioneSelecione</v>
      </c>
      <c r="B2329" s="85" t="s">
        <v>19</v>
      </c>
      <c r="C2329" s="85" t="s">
        <v>19</v>
      </c>
      <c r="D2329" s="86"/>
      <c r="E2329" s="116" t="str">
        <f t="shared" si="110"/>
        <v>-</v>
      </c>
      <c r="F2329" s="85"/>
      <c r="G2329" s="85" t="s">
        <v>19</v>
      </c>
      <c r="H2329" s="85"/>
      <c r="I2329" s="85"/>
      <c r="J2329" s="87"/>
      <c r="K2329" s="88">
        <f t="shared" si="111"/>
        <v>0</v>
      </c>
      <c r="L2329" s="85"/>
    </row>
    <row r="2330" spans="1:12" x14ac:dyDescent="0.25">
      <c r="A2330" s="84" t="str">
        <f t="shared" si="109"/>
        <v>SelecioneSelecioneSelecione</v>
      </c>
      <c r="B2330" s="85" t="s">
        <v>19</v>
      </c>
      <c r="C2330" s="85" t="s">
        <v>19</v>
      </c>
      <c r="D2330" s="86"/>
      <c r="E2330" s="116" t="str">
        <f t="shared" si="110"/>
        <v>-</v>
      </c>
      <c r="F2330" s="85"/>
      <c r="G2330" s="85" t="s">
        <v>19</v>
      </c>
      <c r="H2330" s="85"/>
      <c r="I2330" s="85"/>
      <c r="J2330" s="87"/>
      <c r="K2330" s="88">
        <f t="shared" si="111"/>
        <v>0</v>
      </c>
      <c r="L2330" s="85"/>
    </row>
    <row r="2331" spans="1:12" x14ac:dyDescent="0.25">
      <c r="A2331" s="84" t="str">
        <f t="shared" si="109"/>
        <v>SelecioneSelecioneSelecione</v>
      </c>
      <c r="B2331" s="85" t="s">
        <v>19</v>
      </c>
      <c r="C2331" s="85" t="s">
        <v>19</v>
      </c>
      <c r="D2331" s="86"/>
      <c r="E2331" s="116" t="str">
        <f t="shared" si="110"/>
        <v>-</v>
      </c>
      <c r="F2331" s="85"/>
      <c r="G2331" s="85" t="s">
        <v>19</v>
      </c>
      <c r="H2331" s="85"/>
      <c r="I2331" s="85"/>
      <c r="J2331" s="87"/>
      <c r="K2331" s="88">
        <f t="shared" si="111"/>
        <v>0</v>
      </c>
      <c r="L2331" s="85"/>
    </row>
    <row r="2332" spans="1:12" x14ac:dyDescent="0.25">
      <c r="A2332" s="84" t="str">
        <f t="shared" si="109"/>
        <v>SelecioneSelecioneSelecione</v>
      </c>
      <c r="B2332" s="85" t="s">
        <v>19</v>
      </c>
      <c r="C2332" s="85" t="s">
        <v>19</v>
      </c>
      <c r="D2332" s="86"/>
      <c r="E2332" s="116" t="str">
        <f t="shared" si="110"/>
        <v>-</v>
      </c>
      <c r="F2332" s="85"/>
      <c r="G2332" s="85" t="s">
        <v>19</v>
      </c>
      <c r="H2332" s="85"/>
      <c r="I2332" s="85"/>
      <c r="J2332" s="87"/>
      <c r="K2332" s="88">
        <f t="shared" si="111"/>
        <v>0</v>
      </c>
      <c r="L2332" s="85"/>
    </row>
    <row r="2333" spans="1:12" x14ac:dyDescent="0.25">
      <c r="A2333" s="84" t="str">
        <f t="shared" si="109"/>
        <v>SelecioneSelecioneSelecione</v>
      </c>
      <c r="B2333" s="85" t="s">
        <v>19</v>
      </c>
      <c r="C2333" s="85" t="s">
        <v>19</v>
      </c>
      <c r="D2333" s="86"/>
      <c r="E2333" s="116" t="str">
        <f t="shared" si="110"/>
        <v>-</v>
      </c>
      <c r="F2333" s="85"/>
      <c r="G2333" s="85" t="s">
        <v>19</v>
      </c>
      <c r="H2333" s="85"/>
      <c r="I2333" s="85"/>
      <c r="J2333" s="87"/>
      <c r="K2333" s="88">
        <f t="shared" si="111"/>
        <v>0</v>
      </c>
      <c r="L2333" s="85"/>
    </row>
    <row r="2334" spans="1:12" x14ac:dyDescent="0.25">
      <c r="A2334" s="84" t="str">
        <f t="shared" si="109"/>
        <v>SelecioneSelecioneSelecione</v>
      </c>
      <c r="B2334" s="85" t="s">
        <v>19</v>
      </c>
      <c r="C2334" s="85" t="s">
        <v>19</v>
      </c>
      <c r="D2334" s="86"/>
      <c r="E2334" s="116" t="str">
        <f t="shared" si="110"/>
        <v>-</v>
      </c>
      <c r="F2334" s="85"/>
      <c r="G2334" s="85" t="s">
        <v>19</v>
      </c>
      <c r="H2334" s="85"/>
      <c r="I2334" s="85"/>
      <c r="J2334" s="87"/>
      <c r="K2334" s="88">
        <f t="shared" si="111"/>
        <v>0</v>
      </c>
      <c r="L2334" s="85"/>
    </row>
    <row r="2335" spans="1:12" x14ac:dyDescent="0.25">
      <c r="A2335" s="84" t="str">
        <f t="shared" si="109"/>
        <v>SelecioneSelecioneSelecione</v>
      </c>
      <c r="B2335" s="85" t="s">
        <v>19</v>
      </c>
      <c r="C2335" s="85" t="s">
        <v>19</v>
      </c>
      <c r="D2335" s="86"/>
      <c r="E2335" s="116" t="str">
        <f t="shared" si="110"/>
        <v>-</v>
      </c>
      <c r="F2335" s="85"/>
      <c r="G2335" s="85" t="s">
        <v>19</v>
      </c>
      <c r="H2335" s="85"/>
      <c r="I2335" s="85"/>
      <c r="J2335" s="87"/>
      <c r="K2335" s="88">
        <f t="shared" si="111"/>
        <v>0</v>
      </c>
      <c r="L2335" s="85"/>
    </row>
    <row r="2336" spans="1:12" x14ac:dyDescent="0.25">
      <c r="A2336" s="84" t="str">
        <f t="shared" si="109"/>
        <v>SelecioneSelecioneSelecione</v>
      </c>
      <c r="B2336" s="85" t="s">
        <v>19</v>
      </c>
      <c r="C2336" s="85" t="s">
        <v>19</v>
      </c>
      <c r="D2336" s="86"/>
      <c r="E2336" s="116" t="str">
        <f t="shared" si="110"/>
        <v>-</v>
      </c>
      <c r="F2336" s="85"/>
      <c r="G2336" s="85" t="s">
        <v>19</v>
      </c>
      <c r="H2336" s="85"/>
      <c r="I2336" s="85"/>
      <c r="J2336" s="87"/>
      <c r="K2336" s="88">
        <f t="shared" si="111"/>
        <v>0</v>
      </c>
      <c r="L2336" s="85"/>
    </row>
    <row r="2337" spans="1:12" x14ac:dyDescent="0.25">
      <c r="A2337" s="84" t="str">
        <f t="shared" si="109"/>
        <v>SelecioneSelecioneSelecione</v>
      </c>
      <c r="B2337" s="85" t="s">
        <v>19</v>
      </c>
      <c r="C2337" s="85" t="s">
        <v>19</v>
      </c>
      <c r="D2337" s="86"/>
      <c r="E2337" s="116" t="str">
        <f t="shared" si="110"/>
        <v>-</v>
      </c>
      <c r="F2337" s="85"/>
      <c r="G2337" s="85" t="s">
        <v>19</v>
      </c>
      <c r="H2337" s="85"/>
      <c r="I2337" s="85"/>
      <c r="J2337" s="87"/>
      <c r="K2337" s="88">
        <f t="shared" si="111"/>
        <v>0</v>
      </c>
      <c r="L2337" s="85"/>
    </row>
    <row r="2338" spans="1:12" x14ac:dyDescent="0.25">
      <c r="A2338" s="84" t="str">
        <f t="shared" si="109"/>
        <v>SelecioneSelecioneSelecione</v>
      </c>
      <c r="B2338" s="85" t="s">
        <v>19</v>
      </c>
      <c r="C2338" s="85" t="s">
        <v>19</v>
      </c>
      <c r="D2338" s="86"/>
      <c r="E2338" s="116" t="str">
        <f t="shared" si="110"/>
        <v>-</v>
      </c>
      <c r="F2338" s="85"/>
      <c r="G2338" s="85" t="s">
        <v>19</v>
      </c>
      <c r="H2338" s="85"/>
      <c r="I2338" s="85"/>
      <c r="J2338" s="87"/>
      <c r="K2338" s="88">
        <f t="shared" si="111"/>
        <v>0</v>
      </c>
      <c r="L2338" s="85"/>
    </row>
    <row r="2339" spans="1:12" x14ac:dyDescent="0.25">
      <c r="A2339" s="84" t="str">
        <f t="shared" si="109"/>
        <v>SelecioneSelecioneSelecione</v>
      </c>
      <c r="B2339" s="85" t="s">
        <v>19</v>
      </c>
      <c r="C2339" s="85" t="s">
        <v>19</v>
      </c>
      <c r="D2339" s="86"/>
      <c r="E2339" s="116" t="str">
        <f t="shared" si="110"/>
        <v>-</v>
      </c>
      <c r="F2339" s="85"/>
      <c r="G2339" s="85" t="s">
        <v>19</v>
      </c>
      <c r="H2339" s="85"/>
      <c r="I2339" s="85"/>
      <c r="J2339" s="87"/>
      <c r="K2339" s="88">
        <f t="shared" si="111"/>
        <v>0</v>
      </c>
      <c r="L2339" s="85"/>
    </row>
    <row r="2340" spans="1:12" x14ac:dyDescent="0.25">
      <c r="A2340" s="84" t="str">
        <f t="shared" si="109"/>
        <v>SelecioneSelecioneSelecione</v>
      </c>
      <c r="B2340" s="85" t="s">
        <v>19</v>
      </c>
      <c r="C2340" s="85" t="s">
        <v>19</v>
      </c>
      <c r="D2340" s="86"/>
      <c r="E2340" s="116" t="str">
        <f t="shared" si="110"/>
        <v>-</v>
      </c>
      <c r="F2340" s="85"/>
      <c r="G2340" s="85" t="s">
        <v>19</v>
      </c>
      <c r="H2340" s="85"/>
      <c r="I2340" s="85"/>
      <c r="J2340" s="87"/>
      <c r="K2340" s="88">
        <f t="shared" si="111"/>
        <v>0</v>
      </c>
      <c r="L2340" s="85"/>
    </row>
    <row r="2341" spans="1:12" x14ac:dyDescent="0.25">
      <c r="A2341" s="84" t="str">
        <f t="shared" si="109"/>
        <v>SelecioneSelecioneSelecione</v>
      </c>
      <c r="B2341" s="85" t="s">
        <v>19</v>
      </c>
      <c r="C2341" s="85" t="s">
        <v>19</v>
      </c>
      <c r="D2341" s="86"/>
      <c r="E2341" s="116" t="str">
        <f t="shared" si="110"/>
        <v>-</v>
      </c>
      <c r="F2341" s="85"/>
      <c r="G2341" s="85" t="s">
        <v>19</v>
      </c>
      <c r="H2341" s="85"/>
      <c r="I2341" s="85"/>
      <c r="J2341" s="87"/>
      <c r="K2341" s="88">
        <f t="shared" si="111"/>
        <v>0</v>
      </c>
      <c r="L2341" s="85"/>
    </row>
    <row r="2342" spans="1:12" x14ac:dyDescent="0.25">
      <c r="A2342" s="84" t="str">
        <f t="shared" si="109"/>
        <v>SelecioneSelecioneSelecione</v>
      </c>
      <c r="B2342" s="85" t="s">
        <v>19</v>
      </c>
      <c r="C2342" s="85" t="s">
        <v>19</v>
      </c>
      <c r="D2342" s="86"/>
      <c r="E2342" s="116" t="str">
        <f t="shared" si="110"/>
        <v>-</v>
      </c>
      <c r="F2342" s="85"/>
      <c r="G2342" s="85" t="s">
        <v>19</v>
      </c>
      <c r="H2342" s="85"/>
      <c r="I2342" s="85"/>
      <c r="J2342" s="87"/>
      <c r="K2342" s="88">
        <f t="shared" si="111"/>
        <v>0</v>
      </c>
      <c r="L2342" s="85"/>
    </row>
    <row r="2343" spans="1:12" x14ac:dyDescent="0.25">
      <c r="A2343" s="84" t="str">
        <f t="shared" si="109"/>
        <v>SelecioneSelecioneSelecione</v>
      </c>
      <c r="B2343" s="85" t="s">
        <v>19</v>
      </c>
      <c r="C2343" s="85" t="s">
        <v>19</v>
      </c>
      <c r="D2343" s="86"/>
      <c r="E2343" s="116" t="str">
        <f t="shared" si="110"/>
        <v>-</v>
      </c>
      <c r="F2343" s="85"/>
      <c r="G2343" s="85" t="s">
        <v>19</v>
      </c>
      <c r="H2343" s="85"/>
      <c r="I2343" s="85"/>
      <c r="J2343" s="87"/>
      <c r="K2343" s="88">
        <f t="shared" si="111"/>
        <v>0</v>
      </c>
      <c r="L2343" s="85"/>
    </row>
    <row r="2344" spans="1:12" x14ac:dyDescent="0.25">
      <c r="A2344" s="84" t="str">
        <f t="shared" si="109"/>
        <v>SelecioneSelecioneSelecione</v>
      </c>
      <c r="B2344" s="85" t="s">
        <v>19</v>
      </c>
      <c r="C2344" s="85" t="s">
        <v>19</v>
      </c>
      <c r="D2344" s="86"/>
      <c r="E2344" s="116" t="str">
        <f t="shared" si="110"/>
        <v>-</v>
      </c>
      <c r="F2344" s="85"/>
      <c r="G2344" s="85" t="s">
        <v>19</v>
      </c>
      <c r="H2344" s="85"/>
      <c r="I2344" s="85"/>
      <c r="J2344" s="87"/>
      <c r="K2344" s="88">
        <f t="shared" si="111"/>
        <v>0</v>
      </c>
      <c r="L2344" s="85"/>
    </row>
    <row r="2345" spans="1:12" x14ac:dyDescent="0.25">
      <c r="A2345" s="84" t="str">
        <f t="shared" si="109"/>
        <v>SelecioneSelecioneSelecione</v>
      </c>
      <c r="B2345" s="85" t="s">
        <v>19</v>
      </c>
      <c r="C2345" s="85" t="s">
        <v>19</v>
      </c>
      <c r="D2345" s="86"/>
      <c r="E2345" s="116" t="str">
        <f t="shared" si="110"/>
        <v>-</v>
      </c>
      <c r="F2345" s="85"/>
      <c r="G2345" s="85" t="s">
        <v>19</v>
      </c>
      <c r="H2345" s="85"/>
      <c r="I2345" s="85"/>
      <c r="J2345" s="87"/>
      <c r="K2345" s="88">
        <f t="shared" si="111"/>
        <v>0</v>
      </c>
      <c r="L2345" s="85"/>
    </row>
    <row r="2346" spans="1:12" x14ac:dyDescent="0.25">
      <c r="A2346" s="84" t="str">
        <f t="shared" si="109"/>
        <v>SelecioneSelecioneSelecione</v>
      </c>
      <c r="B2346" s="85" t="s">
        <v>19</v>
      </c>
      <c r="C2346" s="85" t="s">
        <v>19</v>
      </c>
      <c r="D2346" s="86"/>
      <c r="E2346" s="116" t="str">
        <f t="shared" si="110"/>
        <v>-</v>
      </c>
      <c r="F2346" s="85"/>
      <c r="G2346" s="85" t="s">
        <v>19</v>
      </c>
      <c r="H2346" s="85"/>
      <c r="I2346" s="85"/>
      <c r="J2346" s="87"/>
      <c r="K2346" s="88">
        <f t="shared" si="111"/>
        <v>0</v>
      </c>
      <c r="L2346" s="85"/>
    </row>
    <row r="2347" spans="1:12" x14ac:dyDescent="0.25">
      <c r="A2347" s="84" t="str">
        <f t="shared" si="109"/>
        <v>SelecioneSelecioneSelecione</v>
      </c>
      <c r="B2347" s="85" t="s">
        <v>19</v>
      </c>
      <c r="C2347" s="85" t="s">
        <v>19</v>
      </c>
      <c r="D2347" s="86"/>
      <c r="E2347" s="116" t="str">
        <f t="shared" si="110"/>
        <v>-</v>
      </c>
      <c r="F2347" s="85"/>
      <c r="G2347" s="85" t="s">
        <v>19</v>
      </c>
      <c r="H2347" s="85"/>
      <c r="I2347" s="85"/>
      <c r="J2347" s="87"/>
      <c r="K2347" s="88">
        <f t="shared" si="111"/>
        <v>0</v>
      </c>
      <c r="L2347" s="85"/>
    </row>
    <row r="2348" spans="1:12" x14ac:dyDescent="0.25">
      <c r="A2348" s="84" t="str">
        <f t="shared" si="109"/>
        <v>SelecioneSelecioneSelecione</v>
      </c>
      <c r="B2348" s="85" t="s">
        <v>19</v>
      </c>
      <c r="C2348" s="85" t="s">
        <v>19</v>
      </c>
      <c r="D2348" s="86"/>
      <c r="E2348" s="116" t="str">
        <f t="shared" si="110"/>
        <v>-</v>
      </c>
      <c r="F2348" s="85"/>
      <c r="G2348" s="85" t="s">
        <v>19</v>
      </c>
      <c r="H2348" s="85"/>
      <c r="I2348" s="85"/>
      <c r="J2348" s="87"/>
      <c r="K2348" s="88">
        <f t="shared" si="111"/>
        <v>0</v>
      </c>
      <c r="L2348" s="85"/>
    </row>
    <row r="2349" spans="1:12" x14ac:dyDescent="0.25">
      <c r="A2349" s="84" t="str">
        <f t="shared" si="109"/>
        <v>SelecioneSelecioneSelecione</v>
      </c>
      <c r="B2349" s="85" t="s">
        <v>19</v>
      </c>
      <c r="C2349" s="85" t="s">
        <v>19</v>
      </c>
      <c r="D2349" s="86"/>
      <c r="E2349" s="116" t="str">
        <f t="shared" si="110"/>
        <v>-</v>
      </c>
      <c r="F2349" s="85"/>
      <c r="G2349" s="85" t="s">
        <v>19</v>
      </c>
      <c r="H2349" s="85"/>
      <c r="I2349" s="85"/>
      <c r="J2349" s="87"/>
      <c r="K2349" s="88">
        <f t="shared" si="111"/>
        <v>0</v>
      </c>
      <c r="L2349" s="85"/>
    </row>
    <row r="2350" spans="1:12" x14ac:dyDescent="0.25">
      <c r="A2350" s="84" t="str">
        <f t="shared" si="109"/>
        <v>SelecioneSelecioneSelecione</v>
      </c>
      <c r="B2350" s="85" t="s">
        <v>19</v>
      </c>
      <c r="C2350" s="85" t="s">
        <v>19</v>
      </c>
      <c r="D2350" s="86"/>
      <c r="E2350" s="116" t="str">
        <f t="shared" si="110"/>
        <v>-</v>
      </c>
      <c r="F2350" s="85"/>
      <c r="G2350" s="85" t="s">
        <v>19</v>
      </c>
      <c r="H2350" s="85"/>
      <c r="I2350" s="85"/>
      <c r="J2350" s="87"/>
      <c r="K2350" s="88">
        <f t="shared" si="111"/>
        <v>0</v>
      </c>
      <c r="L2350" s="85"/>
    </row>
    <row r="2351" spans="1:12" x14ac:dyDescent="0.25">
      <c r="A2351" s="84" t="str">
        <f t="shared" si="109"/>
        <v>SelecioneSelecioneSelecione</v>
      </c>
      <c r="B2351" s="85" t="s">
        <v>19</v>
      </c>
      <c r="C2351" s="85" t="s">
        <v>19</v>
      </c>
      <c r="D2351" s="86"/>
      <c r="E2351" s="116" t="str">
        <f t="shared" si="110"/>
        <v>-</v>
      </c>
      <c r="F2351" s="85"/>
      <c r="G2351" s="85" t="s">
        <v>19</v>
      </c>
      <c r="H2351" s="85"/>
      <c r="I2351" s="85"/>
      <c r="J2351" s="87"/>
      <c r="K2351" s="88">
        <f t="shared" si="111"/>
        <v>0</v>
      </c>
      <c r="L2351" s="85"/>
    </row>
    <row r="2352" spans="1:12" x14ac:dyDescent="0.25">
      <c r="A2352" s="84" t="str">
        <f t="shared" si="109"/>
        <v>SelecioneSelecioneSelecione</v>
      </c>
      <c r="B2352" s="85" t="s">
        <v>19</v>
      </c>
      <c r="C2352" s="85" t="s">
        <v>19</v>
      </c>
      <c r="D2352" s="86"/>
      <c r="E2352" s="116" t="str">
        <f t="shared" si="110"/>
        <v>-</v>
      </c>
      <c r="F2352" s="85"/>
      <c r="G2352" s="85" t="s">
        <v>19</v>
      </c>
      <c r="H2352" s="85"/>
      <c r="I2352" s="85"/>
      <c r="J2352" s="87"/>
      <c r="K2352" s="88">
        <f t="shared" si="111"/>
        <v>0</v>
      </c>
      <c r="L2352" s="85"/>
    </row>
    <row r="2353" spans="1:12" x14ac:dyDescent="0.25">
      <c r="A2353" s="84" t="str">
        <f t="shared" si="109"/>
        <v>SelecioneSelecioneSelecione</v>
      </c>
      <c r="B2353" s="85" t="s">
        <v>19</v>
      </c>
      <c r="C2353" s="85" t="s">
        <v>19</v>
      </c>
      <c r="D2353" s="86"/>
      <c r="E2353" s="116" t="str">
        <f t="shared" si="110"/>
        <v>-</v>
      </c>
      <c r="F2353" s="85"/>
      <c r="G2353" s="85" t="s">
        <v>19</v>
      </c>
      <c r="H2353" s="85"/>
      <c r="I2353" s="85"/>
      <c r="J2353" s="87"/>
      <c r="K2353" s="88">
        <f t="shared" si="111"/>
        <v>0</v>
      </c>
      <c r="L2353" s="85"/>
    </row>
    <row r="2354" spans="1:12" x14ac:dyDescent="0.25">
      <c r="A2354" s="84" t="str">
        <f t="shared" si="109"/>
        <v>SelecioneSelecioneSelecione</v>
      </c>
      <c r="B2354" s="85" t="s">
        <v>19</v>
      </c>
      <c r="C2354" s="85" t="s">
        <v>19</v>
      </c>
      <c r="D2354" s="86"/>
      <c r="E2354" s="116" t="str">
        <f t="shared" si="110"/>
        <v>-</v>
      </c>
      <c r="F2354" s="85"/>
      <c r="G2354" s="85" t="s">
        <v>19</v>
      </c>
      <c r="H2354" s="85"/>
      <c r="I2354" s="85"/>
      <c r="J2354" s="87"/>
      <c r="K2354" s="88">
        <f t="shared" si="111"/>
        <v>0</v>
      </c>
      <c r="L2354" s="85"/>
    </row>
    <row r="2355" spans="1:12" x14ac:dyDescent="0.25">
      <c r="A2355" s="84" t="str">
        <f t="shared" si="109"/>
        <v>SelecioneSelecioneSelecione</v>
      </c>
      <c r="B2355" s="85" t="s">
        <v>19</v>
      </c>
      <c r="C2355" s="85" t="s">
        <v>19</v>
      </c>
      <c r="D2355" s="86"/>
      <c r="E2355" s="116" t="str">
        <f t="shared" si="110"/>
        <v>-</v>
      </c>
      <c r="F2355" s="85"/>
      <c r="G2355" s="85" t="s">
        <v>19</v>
      </c>
      <c r="H2355" s="85"/>
      <c r="I2355" s="85"/>
      <c r="J2355" s="87"/>
      <c r="K2355" s="88">
        <f t="shared" si="111"/>
        <v>0</v>
      </c>
      <c r="L2355" s="85"/>
    </row>
    <row r="2356" spans="1:12" x14ac:dyDescent="0.25">
      <c r="A2356" s="84" t="str">
        <f t="shared" si="109"/>
        <v>SelecioneSelecioneSelecione</v>
      </c>
      <c r="B2356" s="85" t="s">
        <v>19</v>
      </c>
      <c r="C2356" s="85" t="s">
        <v>19</v>
      </c>
      <c r="D2356" s="86"/>
      <c r="E2356" s="116" t="str">
        <f t="shared" si="110"/>
        <v>-</v>
      </c>
      <c r="F2356" s="85"/>
      <c r="G2356" s="85" t="s">
        <v>19</v>
      </c>
      <c r="H2356" s="85"/>
      <c r="I2356" s="85"/>
      <c r="J2356" s="87"/>
      <c r="K2356" s="88">
        <f t="shared" si="111"/>
        <v>0</v>
      </c>
      <c r="L2356" s="85"/>
    </row>
    <row r="2357" spans="1:12" x14ac:dyDescent="0.25">
      <c r="A2357" s="84" t="str">
        <f t="shared" si="109"/>
        <v>SelecioneSelecioneSelecione</v>
      </c>
      <c r="B2357" s="85" t="s">
        <v>19</v>
      </c>
      <c r="C2357" s="85" t="s">
        <v>19</v>
      </c>
      <c r="D2357" s="86"/>
      <c r="E2357" s="116" t="str">
        <f t="shared" si="110"/>
        <v>-</v>
      </c>
      <c r="F2357" s="85"/>
      <c r="G2357" s="85" t="s">
        <v>19</v>
      </c>
      <c r="H2357" s="85"/>
      <c r="I2357" s="85"/>
      <c r="J2357" s="87"/>
      <c r="K2357" s="88">
        <f t="shared" si="111"/>
        <v>0</v>
      </c>
      <c r="L2357" s="85"/>
    </row>
    <row r="2358" spans="1:12" x14ac:dyDescent="0.25">
      <c r="A2358" s="84" t="str">
        <f t="shared" si="109"/>
        <v>SelecioneSelecioneSelecione</v>
      </c>
      <c r="B2358" s="85" t="s">
        <v>19</v>
      </c>
      <c r="C2358" s="85" t="s">
        <v>19</v>
      </c>
      <c r="D2358" s="86"/>
      <c r="E2358" s="116" t="str">
        <f t="shared" si="110"/>
        <v>-</v>
      </c>
      <c r="F2358" s="85"/>
      <c r="G2358" s="85" t="s">
        <v>19</v>
      </c>
      <c r="H2358" s="85"/>
      <c r="I2358" s="85"/>
      <c r="J2358" s="87"/>
      <c r="K2358" s="88">
        <f t="shared" si="111"/>
        <v>0</v>
      </c>
      <c r="L2358" s="85"/>
    </row>
    <row r="2359" spans="1:12" x14ac:dyDescent="0.25">
      <c r="A2359" s="84" t="str">
        <f t="shared" si="109"/>
        <v>SelecioneSelecioneSelecione</v>
      </c>
      <c r="B2359" s="85" t="s">
        <v>19</v>
      </c>
      <c r="C2359" s="85" t="s">
        <v>19</v>
      </c>
      <c r="D2359" s="86"/>
      <c r="E2359" s="116" t="str">
        <f t="shared" si="110"/>
        <v>-</v>
      </c>
      <c r="F2359" s="85"/>
      <c r="G2359" s="85" t="s">
        <v>19</v>
      </c>
      <c r="H2359" s="85"/>
      <c r="I2359" s="85"/>
      <c r="J2359" s="87"/>
      <c r="K2359" s="88">
        <f t="shared" si="111"/>
        <v>0</v>
      </c>
      <c r="L2359" s="85"/>
    </row>
    <row r="2360" spans="1:12" x14ac:dyDescent="0.25">
      <c r="A2360" s="84" t="str">
        <f t="shared" si="109"/>
        <v>SelecioneSelecioneSelecione</v>
      </c>
      <c r="B2360" s="85" t="s">
        <v>19</v>
      </c>
      <c r="C2360" s="85" t="s">
        <v>19</v>
      </c>
      <c r="D2360" s="86"/>
      <c r="E2360" s="116" t="str">
        <f t="shared" si="110"/>
        <v>-</v>
      </c>
      <c r="F2360" s="85"/>
      <c r="G2360" s="85" t="s">
        <v>19</v>
      </c>
      <c r="H2360" s="85"/>
      <c r="I2360" s="85"/>
      <c r="J2360" s="87"/>
      <c r="K2360" s="88">
        <f t="shared" si="111"/>
        <v>0</v>
      </c>
      <c r="L2360" s="85"/>
    </row>
    <row r="2361" spans="1:12" x14ac:dyDescent="0.25">
      <c r="A2361" s="84" t="str">
        <f t="shared" si="109"/>
        <v>SelecioneSelecioneSelecione</v>
      </c>
      <c r="B2361" s="85" t="s">
        <v>19</v>
      </c>
      <c r="C2361" s="85" t="s">
        <v>19</v>
      </c>
      <c r="D2361" s="93"/>
      <c r="E2361" s="116" t="str">
        <f t="shared" si="110"/>
        <v>-</v>
      </c>
      <c r="F2361" s="90"/>
      <c r="G2361" s="85" t="s">
        <v>19</v>
      </c>
      <c r="H2361" s="85"/>
      <c r="I2361" s="90"/>
      <c r="J2361" s="89"/>
      <c r="K2361" s="88">
        <f t="shared" si="111"/>
        <v>0</v>
      </c>
      <c r="L2361" s="90"/>
    </row>
    <row r="2362" spans="1:12" x14ac:dyDescent="0.25">
      <c r="A2362" s="84" t="str">
        <f t="shared" si="109"/>
        <v>SelecioneSelecioneSelecione</v>
      </c>
      <c r="B2362" s="85" t="s">
        <v>19</v>
      </c>
      <c r="C2362" s="85" t="s">
        <v>19</v>
      </c>
      <c r="D2362" s="93"/>
      <c r="E2362" s="116" t="str">
        <f t="shared" si="110"/>
        <v>-</v>
      </c>
      <c r="F2362" s="90"/>
      <c r="G2362" s="85" t="s">
        <v>19</v>
      </c>
      <c r="H2362" s="85"/>
      <c r="I2362" s="90"/>
      <c r="J2362" s="89"/>
      <c r="K2362" s="88">
        <f t="shared" si="111"/>
        <v>0</v>
      </c>
      <c r="L2362" s="90"/>
    </row>
    <row r="2363" spans="1:12" x14ac:dyDescent="0.25">
      <c r="A2363" s="84" t="str">
        <f t="shared" si="109"/>
        <v>SelecioneSelecioneSelecione</v>
      </c>
      <c r="B2363" s="85" t="s">
        <v>19</v>
      </c>
      <c r="C2363" s="85" t="s">
        <v>19</v>
      </c>
      <c r="D2363" s="86"/>
      <c r="E2363" s="116" t="str">
        <f t="shared" si="110"/>
        <v>-</v>
      </c>
      <c r="F2363" s="85"/>
      <c r="G2363" s="85" t="s">
        <v>19</v>
      </c>
      <c r="H2363" s="85"/>
      <c r="I2363" s="85"/>
      <c r="J2363" s="87"/>
      <c r="K2363" s="88">
        <f t="shared" si="111"/>
        <v>0</v>
      </c>
      <c r="L2363" s="85"/>
    </row>
    <row r="2364" spans="1:12" x14ac:dyDescent="0.25">
      <c r="A2364" s="84" t="str">
        <f t="shared" si="109"/>
        <v>SelecioneSelecioneSelecione</v>
      </c>
      <c r="B2364" s="85" t="s">
        <v>19</v>
      </c>
      <c r="C2364" s="85" t="s">
        <v>19</v>
      </c>
      <c r="D2364" s="93"/>
      <c r="E2364" s="116" t="str">
        <f t="shared" si="110"/>
        <v>-</v>
      </c>
      <c r="F2364" s="90"/>
      <c r="G2364" s="85" t="s">
        <v>19</v>
      </c>
      <c r="H2364" s="85"/>
      <c r="I2364" s="90"/>
      <c r="J2364" s="89"/>
      <c r="K2364" s="88">
        <f t="shared" si="111"/>
        <v>0</v>
      </c>
      <c r="L2364" s="90"/>
    </row>
    <row r="2365" spans="1:12" x14ac:dyDescent="0.25">
      <c r="A2365" s="84" t="str">
        <f t="shared" si="109"/>
        <v>SelecioneSelecioneSelecione</v>
      </c>
      <c r="B2365" s="85" t="s">
        <v>19</v>
      </c>
      <c r="C2365" s="85" t="s">
        <v>19</v>
      </c>
      <c r="D2365" s="86"/>
      <c r="E2365" s="116" t="str">
        <f t="shared" si="110"/>
        <v>-</v>
      </c>
      <c r="F2365" s="85"/>
      <c r="G2365" s="85" t="s">
        <v>19</v>
      </c>
      <c r="H2365" s="85"/>
      <c r="I2365" s="85"/>
      <c r="J2365" s="87"/>
      <c r="K2365" s="88">
        <f t="shared" si="111"/>
        <v>0</v>
      </c>
      <c r="L2365" s="85"/>
    </row>
    <row r="2366" spans="1:12" x14ac:dyDescent="0.25">
      <c r="A2366" s="84" t="str">
        <f t="shared" si="109"/>
        <v>SelecioneSelecioneSelecione</v>
      </c>
      <c r="B2366" s="85" t="s">
        <v>19</v>
      </c>
      <c r="C2366" s="85" t="s">
        <v>19</v>
      </c>
      <c r="D2366" s="86"/>
      <c r="E2366" s="116" t="str">
        <f t="shared" si="110"/>
        <v>-</v>
      </c>
      <c r="F2366" s="85"/>
      <c r="G2366" s="85" t="s">
        <v>19</v>
      </c>
      <c r="H2366" s="85"/>
      <c r="I2366" s="85"/>
      <c r="J2366" s="87"/>
      <c r="K2366" s="88">
        <f t="shared" si="111"/>
        <v>0</v>
      </c>
      <c r="L2366" s="85"/>
    </row>
    <row r="2367" spans="1:12" x14ac:dyDescent="0.25">
      <c r="A2367" s="84" t="str">
        <f t="shared" si="109"/>
        <v>SelecioneSelecioneSelecione</v>
      </c>
      <c r="B2367" s="85" t="s">
        <v>19</v>
      </c>
      <c r="C2367" s="85" t="s">
        <v>19</v>
      </c>
      <c r="D2367" s="86"/>
      <c r="E2367" s="116" t="str">
        <f t="shared" si="110"/>
        <v>-</v>
      </c>
      <c r="F2367" s="85"/>
      <c r="G2367" s="85" t="s">
        <v>19</v>
      </c>
      <c r="H2367" s="85"/>
      <c r="I2367" s="85"/>
      <c r="J2367" s="87"/>
      <c r="K2367" s="88">
        <f t="shared" si="111"/>
        <v>0</v>
      </c>
      <c r="L2367" s="85"/>
    </row>
    <row r="2368" spans="1:12" x14ac:dyDescent="0.25">
      <c r="A2368" s="84" t="str">
        <f t="shared" si="109"/>
        <v>SelecioneSelecioneSelecione</v>
      </c>
      <c r="B2368" s="85" t="s">
        <v>19</v>
      </c>
      <c r="C2368" s="85" t="s">
        <v>19</v>
      </c>
      <c r="D2368" s="86"/>
      <c r="E2368" s="116" t="str">
        <f t="shared" si="110"/>
        <v>-</v>
      </c>
      <c r="F2368" s="85"/>
      <c r="G2368" s="85" t="s">
        <v>19</v>
      </c>
      <c r="H2368" s="85"/>
      <c r="I2368" s="85"/>
      <c r="J2368" s="87"/>
      <c r="K2368" s="88">
        <f t="shared" si="111"/>
        <v>0</v>
      </c>
      <c r="L2368" s="85"/>
    </row>
    <row r="2369" spans="1:12" x14ac:dyDescent="0.25">
      <c r="A2369" s="84" t="str">
        <f t="shared" si="109"/>
        <v>SelecioneSelecioneSelecione</v>
      </c>
      <c r="B2369" s="85" t="s">
        <v>19</v>
      </c>
      <c r="C2369" s="85" t="s">
        <v>19</v>
      </c>
      <c r="D2369" s="86"/>
      <c r="E2369" s="116" t="str">
        <f t="shared" si="110"/>
        <v>-</v>
      </c>
      <c r="F2369" s="85"/>
      <c r="G2369" s="85" t="s">
        <v>19</v>
      </c>
      <c r="H2369" s="85"/>
      <c r="I2369" s="85"/>
      <c r="J2369" s="87"/>
      <c r="K2369" s="88">
        <f t="shared" si="111"/>
        <v>0</v>
      </c>
      <c r="L2369" s="85"/>
    </row>
    <row r="2370" spans="1:12" x14ac:dyDescent="0.25">
      <c r="A2370" s="84" t="str">
        <f t="shared" ref="A2370:A2433" si="112">CONCATENATE(B2370,C2370,G2370)</f>
        <v>SelecioneSelecioneSelecione</v>
      </c>
      <c r="B2370" s="85" t="s">
        <v>19</v>
      </c>
      <c r="C2370" s="85" t="s">
        <v>19</v>
      </c>
      <c r="D2370" s="86"/>
      <c r="E2370" s="116" t="str">
        <f t="shared" ref="E2370:E2433" si="113">VLOOKUP(G2370,$M$1:$O$968,3,0)</f>
        <v>-</v>
      </c>
      <c r="F2370" s="85"/>
      <c r="G2370" s="85" t="s">
        <v>19</v>
      </c>
      <c r="H2370" s="85"/>
      <c r="I2370" s="85"/>
      <c r="J2370" s="87"/>
      <c r="K2370" s="88">
        <f t="shared" ref="K2370:K2433" si="114">I2370*J2370</f>
        <v>0</v>
      </c>
      <c r="L2370" s="85"/>
    </row>
    <row r="2371" spans="1:12" x14ac:dyDescent="0.25">
      <c r="A2371" s="84" t="str">
        <f t="shared" si="112"/>
        <v>SelecioneSelecioneSelecione</v>
      </c>
      <c r="B2371" s="85" t="s">
        <v>19</v>
      </c>
      <c r="C2371" s="85" t="s">
        <v>19</v>
      </c>
      <c r="D2371" s="86"/>
      <c r="E2371" s="116" t="str">
        <f t="shared" si="113"/>
        <v>-</v>
      </c>
      <c r="F2371" s="85"/>
      <c r="G2371" s="85" t="s">
        <v>19</v>
      </c>
      <c r="H2371" s="85"/>
      <c r="I2371" s="85"/>
      <c r="J2371" s="87"/>
      <c r="K2371" s="88">
        <f t="shared" si="114"/>
        <v>0</v>
      </c>
      <c r="L2371" s="85"/>
    </row>
    <row r="2372" spans="1:12" x14ac:dyDescent="0.25">
      <c r="A2372" s="84" t="str">
        <f t="shared" si="112"/>
        <v>SelecioneSelecioneSelecione</v>
      </c>
      <c r="B2372" s="85" t="s">
        <v>19</v>
      </c>
      <c r="C2372" s="85" t="s">
        <v>19</v>
      </c>
      <c r="D2372" s="86"/>
      <c r="E2372" s="116" t="str">
        <f t="shared" si="113"/>
        <v>-</v>
      </c>
      <c r="F2372" s="85"/>
      <c r="G2372" s="85" t="s">
        <v>19</v>
      </c>
      <c r="H2372" s="85"/>
      <c r="I2372" s="85"/>
      <c r="J2372" s="87"/>
      <c r="K2372" s="88">
        <f t="shared" si="114"/>
        <v>0</v>
      </c>
      <c r="L2372" s="85"/>
    </row>
    <row r="2373" spans="1:12" x14ac:dyDescent="0.25">
      <c r="A2373" s="84" t="str">
        <f t="shared" si="112"/>
        <v>SelecioneSelecioneSelecione</v>
      </c>
      <c r="B2373" s="85" t="s">
        <v>19</v>
      </c>
      <c r="C2373" s="85" t="s">
        <v>19</v>
      </c>
      <c r="D2373" s="86"/>
      <c r="E2373" s="116" t="str">
        <f t="shared" si="113"/>
        <v>-</v>
      </c>
      <c r="F2373" s="85"/>
      <c r="G2373" s="85" t="s">
        <v>19</v>
      </c>
      <c r="H2373" s="85"/>
      <c r="I2373" s="85"/>
      <c r="J2373" s="87"/>
      <c r="K2373" s="88">
        <f t="shared" si="114"/>
        <v>0</v>
      </c>
      <c r="L2373" s="85"/>
    </row>
    <row r="2374" spans="1:12" x14ac:dyDescent="0.25">
      <c r="A2374" s="84" t="str">
        <f t="shared" si="112"/>
        <v>SelecioneSelecioneSelecione</v>
      </c>
      <c r="B2374" s="85" t="s">
        <v>19</v>
      </c>
      <c r="C2374" s="85" t="s">
        <v>19</v>
      </c>
      <c r="D2374" s="86"/>
      <c r="E2374" s="116" t="str">
        <f t="shared" si="113"/>
        <v>-</v>
      </c>
      <c r="F2374" s="85"/>
      <c r="G2374" s="85" t="s">
        <v>19</v>
      </c>
      <c r="H2374" s="85"/>
      <c r="I2374" s="85"/>
      <c r="J2374" s="87"/>
      <c r="K2374" s="88">
        <f t="shared" si="114"/>
        <v>0</v>
      </c>
      <c r="L2374" s="85"/>
    </row>
    <row r="2375" spans="1:12" x14ac:dyDescent="0.25">
      <c r="A2375" s="84" t="str">
        <f t="shared" si="112"/>
        <v>SelecioneSelecioneSelecione</v>
      </c>
      <c r="B2375" s="85" t="s">
        <v>19</v>
      </c>
      <c r="C2375" s="85" t="s">
        <v>19</v>
      </c>
      <c r="D2375" s="86"/>
      <c r="E2375" s="116" t="str">
        <f t="shared" si="113"/>
        <v>-</v>
      </c>
      <c r="F2375" s="85"/>
      <c r="G2375" s="85" t="s">
        <v>19</v>
      </c>
      <c r="H2375" s="85"/>
      <c r="I2375" s="85"/>
      <c r="J2375" s="87"/>
      <c r="K2375" s="88">
        <f t="shared" si="114"/>
        <v>0</v>
      </c>
      <c r="L2375" s="85"/>
    </row>
    <row r="2376" spans="1:12" x14ac:dyDescent="0.25">
      <c r="A2376" s="84" t="str">
        <f t="shared" si="112"/>
        <v>SelecioneSelecioneSelecione</v>
      </c>
      <c r="B2376" s="85" t="s">
        <v>19</v>
      </c>
      <c r="C2376" s="85" t="s">
        <v>19</v>
      </c>
      <c r="D2376" s="86"/>
      <c r="E2376" s="116" t="str">
        <f t="shared" si="113"/>
        <v>-</v>
      </c>
      <c r="F2376" s="85"/>
      <c r="G2376" s="85" t="s">
        <v>19</v>
      </c>
      <c r="H2376" s="85"/>
      <c r="I2376" s="85"/>
      <c r="J2376" s="87"/>
      <c r="K2376" s="88">
        <f t="shared" si="114"/>
        <v>0</v>
      </c>
      <c r="L2376" s="85"/>
    </row>
    <row r="2377" spans="1:12" x14ac:dyDescent="0.25">
      <c r="A2377" s="84" t="str">
        <f t="shared" si="112"/>
        <v>SelecioneSelecioneSelecione</v>
      </c>
      <c r="B2377" s="85" t="s">
        <v>19</v>
      </c>
      <c r="C2377" s="85" t="s">
        <v>19</v>
      </c>
      <c r="D2377" s="86"/>
      <c r="E2377" s="116" t="str">
        <f t="shared" si="113"/>
        <v>-</v>
      </c>
      <c r="F2377" s="85"/>
      <c r="G2377" s="85" t="s">
        <v>19</v>
      </c>
      <c r="H2377" s="85"/>
      <c r="I2377" s="85"/>
      <c r="J2377" s="87"/>
      <c r="K2377" s="88">
        <f t="shared" si="114"/>
        <v>0</v>
      </c>
      <c r="L2377" s="85"/>
    </row>
    <row r="2378" spans="1:12" x14ac:dyDescent="0.25">
      <c r="A2378" s="84" t="str">
        <f t="shared" si="112"/>
        <v>SelecioneSelecioneSelecione</v>
      </c>
      <c r="B2378" s="85" t="s">
        <v>19</v>
      </c>
      <c r="C2378" s="85" t="s">
        <v>19</v>
      </c>
      <c r="D2378" s="86"/>
      <c r="E2378" s="116" t="str">
        <f t="shared" si="113"/>
        <v>-</v>
      </c>
      <c r="F2378" s="85"/>
      <c r="G2378" s="85" t="s">
        <v>19</v>
      </c>
      <c r="H2378" s="85"/>
      <c r="I2378" s="85"/>
      <c r="J2378" s="87"/>
      <c r="K2378" s="88">
        <f t="shared" si="114"/>
        <v>0</v>
      </c>
      <c r="L2378" s="85"/>
    </row>
    <row r="2379" spans="1:12" x14ac:dyDescent="0.25">
      <c r="A2379" s="84" t="str">
        <f t="shared" si="112"/>
        <v>SelecioneSelecioneSelecione</v>
      </c>
      <c r="B2379" s="85" t="s">
        <v>19</v>
      </c>
      <c r="C2379" s="85" t="s">
        <v>19</v>
      </c>
      <c r="D2379" s="86"/>
      <c r="E2379" s="116" t="str">
        <f t="shared" si="113"/>
        <v>-</v>
      </c>
      <c r="F2379" s="85"/>
      <c r="G2379" s="85" t="s">
        <v>19</v>
      </c>
      <c r="H2379" s="85"/>
      <c r="I2379" s="85"/>
      <c r="J2379" s="87"/>
      <c r="K2379" s="88">
        <f t="shared" si="114"/>
        <v>0</v>
      </c>
      <c r="L2379" s="85"/>
    </row>
    <row r="2380" spans="1:12" x14ac:dyDescent="0.25">
      <c r="A2380" s="84" t="str">
        <f t="shared" si="112"/>
        <v>SelecioneSelecioneSelecione</v>
      </c>
      <c r="B2380" s="85" t="s">
        <v>19</v>
      </c>
      <c r="C2380" s="85" t="s">
        <v>19</v>
      </c>
      <c r="D2380" s="86"/>
      <c r="E2380" s="116" t="str">
        <f t="shared" si="113"/>
        <v>-</v>
      </c>
      <c r="F2380" s="85"/>
      <c r="G2380" s="85" t="s">
        <v>19</v>
      </c>
      <c r="H2380" s="85"/>
      <c r="I2380" s="85"/>
      <c r="J2380" s="87"/>
      <c r="K2380" s="88">
        <f t="shared" si="114"/>
        <v>0</v>
      </c>
      <c r="L2380" s="85"/>
    </row>
    <row r="2381" spans="1:12" x14ac:dyDescent="0.25">
      <c r="A2381" s="84" t="str">
        <f t="shared" si="112"/>
        <v>SelecioneSelecioneSelecione</v>
      </c>
      <c r="B2381" s="85" t="s">
        <v>19</v>
      </c>
      <c r="C2381" s="85" t="s">
        <v>19</v>
      </c>
      <c r="D2381" s="86"/>
      <c r="E2381" s="116" t="str">
        <f t="shared" si="113"/>
        <v>-</v>
      </c>
      <c r="F2381" s="85"/>
      <c r="G2381" s="85" t="s">
        <v>19</v>
      </c>
      <c r="H2381" s="85"/>
      <c r="I2381" s="85"/>
      <c r="J2381" s="87"/>
      <c r="K2381" s="88">
        <f t="shared" si="114"/>
        <v>0</v>
      </c>
      <c r="L2381" s="85"/>
    </row>
    <row r="2382" spans="1:12" x14ac:dyDescent="0.25">
      <c r="A2382" s="84" t="str">
        <f t="shared" si="112"/>
        <v>SelecioneSelecioneSelecione</v>
      </c>
      <c r="B2382" s="85" t="s">
        <v>19</v>
      </c>
      <c r="C2382" s="85" t="s">
        <v>19</v>
      </c>
      <c r="D2382" s="86"/>
      <c r="E2382" s="116" t="str">
        <f t="shared" si="113"/>
        <v>-</v>
      </c>
      <c r="F2382" s="85"/>
      <c r="G2382" s="85" t="s">
        <v>19</v>
      </c>
      <c r="H2382" s="85"/>
      <c r="I2382" s="85"/>
      <c r="J2382" s="87"/>
      <c r="K2382" s="88">
        <f t="shared" si="114"/>
        <v>0</v>
      </c>
      <c r="L2382" s="85"/>
    </row>
    <row r="2383" spans="1:12" x14ac:dyDescent="0.25">
      <c r="A2383" s="84" t="str">
        <f t="shared" si="112"/>
        <v>SelecioneSelecioneSelecione</v>
      </c>
      <c r="B2383" s="85" t="s">
        <v>19</v>
      </c>
      <c r="C2383" s="85" t="s">
        <v>19</v>
      </c>
      <c r="D2383" s="86"/>
      <c r="E2383" s="116" t="str">
        <f t="shared" si="113"/>
        <v>-</v>
      </c>
      <c r="F2383" s="85"/>
      <c r="G2383" s="85" t="s">
        <v>19</v>
      </c>
      <c r="H2383" s="85"/>
      <c r="I2383" s="85"/>
      <c r="J2383" s="87"/>
      <c r="K2383" s="88">
        <f t="shared" si="114"/>
        <v>0</v>
      </c>
      <c r="L2383" s="85"/>
    </row>
    <row r="2384" spans="1:12" x14ac:dyDescent="0.25">
      <c r="A2384" s="84" t="str">
        <f t="shared" si="112"/>
        <v>SelecioneSelecioneSelecione</v>
      </c>
      <c r="B2384" s="85" t="s">
        <v>19</v>
      </c>
      <c r="C2384" s="85" t="s">
        <v>19</v>
      </c>
      <c r="D2384" s="86"/>
      <c r="E2384" s="116" t="str">
        <f t="shared" si="113"/>
        <v>-</v>
      </c>
      <c r="F2384" s="90"/>
      <c r="G2384" s="85" t="s">
        <v>19</v>
      </c>
      <c r="H2384" s="85"/>
      <c r="I2384" s="85"/>
      <c r="J2384" s="87"/>
      <c r="K2384" s="88">
        <f t="shared" si="114"/>
        <v>0</v>
      </c>
      <c r="L2384" s="85"/>
    </row>
    <row r="2385" spans="1:12" x14ac:dyDescent="0.25">
      <c r="A2385" s="84" t="str">
        <f t="shared" si="112"/>
        <v>SelecioneSelecioneSelecione</v>
      </c>
      <c r="B2385" s="85" t="s">
        <v>19</v>
      </c>
      <c r="C2385" s="85" t="s">
        <v>19</v>
      </c>
      <c r="D2385" s="86"/>
      <c r="E2385" s="116" t="str">
        <f t="shared" si="113"/>
        <v>-</v>
      </c>
      <c r="F2385" s="85"/>
      <c r="G2385" s="85" t="s">
        <v>19</v>
      </c>
      <c r="H2385" s="85"/>
      <c r="I2385" s="85"/>
      <c r="J2385" s="87"/>
      <c r="K2385" s="88">
        <f t="shared" si="114"/>
        <v>0</v>
      </c>
      <c r="L2385" s="85"/>
    </row>
    <row r="2386" spans="1:12" x14ac:dyDescent="0.25">
      <c r="A2386" s="84" t="str">
        <f t="shared" si="112"/>
        <v>SelecioneSelecioneSelecione</v>
      </c>
      <c r="B2386" s="85" t="s">
        <v>19</v>
      </c>
      <c r="C2386" s="85" t="s">
        <v>19</v>
      </c>
      <c r="D2386" s="86"/>
      <c r="E2386" s="116" t="str">
        <f t="shared" si="113"/>
        <v>-</v>
      </c>
      <c r="F2386" s="85"/>
      <c r="G2386" s="85" t="s">
        <v>19</v>
      </c>
      <c r="H2386" s="85"/>
      <c r="I2386" s="85"/>
      <c r="J2386" s="87"/>
      <c r="K2386" s="88">
        <f t="shared" si="114"/>
        <v>0</v>
      </c>
      <c r="L2386" s="85"/>
    </row>
    <row r="2387" spans="1:12" x14ac:dyDescent="0.25">
      <c r="A2387" s="84" t="str">
        <f t="shared" si="112"/>
        <v>SelecioneSelecioneSelecione</v>
      </c>
      <c r="B2387" s="85" t="s">
        <v>19</v>
      </c>
      <c r="C2387" s="85" t="s">
        <v>19</v>
      </c>
      <c r="D2387" s="86"/>
      <c r="E2387" s="116" t="str">
        <f t="shared" si="113"/>
        <v>-</v>
      </c>
      <c r="F2387" s="85"/>
      <c r="G2387" s="85" t="s">
        <v>19</v>
      </c>
      <c r="H2387" s="85"/>
      <c r="I2387" s="85"/>
      <c r="J2387" s="87"/>
      <c r="K2387" s="88">
        <f t="shared" si="114"/>
        <v>0</v>
      </c>
      <c r="L2387" s="85"/>
    </row>
    <row r="2388" spans="1:12" x14ac:dyDescent="0.25">
      <c r="A2388" s="84" t="str">
        <f t="shared" si="112"/>
        <v>SelecioneSelecioneSelecione</v>
      </c>
      <c r="B2388" s="85" t="s">
        <v>19</v>
      </c>
      <c r="C2388" s="85" t="s">
        <v>19</v>
      </c>
      <c r="D2388" s="86"/>
      <c r="E2388" s="116" t="str">
        <f t="shared" si="113"/>
        <v>-</v>
      </c>
      <c r="F2388" s="85"/>
      <c r="G2388" s="85" t="s">
        <v>19</v>
      </c>
      <c r="H2388" s="85"/>
      <c r="I2388" s="85"/>
      <c r="J2388" s="87"/>
      <c r="K2388" s="88">
        <f t="shared" si="114"/>
        <v>0</v>
      </c>
      <c r="L2388" s="85"/>
    </row>
    <row r="2389" spans="1:12" x14ac:dyDescent="0.25">
      <c r="A2389" s="84" t="str">
        <f t="shared" si="112"/>
        <v>SelecioneSelecioneSelecione</v>
      </c>
      <c r="B2389" s="85" t="s">
        <v>19</v>
      </c>
      <c r="C2389" s="85" t="s">
        <v>19</v>
      </c>
      <c r="D2389" s="86"/>
      <c r="E2389" s="116" t="str">
        <f t="shared" si="113"/>
        <v>-</v>
      </c>
      <c r="F2389" s="85"/>
      <c r="G2389" s="85" t="s">
        <v>19</v>
      </c>
      <c r="H2389" s="85"/>
      <c r="I2389" s="85"/>
      <c r="J2389" s="87"/>
      <c r="K2389" s="88">
        <f t="shared" si="114"/>
        <v>0</v>
      </c>
      <c r="L2389" s="85"/>
    </row>
    <row r="2390" spans="1:12" x14ac:dyDescent="0.25">
      <c r="A2390" s="84" t="str">
        <f t="shared" si="112"/>
        <v>SelecioneSelecioneSelecione</v>
      </c>
      <c r="B2390" s="85" t="s">
        <v>19</v>
      </c>
      <c r="C2390" s="85" t="s">
        <v>19</v>
      </c>
      <c r="D2390" s="86"/>
      <c r="E2390" s="116" t="str">
        <f t="shared" si="113"/>
        <v>-</v>
      </c>
      <c r="F2390" s="85"/>
      <c r="G2390" s="85" t="s">
        <v>19</v>
      </c>
      <c r="H2390" s="85"/>
      <c r="I2390" s="85"/>
      <c r="J2390" s="87"/>
      <c r="K2390" s="88">
        <f t="shared" si="114"/>
        <v>0</v>
      </c>
      <c r="L2390" s="85"/>
    </row>
    <row r="2391" spans="1:12" x14ac:dyDescent="0.25">
      <c r="A2391" s="84" t="str">
        <f t="shared" si="112"/>
        <v>SelecioneSelecioneSelecione</v>
      </c>
      <c r="B2391" s="85" t="s">
        <v>19</v>
      </c>
      <c r="C2391" s="85" t="s">
        <v>19</v>
      </c>
      <c r="D2391" s="86"/>
      <c r="E2391" s="116" t="str">
        <f t="shared" si="113"/>
        <v>-</v>
      </c>
      <c r="F2391" s="85"/>
      <c r="G2391" s="85" t="s">
        <v>19</v>
      </c>
      <c r="H2391" s="85"/>
      <c r="I2391" s="85"/>
      <c r="J2391" s="87"/>
      <c r="K2391" s="88">
        <f t="shared" si="114"/>
        <v>0</v>
      </c>
      <c r="L2391" s="85"/>
    </row>
    <row r="2392" spans="1:12" x14ac:dyDescent="0.25">
      <c r="A2392" s="84" t="str">
        <f t="shared" si="112"/>
        <v>SelecioneSelecioneSelecione</v>
      </c>
      <c r="B2392" s="85" t="s">
        <v>19</v>
      </c>
      <c r="C2392" s="85" t="s">
        <v>19</v>
      </c>
      <c r="D2392" s="86"/>
      <c r="E2392" s="116" t="str">
        <f t="shared" si="113"/>
        <v>-</v>
      </c>
      <c r="F2392" s="85"/>
      <c r="G2392" s="85" t="s">
        <v>19</v>
      </c>
      <c r="H2392" s="85"/>
      <c r="I2392" s="85"/>
      <c r="J2392" s="87"/>
      <c r="K2392" s="88">
        <f t="shared" si="114"/>
        <v>0</v>
      </c>
      <c r="L2392" s="85"/>
    </row>
    <row r="2393" spans="1:12" x14ac:dyDescent="0.25">
      <c r="A2393" s="84" t="str">
        <f t="shared" si="112"/>
        <v>SelecioneSelecioneSelecione</v>
      </c>
      <c r="B2393" s="85" t="s">
        <v>19</v>
      </c>
      <c r="C2393" s="85" t="s">
        <v>19</v>
      </c>
      <c r="D2393" s="86"/>
      <c r="E2393" s="116" t="str">
        <f t="shared" si="113"/>
        <v>-</v>
      </c>
      <c r="F2393" s="85"/>
      <c r="G2393" s="85" t="s">
        <v>19</v>
      </c>
      <c r="H2393" s="85"/>
      <c r="I2393" s="85"/>
      <c r="J2393" s="87"/>
      <c r="K2393" s="88">
        <f t="shared" si="114"/>
        <v>0</v>
      </c>
      <c r="L2393" s="85"/>
    </row>
    <row r="2394" spans="1:12" x14ac:dyDescent="0.25">
      <c r="A2394" s="84" t="str">
        <f t="shared" si="112"/>
        <v>SelecioneSelecioneSelecione</v>
      </c>
      <c r="B2394" s="85" t="s">
        <v>19</v>
      </c>
      <c r="C2394" s="85" t="s">
        <v>19</v>
      </c>
      <c r="D2394" s="86"/>
      <c r="E2394" s="116" t="str">
        <f t="shared" si="113"/>
        <v>-</v>
      </c>
      <c r="F2394" s="85"/>
      <c r="G2394" s="85" t="s">
        <v>19</v>
      </c>
      <c r="H2394" s="85"/>
      <c r="I2394" s="85"/>
      <c r="J2394" s="87"/>
      <c r="K2394" s="88">
        <f t="shared" si="114"/>
        <v>0</v>
      </c>
      <c r="L2394" s="85"/>
    </row>
    <row r="2395" spans="1:12" x14ac:dyDescent="0.25">
      <c r="A2395" s="84" t="str">
        <f t="shared" si="112"/>
        <v>SelecioneSelecioneSelecione</v>
      </c>
      <c r="B2395" s="85" t="s">
        <v>19</v>
      </c>
      <c r="C2395" s="85" t="s">
        <v>19</v>
      </c>
      <c r="D2395" s="86"/>
      <c r="E2395" s="116" t="str">
        <f t="shared" si="113"/>
        <v>-</v>
      </c>
      <c r="F2395" s="85"/>
      <c r="G2395" s="85" t="s">
        <v>19</v>
      </c>
      <c r="H2395" s="85"/>
      <c r="I2395" s="85"/>
      <c r="J2395" s="87"/>
      <c r="K2395" s="88">
        <f t="shared" si="114"/>
        <v>0</v>
      </c>
      <c r="L2395" s="85"/>
    </row>
    <row r="2396" spans="1:12" x14ac:dyDescent="0.25">
      <c r="A2396" s="84" t="str">
        <f t="shared" si="112"/>
        <v>SelecioneSelecioneSelecione</v>
      </c>
      <c r="B2396" s="85" t="s">
        <v>19</v>
      </c>
      <c r="C2396" s="85" t="s">
        <v>19</v>
      </c>
      <c r="D2396" s="86"/>
      <c r="E2396" s="116" t="str">
        <f t="shared" si="113"/>
        <v>-</v>
      </c>
      <c r="F2396" s="85"/>
      <c r="G2396" s="85" t="s">
        <v>19</v>
      </c>
      <c r="H2396" s="85"/>
      <c r="I2396" s="85"/>
      <c r="J2396" s="87"/>
      <c r="K2396" s="88">
        <f t="shared" si="114"/>
        <v>0</v>
      </c>
      <c r="L2396" s="85"/>
    </row>
    <row r="2397" spans="1:12" x14ac:dyDescent="0.25">
      <c r="A2397" s="84" t="str">
        <f t="shared" si="112"/>
        <v>SelecioneSelecioneSelecione</v>
      </c>
      <c r="B2397" s="85" t="s">
        <v>19</v>
      </c>
      <c r="C2397" s="85" t="s">
        <v>19</v>
      </c>
      <c r="D2397" s="86"/>
      <c r="E2397" s="116" t="str">
        <f t="shared" si="113"/>
        <v>-</v>
      </c>
      <c r="F2397" s="85"/>
      <c r="G2397" s="85" t="s">
        <v>19</v>
      </c>
      <c r="H2397" s="85"/>
      <c r="I2397" s="85"/>
      <c r="J2397" s="87"/>
      <c r="K2397" s="88">
        <f t="shared" si="114"/>
        <v>0</v>
      </c>
      <c r="L2397" s="85"/>
    </row>
    <row r="2398" spans="1:12" x14ac:dyDescent="0.25">
      <c r="A2398" s="84" t="str">
        <f t="shared" si="112"/>
        <v>SelecioneSelecioneSelecione</v>
      </c>
      <c r="B2398" s="85" t="s">
        <v>19</v>
      </c>
      <c r="C2398" s="85" t="s">
        <v>19</v>
      </c>
      <c r="D2398" s="86"/>
      <c r="E2398" s="116" t="str">
        <f t="shared" si="113"/>
        <v>-</v>
      </c>
      <c r="F2398" s="85"/>
      <c r="G2398" s="85" t="s">
        <v>19</v>
      </c>
      <c r="H2398" s="85"/>
      <c r="I2398" s="85"/>
      <c r="J2398" s="87"/>
      <c r="K2398" s="88">
        <f t="shared" si="114"/>
        <v>0</v>
      </c>
      <c r="L2398" s="85"/>
    </row>
    <row r="2399" spans="1:12" x14ac:dyDescent="0.25">
      <c r="A2399" s="84" t="str">
        <f t="shared" si="112"/>
        <v>SelecioneSelecioneSelecione</v>
      </c>
      <c r="B2399" s="85" t="s">
        <v>19</v>
      </c>
      <c r="C2399" s="85" t="s">
        <v>19</v>
      </c>
      <c r="D2399" s="86"/>
      <c r="E2399" s="116" t="str">
        <f t="shared" si="113"/>
        <v>-</v>
      </c>
      <c r="F2399" s="85"/>
      <c r="G2399" s="85" t="s">
        <v>19</v>
      </c>
      <c r="H2399" s="85"/>
      <c r="I2399" s="85"/>
      <c r="J2399" s="87"/>
      <c r="K2399" s="88">
        <f t="shared" si="114"/>
        <v>0</v>
      </c>
      <c r="L2399" s="85"/>
    </row>
    <row r="2400" spans="1:12" x14ac:dyDescent="0.25">
      <c r="A2400" s="84" t="str">
        <f t="shared" si="112"/>
        <v>SelecioneSelecioneSelecione</v>
      </c>
      <c r="B2400" s="85" t="s">
        <v>19</v>
      </c>
      <c r="C2400" s="85" t="s">
        <v>19</v>
      </c>
      <c r="D2400" s="86"/>
      <c r="E2400" s="116" t="str">
        <f t="shared" si="113"/>
        <v>-</v>
      </c>
      <c r="F2400" s="85"/>
      <c r="G2400" s="85" t="s">
        <v>19</v>
      </c>
      <c r="H2400" s="85"/>
      <c r="I2400" s="85"/>
      <c r="J2400" s="87"/>
      <c r="K2400" s="88">
        <f t="shared" si="114"/>
        <v>0</v>
      </c>
      <c r="L2400" s="85"/>
    </row>
    <row r="2401" spans="1:12" x14ac:dyDescent="0.25">
      <c r="A2401" s="84" t="str">
        <f t="shared" si="112"/>
        <v>SelecioneSelecioneSelecione</v>
      </c>
      <c r="B2401" s="85" t="s">
        <v>19</v>
      </c>
      <c r="C2401" s="85" t="s">
        <v>19</v>
      </c>
      <c r="D2401" s="86"/>
      <c r="E2401" s="116" t="str">
        <f t="shared" si="113"/>
        <v>-</v>
      </c>
      <c r="F2401" s="85"/>
      <c r="G2401" s="85" t="s">
        <v>19</v>
      </c>
      <c r="H2401" s="85"/>
      <c r="I2401" s="85"/>
      <c r="J2401" s="87"/>
      <c r="K2401" s="88">
        <f t="shared" si="114"/>
        <v>0</v>
      </c>
      <c r="L2401" s="85"/>
    </row>
    <row r="2402" spans="1:12" x14ac:dyDescent="0.25">
      <c r="A2402" s="84" t="str">
        <f t="shared" si="112"/>
        <v>SelecioneSelecioneSelecione</v>
      </c>
      <c r="B2402" s="85" t="s">
        <v>19</v>
      </c>
      <c r="C2402" s="85" t="s">
        <v>19</v>
      </c>
      <c r="D2402" s="86"/>
      <c r="E2402" s="116" t="str">
        <f t="shared" si="113"/>
        <v>-</v>
      </c>
      <c r="F2402" s="85"/>
      <c r="G2402" s="85" t="s">
        <v>19</v>
      </c>
      <c r="H2402" s="85"/>
      <c r="I2402" s="85"/>
      <c r="J2402" s="87"/>
      <c r="K2402" s="88">
        <f t="shared" si="114"/>
        <v>0</v>
      </c>
      <c r="L2402" s="85"/>
    </row>
    <row r="2403" spans="1:12" x14ac:dyDescent="0.25">
      <c r="A2403" s="84" t="str">
        <f t="shared" si="112"/>
        <v>SelecioneSelecioneSelecione</v>
      </c>
      <c r="B2403" s="85" t="s">
        <v>19</v>
      </c>
      <c r="C2403" s="85" t="s">
        <v>19</v>
      </c>
      <c r="D2403" s="86"/>
      <c r="E2403" s="116" t="str">
        <f t="shared" si="113"/>
        <v>-</v>
      </c>
      <c r="F2403" s="85"/>
      <c r="G2403" s="85" t="s">
        <v>19</v>
      </c>
      <c r="H2403" s="85"/>
      <c r="I2403" s="85"/>
      <c r="J2403" s="87"/>
      <c r="K2403" s="88">
        <f t="shared" si="114"/>
        <v>0</v>
      </c>
      <c r="L2403" s="85"/>
    </row>
    <row r="2404" spans="1:12" x14ac:dyDescent="0.25">
      <c r="A2404" s="84" t="str">
        <f t="shared" si="112"/>
        <v>SelecioneSelecioneSelecione</v>
      </c>
      <c r="B2404" s="85" t="s">
        <v>19</v>
      </c>
      <c r="C2404" s="85" t="s">
        <v>19</v>
      </c>
      <c r="D2404" s="86"/>
      <c r="E2404" s="116" t="str">
        <f t="shared" si="113"/>
        <v>-</v>
      </c>
      <c r="F2404" s="85"/>
      <c r="G2404" s="85" t="s">
        <v>19</v>
      </c>
      <c r="H2404" s="85"/>
      <c r="I2404" s="85"/>
      <c r="J2404" s="87"/>
      <c r="K2404" s="88">
        <f t="shared" si="114"/>
        <v>0</v>
      </c>
      <c r="L2404" s="85"/>
    </row>
    <row r="2405" spans="1:12" x14ac:dyDescent="0.25">
      <c r="A2405" s="84" t="str">
        <f t="shared" si="112"/>
        <v>SelecioneSelecioneSelecione</v>
      </c>
      <c r="B2405" s="85" t="s">
        <v>19</v>
      </c>
      <c r="C2405" s="85" t="s">
        <v>19</v>
      </c>
      <c r="D2405" s="86"/>
      <c r="E2405" s="116" t="str">
        <f t="shared" si="113"/>
        <v>-</v>
      </c>
      <c r="F2405" s="85"/>
      <c r="G2405" s="85" t="s">
        <v>19</v>
      </c>
      <c r="H2405" s="85"/>
      <c r="I2405" s="85"/>
      <c r="J2405" s="87"/>
      <c r="K2405" s="88">
        <f t="shared" si="114"/>
        <v>0</v>
      </c>
      <c r="L2405" s="85"/>
    </row>
    <row r="2406" spans="1:12" x14ac:dyDescent="0.25">
      <c r="A2406" s="84" t="str">
        <f t="shared" si="112"/>
        <v>SelecioneSelecioneSelecione</v>
      </c>
      <c r="B2406" s="85" t="s">
        <v>19</v>
      </c>
      <c r="C2406" s="85" t="s">
        <v>19</v>
      </c>
      <c r="D2406" s="86"/>
      <c r="E2406" s="116" t="str">
        <f t="shared" si="113"/>
        <v>-</v>
      </c>
      <c r="F2406" s="85"/>
      <c r="G2406" s="85" t="s">
        <v>19</v>
      </c>
      <c r="H2406" s="85"/>
      <c r="I2406" s="85"/>
      <c r="J2406" s="87"/>
      <c r="K2406" s="88">
        <f t="shared" si="114"/>
        <v>0</v>
      </c>
      <c r="L2406" s="85"/>
    </row>
    <row r="2407" spans="1:12" x14ac:dyDescent="0.25">
      <c r="A2407" s="84" t="str">
        <f t="shared" si="112"/>
        <v>SelecioneSelecioneSelecione</v>
      </c>
      <c r="B2407" s="85" t="s">
        <v>19</v>
      </c>
      <c r="C2407" s="85" t="s">
        <v>19</v>
      </c>
      <c r="D2407" s="86"/>
      <c r="E2407" s="116" t="str">
        <f t="shared" si="113"/>
        <v>-</v>
      </c>
      <c r="F2407" s="85"/>
      <c r="G2407" s="85" t="s">
        <v>19</v>
      </c>
      <c r="H2407" s="85"/>
      <c r="I2407" s="85"/>
      <c r="J2407" s="87"/>
      <c r="K2407" s="88">
        <f t="shared" si="114"/>
        <v>0</v>
      </c>
      <c r="L2407" s="85"/>
    </row>
    <row r="2408" spans="1:12" x14ac:dyDescent="0.25">
      <c r="A2408" s="84" t="str">
        <f t="shared" si="112"/>
        <v>SelecioneSelecioneSelecione</v>
      </c>
      <c r="B2408" s="85" t="s">
        <v>19</v>
      </c>
      <c r="C2408" s="85" t="s">
        <v>19</v>
      </c>
      <c r="D2408" s="93"/>
      <c r="E2408" s="116" t="str">
        <f t="shared" si="113"/>
        <v>-</v>
      </c>
      <c r="F2408" s="90"/>
      <c r="G2408" s="85" t="s">
        <v>19</v>
      </c>
      <c r="H2408" s="85"/>
      <c r="I2408" s="90"/>
      <c r="J2408" s="89"/>
      <c r="K2408" s="88">
        <f t="shared" si="114"/>
        <v>0</v>
      </c>
      <c r="L2408" s="90"/>
    </row>
    <row r="2409" spans="1:12" x14ac:dyDescent="0.25">
      <c r="A2409" s="84" t="str">
        <f t="shared" si="112"/>
        <v>SelecioneSelecioneSelecione</v>
      </c>
      <c r="B2409" s="85" t="s">
        <v>19</v>
      </c>
      <c r="C2409" s="85" t="s">
        <v>19</v>
      </c>
      <c r="D2409" s="86"/>
      <c r="E2409" s="116" t="str">
        <f t="shared" si="113"/>
        <v>-</v>
      </c>
      <c r="F2409" s="85"/>
      <c r="G2409" s="85" t="s">
        <v>19</v>
      </c>
      <c r="H2409" s="85"/>
      <c r="I2409" s="85"/>
      <c r="J2409" s="87"/>
      <c r="K2409" s="88">
        <f t="shared" si="114"/>
        <v>0</v>
      </c>
      <c r="L2409" s="85"/>
    </row>
    <row r="2410" spans="1:12" x14ac:dyDescent="0.25">
      <c r="A2410" s="84" t="str">
        <f t="shared" si="112"/>
        <v>SelecioneSelecioneSelecione</v>
      </c>
      <c r="B2410" s="85" t="s">
        <v>19</v>
      </c>
      <c r="C2410" s="85" t="s">
        <v>19</v>
      </c>
      <c r="D2410" s="86"/>
      <c r="E2410" s="116" t="str">
        <f t="shared" si="113"/>
        <v>-</v>
      </c>
      <c r="F2410" s="85"/>
      <c r="G2410" s="85" t="s">
        <v>19</v>
      </c>
      <c r="H2410" s="85"/>
      <c r="I2410" s="85"/>
      <c r="J2410" s="87"/>
      <c r="K2410" s="88">
        <f t="shared" si="114"/>
        <v>0</v>
      </c>
      <c r="L2410" s="85"/>
    </row>
    <row r="2411" spans="1:12" x14ac:dyDescent="0.25">
      <c r="A2411" s="84" t="str">
        <f t="shared" si="112"/>
        <v>SelecioneSelecioneSelecione</v>
      </c>
      <c r="B2411" s="85" t="s">
        <v>19</v>
      </c>
      <c r="C2411" s="85" t="s">
        <v>19</v>
      </c>
      <c r="D2411" s="86"/>
      <c r="E2411" s="116" t="str">
        <f t="shared" si="113"/>
        <v>-</v>
      </c>
      <c r="F2411" s="85"/>
      <c r="G2411" s="85" t="s">
        <v>19</v>
      </c>
      <c r="H2411" s="85"/>
      <c r="I2411" s="85"/>
      <c r="J2411" s="87"/>
      <c r="K2411" s="88">
        <f t="shared" si="114"/>
        <v>0</v>
      </c>
      <c r="L2411" s="85"/>
    </row>
    <row r="2412" spans="1:12" x14ac:dyDescent="0.25">
      <c r="A2412" s="84" t="str">
        <f t="shared" si="112"/>
        <v>SelecioneSelecioneSelecione</v>
      </c>
      <c r="B2412" s="85" t="s">
        <v>19</v>
      </c>
      <c r="C2412" s="85" t="s">
        <v>19</v>
      </c>
      <c r="D2412" s="86"/>
      <c r="E2412" s="116" t="str">
        <f t="shared" si="113"/>
        <v>-</v>
      </c>
      <c r="F2412" s="85"/>
      <c r="G2412" s="85" t="s">
        <v>19</v>
      </c>
      <c r="H2412" s="85"/>
      <c r="I2412" s="85"/>
      <c r="J2412" s="87"/>
      <c r="K2412" s="88">
        <f t="shared" si="114"/>
        <v>0</v>
      </c>
      <c r="L2412" s="85"/>
    </row>
    <row r="2413" spans="1:12" x14ac:dyDescent="0.25">
      <c r="A2413" s="84" t="str">
        <f t="shared" si="112"/>
        <v>SelecioneSelecioneSelecione</v>
      </c>
      <c r="B2413" s="85" t="s">
        <v>19</v>
      </c>
      <c r="C2413" s="85" t="s">
        <v>19</v>
      </c>
      <c r="D2413" s="86"/>
      <c r="E2413" s="116" t="str">
        <f t="shared" si="113"/>
        <v>-</v>
      </c>
      <c r="F2413" s="85"/>
      <c r="G2413" s="85" t="s">
        <v>19</v>
      </c>
      <c r="H2413" s="85"/>
      <c r="I2413" s="85"/>
      <c r="J2413" s="87"/>
      <c r="K2413" s="88">
        <f t="shared" si="114"/>
        <v>0</v>
      </c>
      <c r="L2413" s="85"/>
    </row>
    <row r="2414" spans="1:12" x14ac:dyDescent="0.25">
      <c r="A2414" s="84" t="str">
        <f t="shared" si="112"/>
        <v>SelecioneSelecioneSelecione</v>
      </c>
      <c r="B2414" s="85" t="s">
        <v>19</v>
      </c>
      <c r="C2414" s="85" t="s">
        <v>19</v>
      </c>
      <c r="D2414" s="86"/>
      <c r="E2414" s="116" t="str">
        <f t="shared" si="113"/>
        <v>-</v>
      </c>
      <c r="F2414" s="85"/>
      <c r="G2414" s="85" t="s">
        <v>19</v>
      </c>
      <c r="H2414" s="85"/>
      <c r="I2414" s="85"/>
      <c r="J2414" s="87"/>
      <c r="K2414" s="88">
        <f t="shared" si="114"/>
        <v>0</v>
      </c>
      <c r="L2414" s="85"/>
    </row>
    <row r="2415" spans="1:12" x14ac:dyDescent="0.25">
      <c r="A2415" s="84" t="str">
        <f t="shared" si="112"/>
        <v>SelecioneSelecioneSelecione</v>
      </c>
      <c r="B2415" s="85" t="s">
        <v>19</v>
      </c>
      <c r="C2415" s="85" t="s">
        <v>19</v>
      </c>
      <c r="D2415" s="86"/>
      <c r="E2415" s="116" t="str">
        <f t="shared" si="113"/>
        <v>-</v>
      </c>
      <c r="F2415" s="85"/>
      <c r="G2415" s="85" t="s">
        <v>19</v>
      </c>
      <c r="H2415" s="85"/>
      <c r="I2415" s="85"/>
      <c r="J2415" s="87"/>
      <c r="K2415" s="88">
        <f t="shared" si="114"/>
        <v>0</v>
      </c>
      <c r="L2415" s="85"/>
    </row>
    <row r="2416" spans="1:12" x14ac:dyDescent="0.25">
      <c r="A2416" s="84" t="str">
        <f t="shared" si="112"/>
        <v>SelecioneSelecioneSelecione</v>
      </c>
      <c r="B2416" s="85" t="s">
        <v>19</v>
      </c>
      <c r="C2416" s="85" t="s">
        <v>19</v>
      </c>
      <c r="D2416" s="86"/>
      <c r="E2416" s="116" t="str">
        <f t="shared" si="113"/>
        <v>-</v>
      </c>
      <c r="F2416" s="85"/>
      <c r="G2416" s="85" t="s">
        <v>19</v>
      </c>
      <c r="H2416" s="85"/>
      <c r="I2416" s="85"/>
      <c r="J2416" s="87"/>
      <c r="K2416" s="88">
        <f t="shared" si="114"/>
        <v>0</v>
      </c>
      <c r="L2416" s="85"/>
    </row>
    <row r="2417" spans="1:12" x14ac:dyDescent="0.25">
      <c r="A2417" s="84" t="str">
        <f t="shared" si="112"/>
        <v>SelecioneSelecioneSelecione</v>
      </c>
      <c r="B2417" s="85" t="s">
        <v>19</v>
      </c>
      <c r="C2417" s="85" t="s">
        <v>19</v>
      </c>
      <c r="D2417" s="86"/>
      <c r="E2417" s="116" t="str">
        <f t="shared" si="113"/>
        <v>-</v>
      </c>
      <c r="F2417" s="85"/>
      <c r="G2417" s="85" t="s">
        <v>19</v>
      </c>
      <c r="H2417" s="85"/>
      <c r="I2417" s="85"/>
      <c r="J2417" s="87"/>
      <c r="K2417" s="88">
        <f t="shared" si="114"/>
        <v>0</v>
      </c>
      <c r="L2417" s="85"/>
    </row>
    <row r="2418" spans="1:12" x14ac:dyDescent="0.25">
      <c r="A2418" s="84" t="str">
        <f t="shared" si="112"/>
        <v>SelecioneSelecioneSelecione</v>
      </c>
      <c r="B2418" s="85" t="s">
        <v>19</v>
      </c>
      <c r="C2418" s="85" t="s">
        <v>19</v>
      </c>
      <c r="D2418" s="86"/>
      <c r="E2418" s="116" t="str">
        <f t="shared" si="113"/>
        <v>-</v>
      </c>
      <c r="F2418" s="85"/>
      <c r="G2418" s="85" t="s">
        <v>19</v>
      </c>
      <c r="H2418" s="85"/>
      <c r="I2418" s="85"/>
      <c r="J2418" s="87"/>
      <c r="K2418" s="88">
        <f t="shared" si="114"/>
        <v>0</v>
      </c>
      <c r="L2418" s="85"/>
    </row>
    <row r="2419" spans="1:12" x14ac:dyDescent="0.25">
      <c r="A2419" s="84" t="str">
        <f t="shared" si="112"/>
        <v>SelecioneSelecioneSelecione</v>
      </c>
      <c r="B2419" s="85" t="s">
        <v>19</v>
      </c>
      <c r="C2419" s="85" t="s">
        <v>19</v>
      </c>
      <c r="D2419" s="86"/>
      <c r="E2419" s="116" t="str">
        <f t="shared" si="113"/>
        <v>-</v>
      </c>
      <c r="F2419" s="85"/>
      <c r="G2419" s="85" t="s">
        <v>19</v>
      </c>
      <c r="H2419" s="85"/>
      <c r="I2419" s="85"/>
      <c r="J2419" s="87"/>
      <c r="K2419" s="88">
        <f t="shared" si="114"/>
        <v>0</v>
      </c>
      <c r="L2419" s="85"/>
    </row>
    <row r="2420" spans="1:12" x14ac:dyDescent="0.25">
      <c r="A2420" s="84" t="str">
        <f t="shared" si="112"/>
        <v>SelecioneSelecioneSelecione</v>
      </c>
      <c r="B2420" s="85" t="s">
        <v>19</v>
      </c>
      <c r="C2420" s="85" t="s">
        <v>19</v>
      </c>
      <c r="D2420" s="86"/>
      <c r="E2420" s="116" t="str">
        <f t="shared" si="113"/>
        <v>-</v>
      </c>
      <c r="F2420" s="85"/>
      <c r="G2420" s="85" t="s">
        <v>19</v>
      </c>
      <c r="H2420" s="85"/>
      <c r="I2420" s="85"/>
      <c r="J2420" s="87"/>
      <c r="K2420" s="88">
        <f t="shared" si="114"/>
        <v>0</v>
      </c>
      <c r="L2420" s="85"/>
    </row>
    <row r="2421" spans="1:12" x14ac:dyDescent="0.25">
      <c r="A2421" s="84" t="str">
        <f t="shared" si="112"/>
        <v>SelecioneSelecioneSelecione</v>
      </c>
      <c r="B2421" s="85" t="s">
        <v>19</v>
      </c>
      <c r="C2421" s="85" t="s">
        <v>19</v>
      </c>
      <c r="D2421" s="86"/>
      <c r="E2421" s="116" t="str">
        <f t="shared" si="113"/>
        <v>-</v>
      </c>
      <c r="F2421" s="85"/>
      <c r="G2421" s="85" t="s">
        <v>19</v>
      </c>
      <c r="H2421" s="85"/>
      <c r="I2421" s="85"/>
      <c r="J2421" s="87"/>
      <c r="K2421" s="88">
        <f t="shared" si="114"/>
        <v>0</v>
      </c>
      <c r="L2421" s="85"/>
    </row>
    <row r="2422" spans="1:12" x14ac:dyDescent="0.25">
      <c r="A2422" s="84" t="str">
        <f t="shared" si="112"/>
        <v>SelecioneSelecioneSelecione</v>
      </c>
      <c r="B2422" s="85" t="s">
        <v>19</v>
      </c>
      <c r="C2422" s="85" t="s">
        <v>19</v>
      </c>
      <c r="D2422" s="86"/>
      <c r="E2422" s="116" t="str">
        <f t="shared" si="113"/>
        <v>-</v>
      </c>
      <c r="F2422" s="85"/>
      <c r="G2422" s="85" t="s">
        <v>19</v>
      </c>
      <c r="H2422" s="85"/>
      <c r="I2422" s="85"/>
      <c r="J2422" s="87"/>
      <c r="K2422" s="88">
        <f t="shared" si="114"/>
        <v>0</v>
      </c>
      <c r="L2422" s="85"/>
    </row>
    <row r="2423" spans="1:12" x14ac:dyDescent="0.25">
      <c r="A2423" s="84" t="str">
        <f t="shared" si="112"/>
        <v>SelecioneSelecioneSelecione</v>
      </c>
      <c r="B2423" s="85" t="s">
        <v>19</v>
      </c>
      <c r="C2423" s="85" t="s">
        <v>19</v>
      </c>
      <c r="D2423" s="86"/>
      <c r="E2423" s="116" t="str">
        <f t="shared" si="113"/>
        <v>-</v>
      </c>
      <c r="F2423" s="85"/>
      <c r="G2423" s="85" t="s">
        <v>19</v>
      </c>
      <c r="H2423" s="85"/>
      <c r="I2423" s="85"/>
      <c r="J2423" s="87"/>
      <c r="K2423" s="88">
        <f t="shared" si="114"/>
        <v>0</v>
      </c>
      <c r="L2423" s="85"/>
    </row>
    <row r="2424" spans="1:12" x14ac:dyDescent="0.25">
      <c r="A2424" s="84" t="str">
        <f t="shared" si="112"/>
        <v>SelecioneSelecioneSelecione</v>
      </c>
      <c r="B2424" s="85" t="s">
        <v>19</v>
      </c>
      <c r="C2424" s="85" t="s">
        <v>19</v>
      </c>
      <c r="D2424" s="86"/>
      <c r="E2424" s="116" t="str">
        <f t="shared" si="113"/>
        <v>-</v>
      </c>
      <c r="F2424" s="85"/>
      <c r="G2424" s="85" t="s">
        <v>19</v>
      </c>
      <c r="H2424" s="85"/>
      <c r="I2424" s="85"/>
      <c r="J2424" s="87"/>
      <c r="K2424" s="88">
        <f t="shared" si="114"/>
        <v>0</v>
      </c>
      <c r="L2424" s="85"/>
    </row>
    <row r="2425" spans="1:12" x14ac:dyDescent="0.25">
      <c r="A2425" s="84" t="str">
        <f t="shared" si="112"/>
        <v>SelecioneSelecioneSelecione</v>
      </c>
      <c r="B2425" s="85" t="s">
        <v>19</v>
      </c>
      <c r="C2425" s="85" t="s">
        <v>19</v>
      </c>
      <c r="D2425" s="86"/>
      <c r="E2425" s="116" t="str">
        <f t="shared" si="113"/>
        <v>-</v>
      </c>
      <c r="F2425" s="85"/>
      <c r="G2425" s="85" t="s">
        <v>19</v>
      </c>
      <c r="H2425" s="85"/>
      <c r="I2425" s="85"/>
      <c r="J2425" s="87"/>
      <c r="K2425" s="88">
        <f t="shared" si="114"/>
        <v>0</v>
      </c>
      <c r="L2425" s="85"/>
    </row>
    <row r="2426" spans="1:12" x14ac:dyDescent="0.25">
      <c r="A2426" s="84" t="str">
        <f t="shared" si="112"/>
        <v>SelecioneSelecioneSelecione</v>
      </c>
      <c r="B2426" s="85" t="s">
        <v>19</v>
      </c>
      <c r="C2426" s="85" t="s">
        <v>19</v>
      </c>
      <c r="D2426" s="86"/>
      <c r="E2426" s="116" t="str">
        <f t="shared" si="113"/>
        <v>-</v>
      </c>
      <c r="F2426" s="85"/>
      <c r="G2426" s="85" t="s">
        <v>19</v>
      </c>
      <c r="H2426" s="85"/>
      <c r="I2426" s="85"/>
      <c r="J2426" s="87"/>
      <c r="K2426" s="88">
        <f t="shared" si="114"/>
        <v>0</v>
      </c>
      <c r="L2426" s="85"/>
    </row>
    <row r="2427" spans="1:12" x14ac:dyDescent="0.25">
      <c r="A2427" s="84" t="str">
        <f t="shared" si="112"/>
        <v>SelecioneSelecioneSelecione</v>
      </c>
      <c r="B2427" s="85" t="s">
        <v>19</v>
      </c>
      <c r="C2427" s="85" t="s">
        <v>19</v>
      </c>
      <c r="D2427" s="86"/>
      <c r="E2427" s="116" t="str">
        <f t="shared" si="113"/>
        <v>-</v>
      </c>
      <c r="F2427" s="85"/>
      <c r="G2427" s="85" t="s">
        <v>19</v>
      </c>
      <c r="H2427" s="85"/>
      <c r="I2427" s="85"/>
      <c r="J2427" s="87"/>
      <c r="K2427" s="88">
        <f t="shared" si="114"/>
        <v>0</v>
      </c>
      <c r="L2427" s="85"/>
    </row>
    <row r="2428" spans="1:12" x14ac:dyDescent="0.25">
      <c r="A2428" s="84" t="str">
        <f t="shared" si="112"/>
        <v>SelecioneSelecioneSelecione</v>
      </c>
      <c r="B2428" s="85" t="s">
        <v>19</v>
      </c>
      <c r="C2428" s="85" t="s">
        <v>19</v>
      </c>
      <c r="D2428" s="86"/>
      <c r="E2428" s="116" t="str">
        <f t="shared" si="113"/>
        <v>-</v>
      </c>
      <c r="F2428" s="85"/>
      <c r="G2428" s="85" t="s">
        <v>19</v>
      </c>
      <c r="H2428" s="85"/>
      <c r="I2428" s="85"/>
      <c r="J2428" s="87"/>
      <c r="K2428" s="88">
        <f t="shared" si="114"/>
        <v>0</v>
      </c>
      <c r="L2428" s="85"/>
    </row>
    <row r="2429" spans="1:12" x14ac:dyDescent="0.25">
      <c r="A2429" s="84" t="str">
        <f t="shared" si="112"/>
        <v>SelecioneSelecioneSelecione</v>
      </c>
      <c r="B2429" s="85" t="s">
        <v>19</v>
      </c>
      <c r="C2429" s="85" t="s">
        <v>19</v>
      </c>
      <c r="D2429" s="86"/>
      <c r="E2429" s="116" t="str">
        <f t="shared" si="113"/>
        <v>-</v>
      </c>
      <c r="F2429" s="85"/>
      <c r="G2429" s="85" t="s">
        <v>19</v>
      </c>
      <c r="H2429" s="85"/>
      <c r="I2429" s="85"/>
      <c r="J2429" s="87"/>
      <c r="K2429" s="88">
        <f t="shared" si="114"/>
        <v>0</v>
      </c>
      <c r="L2429" s="85"/>
    </row>
    <row r="2430" spans="1:12" x14ac:dyDescent="0.25">
      <c r="A2430" s="84" t="str">
        <f t="shared" si="112"/>
        <v>SelecioneSelecioneSelecione</v>
      </c>
      <c r="B2430" s="85" t="s">
        <v>19</v>
      </c>
      <c r="C2430" s="85" t="s">
        <v>19</v>
      </c>
      <c r="D2430" s="86"/>
      <c r="E2430" s="116" t="str">
        <f t="shared" si="113"/>
        <v>-</v>
      </c>
      <c r="F2430" s="85"/>
      <c r="G2430" s="85" t="s">
        <v>19</v>
      </c>
      <c r="H2430" s="85"/>
      <c r="I2430" s="85"/>
      <c r="J2430" s="87"/>
      <c r="K2430" s="88">
        <f t="shared" si="114"/>
        <v>0</v>
      </c>
      <c r="L2430" s="85"/>
    </row>
    <row r="2431" spans="1:12" x14ac:dyDescent="0.25">
      <c r="A2431" s="84" t="str">
        <f t="shared" si="112"/>
        <v>SelecioneSelecioneSelecione</v>
      </c>
      <c r="B2431" s="85" t="s">
        <v>19</v>
      </c>
      <c r="C2431" s="85" t="s">
        <v>19</v>
      </c>
      <c r="D2431" s="86"/>
      <c r="E2431" s="116" t="str">
        <f t="shared" si="113"/>
        <v>-</v>
      </c>
      <c r="F2431" s="85"/>
      <c r="G2431" s="85" t="s">
        <v>19</v>
      </c>
      <c r="H2431" s="85"/>
      <c r="I2431" s="85"/>
      <c r="J2431" s="87"/>
      <c r="K2431" s="88">
        <f t="shared" si="114"/>
        <v>0</v>
      </c>
      <c r="L2431" s="85"/>
    </row>
    <row r="2432" spans="1:12" x14ac:dyDescent="0.25">
      <c r="A2432" s="84" t="str">
        <f t="shared" si="112"/>
        <v>SelecioneSelecioneSelecione</v>
      </c>
      <c r="B2432" s="85" t="s">
        <v>19</v>
      </c>
      <c r="C2432" s="85" t="s">
        <v>19</v>
      </c>
      <c r="D2432" s="86"/>
      <c r="E2432" s="116" t="str">
        <f t="shared" si="113"/>
        <v>-</v>
      </c>
      <c r="F2432" s="85"/>
      <c r="G2432" s="85" t="s">
        <v>19</v>
      </c>
      <c r="H2432" s="85"/>
      <c r="I2432" s="85"/>
      <c r="J2432" s="87"/>
      <c r="K2432" s="88">
        <f t="shared" si="114"/>
        <v>0</v>
      </c>
      <c r="L2432" s="85"/>
    </row>
    <row r="2433" spans="1:12" x14ac:dyDescent="0.25">
      <c r="A2433" s="84" t="str">
        <f t="shared" si="112"/>
        <v>SelecioneSelecioneSelecione</v>
      </c>
      <c r="B2433" s="85" t="s">
        <v>19</v>
      </c>
      <c r="C2433" s="85" t="s">
        <v>19</v>
      </c>
      <c r="D2433" s="86"/>
      <c r="E2433" s="116" t="str">
        <f t="shared" si="113"/>
        <v>-</v>
      </c>
      <c r="F2433" s="85"/>
      <c r="G2433" s="85" t="s">
        <v>19</v>
      </c>
      <c r="H2433" s="85"/>
      <c r="I2433" s="85"/>
      <c r="J2433" s="87"/>
      <c r="K2433" s="88">
        <f t="shared" si="114"/>
        <v>0</v>
      </c>
      <c r="L2433" s="85"/>
    </row>
    <row r="2434" spans="1:12" x14ac:dyDescent="0.25">
      <c r="A2434" s="84" t="str">
        <f t="shared" ref="A2434:A2497" si="115">CONCATENATE(B2434,C2434,G2434)</f>
        <v>SelecioneSelecioneSelecione</v>
      </c>
      <c r="B2434" s="85" t="s">
        <v>19</v>
      </c>
      <c r="C2434" s="85" t="s">
        <v>19</v>
      </c>
      <c r="D2434" s="86"/>
      <c r="E2434" s="116" t="str">
        <f t="shared" ref="E2434:E2497" si="116">VLOOKUP(G2434,$M$1:$O$968,3,0)</f>
        <v>-</v>
      </c>
      <c r="F2434" s="85"/>
      <c r="G2434" s="85" t="s">
        <v>19</v>
      </c>
      <c r="H2434" s="85"/>
      <c r="I2434" s="85"/>
      <c r="J2434" s="87"/>
      <c r="K2434" s="88">
        <f t="shared" ref="K2434:K2497" si="117">I2434*J2434</f>
        <v>0</v>
      </c>
      <c r="L2434" s="85"/>
    </row>
    <row r="2435" spans="1:12" x14ac:dyDescent="0.25">
      <c r="A2435" s="84" t="str">
        <f t="shared" si="115"/>
        <v>SelecioneSelecioneSelecione</v>
      </c>
      <c r="B2435" s="85" t="s">
        <v>19</v>
      </c>
      <c r="C2435" s="85" t="s">
        <v>19</v>
      </c>
      <c r="D2435" s="86"/>
      <c r="E2435" s="116" t="str">
        <f t="shared" si="116"/>
        <v>-</v>
      </c>
      <c r="F2435" s="85"/>
      <c r="G2435" s="85" t="s">
        <v>19</v>
      </c>
      <c r="H2435" s="85"/>
      <c r="I2435" s="85"/>
      <c r="J2435" s="87"/>
      <c r="K2435" s="88">
        <f t="shared" si="117"/>
        <v>0</v>
      </c>
      <c r="L2435" s="85"/>
    </row>
    <row r="2436" spans="1:12" x14ac:dyDescent="0.25">
      <c r="A2436" s="84" t="str">
        <f t="shared" si="115"/>
        <v>SelecioneSelecioneSelecione</v>
      </c>
      <c r="B2436" s="85" t="s">
        <v>19</v>
      </c>
      <c r="C2436" s="85" t="s">
        <v>19</v>
      </c>
      <c r="D2436" s="86"/>
      <c r="E2436" s="116" t="str">
        <f t="shared" si="116"/>
        <v>-</v>
      </c>
      <c r="F2436" s="85"/>
      <c r="G2436" s="85" t="s">
        <v>19</v>
      </c>
      <c r="H2436" s="85"/>
      <c r="I2436" s="85"/>
      <c r="J2436" s="87"/>
      <c r="K2436" s="88">
        <f t="shared" si="117"/>
        <v>0</v>
      </c>
      <c r="L2436" s="85"/>
    </row>
    <row r="2437" spans="1:12" x14ac:dyDescent="0.25">
      <c r="A2437" s="84" t="str">
        <f t="shared" si="115"/>
        <v>SelecioneSelecioneSelecione</v>
      </c>
      <c r="B2437" s="85" t="s">
        <v>19</v>
      </c>
      <c r="C2437" s="85" t="s">
        <v>19</v>
      </c>
      <c r="D2437" s="86"/>
      <c r="E2437" s="116" t="str">
        <f t="shared" si="116"/>
        <v>-</v>
      </c>
      <c r="F2437" s="85"/>
      <c r="G2437" s="85" t="s">
        <v>19</v>
      </c>
      <c r="H2437" s="85"/>
      <c r="I2437" s="85"/>
      <c r="J2437" s="87"/>
      <c r="K2437" s="88">
        <f t="shared" si="117"/>
        <v>0</v>
      </c>
      <c r="L2437" s="85"/>
    </row>
    <row r="2438" spans="1:12" x14ac:dyDescent="0.25">
      <c r="A2438" s="84" t="str">
        <f t="shared" si="115"/>
        <v>SelecioneSelecioneSelecione</v>
      </c>
      <c r="B2438" s="85" t="s">
        <v>19</v>
      </c>
      <c r="C2438" s="85" t="s">
        <v>19</v>
      </c>
      <c r="D2438" s="86"/>
      <c r="E2438" s="116" t="str">
        <f t="shared" si="116"/>
        <v>-</v>
      </c>
      <c r="F2438" s="85"/>
      <c r="G2438" s="85" t="s">
        <v>19</v>
      </c>
      <c r="H2438" s="85"/>
      <c r="I2438" s="85"/>
      <c r="J2438" s="87"/>
      <c r="K2438" s="88">
        <f t="shared" si="117"/>
        <v>0</v>
      </c>
      <c r="L2438" s="85"/>
    </row>
    <row r="2439" spans="1:12" x14ac:dyDescent="0.25">
      <c r="A2439" s="84" t="str">
        <f t="shared" si="115"/>
        <v>SelecioneSelecioneSelecione</v>
      </c>
      <c r="B2439" s="85" t="s">
        <v>19</v>
      </c>
      <c r="C2439" s="85" t="s">
        <v>19</v>
      </c>
      <c r="D2439" s="86"/>
      <c r="E2439" s="116" t="str">
        <f t="shared" si="116"/>
        <v>-</v>
      </c>
      <c r="F2439" s="85"/>
      <c r="G2439" s="85" t="s">
        <v>19</v>
      </c>
      <c r="H2439" s="85"/>
      <c r="I2439" s="85"/>
      <c r="J2439" s="87"/>
      <c r="K2439" s="88">
        <f t="shared" si="117"/>
        <v>0</v>
      </c>
      <c r="L2439" s="85"/>
    </row>
    <row r="2440" spans="1:12" x14ac:dyDescent="0.25">
      <c r="A2440" s="84" t="str">
        <f t="shared" si="115"/>
        <v>SelecioneSelecioneSelecione</v>
      </c>
      <c r="B2440" s="85" t="s">
        <v>19</v>
      </c>
      <c r="C2440" s="85" t="s">
        <v>19</v>
      </c>
      <c r="D2440" s="86"/>
      <c r="E2440" s="116" t="str">
        <f t="shared" si="116"/>
        <v>-</v>
      </c>
      <c r="F2440" s="85"/>
      <c r="G2440" s="85" t="s">
        <v>19</v>
      </c>
      <c r="H2440" s="85"/>
      <c r="I2440" s="85"/>
      <c r="J2440" s="87"/>
      <c r="K2440" s="88">
        <f t="shared" si="117"/>
        <v>0</v>
      </c>
      <c r="L2440" s="85"/>
    </row>
    <row r="2441" spans="1:12" x14ac:dyDescent="0.25">
      <c r="A2441" s="84" t="str">
        <f t="shared" si="115"/>
        <v>SelecioneSelecioneSelecione</v>
      </c>
      <c r="B2441" s="85" t="s">
        <v>19</v>
      </c>
      <c r="C2441" s="85" t="s">
        <v>19</v>
      </c>
      <c r="D2441" s="86"/>
      <c r="E2441" s="116" t="str">
        <f t="shared" si="116"/>
        <v>-</v>
      </c>
      <c r="F2441" s="85"/>
      <c r="G2441" s="85" t="s">
        <v>19</v>
      </c>
      <c r="H2441" s="85"/>
      <c r="I2441" s="85"/>
      <c r="J2441" s="87"/>
      <c r="K2441" s="88">
        <f t="shared" si="117"/>
        <v>0</v>
      </c>
      <c r="L2441" s="85"/>
    </row>
    <row r="2442" spans="1:12" x14ac:dyDescent="0.25">
      <c r="A2442" s="84" t="str">
        <f t="shared" si="115"/>
        <v>SelecioneSelecioneSelecione</v>
      </c>
      <c r="B2442" s="85" t="s">
        <v>19</v>
      </c>
      <c r="C2442" s="85" t="s">
        <v>19</v>
      </c>
      <c r="D2442" s="86"/>
      <c r="E2442" s="116" t="str">
        <f t="shared" si="116"/>
        <v>-</v>
      </c>
      <c r="F2442" s="85"/>
      <c r="G2442" s="85" t="s">
        <v>19</v>
      </c>
      <c r="H2442" s="85"/>
      <c r="I2442" s="85"/>
      <c r="J2442" s="87"/>
      <c r="K2442" s="88">
        <f t="shared" si="117"/>
        <v>0</v>
      </c>
      <c r="L2442" s="85"/>
    </row>
    <row r="2443" spans="1:12" x14ac:dyDescent="0.25">
      <c r="A2443" s="84" t="str">
        <f t="shared" si="115"/>
        <v>SelecioneSelecioneSelecione</v>
      </c>
      <c r="B2443" s="85" t="s">
        <v>19</v>
      </c>
      <c r="C2443" s="85" t="s">
        <v>19</v>
      </c>
      <c r="D2443" s="86"/>
      <c r="E2443" s="116" t="str">
        <f t="shared" si="116"/>
        <v>-</v>
      </c>
      <c r="F2443" s="85"/>
      <c r="G2443" s="85" t="s">
        <v>19</v>
      </c>
      <c r="H2443" s="85"/>
      <c r="I2443" s="85"/>
      <c r="J2443" s="87"/>
      <c r="K2443" s="88">
        <f t="shared" si="117"/>
        <v>0</v>
      </c>
      <c r="L2443" s="85"/>
    </row>
    <row r="2444" spans="1:12" x14ac:dyDescent="0.25">
      <c r="A2444" s="84" t="str">
        <f t="shared" si="115"/>
        <v>SelecioneSelecioneSelecione</v>
      </c>
      <c r="B2444" s="85" t="s">
        <v>19</v>
      </c>
      <c r="C2444" s="85" t="s">
        <v>19</v>
      </c>
      <c r="D2444" s="86"/>
      <c r="E2444" s="116" t="str">
        <f t="shared" si="116"/>
        <v>-</v>
      </c>
      <c r="F2444" s="85"/>
      <c r="G2444" s="85" t="s">
        <v>19</v>
      </c>
      <c r="H2444" s="85"/>
      <c r="I2444" s="85"/>
      <c r="J2444" s="87"/>
      <c r="K2444" s="88">
        <f t="shared" si="117"/>
        <v>0</v>
      </c>
      <c r="L2444" s="85"/>
    </row>
    <row r="2445" spans="1:12" x14ac:dyDescent="0.25">
      <c r="A2445" s="84" t="str">
        <f t="shared" si="115"/>
        <v>SelecioneSelecioneSelecione</v>
      </c>
      <c r="B2445" s="85" t="s">
        <v>19</v>
      </c>
      <c r="C2445" s="85" t="s">
        <v>19</v>
      </c>
      <c r="D2445" s="86"/>
      <c r="E2445" s="116" t="str">
        <f t="shared" si="116"/>
        <v>-</v>
      </c>
      <c r="F2445" s="85"/>
      <c r="G2445" s="85" t="s">
        <v>19</v>
      </c>
      <c r="H2445" s="85"/>
      <c r="I2445" s="85"/>
      <c r="J2445" s="87"/>
      <c r="K2445" s="88">
        <f t="shared" si="117"/>
        <v>0</v>
      </c>
      <c r="L2445" s="85"/>
    </row>
    <row r="2446" spans="1:12" x14ac:dyDescent="0.25">
      <c r="A2446" s="84" t="str">
        <f t="shared" si="115"/>
        <v>SelecioneSelecioneSelecione</v>
      </c>
      <c r="B2446" s="85" t="s">
        <v>19</v>
      </c>
      <c r="C2446" s="85" t="s">
        <v>19</v>
      </c>
      <c r="D2446" s="86"/>
      <c r="E2446" s="116" t="str">
        <f t="shared" si="116"/>
        <v>-</v>
      </c>
      <c r="F2446" s="85"/>
      <c r="G2446" s="85" t="s">
        <v>19</v>
      </c>
      <c r="H2446" s="85"/>
      <c r="I2446" s="85"/>
      <c r="J2446" s="87"/>
      <c r="K2446" s="88">
        <f t="shared" si="117"/>
        <v>0</v>
      </c>
      <c r="L2446" s="85"/>
    </row>
    <row r="2447" spans="1:12" x14ac:dyDescent="0.25">
      <c r="A2447" s="84" t="str">
        <f t="shared" si="115"/>
        <v>SelecioneSelecioneSelecione</v>
      </c>
      <c r="B2447" s="85" t="s">
        <v>19</v>
      </c>
      <c r="C2447" s="85" t="s">
        <v>19</v>
      </c>
      <c r="D2447" s="86"/>
      <c r="E2447" s="116" t="str">
        <f t="shared" si="116"/>
        <v>-</v>
      </c>
      <c r="F2447" s="85"/>
      <c r="G2447" s="85" t="s">
        <v>19</v>
      </c>
      <c r="H2447" s="85"/>
      <c r="I2447" s="85"/>
      <c r="J2447" s="87"/>
      <c r="K2447" s="88">
        <f t="shared" si="117"/>
        <v>0</v>
      </c>
      <c r="L2447" s="85"/>
    </row>
    <row r="2448" spans="1:12" x14ac:dyDescent="0.25">
      <c r="A2448" s="84" t="str">
        <f t="shared" si="115"/>
        <v>SelecioneSelecioneSelecione</v>
      </c>
      <c r="B2448" s="85" t="s">
        <v>19</v>
      </c>
      <c r="C2448" s="85" t="s">
        <v>19</v>
      </c>
      <c r="D2448" s="86"/>
      <c r="E2448" s="116" t="str">
        <f t="shared" si="116"/>
        <v>-</v>
      </c>
      <c r="F2448" s="85"/>
      <c r="G2448" s="85" t="s">
        <v>19</v>
      </c>
      <c r="H2448" s="85"/>
      <c r="I2448" s="85"/>
      <c r="J2448" s="87"/>
      <c r="K2448" s="88">
        <f t="shared" si="117"/>
        <v>0</v>
      </c>
      <c r="L2448" s="85"/>
    </row>
    <row r="2449" spans="1:12" x14ac:dyDescent="0.25">
      <c r="A2449" s="84" t="str">
        <f t="shared" si="115"/>
        <v>SelecioneSelecioneSelecione</v>
      </c>
      <c r="B2449" s="85" t="s">
        <v>19</v>
      </c>
      <c r="C2449" s="85" t="s">
        <v>19</v>
      </c>
      <c r="D2449" s="86"/>
      <c r="E2449" s="116" t="str">
        <f t="shared" si="116"/>
        <v>-</v>
      </c>
      <c r="F2449" s="85"/>
      <c r="G2449" s="85" t="s">
        <v>19</v>
      </c>
      <c r="H2449" s="85"/>
      <c r="I2449" s="85"/>
      <c r="J2449" s="87"/>
      <c r="K2449" s="88">
        <f t="shared" si="117"/>
        <v>0</v>
      </c>
      <c r="L2449" s="85"/>
    </row>
    <row r="2450" spans="1:12" x14ac:dyDescent="0.25">
      <c r="A2450" s="84" t="str">
        <f t="shared" si="115"/>
        <v>SelecioneSelecioneSelecione</v>
      </c>
      <c r="B2450" s="85" t="s">
        <v>19</v>
      </c>
      <c r="C2450" s="85" t="s">
        <v>19</v>
      </c>
      <c r="D2450" s="86"/>
      <c r="E2450" s="116" t="str">
        <f t="shared" si="116"/>
        <v>-</v>
      </c>
      <c r="F2450" s="85"/>
      <c r="G2450" s="85" t="s">
        <v>19</v>
      </c>
      <c r="H2450" s="85"/>
      <c r="I2450" s="85"/>
      <c r="J2450" s="87"/>
      <c r="K2450" s="88">
        <f t="shared" si="117"/>
        <v>0</v>
      </c>
      <c r="L2450" s="85"/>
    </row>
    <row r="2451" spans="1:12" x14ac:dyDescent="0.25">
      <c r="A2451" s="84" t="str">
        <f t="shared" si="115"/>
        <v>SelecioneSelecioneSelecione</v>
      </c>
      <c r="B2451" s="85" t="s">
        <v>19</v>
      </c>
      <c r="C2451" s="85" t="s">
        <v>19</v>
      </c>
      <c r="D2451" s="86"/>
      <c r="E2451" s="116" t="str">
        <f t="shared" si="116"/>
        <v>-</v>
      </c>
      <c r="F2451" s="85"/>
      <c r="G2451" s="85" t="s">
        <v>19</v>
      </c>
      <c r="H2451" s="85"/>
      <c r="I2451" s="85"/>
      <c r="J2451" s="87"/>
      <c r="K2451" s="88">
        <f t="shared" si="117"/>
        <v>0</v>
      </c>
      <c r="L2451" s="85"/>
    </row>
    <row r="2452" spans="1:12" x14ac:dyDescent="0.25">
      <c r="A2452" s="84" t="str">
        <f t="shared" si="115"/>
        <v>SelecioneSelecioneSelecione</v>
      </c>
      <c r="B2452" s="85" t="s">
        <v>19</v>
      </c>
      <c r="C2452" s="85" t="s">
        <v>19</v>
      </c>
      <c r="D2452" s="86"/>
      <c r="E2452" s="116" t="str">
        <f t="shared" si="116"/>
        <v>-</v>
      </c>
      <c r="F2452" s="85"/>
      <c r="G2452" s="85" t="s">
        <v>19</v>
      </c>
      <c r="H2452" s="85"/>
      <c r="I2452" s="85"/>
      <c r="J2452" s="87"/>
      <c r="K2452" s="88">
        <f t="shared" si="117"/>
        <v>0</v>
      </c>
      <c r="L2452" s="85"/>
    </row>
    <row r="2453" spans="1:12" x14ac:dyDescent="0.25">
      <c r="A2453" s="84" t="str">
        <f t="shared" si="115"/>
        <v>SelecioneSelecioneSelecione</v>
      </c>
      <c r="B2453" s="85" t="s">
        <v>19</v>
      </c>
      <c r="C2453" s="85" t="s">
        <v>19</v>
      </c>
      <c r="D2453" s="86"/>
      <c r="E2453" s="116" t="str">
        <f t="shared" si="116"/>
        <v>-</v>
      </c>
      <c r="F2453" s="85"/>
      <c r="G2453" s="85" t="s">
        <v>19</v>
      </c>
      <c r="H2453" s="85"/>
      <c r="I2453" s="85"/>
      <c r="J2453" s="87"/>
      <c r="K2453" s="88">
        <f t="shared" si="117"/>
        <v>0</v>
      </c>
      <c r="L2453" s="85"/>
    </row>
    <row r="2454" spans="1:12" x14ac:dyDescent="0.25">
      <c r="A2454" s="84" t="str">
        <f t="shared" si="115"/>
        <v>SelecioneSelecioneSelecione</v>
      </c>
      <c r="B2454" s="85" t="s">
        <v>19</v>
      </c>
      <c r="C2454" s="85" t="s">
        <v>19</v>
      </c>
      <c r="D2454" s="86"/>
      <c r="E2454" s="116" t="str">
        <f t="shared" si="116"/>
        <v>-</v>
      </c>
      <c r="F2454" s="85"/>
      <c r="G2454" s="85" t="s">
        <v>19</v>
      </c>
      <c r="H2454" s="85"/>
      <c r="I2454" s="85"/>
      <c r="J2454" s="87"/>
      <c r="K2454" s="88">
        <f t="shared" si="117"/>
        <v>0</v>
      </c>
      <c r="L2454" s="85"/>
    </row>
    <row r="2455" spans="1:12" x14ac:dyDescent="0.25">
      <c r="A2455" s="84" t="str">
        <f t="shared" si="115"/>
        <v>SelecioneSelecioneSelecione</v>
      </c>
      <c r="B2455" s="85" t="s">
        <v>19</v>
      </c>
      <c r="C2455" s="85" t="s">
        <v>19</v>
      </c>
      <c r="D2455" s="86"/>
      <c r="E2455" s="116" t="str">
        <f t="shared" si="116"/>
        <v>-</v>
      </c>
      <c r="F2455" s="85"/>
      <c r="G2455" s="85" t="s">
        <v>19</v>
      </c>
      <c r="H2455" s="85"/>
      <c r="I2455" s="85"/>
      <c r="J2455" s="87"/>
      <c r="K2455" s="88">
        <f t="shared" si="117"/>
        <v>0</v>
      </c>
      <c r="L2455" s="85"/>
    </row>
    <row r="2456" spans="1:12" x14ac:dyDescent="0.25">
      <c r="A2456" s="84" t="str">
        <f t="shared" si="115"/>
        <v>SelecioneSelecioneSelecione</v>
      </c>
      <c r="B2456" s="85" t="s">
        <v>19</v>
      </c>
      <c r="C2456" s="85" t="s">
        <v>19</v>
      </c>
      <c r="D2456" s="86"/>
      <c r="E2456" s="116" t="str">
        <f t="shared" si="116"/>
        <v>-</v>
      </c>
      <c r="F2456" s="85"/>
      <c r="G2456" s="85" t="s">
        <v>19</v>
      </c>
      <c r="H2456" s="85"/>
      <c r="I2456" s="85"/>
      <c r="J2456" s="87"/>
      <c r="K2456" s="88">
        <f t="shared" si="117"/>
        <v>0</v>
      </c>
      <c r="L2456" s="85"/>
    </row>
    <row r="2457" spans="1:12" x14ac:dyDescent="0.25">
      <c r="A2457" s="84" t="str">
        <f t="shared" si="115"/>
        <v>SelecioneSelecioneSelecione</v>
      </c>
      <c r="B2457" s="85" t="s">
        <v>19</v>
      </c>
      <c r="C2457" s="85" t="s">
        <v>19</v>
      </c>
      <c r="D2457" s="86"/>
      <c r="E2457" s="116" t="str">
        <f t="shared" si="116"/>
        <v>-</v>
      </c>
      <c r="F2457" s="85"/>
      <c r="G2457" s="85" t="s">
        <v>19</v>
      </c>
      <c r="H2457" s="85"/>
      <c r="I2457" s="85"/>
      <c r="J2457" s="87"/>
      <c r="K2457" s="88">
        <f t="shared" si="117"/>
        <v>0</v>
      </c>
      <c r="L2457" s="85"/>
    </row>
    <row r="2458" spans="1:12" x14ac:dyDescent="0.25">
      <c r="A2458" s="84" t="str">
        <f t="shared" si="115"/>
        <v>SelecioneSelecioneSelecione</v>
      </c>
      <c r="B2458" s="85" t="s">
        <v>19</v>
      </c>
      <c r="C2458" s="85" t="s">
        <v>19</v>
      </c>
      <c r="D2458" s="86"/>
      <c r="E2458" s="116" t="str">
        <f t="shared" si="116"/>
        <v>-</v>
      </c>
      <c r="F2458" s="85"/>
      <c r="G2458" s="85" t="s">
        <v>19</v>
      </c>
      <c r="H2458" s="85"/>
      <c r="I2458" s="85"/>
      <c r="J2458" s="87"/>
      <c r="K2458" s="88">
        <f t="shared" si="117"/>
        <v>0</v>
      </c>
      <c r="L2458" s="85"/>
    </row>
    <row r="2459" spans="1:12" x14ac:dyDescent="0.25">
      <c r="A2459" s="84" t="str">
        <f t="shared" si="115"/>
        <v>SelecioneSelecioneSelecione</v>
      </c>
      <c r="B2459" s="85" t="s">
        <v>19</v>
      </c>
      <c r="C2459" s="85" t="s">
        <v>19</v>
      </c>
      <c r="D2459" s="86"/>
      <c r="E2459" s="116" t="str">
        <f t="shared" si="116"/>
        <v>-</v>
      </c>
      <c r="F2459" s="85"/>
      <c r="G2459" s="85" t="s">
        <v>19</v>
      </c>
      <c r="H2459" s="85"/>
      <c r="I2459" s="85"/>
      <c r="J2459" s="87"/>
      <c r="K2459" s="88">
        <f t="shared" si="117"/>
        <v>0</v>
      </c>
      <c r="L2459" s="85"/>
    </row>
    <row r="2460" spans="1:12" x14ac:dyDescent="0.25">
      <c r="A2460" s="84" t="str">
        <f t="shared" si="115"/>
        <v>SelecioneSelecioneSelecione</v>
      </c>
      <c r="B2460" s="85" t="s">
        <v>19</v>
      </c>
      <c r="C2460" s="85" t="s">
        <v>19</v>
      </c>
      <c r="D2460" s="86"/>
      <c r="E2460" s="116" t="str">
        <f t="shared" si="116"/>
        <v>-</v>
      </c>
      <c r="F2460" s="85"/>
      <c r="G2460" s="85" t="s">
        <v>19</v>
      </c>
      <c r="H2460" s="85"/>
      <c r="I2460" s="85"/>
      <c r="J2460" s="87"/>
      <c r="K2460" s="88">
        <f t="shared" si="117"/>
        <v>0</v>
      </c>
      <c r="L2460" s="85"/>
    </row>
    <row r="2461" spans="1:12" x14ac:dyDescent="0.25">
      <c r="A2461" s="84" t="str">
        <f t="shared" si="115"/>
        <v>SelecioneSelecioneSelecione</v>
      </c>
      <c r="B2461" s="85" t="s">
        <v>19</v>
      </c>
      <c r="C2461" s="85" t="s">
        <v>19</v>
      </c>
      <c r="D2461" s="86"/>
      <c r="E2461" s="116" t="str">
        <f t="shared" si="116"/>
        <v>-</v>
      </c>
      <c r="F2461" s="85"/>
      <c r="G2461" s="85" t="s">
        <v>19</v>
      </c>
      <c r="H2461" s="85"/>
      <c r="I2461" s="85"/>
      <c r="J2461" s="87"/>
      <c r="K2461" s="88">
        <f t="shared" si="117"/>
        <v>0</v>
      </c>
      <c r="L2461" s="85"/>
    </row>
    <row r="2462" spans="1:12" x14ac:dyDescent="0.25">
      <c r="A2462" s="84" t="str">
        <f t="shared" si="115"/>
        <v>SelecioneSelecioneSelecione</v>
      </c>
      <c r="B2462" s="85" t="s">
        <v>19</v>
      </c>
      <c r="C2462" s="85" t="s">
        <v>19</v>
      </c>
      <c r="D2462" s="86"/>
      <c r="E2462" s="116" t="str">
        <f t="shared" si="116"/>
        <v>-</v>
      </c>
      <c r="F2462" s="85"/>
      <c r="G2462" s="85" t="s">
        <v>19</v>
      </c>
      <c r="H2462" s="85"/>
      <c r="I2462" s="85"/>
      <c r="J2462" s="87"/>
      <c r="K2462" s="88">
        <f t="shared" si="117"/>
        <v>0</v>
      </c>
      <c r="L2462" s="85"/>
    </row>
    <row r="2463" spans="1:12" x14ac:dyDescent="0.25">
      <c r="A2463" s="84" t="str">
        <f t="shared" si="115"/>
        <v>SelecioneSelecioneSelecione</v>
      </c>
      <c r="B2463" s="85" t="s">
        <v>19</v>
      </c>
      <c r="C2463" s="85" t="s">
        <v>19</v>
      </c>
      <c r="D2463" s="86"/>
      <c r="E2463" s="116" t="str">
        <f t="shared" si="116"/>
        <v>-</v>
      </c>
      <c r="F2463" s="85"/>
      <c r="G2463" s="85" t="s">
        <v>19</v>
      </c>
      <c r="H2463" s="85"/>
      <c r="I2463" s="85"/>
      <c r="J2463" s="87"/>
      <c r="K2463" s="88">
        <f t="shared" si="117"/>
        <v>0</v>
      </c>
      <c r="L2463" s="85"/>
    </row>
    <row r="2464" spans="1:12" x14ac:dyDescent="0.25">
      <c r="A2464" s="84" t="str">
        <f t="shared" si="115"/>
        <v>SelecioneSelecioneSelecione</v>
      </c>
      <c r="B2464" s="85" t="s">
        <v>19</v>
      </c>
      <c r="C2464" s="85" t="s">
        <v>19</v>
      </c>
      <c r="D2464" s="86"/>
      <c r="E2464" s="116" t="str">
        <f t="shared" si="116"/>
        <v>-</v>
      </c>
      <c r="F2464" s="85"/>
      <c r="G2464" s="85" t="s">
        <v>19</v>
      </c>
      <c r="H2464" s="85"/>
      <c r="I2464" s="85"/>
      <c r="J2464" s="87"/>
      <c r="K2464" s="88">
        <f t="shared" si="117"/>
        <v>0</v>
      </c>
      <c r="L2464" s="85"/>
    </row>
    <row r="2465" spans="1:12" x14ac:dyDescent="0.25">
      <c r="A2465" s="84" t="str">
        <f t="shared" si="115"/>
        <v>SelecioneSelecioneSelecione</v>
      </c>
      <c r="B2465" s="85" t="s">
        <v>19</v>
      </c>
      <c r="C2465" s="85" t="s">
        <v>19</v>
      </c>
      <c r="D2465" s="86"/>
      <c r="E2465" s="116" t="str">
        <f t="shared" si="116"/>
        <v>-</v>
      </c>
      <c r="F2465" s="85"/>
      <c r="G2465" s="85" t="s">
        <v>19</v>
      </c>
      <c r="H2465" s="85"/>
      <c r="I2465" s="85"/>
      <c r="J2465" s="87"/>
      <c r="K2465" s="88">
        <f t="shared" si="117"/>
        <v>0</v>
      </c>
      <c r="L2465" s="85"/>
    </row>
    <row r="2466" spans="1:12" x14ac:dyDescent="0.25">
      <c r="A2466" s="84" t="str">
        <f t="shared" si="115"/>
        <v>SelecioneSelecioneSelecione</v>
      </c>
      <c r="B2466" s="85" t="s">
        <v>19</v>
      </c>
      <c r="C2466" s="85" t="s">
        <v>19</v>
      </c>
      <c r="D2466" s="86"/>
      <c r="E2466" s="116" t="str">
        <f t="shared" si="116"/>
        <v>-</v>
      </c>
      <c r="F2466" s="85"/>
      <c r="G2466" s="85" t="s">
        <v>19</v>
      </c>
      <c r="H2466" s="85"/>
      <c r="I2466" s="85"/>
      <c r="J2466" s="87"/>
      <c r="K2466" s="88">
        <f t="shared" si="117"/>
        <v>0</v>
      </c>
      <c r="L2466" s="85"/>
    </row>
    <row r="2467" spans="1:12" x14ac:dyDescent="0.25">
      <c r="A2467" s="84" t="str">
        <f t="shared" si="115"/>
        <v>SelecioneSelecioneSelecione</v>
      </c>
      <c r="B2467" s="85" t="s">
        <v>19</v>
      </c>
      <c r="C2467" s="85" t="s">
        <v>19</v>
      </c>
      <c r="D2467" s="86"/>
      <c r="E2467" s="116" t="str">
        <f t="shared" si="116"/>
        <v>-</v>
      </c>
      <c r="F2467" s="85"/>
      <c r="G2467" s="85" t="s">
        <v>19</v>
      </c>
      <c r="H2467" s="85"/>
      <c r="I2467" s="85"/>
      <c r="J2467" s="87"/>
      <c r="K2467" s="88">
        <f t="shared" si="117"/>
        <v>0</v>
      </c>
      <c r="L2467" s="85"/>
    </row>
    <row r="2468" spans="1:12" x14ac:dyDescent="0.25">
      <c r="A2468" s="84" t="str">
        <f t="shared" si="115"/>
        <v>SelecioneSelecioneSelecione</v>
      </c>
      <c r="B2468" s="85" t="s">
        <v>19</v>
      </c>
      <c r="C2468" s="85" t="s">
        <v>19</v>
      </c>
      <c r="D2468" s="86"/>
      <c r="E2468" s="116" t="str">
        <f t="shared" si="116"/>
        <v>-</v>
      </c>
      <c r="F2468" s="85"/>
      <c r="G2468" s="85" t="s">
        <v>19</v>
      </c>
      <c r="H2468" s="85"/>
      <c r="I2468" s="85"/>
      <c r="J2468" s="87"/>
      <c r="K2468" s="88">
        <f t="shared" si="117"/>
        <v>0</v>
      </c>
      <c r="L2468" s="85"/>
    </row>
    <row r="2469" spans="1:12" x14ac:dyDescent="0.25">
      <c r="A2469" s="84" t="str">
        <f t="shared" si="115"/>
        <v>SelecioneSelecioneSelecione</v>
      </c>
      <c r="B2469" s="85" t="s">
        <v>19</v>
      </c>
      <c r="C2469" s="85" t="s">
        <v>19</v>
      </c>
      <c r="D2469" s="86"/>
      <c r="E2469" s="116" t="str">
        <f t="shared" si="116"/>
        <v>-</v>
      </c>
      <c r="F2469" s="85"/>
      <c r="G2469" s="85" t="s">
        <v>19</v>
      </c>
      <c r="H2469" s="85"/>
      <c r="I2469" s="85"/>
      <c r="J2469" s="87"/>
      <c r="K2469" s="88">
        <f t="shared" si="117"/>
        <v>0</v>
      </c>
      <c r="L2469" s="85"/>
    </row>
    <row r="2470" spans="1:12" x14ac:dyDescent="0.25">
      <c r="A2470" s="84" t="str">
        <f t="shared" si="115"/>
        <v>SelecioneSelecioneSelecione</v>
      </c>
      <c r="B2470" s="85" t="s">
        <v>19</v>
      </c>
      <c r="C2470" s="85" t="s">
        <v>19</v>
      </c>
      <c r="D2470" s="86"/>
      <c r="E2470" s="116" t="str">
        <f t="shared" si="116"/>
        <v>-</v>
      </c>
      <c r="F2470" s="85"/>
      <c r="G2470" s="85" t="s">
        <v>19</v>
      </c>
      <c r="H2470" s="85"/>
      <c r="I2470" s="85"/>
      <c r="J2470" s="87"/>
      <c r="K2470" s="88">
        <f t="shared" si="117"/>
        <v>0</v>
      </c>
      <c r="L2470" s="85"/>
    </row>
    <row r="2471" spans="1:12" x14ac:dyDescent="0.25">
      <c r="A2471" s="84" t="str">
        <f t="shared" si="115"/>
        <v>SelecioneSelecioneSelecione</v>
      </c>
      <c r="B2471" s="85" t="s">
        <v>19</v>
      </c>
      <c r="C2471" s="85" t="s">
        <v>19</v>
      </c>
      <c r="D2471" s="86"/>
      <c r="E2471" s="116" t="str">
        <f t="shared" si="116"/>
        <v>-</v>
      </c>
      <c r="F2471" s="85"/>
      <c r="G2471" s="85" t="s">
        <v>19</v>
      </c>
      <c r="H2471" s="85"/>
      <c r="I2471" s="85"/>
      <c r="J2471" s="87"/>
      <c r="K2471" s="88">
        <f t="shared" si="117"/>
        <v>0</v>
      </c>
      <c r="L2471" s="85"/>
    </row>
    <row r="2472" spans="1:12" x14ac:dyDescent="0.25">
      <c r="A2472" s="84" t="str">
        <f t="shared" si="115"/>
        <v>SelecioneSelecioneSelecione</v>
      </c>
      <c r="B2472" s="85" t="s">
        <v>19</v>
      </c>
      <c r="C2472" s="85" t="s">
        <v>19</v>
      </c>
      <c r="D2472" s="86"/>
      <c r="E2472" s="116" t="str">
        <f t="shared" si="116"/>
        <v>-</v>
      </c>
      <c r="F2472" s="85"/>
      <c r="G2472" s="85" t="s">
        <v>19</v>
      </c>
      <c r="H2472" s="85"/>
      <c r="I2472" s="85"/>
      <c r="J2472" s="87"/>
      <c r="K2472" s="88">
        <f t="shared" si="117"/>
        <v>0</v>
      </c>
      <c r="L2472" s="85"/>
    </row>
    <row r="2473" spans="1:12" x14ac:dyDescent="0.25">
      <c r="A2473" s="84" t="str">
        <f t="shared" si="115"/>
        <v>SelecioneSelecioneSelecione</v>
      </c>
      <c r="B2473" s="85" t="s">
        <v>19</v>
      </c>
      <c r="C2473" s="85" t="s">
        <v>19</v>
      </c>
      <c r="D2473" s="86"/>
      <c r="E2473" s="116" t="str">
        <f t="shared" si="116"/>
        <v>-</v>
      </c>
      <c r="F2473" s="85"/>
      <c r="G2473" s="85" t="s">
        <v>19</v>
      </c>
      <c r="H2473" s="85"/>
      <c r="I2473" s="85"/>
      <c r="J2473" s="87"/>
      <c r="K2473" s="88">
        <f t="shared" si="117"/>
        <v>0</v>
      </c>
      <c r="L2473" s="85"/>
    </row>
    <row r="2474" spans="1:12" x14ac:dyDescent="0.25">
      <c r="A2474" s="84" t="str">
        <f t="shared" si="115"/>
        <v>SelecioneSelecioneSelecione</v>
      </c>
      <c r="B2474" s="85" t="s">
        <v>19</v>
      </c>
      <c r="C2474" s="85" t="s">
        <v>19</v>
      </c>
      <c r="D2474" s="86"/>
      <c r="E2474" s="116" t="str">
        <f t="shared" si="116"/>
        <v>-</v>
      </c>
      <c r="F2474" s="85"/>
      <c r="G2474" s="85" t="s">
        <v>19</v>
      </c>
      <c r="H2474" s="85"/>
      <c r="I2474" s="85"/>
      <c r="J2474" s="87"/>
      <c r="K2474" s="88">
        <f t="shared" si="117"/>
        <v>0</v>
      </c>
      <c r="L2474" s="85"/>
    </row>
    <row r="2475" spans="1:12" x14ac:dyDescent="0.25">
      <c r="A2475" s="84" t="str">
        <f t="shared" si="115"/>
        <v>SelecioneSelecioneSelecione</v>
      </c>
      <c r="B2475" s="85" t="s">
        <v>19</v>
      </c>
      <c r="C2475" s="85" t="s">
        <v>19</v>
      </c>
      <c r="D2475" s="86"/>
      <c r="E2475" s="116" t="str">
        <f t="shared" si="116"/>
        <v>-</v>
      </c>
      <c r="F2475" s="85"/>
      <c r="G2475" s="85" t="s">
        <v>19</v>
      </c>
      <c r="H2475" s="85"/>
      <c r="I2475" s="85"/>
      <c r="J2475" s="87"/>
      <c r="K2475" s="88">
        <f t="shared" si="117"/>
        <v>0</v>
      </c>
      <c r="L2475" s="85"/>
    </row>
    <row r="2476" spans="1:12" x14ac:dyDescent="0.25">
      <c r="A2476" s="84" t="str">
        <f t="shared" si="115"/>
        <v>SelecioneSelecioneSelecione</v>
      </c>
      <c r="B2476" s="85" t="s">
        <v>19</v>
      </c>
      <c r="C2476" s="85" t="s">
        <v>19</v>
      </c>
      <c r="D2476" s="86"/>
      <c r="E2476" s="116" t="str">
        <f t="shared" si="116"/>
        <v>-</v>
      </c>
      <c r="F2476" s="85"/>
      <c r="G2476" s="85" t="s">
        <v>19</v>
      </c>
      <c r="H2476" s="85"/>
      <c r="I2476" s="85"/>
      <c r="J2476" s="87"/>
      <c r="K2476" s="88">
        <f t="shared" si="117"/>
        <v>0</v>
      </c>
      <c r="L2476" s="85"/>
    </row>
    <row r="2477" spans="1:12" x14ac:dyDescent="0.25">
      <c r="A2477" s="84" t="str">
        <f t="shared" si="115"/>
        <v>SelecioneSelecioneSelecione</v>
      </c>
      <c r="B2477" s="85" t="s">
        <v>19</v>
      </c>
      <c r="C2477" s="85" t="s">
        <v>19</v>
      </c>
      <c r="D2477" s="86"/>
      <c r="E2477" s="116" t="str">
        <f t="shared" si="116"/>
        <v>-</v>
      </c>
      <c r="F2477" s="85"/>
      <c r="G2477" s="85" t="s">
        <v>19</v>
      </c>
      <c r="H2477" s="85"/>
      <c r="I2477" s="85"/>
      <c r="J2477" s="87"/>
      <c r="K2477" s="88">
        <f t="shared" si="117"/>
        <v>0</v>
      </c>
      <c r="L2477" s="85"/>
    </row>
    <row r="2478" spans="1:12" x14ac:dyDescent="0.25">
      <c r="A2478" s="84" t="str">
        <f t="shared" si="115"/>
        <v>SelecioneSelecioneSelecione</v>
      </c>
      <c r="B2478" s="85" t="s">
        <v>19</v>
      </c>
      <c r="C2478" s="85" t="s">
        <v>19</v>
      </c>
      <c r="D2478" s="86"/>
      <c r="E2478" s="116" t="str">
        <f t="shared" si="116"/>
        <v>-</v>
      </c>
      <c r="F2478" s="85"/>
      <c r="G2478" s="85" t="s">
        <v>19</v>
      </c>
      <c r="H2478" s="85"/>
      <c r="I2478" s="85"/>
      <c r="J2478" s="87"/>
      <c r="K2478" s="88">
        <f t="shared" si="117"/>
        <v>0</v>
      </c>
      <c r="L2478" s="85"/>
    </row>
    <row r="2479" spans="1:12" x14ac:dyDescent="0.25">
      <c r="A2479" s="84" t="str">
        <f t="shared" si="115"/>
        <v>SelecioneSelecioneSelecione</v>
      </c>
      <c r="B2479" s="85" t="s">
        <v>19</v>
      </c>
      <c r="C2479" s="85" t="s">
        <v>19</v>
      </c>
      <c r="D2479" s="86"/>
      <c r="E2479" s="116" t="str">
        <f t="shared" si="116"/>
        <v>-</v>
      </c>
      <c r="F2479" s="85"/>
      <c r="G2479" s="85" t="s">
        <v>19</v>
      </c>
      <c r="H2479" s="85"/>
      <c r="I2479" s="85"/>
      <c r="J2479" s="87"/>
      <c r="K2479" s="88">
        <f t="shared" si="117"/>
        <v>0</v>
      </c>
      <c r="L2479" s="85"/>
    </row>
    <row r="2480" spans="1:12" x14ac:dyDescent="0.25">
      <c r="A2480" s="84" t="str">
        <f t="shared" si="115"/>
        <v>SelecioneSelecioneSelecione</v>
      </c>
      <c r="B2480" s="85" t="s">
        <v>19</v>
      </c>
      <c r="C2480" s="85" t="s">
        <v>19</v>
      </c>
      <c r="D2480" s="86"/>
      <c r="E2480" s="116" t="str">
        <f t="shared" si="116"/>
        <v>-</v>
      </c>
      <c r="F2480" s="85"/>
      <c r="G2480" s="85" t="s">
        <v>19</v>
      </c>
      <c r="H2480" s="85"/>
      <c r="I2480" s="85"/>
      <c r="J2480" s="87"/>
      <c r="K2480" s="88">
        <f t="shared" si="117"/>
        <v>0</v>
      </c>
      <c r="L2480" s="85"/>
    </row>
    <row r="2481" spans="1:12" x14ac:dyDescent="0.25">
      <c r="A2481" s="84" t="str">
        <f t="shared" si="115"/>
        <v>SelecioneSelecioneSelecione</v>
      </c>
      <c r="B2481" s="85" t="s">
        <v>19</v>
      </c>
      <c r="C2481" s="85" t="s">
        <v>19</v>
      </c>
      <c r="D2481" s="86"/>
      <c r="E2481" s="116" t="str">
        <f t="shared" si="116"/>
        <v>-</v>
      </c>
      <c r="F2481" s="85"/>
      <c r="G2481" s="85" t="s">
        <v>19</v>
      </c>
      <c r="H2481" s="85"/>
      <c r="I2481" s="85"/>
      <c r="J2481" s="87"/>
      <c r="K2481" s="88">
        <f t="shared" si="117"/>
        <v>0</v>
      </c>
      <c r="L2481" s="85"/>
    </row>
    <row r="2482" spans="1:12" x14ac:dyDescent="0.25">
      <c r="A2482" s="84" t="str">
        <f t="shared" si="115"/>
        <v>SelecioneSelecioneSelecione</v>
      </c>
      <c r="B2482" s="85" t="s">
        <v>19</v>
      </c>
      <c r="C2482" s="85" t="s">
        <v>19</v>
      </c>
      <c r="D2482" s="86"/>
      <c r="E2482" s="116" t="str">
        <f t="shared" si="116"/>
        <v>-</v>
      </c>
      <c r="F2482" s="85"/>
      <c r="G2482" s="85" t="s">
        <v>19</v>
      </c>
      <c r="H2482" s="85"/>
      <c r="I2482" s="85"/>
      <c r="J2482" s="87"/>
      <c r="K2482" s="88">
        <f t="shared" si="117"/>
        <v>0</v>
      </c>
      <c r="L2482" s="85"/>
    </row>
    <row r="2483" spans="1:12" x14ac:dyDescent="0.25">
      <c r="A2483" s="84" t="str">
        <f t="shared" si="115"/>
        <v>SelecioneSelecioneSelecione</v>
      </c>
      <c r="B2483" s="85" t="s">
        <v>19</v>
      </c>
      <c r="C2483" s="85" t="s">
        <v>19</v>
      </c>
      <c r="D2483" s="86"/>
      <c r="E2483" s="116" t="str">
        <f t="shared" si="116"/>
        <v>-</v>
      </c>
      <c r="F2483" s="85"/>
      <c r="G2483" s="85" t="s">
        <v>19</v>
      </c>
      <c r="H2483" s="85"/>
      <c r="I2483" s="85"/>
      <c r="J2483" s="87"/>
      <c r="K2483" s="88">
        <f t="shared" si="117"/>
        <v>0</v>
      </c>
      <c r="L2483" s="85"/>
    </row>
    <row r="2484" spans="1:12" x14ac:dyDescent="0.25">
      <c r="A2484" s="84" t="str">
        <f t="shared" si="115"/>
        <v>SelecioneSelecioneSelecione</v>
      </c>
      <c r="B2484" s="85" t="s">
        <v>19</v>
      </c>
      <c r="C2484" s="85" t="s">
        <v>19</v>
      </c>
      <c r="D2484" s="93"/>
      <c r="E2484" s="116" t="str">
        <f t="shared" si="116"/>
        <v>-</v>
      </c>
      <c r="F2484" s="90"/>
      <c r="G2484" s="85" t="s">
        <v>19</v>
      </c>
      <c r="H2484" s="85"/>
      <c r="I2484" s="90"/>
      <c r="J2484" s="89"/>
      <c r="K2484" s="88">
        <f t="shared" si="117"/>
        <v>0</v>
      </c>
      <c r="L2484" s="90"/>
    </row>
    <row r="2485" spans="1:12" x14ac:dyDescent="0.25">
      <c r="A2485" s="84" t="str">
        <f t="shared" si="115"/>
        <v>SelecioneSelecioneSelecione</v>
      </c>
      <c r="B2485" s="85" t="s">
        <v>19</v>
      </c>
      <c r="C2485" s="85" t="s">
        <v>19</v>
      </c>
      <c r="D2485" s="86"/>
      <c r="E2485" s="116" t="str">
        <f t="shared" si="116"/>
        <v>-</v>
      </c>
      <c r="F2485" s="85"/>
      <c r="G2485" s="85" t="s">
        <v>19</v>
      </c>
      <c r="H2485" s="85"/>
      <c r="I2485" s="85"/>
      <c r="J2485" s="87"/>
      <c r="K2485" s="88">
        <f t="shared" si="117"/>
        <v>0</v>
      </c>
      <c r="L2485" s="85"/>
    </row>
    <row r="2486" spans="1:12" x14ac:dyDescent="0.25">
      <c r="A2486" s="84" t="str">
        <f t="shared" si="115"/>
        <v>SelecioneSelecioneSelecione</v>
      </c>
      <c r="B2486" s="85" t="s">
        <v>19</v>
      </c>
      <c r="C2486" s="85" t="s">
        <v>19</v>
      </c>
      <c r="D2486" s="86"/>
      <c r="E2486" s="116" t="str">
        <f t="shared" si="116"/>
        <v>-</v>
      </c>
      <c r="F2486" s="85"/>
      <c r="G2486" s="85" t="s">
        <v>19</v>
      </c>
      <c r="H2486" s="85"/>
      <c r="I2486" s="85"/>
      <c r="J2486" s="87"/>
      <c r="K2486" s="88">
        <f t="shared" si="117"/>
        <v>0</v>
      </c>
      <c r="L2486" s="85"/>
    </row>
    <row r="2487" spans="1:12" x14ac:dyDescent="0.25">
      <c r="A2487" s="84" t="str">
        <f t="shared" si="115"/>
        <v>SelecioneSelecioneSelecione</v>
      </c>
      <c r="B2487" s="85" t="s">
        <v>19</v>
      </c>
      <c r="C2487" s="85" t="s">
        <v>19</v>
      </c>
      <c r="D2487" s="86"/>
      <c r="E2487" s="116" t="str">
        <f t="shared" si="116"/>
        <v>-</v>
      </c>
      <c r="F2487" s="85"/>
      <c r="G2487" s="85" t="s">
        <v>19</v>
      </c>
      <c r="H2487" s="85"/>
      <c r="I2487" s="85"/>
      <c r="J2487" s="87"/>
      <c r="K2487" s="88">
        <f t="shared" si="117"/>
        <v>0</v>
      </c>
      <c r="L2487" s="85"/>
    </row>
    <row r="2488" spans="1:12" x14ac:dyDescent="0.25">
      <c r="A2488" s="84" t="str">
        <f t="shared" si="115"/>
        <v>SelecioneSelecioneSelecione</v>
      </c>
      <c r="B2488" s="85" t="s">
        <v>19</v>
      </c>
      <c r="C2488" s="85" t="s">
        <v>19</v>
      </c>
      <c r="D2488" s="86"/>
      <c r="E2488" s="116" t="str">
        <f t="shared" si="116"/>
        <v>-</v>
      </c>
      <c r="F2488" s="85"/>
      <c r="G2488" s="85" t="s">
        <v>19</v>
      </c>
      <c r="H2488" s="85"/>
      <c r="I2488" s="85"/>
      <c r="J2488" s="87"/>
      <c r="K2488" s="88">
        <f t="shared" si="117"/>
        <v>0</v>
      </c>
      <c r="L2488" s="85"/>
    </row>
    <row r="2489" spans="1:12" x14ac:dyDescent="0.25">
      <c r="A2489" s="84" t="str">
        <f t="shared" si="115"/>
        <v>SelecioneSelecioneSelecione</v>
      </c>
      <c r="B2489" s="85" t="s">
        <v>19</v>
      </c>
      <c r="C2489" s="85" t="s">
        <v>19</v>
      </c>
      <c r="D2489" s="86"/>
      <c r="E2489" s="116" t="str">
        <f t="shared" si="116"/>
        <v>-</v>
      </c>
      <c r="F2489" s="85"/>
      <c r="G2489" s="85" t="s">
        <v>19</v>
      </c>
      <c r="H2489" s="85"/>
      <c r="I2489" s="85"/>
      <c r="J2489" s="87"/>
      <c r="K2489" s="88">
        <f t="shared" si="117"/>
        <v>0</v>
      </c>
      <c r="L2489" s="85"/>
    </row>
    <row r="2490" spans="1:12" x14ac:dyDescent="0.25">
      <c r="A2490" s="84" t="str">
        <f t="shared" si="115"/>
        <v>SelecioneSelecioneSelecione</v>
      </c>
      <c r="B2490" s="85" t="s">
        <v>19</v>
      </c>
      <c r="C2490" s="85" t="s">
        <v>19</v>
      </c>
      <c r="D2490" s="86"/>
      <c r="E2490" s="116" t="str">
        <f t="shared" si="116"/>
        <v>-</v>
      </c>
      <c r="F2490" s="85"/>
      <c r="G2490" s="85" t="s">
        <v>19</v>
      </c>
      <c r="H2490" s="85"/>
      <c r="I2490" s="85"/>
      <c r="J2490" s="87"/>
      <c r="K2490" s="88">
        <f t="shared" si="117"/>
        <v>0</v>
      </c>
      <c r="L2490" s="85"/>
    </row>
    <row r="2491" spans="1:12" x14ac:dyDescent="0.25">
      <c r="A2491" s="84" t="str">
        <f t="shared" si="115"/>
        <v>SelecioneSelecioneSelecione</v>
      </c>
      <c r="B2491" s="85" t="s">
        <v>19</v>
      </c>
      <c r="C2491" s="85" t="s">
        <v>19</v>
      </c>
      <c r="D2491" s="86"/>
      <c r="E2491" s="116" t="str">
        <f t="shared" si="116"/>
        <v>-</v>
      </c>
      <c r="F2491" s="85"/>
      <c r="G2491" s="85" t="s">
        <v>19</v>
      </c>
      <c r="H2491" s="85"/>
      <c r="I2491" s="85"/>
      <c r="J2491" s="87"/>
      <c r="K2491" s="88">
        <f t="shared" si="117"/>
        <v>0</v>
      </c>
      <c r="L2491" s="85"/>
    </row>
    <row r="2492" spans="1:12" x14ac:dyDescent="0.25">
      <c r="A2492" s="84" t="str">
        <f t="shared" si="115"/>
        <v>SelecioneSelecioneSelecione</v>
      </c>
      <c r="B2492" s="85" t="s">
        <v>19</v>
      </c>
      <c r="C2492" s="85" t="s">
        <v>19</v>
      </c>
      <c r="D2492" s="86"/>
      <c r="E2492" s="116" t="str">
        <f t="shared" si="116"/>
        <v>-</v>
      </c>
      <c r="F2492" s="85"/>
      <c r="G2492" s="85" t="s">
        <v>19</v>
      </c>
      <c r="H2492" s="85"/>
      <c r="I2492" s="85"/>
      <c r="J2492" s="87"/>
      <c r="K2492" s="88">
        <f t="shared" si="117"/>
        <v>0</v>
      </c>
      <c r="L2492" s="85"/>
    </row>
    <row r="2493" spans="1:12" x14ac:dyDescent="0.25">
      <c r="A2493" s="84" t="str">
        <f t="shared" si="115"/>
        <v>SelecioneSelecioneSelecione</v>
      </c>
      <c r="B2493" s="85" t="s">
        <v>19</v>
      </c>
      <c r="C2493" s="85" t="s">
        <v>19</v>
      </c>
      <c r="D2493" s="86"/>
      <c r="E2493" s="116" t="str">
        <f t="shared" si="116"/>
        <v>-</v>
      </c>
      <c r="F2493" s="85"/>
      <c r="G2493" s="85" t="s">
        <v>19</v>
      </c>
      <c r="H2493" s="85"/>
      <c r="I2493" s="85"/>
      <c r="J2493" s="87"/>
      <c r="K2493" s="88">
        <f t="shared" si="117"/>
        <v>0</v>
      </c>
      <c r="L2493" s="85"/>
    </row>
    <row r="2494" spans="1:12" x14ac:dyDescent="0.25">
      <c r="A2494" s="84" t="str">
        <f t="shared" si="115"/>
        <v>SelecioneSelecioneSelecione</v>
      </c>
      <c r="B2494" s="85" t="s">
        <v>19</v>
      </c>
      <c r="C2494" s="85" t="s">
        <v>19</v>
      </c>
      <c r="D2494" s="86"/>
      <c r="E2494" s="116" t="str">
        <f t="shared" si="116"/>
        <v>-</v>
      </c>
      <c r="F2494" s="85"/>
      <c r="G2494" s="85" t="s">
        <v>19</v>
      </c>
      <c r="H2494" s="85"/>
      <c r="I2494" s="85"/>
      <c r="J2494" s="87"/>
      <c r="K2494" s="88">
        <f t="shared" si="117"/>
        <v>0</v>
      </c>
      <c r="L2494" s="85"/>
    </row>
    <row r="2495" spans="1:12" x14ac:dyDescent="0.25">
      <c r="A2495" s="84" t="str">
        <f t="shared" si="115"/>
        <v>SelecioneSelecioneSelecione</v>
      </c>
      <c r="B2495" s="85" t="s">
        <v>19</v>
      </c>
      <c r="C2495" s="85" t="s">
        <v>19</v>
      </c>
      <c r="D2495" s="86"/>
      <c r="E2495" s="116" t="str">
        <f t="shared" si="116"/>
        <v>-</v>
      </c>
      <c r="F2495" s="85"/>
      <c r="G2495" s="85" t="s">
        <v>19</v>
      </c>
      <c r="H2495" s="85"/>
      <c r="I2495" s="85"/>
      <c r="J2495" s="87"/>
      <c r="K2495" s="88">
        <f t="shared" si="117"/>
        <v>0</v>
      </c>
      <c r="L2495" s="85"/>
    </row>
    <row r="2496" spans="1:12" x14ac:dyDescent="0.25">
      <c r="A2496" s="84" t="str">
        <f t="shared" si="115"/>
        <v>SelecioneSelecioneSelecione</v>
      </c>
      <c r="B2496" s="85" t="s">
        <v>19</v>
      </c>
      <c r="C2496" s="85" t="s">
        <v>19</v>
      </c>
      <c r="D2496" s="86"/>
      <c r="E2496" s="116" t="str">
        <f t="shared" si="116"/>
        <v>-</v>
      </c>
      <c r="F2496" s="85"/>
      <c r="G2496" s="85" t="s">
        <v>19</v>
      </c>
      <c r="H2496" s="85"/>
      <c r="I2496" s="85"/>
      <c r="J2496" s="87"/>
      <c r="K2496" s="88">
        <f t="shared" si="117"/>
        <v>0</v>
      </c>
      <c r="L2496" s="85"/>
    </row>
    <row r="2497" spans="1:12" x14ac:dyDescent="0.25">
      <c r="A2497" s="84" t="str">
        <f t="shared" si="115"/>
        <v>SelecioneSelecioneSelecione</v>
      </c>
      <c r="B2497" s="85" t="s">
        <v>19</v>
      </c>
      <c r="C2497" s="85" t="s">
        <v>19</v>
      </c>
      <c r="D2497" s="86"/>
      <c r="E2497" s="116" t="str">
        <f t="shared" si="116"/>
        <v>-</v>
      </c>
      <c r="F2497" s="85"/>
      <c r="G2497" s="85" t="s">
        <v>19</v>
      </c>
      <c r="H2497" s="85"/>
      <c r="I2497" s="85"/>
      <c r="J2497" s="87"/>
      <c r="K2497" s="88">
        <f t="shared" si="117"/>
        <v>0</v>
      </c>
      <c r="L2497" s="85"/>
    </row>
    <row r="2498" spans="1:12" x14ac:dyDescent="0.25">
      <c r="A2498" s="84" t="str">
        <f t="shared" ref="A2498:A2561" si="118">CONCATENATE(B2498,C2498,G2498)</f>
        <v>SelecioneSelecioneSelecione</v>
      </c>
      <c r="B2498" s="85" t="s">
        <v>19</v>
      </c>
      <c r="C2498" s="85" t="s">
        <v>19</v>
      </c>
      <c r="D2498" s="86"/>
      <c r="E2498" s="116" t="str">
        <f t="shared" ref="E2498:E2561" si="119">VLOOKUP(G2498,$M$1:$O$968,3,0)</f>
        <v>-</v>
      </c>
      <c r="F2498" s="85"/>
      <c r="G2498" s="85" t="s">
        <v>19</v>
      </c>
      <c r="H2498" s="85"/>
      <c r="I2498" s="85"/>
      <c r="J2498" s="87"/>
      <c r="K2498" s="88">
        <f t="shared" ref="K2498:K2561" si="120">I2498*J2498</f>
        <v>0</v>
      </c>
      <c r="L2498" s="85"/>
    </row>
    <row r="2499" spans="1:12" x14ac:dyDescent="0.25">
      <c r="A2499" s="84" t="str">
        <f t="shared" si="118"/>
        <v>SelecioneSelecioneSelecione</v>
      </c>
      <c r="B2499" s="85" t="s">
        <v>19</v>
      </c>
      <c r="C2499" s="85" t="s">
        <v>19</v>
      </c>
      <c r="D2499" s="86"/>
      <c r="E2499" s="116" t="str">
        <f t="shared" si="119"/>
        <v>-</v>
      </c>
      <c r="F2499" s="85"/>
      <c r="G2499" s="85" t="s">
        <v>19</v>
      </c>
      <c r="H2499" s="85"/>
      <c r="I2499" s="85"/>
      <c r="J2499" s="87"/>
      <c r="K2499" s="88">
        <f t="shared" si="120"/>
        <v>0</v>
      </c>
      <c r="L2499" s="85"/>
    </row>
    <row r="2500" spans="1:12" x14ac:dyDescent="0.25">
      <c r="A2500" s="84" t="str">
        <f t="shared" si="118"/>
        <v>SelecioneSelecioneSelecione</v>
      </c>
      <c r="B2500" s="85" t="s">
        <v>19</v>
      </c>
      <c r="C2500" s="85" t="s">
        <v>19</v>
      </c>
      <c r="D2500" s="86"/>
      <c r="E2500" s="116" t="str">
        <f t="shared" si="119"/>
        <v>-</v>
      </c>
      <c r="F2500" s="85"/>
      <c r="G2500" s="85" t="s">
        <v>19</v>
      </c>
      <c r="H2500" s="85"/>
      <c r="I2500" s="85"/>
      <c r="J2500" s="87"/>
      <c r="K2500" s="88">
        <f t="shared" si="120"/>
        <v>0</v>
      </c>
      <c r="L2500" s="85"/>
    </row>
    <row r="2501" spans="1:12" x14ac:dyDescent="0.25">
      <c r="A2501" s="84" t="str">
        <f t="shared" si="118"/>
        <v>SelecioneSelecioneSelecione</v>
      </c>
      <c r="B2501" s="85" t="s">
        <v>19</v>
      </c>
      <c r="C2501" s="85" t="s">
        <v>19</v>
      </c>
      <c r="D2501" s="86"/>
      <c r="E2501" s="116" t="str">
        <f t="shared" si="119"/>
        <v>-</v>
      </c>
      <c r="F2501" s="85"/>
      <c r="G2501" s="85" t="s">
        <v>19</v>
      </c>
      <c r="H2501" s="85"/>
      <c r="I2501" s="85"/>
      <c r="J2501" s="87"/>
      <c r="K2501" s="88">
        <f t="shared" si="120"/>
        <v>0</v>
      </c>
      <c r="L2501" s="85"/>
    </row>
    <row r="2502" spans="1:12" x14ac:dyDescent="0.25">
      <c r="A2502" s="84" t="str">
        <f t="shared" si="118"/>
        <v>SelecioneSelecioneSelecione</v>
      </c>
      <c r="B2502" s="85" t="s">
        <v>19</v>
      </c>
      <c r="C2502" s="85" t="s">
        <v>19</v>
      </c>
      <c r="D2502" s="86"/>
      <c r="E2502" s="116" t="str">
        <f t="shared" si="119"/>
        <v>-</v>
      </c>
      <c r="F2502" s="85"/>
      <c r="G2502" s="85" t="s">
        <v>19</v>
      </c>
      <c r="H2502" s="85"/>
      <c r="I2502" s="85"/>
      <c r="J2502" s="87"/>
      <c r="K2502" s="88">
        <f t="shared" si="120"/>
        <v>0</v>
      </c>
      <c r="L2502" s="85"/>
    </row>
    <row r="2503" spans="1:12" x14ac:dyDescent="0.25">
      <c r="A2503" s="84" t="str">
        <f t="shared" si="118"/>
        <v>SelecioneSelecioneSelecione</v>
      </c>
      <c r="B2503" s="85" t="s">
        <v>19</v>
      </c>
      <c r="C2503" s="85" t="s">
        <v>19</v>
      </c>
      <c r="D2503" s="86"/>
      <c r="E2503" s="116" t="str">
        <f t="shared" si="119"/>
        <v>-</v>
      </c>
      <c r="F2503" s="85"/>
      <c r="G2503" s="85" t="s">
        <v>19</v>
      </c>
      <c r="H2503" s="85"/>
      <c r="I2503" s="85"/>
      <c r="J2503" s="87"/>
      <c r="K2503" s="88">
        <f t="shared" si="120"/>
        <v>0</v>
      </c>
      <c r="L2503" s="85"/>
    </row>
    <row r="2504" spans="1:12" x14ac:dyDescent="0.25">
      <c r="A2504" s="84" t="str">
        <f t="shared" si="118"/>
        <v>SelecioneSelecioneSelecione</v>
      </c>
      <c r="B2504" s="85" t="s">
        <v>19</v>
      </c>
      <c r="C2504" s="85" t="s">
        <v>19</v>
      </c>
      <c r="D2504" s="86"/>
      <c r="E2504" s="116" t="str">
        <f t="shared" si="119"/>
        <v>-</v>
      </c>
      <c r="F2504" s="85"/>
      <c r="G2504" s="85" t="s">
        <v>19</v>
      </c>
      <c r="H2504" s="85"/>
      <c r="I2504" s="85"/>
      <c r="J2504" s="87"/>
      <c r="K2504" s="88">
        <f t="shared" si="120"/>
        <v>0</v>
      </c>
      <c r="L2504" s="85"/>
    </row>
    <row r="2505" spans="1:12" x14ac:dyDescent="0.25">
      <c r="A2505" s="84" t="str">
        <f t="shared" si="118"/>
        <v>SelecioneSelecioneSelecione</v>
      </c>
      <c r="B2505" s="85" t="s">
        <v>19</v>
      </c>
      <c r="C2505" s="85" t="s">
        <v>19</v>
      </c>
      <c r="D2505" s="86"/>
      <c r="E2505" s="116" t="str">
        <f t="shared" si="119"/>
        <v>-</v>
      </c>
      <c r="F2505" s="85"/>
      <c r="G2505" s="85" t="s">
        <v>19</v>
      </c>
      <c r="H2505" s="85"/>
      <c r="I2505" s="85"/>
      <c r="J2505" s="87"/>
      <c r="K2505" s="88">
        <f t="shared" si="120"/>
        <v>0</v>
      </c>
      <c r="L2505" s="85"/>
    </row>
    <row r="2506" spans="1:12" x14ac:dyDescent="0.25">
      <c r="A2506" s="84" t="str">
        <f t="shared" si="118"/>
        <v>SelecioneSelecioneSelecione</v>
      </c>
      <c r="B2506" s="85" t="s">
        <v>19</v>
      </c>
      <c r="C2506" s="85" t="s">
        <v>19</v>
      </c>
      <c r="D2506" s="86"/>
      <c r="E2506" s="116" t="str">
        <f t="shared" si="119"/>
        <v>-</v>
      </c>
      <c r="F2506" s="85"/>
      <c r="G2506" s="85" t="s">
        <v>19</v>
      </c>
      <c r="H2506" s="85"/>
      <c r="I2506" s="85"/>
      <c r="J2506" s="87"/>
      <c r="K2506" s="88">
        <f t="shared" si="120"/>
        <v>0</v>
      </c>
      <c r="L2506" s="85"/>
    </row>
    <row r="2507" spans="1:12" x14ac:dyDescent="0.25">
      <c r="A2507" s="84" t="str">
        <f t="shared" si="118"/>
        <v>SelecioneSelecioneSelecione</v>
      </c>
      <c r="B2507" s="85" t="s">
        <v>19</v>
      </c>
      <c r="C2507" s="85" t="s">
        <v>19</v>
      </c>
      <c r="D2507" s="86"/>
      <c r="E2507" s="116" t="str">
        <f t="shared" si="119"/>
        <v>-</v>
      </c>
      <c r="F2507" s="85"/>
      <c r="G2507" s="85" t="s">
        <v>19</v>
      </c>
      <c r="H2507" s="85"/>
      <c r="I2507" s="85"/>
      <c r="J2507" s="87"/>
      <c r="K2507" s="88">
        <f t="shared" si="120"/>
        <v>0</v>
      </c>
      <c r="L2507" s="85"/>
    </row>
    <row r="2508" spans="1:12" x14ac:dyDescent="0.25">
      <c r="A2508" s="84" t="str">
        <f t="shared" si="118"/>
        <v>SelecioneSelecioneSelecione</v>
      </c>
      <c r="B2508" s="85" t="s">
        <v>19</v>
      </c>
      <c r="C2508" s="85" t="s">
        <v>19</v>
      </c>
      <c r="D2508" s="86"/>
      <c r="E2508" s="116" t="str">
        <f t="shared" si="119"/>
        <v>-</v>
      </c>
      <c r="F2508" s="85"/>
      <c r="G2508" s="85" t="s">
        <v>19</v>
      </c>
      <c r="H2508" s="85"/>
      <c r="I2508" s="85"/>
      <c r="J2508" s="87"/>
      <c r="K2508" s="88">
        <f t="shared" si="120"/>
        <v>0</v>
      </c>
      <c r="L2508" s="85"/>
    </row>
    <row r="2509" spans="1:12" x14ac:dyDescent="0.25">
      <c r="A2509" s="84" t="str">
        <f t="shared" si="118"/>
        <v>SelecioneSelecioneSelecione</v>
      </c>
      <c r="B2509" s="85" t="s">
        <v>19</v>
      </c>
      <c r="C2509" s="85" t="s">
        <v>19</v>
      </c>
      <c r="D2509" s="86"/>
      <c r="E2509" s="116" t="str">
        <f t="shared" si="119"/>
        <v>-</v>
      </c>
      <c r="F2509" s="85"/>
      <c r="G2509" s="85" t="s">
        <v>19</v>
      </c>
      <c r="H2509" s="85"/>
      <c r="I2509" s="85"/>
      <c r="J2509" s="87"/>
      <c r="K2509" s="88">
        <f t="shared" si="120"/>
        <v>0</v>
      </c>
      <c r="L2509" s="85"/>
    </row>
    <row r="2510" spans="1:12" x14ac:dyDescent="0.25">
      <c r="A2510" s="84" t="str">
        <f t="shared" si="118"/>
        <v>SelecioneSelecioneSelecione</v>
      </c>
      <c r="B2510" s="85" t="s">
        <v>19</v>
      </c>
      <c r="C2510" s="85" t="s">
        <v>19</v>
      </c>
      <c r="D2510" s="86"/>
      <c r="E2510" s="116" t="str">
        <f t="shared" si="119"/>
        <v>-</v>
      </c>
      <c r="F2510" s="85"/>
      <c r="G2510" s="85" t="s">
        <v>19</v>
      </c>
      <c r="H2510" s="85"/>
      <c r="I2510" s="85"/>
      <c r="J2510" s="87"/>
      <c r="K2510" s="88">
        <f t="shared" si="120"/>
        <v>0</v>
      </c>
      <c r="L2510" s="85"/>
    </row>
    <row r="2511" spans="1:12" x14ac:dyDescent="0.25">
      <c r="A2511" s="84" t="str">
        <f t="shared" si="118"/>
        <v>SelecioneSelecioneSelecione</v>
      </c>
      <c r="B2511" s="85" t="s">
        <v>19</v>
      </c>
      <c r="C2511" s="85" t="s">
        <v>19</v>
      </c>
      <c r="D2511" s="86"/>
      <c r="E2511" s="116" t="str">
        <f t="shared" si="119"/>
        <v>-</v>
      </c>
      <c r="F2511" s="85"/>
      <c r="G2511" s="85" t="s">
        <v>19</v>
      </c>
      <c r="H2511" s="85"/>
      <c r="I2511" s="85"/>
      <c r="J2511" s="87"/>
      <c r="K2511" s="88">
        <f t="shared" si="120"/>
        <v>0</v>
      </c>
      <c r="L2511" s="85"/>
    </row>
    <row r="2512" spans="1:12" x14ac:dyDescent="0.25">
      <c r="A2512" s="84" t="str">
        <f t="shared" si="118"/>
        <v>SelecioneSelecioneSelecione</v>
      </c>
      <c r="B2512" s="85" t="s">
        <v>19</v>
      </c>
      <c r="C2512" s="85" t="s">
        <v>19</v>
      </c>
      <c r="D2512" s="86"/>
      <c r="E2512" s="116" t="str">
        <f t="shared" si="119"/>
        <v>-</v>
      </c>
      <c r="F2512" s="85"/>
      <c r="G2512" s="85" t="s">
        <v>19</v>
      </c>
      <c r="H2512" s="85"/>
      <c r="I2512" s="85"/>
      <c r="J2512" s="87"/>
      <c r="K2512" s="88">
        <f t="shared" si="120"/>
        <v>0</v>
      </c>
      <c r="L2512" s="85"/>
    </row>
    <row r="2513" spans="1:12" x14ac:dyDescent="0.25">
      <c r="A2513" s="84" t="str">
        <f t="shared" si="118"/>
        <v>SelecioneSelecioneSelecione</v>
      </c>
      <c r="B2513" s="85" t="s">
        <v>19</v>
      </c>
      <c r="C2513" s="85" t="s">
        <v>19</v>
      </c>
      <c r="D2513" s="86"/>
      <c r="E2513" s="116" t="str">
        <f t="shared" si="119"/>
        <v>-</v>
      </c>
      <c r="F2513" s="85"/>
      <c r="G2513" s="85" t="s">
        <v>19</v>
      </c>
      <c r="H2513" s="85"/>
      <c r="I2513" s="85"/>
      <c r="J2513" s="87"/>
      <c r="K2513" s="88">
        <f t="shared" si="120"/>
        <v>0</v>
      </c>
      <c r="L2513" s="85"/>
    </row>
    <row r="2514" spans="1:12" x14ac:dyDescent="0.25">
      <c r="A2514" s="84" t="str">
        <f t="shared" si="118"/>
        <v>SelecioneSelecioneSelecione</v>
      </c>
      <c r="B2514" s="85" t="s">
        <v>19</v>
      </c>
      <c r="C2514" s="85" t="s">
        <v>19</v>
      </c>
      <c r="D2514" s="93"/>
      <c r="E2514" s="116" t="str">
        <f t="shared" si="119"/>
        <v>-</v>
      </c>
      <c r="F2514" s="90"/>
      <c r="G2514" s="85" t="s">
        <v>19</v>
      </c>
      <c r="H2514" s="85"/>
      <c r="I2514" s="90"/>
      <c r="J2514" s="89"/>
      <c r="K2514" s="88">
        <f t="shared" si="120"/>
        <v>0</v>
      </c>
      <c r="L2514" s="90"/>
    </row>
    <row r="2515" spans="1:12" x14ac:dyDescent="0.25">
      <c r="A2515" s="84" t="str">
        <f t="shared" si="118"/>
        <v>SelecioneSelecioneSelecione</v>
      </c>
      <c r="B2515" s="85" t="s">
        <v>19</v>
      </c>
      <c r="C2515" s="85" t="s">
        <v>19</v>
      </c>
      <c r="D2515" s="86"/>
      <c r="E2515" s="116" t="str">
        <f t="shared" si="119"/>
        <v>-</v>
      </c>
      <c r="F2515" s="85"/>
      <c r="G2515" s="85" t="s">
        <v>19</v>
      </c>
      <c r="H2515" s="85"/>
      <c r="I2515" s="85"/>
      <c r="J2515" s="87"/>
      <c r="K2515" s="88">
        <f t="shared" si="120"/>
        <v>0</v>
      </c>
      <c r="L2515" s="85"/>
    </row>
    <row r="2516" spans="1:12" x14ac:dyDescent="0.25">
      <c r="A2516" s="84" t="str">
        <f t="shared" si="118"/>
        <v>SelecioneSelecioneSelecione</v>
      </c>
      <c r="B2516" s="85" t="s">
        <v>19</v>
      </c>
      <c r="C2516" s="85" t="s">
        <v>19</v>
      </c>
      <c r="D2516" s="86"/>
      <c r="E2516" s="116" t="str">
        <f t="shared" si="119"/>
        <v>-</v>
      </c>
      <c r="F2516" s="85"/>
      <c r="G2516" s="85" t="s">
        <v>19</v>
      </c>
      <c r="H2516" s="85"/>
      <c r="I2516" s="85"/>
      <c r="J2516" s="87"/>
      <c r="K2516" s="88">
        <f t="shared" si="120"/>
        <v>0</v>
      </c>
      <c r="L2516" s="85"/>
    </row>
    <row r="2517" spans="1:12" x14ac:dyDescent="0.25">
      <c r="A2517" s="84" t="str">
        <f t="shared" si="118"/>
        <v>SelecioneSelecioneSelecione</v>
      </c>
      <c r="B2517" s="85" t="s">
        <v>19</v>
      </c>
      <c r="C2517" s="85" t="s">
        <v>19</v>
      </c>
      <c r="D2517" s="86"/>
      <c r="E2517" s="116" t="str">
        <f t="shared" si="119"/>
        <v>-</v>
      </c>
      <c r="F2517" s="85"/>
      <c r="G2517" s="85" t="s">
        <v>19</v>
      </c>
      <c r="H2517" s="85"/>
      <c r="I2517" s="85"/>
      <c r="J2517" s="87"/>
      <c r="K2517" s="88">
        <f t="shared" si="120"/>
        <v>0</v>
      </c>
      <c r="L2517" s="85"/>
    </row>
    <row r="2518" spans="1:12" x14ac:dyDescent="0.25">
      <c r="A2518" s="84" t="str">
        <f t="shared" si="118"/>
        <v>SelecioneSelecioneSelecione</v>
      </c>
      <c r="B2518" s="85" t="s">
        <v>19</v>
      </c>
      <c r="C2518" s="85" t="s">
        <v>19</v>
      </c>
      <c r="D2518" s="86"/>
      <c r="E2518" s="116" t="str">
        <f t="shared" si="119"/>
        <v>-</v>
      </c>
      <c r="F2518" s="85"/>
      <c r="G2518" s="85" t="s">
        <v>19</v>
      </c>
      <c r="H2518" s="85"/>
      <c r="I2518" s="85"/>
      <c r="J2518" s="87"/>
      <c r="K2518" s="88">
        <f t="shared" si="120"/>
        <v>0</v>
      </c>
      <c r="L2518" s="85"/>
    </row>
    <row r="2519" spans="1:12" x14ac:dyDescent="0.25">
      <c r="A2519" s="84" t="str">
        <f t="shared" si="118"/>
        <v>SelecioneSelecioneSelecione</v>
      </c>
      <c r="B2519" s="85" t="s">
        <v>19</v>
      </c>
      <c r="C2519" s="85" t="s">
        <v>19</v>
      </c>
      <c r="D2519" s="86"/>
      <c r="E2519" s="116" t="str">
        <f t="shared" si="119"/>
        <v>-</v>
      </c>
      <c r="F2519" s="85"/>
      <c r="G2519" s="85" t="s">
        <v>19</v>
      </c>
      <c r="H2519" s="85"/>
      <c r="I2519" s="85"/>
      <c r="J2519" s="87"/>
      <c r="K2519" s="88">
        <f t="shared" si="120"/>
        <v>0</v>
      </c>
      <c r="L2519" s="85"/>
    </row>
    <row r="2520" spans="1:12" x14ac:dyDescent="0.25">
      <c r="A2520" s="84" t="str">
        <f t="shared" si="118"/>
        <v>SelecioneSelecioneSelecione</v>
      </c>
      <c r="B2520" s="85" t="s">
        <v>19</v>
      </c>
      <c r="C2520" s="85" t="s">
        <v>19</v>
      </c>
      <c r="D2520" s="86"/>
      <c r="E2520" s="116" t="str">
        <f t="shared" si="119"/>
        <v>-</v>
      </c>
      <c r="F2520" s="85"/>
      <c r="G2520" s="85" t="s">
        <v>19</v>
      </c>
      <c r="H2520" s="85"/>
      <c r="I2520" s="85"/>
      <c r="J2520" s="87"/>
      <c r="K2520" s="88">
        <f t="shared" si="120"/>
        <v>0</v>
      </c>
      <c r="L2520" s="85"/>
    </row>
    <row r="2521" spans="1:12" x14ac:dyDescent="0.25">
      <c r="A2521" s="84" t="str">
        <f t="shared" si="118"/>
        <v>SelecioneSelecioneSelecione</v>
      </c>
      <c r="B2521" s="85" t="s">
        <v>19</v>
      </c>
      <c r="C2521" s="85" t="s">
        <v>19</v>
      </c>
      <c r="D2521" s="86"/>
      <c r="E2521" s="116" t="str">
        <f t="shared" si="119"/>
        <v>-</v>
      </c>
      <c r="F2521" s="85"/>
      <c r="G2521" s="85" t="s">
        <v>19</v>
      </c>
      <c r="H2521" s="85"/>
      <c r="I2521" s="85"/>
      <c r="J2521" s="87"/>
      <c r="K2521" s="88">
        <f t="shared" si="120"/>
        <v>0</v>
      </c>
      <c r="L2521" s="85"/>
    </row>
    <row r="2522" spans="1:12" x14ac:dyDescent="0.25">
      <c r="A2522" s="84" t="str">
        <f t="shared" si="118"/>
        <v>SelecioneSelecioneSelecione</v>
      </c>
      <c r="B2522" s="85" t="s">
        <v>19</v>
      </c>
      <c r="C2522" s="85" t="s">
        <v>19</v>
      </c>
      <c r="D2522" s="86"/>
      <c r="E2522" s="116" t="str">
        <f t="shared" si="119"/>
        <v>-</v>
      </c>
      <c r="F2522" s="85"/>
      <c r="G2522" s="85" t="s">
        <v>19</v>
      </c>
      <c r="H2522" s="85"/>
      <c r="I2522" s="85"/>
      <c r="J2522" s="87"/>
      <c r="K2522" s="88">
        <f t="shared" si="120"/>
        <v>0</v>
      </c>
      <c r="L2522" s="85"/>
    </row>
    <row r="2523" spans="1:12" x14ac:dyDescent="0.25">
      <c r="A2523" s="84" t="str">
        <f t="shared" si="118"/>
        <v>SelecioneSelecioneSelecione</v>
      </c>
      <c r="B2523" s="85" t="s">
        <v>19</v>
      </c>
      <c r="C2523" s="85" t="s">
        <v>19</v>
      </c>
      <c r="D2523" s="86"/>
      <c r="E2523" s="116" t="str">
        <f t="shared" si="119"/>
        <v>-</v>
      </c>
      <c r="F2523" s="85"/>
      <c r="G2523" s="85" t="s">
        <v>19</v>
      </c>
      <c r="H2523" s="85"/>
      <c r="I2523" s="85"/>
      <c r="J2523" s="87"/>
      <c r="K2523" s="88">
        <f t="shared" si="120"/>
        <v>0</v>
      </c>
      <c r="L2523" s="85"/>
    </row>
    <row r="2524" spans="1:12" x14ac:dyDescent="0.25">
      <c r="A2524" s="84" t="str">
        <f t="shared" si="118"/>
        <v>SelecioneSelecioneSelecione</v>
      </c>
      <c r="B2524" s="85" t="s">
        <v>19</v>
      </c>
      <c r="C2524" s="85" t="s">
        <v>19</v>
      </c>
      <c r="D2524" s="86"/>
      <c r="E2524" s="116" t="str">
        <f t="shared" si="119"/>
        <v>-</v>
      </c>
      <c r="F2524" s="85"/>
      <c r="G2524" s="85" t="s">
        <v>19</v>
      </c>
      <c r="H2524" s="85"/>
      <c r="I2524" s="85"/>
      <c r="J2524" s="87"/>
      <c r="K2524" s="88">
        <f t="shared" si="120"/>
        <v>0</v>
      </c>
      <c r="L2524" s="85"/>
    </row>
    <row r="2525" spans="1:12" x14ac:dyDescent="0.25">
      <c r="A2525" s="84" t="str">
        <f t="shared" si="118"/>
        <v>SelecioneSelecioneSelecione</v>
      </c>
      <c r="B2525" s="85" t="s">
        <v>19</v>
      </c>
      <c r="C2525" s="85" t="s">
        <v>19</v>
      </c>
      <c r="D2525" s="86"/>
      <c r="E2525" s="116" t="str">
        <f t="shared" si="119"/>
        <v>-</v>
      </c>
      <c r="F2525" s="85"/>
      <c r="G2525" s="85" t="s">
        <v>19</v>
      </c>
      <c r="H2525" s="85"/>
      <c r="I2525" s="85"/>
      <c r="J2525" s="87"/>
      <c r="K2525" s="88">
        <f t="shared" si="120"/>
        <v>0</v>
      </c>
      <c r="L2525" s="85"/>
    </row>
    <row r="2526" spans="1:12" x14ac:dyDescent="0.25">
      <c r="A2526" s="84" t="str">
        <f t="shared" si="118"/>
        <v>SelecioneSelecioneSelecione</v>
      </c>
      <c r="B2526" s="85" t="s">
        <v>19</v>
      </c>
      <c r="C2526" s="85" t="s">
        <v>19</v>
      </c>
      <c r="D2526" s="86"/>
      <c r="E2526" s="116" t="str">
        <f t="shared" si="119"/>
        <v>-</v>
      </c>
      <c r="F2526" s="85"/>
      <c r="G2526" s="85" t="s">
        <v>19</v>
      </c>
      <c r="H2526" s="85"/>
      <c r="I2526" s="85"/>
      <c r="J2526" s="87"/>
      <c r="K2526" s="88">
        <f t="shared" si="120"/>
        <v>0</v>
      </c>
      <c r="L2526" s="85"/>
    </row>
    <row r="2527" spans="1:12" x14ac:dyDescent="0.25">
      <c r="A2527" s="84" t="str">
        <f t="shared" si="118"/>
        <v>SelecioneSelecioneSelecione</v>
      </c>
      <c r="B2527" s="85" t="s">
        <v>19</v>
      </c>
      <c r="C2527" s="85" t="s">
        <v>19</v>
      </c>
      <c r="D2527" s="86"/>
      <c r="E2527" s="116" t="str">
        <f t="shared" si="119"/>
        <v>-</v>
      </c>
      <c r="F2527" s="85"/>
      <c r="G2527" s="85" t="s">
        <v>19</v>
      </c>
      <c r="H2527" s="85"/>
      <c r="I2527" s="85"/>
      <c r="J2527" s="87"/>
      <c r="K2527" s="88">
        <f t="shared" si="120"/>
        <v>0</v>
      </c>
      <c r="L2527" s="85"/>
    </row>
    <row r="2528" spans="1:12" x14ac:dyDescent="0.25">
      <c r="A2528" s="84" t="str">
        <f t="shared" si="118"/>
        <v>SelecioneSelecioneSelecione</v>
      </c>
      <c r="B2528" s="85" t="s">
        <v>19</v>
      </c>
      <c r="C2528" s="85" t="s">
        <v>19</v>
      </c>
      <c r="D2528" s="86"/>
      <c r="E2528" s="116" t="str">
        <f t="shared" si="119"/>
        <v>-</v>
      </c>
      <c r="F2528" s="85"/>
      <c r="G2528" s="85" t="s">
        <v>19</v>
      </c>
      <c r="H2528" s="85"/>
      <c r="I2528" s="85"/>
      <c r="J2528" s="87"/>
      <c r="K2528" s="88">
        <f t="shared" si="120"/>
        <v>0</v>
      </c>
      <c r="L2528" s="85"/>
    </row>
    <row r="2529" spans="1:12" x14ac:dyDescent="0.25">
      <c r="A2529" s="84" t="str">
        <f t="shared" si="118"/>
        <v>SelecioneSelecioneSelecione</v>
      </c>
      <c r="B2529" s="85" t="s">
        <v>19</v>
      </c>
      <c r="C2529" s="85" t="s">
        <v>19</v>
      </c>
      <c r="D2529" s="86"/>
      <c r="E2529" s="116" t="str">
        <f t="shared" si="119"/>
        <v>-</v>
      </c>
      <c r="F2529" s="85"/>
      <c r="G2529" s="85" t="s">
        <v>19</v>
      </c>
      <c r="H2529" s="85"/>
      <c r="I2529" s="85"/>
      <c r="J2529" s="87"/>
      <c r="K2529" s="88">
        <f t="shared" si="120"/>
        <v>0</v>
      </c>
      <c r="L2529" s="85"/>
    </row>
    <row r="2530" spans="1:12" x14ac:dyDescent="0.25">
      <c r="A2530" s="84" t="str">
        <f t="shared" si="118"/>
        <v>SelecioneSelecioneSelecione</v>
      </c>
      <c r="B2530" s="85" t="s">
        <v>19</v>
      </c>
      <c r="C2530" s="85" t="s">
        <v>19</v>
      </c>
      <c r="D2530" s="86"/>
      <c r="E2530" s="116" t="str">
        <f t="shared" si="119"/>
        <v>-</v>
      </c>
      <c r="F2530" s="85"/>
      <c r="G2530" s="85" t="s">
        <v>19</v>
      </c>
      <c r="H2530" s="85"/>
      <c r="I2530" s="85"/>
      <c r="J2530" s="87"/>
      <c r="K2530" s="88">
        <f t="shared" si="120"/>
        <v>0</v>
      </c>
      <c r="L2530" s="85"/>
    </row>
    <row r="2531" spans="1:12" x14ac:dyDescent="0.25">
      <c r="A2531" s="84" t="str">
        <f t="shared" si="118"/>
        <v>SelecioneSelecioneSelecione</v>
      </c>
      <c r="B2531" s="85" t="s">
        <v>19</v>
      </c>
      <c r="C2531" s="85" t="s">
        <v>19</v>
      </c>
      <c r="D2531" s="86"/>
      <c r="E2531" s="116" t="str">
        <f t="shared" si="119"/>
        <v>-</v>
      </c>
      <c r="F2531" s="90"/>
      <c r="G2531" s="85" t="s">
        <v>19</v>
      </c>
      <c r="H2531" s="85"/>
      <c r="I2531" s="85"/>
      <c r="J2531" s="87"/>
      <c r="K2531" s="88">
        <f t="shared" si="120"/>
        <v>0</v>
      </c>
      <c r="L2531" s="85"/>
    </row>
    <row r="2532" spans="1:12" x14ac:dyDescent="0.25">
      <c r="A2532" s="84" t="str">
        <f t="shared" si="118"/>
        <v>SelecioneSelecioneSelecione</v>
      </c>
      <c r="B2532" s="85" t="s">
        <v>19</v>
      </c>
      <c r="C2532" s="85" t="s">
        <v>19</v>
      </c>
      <c r="D2532" s="86"/>
      <c r="E2532" s="116" t="str">
        <f t="shared" si="119"/>
        <v>-</v>
      </c>
      <c r="F2532" s="85"/>
      <c r="G2532" s="85" t="s">
        <v>19</v>
      </c>
      <c r="H2532" s="85"/>
      <c r="I2532" s="85"/>
      <c r="J2532" s="87"/>
      <c r="K2532" s="88">
        <f t="shared" si="120"/>
        <v>0</v>
      </c>
      <c r="L2532" s="85"/>
    </row>
    <row r="2533" spans="1:12" x14ac:dyDescent="0.25">
      <c r="A2533" s="84" t="str">
        <f t="shared" si="118"/>
        <v>SelecioneSelecioneSelecione</v>
      </c>
      <c r="B2533" s="85" t="s">
        <v>19</v>
      </c>
      <c r="C2533" s="85" t="s">
        <v>19</v>
      </c>
      <c r="D2533" s="86"/>
      <c r="E2533" s="116" t="str">
        <f t="shared" si="119"/>
        <v>-</v>
      </c>
      <c r="F2533" s="85"/>
      <c r="G2533" s="85" t="s">
        <v>19</v>
      </c>
      <c r="H2533" s="85"/>
      <c r="I2533" s="85"/>
      <c r="J2533" s="87"/>
      <c r="K2533" s="88">
        <f t="shared" si="120"/>
        <v>0</v>
      </c>
      <c r="L2533" s="85"/>
    </row>
    <row r="2534" spans="1:12" x14ac:dyDescent="0.25">
      <c r="A2534" s="84" t="str">
        <f t="shared" si="118"/>
        <v>SelecioneSelecioneSelecione</v>
      </c>
      <c r="B2534" s="85" t="s">
        <v>19</v>
      </c>
      <c r="C2534" s="85" t="s">
        <v>19</v>
      </c>
      <c r="D2534" s="86"/>
      <c r="E2534" s="116" t="str">
        <f t="shared" si="119"/>
        <v>-</v>
      </c>
      <c r="F2534" s="85"/>
      <c r="G2534" s="85" t="s">
        <v>19</v>
      </c>
      <c r="H2534" s="85"/>
      <c r="I2534" s="85"/>
      <c r="J2534" s="87"/>
      <c r="K2534" s="88">
        <f t="shared" si="120"/>
        <v>0</v>
      </c>
      <c r="L2534" s="85"/>
    </row>
    <row r="2535" spans="1:12" x14ac:dyDescent="0.25">
      <c r="A2535" s="84" t="str">
        <f t="shared" si="118"/>
        <v>SelecioneSelecioneSelecione</v>
      </c>
      <c r="B2535" s="85" t="s">
        <v>19</v>
      </c>
      <c r="C2535" s="85" t="s">
        <v>19</v>
      </c>
      <c r="D2535" s="86"/>
      <c r="E2535" s="116" t="str">
        <f t="shared" si="119"/>
        <v>-</v>
      </c>
      <c r="F2535" s="85"/>
      <c r="G2535" s="85" t="s">
        <v>19</v>
      </c>
      <c r="H2535" s="85"/>
      <c r="I2535" s="85"/>
      <c r="J2535" s="87"/>
      <c r="K2535" s="88">
        <f t="shared" si="120"/>
        <v>0</v>
      </c>
      <c r="L2535" s="85"/>
    </row>
    <row r="2536" spans="1:12" x14ac:dyDescent="0.25">
      <c r="A2536" s="84" t="str">
        <f t="shared" si="118"/>
        <v>SelecioneSelecioneSelecione</v>
      </c>
      <c r="B2536" s="85" t="s">
        <v>19</v>
      </c>
      <c r="C2536" s="85" t="s">
        <v>19</v>
      </c>
      <c r="D2536" s="93"/>
      <c r="E2536" s="116" t="str">
        <f t="shared" si="119"/>
        <v>-</v>
      </c>
      <c r="F2536" s="90"/>
      <c r="G2536" s="85" t="s">
        <v>19</v>
      </c>
      <c r="H2536" s="85"/>
      <c r="I2536" s="90"/>
      <c r="J2536" s="89"/>
      <c r="K2536" s="88">
        <f t="shared" si="120"/>
        <v>0</v>
      </c>
      <c r="L2536" s="90"/>
    </row>
    <row r="2537" spans="1:12" x14ac:dyDescent="0.25">
      <c r="A2537" s="84" t="str">
        <f t="shared" si="118"/>
        <v>SelecioneSelecioneSelecione</v>
      </c>
      <c r="B2537" s="85" t="s">
        <v>19</v>
      </c>
      <c r="C2537" s="85" t="s">
        <v>19</v>
      </c>
      <c r="D2537" s="86"/>
      <c r="E2537" s="116" t="str">
        <f t="shared" si="119"/>
        <v>-</v>
      </c>
      <c r="F2537" s="85"/>
      <c r="G2537" s="85" t="s">
        <v>19</v>
      </c>
      <c r="H2537" s="85"/>
      <c r="I2537" s="85"/>
      <c r="J2537" s="87"/>
      <c r="K2537" s="88">
        <f t="shared" si="120"/>
        <v>0</v>
      </c>
      <c r="L2537" s="85"/>
    </row>
    <row r="2538" spans="1:12" x14ac:dyDescent="0.25">
      <c r="A2538" s="84" t="str">
        <f t="shared" si="118"/>
        <v>SelecioneSelecioneSelecione</v>
      </c>
      <c r="B2538" s="85" t="s">
        <v>19</v>
      </c>
      <c r="C2538" s="85" t="s">
        <v>19</v>
      </c>
      <c r="D2538" s="93"/>
      <c r="E2538" s="116" t="str">
        <f t="shared" si="119"/>
        <v>-</v>
      </c>
      <c r="F2538" s="90"/>
      <c r="G2538" s="85" t="s">
        <v>19</v>
      </c>
      <c r="H2538" s="85"/>
      <c r="I2538" s="90"/>
      <c r="J2538" s="89"/>
      <c r="K2538" s="88">
        <f t="shared" si="120"/>
        <v>0</v>
      </c>
      <c r="L2538" s="90"/>
    </row>
    <row r="2539" spans="1:12" x14ac:dyDescent="0.25">
      <c r="A2539" s="84" t="str">
        <f t="shared" si="118"/>
        <v>SelecioneSelecioneSelecione</v>
      </c>
      <c r="B2539" s="85" t="s">
        <v>19</v>
      </c>
      <c r="C2539" s="85" t="s">
        <v>19</v>
      </c>
      <c r="D2539" s="93"/>
      <c r="E2539" s="116" t="str">
        <f t="shared" si="119"/>
        <v>-</v>
      </c>
      <c r="F2539" s="90"/>
      <c r="G2539" s="85" t="s">
        <v>19</v>
      </c>
      <c r="H2539" s="85"/>
      <c r="I2539" s="90"/>
      <c r="J2539" s="89"/>
      <c r="K2539" s="88">
        <f t="shared" si="120"/>
        <v>0</v>
      </c>
      <c r="L2539" s="90"/>
    </row>
    <row r="2540" spans="1:12" x14ac:dyDescent="0.25">
      <c r="A2540" s="84" t="str">
        <f t="shared" si="118"/>
        <v>SelecioneSelecioneSelecione</v>
      </c>
      <c r="B2540" s="85" t="s">
        <v>19</v>
      </c>
      <c r="C2540" s="85" t="s">
        <v>19</v>
      </c>
      <c r="D2540" s="86"/>
      <c r="E2540" s="116" t="str">
        <f t="shared" si="119"/>
        <v>-</v>
      </c>
      <c r="F2540" s="85"/>
      <c r="G2540" s="85" t="s">
        <v>19</v>
      </c>
      <c r="H2540" s="85"/>
      <c r="I2540" s="85"/>
      <c r="J2540" s="87"/>
      <c r="K2540" s="88">
        <f t="shared" si="120"/>
        <v>0</v>
      </c>
      <c r="L2540" s="85"/>
    </row>
    <row r="2541" spans="1:12" x14ac:dyDescent="0.25">
      <c r="A2541" s="84" t="str">
        <f t="shared" si="118"/>
        <v>SelecioneSelecioneSelecione</v>
      </c>
      <c r="B2541" s="85" t="s">
        <v>19</v>
      </c>
      <c r="C2541" s="85" t="s">
        <v>19</v>
      </c>
      <c r="D2541" s="86"/>
      <c r="E2541" s="116" t="str">
        <f t="shared" si="119"/>
        <v>-</v>
      </c>
      <c r="F2541" s="85"/>
      <c r="G2541" s="85" t="s">
        <v>19</v>
      </c>
      <c r="H2541" s="85"/>
      <c r="I2541" s="85"/>
      <c r="J2541" s="87"/>
      <c r="K2541" s="88">
        <f t="shared" si="120"/>
        <v>0</v>
      </c>
      <c r="L2541" s="85"/>
    </row>
    <row r="2542" spans="1:12" x14ac:dyDescent="0.25">
      <c r="A2542" s="84" t="str">
        <f t="shared" si="118"/>
        <v>SelecioneSelecioneSelecione</v>
      </c>
      <c r="B2542" s="85" t="s">
        <v>19</v>
      </c>
      <c r="C2542" s="85" t="s">
        <v>19</v>
      </c>
      <c r="D2542" s="86"/>
      <c r="E2542" s="116" t="str">
        <f t="shared" si="119"/>
        <v>-</v>
      </c>
      <c r="F2542" s="85"/>
      <c r="G2542" s="85" t="s">
        <v>19</v>
      </c>
      <c r="H2542" s="85"/>
      <c r="I2542" s="85"/>
      <c r="J2542" s="87"/>
      <c r="K2542" s="88">
        <f t="shared" si="120"/>
        <v>0</v>
      </c>
      <c r="L2542" s="85"/>
    </row>
    <row r="2543" spans="1:12" x14ac:dyDescent="0.25">
      <c r="A2543" s="84" t="str">
        <f t="shared" si="118"/>
        <v>SelecioneSelecioneSelecione</v>
      </c>
      <c r="B2543" s="85" t="s">
        <v>19</v>
      </c>
      <c r="C2543" s="85" t="s">
        <v>19</v>
      </c>
      <c r="D2543" s="86"/>
      <c r="E2543" s="116" t="str">
        <f t="shared" si="119"/>
        <v>-</v>
      </c>
      <c r="F2543" s="85"/>
      <c r="G2543" s="85" t="s">
        <v>19</v>
      </c>
      <c r="H2543" s="85"/>
      <c r="I2543" s="85"/>
      <c r="J2543" s="87"/>
      <c r="K2543" s="88">
        <f t="shared" si="120"/>
        <v>0</v>
      </c>
      <c r="L2543" s="85"/>
    </row>
    <row r="2544" spans="1:12" x14ac:dyDescent="0.25">
      <c r="A2544" s="84" t="str">
        <f t="shared" si="118"/>
        <v>SelecioneSelecioneSelecione</v>
      </c>
      <c r="B2544" s="85" t="s">
        <v>19</v>
      </c>
      <c r="C2544" s="85" t="s">
        <v>19</v>
      </c>
      <c r="D2544" s="86"/>
      <c r="E2544" s="116" t="str">
        <f t="shared" si="119"/>
        <v>-</v>
      </c>
      <c r="F2544" s="85"/>
      <c r="G2544" s="85" t="s">
        <v>19</v>
      </c>
      <c r="H2544" s="85"/>
      <c r="I2544" s="85"/>
      <c r="J2544" s="87"/>
      <c r="K2544" s="88">
        <f t="shared" si="120"/>
        <v>0</v>
      </c>
      <c r="L2544" s="85"/>
    </row>
    <row r="2545" spans="1:12" x14ac:dyDescent="0.25">
      <c r="A2545" s="84" t="str">
        <f t="shared" si="118"/>
        <v>SelecioneSelecioneSelecione</v>
      </c>
      <c r="B2545" s="85" t="s">
        <v>19</v>
      </c>
      <c r="C2545" s="85" t="s">
        <v>19</v>
      </c>
      <c r="D2545" s="86"/>
      <c r="E2545" s="116" t="str">
        <f t="shared" si="119"/>
        <v>-</v>
      </c>
      <c r="F2545" s="85"/>
      <c r="G2545" s="85" t="s">
        <v>19</v>
      </c>
      <c r="H2545" s="85"/>
      <c r="I2545" s="85"/>
      <c r="J2545" s="87"/>
      <c r="K2545" s="88">
        <f t="shared" si="120"/>
        <v>0</v>
      </c>
      <c r="L2545" s="85"/>
    </row>
    <row r="2546" spans="1:12" x14ac:dyDescent="0.25">
      <c r="A2546" s="84" t="str">
        <f t="shared" si="118"/>
        <v>SelecioneSelecioneSelecione</v>
      </c>
      <c r="B2546" s="85" t="s">
        <v>19</v>
      </c>
      <c r="C2546" s="85" t="s">
        <v>19</v>
      </c>
      <c r="D2546" s="86"/>
      <c r="E2546" s="116" t="str">
        <f t="shared" si="119"/>
        <v>-</v>
      </c>
      <c r="F2546" s="85"/>
      <c r="G2546" s="85" t="s">
        <v>19</v>
      </c>
      <c r="H2546" s="85"/>
      <c r="I2546" s="85"/>
      <c r="J2546" s="87"/>
      <c r="K2546" s="88">
        <f t="shared" si="120"/>
        <v>0</v>
      </c>
      <c r="L2546" s="85"/>
    </row>
    <row r="2547" spans="1:12" x14ac:dyDescent="0.25">
      <c r="A2547" s="84" t="str">
        <f t="shared" si="118"/>
        <v>SelecioneSelecioneSelecione</v>
      </c>
      <c r="B2547" s="85" t="s">
        <v>19</v>
      </c>
      <c r="C2547" s="85" t="s">
        <v>19</v>
      </c>
      <c r="D2547" s="86"/>
      <c r="E2547" s="116" t="str">
        <f t="shared" si="119"/>
        <v>-</v>
      </c>
      <c r="F2547" s="85"/>
      <c r="G2547" s="85" t="s">
        <v>19</v>
      </c>
      <c r="H2547" s="85"/>
      <c r="I2547" s="85"/>
      <c r="J2547" s="87"/>
      <c r="K2547" s="88">
        <f t="shared" si="120"/>
        <v>0</v>
      </c>
      <c r="L2547" s="85"/>
    </row>
    <row r="2548" spans="1:12" x14ac:dyDescent="0.25">
      <c r="A2548" s="84" t="str">
        <f t="shared" si="118"/>
        <v>SelecioneSelecioneSelecione</v>
      </c>
      <c r="B2548" s="85" t="s">
        <v>19</v>
      </c>
      <c r="C2548" s="85" t="s">
        <v>19</v>
      </c>
      <c r="D2548" s="86"/>
      <c r="E2548" s="116" t="str">
        <f t="shared" si="119"/>
        <v>-</v>
      </c>
      <c r="F2548" s="85"/>
      <c r="G2548" s="85" t="s">
        <v>19</v>
      </c>
      <c r="H2548" s="85"/>
      <c r="I2548" s="85"/>
      <c r="J2548" s="87"/>
      <c r="K2548" s="88">
        <f t="shared" si="120"/>
        <v>0</v>
      </c>
      <c r="L2548" s="85"/>
    </row>
    <row r="2549" spans="1:12" x14ac:dyDescent="0.25">
      <c r="A2549" s="84" t="str">
        <f t="shared" si="118"/>
        <v>SelecioneSelecioneSelecione</v>
      </c>
      <c r="B2549" s="85" t="s">
        <v>19</v>
      </c>
      <c r="C2549" s="85" t="s">
        <v>19</v>
      </c>
      <c r="D2549" s="86"/>
      <c r="E2549" s="116" t="str">
        <f t="shared" si="119"/>
        <v>-</v>
      </c>
      <c r="F2549" s="85"/>
      <c r="G2549" s="85" t="s">
        <v>19</v>
      </c>
      <c r="H2549" s="85"/>
      <c r="I2549" s="85"/>
      <c r="J2549" s="87"/>
      <c r="K2549" s="88">
        <f t="shared" si="120"/>
        <v>0</v>
      </c>
      <c r="L2549" s="85"/>
    </row>
    <row r="2550" spans="1:12" x14ac:dyDescent="0.25">
      <c r="A2550" s="84" t="str">
        <f t="shared" si="118"/>
        <v>SelecioneSelecioneSelecione</v>
      </c>
      <c r="B2550" s="85" t="s">
        <v>19</v>
      </c>
      <c r="C2550" s="85" t="s">
        <v>19</v>
      </c>
      <c r="D2550" s="86"/>
      <c r="E2550" s="116" t="str">
        <f t="shared" si="119"/>
        <v>-</v>
      </c>
      <c r="F2550" s="85"/>
      <c r="G2550" s="85" t="s">
        <v>19</v>
      </c>
      <c r="H2550" s="85"/>
      <c r="I2550" s="85"/>
      <c r="J2550" s="87"/>
      <c r="K2550" s="88">
        <f t="shared" si="120"/>
        <v>0</v>
      </c>
      <c r="L2550" s="85"/>
    </row>
    <row r="2551" spans="1:12" x14ac:dyDescent="0.25">
      <c r="A2551" s="84" t="str">
        <f t="shared" si="118"/>
        <v>SelecioneSelecioneSelecione</v>
      </c>
      <c r="B2551" s="85" t="s">
        <v>19</v>
      </c>
      <c r="C2551" s="85" t="s">
        <v>19</v>
      </c>
      <c r="D2551" s="86"/>
      <c r="E2551" s="116" t="str">
        <f t="shared" si="119"/>
        <v>-</v>
      </c>
      <c r="F2551" s="85"/>
      <c r="G2551" s="85" t="s">
        <v>19</v>
      </c>
      <c r="H2551" s="85"/>
      <c r="I2551" s="85"/>
      <c r="J2551" s="87"/>
      <c r="K2551" s="88">
        <f t="shared" si="120"/>
        <v>0</v>
      </c>
      <c r="L2551" s="85"/>
    </row>
    <row r="2552" spans="1:12" x14ac:dyDescent="0.25">
      <c r="A2552" s="84" t="str">
        <f t="shared" si="118"/>
        <v>SelecioneSelecioneSelecione</v>
      </c>
      <c r="B2552" s="85" t="s">
        <v>19</v>
      </c>
      <c r="C2552" s="85" t="s">
        <v>19</v>
      </c>
      <c r="D2552" s="86"/>
      <c r="E2552" s="116" t="str">
        <f t="shared" si="119"/>
        <v>-</v>
      </c>
      <c r="F2552" s="85"/>
      <c r="G2552" s="85" t="s">
        <v>19</v>
      </c>
      <c r="H2552" s="85"/>
      <c r="I2552" s="85"/>
      <c r="J2552" s="87"/>
      <c r="K2552" s="88">
        <f t="shared" si="120"/>
        <v>0</v>
      </c>
      <c r="L2552" s="85"/>
    </row>
    <row r="2553" spans="1:12" x14ac:dyDescent="0.25">
      <c r="A2553" s="84" t="str">
        <f t="shared" si="118"/>
        <v>SelecioneSelecioneSelecione</v>
      </c>
      <c r="B2553" s="85" t="s">
        <v>19</v>
      </c>
      <c r="C2553" s="85" t="s">
        <v>19</v>
      </c>
      <c r="D2553" s="86"/>
      <c r="E2553" s="116" t="str">
        <f t="shared" si="119"/>
        <v>-</v>
      </c>
      <c r="F2553" s="85"/>
      <c r="G2553" s="85" t="s">
        <v>19</v>
      </c>
      <c r="H2553" s="85"/>
      <c r="I2553" s="85"/>
      <c r="J2553" s="87"/>
      <c r="K2553" s="88">
        <f t="shared" si="120"/>
        <v>0</v>
      </c>
      <c r="L2553" s="85"/>
    </row>
    <row r="2554" spans="1:12" x14ac:dyDescent="0.25">
      <c r="A2554" s="84" t="str">
        <f t="shared" si="118"/>
        <v>SelecioneSelecioneSelecione</v>
      </c>
      <c r="B2554" s="85" t="s">
        <v>19</v>
      </c>
      <c r="C2554" s="85" t="s">
        <v>19</v>
      </c>
      <c r="D2554" s="86"/>
      <c r="E2554" s="116" t="str">
        <f t="shared" si="119"/>
        <v>-</v>
      </c>
      <c r="F2554" s="85"/>
      <c r="G2554" s="85" t="s">
        <v>19</v>
      </c>
      <c r="H2554" s="85"/>
      <c r="I2554" s="85"/>
      <c r="J2554" s="87"/>
      <c r="K2554" s="88">
        <f t="shared" si="120"/>
        <v>0</v>
      </c>
      <c r="L2554" s="85"/>
    </row>
    <row r="2555" spans="1:12" x14ac:dyDescent="0.25">
      <c r="A2555" s="84" t="str">
        <f t="shared" si="118"/>
        <v>SelecioneSelecioneSelecione</v>
      </c>
      <c r="B2555" s="85" t="s">
        <v>19</v>
      </c>
      <c r="C2555" s="85" t="s">
        <v>19</v>
      </c>
      <c r="D2555" s="86"/>
      <c r="E2555" s="116" t="str">
        <f t="shared" si="119"/>
        <v>-</v>
      </c>
      <c r="F2555" s="85"/>
      <c r="G2555" s="85" t="s">
        <v>19</v>
      </c>
      <c r="H2555" s="85"/>
      <c r="I2555" s="85"/>
      <c r="J2555" s="87"/>
      <c r="K2555" s="88">
        <f t="shared" si="120"/>
        <v>0</v>
      </c>
      <c r="L2555" s="85"/>
    </row>
    <row r="2556" spans="1:12" x14ac:dyDescent="0.25">
      <c r="A2556" s="84" t="str">
        <f t="shared" si="118"/>
        <v>SelecioneSelecioneSelecione</v>
      </c>
      <c r="B2556" s="85" t="s">
        <v>19</v>
      </c>
      <c r="C2556" s="85" t="s">
        <v>19</v>
      </c>
      <c r="D2556" s="86"/>
      <c r="E2556" s="116" t="str">
        <f t="shared" si="119"/>
        <v>-</v>
      </c>
      <c r="F2556" s="85"/>
      <c r="G2556" s="85" t="s">
        <v>19</v>
      </c>
      <c r="H2556" s="85"/>
      <c r="I2556" s="85"/>
      <c r="J2556" s="87"/>
      <c r="K2556" s="88">
        <f t="shared" si="120"/>
        <v>0</v>
      </c>
      <c r="L2556" s="85"/>
    </row>
    <row r="2557" spans="1:12" x14ac:dyDescent="0.25">
      <c r="A2557" s="84" t="str">
        <f t="shared" si="118"/>
        <v>SelecioneSelecioneSelecione</v>
      </c>
      <c r="B2557" s="85" t="s">
        <v>19</v>
      </c>
      <c r="C2557" s="85" t="s">
        <v>19</v>
      </c>
      <c r="D2557" s="86"/>
      <c r="E2557" s="116" t="str">
        <f t="shared" si="119"/>
        <v>-</v>
      </c>
      <c r="F2557" s="85"/>
      <c r="G2557" s="85" t="s">
        <v>19</v>
      </c>
      <c r="H2557" s="85"/>
      <c r="I2557" s="85"/>
      <c r="J2557" s="87"/>
      <c r="K2557" s="88">
        <f t="shared" si="120"/>
        <v>0</v>
      </c>
      <c r="L2557" s="85"/>
    </row>
    <row r="2558" spans="1:12" x14ac:dyDescent="0.25">
      <c r="A2558" s="84" t="str">
        <f t="shared" si="118"/>
        <v>SelecioneSelecioneSelecione</v>
      </c>
      <c r="B2558" s="85" t="s">
        <v>19</v>
      </c>
      <c r="C2558" s="85" t="s">
        <v>19</v>
      </c>
      <c r="D2558" s="86"/>
      <c r="E2558" s="116" t="str">
        <f t="shared" si="119"/>
        <v>-</v>
      </c>
      <c r="F2558" s="85"/>
      <c r="G2558" s="85" t="s">
        <v>19</v>
      </c>
      <c r="H2558" s="85"/>
      <c r="I2558" s="85"/>
      <c r="J2558" s="87"/>
      <c r="K2558" s="88">
        <f t="shared" si="120"/>
        <v>0</v>
      </c>
      <c r="L2558" s="85"/>
    </row>
    <row r="2559" spans="1:12" x14ac:dyDescent="0.25">
      <c r="A2559" s="84" t="str">
        <f t="shared" si="118"/>
        <v>SelecioneSelecioneSelecione</v>
      </c>
      <c r="B2559" s="85" t="s">
        <v>19</v>
      </c>
      <c r="C2559" s="85" t="s">
        <v>19</v>
      </c>
      <c r="D2559" s="86"/>
      <c r="E2559" s="116" t="str">
        <f t="shared" si="119"/>
        <v>-</v>
      </c>
      <c r="F2559" s="85"/>
      <c r="G2559" s="85" t="s">
        <v>19</v>
      </c>
      <c r="H2559" s="85"/>
      <c r="I2559" s="85"/>
      <c r="J2559" s="87"/>
      <c r="K2559" s="88">
        <f t="shared" si="120"/>
        <v>0</v>
      </c>
      <c r="L2559" s="85"/>
    </row>
    <row r="2560" spans="1:12" x14ac:dyDescent="0.25">
      <c r="A2560" s="84" t="str">
        <f t="shared" si="118"/>
        <v>SelecioneSelecioneSelecione</v>
      </c>
      <c r="B2560" s="85" t="s">
        <v>19</v>
      </c>
      <c r="C2560" s="85" t="s">
        <v>19</v>
      </c>
      <c r="D2560" s="86"/>
      <c r="E2560" s="116" t="str">
        <f t="shared" si="119"/>
        <v>-</v>
      </c>
      <c r="F2560" s="85"/>
      <c r="G2560" s="85" t="s">
        <v>19</v>
      </c>
      <c r="H2560" s="85"/>
      <c r="I2560" s="85"/>
      <c r="J2560" s="87"/>
      <c r="K2560" s="88">
        <f t="shared" si="120"/>
        <v>0</v>
      </c>
      <c r="L2560" s="85"/>
    </row>
    <row r="2561" spans="1:12" x14ac:dyDescent="0.25">
      <c r="A2561" s="84" t="str">
        <f t="shared" si="118"/>
        <v>SelecioneSelecioneSelecione</v>
      </c>
      <c r="B2561" s="85" t="s">
        <v>19</v>
      </c>
      <c r="C2561" s="85" t="s">
        <v>19</v>
      </c>
      <c r="D2561" s="86"/>
      <c r="E2561" s="116" t="str">
        <f t="shared" si="119"/>
        <v>-</v>
      </c>
      <c r="F2561" s="85"/>
      <c r="G2561" s="85" t="s">
        <v>19</v>
      </c>
      <c r="H2561" s="85"/>
      <c r="I2561" s="85"/>
      <c r="J2561" s="87"/>
      <c r="K2561" s="88">
        <f t="shared" si="120"/>
        <v>0</v>
      </c>
      <c r="L2561" s="85"/>
    </row>
    <row r="2562" spans="1:12" x14ac:dyDescent="0.25">
      <c r="A2562" s="84" t="str">
        <f t="shared" ref="A2562:A2625" si="121">CONCATENATE(B2562,C2562,G2562)</f>
        <v>SelecioneSelecioneSelecione</v>
      </c>
      <c r="B2562" s="85" t="s">
        <v>19</v>
      </c>
      <c r="C2562" s="85" t="s">
        <v>19</v>
      </c>
      <c r="D2562" s="86"/>
      <c r="E2562" s="116" t="str">
        <f t="shared" ref="E2562:E2625" si="122">VLOOKUP(G2562,$M$1:$O$968,3,0)</f>
        <v>-</v>
      </c>
      <c r="F2562" s="85"/>
      <c r="G2562" s="85" t="s">
        <v>19</v>
      </c>
      <c r="H2562" s="85"/>
      <c r="I2562" s="85"/>
      <c r="J2562" s="87"/>
      <c r="K2562" s="88">
        <f t="shared" ref="K2562:K2625" si="123">I2562*J2562</f>
        <v>0</v>
      </c>
      <c r="L2562" s="85"/>
    </row>
    <row r="2563" spans="1:12" x14ac:dyDescent="0.25">
      <c r="A2563" s="84" t="str">
        <f t="shared" si="121"/>
        <v>SelecioneSelecioneSelecione</v>
      </c>
      <c r="B2563" s="85" t="s">
        <v>19</v>
      </c>
      <c r="C2563" s="85" t="s">
        <v>19</v>
      </c>
      <c r="D2563" s="86"/>
      <c r="E2563" s="116" t="str">
        <f t="shared" si="122"/>
        <v>-</v>
      </c>
      <c r="F2563" s="85"/>
      <c r="G2563" s="85" t="s">
        <v>19</v>
      </c>
      <c r="H2563" s="85"/>
      <c r="I2563" s="85"/>
      <c r="J2563" s="87"/>
      <c r="K2563" s="88">
        <f t="shared" si="123"/>
        <v>0</v>
      </c>
      <c r="L2563" s="85"/>
    </row>
    <row r="2564" spans="1:12" x14ac:dyDescent="0.25">
      <c r="A2564" s="84" t="str">
        <f t="shared" si="121"/>
        <v>SelecioneSelecioneSelecione</v>
      </c>
      <c r="B2564" s="85" t="s">
        <v>19</v>
      </c>
      <c r="C2564" s="85" t="s">
        <v>19</v>
      </c>
      <c r="D2564" s="86"/>
      <c r="E2564" s="116" t="str">
        <f t="shared" si="122"/>
        <v>-</v>
      </c>
      <c r="F2564" s="85"/>
      <c r="G2564" s="85" t="s">
        <v>19</v>
      </c>
      <c r="H2564" s="85"/>
      <c r="I2564" s="85"/>
      <c r="J2564" s="87"/>
      <c r="K2564" s="88">
        <f t="shared" si="123"/>
        <v>0</v>
      </c>
      <c r="L2564" s="85"/>
    </row>
    <row r="2565" spans="1:12" x14ac:dyDescent="0.25">
      <c r="A2565" s="84" t="str">
        <f t="shared" si="121"/>
        <v>SelecioneSelecioneSelecione</v>
      </c>
      <c r="B2565" s="85" t="s">
        <v>19</v>
      </c>
      <c r="C2565" s="85" t="s">
        <v>19</v>
      </c>
      <c r="D2565" s="86"/>
      <c r="E2565" s="116" t="str">
        <f t="shared" si="122"/>
        <v>-</v>
      </c>
      <c r="F2565" s="85"/>
      <c r="G2565" s="85" t="s">
        <v>19</v>
      </c>
      <c r="H2565" s="85"/>
      <c r="I2565" s="85"/>
      <c r="J2565" s="87"/>
      <c r="K2565" s="88">
        <f t="shared" si="123"/>
        <v>0</v>
      </c>
      <c r="L2565" s="85"/>
    </row>
    <row r="2566" spans="1:12" x14ac:dyDescent="0.25">
      <c r="A2566" s="84" t="str">
        <f t="shared" si="121"/>
        <v>SelecioneSelecioneSelecione</v>
      </c>
      <c r="B2566" s="85" t="s">
        <v>19</v>
      </c>
      <c r="C2566" s="85" t="s">
        <v>19</v>
      </c>
      <c r="D2566" s="86"/>
      <c r="E2566" s="116" t="str">
        <f t="shared" si="122"/>
        <v>-</v>
      </c>
      <c r="F2566" s="85"/>
      <c r="G2566" s="85" t="s">
        <v>19</v>
      </c>
      <c r="H2566" s="85"/>
      <c r="I2566" s="85"/>
      <c r="J2566" s="87"/>
      <c r="K2566" s="88">
        <f t="shared" si="123"/>
        <v>0</v>
      </c>
      <c r="L2566" s="85"/>
    </row>
    <row r="2567" spans="1:12" x14ac:dyDescent="0.25">
      <c r="A2567" s="84" t="str">
        <f t="shared" si="121"/>
        <v>SelecioneSelecioneSelecione</v>
      </c>
      <c r="B2567" s="85" t="s">
        <v>19</v>
      </c>
      <c r="C2567" s="85" t="s">
        <v>19</v>
      </c>
      <c r="D2567" s="86"/>
      <c r="E2567" s="116" t="str">
        <f t="shared" si="122"/>
        <v>-</v>
      </c>
      <c r="F2567" s="85"/>
      <c r="G2567" s="85" t="s">
        <v>19</v>
      </c>
      <c r="H2567" s="85"/>
      <c r="I2567" s="85"/>
      <c r="J2567" s="87"/>
      <c r="K2567" s="88">
        <f t="shared" si="123"/>
        <v>0</v>
      </c>
      <c r="L2567" s="85"/>
    </row>
    <row r="2568" spans="1:12" x14ac:dyDescent="0.25">
      <c r="A2568" s="84" t="str">
        <f t="shared" si="121"/>
        <v>SelecioneSelecioneSelecione</v>
      </c>
      <c r="B2568" s="85" t="s">
        <v>19</v>
      </c>
      <c r="C2568" s="85" t="s">
        <v>19</v>
      </c>
      <c r="D2568" s="86"/>
      <c r="E2568" s="116" t="str">
        <f t="shared" si="122"/>
        <v>-</v>
      </c>
      <c r="F2568" s="85"/>
      <c r="G2568" s="85" t="s">
        <v>19</v>
      </c>
      <c r="H2568" s="85"/>
      <c r="I2568" s="85"/>
      <c r="J2568" s="87"/>
      <c r="K2568" s="88">
        <f t="shared" si="123"/>
        <v>0</v>
      </c>
      <c r="L2568" s="85"/>
    </row>
    <row r="2569" spans="1:12" x14ac:dyDescent="0.25">
      <c r="A2569" s="84" t="str">
        <f t="shared" si="121"/>
        <v>SelecioneSelecioneSelecione</v>
      </c>
      <c r="B2569" s="85" t="s">
        <v>19</v>
      </c>
      <c r="C2569" s="85" t="s">
        <v>19</v>
      </c>
      <c r="D2569" s="86"/>
      <c r="E2569" s="116" t="str">
        <f t="shared" si="122"/>
        <v>-</v>
      </c>
      <c r="F2569" s="85"/>
      <c r="G2569" s="85" t="s">
        <v>19</v>
      </c>
      <c r="H2569" s="85"/>
      <c r="I2569" s="85"/>
      <c r="J2569" s="87"/>
      <c r="K2569" s="88">
        <f t="shared" si="123"/>
        <v>0</v>
      </c>
      <c r="L2569" s="85"/>
    </row>
    <row r="2570" spans="1:12" x14ac:dyDescent="0.25">
      <c r="A2570" s="84" t="str">
        <f t="shared" si="121"/>
        <v>SelecioneSelecioneSelecione</v>
      </c>
      <c r="B2570" s="85" t="s">
        <v>19</v>
      </c>
      <c r="C2570" s="85" t="s">
        <v>19</v>
      </c>
      <c r="D2570" s="86"/>
      <c r="E2570" s="116" t="str">
        <f t="shared" si="122"/>
        <v>-</v>
      </c>
      <c r="F2570" s="85"/>
      <c r="G2570" s="85" t="s">
        <v>19</v>
      </c>
      <c r="H2570" s="85"/>
      <c r="I2570" s="85"/>
      <c r="J2570" s="87"/>
      <c r="K2570" s="88">
        <f t="shared" si="123"/>
        <v>0</v>
      </c>
      <c r="L2570" s="85"/>
    </row>
    <row r="2571" spans="1:12" x14ac:dyDescent="0.25">
      <c r="A2571" s="84" t="str">
        <f t="shared" si="121"/>
        <v>SelecioneSelecioneSelecione</v>
      </c>
      <c r="B2571" s="85" t="s">
        <v>19</v>
      </c>
      <c r="C2571" s="85" t="s">
        <v>19</v>
      </c>
      <c r="D2571" s="86"/>
      <c r="E2571" s="116" t="str">
        <f t="shared" si="122"/>
        <v>-</v>
      </c>
      <c r="F2571" s="85"/>
      <c r="G2571" s="85" t="s">
        <v>19</v>
      </c>
      <c r="H2571" s="85"/>
      <c r="I2571" s="85"/>
      <c r="J2571" s="87"/>
      <c r="K2571" s="88">
        <f t="shared" si="123"/>
        <v>0</v>
      </c>
      <c r="L2571" s="85"/>
    </row>
    <row r="2572" spans="1:12" x14ac:dyDescent="0.25">
      <c r="A2572" s="84" t="str">
        <f t="shared" si="121"/>
        <v>SelecioneSelecioneSelecione</v>
      </c>
      <c r="B2572" s="85" t="s">
        <v>19</v>
      </c>
      <c r="C2572" s="85" t="s">
        <v>19</v>
      </c>
      <c r="D2572" s="93"/>
      <c r="E2572" s="116" t="str">
        <f t="shared" si="122"/>
        <v>-</v>
      </c>
      <c r="F2572" s="90"/>
      <c r="G2572" s="85" t="s">
        <v>19</v>
      </c>
      <c r="H2572" s="85"/>
      <c r="I2572" s="90"/>
      <c r="J2572" s="89"/>
      <c r="K2572" s="88">
        <f t="shared" si="123"/>
        <v>0</v>
      </c>
      <c r="L2572" s="90"/>
    </row>
    <row r="2573" spans="1:12" x14ac:dyDescent="0.25">
      <c r="A2573" s="84" t="str">
        <f t="shared" si="121"/>
        <v>SelecioneSelecioneSelecione</v>
      </c>
      <c r="B2573" s="85" t="s">
        <v>19</v>
      </c>
      <c r="C2573" s="85" t="s">
        <v>19</v>
      </c>
      <c r="D2573" s="86"/>
      <c r="E2573" s="116" t="str">
        <f t="shared" si="122"/>
        <v>-</v>
      </c>
      <c r="F2573" s="85"/>
      <c r="G2573" s="85" t="s">
        <v>19</v>
      </c>
      <c r="H2573" s="85"/>
      <c r="I2573" s="85"/>
      <c r="J2573" s="87"/>
      <c r="K2573" s="88">
        <f t="shared" si="123"/>
        <v>0</v>
      </c>
      <c r="L2573" s="85"/>
    </row>
    <row r="2574" spans="1:12" x14ac:dyDescent="0.25">
      <c r="A2574" s="84" t="str">
        <f t="shared" si="121"/>
        <v>SelecioneSelecioneSelecione</v>
      </c>
      <c r="B2574" s="85" t="s">
        <v>19</v>
      </c>
      <c r="C2574" s="85" t="s">
        <v>19</v>
      </c>
      <c r="D2574" s="86"/>
      <c r="E2574" s="116" t="str">
        <f t="shared" si="122"/>
        <v>-</v>
      </c>
      <c r="F2574" s="85"/>
      <c r="G2574" s="85" t="s">
        <v>19</v>
      </c>
      <c r="H2574" s="85"/>
      <c r="I2574" s="85"/>
      <c r="J2574" s="87"/>
      <c r="K2574" s="88">
        <f t="shared" si="123"/>
        <v>0</v>
      </c>
      <c r="L2574" s="85"/>
    </row>
    <row r="2575" spans="1:12" x14ac:dyDescent="0.25">
      <c r="A2575" s="84" t="str">
        <f t="shared" si="121"/>
        <v>SelecioneSelecioneSelecione</v>
      </c>
      <c r="B2575" s="85" t="s">
        <v>19</v>
      </c>
      <c r="C2575" s="85" t="s">
        <v>19</v>
      </c>
      <c r="D2575" s="86"/>
      <c r="E2575" s="116" t="str">
        <f t="shared" si="122"/>
        <v>-</v>
      </c>
      <c r="F2575" s="85"/>
      <c r="G2575" s="85" t="s">
        <v>19</v>
      </c>
      <c r="H2575" s="85"/>
      <c r="I2575" s="85"/>
      <c r="J2575" s="87"/>
      <c r="K2575" s="88">
        <f t="shared" si="123"/>
        <v>0</v>
      </c>
      <c r="L2575" s="85"/>
    </row>
    <row r="2576" spans="1:12" x14ac:dyDescent="0.25">
      <c r="A2576" s="84" t="str">
        <f t="shared" si="121"/>
        <v>SelecioneSelecioneSelecione</v>
      </c>
      <c r="B2576" s="85" t="s">
        <v>19</v>
      </c>
      <c r="C2576" s="85" t="s">
        <v>19</v>
      </c>
      <c r="D2576" s="93"/>
      <c r="E2576" s="116" t="str">
        <f t="shared" si="122"/>
        <v>-</v>
      </c>
      <c r="F2576" s="90"/>
      <c r="G2576" s="85" t="s">
        <v>19</v>
      </c>
      <c r="H2576" s="85"/>
      <c r="I2576" s="90"/>
      <c r="J2576" s="89"/>
      <c r="K2576" s="88">
        <f t="shared" si="123"/>
        <v>0</v>
      </c>
      <c r="L2576" s="90"/>
    </row>
    <row r="2577" spans="1:12" x14ac:dyDescent="0.25">
      <c r="A2577" s="84" t="str">
        <f t="shared" si="121"/>
        <v>SelecioneSelecioneSelecione</v>
      </c>
      <c r="B2577" s="85" t="s">
        <v>19</v>
      </c>
      <c r="C2577" s="85" t="s">
        <v>19</v>
      </c>
      <c r="D2577" s="86"/>
      <c r="E2577" s="116" t="str">
        <f t="shared" si="122"/>
        <v>-</v>
      </c>
      <c r="F2577" s="85"/>
      <c r="G2577" s="85" t="s">
        <v>19</v>
      </c>
      <c r="H2577" s="85"/>
      <c r="I2577" s="85"/>
      <c r="J2577" s="87"/>
      <c r="K2577" s="88">
        <f t="shared" si="123"/>
        <v>0</v>
      </c>
      <c r="L2577" s="85"/>
    </row>
    <row r="2578" spans="1:12" x14ac:dyDescent="0.25">
      <c r="A2578" s="84" t="str">
        <f t="shared" si="121"/>
        <v>SelecioneSelecioneSelecione</v>
      </c>
      <c r="B2578" s="85" t="s">
        <v>19</v>
      </c>
      <c r="C2578" s="85" t="s">
        <v>19</v>
      </c>
      <c r="D2578" s="86"/>
      <c r="E2578" s="116" t="str">
        <f t="shared" si="122"/>
        <v>-</v>
      </c>
      <c r="F2578" s="85"/>
      <c r="G2578" s="85" t="s">
        <v>19</v>
      </c>
      <c r="H2578" s="85"/>
      <c r="I2578" s="85"/>
      <c r="J2578" s="87"/>
      <c r="K2578" s="88">
        <f t="shared" si="123"/>
        <v>0</v>
      </c>
      <c r="L2578" s="85"/>
    </row>
    <row r="2579" spans="1:12" x14ac:dyDescent="0.25">
      <c r="A2579" s="84" t="str">
        <f t="shared" si="121"/>
        <v>SelecioneSelecioneSelecione</v>
      </c>
      <c r="B2579" s="85" t="s">
        <v>19</v>
      </c>
      <c r="C2579" s="85" t="s">
        <v>19</v>
      </c>
      <c r="D2579" s="86"/>
      <c r="E2579" s="116" t="str">
        <f t="shared" si="122"/>
        <v>-</v>
      </c>
      <c r="F2579" s="85"/>
      <c r="G2579" s="85" t="s">
        <v>19</v>
      </c>
      <c r="H2579" s="85"/>
      <c r="I2579" s="85"/>
      <c r="J2579" s="87"/>
      <c r="K2579" s="88">
        <f t="shared" si="123"/>
        <v>0</v>
      </c>
      <c r="L2579" s="85"/>
    </row>
    <row r="2580" spans="1:12" x14ac:dyDescent="0.25">
      <c r="A2580" s="84" t="str">
        <f t="shared" si="121"/>
        <v>SelecioneSelecioneSelecione</v>
      </c>
      <c r="B2580" s="85" t="s">
        <v>19</v>
      </c>
      <c r="C2580" s="85" t="s">
        <v>19</v>
      </c>
      <c r="D2580" s="86"/>
      <c r="E2580" s="116" t="str">
        <f t="shared" si="122"/>
        <v>-</v>
      </c>
      <c r="F2580" s="85"/>
      <c r="G2580" s="85" t="s">
        <v>19</v>
      </c>
      <c r="H2580" s="85"/>
      <c r="I2580" s="85"/>
      <c r="J2580" s="87"/>
      <c r="K2580" s="88">
        <f t="shared" si="123"/>
        <v>0</v>
      </c>
      <c r="L2580" s="85"/>
    </row>
    <row r="2581" spans="1:12" x14ac:dyDescent="0.25">
      <c r="A2581" s="84" t="str">
        <f t="shared" si="121"/>
        <v>SelecioneSelecioneSelecione</v>
      </c>
      <c r="B2581" s="85" t="s">
        <v>19</v>
      </c>
      <c r="C2581" s="85" t="s">
        <v>19</v>
      </c>
      <c r="D2581" s="86"/>
      <c r="E2581" s="116" t="str">
        <f t="shared" si="122"/>
        <v>-</v>
      </c>
      <c r="F2581" s="85"/>
      <c r="G2581" s="85" t="s">
        <v>19</v>
      </c>
      <c r="H2581" s="85"/>
      <c r="I2581" s="85"/>
      <c r="J2581" s="87"/>
      <c r="K2581" s="88">
        <f t="shared" si="123"/>
        <v>0</v>
      </c>
      <c r="L2581" s="85"/>
    </row>
    <row r="2582" spans="1:12" x14ac:dyDescent="0.25">
      <c r="A2582" s="84" t="str">
        <f t="shared" si="121"/>
        <v>SelecioneSelecioneSelecione</v>
      </c>
      <c r="B2582" s="85" t="s">
        <v>19</v>
      </c>
      <c r="C2582" s="85" t="s">
        <v>19</v>
      </c>
      <c r="D2582" s="93"/>
      <c r="E2582" s="116" t="str">
        <f t="shared" si="122"/>
        <v>-</v>
      </c>
      <c r="F2582" s="90"/>
      <c r="G2582" s="85" t="s">
        <v>19</v>
      </c>
      <c r="H2582" s="85"/>
      <c r="I2582" s="90"/>
      <c r="J2582" s="89"/>
      <c r="K2582" s="88">
        <f t="shared" si="123"/>
        <v>0</v>
      </c>
      <c r="L2582" s="90"/>
    </row>
    <row r="2583" spans="1:12" x14ac:dyDescent="0.25">
      <c r="A2583" s="84" t="str">
        <f t="shared" si="121"/>
        <v>SelecioneSelecioneSelecione</v>
      </c>
      <c r="B2583" s="85" t="s">
        <v>19</v>
      </c>
      <c r="C2583" s="85" t="s">
        <v>19</v>
      </c>
      <c r="D2583" s="86"/>
      <c r="E2583" s="116" t="str">
        <f t="shared" si="122"/>
        <v>-</v>
      </c>
      <c r="F2583" s="85"/>
      <c r="G2583" s="85" t="s">
        <v>19</v>
      </c>
      <c r="H2583" s="85"/>
      <c r="I2583" s="85"/>
      <c r="J2583" s="87"/>
      <c r="K2583" s="88">
        <f t="shared" si="123"/>
        <v>0</v>
      </c>
      <c r="L2583" s="85"/>
    </row>
    <row r="2584" spans="1:12" x14ac:dyDescent="0.25">
      <c r="A2584" s="84" t="str">
        <f t="shared" si="121"/>
        <v>SelecioneSelecioneSelecione</v>
      </c>
      <c r="B2584" s="85" t="s">
        <v>19</v>
      </c>
      <c r="C2584" s="85" t="s">
        <v>19</v>
      </c>
      <c r="D2584" s="86"/>
      <c r="E2584" s="116" t="str">
        <f t="shared" si="122"/>
        <v>-</v>
      </c>
      <c r="F2584" s="85"/>
      <c r="G2584" s="85" t="s">
        <v>19</v>
      </c>
      <c r="H2584" s="85"/>
      <c r="I2584" s="85"/>
      <c r="J2584" s="87"/>
      <c r="K2584" s="88">
        <f t="shared" si="123"/>
        <v>0</v>
      </c>
      <c r="L2584" s="85"/>
    </row>
    <row r="2585" spans="1:12" x14ac:dyDescent="0.25">
      <c r="A2585" s="84" t="str">
        <f t="shared" si="121"/>
        <v>SelecioneSelecioneSelecione</v>
      </c>
      <c r="B2585" s="85" t="s">
        <v>19</v>
      </c>
      <c r="C2585" s="85" t="s">
        <v>19</v>
      </c>
      <c r="D2585" s="86"/>
      <c r="E2585" s="116" t="str">
        <f t="shared" si="122"/>
        <v>-</v>
      </c>
      <c r="F2585" s="85"/>
      <c r="G2585" s="85" t="s">
        <v>19</v>
      </c>
      <c r="H2585" s="85"/>
      <c r="I2585" s="85"/>
      <c r="J2585" s="87"/>
      <c r="K2585" s="88">
        <f t="shared" si="123"/>
        <v>0</v>
      </c>
      <c r="L2585" s="85"/>
    </row>
    <row r="2586" spans="1:12" x14ac:dyDescent="0.25">
      <c r="A2586" s="84" t="str">
        <f t="shared" si="121"/>
        <v>SelecioneSelecioneSelecione</v>
      </c>
      <c r="B2586" s="85" t="s">
        <v>19</v>
      </c>
      <c r="C2586" s="85" t="s">
        <v>19</v>
      </c>
      <c r="D2586" s="86"/>
      <c r="E2586" s="116" t="str">
        <f t="shared" si="122"/>
        <v>-</v>
      </c>
      <c r="F2586" s="85"/>
      <c r="G2586" s="85" t="s">
        <v>19</v>
      </c>
      <c r="H2586" s="85"/>
      <c r="I2586" s="85"/>
      <c r="J2586" s="87"/>
      <c r="K2586" s="88">
        <f t="shared" si="123"/>
        <v>0</v>
      </c>
      <c r="L2586" s="85"/>
    </row>
    <row r="2587" spans="1:12" x14ac:dyDescent="0.25">
      <c r="A2587" s="84" t="str">
        <f t="shared" si="121"/>
        <v>SelecioneSelecioneSelecione</v>
      </c>
      <c r="B2587" s="85" t="s">
        <v>19</v>
      </c>
      <c r="C2587" s="85" t="s">
        <v>19</v>
      </c>
      <c r="D2587" s="93"/>
      <c r="E2587" s="116" t="str">
        <f t="shared" si="122"/>
        <v>-</v>
      </c>
      <c r="F2587" s="90"/>
      <c r="G2587" s="85" t="s">
        <v>19</v>
      </c>
      <c r="H2587" s="85"/>
      <c r="I2587" s="90"/>
      <c r="J2587" s="89"/>
      <c r="K2587" s="88">
        <f t="shared" si="123"/>
        <v>0</v>
      </c>
      <c r="L2587" s="90"/>
    </row>
    <row r="2588" spans="1:12" x14ac:dyDescent="0.25">
      <c r="A2588" s="84" t="str">
        <f t="shared" si="121"/>
        <v>SelecioneSelecioneSelecione</v>
      </c>
      <c r="B2588" s="85" t="s">
        <v>19</v>
      </c>
      <c r="C2588" s="85" t="s">
        <v>19</v>
      </c>
      <c r="D2588" s="93"/>
      <c r="E2588" s="116" t="str">
        <f t="shared" si="122"/>
        <v>-</v>
      </c>
      <c r="F2588" s="90"/>
      <c r="G2588" s="85" t="s">
        <v>19</v>
      </c>
      <c r="H2588" s="85"/>
      <c r="I2588" s="90"/>
      <c r="J2588" s="89"/>
      <c r="K2588" s="88">
        <f t="shared" si="123"/>
        <v>0</v>
      </c>
      <c r="L2588" s="90"/>
    </row>
    <row r="2589" spans="1:12" x14ac:dyDescent="0.25">
      <c r="A2589" s="84" t="str">
        <f t="shared" si="121"/>
        <v>SelecioneSelecioneSelecione</v>
      </c>
      <c r="B2589" s="85" t="s">
        <v>19</v>
      </c>
      <c r="C2589" s="85" t="s">
        <v>19</v>
      </c>
      <c r="D2589" s="86"/>
      <c r="E2589" s="116" t="str">
        <f t="shared" si="122"/>
        <v>-</v>
      </c>
      <c r="F2589" s="85"/>
      <c r="G2589" s="85" t="s">
        <v>19</v>
      </c>
      <c r="H2589" s="85"/>
      <c r="I2589" s="85"/>
      <c r="J2589" s="87"/>
      <c r="K2589" s="88">
        <f t="shared" si="123"/>
        <v>0</v>
      </c>
      <c r="L2589" s="85"/>
    </row>
    <row r="2590" spans="1:12" x14ac:dyDescent="0.25">
      <c r="A2590" s="84" t="str">
        <f t="shared" si="121"/>
        <v>SelecioneSelecioneSelecione</v>
      </c>
      <c r="B2590" s="85" t="s">
        <v>19</v>
      </c>
      <c r="C2590" s="85" t="s">
        <v>19</v>
      </c>
      <c r="D2590" s="86"/>
      <c r="E2590" s="116" t="str">
        <f t="shared" si="122"/>
        <v>-</v>
      </c>
      <c r="F2590" s="85"/>
      <c r="G2590" s="85" t="s">
        <v>19</v>
      </c>
      <c r="H2590" s="85"/>
      <c r="I2590" s="85"/>
      <c r="J2590" s="87"/>
      <c r="K2590" s="88">
        <f t="shared" si="123"/>
        <v>0</v>
      </c>
      <c r="L2590" s="85"/>
    </row>
    <row r="2591" spans="1:12" x14ac:dyDescent="0.25">
      <c r="A2591" s="84" t="str">
        <f t="shared" si="121"/>
        <v>SelecioneSelecioneSelecione</v>
      </c>
      <c r="B2591" s="85" t="s">
        <v>19</v>
      </c>
      <c r="C2591" s="85" t="s">
        <v>19</v>
      </c>
      <c r="D2591" s="86"/>
      <c r="E2591" s="116" t="str">
        <f t="shared" si="122"/>
        <v>-</v>
      </c>
      <c r="F2591" s="85"/>
      <c r="G2591" s="85" t="s">
        <v>19</v>
      </c>
      <c r="H2591" s="85"/>
      <c r="I2591" s="85"/>
      <c r="J2591" s="87"/>
      <c r="K2591" s="88">
        <f t="shared" si="123"/>
        <v>0</v>
      </c>
      <c r="L2591" s="85"/>
    </row>
    <row r="2592" spans="1:12" x14ac:dyDescent="0.25">
      <c r="A2592" s="84" t="str">
        <f t="shared" si="121"/>
        <v>SelecioneSelecioneSelecione</v>
      </c>
      <c r="B2592" s="85" t="s">
        <v>19</v>
      </c>
      <c r="C2592" s="85" t="s">
        <v>19</v>
      </c>
      <c r="D2592" s="86"/>
      <c r="E2592" s="116" t="str">
        <f t="shared" si="122"/>
        <v>-</v>
      </c>
      <c r="F2592" s="85"/>
      <c r="G2592" s="85" t="s">
        <v>19</v>
      </c>
      <c r="H2592" s="85"/>
      <c r="I2592" s="85"/>
      <c r="J2592" s="87"/>
      <c r="K2592" s="88">
        <f t="shared" si="123"/>
        <v>0</v>
      </c>
      <c r="L2592" s="85"/>
    </row>
    <row r="2593" spans="1:12" x14ac:dyDescent="0.25">
      <c r="A2593" s="84" t="str">
        <f t="shared" si="121"/>
        <v>SelecioneSelecioneSelecione</v>
      </c>
      <c r="B2593" s="85" t="s">
        <v>19</v>
      </c>
      <c r="C2593" s="85" t="s">
        <v>19</v>
      </c>
      <c r="D2593" s="86"/>
      <c r="E2593" s="116" t="str">
        <f t="shared" si="122"/>
        <v>-</v>
      </c>
      <c r="F2593" s="85"/>
      <c r="G2593" s="85" t="s">
        <v>19</v>
      </c>
      <c r="H2593" s="85"/>
      <c r="I2593" s="85"/>
      <c r="J2593" s="87"/>
      <c r="K2593" s="88">
        <f t="shared" si="123"/>
        <v>0</v>
      </c>
      <c r="L2593" s="85"/>
    </row>
    <row r="2594" spans="1:12" x14ac:dyDescent="0.25">
      <c r="A2594" s="84" t="str">
        <f t="shared" si="121"/>
        <v>SelecioneSelecioneSelecione</v>
      </c>
      <c r="B2594" s="85" t="s">
        <v>19</v>
      </c>
      <c r="C2594" s="85" t="s">
        <v>19</v>
      </c>
      <c r="D2594" s="86"/>
      <c r="E2594" s="116" t="str">
        <f t="shared" si="122"/>
        <v>-</v>
      </c>
      <c r="F2594" s="85"/>
      <c r="G2594" s="85" t="s">
        <v>19</v>
      </c>
      <c r="H2594" s="85"/>
      <c r="I2594" s="85"/>
      <c r="J2594" s="87"/>
      <c r="K2594" s="88">
        <f t="shared" si="123"/>
        <v>0</v>
      </c>
      <c r="L2594" s="85"/>
    </row>
    <row r="2595" spans="1:12" x14ac:dyDescent="0.25">
      <c r="A2595" s="84" t="str">
        <f t="shared" si="121"/>
        <v>SelecioneSelecioneSelecione</v>
      </c>
      <c r="B2595" s="85" t="s">
        <v>19</v>
      </c>
      <c r="C2595" s="85" t="s">
        <v>19</v>
      </c>
      <c r="D2595" s="86"/>
      <c r="E2595" s="116" t="str">
        <f t="shared" si="122"/>
        <v>-</v>
      </c>
      <c r="F2595" s="85"/>
      <c r="G2595" s="85" t="s">
        <v>19</v>
      </c>
      <c r="H2595" s="85"/>
      <c r="I2595" s="85"/>
      <c r="J2595" s="87"/>
      <c r="K2595" s="88">
        <f t="shared" si="123"/>
        <v>0</v>
      </c>
      <c r="L2595" s="85"/>
    </row>
    <row r="2596" spans="1:12" x14ac:dyDescent="0.25">
      <c r="A2596" s="84" t="str">
        <f t="shared" si="121"/>
        <v>SelecioneSelecioneSelecione</v>
      </c>
      <c r="B2596" s="85" t="s">
        <v>19</v>
      </c>
      <c r="C2596" s="85" t="s">
        <v>19</v>
      </c>
      <c r="D2596" s="86"/>
      <c r="E2596" s="116" t="str">
        <f t="shared" si="122"/>
        <v>-</v>
      </c>
      <c r="F2596" s="85"/>
      <c r="G2596" s="85" t="s">
        <v>19</v>
      </c>
      <c r="H2596" s="85"/>
      <c r="I2596" s="85"/>
      <c r="J2596" s="87"/>
      <c r="K2596" s="88">
        <f t="shared" si="123"/>
        <v>0</v>
      </c>
      <c r="L2596" s="85"/>
    </row>
    <row r="2597" spans="1:12" x14ac:dyDescent="0.25">
      <c r="A2597" s="84" t="str">
        <f t="shared" si="121"/>
        <v>SelecioneSelecioneSelecione</v>
      </c>
      <c r="B2597" s="85" t="s">
        <v>19</v>
      </c>
      <c r="C2597" s="85" t="s">
        <v>19</v>
      </c>
      <c r="D2597" s="86"/>
      <c r="E2597" s="116" t="str">
        <f t="shared" si="122"/>
        <v>-</v>
      </c>
      <c r="F2597" s="85"/>
      <c r="G2597" s="85" t="s">
        <v>19</v>
      </c>
      <c r="H2597" s="85"/>
      <c r="I2597" s="85"/>
      <c r="J2597" s="87"/>
      <c r="K2597" s="88">
        <f t="shared" si="123"/>
        <v>0</v>
      </c>
      <c r="L2597" s="85"/>
    </row>
    <row r="2598" spans="1:12" x14ac:dyDescent="0.25">
      <c r="A2598" s="84" t="str">
        <f t="shared" si="121"/>
        <v>SelecioneSelecioneSelecione</v>
      </c>
      <c r="B2598" s="85" t="s">
        <v>19</v>
      </c>
      <c r="C2598" s="85" t="s">
        <v>19</v>
      </c>
      <c r="D2598" s="93"/>
      <c r="E2598" s="116" t="str">
        <f t="shared" si="122"/>
        <v>-</v>
      </c>
      <c r="F2598" s="90"/>
      <c r="G2598" s="85" t="s">
        <v>19</v>
      </c>
      <c r="H2598" s="85"/>
      <c r="I2598" s="90"/>
      <c r="J2598" s="89"/>
      <c r="K2598" s="88">
        <f t="shared" si="123"/>
        <v>0</v>
      </c>
      <c r="L2598" s="90"/>
    </row>
    <row r="2599" spans="1:12" x14ac:dyDescent="0.25">
      <c r="A2599" s="84" t="str">
        <f t="shared" si="121"/>
        <v>SelecioneSelecioneSelecione</v>
      </c>
      <c r="B2599" s="85" t="s">
        <v>19</v>
      </c>
      <c r="C2599" s="85" t="s">
        <v>19</v>
      </c>
      <c r="D2599" s="86"/>
      <c r="E2599" s="116" t="str">
        <f t="shared" si="122"/>
        <v>-</v>
      </c>
      <c r="F2599" s="85"/>
      <c r="G2599" s="85" t="s">
        <v>19</v>
      </c>
      <c r="H2599" s="85"/>
      <c r="I2599" s="85"/>
      <c r="J2599" s="87"/>
      <c r="K2599" s="88">
        <f t="shared" si="123"/>
        <v>0</v>
      </c>
      <c r="L2599" s="85"/>
    </row>
    <row r="2600" spans="1:12" x14ac:dyDescent="0.25">
      <c r="A2600" s="84" t="str">
        <f t="shared" si="121"/>
        <v>SelecioneSelecioneSelecione</v>
      </c>
      <c r="B2600" s="85" t="s">
        <v>19</v>
      </c>
      <c r="C2600" s="85" t="s">
        <v>19</v>
      </c>
      <c r="D2600" s="86"/>
      <c r="E2600" s="116" t="str">
        <f t="shared" si="122"/>
        <v>-</v>
      </c>
      <c r="F2600" s="85"/>
      <c r="G2600" s="85" t="s">
        <v>19</v>
      </c>
      <c r="H2600" s="85"/>
      <c r="I2600" s="85"/>
      <c r="J2600" s="87"/>
      <c r="K2600" s="88">
        <f t="shared" si="123"/>
        <v>0</v>
      </c>
      <c r="L2600" s="85"/>
    </row>
    <row r="2601" spans="1:12" x14ac:dyDescent="0.25">
      <c r="A2601" s="84" t="str">
        <f t="shared" si="121"/>
        <v>SelecioneSelecioneSelecione</v>
      </c>
      <c r="B2601" s="85" t="s">
        <v>19</v>
      </c>
      <c r="C2601" s="85" t="s">
        <v>19</v>
      </c>
      <c r="D2601" s="93"/>
      <c r="E2601" s="116" t="str">
        <f t="shared" si="122"/>
        <v>-</v>
      </c>
      <c r="F2601" s="90"/>
      <c r="G2601" s="85" t="s">
        <v>19</v>
      </c>
      <c r="H2601" s="85"/>
      <c r="I2601" s="90"/>
      <c r="J2601" s="89"/>
      <c r="K2601" s="88">
        <f t="shared" si="123"/>
        <v>0</v>
      </c>
      <c r="L2601" s="90"/>
    </row>
    <row r="2602" spans="1:12" x14ac:dyDescent="0.25">
      <c r="A2602" s="84" t="str">
        <f t="shared" si="121"/>
        <v>SelecioneSelecioneSelecione</v>
      </c>
      <c r="B2602" s="85" t="s">
        <v>19</v>
      </c>
      <c r="C2602" s="85" t="s">
        <v>19</v>
      </c>
      <c r="D2602" s="86"/>
      <c r="E2602" s="116" t="str">
        <f t="shared" si="122"/>
        <v>-</v>
      </c>
      <c r="F2602" s="85"/>
      <c r="G2602" s="85" t="s">
        <v>19</v>
      </c>
      <c r="H2602" s="85"/>
      <c r="I2602" s="85"/>
      <c r="J2602" s="87"/>
      <c r="K2602" s="88">
        <f t="shared" si="123"/>
        <v>0</v>
      </c>
      <c r="L2602" s="85"/>
    </row>
    <row r="2603" spans="1:12" x14ac:dyDescent="0.25">
      <c r="A2603" s="84" t="str">
        <f t="shared" si="121"/>
        <v>SelecioneSelecioneSelecione</v>
      </c>
      <c r="B2603" s="85" t="s">
        <v>19</v>
      </c>
      <c r="C2603" s="85" t="s">
        <v>19</v>
      </c>
      <c r="D2603" s="86"/>
      <c r="E2603" s="116" t="str">
        <f t="shared" si="122"/>
        <v>-</v>
      </c>
      <c r="F2603" s="85"/>
      <c r="G2603" s="85" t="s">
        <v>19</v>
      </c>
      <c r="H2603" s="85"/>
      <c r="I2603" s="85"/>
      <c r="J2603" s="87"/>
      <c r="K2603" s="88">
        <f t="shared" si="123"/>
        <v>0</v>
      </c>
      <c r="L2603" s="85"/>
    </row>
    <row r="2604" spans="1:12" x14ac:dyDescent="0.25">
      <c r="A2604" s="84" t="str">
        <f t="shared" si="121"/>
        <v>SelecioneSelecioneSelecione</v>
      </c>
      <c r="B2604" s="85" t="s">
        <v>19</v>
      </c>
      <c r="C2604" s="85" t="s">
        <v>19</v>
      </c>
      <c r="D2604" s="86"/>
      <c r="E2604" s="116" t="str">
        <f t="shared" si="122"/>
        <v>-</v>
      </c>
      <c r="F2604" s="85"/>
      <c r="G2604" s="85" t="s">
        <v>19</v>
      </c>
      <c r="H2604" s="85"/>
      <c r="I2604" s="85"/>
      <c r="J2604" s="87"/>
      <c r="K2604" s="88">
        <f t="shared" si="123"/>
        <v>0</v>
      </c>
      <c r="L2604" s="85"/>
    </row>
    <row r="2605" spans="1:12" x14ac:dyDescent="0.25">
      <c r="A2605" s="84" t="str">
        <f t="shared" si="121"/>
        <v>SelecioneSelecioneSelecione</v>
      </c>
      <c r="B2605" s="85" t="s">
        <v>19</v>
      </c>
      <c r="C2605" s="85" t="s">
        <v>19</v>
      </c>
      <c r="D2605" s="86"/>
      <c r="E2605" s="116" t="str">
        <f t="shared" si="122"/>
        <v>-</v>
      </c>
      <c r="F2605" s="85"/>
      <c r="G2605" s="85" t="s">
        <v>19</v>
      </c>
      <c r="H2605" s="85"/>
      <c r="I2605" s="85"/>
      <c r="J2605" s="87"/>
      <c r="K2605" s="88">
        <f t="shared" si="123"/>
        <v>0</v>
      </c>
      <c r="L2605" s="85"/>
    </row>
    <row r="2606" spans="1:12" x14ac:dyDescent="0.25">
      <c r="A2606" s="84" t="str">
        <f t="shared" si="121"/>
        <v>SelecioneSelecioneSelecione</v>
      </c>
      <c r="B2606" s="85" t="s">
        <v>19</v>
      </c>
      <c r="C2606" s="85" t="s">
        <v>19</v>
      </c>
      <c r="D2606" s="86"/>
      <c r="E2606" s="116" t="str">
        <f t="shared" si="122"/>
        <v>-</v>
      </c>
      <c r="F2606" s="85"/>
      <c r="G2606" s="85" t="s">
        <v>19</v>
      </c>
      <c r="H2606" s="85"/>
      <c r="I2606" s="85"/>
      <c r="J2606" s="87"/>
      <c r="K2606" s="88">
        <f t="shared" si="123"/>
        <v>0</v>
      </c>
      <c r="L2606" s="85"/>
    </row>
    <row r="2607" spans="1:12" x14ac:dyDescent="0.25">
      <c r="A2607" s="84" t="str">
        <f t="shared" si="121"/>
        <v>SelecioneSelecioneSelecione</v>
      </c>
      <c r="B2607" s="85" t="s">
        <v>19</v>
      </c>
      <c r="C2607" s="85" t="s">
        <v>19</v>
      </c>
      <c r="D2607" s="86"/>
      <c r="E2607" s="116" t="str">
        <f t="shared" si="122"/>
        <v>-</v>
      </c>
      <c r="F2607" s="85"/>
      <c r="G2607" s="85" t="s">
        <v>19</v>
      </c>
      <c r="H2607" s="85"/>
      <c r="I2607" s="85"/>
      <c r="J2607" s="87"/>
      <c r="K2607" s="88">
        <f t="shared" si="123"/>
        <v>0</v>
      </c>
      <c r="L2607" s="85"/>
    </row>
    <row r="2608" spans="1:12" x14ac:dyDescent="0.25">
      <c r="A2608" s="84" t="str">
        <f t="shared" si="121"/>
        <v>SelecioneSelecioneSelecione</v>
      </c>
      <c r="B2608" s="85" t="s">
        <v>19</v>
      </c>
      <c r="C2608" s="85" t="s">
        <v>19</v>
      </c>
      <c r="D2608" s="86"/>
      <c r="E2608" s="116" t="str">
        <f t="shared" si="122"/>
        <v>-</v>
      </c>
      <c r="F2608" s="85"/>
      <c r="G2608" s="85" t="s">
        <v>19</v>
      </c>
      <c r="H2608" s="85"/>
      <c r="I2608" s="85"/>
      <c r="J2608" s="87"/>
      <c r="K2608" s="88">
        <f t="shared" si="123"/>
        <v>0</v>
      </c>
      <c r="L2608" s="85"/>
    </row>
    <row r="2609" spans="1:12" x14ac:dyDescent="0.25">
      <c r="A2609" s="84" t="str">
        <f t="shared" si="121"/>
        <v>SelecioneSelecioneSelecione</v>
      </c>
      <c r="B2609" s="85" t="s">
        <v>19</v>
      </c>
      <c r="C2609" s="85" t="s">
        <v>19</v>
      </c>
      <c r="D2609" s="86"/>
      <c r="E2609" s="116" t="str">
        <f t="shared" si="122"/>
        <v>-</v>
      </c>
      <c r="F2609" s="85"/>
      <c r="G2609" s="85" t="s">
        <v>19</v>
      </c>
      <c r="H2609" s="85"/>
      <c r="I2609" s="85"/>
      <c r="J2609" s="87"/>
      <c r="K2609" s="88">
        <f t="shared" si="123"/>
        <v>0</v>
      </c>
      <c r="L2609" s="85"/>
    </row>
    <row r="2610" spans="1:12" x14ac:dyDescent="0.25">
      <c r="A2610" s="84" t="str">
        <f t="shared" si="121"/>
        <v>SelecioneSelecioneSelecione</v>
      </c>
      <c r="B2610" s="85" t="s">
        <v>19</v>
      </c>
      <c r="C2610" s="85" t="s">
        <v>19</v>
      </c>
      <c r="D2610" s="86"/>
      <c r="E2610" s="116" t="str">
        <f t="shared" si="122"/>
        <v>-</v>
      </c>
      <c r="F2610" s="85"/>
      <c r="G2610" s="85" t="s">
        <v>19</v>
      </c>
      <c r="H2610" s="85"/>
      <c r="I2610" s="85"/>
      <c r="J2610" s="87"/>
      <c r="K2610" s="88">
        <f t="shared" si="123"/>
        <v>0</v>
      </c>
      <c r="L2610" s="85"/>
    </row>
    <row r="2611" spans="1:12" x14ac:dyDescent="0.25">
      <c r="A2611" s="84" t="str">
        <f t="shared" si="121"/>
        <v>SelecioneSelecioneSelecione</v>
      </c>
      <c r="B2611" s="85" t="s">
        <v>19</v>
      </c>
      <c r="C2611" s="85" t="s">
        <v>19</v>
      </c>
      <c r="D2611" s="86"/>
      <c r="E2611" s="116" t="str">
        <f t="shared" si="122"/>
        <v>-</v>
      </c>
      <c r="F2611" s="85"/>
      <c r="G2611" s="85" t="s">
        <v>19</v>
      </c>
      <c r="H2611" s="85"/>
      <c r="I2611" s="85"/>
      <c r="J2611" s="87"/>
      <c r="K2611" s="88">
        <f t="shared" si="123"/>
        <v>0</v>
      </c>
      <c r="L2611" s="85"/>
    </row>
    <row r="2612" spans="1:12" x14ac:dyDescent="0.25">
      <c r="A2612" s="84" t="str">
        <f t="shared" si="121"/>
        <v>SelecioneSelecioneSelecione</v>
      </c>
      <c r="B2612" s="85" t="s">
        <v>19</v>
      </c>
      <c r="C2612" s="85" t="s">
        <v>19</v>
      </c>
      <c r="D2612" s="86"/>
      <c r="E2612" s="116" t="str">
        <f t="shared" si="122"/>
        <v>-</v>
      </c>
      <c r="F2612" s="85"/>
      <c r="G2612" s="85" t="s">
        <v>19</v>
      </c>
      <c r="H2612" s="85"/>
      <c r="I2612" s="85"/>
      <c r="J2612" s="87"/>
      <c r="K2612" s="88">
        <f t="shared" si="123"/>
        <v>0</v>
      </c>
      <c r="L2612" s="85"/>
    </row>
    <row r="2613" spans="1:12" x14ac:dyDescent="0.25">
      <c r="A2613" s="84" t="str">
        <f t="shared" si="121"/>
        <v>SelecioneSelecioneSelecione</v>
      </c>
      <c r="B2613" s="85" t="s">
        <v>19</v>
      </c>
      <c r="C2613" s="85" t="s">
        <v>19</v>
      </c>
      <c r="D2613" s="86"/>
      <c r="E2613" s="116" t="str">
        <f t="shared" si="122"/>
        <v>-</v>
      </c>
      <c r="F2613" s="85"/>
      <c r="G2613" s="85" t="s">
        <v>19</v>
      </c>
      <c r="H2613" s="85"/>
      <c r="I2613" s="85"/>
      <c r="J2613" s="87"/>
      <c r="K2613" s="88">
        <f t="shared" si="123"/>
        <v>0</v>
      </c>
      <c r="L2613" s="85"/>
    </row>
    <row r="2614" spans="1:12" x14ac:dyDescent="0.25">
      <c r="A2614" s="84" t="str">
        <f t="shared" si="121"/>
        <v>SelecioneSelecioneSelecione</v>
      </c>
      <c r="B2614" s="85" t="s">
        <v>19</v>
      </c>
      <c r="C2614" s="85" t="s">
        <v>19</v>
      </c>
      <c r="D2614" s="86"/>
      <c r="E2614" s="116" t="str">
        <f t="shared" si="122"/>
        <v>-</v>
      </c>
      <c r="F2614" s="85"/>
      <c r="G2614" s="85" t="s">
        <v>19</v>
      </c>
      <c r="H2614" s="85"/>
      <c r="I2614" s="85"/>
      <c r="J2614" s="87"/>
      <c r="K2614" s="88">
        <f t="shared" si="123"/>
        <v>0</v>
      </c>
      <c r="L2614" s="85"/>
    </row>
    <row r="2615" spans="1:12" x14ac:dyDescent="0.25">
      <c r="A2615" s="84" t="str">
        <f t="shared" si="121"/>
        <v>SelecioneSelecioneSelecione</v>
      </c>
      <c r="B2615" s="85" t="s">
        <v>19</v>
      </c>
      <c r="C2615" s="85" t="s">
        <v>19</v>
      </c>
      <c r="D2615" s="86"/>
      <c r="E2615" s="116" t="str">
        <f t="shared" si="122"/>
        <v>-</v>
      </c>
      <c r="F2615" s="85"/>
      <c r="G2615" s="85" t="s">
        <v>19</v>
      </c>
      <c r="H2615" s="85"/>
      <c r="I2615" s="85"/>
      <c r="J2615" s="87"/>
      <c r="K2615" s="88">
        <f t="shared" si="123"/>
        <v>0</v>
      </c>
      <c r="L2615" s="85"/>
    </row>
    <row r="2616" spans="1:12" x14ac:dyDescent="0.25">
      <c r="A2616" s="84" t="str">
        <f t="shared" si="121"/>
        <v>SelecioneSelecioneSelecione</v>
      </c>
      <c r="B2616" s="85" t="s">
        <v>19</v>
      </c>
      <c r="C2616" s="85" t="s">
        <v>19</v>
      </c>
      <c r="D2616" s="86"/>
      <c r="E2616" s="116" t="str">
        <f t="shared" si="122"/>
        <v>-</v>
      </c>
      <c r="F2616" s="85"/>
      <c r="G2616" s="85" t="s">
        <v>19</v>
      </c>
      <c r="H2616" s="85"/>
      <c r="I2616" s="85"/>
      <c r="J2616" s="87"/>
      <c r="K2616" s="88">
        <f t="shared" si="123"/>
        <v>0</v>
      </c>
      <c r="L2616" s="85"/>
    </row>
    <row r="2617" spans="1:12" x14ac:dyDescent="0.25">
      <c r="A2617" s="84" t="str">
        <f t="shared" si="121"/>
        <v>SelecioneSelecioneSelecione</v>
      </c>
      <c r="B2617" s="85" t="s">
        <v>19</v>
      </c>
      <c r="C2617" s="85" t="s">
        <v>19</v>
      </c>
      <c r="D2617" s="86"/>
      <c r="E2617" s="116" t="str">
        <f t="shared" si="122"/>
        <v>-</v>
      </c>
      <c r="F2617" s="85"/>
      <c r="G2617" s="85" t="s">
        <v>19</v>
      </c>
      <c r="H2617" s="85"/>
      <c r="I2617" s="85"/>
      <c r="J2617" s="87"/>
      <c r="K2617" s="88">
        <f t="shared" si="123"/>
        <v>0</v>
      </c>
      <c r="L2617" s="85"/>
    </row>
    <row r="2618" spans="1:12" x14ac:dyDescent="0.25">
      <c r="A2618" s="84" t="str">
        <f t="shared" si="121"/>
        <v>SelecioneSelecioneSelecione</v>
      </c>
      <c r="B2618" s="85" t="s">
        <v>19</v>
      </c>
      <c r="C2618" s="85" t="s">
        <v>19</v>
      </c>
      <c r="D2618" s="86"/>
      <c r="E2618" s="116" t="str">
        <f t="shared" si="122"/>
        <v>-</v>
      </c>
      <c r="F2618" s="85"/>
      <c r="G2618" s="85" t="s">
        <v>19</v>
      </c>
      <c r="H2618" s="85"/>
      <c r="I2618" s="85"/>
      <c r="J2618" s="87"/>
      <c r="K2618" s="88">
        <f t="shared" si="123"/>
        <v>0</v>
      </c>
      <c r="L2618" s="85"/>
    </row>
    <row r="2619" spans="1:12" x14ac:dyDescent="0.25">
      <c r="A2619" s="84" t="str">
        <f t="shared" si="121"/>
        <v>SelecioneSelecioneSelecione</v>
      </c>
      <c r="B2619" s="85" t="s">
        <v>19</v>
      </c>
      <c r="C2619" s="85" t="s">
        <v>19</v>
      </c>
      <c r="D2619" s="86"/>
      <c r="E2619" s="116" t="str">
        <f t="shared" si="122"/>
        <v>-</v>
      </c>
      <c r="F2619" s="85"/>
      <c r="G2619" s="85" t="s">
        <v>19</v>
      </c>
      <c r="H2619" s="85"/>
      <c r="I2619" s="85"/>
      <c r="J2619" s="87"/>
      <c r="K2619" s="88">
        <f t="shared" si="123"/>
        <v>0</v>
      </c>
      <c r="L2619" s="85"/>
    </row>
    <row r="2620" spans="1:12" x14ac:dyDescent="0.25">
      <c r="A2620" s="84" t="str">
        <f t="shared" si="121"/>
        <v>SelecioneSelecioneSelecione</v>
      </c>
      <c r="B2620" s="85" t="s">
        <v>19</v>
      </c>
      <c r="C2620" s="85" t="s">
        <v>19</v>
      </c>
      <c r="D2620" s="86"/>
      <c r="E2620" s="116" t="str">
        <f t="shared" si="122"/>
        <v>-</v>
      </c>
      <c r="F2620" s="85"/>
      <c r="G2620" s="85" t="s">
        <v>19</v>
      </c>
      <c r="H2620" s="85"/>
      <c r="I2620" s="85"/>
      <c r="J2620" s="87"/>
      <c r="K2620" s="88">
        <f t="shared" si="123"/>
        <v>0</v>
      </c>
      <c r="L2620" s="85"/>
    </row>
    <row r="2621" spans="1:12" x14ac:dyDescent="0.25">
      <c r="A2621" s="84" t="str">
        <f t="shared" si="121"/>
        <v>SelecioneSelecioneSelecione</v>
      </c>
      <c r="B2621" s="85" t="s">
        <v>19</v>
      </c>
      <c r="C2621" s="85" t="s">
        <v>19</v>
      </c>
      <c r="D2621" s="86"/>
      <c r="E2621" s="116" t="str">
        <f t="shared" si="122"/>
        <v>-</v>
      </c>
      <c r="F2621" s="85"/>
      <c r="G2621" s="85" t="s">
        <v>19</v>
      </c>
      <c r="H2621" s="85"/>
      <c r="I2621" s="85"/>
      <c r="J2621" s="87"/>
      <c r="K2621" s="88">
        <f t="shared" si="123"/>
        <v>0</v>
      </c>
      <c r="L2621" s="85"/>
    </row>
    <row r="2622" spans="1:12" x14ac:dyDescent="0.25">
      <c r="A2622" s="84" t="str">
        <f t="shared" si="121"/>
        <v>SelecioneSelecioneSelecione</v>
      </c>
      <c r="B2622" s="85" t="s">
        <v>19</v>
      </c>
      <c r="C2622" s="85" t="s">
        <v>19</v>
      </c>
      <c r="D2622" s="86"/>
      <c r="E2622" s="116" t="str">
        <f t="shared" si="122"/>
        <v>-</v>
      </c>
      <c r="F2622" s="85"/>
      <c r="G2622" s="85" t="s">
        <v>19</v>
      </c>
      <c r="H2622" s="85"/>
      <c r="I2622" s="85"/>
      <c r="J2622" s="87"/>
      <c r="K2622" s="88">
        <f t="shared" si="123"/>
        <v>0</v>
      </c>
      <c r="L2622" s="85"/>
    </row>
    <row r="2623" spans="1:12" x14ac:dyDescent="0.25">
      <c r="A2623" s="84" t="str">
        <f t="shared" si="121"/>
        <v>SelecioneSelecioneSelecione</v>
      </c>
      <c r="B2623" s="85" t="s">
        <v>19</v>
      </c>
      <c r="C2623" s="85" t="s">
        <v>19</v>
      </c>
      <c r="D2623" s="86"/>
      <c r="E2623" s="116" t="str">
        <f t="shared" si="122"/>
        <v>-</v>
      </c>
      <c r="F2623" s="85"/>
      <c r="G2623" s="85" t="s">
        <v>19</v>
      </c>
      <c r="H2623" s="85"/>
      <c r="I2623" s="85"/>
      <c r="J2623" s="87"/>
      <c r="K2623" s="88">
        <f t="shared" si="123"/>
        <v>0</v>
      </c>
      <c r="L2623" s="85"/>
    </row>
    <row r="2624" spans="1:12" x14ac:dyDescent="0.25">
      <c r="A2624" s="84" t="str">
        <f t="shared" si="121"/>
        <v>SelecioneSelecioneSelecione</v>
      </c>
      <c r="B2624" s="85" t="s">
        <v>19</v>
      </c>
      <c r="C2624" s="85" t="s">
        <v>19</v>
      </c>
      <c r="D2624" s="86"/>
      <c r="E2624" s="116" t="str">
        <f t="shared" si="122"/>
        <v>-</v>
      </c>
      <c r="F2624" s="85"/>
      <c r="G2624" s="85" t="s">
        <v>19</v>
      </c>
      <c r="H2624" s="85"/>
      <c r="I2624" s="85"/>
      <c r="J2624" s="87"/>
      <c r="K2624" s="88">
        <f t="shared" si="123"/>
        <v>0</v>
      </c>
      <c r="L2624" s="85"/>
    </row>
    <row r="2625" spans="1:12" x14ac:dyDescent="0.25">
      <c r="A2625" s="84" t="str">
        <f t="shared" si="121"/>
        <v>SelecioneSelecioneSelecione</v>
      </c>
      <c r="B2625" s="85" t="s">
        <v>19</v>
      </c>
      <c r="C2625" s="85" t="s">
        <v>19</v>
      </c>
      <c r="D2625" s="86"/>
      <c r="E2625" s="116" t="str">
        <f t="shared" si="122"/>
        <v>-</v>
      </c>
      <c r="F2625" s="85"/>
      <c r="G2625" s="85" t="s">
        <v>19</v>
      </c>
      <c r="H2625" s="85"/>
      <c r="I2625" s="85"/>
      <c r="J2625" s="87"/>
      <c r="K2625" s="88">
        <f t="shared" si="123"/>
        <v>0</v>
      </c>
      <c r="L2625" s="85"/>
    </row>
    <row r="2626" spans="1:12" x14ac:dyDescent="0.25">
      <c r="A2626" s="84" t="str">
        <f t="shared" ref="A2626:A2689" si="124">CONCATENATE(B2626,C2626,G2626)</f>
        <v>SelecioneSelecioneSelecione</v>
      </c>
      <c r="B2626" s="85" t="s">
        <v>19</v>
      </c>
      <c r="C2626" s="85" t="s">
        <v>19</v>
      </c>
      <c r="D2626" s="86"/>
      <c r="E2626" s="116" t="str">
        <f t="shared" ref="E2626:E2689" si="125">VLOOKUP(G2626,$M$1:$O$968,3,0)</f>
        <v>-</v>
      </c>
      <c r="F2626" s="85"/>
      <c r="G2626" s="85" t="s">
        <v>19</v>
      </c>
      <c r="H2626" s="85"/>
      <c r="I2626" s="85"/>
      <c r="J2626" s="87"/>
      <c r="K2626" s="88">
        <f t="shared" ref="K2626:K2689" si="126">I2626*J2626</f>
        <v>0</v>
      </c>
      <c r="L2626" s="85"/>
    </row>
    <row r="2627" spans="1:12" x14ac:dyDescent="0.25">
      <c r="A2627" s="84" t="str">
        <f t="shared" si="124"/>
        <v>SelecioneSelecioneSelecione</v>
      </c>
      <c r="B2627" s="85" t="s">
        <v>19</v>
      </c>
      <c r="C2627" s="85" t="s">
        <v>19</v>
      </c>
      <c r="D2627" s="86"/>
      <c r="E2627" s="116" t="str">
        <f t="shared" si="125"/>
        <v>-</v>
      </c>
      <c r="F2627" s="85"/>
      <c r="G2627" s="85" t="s">
        <v>19</v>
      </c>
      <c r="H2627" s="85"/>
      <c r="I2627" s="85"/>
      <c r="J2627" s="87"/>
      <c r="K2627" s="88">
        <f t="shared" si="126"/>
        <v>0</v>
      </c>
      <c r="L2627" s="85"/>
    </row>
    <row r="2628" spans="1:12" x14ac:dyDescent="0.25">
      <c r="A2628" s="84" t="str">
        <f t="shared" si="124"/>
        <v>SelecioneSelecioneSelecione</v>
      </c>
      <c r="B2628" s="85" t="s">
        <v>19</v>
      </c>
      <c r="C2628" s="85" t="s">
        <v>19</v>
      </c>
      <c r="D2628" s="86"/>
      <c r="E2628" s="116" t="str">
        <f t="shared" si="125"/>
        <v>-</v>
      </c>
      <c r="F2628" s="85"/>
      <c r="G2628" s="85" t="s">
        <v>19</v>
      </c>
      <c r="H2628" s="85"/>
      <c r="I2628" s="85"/>
      <c r="J2628" s="87"/>
      <c r="K2628" s="88">
        <f t="shared" si="126"/>
        <v>0</v>
      </c>
      <c r="L2628" s="85"/>
    </row>
    <row r="2629" spans="1:12" x14ac:dyDescent="0.25">
      <c r="A2629" s="84" t="str">
        <f t="shared" si="124"/>
        <v>SelecioneSelecioneSelecione</v>
      </c>
      <c r="B2629" s="85" t="s">
        <v>19</v>
      </c>
      <c r="C2629" s="85" t="s">
        <v>19</v>
      </c>
      <c r="D2629" s="86"/>
      <c r="E2629" s="116" t="str">
        <f t="shared" si="125"/>
        <v>-</v>
      </c>
      <c r="F2629" s="85"/>
      <c r="G2629" s="85" t="s">
        <v>19</v>
      </c>
      <c r="H2629" s="85"/>
      <c r="I2629" s="85"/>
      <c r="J2629" s="87"/>
      <c r="K2629" s="88">
        <f t="shared" si="126"/>
        <v>0</v>
      </c>
      <c r="L2629" s="85"/>
    </row>
    <row r="2630" spans="1:12" x14ac:dyDescent="0.25">
      <c r="A2630" s="84" t="str">
        <f t="shared" si="124"/>
        <v>SelecioneSelecioneSelecione</v>
      </c>
      <c r="B2630" s="85" t="s">
        <v>19</v>
      </c>
      <c r="C2630" s="85" t="s">
        <v>19</v>
      </c>
      <c r="D2630" s="86"/>
      <c r="E2630" s="116" t="str">
        <f t="shared" si="125"/>
        <v>-</v>
      </c>
      <c r="F2630" s="85"/>
      <c r="G2630" s="85" t="s">
        <v>19</v>
      </c>
      <c r="H2630" s="85"/>
      <c r="I2630" s="85"/>
      <c r="J2630" s="87"/>
      <c r="K2630" s="88">
        <f t="shared" si="126"/>
        <v>0</v>
      </c>
      <c r="L2630" s="85"/>
    </row>
    <row r="2631" spans="1:12" x14ac:dyDescent="0.25">
      <c r="A2631" s="84" t="str">
        <f t="shared" si="124"/>
        <v>SelecioneSelecioneSelecione</v>
      </c>
      <c r="B2631" s="85" t="s">
        <v>19</v>
      </c>
      <c r="C2631" s="85" t="s">
        <v>19</v>
      </c>
      <c r="D2631" s="86"/>
      <c r="E2631" s="116" t="str">
        <f t="shared" si="125"/>
        <v>-</v>
      </c>
      <c r="F2631" s="85"/>
      <c r="G2631" s="85" t="s">
        <v>19</v>
      </c>
      <c r="H2631" s="85"/>
      <c r="I2631" s="85"/>
      <c r="J2631" s="87"/>
      <c r="K2631" s="88">
        <f t="shared" si="126"/>
        <v>0</v>
      </c>
      <c r="L2631" s="85"/>
    </row>
    <row r="2632" spans="1:12" x14ac:dyDescent="0.25">
      <c r="A2632" s="84" t="str">
        <f t="shared" si="124"/>
        <v>SelecioneSelecioneSelecione</v>
      </c>
      <c r="B2632" s="85" t="s">
        <v>19</v>
      </c>
      <c r="C2632" s="85" t="s">
        <v>19</v>
      </c>
      <c r="D2632" s="86"/>
      <c r="E2632" s="116" t="str">
        <f t="shared" si="125"/>
        <v>-</v>
      </c>
      <c r="F2632" s="85"/>
      <c r="G2632" s="85" t="s">
        <v>19</v>
      </c>
      <c r="H2632" s="85"/>
      <c r="I2632" s="85"/>
      <c r="J2632" s="87"/>
      <c r="K2632" s="88">
        <f t="shared" si="126"/>
        <v>0</v>
      </c>
      <c r="L2632" s="85"/>
    </row>
    <row r="2633" spans="1:12" x14ac:dyDescent="0.25">
      <c r="A2633" s="84" t="str">
        <f t="shared" si="124"/>
        <v>SelecioneSelecioneSelecione</v>
      </c>
      <c r="B2633" s="85" t="s">
        <v>19</v>
      </c>
      <c r="C2633" s="85" t="s">
        <v>19</v>
      </c>
      <c r="D2633" s="86"/>
      <c r="E2633" s="116" t="str">
        <f t="shared" si="125"/>
        <v>-</v>
      </c>
      <c r="F2633" s="85"/>
      <c r="G2633" s="85" t="s">
        <v>19</v>
      </c>
      <c r="H2633" s="85"/>
      <c r="I2633" s="85"/>
      <c r="J2633" s="87"/>
      <c r="K2633" s="88">
        <f t="shared" si="126"/>
        <v>0</v>
      </c>
      <c r="L2633" s="85"/>
    </row>
    <row r="2634" spans="1:12" x14ac:dyDescent="0.25">
      <c r="A2634" s="84" t="str">
        <f t="shared" si="124"/>
        <v>SelecioneSelecioneSelecione</v>
      </c>
      <c r="B2634" s="85" t="s">
        <v>19</v>
      </c>
      <c r="C2634" s="85" t="s">
        <v>19</v>
      </c>
      <c r="D2634" s="86"/>
      <c r="E2634" s="116" t="str">
        <f t="shared" si="125"/>
        <v>-</v>
      </c>
      <c r="F2634" s="85"/>
      <c r="G2634" s="85" t="s">
        <v>19</v>
      </c>
      <c r="H2634" s="85"/>
      <c r="I2634" s="85"/>
      <c r="J2634" s="87"/>
      <c r="K2634" s="88">
        <f t="shared" si="126"/>
        <v>0</v>
      </c>
      <c r="L2634" s="85"/>
    </row>
    <row r="2635" spans="1:12" x14ac:dyDescent="0.25">
      <c r="A2635" s="84" t="str">
        <f t="shared" si="124"/>
        <v>SelecioneSelecioneSelecione</v>
      </c>
      <c r="B2635" s="85" t="s">
        <v>19</v>
      </c>
      <c r="C2635" s="85" t="s">
        <v>19</v>
      </c>
      <c r="D2635" s="86"/>
      <c r="E2635" s="116" t="str">
        <f t="shared" si="125"/>
        <v>-</v>
      </c>
      <c r="F2635" s="85"/>
      <c r="G2635" s="85" t="s">
        <v>19</v>
      </c>
      <c r="H2635" s="85"/>
      <c r="I2635" s="85"/>
      <c r="J2635" s="87"/>
      <c r="K2635" s="88">
        <f t="shared" si="126"/>
        <v>0</v>
      </c>
      <c r="L2635" s="85"/>
    </row>
    <row r="2636" spans="1:12" x14ac:dyDescent="0.25">
      <c r="A2636" s="84" t="str">
        <f t="shared" si="124"/>
        <v>SelecioneSelecioneSelecione</v>
      </c>
      <c r="B2636" s="85" t="s">
        <v>19</v>
      </c>
      <c r="C2636" s="85" t="s">
        <v>19</v>
      </c>
      <c r="D2636" s="86"/>
      <c r="E2636" s="116" t="str">
        <f t="shared" si="125"/>
        <v>-</v>
      </c>
      <c r="F2636" s="85"/>
      <c r="G2636" s="85" t="s">
        <v>19</v>
      </c>
      <c r="H2636" s="85"/>
      <c r="I2636" s="85"/>
      <c r="J2636" s="87"/>
      <c r="K2636" s="88">
        <f t="shared" si="126"/>
        <v>0</v>
      </c>
      <c r="L2636" s="85"/>
    </row>
    <row r="2637" spans="1:12" x14ac:dyDescent="0.25">
      <c r="A2637" s="84" t="str">
        <f t="shared" si="124"/>
        <v>SelecioneSelecioneSelecione</v>
      </c>
      <c r="B2637" s="85" t="s">
        <v>19</v>
      </c>
      <c r="C2637" s="85" t="s">
        <v>19</v>
      </c>
      <c r="D2637" s="86"/>
      <c r="E2637" s="116" t="str">
        <f t="shared" si="125"/>
        <v>-</v>
      </c>
      <c r="F2637" s="85"/>
      <c r="G2637" s="85" t="s">
        <v>19</v>
      </c>
      <c r="H2637" s="85"/>
      <c r="I2637" s="85"/>
      <c r="J2637" s="87"/>
      <c r="K2637" s="88">
        <f t="shared" si="126"/>
        <v>0</v>
      </c>
      <c r="L2637" s="85"/>
    </row>
    <row r="2638" spans="1:12" x14ac:dyDescent="0.25">
      <c r="A2638" s="84" t="str">
        <f t="shared" si="124"/>
        <v>SelecioneSelecioneSelecione</v>
      </c>
      <c r="B2638" s="85" t="s">
        <v>19</v>
      </c>
      <c r="C2638" s="85" t="s">
        <v>19</v>
      </c>
      <c r="D2638" s="86"/>
      <c r="E2638" s="116" t="str">
        <f t="shared" si="125"/>
        <v>-</v>
      </c>
      <c r="F2638" s="85"/>
      <c r="G2638" s="85" t="s">
        <v>19</v>
      </c>
      <c r="H2638" s="85"/>
      <c r="I2638" s="85"/>
      <c r="J2638" s="87"/>
      <c r="K2638" s="88">
        <f t="shared" si="126"/>
        <v>0</v>
      </c>
      <c r="L2638" s="85"/>
    </row>
    <row r="2639" spans="1:12" x14ac:dyDescent="0.25">
      <c r="A2639" s="84" t="str">
        <f t="shared" si="124"/>
        <v>SelecioneSelecioneSelecione</v>
      </c>
      <c r="B2639" s="85" t="s">
        <v>19</v>
      </c>
      <c r="C2639" s="85" t="s">
        <v>19</v>
      </c>
      <c r="D2639" s="86"/>
      <c r="E2639" s="116" t="str">
        <f t="shared" si="125"/>
        <v>-</v>
      </c>
      <c r="F2639" s="85"/>
      <c r="G2639" s="85" t="s">
        <v>19</v>
      </c>
      <c r="H2639" s="85"/>
      <c r="I2639" s="85"/>
      <c r="J2639" s="87"/>
      <c r="K2639" s="88">
        <f t="shared" si="126"/>
        <v>0</v>
      </c>
      <c r="L2639" s="85"/>
    </row>
    <row r="2640" spans="1:12" x14ac:dyDescent="0.25">
      <c r="A2640" s="84" t="str">
        <f t="shared" si="124"/>
        <v>SelecioneSelecioneSelecione</v>
      </c>
      <c r="B2640" s="85" t="s">
        <v>19</v>
      </c>
      <c r="C2640" s="85" t="s">
        <v>19</v>
      </c>
      <c r="D2640" s="86"/>
      <c r="E2640" s="116" t="str">
        <f t="shared" si="125"/>
        <v>-</v>
      </c>
      <c r="F2640" s="85"/>
      <c r="G2640" s="85" t="s">
        <v>19</v>
      </c>
      <c r="H2640" s="85"/>
      <c r="I2640" s="85"/>
      <c r="J2640" s="87"/>
      <c r="K2640" s="88">
        <f t="shared" si="126"/>
        <v>0</v>
      </c>
      <c r="L2640" s="85"/>
    </row>
    <row r="2641" spans="1:12" x14ac:dyDescent="0.25">
      <c r="A2641" s="84" t="str">
        <f t="shared" si="124"/>
        <v>SelecioneSelecioneSelecione</v>
      </c>
      <c r="B2641" s="85" t="s">
        <v>19</v>
      </c>
      <c r="C2641" s="85" t="s">
        <v>19</v>
      </c>
      <c r="D2641" s="86"/>
      <c r="E2641" s="116" t="str">
        <f t="shared" si="125"/>
        <v>-</v>
      </c>
      <c r="F2641" s="85"/>
      <c r="G2641" s="85" t="s">
        <v>19</v>
      </c>
      <c r="H2641" s="85"/>
      <c r="I2641" s="85"/>
      <c r="J2641" s="87"/>
      <c r="K2641" s="88">
        <f t="shared" si="126"/>
        <v>0</v>
      </c>
      <c r="L2641" s="85"/>
    </row>
    <row r="2642" spans="1:12" x14ac:dyDescent="0.25">
      <c r="A2642" s="84" t="str">
        <f t="shared" si="124"/>
        <v>SelecioneSelecioneSelecione</v>
      </c>
      <c r="B2642" s="85" t="s">
        <v>19</v>
      </c>
      <c r="C2642" s="85" t="s">
        <v>19</v>
      </c>
      <c r="D2642" s="86"/>
      <c r="E2642" s="116" t="str">
        <f t="shared" si="125"/>
        <v>-</v>
      </c>
      <c r="F2642" s="85"/>
      <c r="G2642" s="85" t="s">
        <v>19</v>
      </c>
      <c r="H2642" s="85"/>
      <c r="I2642" s="85"/>
      <c r="J2642" s="87"/>
      <c r="K2642" s="88">
        <f t="shared" si="126"/>
        <v>0</v>
      </c>
      <c r="L2642" s="85"/>
    </row>
    <row r="2643" spans="1:12" x14ac:dyDescent="0.25">
      <c r="A2643" s="84" t="str">
        <f t="shared" si="124"/>
        <v>SelecioneSelecioneSelecione</v>
      </c>
      <c r="B2643" s="85" t="s">
        <v>19</v>
      </c>
      <c r="C2643" s="85" t="s">
        <v>19</v>
      </c>
      <c r="D2643" s="86"/>
      <c r="E2643" s="116" t="str">
        <f t="shared" si="125"/>
        <v>-</v>
      </c>
      <c r="F2643" s="85"/>
      <c r="G2643" s="85" t="s">
        <v>19</v>
      </c>
      <c r="H2643" s="85"/>
      <c r="I2643" s="85"/>
      <c r="J2643" s="87"/>
      <c r="K2643" s="88">
        <f t="shared" si="126"/>
        <v>0</v>
      </c>
      <c r="L2643" s="85"/>
    </row>
    <row r="2644" spans="1:12" x14ac:dyDescent="0.25">
      <c r="A2644" s="84" t="str">
        <f t="shared" si="124"/>
        <v>SelecioneSelecioneSelecione</v>
      </c>
      <c r="B2644" s="85" t="s">
        <v>19</v>
      </c>
      <c r="C2644" s="85" t="s">
        <v>19</v>
      </c>
      <c r="D2644" s="86"/>
      <c r="E2644" s="116" t="str">
        <f t="shared" si="125"/>
        <v>-</v>
      </c>
      <c r="F2644" s="85"/>
      <c r="G2644" s="85" t="s">
        <v>19</v>
      </c>
      <c r="H2644" s="85"/>
      <c r="I2644" s="85"/>
      <c r="J2644" s="87"/>
      <c r="K2644" s="88">
        <f t="shared" si="126"/>
        <v>0</v>
      </c>
      <c r="L2644" s="85"/>
    </row>
    <row r="2645" spans="1:12" x14ac:dyDescent="0.25">
      <c r="A2645" s="84" t="str">
        <f t="shared" si="124"/>
        <v>SelecioneSelecioneSelecione</v>
      </c>
      <c r="B2645" s="85" t="s">
        <v>19</v>
      </c>
      <c r="C2645" s="85" t="s">
        <v>19</v>
      </c>
      <c r="D2645" s="86"/>
      <c r="E2645" s="116" t="str">
        <f t="shared" si="125"/>
        <v>-</v>
      </c>
      <c r="F2645" s="85"/>
      <c r="G2645" s="85" t="s">
        <v>19</v>
      </c>
      <c r="H2645" s="85"/>
      <c r="I2645" s="85"/>
      <c r="J2645" s="87"/>
      <c r="K2645" s="88">
        <f t="shared" si="126"/>
        <v>0</v>
      </c>
      <c r="L2645" s="85"/>
    </row>
    <row r="2646" spans="1:12" x14ac:dyDescent="0.25">
      <c r="A2646" s="84" t="str">
        <f t="shared" si="124"/>
        <v>SelecioneSelecioneSelecione</v>
      </c>
      <c r="B2646" s="85" t="s">
        <v>19</v>
      </c>
      <c r="C2646" s="85" t="s">
        <v>19</v>
      </c>
      <c r="D2646" s="86"/>
      <c r="E2646" s="116" t="str">
        <f t="shared" si="125"/>
        <v>-</v>
      </c>
      <c r="F2646" s="85"/>
      <c r="G2646" s="85" t="s">
        <v>19</v>
      </c>
      <c r="H2646" s="85"/>
      <c r="I2646" s="85"/>
      <c r="J2646" s="87"/>
      <c r="K2646" s="88">
        <f t="shared" si="126"/>
        <v>0</v>
      </c>
      <c r="L2646" s="85"/>
    </row>
    <row r="2647" spans="1:12" x14ac:dyDescent="0.25">
      <c r="A2647" s="84" t="str">
        <f t="shared" si="124"/>
        <v>SelecioneSelecioneSelecione</v>
      </c>
      <c r="B2647" s="85" t="s">
        <v>19</v>
      </c>
      <c r="C2647" s="85" t="s">
        <v>19</v>
      </c>
      <c r="D2647" s="86"/>
      <c r="E2647" s="116" t="str">
        <f t="shared" si="125"/>
        <v>-</v>
      </c>
      <c r="F2647" s="85"/>
      <c r="G2647" s="85" t="s">
        <v>19</v>
      </c>
      <c r="H2647" s="85"/>
      <c r="I2647" s="85"/>
      <c r="J2647" s="87"/>
      <c r="K2647" s="88">
        <f t="shared" si="126"/>
        <v>0</v>
      </c>
      <c r="L2647" s="85"/>
    </row>
    <row r="2648" spans="1:12" x14ac:dyDescent="0.25">
      <c r="A2648" s="84" t="str">
        <f t="shared" si="124"/>
        <v>SelecioneSelecioneSelecione</v>
      </c>
      <c r="B2648" s="85" t="s">
        <v>19</v>
      </c>
      <c r="C2648" s="85" t="s">
        <v>19</v>
      </c>
      <c r="D2648" s="86"/>
      <c r="E2648" s="116" t="str">
        <f t="shared" si="125"/>
        <v>-</v>
      </c>
      <c r="F2648" s="85"/>
      <c r="G2648" s="85" t="s">
        <v>19</v>
      </c>
      <c r="H2648" s="85"/>
      <c r="I2648" s="85"/>
      <c r="J2648" s="87"/>
      <c r="K2648" s="88">
        <f t="shared" si="126"/>
        <v>0</v>
      </c>
      <c r="L2648" s="85"/>
    </row>
    <row r="2649" spans="1:12" x14ac:dyDescent="0.25">
      <c r="A2649" s="84" t="str">
        <f t="shared" si="124"/>
        <v>SelecioneSelecioneSelecione</v>
      </c>
      <c r="B2649" s="85" t="s">
        <v>19</v>
      </c>
      <c r="C2649" s="85" t="s">
        <v>19</v>
      </c>
      <c r="D2649" s="86"/>
      <c r="E2649" s="116" t="str">
        <f t="shared" si="125"/>
        <v>-</v>
      </c>
      <c r="F2649" s="85"/>
      <c r="G2649" s="85" t="s">
        <v>19</v>
      </c>
      <c r="H2649" s="85"/>
      <c r="I2649" s="85"/>
      <c r="J2649" s="87"/>
      <c r="K2649" s="88">
        <f t="shared" si="126"/>
        <v>0</v>
      </c>
      <c r="L2649" s="85"/>
    </row>
    <row r="2650" spans="1:12" x14ac:dyDescent="0.25">
      <c r="A2650" s="84" t="str">
        <f t="shared" si="124"/>
        <v>SelecioneSelecioneSelecione</v>
      </c>
      <c r="B2650" s="85" t="s">
        <v>19</v>
      </c>
      <c r="C2650" s="85" t="s">
        <v>19</v>
      </c>
      <c r="D2650" s="86"/>
      <c r="E2650" s="116" t="str">
        <f t="shared" si="125"/>
        <v>-</v>
      </c>
      <c r="F2650" s="85"/>
      <c r="G2650" s="85" t="s">
        <v>19</v>
      </c>
      <c r="H2650" s="85"/>
      <c r="I2650" s="85"/>
      <c r="J2650" s="87"/>
      <c r="K2650" s="88">
        <f t="shared" si="126"/>
        <v>0</v>
      </c>
      <c r="L2650" s="85"/>
    </row>
    <row r="2651" spans="1:12" x14ac:dyDescent="0.25">
      <c r="A2651" s="84" t="str">
        <f t="shared" si="124"/>
        <v>SelecioneSelecioneSelecione</v>
      </c>
      <c r="B2651" s="85" t="s">
        <v>19</v>
      </c>
      <c r="C2651" s="85" t="s">
        <v>19</v>
      </c>
      <c r="D2651" s="86"/>
      <c r="E2651" s="116" t="str">
        <f t="shared" si="125"/>
        <v>-</v>
      </c>
      <c r="F2651" s="85"/>
      <c r="G2651" s="85" t="s">
        <v>19</v>
      </c>
      <c r="H2651" s="85"/>
      <c r="I2651" s="85"/>
      <c r="J2651" s="87"/>
      <c r="K2651" s="88">
        <f t="shared" si="126"/>
        <v>0</v>
      </c>
      <c r="L2651" s="85"/>
    </row>
    <row r="2652" spans="1:12" x14ac:dyDescent="0.25">
      <c r="A2652" s="84" t="str">
        <f t="shared" si="124"/>
        <v>SelecioneSelecioneSelecione</v>
      </c>
      <c r="B2652" s="85" t="s">
        <v>19</v>
      </c>
      <c r="C2652" s="85" t="s">
        <v>19</v>
      </c>
      <c r="D2652" s="86"/>
      <c r="E2652" s="116" t="str">
        <f t="shared" si="125"/>
        <v>-</v>
      </c>
      <c r="F2652" s="85"/>
      <c r="G2652" s="85" t="s">
        <v>19</v>
      </c>
      <c r="H2652" s="85"/>
      <c r="I2652" s="85"/>
      <c r="J2652" s="87"/>
      <c r="K2652" s="88">
        <f t="shared" si="126"/>
        <v>0</v>
      </c>
      <c r="L2652" s="85"/>
    </row>
    <row r="2653" spans="1:12" x14ac:dyDescent="0.25">
      <c r="A2653" s="84" t="str">
        <f t="shared" si="124"/>
        <v>SelecioneSelecioneSelecione</v>
      </c>
      <c r="B2653" s="85" t="s">
        <v>19</v>
      </c>
      <c r="C2653" s="85" t="s">
        <v>19</v>
      </c>
      <c r="D2653" s="86"/>
      <c r="E2653" s="116" t="str">
        <f t="shared" si="125"/>
        <v>-</v>
      </c>
      <c r="F2653" s="85"/>
      <c r="G2653" s="85" t="s">
        <v>19</v>
      </c>
      <c r="H2653" s="85"/>
      <c r="I2653" s="85"/>
      <c r="J2653" s="87"/>
      <c r="K2653" s="88">
        <f t="shared" si="126"/>
        <v>0</v>
      </c>
      <c r="L2653" s="85"/>
    </row>
    <row r="2654" spans="1:12" x14ac:dyDescent="0.25">
      <c r="A2654" s="84" t="str">
        <f t="shared" si="124"/>
        <v>SelecioneSelecioneSelecione</v>
      </c>
      <c r="B2654" s="85" t="s">
        <v>19</v>
      </c>
      <c r="C2654" s="85" t="s">
        <v>19</v>
      </c>
      <c r="D2654" s="86"/>
      <c r="E2654" s="116" t="str">
        <f t="shared" si="125"/>
        <v>-</v>
      </c>
      <c r="F2654" s="85"/>
      <c r="G2654" s="85" t="s">
        <v>19</v>
      </c>
      <c r="H2654" s="85"/>
      <c r="I2654" s="85"/>
      <c r="J2654" s="87"/>
      <c r="K2654" s="88">
        <f t="shared" si="126"/>
        <v>0</v>
      </c>
      <c r="L2654" s="85"/>
    </row>
    <row r="2655" spans="1:12" x14ac:dyDescent="0.25">
      <c r="A2655" s="84" t="str">
        <f t="shared" si="124"/>
        <v>SelecioneSelecioneSelecione</v>
      </c>
      <c r="B2655" s="85" t="s">
        <v>19</v>
      </c>
      <c r="C2655" s="85" t="s">
        <v>19</v>
      </c>
      <c r="D2655" s="93"/>
      <c r="E2655" s="116" t="str">
        <f t="shared" si="125"/>
        <v>-</v>
      </c>
      <c r="F2655" s="90"/>
      <c r="G2655" s="85" t="s">
        <v>19</v>
      </c>
      <c r="H2655" s="85"/>
      <c r="I2655" s="90"/>
      <c r="J2655" s="89"/>
      <c r="K2655" s="88">
        <f t="shared" si="126"/>
        <v>0</v>
      </c>
      <c r="L2655" s="90"/>
    </row>
    <row r="2656" spans="1:12" x14ac:dyDescent="0.25">
      <c r="A2656" s="84" t="str">
        <f t="shared" si="124"/>
        <v>SelecioneSelecioneSelecione</v>
      </c>
      <c r="B2656" s="85" t="s">
        <v>19</v>
      </c>
      <c r="C2656" s="85" t="s">
        <v>19</v>
      </c>
      <c r="D2656" s="86"/>
      <c r="E2656" s="116" t="str">
        <f t="shared" si="125"/>
        <v>-</v>
      </c>
      <c r="F2656" s="85"/>
      <c r="G2656" s="85" t="s">
        <v>19</v>
      </c>
      <c r="H2656" s="85"/>
      <c r="I2656" s="85"/>
      <c r="J2656" s="87"/>
      <c r="K2656" s="88">
        <f t="shared" si="126"/>
        <v>0</v>
      </c>
      <c r="L2656" s="85"/>
    </row>
    <row r="2657" spans="1:12" x14ac:dyDescent="0.25">
      <c r="A2657" s="84" t="str">
        <f t="shared" si="124"/>
        <v>SelecioneSelecioneSelecione</v>
      </c>
      <c r="B2657" s="85" t="s">
        <v>19</v>
      </c>
      <c r="C2657" s="85" t="s">
        <v>19</v>
      </c>
      <c r="D2657" s="86"/>
      <c r="E2657" s="116" t="str">
        <f t="shared" si="125"/>
        <v>-</v>
      </c>
      <c r="F2657" s="85"/>
      <c r="G2657" s="85" t="s">
        <v>19</v>
      </c>
      <c r="H2657" s="85"/>
      <c r="I2657" s="85"/>
      <c r="J2657" s="87"/>
      <c r="K2657" s="88">
        <f t="shared" si="126"/>
        <v>0</v>
      </c>
      <c r="L2657" s="85"/>
    </row>
    <row r="2658" spans="1:12" x14ac:dyDescent="0.25">
      <c r="A2658" s="84" t="str">
        <f t="shared" si="124"/>
        <v>SelecioneSelecioneSelecione</v>
      </c>
      <c r="B2658" s="85" t="s">
        <v>19</v>
      </c>
      <c r="C2658" s="85" t="s">
        <v>19</v>
      </c>
      <c r="D2658" s="86"/>
      <c r="E2658" s="116" t="str">
        <f t="shared" si="125"/>
        <v>-</v>
      </c>
      <c r="F2658" s="85"/>
      <c r="G2658" s="85" t="s">
        <v>19</v>
      </c>
      <c r="H2658" s="85"/>
      <c r="I2658" s="85"/>
      <c r="J2658" s="87"/>
      <c r="K2658" s="88">
        <f t="shared" si="126"/>
        <v>0</v>
      </c>
      <c r="L2658" s="85"/>
    </row>
    <row r="2659" spans="1:12" x14ac:dyDescent="0.25">
      <c r="A2659" s="84" t="str">
        <f t="shared" si="124"/>
        <v>SelecioneSelecioneSelecione</v>
      </c>
      <c r="B2659" s="85" t="s">
        <v>19</v>
      </c>
      <c r="C2659" s="85" t="s">
        <v>19</v>
      </c>
      <c r="D2659" s="86"/>
      <c r="E2659" s="116" t="str">
        <f t="shared" si="125"/>
        <v>-</v>
      </c>
      <c r="F2659" s="85"/>
      <c r="G2659" s="85" t="s">
        <v>19</v>
      </c>
      <c r="H2659" s="85"/>
      <c r="I2659" s="85"/>
      <c r="J2659" s="87"/>
      <c r="K2659" s="88">
        <f t="shared" si="126"/>
        <v>0</v>
      </c>
      <c r="L2659" s="85"/>
    </row>
    <row r="2660" spans="1:12" x14ac:dyDescent="0.25">
      <c r="A2660" s="84" t="str">
        <f t="shared" si="124"/>
        <v>SelecioneSelecioneSelecione</v>
      </c>
      <c r="B2660" s="85" t="s">
        <v>19</v>
      </c>
      <c r="C2660" s="85" t="s">
        <v>19</v>
      </c>
      <c r="D2660" s="86"/>
      <c r="E2660" s="116" t="str">
        <f t="shared" si="125"/>
        <v>-</v>
      </c>
      <c r="F2660" s="85"/>
      <c r="G2660" s="85" t="s">
        <v>19</v>
      </c>
      <c r="H2660" s="85"/>
      <c r="I2660" s="85"/>
      <c r="J2660" s="87"/>
      <c r="K2660" s="88">
        <f t="shared" si="126"/>
        <v>0</v>
      </c>
      <c r="L2660" s="85"/>
    </row>
    <row r="2661" spans="1:12" x14ac:dyDescent="0.25">
      <c r="A2661" s="84" t="str">
        <f t="shared" si="124"/>
        <v>SelecioneSelecioneSelecione</v>
      </c>
      <c r="B2661" s="85" t="s">
        <v>19</v>
      </c>
      <c r="C2661" s="85" t="s">
        <v>19</v>
      </c>
      <c r="D2661" s="86"/>
      <c r="E2661" s="116" t="str">
        <f t="shared" si="125"/>
        <v>-</v>
      </c>
      <c r="F2661" s="85"/>
      <c r="G2661" s="85" t="s">
        <v>19</v>
      </c>
      <c r="H2661" s="85"/>
      <c r="I2661" s="85"/>
      <c r="J2661" s="87"/>
      <c r="K2661" s="88">
        <f t="shared" si="126"/>
        <v>0</v>
      </c>
      <c r="L2661" s="85"/>
    </row>
    <row r="2662" spans="1:12" x14ac:dyDescent="0.25">
      <c r="A2662" s="84" t="str">
        <f t="shared" si="124"/>
        <v>SelecioneSelecioneSelecione</v>
      </c>
      <c r="B2662" s="85" t="s">
        <v>19</v>
      </c>
      <c r="C2662" s="85" t="s">
        <v>19</v>
      </c>
      <c r="D2662" s="86"/>
      <c r="E2662" s="116" t="str">
        <f t="shared" si="125"/>
        <v>-</v>
      </c>
      <c r="F2662" s="85"/>
      <c r="G2662" s="85" t="s">
        <v>19</v>
      </c>
      <c r="H2662" s="85"/>
      <c r="I2662" s="85"/>
      <c r="J2662" s="87"/>
      <c r="K2662" s="88">
        <f t="shared" si="126"/>
        <v>0</v>
      </c>
      <c r="L2662" s="85"/>
    </row>
    <row r="2663" spans="1:12" x14ac:dyDescent="0.25">
      <c r="A2663" s="84" t="str">
        <f t="shared" si="124"/>
        <v>SelecioneSelecioneSelecione</v>
      </c>
      <c r="B2663" s="85" t="s">
        <v>19</v>
      </c>
      <c r="C2663" s="85" t="s">
        <v>19</v>
      </c>
      <c r="D2663" s="86"/>
      <c r="E2663" s="116" t="str">
        <f t="shared" si="125"/>
        <v>-</v>
      </c>
      <c r="F2663" s="85"/>
      <c r="G2663" s="85" t="s">
        <v>19</v>
      </c>
      <c r="H2663" s="85"/>
      <c r="I2663" s="85"/>
      <c r="J2663" s="87"/>
      <c r="K2663" s="88">
        <f t="shared" si="126"/>
        <v>0</v>
      </c>
      <c r="L2663" s="85"/>
    </row>
    <row r="2664" spans="1:12" x14ac:dyDescent="0.25">
      <c r="A2664" s="84" t="str">
        <f t="shared" si="124"/>
        <v>SelecioneSelecioneSelecione</v>
      </c>
      <c r="B2664" s="85" t="s">
        <v>19</v>
      </c>
      <c r="C2664" s="85" t="s">
        <v>19</v>
      </c>
      <c r="D2664" s="86"/>
      <c r="E2664" s="116" t="str">
        <f t="shared" si="125"/>
        <v>-</v>
      </c>
      <c r="F2664" s="85"/>
      <c r="G2664" s="85" t="s">
        <v>19</v>
      </c>
      <c r="H2664" s="85"/>
      <c r="I2664" s="85"/>
      <c r="J2664" s="87"/>
      <c r="K2664" s="88">
        <f t="shared" si="126"/>
        <v>0</v>
      </c>
      <c r="L2664" s="85"/>
    </row>
    <row r="2665" spans="1:12" x14ac:dyDescent="0.25">
      <c r="A2665" s="84" t="str">
        <f t="shared" si="124"/>
        <v>SelecioneSelecioneSelecione</v>
      </c>
      <c r="B2665" s="85" t="s">
        <v>19</v>
      </c>
      <c r="C2665" s="85" t="s">
        <v>19</v>
      </c>
      <c r="D2665" s="86"/>
      <c r="E2665" s="116" t="str">
        <f t="shared" si="125"/>
        <v>-</v>
      </c>
      <c r="F2665" s="85"/>
      <c r="G2665" s="85" t="s">
        <v>19</v>
      </c>
      <c r="H2665" s="85"/>
      <c r="I2665" s="85"/>
      <c r="J2665" s="87"/>
      <c r="K2665" s="88">
        <f t="shared" si="126"/>
        <v>0</v>
      </c>
      <c r="L2665" s="85"/>
    </row>
    <row r="2666" spans="1:12" x14ac:dyDescent="0.25">
      <c r="A2666" s="84" t="str">
        <f t="shared" si="124"/>
        <v>SelecioneSelecioneSelecione</v>
      </c>
      <c r="B2666" s="85" t="s">
        <v>19</v>
      </c>
      <c r="C2666" s="85" t="s">
        <v>19</v>
      </c>
      <c r="D2666" s="86"/>
      <c r="E2666" s="116" t="str">
        <f t="shared" si="125"/>
        <v>-</v>
      </c>
      <c r="F2666" s="85"/>
      <c r="G2666" s="85" t="s">
        <v>19</v>
      </c>
      <c r="H2666" s="85"/>
      <c r="I2666" s="85"/>
      <c r="J2666" s="87"/>
      <c r="K2666" s="88">
        <f t="shared" si="126"/>
        <v>0</v>
      </c>
      <c r="L2666" s="85"/>
    </row>
    <row r="2667" spans="1:12" x14ac:dyDescent="0.25">
      <c r="A2667" s="84" t="str">
        <f t="shared" si="124"/>
        <v>SelecioneSelecioneSelecione</v>
      </c>
      <c r="B2667" s="85" t="s">
        <v>19</v>
      </c>
      <c r="C2667" s="85" t="s">
        <v>19</v>
      </c>
      <c r="D2667" s="86"/>
      <c r="E2667" s="116" t="str">
        <f t="shared" si="125"/>
        <v>-</v>
      </c>
      <c r="F2667" s="85"/>
      <c r="G2667" s="85" t="s">
        <v>19</v>
      </c>
      <c r="H2667" s="85"/>
      <c r="I2667" s="85"/>
      <c r="J2667" s="87"/>
      <c r="K2667" s="88">
        <f t="shared" si="126"/>
        <v>0</v>
      </c>
      <c r="L2667" s="85"/>
    </row>
    <row r="2668" spans="1:12" x14ac:dyDescent="0.25">
      <c r="A2668" s="84" t="str">
        <f t="shared" si="124"/>
        <v>SelecioneSelecioneSelecione</v>
      </c>
      <c r="B2668" s="85" t="s">
        <v>19</v>
      </c>
      <c r="C2668" s="85" t="s">
        <v>19</v>
      </c>
      <c r="D2668" s="86"/>
      <c r="E2668" s="116" t="str">
        <f t="shared" si="125"/>
        <v>-</v>
      </c>
      <c r="F2668" s="85"/>
      <c r="G2668" s="85" t="s">
        <v>19</v>
      </c>
      <c r="H2668" s="85"/>
      <c r="I2668" s="85"/>
      <c r="J2668" s="87"/>
      <c r="K2668" s="88">
        <f t="shared" si="126"/>
        <v>0</v>
      </c>
      <c r="L2668" s="85"/>
    </row>
    <row r="2669" spans="1:12" x14ac:dyDescent="0.25">
      <c r="A2669" s="84" t="str">
        <f t="shared" si="124"/>
        <v>SelecioneSelecioneSelecione</v>
      </c>
      <c r="B2669" s="85" t="s">
        <v>19</v>
      </c>
      <c r="C2669" s="85" t="s">
        <v>19</v>
      </c>
      <c r="D2669" s="86"/>
      <c r="E2669" s="116" t="str">
        <f t="shared" si="125"/>
        <v>-</v>
      </c>
      <c r="F2669" s="85"/>
      <c r="G2669" s="85" t="s">
        <v>19</v>
      </c>
      <c r="H2669" s="85"/>
      <c r="I2669" s="85"/>
      <c r="J2669" s="87"/>
      <c r="K2669" s="88">
        <f t="shared" si="126"/>
        <v>0</v>
      </c>
      <c r="L2669" s="85"/>
    </row>
    <row r="2670" spans="1:12" x14ac:dyDescent="0.25">
      <c r="A2670" s="84" t="str">
        <f t="shared" si="124"/>
        <v>SelecioneSelecioneSelecione</v>
      </c>
      <c r="B2670" s="85" t="s">
        <v>19</v>
      </c>
      <c r="C2670" s="85" t="s">
        <v>19</v>
      </c>
      <c r="D2670" s="86"/>
      <c r="E2670" s="116" t="str">
        <f t="shared" si="125"/>
        <v>-</v>
      </c>
      <c r="F2670" s="85"/>
      <c r="G2670" s="85" t="s">
        <v>19</v>
      </c>
      <c r="H2670" s="85"/>
      <c r="I2670" s="85"/>
      <c r="J2670" s="87"/>
      <c r="K2670" s="88">
        <f t="shared" si="126"/>
        <v>0</v>
      </c>
      <c r="L2670" s="85"/>
    </row>
    <row r="2671" spans="1:12" x14ac:dyDescent="0.25">
      <c r="A2671" s="84" t="str">
        <f t="shared" si="124"/>
        <v>SelecioneSelecioneSelecione</v>
      </c>
      <c r="B2671" s="85" t="s">
        <v>19</v>
      </c>
      <c r="C2671" s="85" t="s">
        <v>19</v>
      </c>
      <c r="D2671" s="86"/>
      <c r="E2671" s="116" t="str">
        <f t="shared" si="125"/>
        <v>-</v>
      </c>
      <c r="F2671" s="85"/>
      <c r="G2671" s="85" t="s">
        <v>19</v>
      </c>
      <c r="H2671" s="85"/>
      <c r="I2671" s="85"/>
      <c r="J2671" s="87"/>
      <c r="K2671" s="88">
        <f t="shared" si="126"/>
        <v>0</v>
      </c>
      <c r="L2671" s="85"/>
    </row>
    <row r="2672" spans="1:12" x14ac:dyDescent="0.25">
      <c r="A2672" s="84" t="str">
        <f t="shared" si="124"/>
        <v>SelecioneSelecioneSelecione</v>
      </c>
      <c r="B2672" s="85" t="s">
        <v>19</v>
      </c>
      <c r="C2672" s="85" t="s">
        <v>19</v>
      </c>
      <c r="D2672" s="86"/>
      <c r="E2672" s="116" t="str">
        <f t="shared" si="125"/>
        <v>-</v>
      </c>
      <c r="F2672" s="85"/>
      <c r="G2672" s="85" t="s">
        <v>19</v>
      </c>
      <c r="H2672" s="85"/>
      <c r="I2672" s="85"/>
      <c r="J2672" s="87"/>
      <c r="K2672" s="88">
        <f t="shared" si="126"/>
        <v>0</v>
      </c>
      <c r="L2672" s="85"/>
    </row>
    <row r="2673" spans="1:12" x14ac:dyDescent="0.25">
      <c r="A2673" s="84" t="str">
        <f t="shared" si="124"/>
        <v>SelecioneSelecioneSelecione</v>
      </c>
      <c r="B2673" s="85" t="s">
        <v>19</v>
      </c>
      <c r="C2673" s="85" t="s">
        <v>19</v>
      </c>
      <c r="D2673" s="86"/>
      <c r="E2673" s="116" t="str">
        <f t="shared" si="125"/>
        <v>-</v>
      </c>
      <c r="F2673" s="85"/>
      <c r="G2673" s="85" t="s">
        <v>19</v>
      </c>
      <c r="H2673" s="85"/>
      <c r="I2673" s="85"/>
      <c r="J2673" s="87"/>
      <c r="K2673" s="88">
        <f t="shared" si="126"/>
        <v>0</v>
      </c>
      <c r="L2673" s="85"/>
    </row>
    <row r="2674" spans="1:12" x14ac:dyDescent="0.25">
      <c r="A2674" s="84" t="str">
        <f t="shared" si="124"/>
        <v>SelecioneSelecioneSelecione</v>
      </c>
      <c r="B2674" s="85" t="s">
        <v>19</v>
      </c>
      <c r="C2674" s="85" t="s">
        <v>19</v>
      </c>
      <c r="D2674" s="86"/>
      <c r="E2674" s="116" t="str">
        <f t="shared" si="125"/>
        <v>-</v>
      </c>
      <c r="F2674" s="85"/>
      <c r="G2674" s="85" t="s">
        <v>19</v>
      </c>
      <c r="H2674" s="85"/>
      <c r="I2674" s="85"/>
      <c r="J2674" s="87"/>
      <c r="K2674" s="88">
        <f t="shared" si="126"/>
        <v>0</v>
      </c>
      <c r="L2674" s="85"/>
    </row>
    <row r="2675" spans="1:12" x14ac:dyDescent="0.25">
      <c r="A2675" s="84" t="str">
        <f t="shared" si="124"/>
        <v>SelecioneSelecioneSelecione</v>
      </c>
      <c r="B2675" s="85" t="s">
        <v>19</v>
      </c>
      <c r="C2675" s="85" t="s">
        <v>19</v>
      </c>
      <c r="D2675" s="86"/>
      <c r="E2675" s="116" t="str">
        <f t="shared" si="125"/>
        <v>-</v>
      </c>
      <c r="F2675" s="85"/>
      <c r="G2675" s="85" t="s">
        <v>19</v>
      </c>
      <c r="H2675" s="85"/>
      <c r="I2675" s="85"/>
      <c r="J2675" s="87"/>
      <c r="K2675" s="88">
        <f t="shared" si="126"/>
        <v>0</v>
      </c>
      <c r="L2675" s="85"/>
    </row>
    <row r="2676" spans="1:12" x14ac:dyDescent="0.25">
      <c r="A2676" s="84" t="str">
        <f t="shared" si="124"/>
        <v>SelecioneSelecioneSelecione</v>
      </c>
      <c r="B2676" s="85" t="s">
        <v>19</v>
      </c>
      <c r="C2676" s="85" t="s">
        <v>19</v>
      </c>
      <c r="D2676" s="86"/>
      <c r="E2676" s="116" t="str">
        <f t="shared" si="125"/>
        <v>-</v>
      </c>
      <c r="F2676" s="85"/>
      <c r="G2676" s="85" t="s">
        <v>19</v>
      </c>
      <c r="H2676" s="85"/>
      <c r="I2676" s="85"/>
      <c r="J2676" s="87"/>
      <c r="K2676" s="88">
        <f t="shared" si="126"/>
        <v>0</v>
      </c>
      <c r="L2676" s="85"/>
    </row>
    <row r="2677" spans="1:12" x14ac:dyDescent="0.25">
      <c r="A2677" s="84" t="str">
        <f t="shared" si="124"/>
        <v>SelecioneSelecioneSelecione</v>
      </c>
      <c r="B2677" s="85" t="s">
        <v>19</v>
      </c>
      <c r="C2677" s="85" t="s">
        <v>19</v>
      </c>
      <c r="D2677" s="86"/>
      <c r="E2677" s="116" t="str">
        <f t="shared" si="125"/>
        <v>-</v>
      </c>
      <c r="F2677" s="85"/>
      <c r="G2677" s="85" t="s">
        <v>19</v>
      </c>
      <c r="H2677" s="85"/>
      <c r="I2677" s="85"/>
      <c r="J2677" s="87"/>
      <c r="K2677" s="88">
        <f t="shared" si="126"/>
        <v>0</v>
      </c>
      <c r="L2677" s="85"/>
    </row>
    <row r="2678" spans="1:12" x14ac:dyDescent="0.25">
      <c r="A2678" s="84" t="str">
        <f t="shared" si="124"/>
        <v>SelecioneSelecioneSelecione</v>
      </c>
      <c r="B2678" s="85" t="s">
        <v>19</v>
      </c>
      <c r="C2678" s="85" t="s">
        <v>19</v>
      </c>
      <c r="D2678" s="86"/>
      <c r="E2678" s="116" t="str">
        <f t="shared" si="125"/>
        <v>-</v>
      </c>
      <c r="F2678" s="85"/>
      <c r="G2678" s="85" t="s">
        <v>19</v>
      </c>
      <c r="H2678" s="85"/>
      <c r="I2678" s="85"/>
      <c r="J2678" s="87"/>
      <c r="K2678" s="88">
        <f t="shared" si="126"/>
        <v>0</v>
      </c>
      <c r="L2678" s="85"/>
    </row>
    <row r="2679" spans="1:12" x14ac:dyDescent="0.25">
      <c r="A2679" s="84" t="str">
        <f t="shared" si="124"/>
        <v>SelecioneSelecioneSelecione</v>
      </c>
      <c r="B2679" s="85" t="s">
        <v>19</v>
      </c>
      <c r="C2679" s="85" t="s">
        <v>19</v>
      </c>
      <c r="D2679" s="86"/>
      <c r="E2679" s="116" t="str">
        <f t="shared" si="125"/>
        <v>-</v>
      </c>
      <c r="F2679" s="85"/>
      <c r="G2679" s="85" t="s">
        <v>19</v>
      </c>
      <c r="H2679" s="85"/>
      <c r="I2679" s="85"/>
      <c r="J2679" s="87"/>
      <c r="K2679" s="88">
        <f t="shared" si="126"/>
        <v>0</v>
      </c>
      <c r="L2679" s="85"/>
    </row>
    <row r="2680" spans="1:12" x14ac:dyDescent="0.25">
      <c r="A2680" s="84" t="str">
        <f t="shared" si="124"/>
        <v>SelecioneSelecioneSelecione</v>
      </c>
      <c r="B2680" s="85" t="s">
        <v>19</v>
      </c>
      <c r="C2680" s="85" t="s">
        <v>19</v>
      </c>
      <c r="D2680" s="86"/>
      <c r="E2680" s="116" t="str">
        <f t="shared" si="125"/>
        <v>-</v>
      </c>
      <c r="F2680" s="85"/>
      <c r="G2680" s="85" t="s">
        <v>19</v>
      </c>
      <c r="H2680" s="85"/>
      <c r="I2680" s="85"/>
      <c r="J2680" s="87"/>
      <c r="K2680" s="88">
        <f t="shared" si="126"/>
        <v>0</v>
      </c>
      <c r="L2680" s="85"/>
    </row>
    <row r="2681" spans="1:12" x14ac:dyDescent="0.25">
      <c r="A2681" s="84" t="str">
        <f t="shared" si="124"/>
        <v>SelecioneSelecioneSelecione</v>
      </c>
      <c r="B2681" s="85" t="s">
        <v>19</v>
      </c>
      <c r="C2681" s="85" t="s">
        <v>19</v>
      </c>
      <c r="D2681" s="86"/>
      <c r="E2681" s="116" t="str">
        <f t="shared" si="125"/>
        <v>-</v>
      </c>
      <c r="F2681" s="85"/>
      <c r="G2681" s="85" t="s">
        <v>19</v>
      </c>
      <c r="H2681" s="85"/>
      <c r="I2681" s="85"/>
      <c r="J2681" s="87"/>
      <c r="K2681" s="88">
        <f t="shared" si="126"/>
        <v>0</v>
      </c>
      <c r="L2681" s="85"/>
    </row>
    <row r="2682" spans="1:12" x14ac:dyDescent="0.25">
      <c r="A2682" s="84" t="str">
        <f t="shared" si="124"/>
        <v>SelecioneSelecioneSelecione</v>
      </c>
      <c r="B2682" s="85" t="s">
        <v>19</v>
      </c>
      <c r="C2682" s="85" t="s">
        <v>19</v>
      </c>
      <c r="D2682" s="86"/>
      <c r="E2682" s="116" t="str">
        <f t="shared" si="125"/>
        <v>-</v>
      </c>
      <c r="F2682" s="85"/>
      <c r="G2682" s="85" t="s">
        <v>19</v>
      </c>
      <c r="H2682" s="85"/>
      <c r="I2682" s="85"/>
      <c r="J2682" s="87"/>
      <c r="K2682" s="88">
        <f t="shared" si="126"/>
        <v>0</v>
      </c>
      <c r="L2682" s="85"/>
    </row>
    <row r="2683" spans="1:12" x14ac:dyDescent="0.25">
      <c r="A2683" s="84" t="str">
        <f t="shared" si="124"/>
        <v>SelecioneSelecioneSelecione</v>
      </c>
      <c r="B2683" s="85" t="s">
        <v>19</v>
      </c>
      <c r="C2683" s="85" t="s">
        <v>19</v>
      </c>
      <c r="D2683" s="86"/>
      <c r="E2683" s="116" t="str">
        <f t="shared" si="125"/>
        <v>-</v>
      </c>
      <c r="F2683" s="85"/>
      <c r="G2683" s="85" t="s">
        <v>19</v>
      </c>
      <c r="H2683" s="85"/>
      <c r="I2683" s="85"/>
      <c r="J2683" s="87"/>
      <c r="K2683" s="88">
        <f t="shared" si="126"/>
        <v>0</v>
      </c>
      <c r="L2683" s="85"/>
    </row>
    <row r="2684" spans="1:12" x14ac:dyDescent="0.25">
      <c r="A2684" s="84" t="str">
        <f t="shared" si="124"/>
        <v>SelecioneSelecioneSelecione</v>
      </c>
      <c r="B2684" s="85" t="s">
        <v>19</v>
      </c>
      <c r="C2684" s="85" t="s">
        <v>19</v>
      </c>
      <c r="D2684" s="86"/>
      <c r="E2684" s="116" t="str">
        <f t="shared" si="125"/>
        <v>-</v>
      </c>
      <c r="F2684" s="85"/>
      <c r="G2684" s="85" t="s">
        <v>19</v>
      </c>
      <c r="H2684" s="85"/>
      <c r="I2684" s="85"/>
      <c r="J2684" s="87"/>
      <c r="K2684" s="88">
        <f t="shared" si="126"/>
        <v>0</v>
      </c>
      <c r="L2684" s="85"/>
    </row>
    <row r="2685" spans="1:12" x14ac:dyDescent="0.25">
      <c r="A2685" s="84" t="str">
        <f t="shared" si="124"/>
        <v>SelecioneSelecioneSelecione</v>
      </c>
      <c r="B2685" s="85" t="s">
        <v>19</v>
      </c>
      <c r="C2685" s="85" t="s">
        <v>19</v>
      </c>
      <c r="D2685" s="86"/>
      <c r="E2685" s="116" t="str">
        <f t="shared" si="125"/>
        <v>-</v>
      </c>
      <c r="F2685" s="85"/>
      <c r="G2685" s="85" t="s">
        <v>19</v>
      </c>
      <c r="H2685" s="85"/>
      <c r="I2685" s="85"/>
      <c r="J2685" s="87"/>
      <c r="K2685" s="88">
        <f t="shared" si="126"/>
        <v>0</v>
      </c>
      <c r="L2685" s="85"/>
    </row>
    <row r="2686" spans="1:12" x14ac:dyDescent="0.25">
      <c r="A2686" s="84" t="str">
        <f t="shared" si="124"/>
        <v>SelecioneSelecioneSelecione</v>
      </c>
      <c r="B2686" s="85" t="s">
        <v>19</v>
      </c>
      <c r="C2686" s="85" t="s">
        <v>19</v>
      </c>
      <c r="D2686" s="86"/>
      <c r="E2686" s="116" t="str">
        <f t="shared" si="125"/>
        <v>-</v>
      </c>
      <c r="F2686" s="85"/>
      <c r="G2686" s="85" t="s">
        <v>19</v>
      </c>
      <c r="H2686" s="85"/>
      <c r="I2686" s="85"/>
      <c r="J2686" s="87"/>
      <c r="K2686" s="88">
        <f t="shared" si="126"/>
        <v>0</v>
      </c>
      <c r="L2686" s="85"/>
    </row>
    <row r="2687" spans="1:12" x14ac:dyDescent="0.25">
      <c r="A2687" s="84" t="str">
        <f t="shared" si="124"/>
        <v>SelecioneSelecioneSelecione</v>
      </c>
      <c r="B2687" s="85" t="s">
        <v>19</v>
      </c>
      <c r="C2687" s="85" t="s">
        <v>19</v>
      </c>
      <c r="D2687" s="86"/>
      <c r="E2687" s="116" t="str">
        <f t="shared" si="125"/>
        <v>-</v>
      </c>
      <c r="F2687" s="85"/>
      <c r="G2687" s="85" t="s">
        <v>19</v>
      </c>
      <c r="H2687" s="85"/>
      <c r="I2687" s="85"/>
      <c r="J2687" s="87"/>
      <c r="K2687" s="88">
        <f t="shared" si="126"/>
        <v>0</v>
      </c>
      <c r="L2687" s="85"/>
    </row>
    <row r="2688" spans="1:12" x14ac:dyDescent="0.25">
      <c r="A2688" s="84" t="str">
        <f t="shared" si="124"/>
        <v>SelecioneSelecioneSelecione</v>
      </c>
      <c r="B2688" s="85" t="s">
        <v>19</v>
      </c>
      <c r="C2688" s="85" t="s">
        <v>19</v>
      </c>
      <c r="D2688" s="86"/>
      <c r="E2688" s="116" t="str">
        <f t="shared" si="125"/>
        <v>-</v>
      </c>
      <c r="F2688" s="85"/>
      <c r="G2688" s="85" t="s">
        <v>19</v>
      </c>
      <c r="H2688" s="85"/>
      <c r="I2688" s="85"/>
      <c r="J2688" s="87"/>
      <c r="K2688" s="88">
        <f t="shared" si="126"/>
        <v>0</v>
      </c>
      <c r="L2688" s="85"/>
    </row>
    <row r="2689" spans="1:12" x14ac:dyDescent="0.25">
      <c r="A2689" s="84" t="str">
        <f t="shared" si="124"/>
        <v>SelecioneSelecioneSelecione</v>
      </c>
      <c r="B2689" s="85" t="s">
        <v>19</v>
      </c>
      <c r="C2689" s="85" t="s">
        <v>19</v>
      </c>
      <c r="D2689" s="86"/>
      <c r="E2689" s="116" t="str">
        <f t="shared" si="125"/>
        <v>-</v>
      </c>
      <c r="F2689" s="85"/>
      <c r="G2689" s="85" t="s">
        <v>19</v>
      </c>
      <c r="H2689" s="85"/>
      <c r="I2689" s="85"/>
      <c r="J2689" s="87"/>
      <c r="K2689" s="88">
        <f t="shared" si="126"/>
        <v>0</v>
      </c>
      <c r="L2689" s="85"/>
    </row>
    <row r="2690" spans="1:12" x14ac:dyDescent="0.25">
      <c r="A2690" s="84" t="str">
        <f t="shared" ref="A2690:A2753" si="127">CONCATENATE(B2690,C2690,G2690)</f>
        <v>SelecioneSelecioneSelecione</v>
      </c>
      <c r="B2690" s="85" t="s">
        <v>19</v>
      </c>
      <c r="C2690" s="85" t="s">
        <v>19</v>
      </c>
      <c r="D2690" s="86"/>
      <c r="E2690" s="116" t="str">
        <f t="shared" ref="E2690:E2753" si="128">VLOOKUP(G2690,$M$1:$O$968,3,0)</f>
        <v>-</v>
      </c>
      <c r="F2690" s="85"/>
      <c r="G2690" s="85" t="s">
        <v>19</v>
      </c>
      <c r="H2690" s="85"/>
      <c r="I2690" s="85"/>
      <c r="J2690" s="87"/>
      <c r="K2690" s="88">
        <f t="shared" ref="K2690:K2753" si="129">I2690*J2690</f>
        <v>0</v>
      </c>
      <c r="L2690" s="85"/>
    </row>
    <row r="2691" spans="1:12" x14ac:dyDescent="0.25">
      <c r="A2691" s="84" t="str">
        <f t="shared" si="127"/>
        <v>SelecioneSelecioneSelecione</v>
      </c>
      <c r="B2691" s="85" t="s">
        <v>19</v>
      </c>
      <c r="C2691" s="85" t="s">
        <v>19</v>
      </c>
      <c r="D2691" s="86"/>
      <c r="E2691" s="116" t="str">
        <f t="shared" si="128"/>
        <v>-</v>
      </c>
      <c r="F2691" s="85"/>
      <c r="G2691" s="85" t="s">
        <v>19</v>
      </c>
      <c r="H2691" s="85"/>
      <c r="I2691" s="85"/>
      <c r="J2691" s="87"/>
      <c r="K2691" s="88">
        <f t="shared" si="129"/>
        <v>0</v>
      </c>
      <c r="L2691" s="85"/>
    </row>
    <row r="2692" spans="1:12" x14ac:dyDescent="0.25">
      <c r="A2692" s="84" t="str">
        <f t="shared" si="127"/>
        <v>SelecioneSelecioneSelecione</v>
      </c>
      <c r="B2692" s="85" t="s">
        <v>19</v>
      </c>
      <c r="C2692" s="85" t="s">
        <v>19</v>
      </c>
      <c r="D2692" s="86"/>
      <c r="E2692" s="116" t="str">
        <f t="shared" si="128"/>
        <v>-</v>
      </c>
      <c r="F2692" s="85"/>
      <c r="G2692" s="85" t="s">
        <v>19</v>
      </c>
      <c r="H2692" s="85"/>
      <c r="I2692" s="85"/>
      <c r="J2692" s="87"/>
      <c r="K2692" s="88">
        <f t="shared" si="129"/>
        <v>0</v>
      </c>
      <c r="L2692" s="85"/>
    </row>
    <row r="2693" spans="1:12" x14ac:dyDescent="0.25">
      <c r="A2693" s="84" t="str">
        <f t="shared" si="127"/>
        <v>SelecioneSelecioneSelecione</v>
      </c>
      <c r="B2693" s="85" t="s">
        <v>19</v>
      </c>
      <c r="C2693" s="85" t="s">
        <v>19</v>
      </c>
      <c r="D2693" s="86"/>
      <c r="E2693" s="116" t="str">
        <f t="shared" si="128"/>
        <v>-</v>
      </c>
      <c r="F2693" s="85"/>
      <c r="G2693" s="85" t="s">
        <v>19</v>
      </c>
      <c r="H2693" s="85"/>
      <c r="I2693" s="85"/>
      <c r="J2693" s="87"/>
      <c r="K2693" s="88">
        <f t="shared" si="129"/>
        <v>0</v>
      </c>
      <c r="L2693" s="85"/>
    </row>
    <row r="2694" spans="1:12" x14ac:dyDescent="0.25">
      <c r="A2694" s="84" t="str">
        <f t="shared" si="127"/>
        <v>SelecioneSelecioneSelecione</v>
      </c>
      <c r="B2694" s="85" t="s">
        <v>19</v>
      </c>
      <c r="C2694" s="85" t="s">
        <v>19</v>
      </c>
      <c r="D2694" s="86"/>
      <c r="E2694" s="116" t="str">
        <f t="shared" si="128"/>
        <v>-</v>
      </c>
      <c r="F2694" s="85"/>
      <c r="G2694" s="85" t="s">
        <v>19</v>
      </c>
      <c r="H2694" s="85"/>
      <c r="I2694" s="85"/>
      <c r="J2694" s="87"/>
      <c r="K2694" s="88">
        <f t="shared" si="129"/>
        <v>0</v>
      </c>
      <c r="L2694" s="85"/>
    </row>
    <row r="2695" spans="1:12" x14ac:dyDescent="0.25">
      <c r="A2695" s="84" t="str">
        <f t="shared" si="127"/>
        <v>SelecioneSelecioneSelecione</v>
      </c>
      <c r="B2695" s="85" t="s">
        <v>19</v>
      </c>
      <c r="C2695" s="85" t="s">
        <v>19</v>
      </c>
      <c r="D2695" s="86"/>
      <c r="E2695" s="116" t="str">
        <f t="shared" si="128"/>
        <v>-</v>
      </c>
      <c r="F2695" s="85"/>
      <c r="G2695" s="85" t="s">
        <v>19</v>
      </c>
      <c r="H2695" s="85"/>
      <c r="I2695" s="85"/>
      <c r="J2695" s="87"/>
      <c r="K2695" s="88">
        <f t="shared" si="129"/>
        <v>0</v>
      </c>
      <c r="L2695" s="85"/>
    </row>
    <row r="2696" spans="1:12" x14ac:dyDescent="0.25">
      <c r="A2696" s="84" t="str">
        <f t="shared" si="127"/>
        <v>SelecioneSelecioneSelecione</v>
      </c>
      <c r="B2696" s="85" t="s">
        <v>19</v>
      </c>
      <c r="C2696" s="85" t="s">
        <v>19</v>
      </c>
      <c r="D2696" s="86"/>
      <c r="E2696" s="116" t="str">
        <f t="shared" si="128"/>
        <v>-</v>
      </c>
      <c r="F2696" s="85"/>
      <c r="G2696" s="85" t="s">
        <v>19</v>
      </c>
      <c r="H2696" s="85"/>
      <c r="I2696" s="85"/>
      <c r="J2696" s="87"/>
      <c r="K2696" s="88">
        <f t="shared" si="129"/>
        <v>0</v>
      </c>
      <c r="L2696" s="85"/>
    </row>
    <row r="2697" spans="1:12" x14ac:dyDescent="0.25">
      <c r="A2697" s="84" t="str">
        <f t="shared" si="127"/>
        <v>SelecioneSelecioneSelecione</v>
      </c>
      <c r="B2697" s="85" t="s">
        <v>19</v>
      </c>
      <c r="C2697" s="85" t="s">
        <v>19</v>
      </c>
      <c r="D2697" s="86"/>
      <c r="E2697" s="116" t="str">
        <f t="shared" si="128"/>
        <v>-</v>
      </c>
      <c r="F2697" s="85"/>
      <c r="G2697" s="85" t="s">
        <v>19</v>
      </c>
      <c r="H2697" s="85"/>
      <c r="I2697" s="85"/>
      <c r="J2697" s="87"/>
      <c r="K2697" s="88">
        <f t="shared" si="129"/>
        <v>0</v>
      </c>
      <c r="L2697" s="85"/>
    </row>
    <row r="2698" spans="1:12" x14ac:dyDescent="0.25">
      <c r="A2698" s="84" t="str">
        <f t="shared" si="127"/>
        <v>SelecioneSelecioneSelecione</v>
      </c>
      <c r="B2698" s="85" t="s">
        <v>19</v>
      </c>
      <c r="C2698" s="85" t="s">
        <v>19</v>
      </c>
      <c r="D2698" s="86"/>
      <c r="E2698" s="116" t="str">
        <f t="shared" si="128"/>
        <v>-</v>
      </c>
      <c r="F2698" s="85"/>
      <c r="G2698" s="85" t="s">
        <v>19</v>
      </c>
      <c r="H2698" s="85"/>
      <c r="I2698" s="85"/>
      <c r="J2698" s="87"/>
      <c r="K2698" s="88">
        <f t="shared" si="129"/>
        <v>0</v>
      </c>
      <c r="L2698" s="85"/>
    </row>
    <row r="2699" spans="1:12" x14ac:dyDescent="0.25">
      <c r="A2699" s="84" t="str">
        <f t="shared" si="127"/>
        <v>SelecioneSelecioneSelecione</v>
      </c>
      <c r="B2699" s="85" t="s">
        <v>19</v>
      </c>
      <c r="C2699" s="85" t="s">
        <v>19</v>
      </c>
      <c r="D2699" s="86"/>
      <c r="E2699" s="116" t="str">
        <f t="shared" si="128"/>
        <v>-</v>
      </c>
      <c r="F2699" s="85"/>
      <c r="G2699" s="85" t="s">
        <v>19</v>
      </c>
      <c r="H2699" s="85"/>
      <c r="I2699" s="85"/>
      <c r="J2699" s="87"/>
      <c r="K2699" s="88">
        <f t="shared" si="129"/>
        <v>0</v>
      </c>
      <c r="L2699" s="85"/>
    </row>
    <row r="2700" spans="1:12" x14ac:dyDescent="0.25">
      <c r="A2700" s="84" t="str">
        <f t="shared" si="127"/>
        <v>SelecioneSelecioneSelecione</v>
      </c>
      <c r="B2700" s="85" t="s">
        <v>19</v>
      </c>
      <c r="C2700" s="85" t="s">
        <v>19</v>
      </c>
      <c r="D2700" s="86"/>
      <c r="E2700" s="116" t="str">
        <f t="shared" si="128"/>
        <v>-</v>
      </c>
      <c r="F2700" s="85"/>
      <c r="G2700" s="85" t="s">
        <v>19</v>
      </c>
      <c r="H2700" s="85"/>
      <c r="I2700" s="85"/>
      <c r="J2700" s="87"/>
      <c r="K2700" s="88">
        <f t="shared" si="129"/>
        <v>0</v>
      </c>
      <c r="L2700" s="85"/>
    </row>
    <row r="2701" spans="1:12" x14ac:dyDescent="0.25">
      <c r="A2701" s="84" t="str">
        <f t="shared" si="127"/>
        <v>SelecioneSelecioneSelecione</v>
      </c>
      <c r="B2701" s="85" t="s">
        <v>19</v>
      </c>
      <c r="C2701" s="85" t="s">
        <v>19</v>
      </c>
      <c r="D2701" s="86"/>
      <c r="E2701" s="116" t="str">
        <f t="shared" si="128"/>
        <v>-</v>
      </c>
      <c r="F2701" s="85"/>
      <c r="G2701" s="85" t="s">
        <v>19</v>
      </c>
      <c r="H2701" s="85"/>
      <c r="I2701" s="85"/>
      <c r="J2701" s="87"/>
      <c r="K2701" s="88">
        <f t="shared" si="129"/>
        <v>0</v>
      </c>
      <c r="L2701" s="85"/>
    </row>
    <row r="2702" spans="1:12" x14ac:dyDescent="0.25">
      <c r="A2702" s="84" t="str">
        <f t="shared" si="127"/>
        <v>SelecioneSelecioneSelecione</v>
      </c>
      <c r="B2702" s="85" t="s">
        <v>19</v>
      </c>
      <c r="C2702" s="85" t="s">
        <v>19</v>
      </c>
      <c r="D2702" s="86"/>
      <c r="E2702" s="116" t="str">
        <f t="shared" si="128"/>
        <v>-</v>
      </c>
      <c r="F2702" s="85"/>
      <c r="G2702" s="85" t="s">
        <v>19</v>
      </c>
      <c r="H2702" s="85"/>
      <c r="I2702" s="85"/>
      <c r="J2702" s="87"/>
      <c r="K2702" s="88">
        <f t="shared" si="129"/>
        <v>0</v>
      </c>
      <c r="L2702" s="85"/>
    </row>
    <row r="2703" spans="1:12" x14ac:dyDescent="0.25">
      <c r="A2703" s="84" t="str">
        <f t="shared" si="127"/>
        <v>SelecioneSelecioneSelecione</v>
      </c>
      <c r="B2703" s="85" t="s">
        <v>19</v>
      </c>
      <c r="C2703" s="85" t="s">
        <v>19</v>
      </c>
      <c r="D2703" s="86"/>
      <c r="E2703" s="116" t="str">
        <f t="shared" si="128"/>
        <v>-</v>
      </c>
      <c r="F2703" s="85"/>
      <c r="G2703" s="85" t="s">
        <v>19</v>
      </c>
      <c r="H2703" s="85"/>
      <c r="I2703" s="85"/>
      <c r="J2703" s="87"/>
      <c r="K2703" s="88">
        <f t="shared" si="129"/>
        <v>0</v>
      </c>
      <c r="L2703" s="85"/>
    </row>
    <row r="2704" spans="1:12" x14ac:dyDescent="0.25">
      <c r="A2704" s="84" t="str">
        <f t="shared" si="127"/>
        <v>SelecioneSelecioneSelecione</v>
      </c>
      <c r="B2704" s="85" t="s">
        <v>19</v>
      </c>
      <c r="C2704" s="85" t="s">
        <v>19</v>
      </c>
      <c r="D2704" s="86"/>
      <c r="E2704" s="116" t="str">
        <f t="shared" si="128"/>
        <v>-</v>
      </c>
      <c r="F2704" s="85"/>
      <c r="G2704" s="85" t="s">
        <v>19</v>
      </c>
      <c r="H2704" s="85"/>
      <c r="I2704" s="85"/>
      <c r="J2704" s="87"/>
      <c r="K2704" s="88">
        <f t="shared" si="129"/>
        <v>0</v>
      </c>
      <c r="L2704" s="85"/>
    </row>
    <row r="2705" spans="1:12" x14ac:dyDescent="0.25">
      <c r="A2705" s="84" t="str">
        <f t="shared" si="127"/>
        <v>SelecioneSelecioneSelecione</v>
      </c>
      <c r="B2705" s="85" t="s">
        <v>19</v>
      </c>
      <c r="C2705" s="85" t="s">
        <v>19</v>
      </c>
      <c r="D2705" s="86"/>
      <c r="E2705" s="116" t="str">
        <f t="shared" si="128"/>
        <v>-</v>
      </c>
      <c r="F2705" s="85"/>
      <c r="G2705" s="85" t="s">
        <v>19</v>
      </c>
      <c r="H2705" s="85"/>
      <c r="I2705" s="85"/>
      <c r="J2705" s="87"/>
      <c r="K2705" s="88">
        <f t="shared" si="129"/>
        <v>0</v>
      </c>
      <c r="L2705" s="85"/>
    </row>
    <row r="2706" spans="1:12" x14ac:dyDescent="0.25">
      <c r="A2706" s="84" t="str">
        <f t="shared" si="127"/>
        <v>SelecioneSelecioneSelecione</v>
      </c>
      <c r="B2706" s="85" t="s">
        <v>19</v>
      </c>
      <c r="C2706" s="85" t="s">
        <v>19</v>
      </c>
      <c r="D2706" s="86"/>
      <c r="E2706" s="116" t="str">
        <f t="shared" si="128"/>
        <v>-</v>
      </c>
      <c r="F2706" s="85"/>
      <c r="G2706" s="85" t="s">
        <v>19</v>
      </c>
      <c r="H2706" s="85"/>
      <c r="I2706" s="85"/>
      <c r="J2706" s="87"/>
      <c r="K2706" s="88">
        <f t="shared" si="129"/>
        <v>0</v>
      </c>
      <c r="L2706" s="85"/>
    </row>
    <row r="2707" spans="1:12" x14ac:dyDescent="0.25">
      <c r="A2707" s="84" t="str">
        <f t="shared" si="127"/>
        <v>SelecioneSelecioneSelecione</v>
      </c>
      <c r="B2707" s="85" t="s">
        <v>19</v>
      </c>
      <c r="C2707" s="85" t="s">
        <v>19</v>
      </c>
      <c r="D2707" s="86"/>
      <c r="E2707" s="116" t="str">
        <f t="shared" si="128"/>
        <v>-</v>
      </c>
      <c r="F2707" s="85"/>
      <c r="G2707" s="85" t="s">
        <v>19</v>
      </c>
      <c r="H2707" s="85"/>
      <c r="I2707" s="85"/>
      <c r="J2707" s="87"/>
      <c r="K2707" s="88">
        <f t="shared" si="129"/>
        <v>0</v>
      </c>
      <c r="L2707" s="85"/>
    </row>
    <row r="2708" spans="1:12" x14ac:dyDescent="0.25">
      <c r="A2708" s="84" t="str">
        <f t="shared" si="127"/>
        <v>SelecioneSelecioneSelecione</v>
      </c>
      <c r="B2708" s="85" t="s">
        <v>19</v>
      </c>
      <c r="C2708" s="85" t="s">
        <v>19</v>
      </c>
      <c r="D2708" s="86"/>
      <c r="E2708" s="116" t="str">
        <f t="shared" si="128"/>
        <v>-</v>
      </c>
      <c r="F2708" s="85"/>
      <c r="G2708" s="85" t="s">
        <v>19</v>
      </c>
      <c r="H2708" s="85"/>
      <c r="I2708" s="85"/>
      <c r="J2708" s="87"/>
      <c r="K2708" s="88">
        <f t="shared" si="129"/>
        <v>0</v>
      </c>
      <c r="L2708" s="85"/>
    </row>
    <row r="2709" spans="1:12" x14ac:dyDescent="0.25">
      <c r="A2709" s="84" t="str">
        <f t="shared" si="127"/>
        <v>SelecioneSelecioneSelecione</v>
      </c>
      <c r="B2709" s="85" t="s">
        <v>19</v>
      </c>
      <c r="C2709" s="85" t="s">
        <v>19</v>
      </c>
      <c r="D2709" s="86"/>
      <c r="E2709" s="116" t="str">
        <f t="shared" si="128"/>
        <v>-</v>
      </c>
      <c r="F2709" s="85"/>
      <c r="G2709" s="85" t="s">
        <v>19</v>
      </c>
      <c r="H2709" s="85"/>
      <c r="I2709" s="85"/>
      <c r="J2709" s="87"/>
      <c r="K2709" s="88">
        <f t="shared" si="129"/>
        <v>0</v>
      </c>
      <c r="L2709" s="85"/>
    </row>
    <row r="2710" spans="1:12" x14ac:dyDescent="0.25">
      <c r="A2710" s="84" t="str">
        <f t="shared" si="127"/>
        <v>SelecioneSelecioneSelecione</v>
      </c>
      <c r="B2710" s="85" t="s">
        <v>19</v>
      </c>
      <c r="C2710" s="85" t="s">
        <v>19</v>
      </c>
      <c r="D2710" s="86"/>
      <c r="E2710" s="116" t="str">
        <f t="shared" si="128"/>
        <v>-</v>
      </c>
      <c r="F2710" s="85"/>
      <c r="G2710" s="85" t="s">
        <v>19</v>
      </c>
      <c r="H2710" s="85"/>
      <c r="I2710" s="85"/>
      <c r="J2710" s="87"/>
      <c r="K2710" s="88">
        <f t="shared" si="129"/>
        <v>0</v>
      </c>
      <c r="L2710" s="85"/>
    </row>
    <row r="2711" spans="1:12" x14ac:dyDescent="0.25">
      <c r="A2711" s="84" t="str">
        <f t="shared" si="127"/>
        <v>SelecioneSelecioneSelecione</v>
      </c>
      <c r="B2711" s="85" t="s">
        <v>19</v>
      </c>
      <c r="C2711" s="85" t="s">
        <v>19</v>
      </c>
      <c r="D2711" s="86"/>
      <c r="E2711" s="116" t="str">
        <f t="shared" si="128"/>
        <v>-</v>
      </c>
      <c r="F2711" s="85"/>
      <c r="G2711" s="85" t="s">
        <v>19</v>
      </c>
      <c r="H2711" s="85"/>
      <c r="I2711" s="85"/>
      <c r="J2711" s="87"/>
      <c r="K2711" s="88">
        <f t="shared" si="129"/>
        <v>0</v>
      </c>
      <c r="L2711" s="85"/>
    </row>
    <row r="2712" spans="1:12" x14ac:dyDescent="0.25">
      <c r="A2712" s="84" t="str">
        <f t="shared" si="127"/>
        <v>SelecioneSelecioneSelecione</v>
      </c>
      <c r="B2712" s="85" t="s">
        <v>19</v>
      </c>
      <c r="C2712" s="85" t="s">
        <v>19</v>
      </c>
      <c r="D2712" s="86"/>
      <c r="E2712" s="116" t="str">
        <f t="shared" si="128"/>
        <v>-</v>
      </c>
      <c r="F2712" s="85"/>
      <c r="G2712" s="85" t="s">
        <v>19</v>
      </c>
      <c r="H2712" s="85"/>
      <c r="I2712" s="85"/>
      <c r="J2712" s="87"/>
      <c r="K2712" s="88">
        <f t="shared" si="129"/>
        <v>0</v>
      </c>
      <c r="L2712" s="85"/>
    </row>
    <row r="2713" spans="1:12" x14ac:dyDescent="0.25">
      <c r="A2713" s="84" t="str">
        <f t="shared" si="127"/>
        <v>SelecioneSelecioneSelecione</v>
      </c>
      <c r="B2713" s="85" t="s">
        <v>19</v>
      </c>
      <c r="C2713" s="85" t="s">
        <v>19</v>
      </c>
      <c r="D2713" s="86"/>
      <c r="E2713" s="116" t="str">
        <f t="shared" si="128"/>
        <v>-</v>
      </c>
      <c r="F2713" s="85"/>
      <c r="G2713" s="85" t="s">
        <v>19</v>
      </c>
      <c r="H2713" s="85"/>
      <c r="I2713" s="85"/>
      <c r="J2713" s="87"/>
      <c r="K2713" s="88">
        <f t="shared" si="129"/>
        <v>0</v>
      </c>
      <c r="L2713" s="85"/>
    </row>
    <row r="2714" spans="1:12" x14ac:dyDescent="0.25">
      <c r="A2714" s="84" t="str">
        <f t="shared" si="127"/>
        <v>SelecioneSelecioneSelecione</v>
      </c>
      <c r="B2714" s="85" t="s">
        <v>19</v>
      </c>
      <c r="C2714" s="85" t="s">
        <v>19</v>
      </c>
      <c r="D2714" s="86"/>
      <c r="E2714" s="116" t="str">
        <f t="shared" si="128"/>
        <v>-</v>
      </c>
      <c r="F2714" s="85"/>
      <c r="G2714" s="85" t="s">
        <v>19</v>
      </c>
      <c r="H2714" s="85"/>
      <c r="I2714" s="85"/>
      <c r="J2714" s="87"/>
      <c r="K2714" s="88">
        <f t="shared" si="129"/>
        <v>0</v>
      </c>
      <c r="L2714" s="85"/>
    </row>
    <row r="2715" spans="1:12" x14ac:dyDescent="0.25">
      <c r="A2715" s="84" t="str">
        <f t="shared" si="127"/>
        <v>SelecioneSelecioneSelecione</v>
      </c>
      <c r="B2715" s="85" t="s">
        <v>19</v>
      </c>
      <c r="C2715" s="85" t="s">
        <v>19</v>
      </c>
      <c r="D2715" s="86"/>
      <c r="E2715" s="116" t="str">
        <f t="shared" si="128"/>
        <v>-</v>
      </c>
      <c r="F2715" s="85"/>
      <c r="G2715" s="85" t="s">
        <v>19</v>
      </c>
      <c r="H2715" s="85"/>
      <c r="I2715" s="85"/>
      <c r="J2715" s="87"/>
      <c r="K2715" s="88">
        <f t="shared" si="129"/>
        <v>0</v>
      </c>
      <c r="L2715" s="85"/>
    </row>
    <row r="2716" spans="1:12" x14ac:dyDescent="0.25">
      <c r="A2716" s="84" t="str">
        <f t="shared" si="127"/>
        <v>SelecioneSelecioneSelecione</v>
      </c>
      <c r="B2716" s="85" t="s">
        <v>19</v>
      </c>
      <c r="C2716" s="85" t="s">
        <v>19</v>
      </c>
      <c r="D2716" s="86"/>
      <c r="E2716" s="116" t="str">
        <f t="shared" si="128"/>
        <v>-</v>
      </c>
      <c r="F2716" s="85"/>
      <c r="G2716" s="85" t="s">
        <v>19</v>
      </c>
      <c r="H2716" s="85"/>
      <c r="I2716" s="85"/>
      <c r="J2716" s="87"/>
      <c r="K2716" s="88">
        <f t="shared" si="129"/>
        <v>0</v>
      </c>
      <c r="L2716" s="85"/>
    </row>
    <row r="2717" spans="1:12" x14ac:dyDescent="0.25">
      <c r="A2717" s="84" t="str">
        <f t="shared" si="127"/>
        <v>SelecioneSelecioneSelecione</v>
      </c>
      <c r="B2717" s="85" t="s">
        <v>19</v>
      </c>
      <c r="C2717" s="85" t="s">
        <v>19</v>
      </c>
      <c r="D2717" s="86"/>
      <c r="E2717" s="116" t="str">
        <f t="shared" si="128"/>
        <v>-</v>
      </c>
      <c r="F2717" s="85"/>
      <c r="G2717" s="85" t="s">
        <v>19</v>
      </c>
      <c r="H2717" s="85"/>
      <c r="I2717" s="85"/>
      <c r="J2717" s="87"/>
      <c r="K2717" s="88">
        <f t="shared" si="129"/>
        <v>0</v>
      </c>
      <c r="L2717" s="85"/>
    </row>
    <row r="2718" spans="1:12" x14ac:dyDescent="0.25">
      <c r="A2718" s="84" t="str">
        <f t="shared" si="127"/>
        <v>SelecioneSelecioneSelecione</v>
      </c>
      <c r="B2718" s="85" t="s">
        <v>19</v>
      </c>
      <c r="C2718" s="85" t="s">
        <v>19</v>
      </c>
      <c r="D2718" s="86"/>
      <c r="E2718" s="116" t="str">
        <f t="shared" si="128"/>
        <v>-</v>
      </c>
      <c r="F2718" s="85"/>
      <c r="G2718" s="85" t="s">
        <v>19</v>
      </c>
      <c r="H2718" s="85"/>
      <c r="I2718" s="85"/>
      <c r="J2718" s="87"/>
      <c r="K2718" s="88">
        <f t="shared" si="129"/>
        <v>0</v>
      </c>
      <c r="L2718" s="85"/>
    </row>
    <row r="2719" spans="1:12" x14ac:dyDescent="0.25">
      <c r="A2719" s="84" t="str">
        <f t="shared" si="127"/>
        <v>SelecioneSelecioneSelecione</v>
      </c>
      <c r="B2719" s="85" t="s">
        <v>19</v>
      </c>
      <c r="C2719" s="85" t="s">
        <v>19</v>
      </c>
      <c r="D2719" s="86"/>
      <c r="E2719" s="116" t="str">
        <f t="shared" si="128"/>
        <v>-</v>
      </c>
      <c r="F2719" s="85"/>
      <c r="G2719" s="85" t="s">
        <v>19</v>
      </c>
      <c r="H2719" s="85"/>
      <c r="I2719" s="85"/>
      <c r="J2719" s="87"/>
      <c r="K2719" s="88">
        <f t="shared" si="129"/>
        <v>0</v>
      </c>
      <c r="L2719" s="85"/>
    </row>
    <row r="2720" spans="1:12" x14ac:dyDescent="0.25">
      <c r="A2720" s="84" t="str">
        <f t="shared" si="127"/>
        <v>SelecioneSelecioneSelecione</v>
      </c>
      <c r="B2720" s="85" t="s">
        <v>19</v>
      </c>
      <c r="C2720" s="85" t="s">
        <v>19</v>
      </c>
      <c r="D2720" s="86"/>
      <c r="E2720" s="116" t="str">
        <f t="shared" si="128"/>
        <v>-</v>
      </c>
      <c r="F2720" s="85"/>
      <c r="G2720" s="85" t="s">
        <v>19</v>
      </c>
      <c r="H2720" s="85"/>
      <c r="I2720" s="85"/>
      <c r="J2720" s="87"/>
      <c r="K2720" s="88">
        <f t="shared" si="129"/>
        <v>0</v>
      </c>
      <c r="L2720" s="85"/>
    </row>
    <row r="2721" spans="1:12" x14ac:dyDescent="0.25">
      <c r="A2721" s="84" t="str">
        <f t="shared" si="127"/>
        <v>SelecioneSelecioneSelecione</v>
      </c>
      <c r="B2721" s="85" t="s">
        <v>19</v>
      </c>
      <c r="C2721" s="85" t="s">
        <v>19</v>
      </c>
      <c r="D2721" s="86"/>
      <c r="E2721" s="116" t="str">
        <f t="shared" si="128"/>
        <v>-</v>
      </c>
      <c r="F2721" s="85"/>
      <c r="G2721" s="85" t="s">
        <v>19</v>
      </c>
      <c r="H2721" s="85"/>
      <c r="I2721" s="85"/>
      <c r="J2721" s="87"/>
      <c r="K2721" s="88">
        <f t="shared" si="129"/>
        <v>0</v>
      </c>
      <c r="L2721" s="85"/>
    </row>
    <row r="2722" spans="1:12" x14ac:dyDescent="0.25">
      <c r="A2722" s="84" t="str">
        <f t="shared" si="127"/>
        <v>SelecioneSelecioneSelecione</v>
      </c>
      <c r="B2722" s="85" t="s">
        <v>19</v>
      </c>
      <c r="C2722" s="85" t="s">
        <v>19</v>
      </c>
      <c r="D2722" s="86"/>
      <c r="E2722" s="116" t="str">
        <f t="shared" si="128"/>
        <v>-</v>
      </c>
      <c r="F2722" s="85"/>
      <c r="G2722" s="85" t="s">
        <v>19</v>
      </c>
      <c r="H2722" s="85"/>
      <c r="I2722" s="85"/>
      <c r="J2722" s="87"/>
      <c r="K2722" s="88">
        <f t="shared" si="129"/>
        <v>0</v>
      </c>
      <c r="L2722" s="85"/>
    </row>
    <row r="2723" spans="1:12" x14ac:dyDescent="0.25">
      <c r="A2723" s="84" t="str">
        <f t="shared" si="127"/>
        <v>SelecioneSelecioneSelecione</v>
      </c>
      <c r="B2723" s="85" t="s">
        <v>19</v>
      </c>
      <c r="C2723" s="85" t="s">
        <v>19</v>
      </c>
      <c r="D2723" s="86"/>
      <c r="E2723" s="116" t="str">
        <f t="shared" si="128"/>
        <v>-</v>
      </c>
      <c r="F2723" s="85"/>
      <c r="G2723" s="85" t="s">
        <v>19</v>
      </c>
      <c r="H2723" s="85"/>
      <c r="I2723" s="85"/>
      <c r="J2723" s="87"/>
      <c r="K2723" s="88">
        <f t="shared" si="129"/>
        <v>0</v>
      </c>
      <c r="L2723" s="85"/>
    </row>
    <row r="2724" spans="1:12" x14ac:dyDescent="0.25">
      <c r="A2724" s="84" t="str">
        <f t="shared" si="127"/>
        <v>SelecioneSelecioneSelecione</v>
      </c>
      <c r="B2724" s="85" t="s">
        <v>19</v>
      </c>
      <c r="C2724" s="85" t="s">
        <v>19</v>
      </c>
      <c r="D2724" s="86"/>
      <c r="E2724" s="116" t="str">
        <f t="shared" si="128"/>
        <v>-</v>
      </c>
      <c r="F2724" s="85"/>
      <c r="G2724" s="85" t="s">
        <v>19</v>
      </c>
      <c r="H2724" s="85"/>
      <c r="I2724" s="85"/>
      <c r="J2724" s="87"/>
      <c r="K2724" s="88">
        <f t="shared" si="129"/>
        <v>0</v>
      </c>
      <c r="L2724" s="85"/>
    </row>
    <row r="2725" spans="1:12" x14ac:dyDescent="0.25">
      <c r="A2725" s="84" t="str">
        <f t="shared" si="127"/>
        <v>SelecioneSelecioneSelecione</v>
      </c>
      <c r="B2725" s="85" t="s">
        <v>19</v>
      </c>
      <c r="C2725" s="85" t="s">
        <v>19</v>
      </c>
      <c r="D2725" s="86"/>
      <c r="E2725" s="116" t="str">
        <f t="shared" si="128"/>
        <v>-</v>
      </c>
      <c r="F2725" s="85"/>
      <c r="G2725" s="85" t="s">
        <v>19</v>
      </c>
      <c r="H2725" s="85"/>
      <c r="I2725" s="85"/>
      <c r="J2725" s="87"/>
      <c r="K2725" s="88">
        <f t="shared" si="129"/>
        <v>0</v>
      </c>
      <c r="L2725" s="85"/>
    </row>
    <row r="2726" spans="1:12" x14ac:dyDescent="0.25">
      <c r="A2726" s="84" t="str">
        <f t="shared" si="127"/>
        <v>SelecioneSelecioneSelecione</v>
      </c>
      <c r="B2726" s="85" t="s">
        <v>19</v>
      </c>
      <c r="C2726" s="85" t="s">
        <v>19</v>
      </c>
      <c r="D2726" s="86"/>
      <c r="E2726" s="116" t="str">
        <f t="shared" si="128"/>
        <v>-</v>
      </c>
      <c r="F2726" s="85"/>
      <c r="G2726" s="85" t="s">
        <v>19</v>
      </c>
      <c r="H2726" s="85"/>
      <c r="I2726" s="85"/>
      <c r="J2726" s="87"/>
      <c r="K2726" s="88">
        <f t="shared" si="129"/>
        <v>0</v>
      </c>
      <c r="L2726" s="85"/>
    </row>
    <row r="2727" spans="1:12" x14ac:dyDescent="0.25">
      <c r="A2727" s="84" t="str">
        <f t="shared" si="127"/>
        <v>SelecioneSelecioneSelecione</v>
      </c>
      <c r="B2727" s="85" t="s">
        <v>19</v>
      </c>
      <c r="C2727" s="85" t="s">
        <v>19</v>
      </c>
      <c r="D2727" s="86"/>
      <c r="E2727" s="116" t="str">
        <f t="shared" si="128"/>
        <v>-</v>
      </c>
      <c r="F2727" s="85"/>
      <c r="G2727" s="85" t="s">
        <v>19</v>
      </c>
      <c r="H2727" s="85"/>
      <c r="I2727" s="85"/>
      <c r="J2727" s="87"/>
      <c r="K2727" s="88">
        <f t="shared" si="129"/>
        <v>0</v>
      </c>
      <c r="L2727" s="85"/>
    </row>
    <row r="2728" spans="1:12" x14ac:dyDescent="0.25">
      <c r="A2728" s="84" t="str">
        <f t="shared" si="127"/>
        <v>SelecioneSelecioneSelecione</v>
      </c>
      <c r="B2728" s="85" t="s">
        <v>19</v>
      </c>
      <c r="C2728" s="85" t="s">
        <v>19</v>
      </c>
      <c r="D2728" s="86"/>
      <c r="E2728" s="116" t="str">
        <f t="shared" si="128"/>
        <v>-</v>
      </c>
      <c r="F2728" s="85"/>
      <c r="G2728" s="85" t="s">
        <v>19</v>
      </c>
      <c r="H2728" s="85"/>
      <c r="I2728" s="85"/>
      <c r="J2728" s="87"/>
      <c r="K2728" s="88">
        <f t="shared" si="129"/>
        <v>0</v>
      </c>
      <c r="L2728" s="85"/>
    </row>
    <row r="2729" spans="1:12" x14ac:dyDescent="0.25">
      <c r="A2729" s="84" t="str">
        <f t="shared" si="127"/>
        <v>SelecioneSelecioneSelecione</v>
      </c>
      <c r="B2729" s="85" t="s">
        <v>19</v>
      </c>
      <c r="C2729" s="85" t="s">
        <v>19</v>
      </c>
      <c r="D2729" s="86"/>
      <c r="E2729" s="116" t="str">
        <f t="shared" si="128"/>
        <v>-</v>
      </c>
      <c r="F2729" s="85"/>
      <c r="G2729" s="85" t="s">
        <v>19</v>
      </c>
      <c r="H2729" s="85"/>
      <c r="I2729" s="85"/>
      <c r="J2729" s="87"/>
      <c r="K2729" s="88">
        <f t="shared" si="129"/>
        <v>0</v>
      </c>
      <c r="L2729" s="85"/>
    </row>
    <row r="2730" spans="1:12" x14ac:dyDescent="0.25">
      <c r="A2730" s="84" t="str">
        <f t="shared" si="127"/>
        <v>SelecioneSelecioneSelecione</v>
      </c>
      <c r="B2730" s="85" t="s">
        <v>19</v>
      </c>
      <c r="C2730" s="85" t="s">
        <v>19</v>
      </c>
      <c r="D2730" s="86"/>
      <c r="E2730" s="116" t="str">
        <f t="shared" si="128"/>
        <v>-</v>
      </c>
      <c r="F2730" s="85"/>
      <c r="G2730" s="85" t="s">
        <v>19</v>
      </c>
      <c r="H2730" s="85"/>
      <c r="I2730" s="85"/>
      <c r="J2730" s="87"/>
      <c r="K2730" s="88">
        <f t="shared" si="129"/>
        <v>0</v>
      </c>
      <c r="L2730" s="85"/>
    </row>
    <row r="2731" spans="1:12" x14ac:dyDescent="0.25">
      <c r="A2731" s="84" t="str">
        <f t="shared" si="127"/>
        <v>SelecioneSelecioneSelecione</v>
      </c>
      <c r="B2731" s="85" t="s">
        <v>19</v>
      </c>
      <c r="C2731" s="85" t="s">
        <v>19</v>
      </c>
      <c r="D2731" s="93"/>
      <c r="E2731" s="116" t="str">
        <f t="shared" si="128"/>
        <v>-</v>
      </c>
      <c r="F2731" s="90"/>
      <c r="G2731" s="85" t="s">
        <v>19</v>
      </c>
      <c r="H2731" s="85"/>
      <c r="I2731" s="90"/>
      <c r="J2731" s="89"/>
      <c r="K2731" s="88">
        <f t="shared" si="129"/>
        <v>0</v>
      </c>
      <c r="L2731" s="90"/>
    </row>
    <row r="2732" spans="1:12" x14ac:dyDescent="0.25">
      <c r="A2732" s="84" t="str">
        <f t="shared" si="127"/>
        <v>SelecioneSelecioneSelecione</v>
      </c>
      <c r="B2732" s="85" t="s">
        <v>19</v>
      </c>
      <c r="C2732" s="85" t="s">
        <v>19</v>
      </c>
      <c r="D2732" s="86"/>
      <c r="E2732" s="116" t="str">
        <f t="shared" si="128"/>
        <v>-</v>
      </c>
      <c r="F2732" s="85"/>
      <c r="G2732" s="85" t="s">
        <v>19</v>
      </c>
      <c r="H2732" s="85"/>
      <c r="I2732" s="85"/>
      <c r="J2732" s="87"/>
      <c r="K2732" s="88">
        <f t="shared" si="129"/>
        <v>0</v>
      </c>
      <c r="L2732" s="85"/>
    </row>
    <row r="2733" spans="1:12" x14ac:dyDescent="0.25">
      <c r="A2733" s="84" t="str">
        <f t="shared" si="127"/>
        <v>SelecioneSelecioneSelecione</v>
      </c>
      <c r="B2733" s="85" t="s">
        <v>19</v>
      </c>
      <c r="C2733" s="85" t="s">
        <v>19</v>
      </c>
      <c r="D2733" s="86"/>
      <c r="E2733" s="116" t="str">
        <f t="shared" si="128"/>
        <v>-</v>
      </c>
      <c r="F2733" s="85"/>
      <c r="G2733" s="85" t="s">
        <v>19</v>
      </c>
      <c r="H2733" s="85"/>
      <c r="I2733" s="85"/>
      <c r="J2733" s="87"/>
      <c r="K2733" s="88">
        <f t="shared" si="129"/>
        <v>0</v>
      </c>
      <c r="L2733" s="85"/>
    </row>
    <row r="2734" spans="1:12" x14ac:dyDescent="0.25">
      <c r="A2734" s="84" t="str">
        <f t="shared" si="127"/>
        <v>SelecioneSelecioneSelecione</v>
      </c>
      <c r="B2734" s="85" t="s">
        <v>19</v>
      </c>
      <c r="C2734" s="85" t="s">
        <v>19</v>
      </c>
      <c r="D2734" s="86"/>
      <c r="E2734" s="116" t="str">
        <f t="shared" si="128"/>
        <v>-</v>
      </c>
      <c r="F2734" s="85"/>
      <c r="G2734" s="85" t="s">
        <v>19</v>
      </c>
      <c r="H2734" s="85"/>
      <c r="I2734" s="85"/>
      <c r="J2734" s="87"/>
      <c r="K2734" s="88">
        <f t="shared" si="129"/>
        <v>0</v>
      </c>
      <c r="L2734" s="85"/>
    </row>
    <row r="2735" spans="1:12" x14ac:dyDescent="0.25">
      <c r="A2735" s="84" t="str">
        <f t="shared" si="127"/>
        <v>SelecioneSelecioneSelecione</v>
      </c>
      <c r="B2735" s="85" t="s">
        <v>19</v>
      </c>
      <c r="C2735" s="85" t="s">
        <v>19</v>
      </c>
      <c r="D2735" s="86"/>
      <c r="E2735" s="116" t="str">
        <f t="shared" si="128"/>
        <v>-</v>
      </c>
      <c r="F2735" s="85"/>
      <c r="G2735" s="85" t="s">
        <v>19</v>
      </c>
      <c r="H2735" s="85"/>
      <c r="I2735" s="85"/>
      <c r="J2735" s="87"/>
      <c r="K2735" s="88">
        <f t="shared" si="129"/>
        <v>0</v>
      </c>
      <c r="L2735" s="85"/>
    </row>
    <row r="2736" spans="1:12" x14ac:dyDescent="0.25">
      <c r="A2736" s="84" t="str">
        <f t="shared" si="127"/>
        <v>SelecioneSelecioneSelecione</v>
      </c>
      <c r="B2736" s="85" t="s">
        <v>19</v>
      </c>
      <c r="C2736" s="85" t="s">
        <v>19</v>
      </c>
      <c r="D2736" s="93"/>
      <c r="E2736" s="116" t="str">
        <f t="shared" si="128"/>
        <v>-</v>
      </c>
      <c r="F2736" s="90"/>
      <c r="G2736" s="85" t="s">
        <v>19</v>
      </c>
      <c r="H2736" s="85"/>
      <c r="I2736" s="90"/>
      <c r="J2736" s="89"/>
      <c r="K2736" s="88">
        <f t="shared" si="129"/>
        <v>0</v>
      </c>
      <c r="L2736" s="90"/>
    </row>
    <row r="2737" spans="1:12" x14ac:dyDescent="0.25">
      <c r="A2737" s="84" t="str">
        <f t="shared" si="127"/>
        <v>SelecioneSelecioneSelecione</v>
      </c>
      <c r="B2737" s="85" t="s">
        <v>19</v>
      </c>
      <c r="C2737" s="85" t="s">
        <v>19</v>
      </c>
      <c r="D2737" s="86"/>
      <c r="E2737" s="116" t="str">
        <f t="shared" si="128"/>
        <v>-</v>
      </c>
      <c r="F2737" s="85"/>
      <c r="G2737" s="85" t="s">
        <v>19</v>
      </c>
      <c r="H2737" s="85"/>
      <c r="I2737" s="85"/>
      <c r="J2737" s="87"/>
      <c r="K2737" s="88">
        <f t="shared" si="129"/>
        <v>0</v>
      </c>
      <c r="L2737" s="85"/>
    </row>
    <row r="2738" spans="1:12" x14ac:dyDescent="0.25">
      <c r="A2738" s="84" t="str">
        <f t="shared" si="127"/>
        <v>SelecioneSelecioneSelecione</v>
      </c>
      <c r="B2738" s="85" t="s">
        <v>19</v>
      </c>
      <c r="C2738" s="85" t="s">
        <v>19</v>
      </c>
      <c r="D2738" s="86"/>
      <c r="E2738" s="116" t="str">
        <f t="shared" si="128"/>
        <v>-</v>
      </c>
      <c r="F2738" s="85"/>
      <c r="G2738" s="85" t="s">
        <v>19</v>
      </c>
      <c r="H2738" s="85"/>
      <c r="I2738" s="85"/>
      <c r="J2738" s="87"/>
      <c r="K2738" s="88">
        <f t="shared" si="129"/>
        <v>0</v>
      </c>
      <c r="L2738" s="85"/>
    </row>
    <row r="2739" spans="1:12" x14ac:dyDescent="0.25">
      <c r="A2739" s="84" t="str">
        <f t="shared" si="127"/>
        <v>SelecioneSelecioneSelecione</v>
      </c>
      <c r="B2739" s="85" t="s">
        <v>19</v>
      </c>
      <c r="C2739" s="85" t="s">
        <v>19</v>
      </c>
      <c r="D2739" s="86"/>
      <c r="E2739" s="116" t="str">
        <f t="shared" si="128"/>
        <v>-</v>
      </c>
      <c r="F2739" s="85"/>
      <c r="G2739" s="85" t="s">
        <v>19</v>
      </c>
      <c r="H2739" s="85"/>
      <c r="I2739" s="85"/>
      <c r="J2739" s="87"/>
      <c r="K2739" s="88">
        <f t="shared" si="129"/>
        <v>0</v>
      </c>
      <c r="L2739" s="85"/>
    </row>
    <row r="2740" spans="1:12" x14ac:dyDescent="0.25">
      <c r="A2740" s="84" t="str">
        <f t="shared" si="127"/>
        <v>SelecioneSelecioneSelecione</v>
      </c>
      <c r="B2740" s="85" t="s">
        <v>19</v>
      </c>
      <c r="C2740" s="85" t="s">
        <v>19</v>
      </c>
      <c r="D2740" s="86"/>
      <c r="E2740" s="116" t="str">
        <f t="shared" si="128"/>
        <v>-</v>
      </c>
      <c r="F2740" s="85"/>
      <c r="G2740" s="85" t="s">
        <v>19</v>
      </c>
      <c r="H2740" s="85"/>
      <c r="I2740" s="85"/>
      <c r="J2740" s="87"/>
      <c r="K2740" s="88">
        <f t="shared" si="129"/>
        <v>0</v>
      </c>
      <c r="L2740" s="85"/>
    </row>
    <row r="2741" spans="1:12" x14ac:dyDescent="0.25">
      <c r="A2741" s="84" t="str">
        <f t="shared" si="127"/>
        <v>SelecioneSelecioneSelecione</v>
      </c>
      <c r="B2741" s="85" t="s">
        <v>19</v>
      </c>
      <c r="C2741" s="85" t="s">
        <v>19</v>
      </c>
      <c r="D2741" s="86"/>
      <c r="E2741" s="116" t="str">
        <f t="shared" si="128"/>
        <v>-</v>
      </c>
      <c r="F2741" s="85"/>
      <c r="G2741" s="85" t="s">
        <v>19</v>
      </c>
      <c r="H2741" s="85"/>
      <c r="I2741" s="85"/>
      <c r="J2741" s="87"/>
      <c r="K2741" s="88">
        <f t="shared" si="129"/>
        <v>0</v>
      </c>
      <c r="L2741" s="85"/>
    </row>
    <row r="2742" spans="1:12" x14ac:dyDescent="0.25">
      <c r="A2742" s="84" t="str">
        <f t="shared" si="127"/>
        <v>SelecioneSelecioneSelecione</v>
      </c>
      <c r="B2742" s="85" t="s">
        <v>19</v>
      </c>
      <c r="C2742" s="85" t="s">
        <v>19</v>
      </c>
      <c r="D2742" s="86"/>
      <c r="E2742" s="116" t="str">
        <f t="shared" si="128"/>
        <v>-</v>
      </c>
      <c r="F2742" s="85"/>
      <c r="G2742" s="85" t="s">
        <v>19</v>
      </c>
      <c r="H2742" s="85"/>
      <c r="I2742" s="85"/>
      <c r="J2742" s="87"/>
      <c r="K2742" s="88">
        <f t="shared" si="129"/>
        <v>0</v>
      </c>
      <c r="L2742" s="85"/>
    </row>
    <row r="2743" spans="1:12" x14ac:dyDescent="0.25">
      <c r="A2743" s="84" t="str">
        <f t="shared" si="127"/>
        <v>SelecioneSelecioneSelecione</v>
      </c>
      <c r="B2743" s="85" t="s">
        <v>19</v>
      </c>
      <c r="C2743" s="85" t="s">
        <v>19</v>
      </c>
      <c r="D2743" s="86"/>
      <c r="E2743" s="116" t="str">
        <f t="shared" si="128"/>
        <v>-</v>
      </c>
      <c r="F2743" s="85"/>
      <c r="G2743" s="85" t="s">
        <v>19</v>
      </c>
      <c r="H2743" s="85"/>
      <c r="I2743" s="85"/>
      <c r="J2743" s="87"/>
      <c r="K2743" s="88">
        <f t="shared" si="129"/>
        <v>0</v>
      </c>
      <c r="L2743" s="85"/>
    </row>
    <row r="2744" spans="1:12" x14ac:dyDescent="0.25">
      <c r="A2744" s="84" t="str">
        <f t="shared" si="127"/>
        <v>SelecioneSelecioneSelecione</v>
      </c>
      <c r="B2744" s="85" t="s">
        <v>19</v>
      </c>
      <c r="C2744" s="85" t="s">
        <v>19</v>
      </c>
      <c r="D2744" s="86"/>
      <c r="E2744" s="116" t="str">
        <f t="shared" si="128"/>
        <v>-</v>
      </c>
      <c r="F2744" s="85"/>
      <c r="G2744" s="85" t="s">
        <v>19</v>
      </c>
      <c r="H2744" s="85"/>
      <c r="I2744" s="85"/>
      <c r="J2744" s="87"/>
      <c r="K2744" s="88">
        <f t="shared" si="129"/>
        <v>0</v>
      </c>
      <c r="L2744" s="85"/>
    </row>
    <row r="2745" spans="1:12" x14ac:dyDescent="0.25">
      <c r="A2745" s="84" t="str">
        <f t="shared" si="127"/>
        <v>SelecioneSelecioneSelecione</v>
      </c>
      <c r="B2745" s="85" t="s">
        <v>19</v>
      </c>
      <c r="C2745" s="85" t="s">
        <v>19</v>
      </c>
      <c r="D2745" s="86"/>
      <c r="E2745" s="116" t="str">
        <f t="shared" si="128"/>
        <v>-</v>
      </c>
      <c r="F2745" s="85"/>
      <c r="G2745" s="85" t="s">
        <v>19</v>
      </c>
      <c r="H2745" s="85"/>
      <c r="I2745" s="85"/>
      <c r="J2745" s="87"/>
      <c r="K2745" s="88">
        <f t="shared" si="129"/>
        <v>0</v>
      </c>
      <c r="L2745" s="85"/>
    </row>
    <row r="2746" spans="1:12" x14ac:dyDescent="0.25">
      <c r="A2746" s="84" t="str">
        <f t="shared" si="127"/>
        <v>SelecioneSelecioneSelecione</v>
      </c>
      <c r="B2746" s="85" t="s">
        <v>19</v>
      </c>
      <c r="C2746" s="85" t="s">
        <v>19</v>
      </c>
      <c r="D2746" s="86"/>
      <c r="E2746" s="116" t="str">
        <f t="shared" si="128"/>
        <v>-</v>
      </c>
      <c r="F2746" s="85"/>
      <c r="G2746" s="85" t="s">
        <v>19</v>
      </c>
      <c r="H2746" s="85"/>
      <c r="I2746" s="85"/>
      <c r="J2746" s="87"/>
      <c r="K2746" s="88">
        <f t="shared" si="129"/>
        <v>0</v>
      </c>
      <c r="L2746" s="85"/>
    </row>
    <row r="2747" spans="1:12" x14ac:dyDescent="0.25">
      <c r="A2747" s="84" t="str">
        <f t="shared" si="127"/>
        <v>SelecioneSelecioneSelecione</v>
      </c>
      <c r="B2747" s="85" t="s">
        <v>19</v>
      </c>
      <c r="C2747" s="85" t="s">
        <v>19</v>
      </c>
      <c r="D2747" s="86"/>
      <c r="E2747" s="116" t="str">
        <f t="shared" si="128"/>
        <v>-</v>
      </c>
      <c r="F2747" s="85"/>
      <c r="G2747" s="85" t="s">
        <v>19</v>
      </c>
      <c r="H2747" s="85"/>
      <c r="I2747" s="85"/>
      <c r="J2747" s="87"/>
      <c r="K2747" s="88">
        <f t="shared" si="129"/>
        <v>0</v>
      </c>
      <c r="L2747" s="85"/>
    </row>
    <row r="2748" spans="1:12" x14ac:dyDescent="0.25">
      <c r="A2748" s="84" t="str">
        <f t="shared" si="127"/>
        <v>SelecioneSelecioneSelecione</v>
      </c>
      <c r="B2748" s="85" t="s">
        <v>19</v>
      </c>
      <c r="C2748" s="85" t="s">
        <v>19</v>
      </c>
      <c r="D2748" s="86"/>
      <c r="E2748" s="116" t="str">
        <f t="shared" si="128"/>
        <v>-</v>
      </c>
      <c r="F2748" s="85"/>
      <c r="G2748" s="85" t="s">
        <v>19</v>
      </c>
      <c r="H2748" s="85"/>
      <c r="I2748" s="85"/>
      <c r="J2748" s="87"/>
      <c r="K2748" s="88">
        <f t="shared" si="129"/>
        <v>0</v>
      </c>
      <c r="L2748" s="85"/>
    </row>
    <row r="2749" spans="1:12" x14ac:dyDescent="0.25">
      <c r="A2749" s="84" t="str">
        <f t="shared" si="127"/>
        <v>SelecioneSelecioneSelecione</v>
      </c>
      <c r="B2749" s="85" t="s">
        <v>19</v>
      </c>
      <c r="C2749" s="85" t="s">
        <v>19</v>
      </c>
      <c r="D2749" s="86"/>
      <c r="E2749" s="116" t="str">
        <f t="shared" si="128"/>
        <v>-</v>
      </c>
      <c r="F2749" s="85"/>
      <c r="G2749" s="85" t="s">
        <v>19</v>
      </c>
      <c r="H2749" s="85"/>
      <c r="I2749" s="85"/>
      <c r="J2749" s="87"/>
      <c r="K2749" s="88">
        <f t="shared" si="129"/>
        <v>0</v>
      </c>
      <c r="L2749" s="85"/>
    </row>
    <row r="2750" spans="1:12" x14ac:dyDescent="0.25">
      <c r="A2750" s="84" t="str">
        <f t="shared" si="127"/>
        <v>SelecioneSelecioneSelecione</v>
      </c>
      <c r="B2750" s="85" t="s">
        <v>19</v>
      </c>
      <c r="C2750" s="85" t="s">
        <v>19</v>
      </c>
      <c r="D2750" s="86"/>
      <c r="E2750" s="116" t="str">
        <f t="shared" si="128"/>
        <v>-</v>
      </c>
      <c r="F2750" s="85"/>
      <c r="G2750" s="85" t="s">
        <v>19</v>
      </c>
      <c r="H2750" s="85"/>
      <c r="I2750" s="85"/>
      <c r="J2750" s="87"/>
      <c r="K2750" s="88">
        <f t="shared" si="129"/>
        <v>0</v>
      </c>
      <c r="L2750" s="85"/>
    </row>
    <row r="2751" spans="1:12" x14ac:dyDescent="0.25">
      <c r="A2751" s="84" t="str">
        <f t="shared" si="127"/>
        <v>SelecioneSelecioneSelecione</v>
      </c>
      <c r="B2751" s="85" t="s">
        <v>19</v>
      </c>
      <c r="C2751" s="85" t="s">
        <v>19</v>
      </c>
      <c r="D2751" s="86"/>
      <c r="E2751" s="116" t="str">
        <f t="shared" si="128"/>
        <v>-</v>
      </c>
      <c r="F2751" s="85"/>
      <c r="G2751" s="85" t="s">
        <v>19</v>
      </c>
      <c r="H2751" s="85"/>
      <c r="I2751" s="85"/>
      <c r="J2751" s="87"/>
      <c r="K2751" s="88">
        <f t="shared" si="129"/>
        <v>0</v>
      </c>
      <c r="L2751" s="85"/>
    </row>
    <row r="2752" spans="1:12" x14ac:dyDescent="0.25">
      <c r="A2752" s="84" t="str">
        <f t="shared" si="127"/>
        <v>SelecioneSelecioneSelecione</v>
      </c>
      <c r="B2752" s="85" t="s">
        <v>19</v>
      </c>
      <c r="C2752" s="85" t="s">
        <v>19</v>
      </c>
      <c r="D2752" s="86"/>
      <c r="E2752" s="116" t="str">
        <f t="shared" si="128"/>
        <v>-</v>
      </c>
      <c r="F2752" s="85"/>
      <c r="G2752" s="85" t="s">
        <v>19</v>
      </c>
      <c r="H2752" s="85"/>
      <c r="I2752" s="85"/>
      <c r="J2752" s="87"/>
      <c r="K2752" s="88">
        <f t="shared" si="129"/>
        <v>0</v>
      </c>
      <c r="L2752" s="85"/>
    </row>
    <row r="2753" spans="1:12" x14ac:dyDescent="0.25">
      <c r="A2753" s="84" t="str">
        <f t="shared" si="127"/>
        <v>SelecioneSelecioneSelecione</v>
      </c>
      <c r="B2753" s="85" t="s">
        <v>19</v>
      </c>
      <c r="C2753" s="85" t="s">
        <v>19</v>
      </c>
      <c r="D2753" s="86"/>
      <c r="E2753" s="116" t="str">
        <f t="shared" si="128"/>
        <v>-</v>
      </c>
      <c r="F2753" s="85"/>
      <c r="G2753" s="85" t="s">
        <v>19</v>
      </c>
      <c r="H2753" s="85"/>
      <c r="I2753" s="85"/>
      <c r="J2753" s="87"/>
      <c r="K2753" s="88">
        <f t="shared" si="129"/>
        <v>0</v>
      </c>
      <c r="L2753" s="85"/>
    </row>
    <row r="2754" spans="1:12" x14ac:dyDescent="0.25">
      <c r="A2754" s="84" t="str">
        <f t="shared" ref="A2754:A2817" si="130">CONCATENATE(B2754,C2754,G2754)</f>
        <v>SelecioneSelecioneSelecione</v>
      </c>
      <c r="B2754" s="85" t="s">
        <v>19</v>
      </c>
      <c r="C2754" s="85" t="s">
        <v>19</v>
      </c>
      <c r="D2754" s="86"/>
      <c r="E2754" s="116" t="str">
        <f t="shared" ref="E2754:E2817" si="131">VLOOKUP(G2754,$M$1:$O$968,3,0)</f>
        <v>-</v>
      </c>
      <c r="F2754" s="85"/>
      <c r="G2754" s="85" t="s">
        <v>19</v>
      </c>
      <c r="H2754" s="85"/>
      <c r="I2754" s="85"/>
      <c r="J2754" s="87"/>
      <c r="K2754" s="88">
        <f t="shared" ref="K2754:K2817" si="132">I2754*J2754</f>
        <v>0</v>
      </c>
      <c r="L2754" s="85"/>
    </row>
    <row r="2755" spans="1:12" x14ac:dyDescent="0.25">
      <c r="A2755" s="84" t="str">
        <f t="shared" si="130"/>
        <v>SelecioneSelecioneSelecione</v>
      </c>
      <c r="B2755" s="85" t="s">
        <v>19</v>
      </c>
      <c r="C2755" s="85" t="s">
        <v>19</v>
      </c>
      <c r="D2755" s="86"/>
      <c r="E2755" s="116" t="str">
        <f t="shared" si="131"/>
        <v>-</v>
      </c>
      <c r="F2755" s="85"/>
      <c r="G2755" s="85" t="s">
        <v>19</v>
      </c>
      <c r="H2755" s="85"/>
      <c r="I2755" s="85"/>
      <c r="J2755" s="87"/>
      <c r="K2755" s="88">
        <f t="shared" si="132"/>
        <v>0</v>
      </c>
      <c r="L2755" s="85"/>
    </row>
    <row r="2756" spans="1:12" x14ac:dyDescent="0.25">
      <c r="A2756" s="84" t="str">
        <f t="shared" si="130"/>
        <v>SelecioneSelecioneSelecione</v>
      </c>
      <c r="B2756" s="85" t="s">
        <v>19</v>
      </c>
      <c r="C2756" s="85" t="s">
        <v>19</v>
      </c>
      <c r="D2756" s="86"/>
      <c r="E2756" s="116" t="str">
        <f t="shared" si="131"/>
        <v>-</v>
      </c>
      <c r="F2756" s="85"/>
      <c r="G2756" s="85" t="s">
        <v>19</v>
      </c>
      <c r="H2756" s="85"/>
      <c r="I2756" s="85"/>
      <c r="J2756" s="87"/>
      <c r="K2756" s="88">
        <f t="shared" si="132"/>
        <v>0</v>
      </c>
      <c r="L2756" s="85"/>
    </row>
    <row r="2757" spans="1:12" x14ac:dyDescent="0.25">
      <c r="A2757" s="84" t="str">
        <f t="shared" si="130"/>
        <v>SelecioneSelecioneSelecione</v>
      </c>
      <c r="B2757" s="85" t="s">
        <v>19</v>
      </c>
      <c r="C2757" s="85" t="s">
        <v>19</v>
      </c>
      <c r="D2757" s="86"/>
      <c r="E2757" s="116" t="str">
        <f t="shared" si="131"/>
        <v>-</v>
      </c>
      <c r="F2757" s="85"/>
      <c r="G2757" s="85" t="s">
        <v>19</v>
      </c>
      <c r="H2757" s="85"/>
      <c r="I2757" s="85"/>
      <c r="J2757" s="87"/>
      <c r="K2757" s="88">
        <f t="shared" si="132"/>
        <v>0</v>
      </c>
      <c r="L2757" s="85"/>
    </row>
    <row r="2758" spans="1:12" x14ac:dyDescent="0.25">
      <c r="A2758" s="84" t="str">
        <f t="shared" si="130"/>
        <v>SelecioneSelecioneSelecione</v>
      </c>
      <c r="B2758" s="85" t="s">
        <v>19</v>
      </c>
      <c r="C2758" s="85" t="s">
        <v>19</v>
      </c>
      <c r="D2758" s="86"/>
      <c r="E2758" s="116" t="str">
        <f t="shared" si="131"/>
        <v>-</v>
      </c>
      <c r="F2758" s="85"/>
      <c r="G2758" s="85" t="s">
        <v>19</v>
      </c>
      <c r="H2758" s="85"/>
      <c r="I2758" s="85"/>
      <c r="J2758" s="87"/>
      <c r="K2758" s="88">
        <f t="shared" si="132"/>
        <v>0</v>
      </c>
      <c r="L2758" s="85"/>
    </row>
    <row r="2759" spans="1:12" x14ac:dyDescent="0.25">
      <c r="A2759" s="84" t="str">
        <f t="shared" si="130"/>
        <v>SelecioneSelecioneSelecione</v>
      </c>
      <c r="B2759" s="85" t="s">
        <v>19</v>
      </c>
      <c r="C2759" s="85" t="s">
        <v>19</v>
      </c>
      <c r="D2759" s="86"/>
      <c r="E2759" s="116" t="str">
        <f t="shared" si="131"/>
        <v>-</v>
      </c>
      <c r="F2759" s="85"/>
      <c r="G2759" s="85" t="s">
        <v>19</v>
      </c>
      <c r="H2759" s="85"/>
      <c r="I2759" s="85"/>
      <c r="J2759" s="87"/>
      <c r="K2759" s="88">
        <f t="shared" si="132"/>
        <v>0</v>
      </c>
      <c r="L2759" s="85"/>
    </row>
    <row r="2760" spans="1:12" x14ac:dyDescent="0.25">
      <c r="A2760" s="84" t="str">
        <f t="shared" si="130"/>
        <v>SelecioneSelecioneSelecione</v>
      </c>
      <c r="B2760" s="85" t="s">
        <v>19</v>
      </c>
      <c r="C2760" s="85" t="s">
        <v>19</v>
      </c>
      <c r="D2760" s="86"/>
      <c r="E2760" s="116" t="str">
        <f t="shared" si="131"/>
        <v>-</v>
      </c>
      <c r="F2760" s="85"/>
      <c r="G2760" s="85" t="s">
        <v>19</v>
      </c>
      <c r="H2760" s="85"/>
      <c r="I2760" s="85"/>
      <c r="J2760" s="87"/>
      <c r="K2760" s="88">
        <f t="shared" si="132"/>
        <v>0</v>
      </c>
      <c r="L2760" s="85"/>
    </row>
    <row r="2761" spans="1:12" x14ac:dyDescent="0.25">
      <c r="A2761" s="84" t="str">
        <f t="shared" si="130"/>
        <v>SelecioneSelecioneSelecione</v>
      </c>
      <c r="B2761" s="85" t="s">
        <v>19</v>
      </c>
      <c r="C2761" s="85" t="s">
        <v>19</v>
      </c>
      <c r="D2761" s="86"/>
      <c r="E2761" s="116" t="str">
        <f t="shared" si="131"/>
        <v>-</v>
      </c>
      <c r="F2761" s="85"/>
      <c r="G2761" s="85" t="s">
        <v>19</v>
      </c>
      <c r="H2761" s="85"/>
      <c r="I2761" s="85"/>
      <c r="J2761" s="87"/>
      <c r="K2761" s="88">
        <f t="shared" si="132"/>
        <v>0</v>
      </c>
      <c r="L2761" s="85"/>
    </row>
    <row r="2762" spans="1:12" x14ac:dyDescent="0.25">
      <c r="A2762" s="84" t="str">
        <f t="shared" si="130"/>
        <v>SelecioneSelecioneSelecione</v>
      </c>
      <c r="B2762" s="85" t="s">
        <v>19</v>
      </c>
      <c r="C2762" s="85" t="s">
        <v>19</v>
      </c>
      <c r="D2762" s="86"/>
      <c r="E2762" s="116" t="str">
        <f t="shared" si="131"/>
        <v>-</v>
      </c>
      <c r="F2762" s="85"/>
      <c r="G2762" s="85" t="s">
        <v>19</v>
      </c>
      <c r="H2762" s="85"/>
      <c r="I2762" s="85"/>
      <c r="J2762" s="87"/>
      <c r="K2762" s="88">
        <f t="shared" si="132"/>
        <v>0</v>
      </c>
      <c r="L2762" s="85"/>
    </row>
    <row r="2763" spans="1:12" x14ac:dyDescent="0.25">
      <c r="A2763" s="84" t="str">
        <f t="shared" si="130"/>
        <v>SelecioneSelecioneSelecione</v>
      </c>
      <c r="B2763" s="85" t="s">
        <v>19</v>
      </c>
      <c r="C2763" s="85" t="s">
        <v>19</v>
      </c>
      <c r="D2763" s="86"/>
      <c r="E2763" s="116" t="str">
        <f t="shared" si="131"/>
        <v>-</v>
      </c>
      <c r="F2763" s="85"/>
      <c r="G2763" s="85" t="s">
        <v>19</v>
      </c>
      <c r="H2763" s="85"/>
      <c r="I2763" s="85"/>
      <c r="J2763" s="87"/>
      <c r="K2763" s="88">
        <f t="shared" si="132"/>
        <v>0</v>
      </c>
      <c r="L2763" s="85"/>
    </row>
    <row r="2764" spans="1:12" x14ac:dyDescent="0.25">
      <c r="A2764" s="84" t="str">
        <f t="shared" si="130"/>
        <v>SelecioneSelecioneSelecione</v>
      </c>
      <c r="B2764" s="85" t="s">
        <v>19</v>
      </c>
      <c r="C2764" s="85" t="s">
        <v>19</v>
      </c>
      <c r="D2764" s="86"/>
      <c r="E2764" s="116" t="str">
        <f t="shared" si="131"/>
        <v>-</v>
      </c>
      <c r="F2764" s="85"/>
      <c r="G2764" s="85" t="s">
        <v>19</v>
      </c>
      <c r="H2764" s="85"/>
      <c r="I2764" s="85"/>
      <c r="J2764" s="87"/>
      <c r="K2764" s="88">
        <f t="shared" si="132"/>
        <v>0</v>
      </c>
      <c r="L2764" s="85"/>
    </row>
    <row r="2765" spans="1:12" x14ac:dyDescent="0.25">
      <c r="A2765" s="84" t="str">
        <f t="shared" si="130"/>
        <v>SelecioneSelecioneSelecione</v>
      </c>
      <c r="B2765" s="85" t="s">
        <v>19</v>
      </c>
      <c r="C2765" s="85" t="s">
        <v>19</v>
      </c>
      <c r="D2765" s="86"/>
      <c r="E2765" s="116" t="str">
        <f t="shared" si="131"/>
        <v>-</v>
      </c>
      <c r="F2765" s="85"/>
      <c r="G2765" s="85" t="s">
        <v>19</v>
      </c>
      <c r="H2765" s="85"/>
      <c r="I2765" s="85"/>
      <c r="J2765" s="87"/>
      <c r="K2765" s="88">
        <f t="shared" si="132"/>
        <v>0</v>
      </c>
      <c r="L2765" s="85"/>
    </row>
    <row r="2766" spans="1:12" x14ac:dyDescent="0.25">
      <c r="A2766" s="84" t="str">
        <f t="shared" si="130"/>
        <v>SelecioneSelecioneSelecione</v>
      </c>
      <c r="B2766" s="85" t="s">
        <v>19</v>
      </c>
      <c r="C2766" s="85" t="s">
        <v>19</v>
      </c>
      <c r="D2766" s="86"/>
      <c r="E2766" s="116" t="str">
        <f t="shared" si="131"/>
        <v>-</v>
      </c>
      <c r="F2766" s="85"/>
      <c r="G2766" s="85" t="s">
        <v>19</v>
      </c>
      <c r="H2766" s="85"/>
      <c r="I2766" s="85"/>
      <c r="J2766" s="87"/>
      <c r="K2766" s="88">
        <f t="shared" si="132"/>
        <v>0</v>
      </c>
      <c r="L2766" s="85"/>
    </row>
    <row r="2767" spans="1:12" x14ac:dyDescent="0.25">
      <c r="A2767" s="84" t="str">
        <f t="shared" si="130"/>
        <v>SelecioneSelecioneSelecione</v>
      </c>
      <c r="B2767" s="85" t="s">
        <v>19</v>
      </c>
      <c r="C2767" s="85" t="s">
        <v>19</v>
      </c>
      <c r="D2767" s="86"/>
      <c r="E2767" s="116" t="str">
        <f t="shared" si="131"/>
        <v>-</v>
      </c>
      <c r="F2767" s="85"/>
      <c r="G2767" s="85" t="s">
        <v>19</v>
      </c>
      <c r="H2767" s="85"/>
      <c r="I2767" s="85"/>
      <c r="J2767" s="87"/>
      <c r="K2767" s="88">
        <f t="shared" si="132"/>
        <v>0</v>
      </c>
      <c r="L2767" s="85"/>
    </row>
    <row r="2768" spans="1:12" x14ac:dyDescent="0.25">
      <c r="A2768" s="84" t="str">
        <f t="shared" si="130"/>
        <v>SelecioneSelecioneSelecione</v>
      </c>
      <c r="B2768" s="85" t="s">
        <v>19</v>
      </c>
      <c r="C2768" s="85" t="s">
        <v>19</v>
      </c>
      <c r="D2768" s="86"/>
      <c r="E2768" s="116" t="str">
        <f t="shared" si="131"/>
        <v>-</v>
      </c>
      <c r="F2768" s="85"/>
      <c r="G2768" s="85" t="s">
        <v>19</v>
      </c>
      <c r="H2768" s="85"/>
      <c r="I2768" s="85"/>
      <c r="J2768" s="87"/>
      <c r="K2768" s="88">
        <f t="shared" si="132"/>
        <v>0</v>
      </c>
      <c r="L2768" s="85"/>
    </row>
    <row r="2769" spans="1:12" x14ac:dyDescent="0.25">
      <c r="A2769" s="84" t="str">
        <f t="shared" si="130"/>
        <v>SelecioneSelecioneSelecione</v>
      </c>
      <c r="B2769" s="85" t="s">
        <v>19</v>
      </c>
      <c r="C2769" s="85" t="s">
        <v>19</v>
      </c>
      <c r="D2769" s="86"/>
      <c r="E2769" s="116" t="str">
        <f t="shared" si="131"/>
        <v>-</v>
      </c>
      <c r="F2769" s="85"/>
      <c r="G2769" s="85" t="s">
        <v>19</v>
      </c>
      <c r="H2769" s="85"/>
      <c r="I2769" s="85"/>
      <c r="J2769" s="87"/>
      <c r="K2769" s="88">
        <f t="shared" si="132"/>
        <v>0</v>
      </c>
      <c r="L2769" s="85"/>
    </row>
    <row r="2770" spans="1:12" x14ac:dyDescent="0.25">
      <c r="A2770" s="84" t="str">
        <f t="shared" si="130"/>
        <v>SelecioneSelecioneSelecione</v>
      </c>
      <c r="B2770" s="85" t="s">
        <v>19</v>
      </c>
      <c r="C2770" s="85" t="s">
        <v>19</v>
      </c>
      <c r="D2770" s="86"/>
      <c r="E2770" s="116" t="str">
        <f t="shared" si="131"/>
        <v>-</v>
      </c>
      <c r="F2770" s="85"/>
      <c r="G2770" s="85" t="s">
        <v>19</v>
      </c>
      <c r="H2770" s="85"/>
      <c r="I2770" s="85"/>
      <c r="J2770" s="87"/>
      <c r="K2770" s="88">
        <f t="shared" si="132"/>
        <v>0</v>
      </c>
      <c r="L2770" s="85"/>
    </row>
    <row r="2771" spans="1:12" x14ac:dyDescent="0.25">
      <c r="A2771" s="84" t="str">
        <f t="shared" si="130"/>
        <v>SelecioneSelecioneSelecione</v>
      </c>
      <c r="B2771" s="85" t="s">
        <v>19</v>
      </c>
      <c r="C2771" s="85" t="s">
        <v>19</v>
      </c>
      <c r="D2771" s="86"/>
      <c r="E2771" s="116" t="str">
        <f t="shared" si="131"/>
        <v>-</v>
      </c>
      <c r="F2771" s="85"/>
      <c r="G2771" s="85" t="s">
        <v>19</v>
      </c>
      <c r="H2771" s="85"/>
      <c r="I2771" s="85"/>
      <c r="J2771" s="87"/>
      <c r="K2771" s="88">
        <f t="shared" si="132"/>
        <v>0</v>
      </c>
      <c r="L2771" s="85"/>
    </row>
    <row r="2772" spans="1:12" x14ac:dyDescent="0.25">
      <c r="A2772" s="84" t="str">
        <f t="shared" si="130"/>
        <v>SelecioneSelecioneSelecione</v>
      </c>
      <c r="B2772" s="85" t="s">
        <v>19</v>
      </c>
      <c r="C2772" s="85" t="s">
        <v>19</v>
      </c>
      <c r="D2772" s="86"/>
      <c r="E2772" s="116" t="str">
        <f t="shared" si="131"/>
        <v>-</v>
      </c>
      <c r="F2772" s="85"/>
      <c r="G2772" s="85" t="s">
        <v>19</v>
      </c>
      <c r="H2772" s="85"/>
      <c r="I2772" s="85"/>
      <c r="J2772" s="87"/>
      <c r="K2772" s="88">
        <f t="shared" si="132"/>
        <v>0</v>
      </c>
      <c r="L2772" s="85"/>
    </row>
    <row r="2773" spans="1:12" x14ac:dyDescent="0.25">
      <c r="A2773" s="84" t="str">
        <f t="shared" si="130"/>
        <v>SelecioneSelecioneSelecione</v>
      </c>
      <c r="B2773" s="85" t="s">
        <v>19</v>
      </c>
      <c r="C2773" s="85" t="s">
        <v>19</v>
      </c>
      <c r="D2773" s="86"/>
      <c r="E2773" s="116" t="str">
        <f t="shared" si="131"/>
        <v>-</v>
      </c>
      <c r="F2773" s="85"/>
      <c r="G2773" s="85" t="s">
        <v>19</v>
      </c>
      <c r="H2773" s="85"/>
      <c r="I2773" s="85"/>
      <c r="J2773" s="87"/>
      <c r="K2773" s="88">
        <f t="shared" si="132"/>
        <v>0</v>
      </c>
      <c r="L2773" s="85"/>
    </row>
    <row r="2774" spans="1:12" x14ac:dyDescent="0.25">
      <c r="A2774" s="84" t="str">
        <f t="shared" si="130"/>
        <v>SelecioneSelecioneSelecione</v>
      </c>
      <c r="B2774" s="85" t="s">
        <v>19</v>
      </c>
      <c r="C2774" s="85" t="s">
        <v>19</v>
      </c>
      <c r="D2774" s="86"/>
      <c r="E2774" s="116" t="str">
        <f t="shared" si="131"/>
        <v>-</v>
      </c>
      <c r="F2774" s="85"/>
      <c r="G2774" s="85" t="s">
        <v>19</v>
      </c>
      <c r="H2774" s="85"/>
      <c r="I2774" s="85"/>
      <c r="J2774" s="87"/>
      <c r="K2774" s="88">
        <f t="shared" si="132"/>
        <v>0</v>
      </c>
      <c r="L2774" s="85"/>
    </row>
    <row r="2775" spans="1:12" x14ac:dyDescent="0.25">
      <c r="A2775" s="84" t="str">
        <f t="shared" si="130"/>
        <v>SelecioneSelecioneSelecione</v>
      </c>
      <c r="B2775" s="85" t="s">
        <v>19</v>
      </c>
      <c r="C2775" s="85" t="s">
        <v>19</v>
      </c>
      <c r="D2775" s="86"/>
      <c r="E2775" s="116" t="str">
        <f t="shared" si="131"/>
        <v>-</v>
      </c>
      <c r="F2775" s="85"/>
      <c r="G2775" s="85" t="s">
        <v>19</v>
      </c>
      <c r="H2775" s="85"/>
      <c r="I2775" s="85"/>
      <c r="J2775" s="87"/>
      <c r="K2775" s="88">
        <f t="shared" si="132"/>
        <v>0</v>
      </c>
      <c r="L2775" s="85"/>
    </row>
    <row r="2776" spans="1:12" x14ac:dyDescent="0.25">
      <c r="A2776" s="84" t="str">
        <f t="shared" si="130"/>
        <v>SelecioneSelecioneSelecione</v>
      </c>
      <c r="B2776" s="85" t="s">
        <v>19</v>
      </c>
      <c r="C2776" s="85" t="s">
        <v>19</v>
      </c>
      <c r="D2776" s="93"/>
      <c r="E2776" s="116" t="str">
        <f t="shared" si="131"/>
        <v>-</v>
      </c>
      <c r="F2776" s="90"/>
      <c r="G2776" s="85" t="s">
        <v>19</v>
      </c>
      <c r="H2776" s="85"/>
      <c r="I2776" s="90"/>
      <c r="J2776" s="89"/>
      <c r="K2776" s="88">
        <f t="shared" si="132"/>
        <v>0</v>
      </c>
      <c r="L2776" s="90"/>
    </row>
    <row r="2777" spans="1:12" x14ac:dyDescent="0.25">
      <c r="A2777" s="84" t="str">
        <f t="shared" si="130"/>
        <v>SelecioneSelecioneSelecione</v>
      </c>
      <c r="B2777" s="85" t="s">
        <v>19</v>
      </c>
      <c r="C2777" s="85" t="s">
        <v>19</v>
      </c>
      <c r="D2777" s="86"/>
      <c r="E2777" s="116" t="str">
        <f t="shared" si="131"/>
        <v>-</v>
      </c>
      <c r="F2777" s="85"/>
      <c r="G2777" s="85" t="s">
        <v>19</v>
      </c>
      <c r="H2777" s="85"/>
      <c r="I2777" s="85"/>
      <c r="J2777" s="87"/>
      <c r="K2777" s="88">
        <f t="shared" si="132"/>
        <v>0</v>
      </c>
      <c r="L2777" s="85"/>
    </row>
    <row r="2778" spans="1:12" x14ac:dyDescent="0.25">
      <c r="A2778" s="84" t="str">
        <f t="shared" si="130"/>
        <v>SelecioneSelecioneSelecione</v>
      </c>
      <c r="B2778" s="85" t="s">
        <v>19</v>
      </c>
      <c r="C2778" s="85" t="s">
        <v>19</v>
      </c>
      <c r="D2778" s="86"/>
      <c r="E2778" s="116" t="str">
        <f t="shared" si="131"/>
        <v>-</v>
      </c>
      <c r="F2778" s="85"/>
      <c r="G2778" s="85" t="s">
        <v>19</v>
      </c>
      <c r="H2778" s="85"/>
      <c r="I2778" s="85"/>
      <c r="J2778" s="87"/>
      <c r="K2778" s="88">
        <f t="shared" si="132"/>
        <v>0</v>
      </c>
      <c r="L2778" s="85"/>
    </row>
    <row r="2779" spans="1:12" x14ac:dyDescent="0.25">
      <c r="A2779" s="84" t="str">
        <f t="shared" si="130"/>
        <v>SelecioneSelecioneSelecione</v>
      </c>
      <c r="B2779" s="85" t="s">
        <v>19</v>
      </c>
      <c r="C2779" s="85" t="s">
        <v>19</v>
      </c>
      <c r="D2779" s="86"/>
      <c r="E2779" s="116" t="str">
        <f t="shared" si="131"/>
        <v>-</v>
      </c>
      <c r="F2779" s="85"/>
      <c r="G2779" s="85" t="s">
        <v>19</v>
      </c>
      <c r="H2779" s="85"/>
      <c r="I2779" s="85"/>
      <c r="J2779" s="87"/>
      <c r="K2779" s="88">
        <f t="shared" si="132"/>
        <v>0</v>
      </c>
      <c r="L2779" s="85"/>
    </row>
    <row r="2780" spans="1:12" x14ac:dyDescent="0.25">
      <c r="A2780" s="84" t="str">
        <f t="shared" si="130"/>
        <v>SelecioneSelecioneSelecione</v>
      </c>
      <c r="B2780" s="85" t="s">
        <v>19</v>
      </c>
      <c r="C2780" s="85" t="s">
        <v>19</v>
      </c>
      <c r="D2780" s="86"/>
      <c r="E2780" s="116" t="str">
        <f t="shared" si="131"/>
        <v>-</v>
      </c>
      <c r="F2780" s="85"/>
      <c r="G2780" s="85" t="s">
        <v>19</v>
      </c>
      <c r="H2780" s="85"/>
      <c r="I2780" s="85"/>
      <c r="J2780" s="87"/>
      <c r="K2780" s="88">
        <f t="shared" si="132"/>
        <v>0</v>
      </c>
      <c r="L2780" s="85"/>
    </row>
    <row r="2781" spans="1:12" x14ac:dyDescent="0.25">
      <c r="A2781" s="84" t="str">
        <f t="shared" si="130"/>
        <v>SelecioneSelecioneSelecione</v>
      </c>
      <c r="B2781" s="85" t="s">
        <v>19</v>
      </c>
      <c r="C2781" s="85" t="s">
        <v>19</v>
      </c>
      <c r="D2781" s="86"/>
      <c r="E2781" s="116" t="str">
        <f t="shared" si="131"/>
        <v>-</v>
      </c>
      <c r="F2781" s="85"/>
      <c r="G2781" s="85" t="s">
        <v>19</v>
      </c>
      <c r="H2781" s="85"/>
      <c r="I2781" s="85"/>
      <c r="J2781" s="87"/>
      <c r="K2781" s="88">
        <f t="shared" si="132"/>
        <v>0</v>
      </c>
      <c r="L2781" s="85"/>
    </row>
    <row r="2782" spans="1:12" x14ac:dyDescent="0.25">
      <c r="A2782" s="84" t="str">
        <f t="shared" si="130"/>
        <v>SelecioneSelecioneSelecione</v>
      </c>
      <c r="B2782" s="85" t="s">
        <v>19</v>
      </c>
      <c r="C2782" s="85" t="s">
        <v>19</v>
      </c>
      <c r="D2782" s="86"/>
      <c r="E2782" s="116" t="str">
        <f t="shared" si="131"/>
        <v>-</v>
      </c>
      <c r="F2782" s="85"/>
      <c r="G2782" s="85" t="s">
        <v>19</v>
      </c>
      <c r="H2782" s="85"/>
      <c r="I2782" s="85"/>
      <c r="J2782" s="87"/>
      <c r="K2782" s="88">
        <f t="shared" si="132"/>
        <v>0</v>
      </c>
      <c r="L2782" s="85"/>
    </row>
    <row r="2783" spans="1:12" x14ac:dyDescent="0.25">
      <c r="A2783" s="84" t="str">
        <f t="shared" si="130"/>
        <v>SelecioneSelecioneSelecione</v>
      </c>
      <c r="B2783" s="85" t="s">
        <v>19</v>
      </c>
      <c r="C2783" s="85" t="s">
        <v>19</v>
      </c>
      <c r="D2783" s="86"/>
      <c r="E2783" s="116" t="str">
        <f t="shared" si="131"/>
        <v>-</v>
      </c>
      <c r="F2783" s="85"/>
      <c r="G2783" s="85" t="s">
        <v>19</v>
      </c>
      <c r="H2783" s="85"/>
      <c r="I2783" s="85"/>
      <c r="J2783" s="87"/>
      <c r="K2783" s="88">
        <f t="shared" si="132"/>
        <v>0</v>
      </c>
      <c r="L2783" s="85"/>
    </row>
    <row r="2784" spans="1:12" x14ac:dyDescent="0.25">
      <c r="A2784" s="84" t="str">
        <f t="shared" si="130"/>
        <v>SelecioneSelecioneSelecione</v>
      </c>
      <c r="B2784" s="85" t="s">
        <v>19</v>
      </c>
      <c r="C2784" s="85" t="s">
        <v>19</v>
      </c>
      <c r="D2784" s="86"/>
      <c r="E2784" s="116" t="str">
        <f t="shared" si="131"/>
        <v>-</v>
      </c>
      <c r="F2784" s="85"/>
      <c r="G2784" s="85" t="s">
        <v>19</v>
      </c>
      <c r="H2784" s="85"/>
      <c r="I2784" s="85"/>
      <c r="J2784" s="87"/>
      <c r="K2784" s="88">
        <f t="shared" si="132"/>
        <v>0</v>
      </c>
      <c r="L2784" s="85"/>
    </row>
    <row r="2785" spans="1:12" x14ac:dyDescent="0.25">
      <c r="A2785" s="84" t="str">
        <f t="shared" si="130"/>
        <v>SelecioneSelecioneSelecione</v>
      </c>
      <c r="B2785" s="85" t="s">
        <v>19</v>
      </c>
      <c r="C2785" s="85" t="s">
        <v>19</v>
      </c>
      <c r="D2785" s="86"/>
      <c r="E2785" s="116" t="str">
        <f t="shared" si="131"/>
        <v>-</v>
      </c>
      <c r="F2785" s="85"/>
      <c r="G2785" s="85" t="s">
        <v>19</v>
      </c>
      <c r="H2785" s="85"/>
      <c r="I2785" s="85"/>
      <c r="J2785" s="87"/>
      <c r="K2785" s="88">
        <f t="shared" si="132"/>
        <v>0</v>
      </c>
      <c r="L2785" s="85"/>
    </row>
    <row r="2786" spans="1:12" x14ac:dyDescent="0.25">
      <c r="A2786" s="84" t="str">
        <f t="shared" si="130"/>
        <v>SelecioneSelecioneSelecione</v>
      </c>
      <c r="B2786" s="85" t="s">
        <v>19</v>
      </c>
      <c r="C2786" s="85" t="s">
        <v>19</v>
      </c>
      <c r="D2786" s="86"/>
      <c r="E2786" s="116" t="str">
        <f t="shared" si="131"/>
        <v>-</v>
      </c>
      <c r="F2786" s="85"/>
      <c r="G2786" s="85" t="s">
        <v>19</v>
      </c>
      <c r="H2786" s="85"/>
      <c r="I2786" s="85"/>
      <c r="J2786" s="87"/>
      <c r="K2786" s="88">
        <f t="shared" si="132"/>
        <v>0</v>
      </c>
      <c r="L2786" s="85"/>
    </row>
    <row r="2787" spans="1:12" x14ac:dyDescent="0.25">
      <c r="A2787" s="84" t="str">
        <f t="shared" si="130"/>
        <v>SelecioneSelecioneSelecione</v>
      </c>
      <c r="B2787" s="85" t="s">
        <v>19</v>
      </c>
      <c r="C2787" s="85" t="s">
        <v>19</v>
      </c>
      <c r="D2787" s="86"/>
      <c r="E2787" s="116" t="str">
        <f t="shared" si="131"/>
        <v>-</v>
      </c>
      <c r="F2787" s="85"/>
      <c r="G2787" s="85" t="s">
        <v>19</v>
      </c>
      <c r="H2787" s="85"/>
      <c r="I2787" s="85"/>
      <c r="J2787" s="87"/>
      <c r="K2787" s="88">
        <f t="shared" si="132"/>
        <v>0</v>
      </c>
      <c r="L2787" s="85"/>
    </row>
    <row r="2788" spans="1:12" x14ac:dyDescent="0.25">
      <c r="A2788" s="84" t="str">
        <f t="shared" si="130"/>
        <v>SelecioneSelecioneSelecione</v>
      </c>
      <c r="B2788" s="85" t="s">
        <v>19</v>
      </c>
      <c r="C2788" s="85" t="s">
        <v>19</v>
      </c>
      <c r="D2788" s="86"/>
      <c r="E2788" s="116" t="str">
        <f t="shared" si="131"/>
        <v>-</v>
      </c>
      <c r="F2788" s="85"/>
      <c r="G2788" s="85" t="s">
        <v>19</v>
      </c>
      <c r="H2788" s="85"/>
      <c r="I2788" s="85"/>
      <c r="J2788" s="87"/>
      <c r="K2788" s="88">
        <f t="shared" si="132"/>
        <v>0</v>
      </c>
      <c r="L2788" s="85"/>
    </row>
    <row r="2789" spans="1:12" x14ac:dyDescent="0.25">
      <c r="A2789" s="84" t="str">
        <f t="shared" si="130"/>
        <v>SelecioneSelecioneSelecione</v>
      </c>
      <c r="B2789" s="85" t="s">
        <v>19</v>
      </c>
      <c r="C2789" s="85" t="s">
        <v>19</v>
      </c>
      <c r="D2789" s="86"/>
      <c r="E2789" s="116" t="str">
        <f t="shared" si="131"/>
        <v>-</v>
      </c>
      <c r="F2789" s="85"/>
      <c r="G2789" s="85" t="s">
        <v>19</v>
      </c>
      <c r="H2789" s="85"/>
      <c r="I2789" s="85"/>
      <c r="J2789" s="87"/>
      <c r="K2789" s="88">
        <f t="shared" si="132"/>
        <v>0</v>
      </c>
      <c r="L2789" s="85"/>
    </row>
    <row r="2790" spans="1:12" x14ac:dyDescent="0.25">
      <c r="A2790" s="84" t="str">
        <f t="shared" si="130"/>
        <v>SelecioneSelecioneSelecione</v>
      </c>
      <c r="B2790" s="85" t="s">
        <v>19</v>
      </c>
      <c r="C2790" s="85" t="s">
        <v>19</v>
      </c>
      <c r="D2790" s="86"/>
      <c r="E2790" s="116" t="str">
        <f t="shared" si="131"/>
        <v>-</v>
      </c>
      <c r="F2790" s="85"/>
      <c r="G2790" s="85" t="s">
        <v>19</v>
      </c>
      <c r="H2790" s="85"/>
      <c r="I2790" s="85"/>
      <c r="J2790" s="87"/>
      <c r="K2790" s="88">
        <f t="shared" si="132"/>
        <v>0</v>
      </c>
      <c r="L2790" s="85"/>
    </row>
    <row r="2791" spans="1:12" x14ac:dyDescent="0.25">
      <c r="A2791" s="84" t="str">
        <f t="shared" si="130"/>
        <v>SelecioneSelecioneSelecione</v>
      </c>
      <c r="B2791" s="85" t="s">
        <v>19</v>
      </c>
      <c r="C2791" s="85" t="s">
        <v>19</v>
      </c>
      <c r="D2791" s="86"/>
      <c r="E2791" s="116" t="str">
        <f t="shared" si="131"/>
        <v>-</v>
      </c>
      <c r="F2791" s="85"/>
      <c r="G2791" s="85" t="s">
        <v>19</v>
      </c>
      <c r="H2791" s="85"/>
      <c r="I2791" s="85"/>
      <c r="J2791" s="87"/>
      <c r="K2791" s="88">
        <f t="shared" si="132"/>
        <v>0</v>
      </c>
      <c r="L2791" s="85"/>
    </row>
    <row r="2792" spans="1:12" x14ac:dyDescent="0.25">
      <c r="A2792" s="84" t="str">
        <f t="shared" si="130"/>
        <v>SelecioneSelecioneSelecione</v>
      </c>
      <c r="B2792" s="85" t="s">
        <v>19</v>
      </c>
      <c r="C2792" s="85" t="s">
        <v>19</v>
      </c>
      <c r="D2792" s="86"/>
      <c r="E2792" s="116" t="str">
        <f t="shared" si="131"/>
        <v>-</v>
      </c>
      <c r="F2792" s="85"/>
      <c r="G2792" s="85" t="s">
        <v>19</v>
      </c>
      <c r="H2792" s="85"/>
      <c r="I2792" s="85"/>
      <c r="J2792" s="87"/>
      <c r="K2792" s="88">
        <f t="shared" si="132"/>
        <v>0</v>
      </c>
      <c r="L2792" s="85"/>
    </row>
    <row r="2793" spans="1:12" x14ac:dyDescent="0.25">
      <c r="A2793" s="84" t="str">
        <f t="shared" si="130"/>
        <v>SelecioneSelecioneSelecione</v>
      </c>
      <c r="B2793" s="85" t="s">
        <v>19</v>
      </c>
      <c r="C2793" s="85" t="s">
        <v>19</v>
      </c>
      <c r="D2793" s="86"/>
      <c r="E2793" s="116" t="str">
        <f t="shared" si="131"/>
        <v>-</v>
      </c>
      <c r="F2793" s="85"/>
      <c r="G2793" s="85" t="s">
        <v>19</v>
      </c>
      <c r="H2793" s="85"/>
      <c r="I2793" s="85"/>
      <c r="J2793" s="87"/>
      <c r="K2793" s="88">
        <f t="shared" si="132"/>
        <v>0</v>
      </c>
      <c r="L2793" s="85"/>
    </row>
    <row r="2794" spans="1:12" x14ac:dyDescent="0.25">
      <c r="A2794" s="84" t="str">
        <f t="shared" si="130"/>
        <v>SelecioneSelecioneSelecione</v>
      </c>
      <c r="B2794" s="85" t="s">
        <v>19</v>
      </c>
      <c r="C2794" s="85" t="s">
        <v>19</v>
      </c>
      <c r="D2794" s="86"/>
      <c r="E2794" s="116" t="str">
        <f t="shared" si="131"/>
        <v>-</v>
      </c>
      <c r="F2794" s="85"/>
      <c r="G2794" s="85" t="s">
        <v>19</v>
      </c>
      <c r="H2794" s="85"/>
      <c r="I2794" s="85"/>
      <c r="J2794" s="87"/>
      <c r="K2794" s="88">
        <f t="shared" si="132"/>
        <v>0</v>
      </c>
      <c r="L2794" s="85"/>
    </row>
    <row r="2795" spans="1:12" x14ac:dyDescent="0.25">
      <c r="A2795" s="84" t="str">
        <f t="shared" si="130"/>
        <v>SelecioneSelecioneSelecione</v>
      </c>
      <c r="B2795" s="85" t="s">
        <v>19</v>
      </c>
      <c r="C2795" s="85" t="s">
        <v>19</v>
      </c>
      <c r="D2795" s="86"/>
      <c r="E2795" s="116" t="str">
        <f t="shared" si="131"/>
        <v>-</v>
      </c>
      <c r="F2795" s="85"/>
      <c r="G2795" s="85" t="s">
        <v>19</v>
      </c>
      <c r="H2795" s="85"/>
      <c r="I2795" s="85"/>
      <c r="J2795" s="87"/>
      <c r="K2795" s="88">
        <f t="shared" si="132"/>
        <v>0</v>
      </c>
      <c r="L2795" s="85"/>
    </row>
    <row r="2796" spans="1:12" x14ac:dyDescent="0.25">
      <c r="A2796" s="84" t="str">
        <f t="shared" si="130"/>
        <v>SelecioneSelecioneSelecione</v>
      </c>
      <c r="B2796" s="85" t="s">
        <v>19</v>
      </c>
      <c r="C2796" s="85" t="s">
        <v>19</v>
      </c>
      <c r="D2796" s="86"/>
      <c r="E2796" s="116" t="str">
        <f t="shared" si="131"/>
        <v>-</v>
      </c>
      <c r="F2796" s="85"/>
      <c r="G2796" s="85" t="s">
        <v>19</v>
      </c>
      <c r="H2796" s="85"/>
      <c r="I2796" s="85"/>
      <c r="J2796" s="87"/>
      <c r="K2796" s="88">
        <f t="shared" si="132"/>
        <v>0</v>
      </c>
      <c r="L2796" s="85"/>
    </row>
    <row r="2797" spans="1:12" x14ac:dyDescent="0.25">
      <c r="A2797" s="84" t="str">
        <f t="shared" si="130"/>
        <v>SelecioneSelecioneSelecione</v>
      </c>
      <c r="B2797" s="85" t="s">
        <v>19</v>
      </c>
      <c r="C2797" s="85" t="s">
        <v>19</v>
      </c>
      <c r="D2797" s="86"/>
      <c r="E2797" s="116" t="str">
        <f t="shared" si="131"/>
        <v>-</v>
      </c>
      <c r="F2797" s="85"/>
      <c r="G2797" s="85" t="s">
        <v>19</v>
      </c>
      <c r="H2797" s="85"/>
      <c r="I2797" s="85"/>
      <c r="J2797" s="87"/>
      <c r="K2797" s="88">
        <f t="shared" si="132"/>
        <v>0</v>
      </c>
      <c r="L2797" s="85"/>
    </row>
    <row r="2798" spans="1:12" x14ac:dyDescent="0.25">
      <c r="A2798" s="84" t="str">
        <f t="shared" si="130"/>
        <v>SelecioneSelecioneSelecione</v>
      </c>
      <c r="B2798" s="85" t="s">
        <v>19</v>
      </c>
      <c r="C2798" s="85" t="s">
        <v>19</v>
      </c>
      <c r="D2798" s="86"/>
      <c r="E2798" s="116" t="str">
        <f t="shared" si="131"/>
        <v>-</v>
      </c>
      <c r="F2798" s="85"/>
      <c r="G2798" s="85" t="s">
        <v>19</v>
      </c>
      <c r="H2798" s="85"/>
      <c r="I2798" s="85"/>
      <c r="J2798" s="87"/>
      <c r="K2798" s="88">
        <f t="shared" si="132"/>
        <v>0</v>
      </c>
      <c r="L2798" s="85"/>
    </row>
    <row r="2799" spans="1:12" x14ac:dyDescent="0.25">
      <c r="A2799" s="84" t="str">
        <f t="shared" si="130"/>
        <v>SelecioneSelecioneSelecione</v>
      </c>
      <c r="B2799" s="85" t="s">
        <v>19</v>
      </c>
      <c r="C2799" s="85" t="s">
        <v>19</v>
      </c>
      <c r="D2799" s="86"/>
      <c r="E2799" s="116" t="str">
        <f t="shared" si="131"/>
        <v>-</v>
      </c>
      <c r="F2799" s="85"/>
      <c r="G2799" s="85" t="s">
        <v>19</v>
      </c>
      <c r="H2799" s="85"/>
      <c r="I2799" s="85"/>
      <c r="J2799" s="87"/>
      <c r="K2799" s="88">
        <f t="shared" si="132"/>
        <v>0</v>
      </c>
      <c r="L2799" s="85"/>
    </row>
    <row r="2800" spans="1:12" x14ac:dyDescent="0.25">
      <c r="A2800" s="84" t="str">
        <f t="shared" si="130"/>
        <v>SelecioneSelecioneSelecione</v>
      </c>
      <c r="B2800" s="85" t="s">
        <v>19</v>
      </c>
      <c r="C2800" s="85" t="s">
        <v>19</v>
      </c>
      <c r="D2800" s="86"/>
      <c r="E2800" s="116" t="str">
        <f t="shared" si="131"/>
        <v>-</v>
      </c>
      <c r="F2800" s="85"/>
      <c r="G2800" s="85" t="s">
        <v>19</v>
      </c>
      <c r="H2800" s="85"/>
      <c r="I2800" s="85"/>
      <c r="J2800" s="87"/>
      <c r="K2800" s="88">
        <f t="shared" si="132"/>
        <v>0</v>
      </c>
      <c r="L2800" s="85"/>
    </row>
    <row r="2801" spans="1:12" x14ac:dyDescent="0.25">
      <c r="A2801" s="84" t="str">
        <f t="shared" si="130"/>
        <v>SelecioneSelecioneSelecione</v>
      </c>
      <c r="B2801" s="85" t="s">
        <v>19</v>
      </c>
      <c r="C2801" s="85" t="s">
        <v>19</v>
      </c>
      <c r="D2801" s="86"/>
      <c r="E2801" s="116" t="str">
        <f t="shared" si="131"/>
        <v>-</v>
      </c>
      <c r="F2801" s="85"/>
      <c r="G2801" s="85" t="s">
        <v>19</v>
      </c>
      <c r="H2801" s="85"/>
      <c r="I2801" s="85"/>
      <c r="J2801" s="87"/>
      <c r="K2801" s="88">
        <f t="shared" si="132"/>
        <v>0</v>
      </c>
      <c r="L2801" s="85"/>
    </row>
    <row r="2802" spans="1:12" x14ac:dyDescent="0.25">
      <c r="A2802" s="84" t="str">
        <f t="shared" si="130"/>
        <v>SelecioneSelecioneSelecione</v>
      </c>
      <c r="B2802" s="85" t="s">
        <v>19</v>
      </c>
      <c r="C2802" s="85" t="s">
        <v>19</v>
      </c>
      <c r="D2802" s="86"/>
      <c r="E2802" s="116" t="str">
        <f t="shared" si="131"/>
        <v>-</v>
      </c>
      <c r="F2802" s="85"/>
      <c r="G2802" s="85" t="s">
        <v>19</v>
      </c>
      <c r="H2802" s="85"/>
      <c r="I2802" s="85"/>
      <c r="J2802" s="87"/>
      <c r="K2802" s="88">
        <f t="shared" si="132"/>
        <v>0</v>
      </c>
      <c r="L2802" s="85"/>
    </row>
    <row r="2803" spans="1:12" x14ac:dyDescent="0.25">
      <c r="A2803" s="84" t="str">
        <f t="shared" si="130"/>
        <v>SelecioneSelecioneSelecione</v>
      </c>
      <c r="B2803" s="85" t="s">
        <v>19</v>
      </c>
      <c r="C2803" s="85" t="s">
        <v>19</v>
      </c>
      <c r="D2803" s="86"/>
      <c r="E2803" s="116" t="str">
        <f t="shared" si="131"/>
        <v>-</v>
      </c>
      <c r="F2803" s="90"/>
      <c r="G2803" s="85" t="s">
        <v>19</v>
      </c>
      <c r="H2803" s="85"/>
      <c r="I2803" s="85"/>
      <c r="J2803" s="87"/>
      <c r="K2803" s="88">
        <f t="shared" si="132"/>
        <v>0</v>
      </c>
      <c r="L2803" s="85"/>
    </row>
    <row r="2804" spans="1:12" x14ac:dyDescent="0.25">
      <c r="A2804" s="84" t="str">
        <f t="shared" si="130"/>
        <v>SelecioneSelecioneSelecione</v>
      </c>
      <c r="B2804" s="85" t="s">
        <v>19</v>
      </c>
      <c r="C2804" s="85" t="s">
        <v>19</v>
      </c>
      <c r="D2804" s="86"/>
      <c r="E2804" s="116" t="str">
        <f t="shared" si="131"/>
        <v>-</v>
      </c>
      <c r="F2804" s="85"/>
      <c r="G2804" s="85" t="s">
        <v>19</v>
      </c>
      <c r="H2804" s="85"/>
      <c r="I2804" s="85"/>
      <c r="J2804" s="87"/>
      <c r="K2804" s="88">
        <f t="shared" si="132"/>
        <v>0</v>
      </c>
      <c r="L2804" s="85"/>
    </row>
    <row r="2805" spans="1:12" x14ac:dyDescent="0.25">
      <c r="A2805" s="84" t="str">
        <f t="shared" si="130"/>
        <v>SelecioneSelecioneSelecione</v>
      </c>
      <c r="B2805" s="85" t="s">
        <v>19</v>
      </c>
      <c r="C2805" s="85" t="s">
        <v>19</v>
      </c>
      <c r="D2805" s="86"/>
      <c r="E2805" s="116" t="str">
        <f t="shared" si="131"/>
        <v>-</v>
      </c>
      <c r="F2805" s="85"/>
      <c r="G2805" s="85" t="s">
        <v>19</v>
      </c>
      <c r="H2805" s="85"/>
      <c r="I2805" s="85"/>
      <c r="J2805" s="87"/>
      <c r="K2805" s="88">
        <f t="shared" si="132"/>
        <v>0</v>
      </c>
      <c r="L2805" s="85"/>
    </row>
    <row r="2806" spans="1:12" x14ac:dyDescent="0.25">
      <c r="A2806" s="84" t="str">
        <f t="shared" si="130"/>
        <v>SelecioneSelecioneSelecione</v>
      </c>
      <c r="B2806" s="85" t="s">
        <v>19</v>
      </c>
      <c r="C2806" s="85" t="s">
        <v>19</v>
      </c>
      <c r="D2806" s="86"/>
      <c r="E2806" s="116" t="str">
        <f t="shared" si="131"/>
        <v>-</v>
      </c>
      <c r="F2806" s="85"/>
      <c r="G2806" s="85" t="s">
        <v>19</v>
      </c>
      <c r="H2806" s="85"/>
      <c r="I2806" s="85"/>
      <c r="J2806" s="87"/>
      <c r="K2806" s="88">
        <f t="shared" si="132"/>
        <v>0</v>
      </c>
      <c r="L2806" s="85"/>
    </row>
    <row r="2807" spans="1:12" x14ac:dyDescent="0.25">
      <c r="A2807" s="84" t="str">
        <f t="shared" si="130"/>
        <v>SelecioneSelecioneSelecione</v>
      </c>
      <c r="B2807" s="85" t="s">
        <v>19</v>
      </c>
      <c r="C2807" s="85" t="s">
        <v>19</v>
      </c>
      <c r="D2807" s="86"/>
      <c r="E2807" s="116" t="str">
        <f t="shared" si="131"/>
        <v>-</v>
      </c>
      <c r="F2807" s="85"/>
      <c r="G2807" s="85" t="s">
        <v>19</v>
      </c>
      <c r="H2807" s="85"/>
      <c r="I2807" s="85"/>
      <c r="J2807" s="87"/>
      <c r="K2807" s="88">
        <f t="shared" si="132"/>
        <v>0</v>
      </c>
      <c r="L2807" s="85"/>
    </row>
    <row r="2808" spans="1:12" x14ac:dyDescent="0.25">
      <c r="A2808" s="84" t="str">
        <f t="shared" si="130"/>
        <v>SelecioneSelecioneSelecione</v>
      </c>
      <c r="B2808" s="85" t="s">
        <v>19</v>
      </c>
      <c r="C2808" s="85" t="s">
        <v>19</v>
      </c>
      <c r="D2808" s="86"/>
      <c r="E2808" s="116" t="str">
        <f t="shared" si="131"/>
        <v>-</v>
      </c>
      <c r="F2808" s="85"/>
      <c r="G2808" s="85" t="s">
        <v>19</v>
      </c>
      <c r="H2808" s="85"/>
      <c r="I2808" s="85"/>
      <c r="J2808" s="87"/>
      <c r="K2808" s="88">
        <f t="shared" si="132"/>
        <v>0</v>
      </c>
      <c r="L2808" s="85"/>
    </row>
    <row r="2809" spans="1:12" x14ac:dyDescent="0.25">
      <c r="A2809" s="84" t="str">
        <f t="shared" si="130"/>
        <v>SelecioneSelecioneSelecione</v>
      </c>
      <c r="B2809" s="85" t="s">
        <v>19</v>
      </c>
      <c r="C2809" s="85" t="s">
        <v>19</v>
      </c>
      <c r="D2809" s="86"/>
      <c r="E2809" s="116" t="str">
        <f t="shared" si="131"/>
        <v>-</v>
      </c>
      <c r="F2809" s="85"/>
      <c r="G2809" s="85" t="s">
        <v>19</v>
      </c>
      <c r="H2809" s="85"/>
      <c r="I2809" s="85"/>
      <c r="J2809" s="87"/>
      <c r="K2809" s="88">
        <f t="shared" si="132"/>
        <v>0</v>
      </c>
      <c r="L2809" s="85"/>
    </row>
    <row r="2810" spans="1:12" x14ac:dyDescent="0.25">
      <c r="A2810" s="84" t="str">
        <f t="shared" si="130"/>
        <v>SelecioneSelecioneSelecione</v>
      </c>
      <c r="B2810" s="85" t="s">
        <v>19</v>
      </c>
      <c r="C2810" s="85" t="s">
        <v>19</v>
      </c>
      <c r="D2810" s="86"/>
      <c r="E2810" s="116" t="str">
        <f t="shared" si="131"/>
        <v>-</v>
      </c>
      <c r="F2810" s="85"/>
      <c r="G2810" s="85" t="s">
        <v>19</v>
      </c>
      <c r="H2810" s="85"/>
      <c r="I2810" s="85"/>
      <c r="J2810" s="87"/>
      <c r="K2810" s="88">
        <f t="shared" si="132"/>
        <v>0</v>
      </c>
      <c r="L2810" s="91"/>
    </row>
    <row r="2811" spans="1:12" x14ac:dyDescent="0.25">
      <c r="A2811" s="84" t="str">
        <f t="shared" si="130"/>
        <v>SelecioneSelecioneSelecione</v>
      </c>
      <c r="B2811" s="85" t="s">
        <v>19</v>
      </c>
      <c r="C2811" s="85" t="s">
        <v>19</v>
      </c>
      <c r="D2811" s="86"/>
      <c r="E2811" s="116" t="str">
        <f t="shared" si="131"/>
        <v>-</v>
      </c>
      <c r="F2811" s="85"/>
      <c r="G2811" s="85" t="s">
        <v>19</v>
      </c>
      <c r="H2811" s="85"/>
      <c r="I2811" s="85"/>
      <c r="J2811" s="87"/>
      <c r="K2811" s="88">
        <f t="shared" si="132"/>
        <v>0</v>
      </c>
      <c r="L2811" s="85"/>
    </row>
    <row r="2812" spans="1:12" x14ac:dyDescent="0.25">
      <c r="A2812" s="84" t="str">
        <f t="shared" si="130"/>
        <v>SelecioneSelecioneSelecione</v>
      </c>
      <c r="B2812" s="85" t="s">
        <v>19</v>
      </c>
      <c r="C2812" s="85" t="s">
        <v>19</v>
      </c>
      <c r="D2812" s="86"/>
      <c r="E2812" s="116" t="str">
        <f t="shared" si="131"/>
        <v>-</v>
      </c>
      <c r="F2812" s="85"/>
      <c r="G2812" s="85" t="s">
        <v>19</v>
      </c>
      <c r="H2812" s="85"/>
      <c r="I2812" s="85"/>
      <c r="J2812" s="87"/>
      <c r="K2812" s="88">
        <f t="shared" si="132"/>
        <v>0</v>
      </c>
      <c r="L2812" s="85"/>
    </row>
    <row r="2813" spans="1:12" x14ac:dyDescent="0.25">
      <c r="A2813" s="84" t="str">
        <f t="shared" si="130"/>
        <v>SelecioneSelecioneSelecione</v>
      </c>
      <c r="B2813" s="85" t="s">
        <v>19</v>
      </c>
      <c r="C2813" s="85" t="s">
        <v>19</v>
      </c>
      <c r="D2813" s="86"/>
      <c r="E2813" s="116" t="str">
        <f t="shared" si="131"/>
        <v>-</v>
      </c>
      <c r="F2813" s="85"/>
      <c r="G2813" s="85" t="s">
        <v>19</v>
      </c>
      <c r="H2813" s="85"/>
      <c r="I2813" s="85"/>
      <c r="J2813" s="87"/>
      <c r="K2813" s="88">
        <f t="shared" si="132"/>
        <v>0</v>
      </c>
      <c r="L2813" s="85"/>
    </row>
    <row r="2814" spans="1:12" x14ac:dyDescent="0.25">
      <c r="A2814" s="84" t="str">
        <f t="shared" si="130"/>
        <v>SelecioneSelecioneSelecione</v>
      </c>
      <c r="B2814" s="85" t="s">
        <v>19</v>
      </c>
      <c r="C2814" s="85" t="s">
        <v>19</v>
      </c>
      <c r="D2814" s="86"/>
      <c r="E2814" s="116" t="str">
        <f t="shared" si="131"/>
        <v>-</v>
      </c>
      <c r="F2814" s="90"/>
      <c r="G2814" s="85" t="s">
        <v>19</v>
      </c>
      <c r="H2814" s="85"/>
      <c r="I2814" s="85"/>
      <c r="J2814" s="87"/>
      <c r="K2814" s="88">
        <f t="shared" si="132"/>
        <v>0</v>
      </c>
      <c r="L2814" s="85"/>
    </row>
    <row r="2815" spans="1:12" x14ac:dyDescent="0.25">
      <c r="A2815" s="84" t="str">
        <f t="shared" si="130"/>
        <v>SelecioneSelecioneSelecione</v>
      </c>
      <c r="B2815" s="85" t="s">
        <v>19</v>
      </c>
      <c r="C2815" s="85" t="s">
        <v>19</v>
      </c>
      <c r="D2815" s="86"/>
      <c r="E2815" s="116" t="str">
        <f t="shared" si="131"/>
        <v>-</v>
      </c>
      <c r="F2815" s="85"/>
      <c r="G2815" s="85" t="s">
        <v>19</v>
      </c>
      <c r="H2815" s="85"/>
      <c r="I2815" s="85"/>
      <c r="J2815" s="87"/>
      <c r="K2815" s="88">
        <f t="shared" si="132"/>
        <v>0</v>
      </c>
      <c r="L2815" s="85"/>
    </row>
    <row r="2816" spans="1:12" x14ac:dyDescent="0.25">
      <c r="A2816" s="84" t="str">
        <f t="shared" si="130"/>
        <v>SelecioneSelecioneSelecione</v>
      </c>
      <c r="B2816" s="85" t="s">
        <v>19</v>
      </c>
      <c r="C2816" s="85" t="s">
        <v>19</v>
      </c>
      <c r="D2816" s="86"/>
      <c r="E2816" s="116" t="str">
        <f t="shared" si="131"/>
        <v>-</v>
      </c>
      <c r="F2816" s="85"/>
      <c r="G2816" s="85" t="s">
        <v>19</v>
      </c>
      <c r="H2816" s="85"/>
      <c r="I2816" s="85"/>
      <c r="J2816" s="87"/>
      <c r="K2816" s="88">
        <f t="shared" si="132"/>
        <v>0</v>
      </c>
      <c r="L2816" s="85"/>
    </row>
    <row r="2817" spans="1:12" x14ac:dyDescent="0.25">
      <c r="A2817" s="84" t="str">
        <f t="shared" si="130"/>
        <v>SelecioneSelecioneSelecione</v>
      </c>
      <c r="B2817" s="85" t="s">
        <v>19</v>
      </c>
      <c r="C2817" s="85" t="s">
        <v>19</v>
      </c>
      <c r="D2817" s="86"/>
      <c r="E2817" s="116" t="str">
        <f t="shared" si="131"/>
        <v>-</v>
      </c>
      <c r="F2817" s="85"/>
      <c r="G2817" s="85" t="s">
        <v>19</v>
      </c>
      <c r="H2817" s="85"/>
      <c r="I2817" s="85"/>
      <c r="J2817" s="87"/>
      <c r="K2817" s="88">
        <f t="shared" si="132"/>
        <v>0</v>
      </c>
      <c r="L2817" s="85"/>
    </row>
    <row r="2818" spans="1:12" x14ac:dyDescent="0.25">
      <c r="A2818" s="84" t="str">
        <f t="shared" ref="A2818:A2881" si="133">CONCATENATE(B2818,C2818,G2818)</f>
        <v>SelecioneSelecioneSelecione</v>
      </c>
      <c r="B2818" s="85" t="s">
        <v>19</v>
      </c>
      <c r="C2818" s="85" t="s">
        <v>19</v>
      </c>
      <c r="D2818" s="86"/>
      <c r="E2818" s="116" t="str">
        <f t="shared" ref="E2818:E2881" si="134">VLOOKUP(G2818,$M$1:$O$968,3,0)</f>
        <v>-</v>
      </c>
      <c r="F2818" s="85"/>
      <c r="G2818" s="85" t="s">
        <v>19</v>
      </c>
      <c r="H2818" s="85"/>
      <c r="I2818" s="85"/>
      <c r="J2818" s="87"/>
      <c r="K2818" s="88">
        <f t="shared" ref="K2818:K2881" si="135">I2818*J2818</f>
        <v>0</v>
      </c>
      <c r="L2818" s="85"/>
    </row>
    <row r="2819" spans="1:12" x14ac:dyDescent="0.25">
      <c r="A2819" s="84" t="str">
        <f t="shared" si="133"/>
        <v>SelecioneSelecioneSelecione</v>
      </c>
      <c r="B2819" s="85" t="s">
        <v>19</v>
      </c>
      <c r="C2819" s="85" t="s">
        <v>19</v>
      </c>
      <c r="D2819" s="86"/>
      <c r="E2819" s="116" t="str">
        <f t="shared" si="134"/>
        <v>-</v>
      </c>
      <c r="F2819" s="85"/>
      <c r="G2819" s="85" t="s">
        <v>19</v>
      </c>
      <c r="H2819" s="85"/>
      <c r="I2819" s="85"/>
      <c r="J2819" s="87"/>
      <c r="K2819" s="88">
        <f t="shared" si="135"/>
        <v>0</v>
      </c>
      <c r="L2819" s="85"/>
    </row>
    <row r="2820" spans="1:12" x14ac:dyDescent="0.25">
      <c r="A2820" s="84" t="str">
        <f t="shared" si="133"/>
        <v>SelecioneSelecioneSelecione</v>
      </c>
      <c r="B2820" s="85" t="s">
        <v>19</v>
      </c>
      <c r="C2820" s="85" t="s">
        <v>19</v>
      </c>
      <c r="D2820" s="86"/>
      <c r="E2820" s="116" t="str">
        <f t="shared" si="134"/>
        <v>-</v>
      </c>
      <c r="F2820" s="85"/>
      <c r="G2820" s="85" t="s">
        <v>19</v>
      </c>
      <c r="H2820" s="85"/>
      <c r="I2820" s="85"/>
      <c r="J2820" s="87"/>
      <c r="K2820" s="88">
        <f t="shared" si="135"/>
        <v>0</v>
      </c>
      <c r="L2820" s="85"/>
    </row>
    <row r="2821" spans="1:12" x14ac:dyDescent="0.25">
      <c r="A2821" s="84" t="str">
        <f t="shared" si="133"/>
        <v>SelecioneSelecioneSelecione</v>
      </c>
      <c r="B2821" s="85" t="s">
        <v>19</v>
      </c>
      <c r="C2821" s="85" t="s">
        <v>19</v>
      </c>
      <c r="D2821" s="93"/>
      <c r="E2821" s="116" t="str">
        <f t="shared" si="134"/>
        <v>-</v>
      </c>
      <c r="F2821" s="90"/>
      <c r="G2821" s="85" t="s">
        <v>19</v>
      </c>
      <c r="H2821" s="85"/>
      <c r="I2821" s="90"/>
      <c r="J2821" s="89"/>
      <c r="K2821" s="88">
        <f t="shared" si="135"/>
        <v>0</v>
      </c>
      <c r="L2821" s="90"/>
    </row>
    <row r="2822" spans="1:12" x14ac:dyDescent="0.25">
      <c r="A2822" s="84" t="str">
        <f t="shared" si="133"/>
        <v>SelecioneSelecioneSelecione</v>
      </c>
      <c r="B2822" s="85" t="s">
        <v>19</v>
      </c>
      <c r="C2822" s="85" t="s">
        <v>19</v>
      </c>
      <c r="D2822" s="93"/>
      <c r="E2822" s="116" t="str">
        <f t="shared" si="134"/>
        <v>-</v>
      </c>
      <c r="F2822" s="90"/>
      <c r="G2822" s="85" t="s">
        <v>19</v>
      </c>
      <c r="H2822" s="85"/>
      <c r="I2822" s="90"/>
      <c r="J2822" s="89"/>
      <c r="K2822" s="88">
        <f t="shared" si="135"/>
        <v>0</v>
      </c>
      <c r="L2822" s="90"/>
    </row>
    <row r="2823" spans="1:12" x14ac:dyDescent="0.25">
      <c r="A2823" s="84" t="str">
        <f t="shared" si="133"/>
        <v>SelecioneSelecioneSelecione</v>
      </c>
      <c r="B2823" s="85" t="s">
        <v>19</v>
      </c>
      <c r="C2823" s="85" t="s">
        <v>19</v>
      </c>
      <c r="D2823" s="86"/>
      <c r="E2823" s="116" t="str">
        <f t="shared" si="134"/>
        <v>-</v>
      </c>
      <c r="F2823" s="85"/>
      <c r="G2823" s="85" t="s">
        <v>19</v>
      </c>
      <c r="H2823" s="85"/>
      <c r="I2823" s="85"/>
      <c r="J2823" s="87"/>
      <c r="K2823" s="88">
        <f t="shared" si="135"/>
        <v>0</v>
      </c>
      <c r="L2823" s="85"/>
    </row>
    <row r="2824" spans="1:12" x14ac:dyDescent="0.25">
      <c r="A2824" s="84" t="str">
        <f t="shared" si="133"/>
        <v>SelecioneSelecioneSelecione</v>
      </c>
      <c r="B2824" s="85" t="s">
        <v>19</v>
      </c>
      <c r="C2824" s="85" t="s">
        <v>19</v>
      </c>
      <c r="D2824" s="86"/>
      <c r="E2824" s="116" t="str">
        <f t="shared" si="134"/>
        <v>-</v>
      </c>
      <c r="F2824" s="85"/>
      <c r="G2824" s="85" t="s">
        <v>19</v>
      </c>
      <c r="H2824" s="85"/>
      <c r="I2824" s="85"/>
      <c r="J2824" s="87"/>
      <c r="K2824" s="88">
        <f t="shared" si="135"/>
        <v>0</v>
      </c>
      <c r="L2824" s="85"/>
    </row>
    <row r="2825" spans="1:12" x14ac:dyDescent="0.25">
      <c r="A2825" s="84" t="str">
        <f t="shared" si="133"/>
        <v>SelecioneSelecioneSelecione</v>
      </c>
      <c r="B2825" s="85" t="s">
        <v>19</v>
      </c>
      <c r="C2825" s="85" t="s">
        <v>19</v>
      </c>
      <c r="D2825" s="86"/>
      <c r="E2825" s="116" t="str">
        <f t="shared" si="134"/>
        <v>-</v>
      </c>
      <c r="F2825" s="85"/>
      <c r="G2825" s="85" t="s">
        <v>19</v>
      </c>
      <c r="H2825" s="85"/>
      <c r="I2825" s="85"/>
      <c r="J2825" s="87"/>
      <c r="K2825" s="88">
        <f t="shared" si="135"/>
        <v>0</v>
      </c>
      <c r="L2825" s="85"/>
    </row>
    <row r="2826" spans="1:12" x14ac:dyDescent="0.25">
      <c r="A2826" s="84" t="str">
        <f t="shared" si="133"/>
        <v>SelecioneSelecioneSelecione</v>
      </c>
      <c r="B2826" s="85" t="s">
        <v>19</v>
      </c>
      <c r="C2826" s="85" t="s">
        <v>19</v>
      </c>
      <c r="D2826" s="86"/>
      <c r="E2826" s="116" t="str">
        <f t="shared" si="134"/>
        <v>-</v>
      </c>
      <c r="F2826" s="85"/>
      <c r="G2826" s="85" t="s">
        <v>19</v>
      </c>
      <c r="H2826" s="85"/>
      <c r="I2826" s="85"/>
      <c r="J2826" s="87"/>
      <c r="K2826" s="88">
        <f t="shared" si="135"/>
        <v>0</v>
      </c>
      <c r="L2826" s="85"/>
    </row>
    <row r="2827" spans="1:12" x14ac:dyDescent="0.25">
      <c r="A2827" s="84" t="str">
        <f t="shared" si="133"/>
        <v>SelecioneSelecioneSelecione</v>
      </c>
      <c r="B2827" s="85" t="s">
        <v>19</v>
      </c>
      <c r="C2827" s="85" t="s">
        <v>19</v>
      </c>
      <c r="D2827" s="86"/>
      <c r="E2827" s="116" t="str">
        <f t="shared" si="134"/>
        <v>-</v>
      </c>
      <c r="F2827" s="85"/>
      <c r="G2827" s="85" t="s">
        <v>19</v>
      </c>
      <c r="H2827" s="85"/>
      <c r="I2827" s="85"/>
      <c r="J2827" s="87"/>
      <c r="K2827" s="88">
        <f t="shared" si="135"/>
        <v>0</v>
      </c>
      <c r="L2827" s="85"/>
    </row>
    <row r="2828" spans="1:12" x14ac:dyDescent="0.25">
      <c r="A2828" s="84" t="str">
        <f t="shared" si="133"/>
        <v>SelecioneSelecioneSelecione</v>
      </c>
      <c r="B2828" s="85" t="s">
        <v>19</v>
      </c>
      <c r="C2828" s="85" t="s">
        <v>19</v>
      </c>
      <c r="D2828" s="86"/>
      <c r="E2828" s="116" t="str">
        <f t="shared" si="134"/>
        <v>-</v>
      </c>
      <c r="F2828" s="85"/>
      <c r="G2828" s="85" t="s">
        <v>19</v>
      </c>
      <c r="H2828" s="85"/>
      <c r="I2828" s="85"/>
      <c r="J2828" s="87"/>
      <c r="K2828" s="88">
        <f t="shared" si="135"/>
        <v>0</v>
      </c>
      <c r="L2828" s="85"/>
    </row>
    <row r="2829" spans="1:12" x14ac:dyDescent="0.25">
      <c r="A2829" s="84" t="str">
        <f t="shared" si="133"/>
        <v>SelecioneSelecioneSelecione</v>
      </c>
      <c r="B2829" s="85" t="s">
        <v>19</v>
      </c>
      <c r="C2829" s="85" t="s">
        <v>19</v>
      </c>
      <c r="D2829" s="86"/>
      <c r="E2829" s="116" t="str">
        <f t="shared" si="134"/>
        <v>-</v>
      </c>
      <c r="F2829" s="85"/>
      <c r="G2829" s="85" t="s">
        <v>19</v>
      </c>
      <c r="H2829" s="85"/>
      <c r="I2829" s="85"/>
      <c r="J2829" s="87"/>
      <c r="K2829" s="88">
        <f t="shared" si="135"/>
        <v>0</v>
      </c>
      <c r="L2829" s="85"/>
    </row>
    <row r="2830" spans="1:12" x14ac:dyDescent="0.25">
      <c r="A2830" s="84" t="str">
        <f t="shared" si="133"/>
        <v>SelecioneSelecioneSelecione</v>
      </c>
      <c r="B2830" s="85" t="s">
        <v>19</v>
      </c>
      <c r="C2830" s="85" t="s">
        <v>19</v>
      </c>
      <c r="D2830" s="86"/>
      <c r="E2830" s="116" t="str">
        <f t="shared" si="134"/>
        <v>-</v>
      </c>
      <c r="F2830" s="85"/>
      <c r="G2830" s="85" t="s">
        <v>19</v>
      </c>
      <c r="H2830" s="85"/>
      <c r="I2830" s="85"/>
      <c r="J2830" s="87"/>
      <c r="K2830" s="88">
        <f t="shared" si="135"/>
        <v>0</v>
      </c>
      <c r="L2830" s="85"/>
    </row>
    <row r="2831" spans="1:12" x14ac:dyDescent="0.25">
      <c r="A2831" s="84" t="str">
        <f t="shared" si="133"/>
        <v>SelecioneSelecioneSelecione</v>
      </c>
      <c r="B2831" s="85" t="s">
        <v>19</v>
      </c>
      <c r="C2831" s="85" t="s">
        <v>19</v>
      </c>
      <c r="D2831" s="86"/>
      <c r="E2831" s="116" t="str">
        <f t="shared" si="134"/>
        <v>-</v>
      </c>
      <c r="F2831" s="85"/>
      <c r="G2831" s="85" t="s">
        <v>19</v>
      </c>
      <c r="H2831" s="85"/>
      <c r="I2831" s="85"/>
      <c r="J2831" s="87"/>
      <c r="K2831" s="88">
        <f t="shared" si="135"/>
        <v>0</v>
      </c>
      <c r="L2831" s="85"/>
    </row>
    <row r="2832" spans="1:12" x14ac:dyDescent="0.25">
      <c r="A2832" s="84" t="str">
        <f t="shared" si="133"/>
        <v>SelecioneSelecioneSelecione</v>
      </c>
      <c r="B2832" s="85" t="s">
        <v>19</v>
      </c>
      <c r="C2832" s="85" t="s">
        <v>19</v>
      </c>
      <c r="D2832" s="86"/>
      <c r="E2832" s="116" t="str">
        <f t="shared" si="134"/>
        <v>-</v>
      </c>
      <c r="F2832" s="85"/>
      <c r="G2832" s="85" t="s">
        <v>19</v>
      </c>
      <c r="H2832" s="85"/>
      <c r="I2832" s="85"/>
      <c r="J2832" s="87"/>
      <c r="K2832" s="88">
        <f t="shared" si="135"/>
        <v>0</v>
      </c>
      <c r="L2832" s="85"/>
    </row>
    <row r="2833" spans="1:12" x14ac:dyDescent="0.25">
      <c r="A2833" s="84" t="str">
        <f t="shared" si="133"/>
        <v>SelecioneSelecioneSelecione</v>
      </c>
      <c r="B2833" s="85" t="s">
        <v>19</v>
      </c>
      <c r="C2833" s="85" t="s">
        <v>19</v>
      </c>
      <c r="D2833" s="86"/>
      <c r="E2833" s="116" t="str">
        <f t="shared" si="134"/>
        <v>-</v>
      </c>
      <c r="F2833" s="85"/>
      <c r="G2833" s="85" t="s">
        <v>19</v>
      </c>
      <c r="H2833" s="85"/>
      <c r="I2833" s="85"/>
      <c r="J2833" s="87"/>
      <c r="K2833" s="88">
        <f t="shared" si="135"/>
        <v>0</v>
      </c>
      <c r="L2833" s="85"/>
    </row>
    <row r="2834" spans="1:12" x14ac:dyDescent="0.25">
      <c r="A2834" s="84" t="str">
        <f t="shared" si="133"/>
        <v>SelecioneSelecioneSelecione</v>
      </c>
      <c r="B2834" s="85" t="s">
        <v>19</v>
      </c>
      <c r="C2834" s="85" t="s">
        <v>19</v>
      </c>
      <c r="D2834" s="86"/>
      <c r="E2834" s="116" t="str">
        <f t="shared" si="134"/>
        <v>-</v>
      </c>
      <c r="F2834" s="85"/>
      <c r="G2834" s="85" t="s">
        <v>19</v>
      </c>
      <c r="H2834" s="85"/>
      <c r="I2834" s="85"/>
      <c r="J2834" s="87"/>
      <c r="K2834" s="88">
        <f t="shared" si="135"/>
        <v>0</v>
      </c>
      <c r="L2834" s="85"/>
    </row>
    <row r="2835" spans="1:12" x14ac:dyDescent="0.25">
      <c r="A2835" s="84" t="str">
        <f t="shared" si="133"/>
        <v>SelecioneSelecioneSelecione</v>
      </c>
      <c r="B2835" s="85" t="s">
        <v>19</v>
      </c>
      <c r="C2835" s="85" t="s">
        <v>19</v>
      </c>
      <c r="D2835" s="86"/>
      <c r="E2835" s="116" t="str">
        <f t="shared" si="134"/>
        <v>-</v>
      </c>
      <c r="F2835" s="85"/>
      <c r="G2835" s="85" t="s">
        <v>19</v>
      </c>
      <c r="H2835" s="85"/>
      <c r="I2835" s="85"/>
      <c r="J2835" s="87"/>
      <c r="K2835" s="88">
        <f t="shared" si="135"/>
        <v>0</v>
      </c>
      <c r="L2835" s="85"/>
    </row>
    <row r="2836" spans="1:12" x14ac:dyDescent="0.25">
      <c r="A2836" s="84" t="str">
        <f t="shared" si="133"/>
        <v>SelecioneSelecioneSelecione</v>
      </c>
      <c r="B2836" s="85" t="s">
        <v>19</v>
      </c>
      <c r="C2836" s="85" t="s">
        <v>19</v>
      </c>
      <c r="D2836" s="86"/>
      <c r="E2836" s="116" t="str">
        <f t="shared" si="134"/>
        <v>-</v>
      </c>
      <c r="F2836" s="85"/>
      <c r="G2836" s="85" t="s">
        <v>19</v>
      </c>
      <c r="H2836" s="85"/>
      <c r="I2836" s="85"/>
      <c r="J2836" s="87"/>
      <c r="K2836" s="88">
        <f t="shared" si="135"/>
        <v>0</v>
      </c>
      <c r="L2836" s="85"/>
    </row>
    <row r="2837" spans="1:12" x14ac:dyDescent="0.25">
      <c r="A2837" s="84" t="str">
        <f t="shared" si="133"/>
        <v>SelecioneSelecioneSelecione</v>
      </c>
      <c r="B2837" s="85" t="s">
        <v>19</v>
      </c>
      <c r="C2837" s="85" t="s">
        <v>19</v>
      </c>
      <c r="D2837" s="86"/>
      <c r="E2837" s="116" t="str">
        <f t="shared" si="134"/>
        <v>-</v>
      </c>
      <c r="F2837" s="85"/>
      <c r="G2837" s="85" t="s">
        <v>19</v>
      </c>
      <c r="H2837" s="85"/>
      <c r="I2837" s="85"/>
      <c r="J2837" s="87"/>
      <c r="K2837" s="88">
        <f t="shared" si="135"/>
        <v>0</v>
      </c>
      <c r="L2837" s="85"/>
    </row>
    <row r="2838" spans="1:12" x14ac:dyDescent="0.25">
      <c r="A2838" s="84" t="str">
        <f t="shared" si="133"/>
        <v>SelecioneSelecioneSelecione</v>
      </c>
      <c r="B2838" s="85" t="s">
        <v>19</v>
      </c>
      <c r="C2838" s="85" t="s">
        <v>19</v>
      </c>
      <c r="D2838" s="86"/>
      <c r="E2838" s="116" t="str">
        <f t="shared" si="134"/>
        <v>-</v>
      </c>
      <c r="F2838" s="85"/>
      <c r="G2838" s="85" t="s">
        <v>19</v>
      </c>
      <c r="H2838" s="85"/>
      <c r="I2838" s="85"/>
      <c r="J2838" s="87"/>
      <c r="K2838" s="88">
        <f t="shared" si="135"/>
        <v>0</v>
      </c>
      <c r="L2838" s="85"/>
    </row>
    <row r="2839" spans="1:12" x14ac:dyDescent="0.25">
      <c r="A2839" s="84" t="str">
        <f t="shared" si="133"/>
        <v>SelecioneSelecioneSelecione</v>
      </c>
      <c r="B2839" s="85" t="s">
        <v>19</v>
      </c>
      <c r="C2839" s="85" t="s">
        <v>19</v>
      </c>
      <c r="D2839" s="86"/>
      <c r="E2839" s="116" t="str">
        <f t="shared" si="134"/>
        <v>-</v>
      </c>
      <c r="F2839" s="85"/>
      <c r="G2839" s="85" t="s">
        <v>19</v>
      </c>
      <c r="H2839" s="85"/>
      <c r="I2839" s="85"/>
      <c r="J2839" s="87"/>
      <c r="K2839" s="88">
        <f t="shared" si="135"/>
        <v>0</v>
      </c>
      <c r="L2839" s="85"/>
    </row>
    <row r="2840" spans="1:12" x14ac:dyDescent="0.25">
      <c r="A2840" s="84" t="str">
        <f t="shared" si="133"/>
        <v>SelecioneSelecioneSelecione</v>
      </c>
      <c r="B2840" s="85" t="s">
        <v>19</v>
      </c>
      <c r="C2840" s="85" t="s">
        <v>19</v>
      </c>
      <c r="D2840" s="86"/>
      <c r="E2840" s="116" t="str">
        <f t="shared" si="134"/>
        <v>-</v>
      </c>
      <c r="F2840" s="85"/>
      <c r="G2840" s="85" t="s">
        <v>19</v>
      </c>
      <c r="H2840" s="85"/>
      <c r="I2840" s="85"/>
      <c r="J2840" s="87"/>
      <c r="K2840" s="88">
        <f t="shared" si="135"/>
        <v>0</v>
      </c>
      <c r="L2840" s="85"/>
    </row>
    <row r="2841" spans="1:12" x14ac:dyDescent="0.25">
      <c r="A2841" s="84" t="str">
        <f t="shared" si="133"/>
        <v>SelecioneSelecioneSelecione</v>
      </c>
      <c r="B2841" s="85" t="s">
        <v>19</v>
      </c>
      <c r="C2841" s="85" t="s">
        <v>19</v>
      </c>
      <c r="D2841" s="86"/>
      <c r="E2841" s="116" t="str">
        <f t="shared" si="134"/>
        <v>-</v>
      </c>
      <c r="F2841" s="85"/>
      <c r="G2841" s="85" t="s">
        <v>19</v>
      </c>
      <c r="H2841" s="85"/>
      <c r="I2841" s="85"/>
      <c r="J2841" s="87"/>
      <c r="K2841" s="88">
        <f t="shared" si="135"/>
        <v>0</v>
      </c>
      <c r="L2841" s="85"/>
    </row>
    <row r="2842" spans="1:12" x14ac:dyDescent="0.25">
      <c r="A2842" s="84" t="str">
        <f t="shared" si="133"/>
        <v>SelecioneSelecioneSelecione</v>
      </c>
      <c r="B2842" s="85" t="s">
        <v>19</v>
      </c>
      <c r="C2842" s="85" t="s">
        <v>19</v>
      </c>
      <c r="D2842" s="86"/>
      <c r="E2842" s="116" t="str">
        <f t="shared" si="134"/>
        <v>-</v>
      </c>
      <c r="F2842" s="85"/>
      <c r="G2842" s="85" t="s">
        <v>19</v>
      </c>
      <c r="H2842" s="85"/>
      <c r="I2842" s="85"/>
      <c r="J2842" s="87"/>
      <c r="K2842" s="88">
        <f t="shared" si="135"/>
        <v>0</v>
      </c>
      <c r="L2842" s="85"/>
    </row>
    <row r="2843" spans="1:12" x14ac:dyDescent="0.25">
      <c r="A2843" s="84" t="str">
        <f t="shared" si="133"/>
        <v>SelecioneSelecioneSelecione</v>
      </c>
      <c r="B2843" s="85" t="s">
        <v>19</v>
      </c>
      <c r="C2843" s="85" t="s">
        <v>19</v>
      </c>
      <c r="D2843" s="86"/>
      <c r="E2843" s="116" t="str">
        <f t="shared" si="134"/>
        <v>-</v>
      </c>
      <c r="F2843" s="85"/>
      <c r="G2843" s="85" t="s">
        <v>19</v>
      </c>
      <c r="H2843" s="85"/>
      <c r="I2843" s="85"/>
      <c r="J2843" s="87"/>
      <c r="K2843" s="88">
        <f t="shared" si="135"/>
        <v>0</v>
      </c>
      <c r="L2843" s="85"/>
    </row>
    <row r="2844" spans="1:12" x14ac:dyDescent="0.25">
      <c r="A2844" s="84" t="str">
        <f t="shared" si="133"/>
        <v>SelecioneSelecioneSelecione</v>
      </c>
      <c r="B2844" s="85" t="s">
        <v>19</v>
      </c>
      <c r="C2844" s="85" t="s">
        <v>19</v>
      </c>
      <c r="D2844" s="86"/>
      <c r="E2844" s="116" t="str">
        <f t="shared" si="134"/>
        <v>-</v>
      </c>
      <c r="F2844" s="85"/>
      <c r="G2844" s="85" t="s">
        <v>19</v>
      </c>
      <c r="H2844" s="85"/>
      <c r="I2844" s="85"/>
      <c r="J2844" s="87"/>
      <c r="K2844" s="88">
        <f t="shared" si="135"/>
        <v>0</v>
      </c>
      <c r="L2844" s="85"/>
    </row>
    <row r="2845" spans="1:12" x14ac:dyDescent="0.25">
      <c r="A2845" s="84" t="str">
        <f t="shared" si="133"/>
        <v>SelecioneSelecioneSelecione</v>
      </c>
      <c r="B2845" s="85" t="s">
        <v>19</v>
      </c>
      <c r="C2845" s="85" t="s">
        <v>19</v>
      </c>
      <c r="D2845" s="86"/>
      <c r="E2845" s="116" t="str">
        <f t="shared" si="134"/>
        <v>-</v>
      </c>
      <c r="F2845" s="85"/>
      <c r="G2845" s="85" t="s">
        <v>19</v>
      </c>
      <c r="H2845" s="85"/>
      <c r="I2845" s="85"/>
      <c r="J2845" s="87"/>
      <c r="K2845" s="88">
        <f t="shared" si="135"/>
        <v>0</v>
      </c>
      <c r="L2845" s="85"/>
    </row>
    <row r="2846" spans="1:12" x14ac:dyDescent="0.25">
      <c r="A2846" s="84" t="str">
        <f t="shared" si="133"/>
        <v>SelecioneSelecioneSelecione</v>
      </c>
      <c r="B2846" s="85" t="s">
        <v>19</v>
      </c>
      <c r="C2846" s="85" t="s">
        <v>19</v>
      </c>
      <c r="D2846" s="86"/>
      <c r="E2846" s="116" t="str">
        <f t="shared" si="134"/>
        <v>-</v>
      </c>
      <c r="F2846" s="85"/>
      <c r="G2846" s="85" t="s">
        <v>19</v>
      </c>
      <c r="H2846" s="85"/>
      <c r="I2846" s="85"/>
      <c r="J2846" s="87"/>
      <c r="K2846" s="88">
        <f t="shared" si="135"/>
        <v>0</v>
      </c>
      <c r="L2846" s="85"/>
    </row>
    <row r="2847" spans="1:12" x14ac:dyDescent="0.25">
      <c r="A2847" s="84" t="str">
        <f t="shared" si="133"/>
        <v>SelecioneSelecioneSelecione</v>
      </c>
      <c r="B2847" s="85" t="s">
        <v>19</v>
      </c>
      <c r="C2847" s="85" t="s">
        <v>19</v>
      </c>
      <c r="D2847" s="86"/>
      <c r="E2847" s="116" t="str">
        <f t="shared" si="134"/>
        <v>-</v>
      </c>
      <c r="F2847" s="85"/>
      <c r="G2847" s="85" t="s">
        <v>19</v>
      </c>
      <c r="H2847" s="85"/>
      <c r="I2847" s="85"/>
      <c r="J2847" s="87"/>
      <c r="K2847" s="88">
        <f t="shared" si="135"/>
        <v>0</v>
      </c>
      <c r="L2847" s="85"/>
    </row>
    <row r="2848" spans="1:12" x14ac:dyDescent="0.25">
      <c r="A2848" s="84" t="str">
        <f t="shared" si="133"/>
        <v>SelecioneSelecioneSelecione</v>
      </c>
      <c r="B2848" s="85" t="s">
        <v>19</v>
      </c>
      <c r="C2848" s="85" t="s">
        <v>19</v>
      </c>
      <c r="D2848" s="86"/>
      <c r="E2848" s="116" t="str">
        <f t="shared" si="134"/>
        <v>-</v>
      </c>
      <c r="F2848" s="85"/>
      <c r="G2848" s="85" t="s">
        <v>19</v>
      </c>
      <c r="H2848" s="85"/>
      <c r="I2848" s="85"/>
      <c r="J2848" s="87"/>
      <c r="K2848" s="88">
        <f t="shared" si="135"/>
        <v>0</v>
      </c>
      <c r="L2848" s="85"/>
    </row>
    <row r="2849" spans="1:12" x14ac:dyDescent="0.25">
      <c r="A2849" s="84" t="str">
        <f t="shared" si="133"/>
        <v>SelecioneSelecioneSelecione</v>
      </c>
      <c r="B2849" s="85" t="s">
        <v>19</v>
      </c>
      <c r="C2849" s="85" t="s">
        <v>19</v>
      </c>
      <c r="D2849" s="86"/>
      <c r="E2849" s="116" t="str">
        <f t="shared" si="134"/>
        <v>-</v>
      </c>
      <c r="F2849" s="85"/>
      <c r="G2849" s="85" t="s">
        <v>19</v>
      </c>
      <c r="H2849" s="85"/>
      <c r="I2849" s="85"/>
      <c r="J2849" s="87"/>
      <c r="K2849" s="88">
        <f t="shared" si="135"/>
        <v>0</v>
      </c>
      <c r="L2849" s="85"/>
    </row>
    <row r="2850" spans="1:12" x14ac:dyDescent="0.25">
      <c r="A2850" s="84" t="str">
        <f t="shared" si="133"/>
        <v>SelecioneSelecioneSelecione</v>
      </c>
      <c r="B2850" s="85" t="s">
        <v>19</v>
      </c>
      <c r="C2850" s="85" t="s">
        <v>19</v>
      </c>
      <c r="D2850" s="86"/>
      <c r="E2850" s="116" t="str">
        <f t="shared" si="134"/>
        <v>-</v>
      </c>
      <c r="F2850" s="85"/>
      <c r="G2850" s="85" t="s">
        <v>19</v>
      </c>
      <c r="H2850" s="85"/>
      <c r="I2850" s="85"/>
      <c r="J2850" s="87"/>
      <c r="K2850" s="88">
        <f t="shared" si="135"/>
        <v>0</v>
      </c>
      <c r="L2850" s="85"/>
    </row>
    <row r="2851" spans="1:12" x14ac:dyDescent="0.25">
      <c r="A2851" s="84" t="str">
        <f t="shared" si="133"/>
        <v>SelecioneSelecioneSelecione</v>
      </c>
      <c r="B2851" s="85" t="s">
        <v>19</v>
      </c>
      <c r="C2851" s="85" t="s">
        <v>19</v>
      </c>
      <c r="D2851" s="86"/>
      <c r="E2851" s="116" t="str">
        <f t="shared" si="134"/>
        <v>-</v>
      </c>
      <c r="F2851" s="85"/>
      <c r="G2851" s="85" t="s">
        <v>19</v>
      </c>
      <c r="H2851" s="85"/>
      <c r="I2851" s="85"/>
      <c r="J2851" s="87"/>
      <c r="K2851" s="88">
        <f t="shared" si="135"/>
        <v>0</v>
      </c>
      <c r="L2851" s="85"/>
    </row>
    <row r="2852" spans="1:12" x14ac:dyDescent="0.25">
      <c r="A2852" s="84" t="str">
        <f t="shared" si="133"/>
        <v>SelecioneSelecioneSelecione</v>
      </c>
      <c r="B2852" s="85" t="s">
        <v>19</v>
      </c>
      <c r="C2852" s="85" t="s">
        <v>19</v>
      </c>
      <c r="D2852" s="86"/>
      <c r="E2852" s="116" t="str">
        <f t="shared" si="134"/>
        <v>-</v>
      </c>
      <c r="F2852" s="85"/>
      <c r="G2852" s="85" t="s">
        <v>19</v>
      </c>
      <c r="H2852" s="85"/>
      <c r="I2852" s="85"/>
      <c r="J2852" s="87"/>
      <c r="K2852" s="88">
        <f t="shared" si="135"/>
        <v>0</v>
      </c>
      <c r="L2852" s="85"/>
    </row>
    <row r="2853" spans="1:12" x14ac:dyDescent="0.25">
      <c r="A2853" s="84" t="str">
        <f t="shared" si="133"/>
        <v>SelecioneSelecioneSelecione</v>
      </c>
      <c r="B2853" s="85" t="s">
        <v>19</v>
      </c>
      <c r="C2853" s="85" t="s">
        <v>19</v>
      </c>
      <c r="D2853" s="86"/>
      <c r="E2853" s="116" t="str">
        <f t="shared" si="134"/>
        <v>-</v>
      </c>
      <c r="F2853" s="85"/>
      <c r="G2853" s="85" t="s">
        <v>19</v>
      </c>
      <c r="H2853" s="85"/>
      <c r="I2853" s="85"/>
      <c r="J2853" s="87"/>
      <c r="K2853" s="88">
        <f t="shared" si="135"/>
        <v>0</v>
      </c>
      <c r="L2853" s="85"/>
    </row>
    <row r="2854" spans="1:12" x14ac:dyDescent="0.25">
      <c r="A2854" s="84" t="str">
        <f t="shared" si="133"/>
        <v>SelecioneSelecioneSelecione</v>
      </c>
      <c r="B2854" s="85" t="s">
        <v>19</v>
      </c>
      <c r="C2854" s="85" t="s">
        <v>19</v>
      </c>
      <c r="D2854" s="86"/>
      <c r="E2854" s="116" t="str">
        <f t="shared" si="134"/>
        <v>-</v>
      </c>
      <c r="F2854" s="85"/>
      <c r="G2854" s="85" t="s">
        <v>19</v>
      </c>
      <c r="H2854" s="85"/>
      <c r="I2854" s="85"/>
      <c r="J2854" s="87"/>
      <c r="K2854" s="88">
        <f t="shared" si="135"/>
        <v>0</v>
      </c>
      <c r="L2854" s="85"/>
    </row>
    <row r="2855" spans="1:12" x14ac:dyDescent="0.25">
      <c r="A2855" s="84" t="str">
        <f t="shared" si="133"/>
        <v>SelecioneSelecioneSelecione</v>
      </c>
      <c r="B2855" s="85" t="s">
        <v>19</v>
      </c>
      <c r="C2855" s="85" t="s">
        <v>19</v>
      </c>
      <c r="D2855" s="86"/>
      <c r="E2855" s="116" t="str">
        <f t="shared" si="134"/>
        <v>-</v>
      </c>
      <c r="F2855" s="85"/>
      <c r="G2855" s="85" t="s">
        <v>19</v>
      </c>
      <c r="H2855" s="85"/>
      <c r="I2855" s="85"/>
      <c r="J2855" s="87"/>
      <c r="K2855" s="88">
        <f t="shared" si="135"/>
        <v>0</v>
      </c>
      <c r="L2855" s="85"/>
    </row>
    <row r="2856" spans="1:12" x14ac:dyDescent="0.25">
      <c r="A2856" s="84" t="str">
        <f t="shared" si="133"/>
        <v>SelecioneSelecioneSelecione</v>
      </c>
      <c r="B2856" s="85" t="s">
        <v>19</v>
      </c>
      <c r="C2856" s="85" t="s">
        <v>19</v>
      </c>
      <c r="D2856" s="86"/>
      <c r="E2856" s="116" t="str">
        <f t="shared" si="134"/>
        <v>-</v>
      </c>
      <c r="F2856" s="85"/>
      <c r="G2856" s="85" t="s">
        <v>19</v>
      </c>
      <c r="H2856" s="85"/>
      <c r="I2856" s="85"/>
      <c r="J2856" s="87"/>
      <c r="K2856" s="88">
        <f t="shared" si="135"/>
        <v>0</v>
      </c>
      <c r="L2856" s="85"/>
    </row>
    <row r="2857" spans="1:12" x14ac:dyDescent="0.25">
      <c r="A2857" s="84" t="str">
        <f t="shared" si="133"/>
        <v>SelecioneSelecioneSelecione</v>
      </c>
      <c r="B2857" s="85" t="s">
        <v>19</v>
      </c>
      <c r="C2857" s="85" t="s">
        <v>19</v>
      </c>
      <c r="D2857" s="86"/>
      <c r="E2857" s="116" t="str">
        <f t="shared" si="134"/>
        <v>-</v>
      </c>
      <c r="F2857" s="85"/>
      <c r="G2857" s="85" t="s">
        <v>19</v>
      </c>
      <c r="H2857" s="85"/>
      <c r="I2857" s="85"/>
      <c r="J2857" s="87"/>
      <c r="K2857" s="88">
        <f t="shared" si="135"/>
        <v>0</v>
      </c>
      <c r="L2857" s="85"/>
    </row>
    <row r="2858" spans="1:12" x14ac:dyDescent="0.25">
      <c r="A2858" s="84" t="str">
        <f t="shared" si="133"/>
        <v>SelecioneSelecioneSelecione</v>
      </c>
      <c r="B2858" s="85" t="s">
        <v>19</v>
      </c>
      <c r="C2858" s="85" t="s">
        <v>19</v>
      </c>
      <c r="D2858" s="86"/>
      <c r="E2858" s="116" t="str">
        <f t="shared" si="134"/>
        <v>-</v>
      </c>
      <c r="F2858" s="85"/>
      <c r="G2858" s="85" t="s">
        <v>19</v>
      </c>
      <c r="H2858" s="85"/>
      <c r="I2858" s="85"/>
      <c r="J2858" s="87"/>
      <c r="K2858" s="88">
        <f t="shared" si="135"/>
        <v>0</v>
      </c>
      <c r="L2858" s="85"/>
    </row>
    <row r="2859" spans="1:12" x14ac:dyDescent="0.25">
      <c r="A2859" s="84" t="str">
        <f t="shared" si="133"/>
        <v>SelecioneSelecioneSelecione</v>
      </c>
      <c r="B2859" s="85" t="s">
        <v>19</v>
      </c>
      <c r="C2859" s="85" t="s">
        <v>19</v>
      </c>
      <c r="D2859" s="86"/>
      <c r="E2859" s="116" t="str">
        <f t="shared" si="134"/>
        <v>-</v>
      </c>
      <c r="F2859" s="85"/>
      <c r="G2859" s="85" t="s">
        <v>19</v>
      </c>
      <c r="H2859" s="85"/>
      <c r="I2859" s="85"/>
      <c r="J2859" s="87"/>
      <c r="K2859" s="88">
        <f t="shared" si="135"/>
        <v>0</v>
      </c>
      <c r="L2859" s="85"/>
    </row>
    <row r="2860" spans="1:12" x14ac:dyDescent="0.25">
      <c r="A2860" s="84" t="str">
        <f t="shared" si="133"/>
        <v>SelecioneSelecioneSelecione</v>
      </c>
      <c r="B2860" s="85" t="s">
        <v>19</v>
      </c>
      <c r="C2860" s="85" t="s">
        <v>19</v>
      </c>
      <c r="D2860" s="86"/>
      <c r="E2860" s="116" t="str">
        <f t="shared" si="134"/>
        <v>-</v>
      </c>
      <c r="F2860" s="85"/>
      <c r="G2860" s="85" t="s">
        <v>19</v>
      </c>
      <c r="H2860" s="85"/>
      <c r="I2860" s="85"/>
      <c r="J2860" s="87"/>
      <c r="K2860" s="88">
        <f t="shared" si="135"/>
        <v>0</v>
      </c>
      <c r="L2860" s="85"/>
    </row>
    <row r="2861" spans="1:12" x14ac:dyDescent="0.25">
      <c r="A2861" s="84" t="str">
        <f t="shared" si="133"/>
        <v>SelecioneSelecioneSelecione</v>
      </c>
      <c r="B2861" s="85" t="s">
        <v>19</v>
      </c>
      <c r="C2861" s="85" t="s">
        <v>19</v>
      </c>
      <c r="D2861" s="86"/>
      <c r="E2861" s="116" t="str">
        <f t="shared" si="134"/>
        <v>-</v>
      </c>
      <c r="F2861" s="85"/>
      <c r="G2861" s="85" t="s">
        <v>19</v>
      </c>
      <c r="H2861" s="85"/>
      <c r="I2861" s="85"/>
      <c r="J2861" s="87"/>
      <c r="K2861" s="88">
        <f t="shared" si="135"/>
        <v>0</v>
      </c>
      <c r="L2861" s="85"/>
    </row>
    <row r="2862" spans="1:12" x14ac:dyDescent="0.25">
      <c r="A2862" s="84" t="str">
        <f t="shared" si="133"/>
        <v>SelecioneSelecioneSelecione</v>
      </c>
      <c r="B2862" s="85" t="s">
        <v>19</v>
      </c>
      <c r="C2862" s="85" t="s">
        <v>19</v>
      </c>
      <c r="D2862" s="86"/>
      <c r="E2862" s="116" t="str">
        <f t="shared" si="134"/>
        <v>-</v>
      </c>
      <c r="F2862" s="85"/>
      <c r="G2862" s="85" t="s">
        <v>19</v>
      </c>
      <c r="H2862" s="85"/>
      <c r="I2862" s="85"/>
      <c r="J2862" s="87"/>
      <c r="K2862" s="88">
        <f t="shared" si="135"/>
        <v>0</v>
      </c>
      <c r="L2862" s="85"/>
    </row>
    <row r="2863" spans="1:12" x14ac:dyDescent="0.25">
      <c r="A2863" s="84" t="str">
        <f t="shared" si="133"/>
        <v>SelecioneSelecioneSelecione</v>
      </c>
      <c r="B2863" s="85" t="s">
        <v>19</v>
      </c>
      <c r="C2863" s="85" t="s">
        <v>19</v>
      </c>
      <c r="D2863" s="86"/>
      <c r="E2863" s="116" t="str">
        <f t="shared" si="134"/>
        <v>-</v>
      </c>
      <c r="F2863" s="85"/>
      <c r="G2863" s="85" t="s">
        <v>19</v>
      </c>
      <c r="H2863" s="85"/>
      <c r="I2863" s="85"/>
      <c r="J2863" s="87"/>
      <c r="K2863" s="88">
        <f t="shared" si="135"/>
        <v>0</v>
      </c>
      <c r="L2863" s="85"/>
    </row>
    <row r="2864" spans="1:12" x14ac:dyDescent="0.25">
      <c r="A2864" s="84" t="str">
        <f t="shared" si="133"/>
        <v>SelecioneSelecioneSelecione</v>
      </c>
      <c r="B2864" s="85" t="s">
        <v>19</v>
      </c>
      <c r="C2864" s="85" t="s">
        <v>19</v>
      </c>
      <c r="D2864" s="86"/>
      <c r="E2864" s="116" t="str">
        <f t="shared" si="134"/>
        <v>-</v>
      </c>
      <c r="F2864" s="85"/>
      <c r="G2864" s="85" t="s">
        <v>19</v>
      </c>
      <c r="H2864" s="85"/>
      <c r="I2864" s="85"/>
      <c r="J2864" s="87"/>
      <c r="K2864" s="88">
        <f t="shared" si="135"/>
        <v>0</v>
      </c>
      <c r="L2864" s="85"/>
    </row>
    <row r="2865" spans="1:12" x14ac:dyDescent="0.25">
      <c r="A2865" s="84" t="str">
        <f t="shared" si="133"/>
        <v>SelecioneSelecioneSelecione</v>
      </c>
      <c r="B2865" s="85" t="s">
        <v>19</v>
      </c>
      <c r="C2865" s="85" t="s">
        <v>19</v>
      </c>
      <c r="D2865" s="86"/>
      <c r="E2865" s="116" t="str">
        <f t="shared" si="134"/>
        <v>-</v>
      </c>
      <c r="F2865" s="85"/>
      <c r="G2865" s="85" t="s">
        <v>19</v>
      </c>
      <c r="H2865" s="85"/>
      <c r="I2865" s="85"/>
      <c r="J2865" s="87"/>
      <c r="K2865" s="88">
        <f t="shared" si="135"/>
        <v>0</v>
      </c>
      <c r="L2865" s="85"/>
    </row>
    <row r="2866" spans="1:12" x14ac:dyDescent="0.25">
      <c r="A2866" s="84" t="str">
        <f t="shared" si="133"/>
        <v>SelecioneSelecioneSelecione</v>
      </c>
      <c r="B2866" s="85" t="s">
        <v>19</v>
      </c>
      <c r="C2866" s="85" t="s">
        <v>19</v>
      </c>
      <c r="D2866" s="86"/>
      <c r="E2866" s="116" t="str">
        <f t="shared" si="134"/>
        <v>-</v>
      </c>
      <c r="F2866" s="85"/>
      <c r="G2866" s="85" t="s">
        <v>19</v>
      </c>
      <c r="H2866" s="85"/>
      <c r="I2866" s="85"/>
      <c r="J2866" s="87"/>
      <c r="K2866" s="88">
        <f t="shared" si="135"/>
        <v>0</v>
      </c>
      <c r="L2866" s="85"/>
    </row>
    <row r="2867" spans="1:12" x14ac:dyDescent="0.25">
      <c r="A2867" s="84" t="str">
        <f t="shared" si="133"/>
        <v>SelecioneSelecioneSelecione</v>
      </c>
      <c r="B2867" s="85" t="s">
        <v>19</v>
      </c>
      <c r="C2867" s="85" t="s">
        <v>19</v>
      </c>
      <c r="D2867" s="86"/>
      <c r="E2867" s="116" t="str">
        <f t="shared" si="134"/>
        <v>-</v>
      </c>
      <c r="F2867" s="85"/>
      <c r="G2867" s="85" t="s">
        <v>19</v>
      </c>
      <c r="H2867" s="85"/>
      <c r="I2867" s="85"/>
      <c r="J2867" s="87"/>
      <c r="K2867" s="88">
        <f t="shared" si="135"/>
        <v>0</v>
      </c>
      <c r="L2867" s="85"/>
    </row>
    <row r="2868" spans="1:12" x14ac:dyDescent="0.25">
      <c r="A2868" s="84" t="str">
        <f t="shared" si="133"/>
        <v>SelecioneSelecioneSelecione</v>
      </c>
      <c r="B2868" s="85" t="s">
        <v>19</v>
      </c>
      <c r="C2868" s="85" t="s">
        <v>19</v>
      </c>
      <c r="D2868" s="86"/>
      <c r="E2868" s="116" t="str">
        <f t="shared" si="134"/>
        <v>-</v>
      </c>
      <c r="F2868" s="85"/>
      <c r="G2868" s="85" t="s">
        <v>19</v>
      </c>
      <c r="H2868" s="85"/>
      <c r="I2868" s="85"/>
      <c r="J2868" s="87"/>
      <c r="K2868" s="88">
        <f t="shared" si="135"/>
        <v>0</v>
      </c>
      <c r="L2868" s="85"/>
    </row>
    <row r="2869" spans="1:12" x14ac:dyDescent="0.25">
      <c r="A2869" s="84" t="str">
        <f t="shared" si="133"/>
        <v>SelecioneSelecioneSelecione</v>
      </c>
      <c r="B2869" s="85" t="s">
        <v>19</v>
      </c>
      <c r="C2869" s="85" t="s">
        <v>19</v>
      </c>
      <c r="D2869" s="86"/>
      <c r="E2869" s="116" t="str">
        <f t="shared" si="134"/>
        <v>-</v>
      </c>
      <c r="F2869" s="85"/>
      <c r="G2869" s="85" t="s">
        <v>19</v>
      </c>
      <c r="H2869" s="85"/>
      <c r="I2869" s="85"/>
      <c r="J2869" s="87"/>
      <c r="K2869" s="88">
        <f t="shared" si="135"/>
        <v>0</v>
      </c>
      <c r="L2869" s="85"/>
    </row>
    <row r="2870" spans="1:12" x14ac:dyDescent="0.25">
      <c r="A2870" s="84" t="str">
        <f t="shared" si="133"/>
        <v>SelecioneSelecioneSelecione</v>
      </c>
      <c r="B2870" s="85" t="s">
        <v>19</v>
      </c>
      <c r="C2870" s="85" t="s">
        <v>19</v>
      </c>
      <c r="D2870" s="86"/>
      <c r="E2870" s="116" t="str">
        <f t="shared" si="134"/>
        <v>-</v>
      </c>
      <c r="F2870" s="85"/>
      <c r="G2870" s="85" t="s">
        <v>19</v>
      </c>
      <c r="H2870" s="85"/>
      <c r="I2870" s="85"/>
      <c r="J2870" s="87"/>
      <c r="K2870" s="88">
        <f t="shared" si="135"/>
        <v>0</v>
      </c>
      <c r="L2870" s="85"/>
    </row>
    <row r="2871" spans="1:12" x14ac:dyDescent="0.25">
      <c r="A2871" s="84" t="str">
        <f t="shared" si="133"/>
        <v>SelecioneSelecioneSelecione</v>
      </c>
      <c r="B2871" s="85" t="s">
        <v>19</v>
      </c>
      <c r="C2871" s="85" t="s">
        <v>19</v>
      </c>
      <c r="D2871" s="86"/>
      <c r="E2871" s="116" t="str">
        <f t="shared" si="134"/>
        <v>-</v>
      </c>
      <c r="F2871" s="85"/>
      <c r="G2871" s="85" t="s">
        <v>19</v>
      </c>
      <c r="H2871" s="85"/>
      <c r="I2871" s="85"/>
      <c r="J2871" s="87"/>
      <c r="K2871" s="88">
        <f t="shared" si="135"/>
        <v>0</v>
      </c>
      <c r="L2871" s="85"/>
    </row>
    <row r="2872" spans="1:12" x14ac:dyDescent="0.25">
      <c r="A2872" s="84" t="str">
        <f t="shared" si="133"/>
        <v>SelecioneSelecioneSelecione</v>
      </c>
      <c r="B2872" s="85" t="s">
        <v>19</v>
      </c>
      <c r="C2872" s="85" t="s">
        <v>19</v>
      </c>
      <c r="D2872" s="86"/>
      <c r="E2872" s="116" t="str">
        <f t="shared" si="134"/>
        <v>-</v>
      </c>
      <c r="F2872" s="85"/>
      <c r="G2872" s="85" t="s">
        <v>19</v>
      </c>
      <c r="H2872" s="85"/>
      <c r="I2872" s="85"/>
      <c r="J2872" s="87"/>
      <c r="K2872" s="88">
        <f t="shared" si="135"/>
        <v>0</v>
      </c>
      <c r="L2872" s="85"/>
    </row>
    <row r="2873" spans="1:12" x14ac:dyDescent="0.25">
      <c r="A2873" s="84" t="str">
        <f t="shared" si="133"/>
        <v>SelecioneSelecioneSelecione</v>
      </c>
      <c r="B2873" s="85" t="s">
        <v>19</v>
      </c>
      <c r="C2873" s="85" t="s">
        <v>19</v>
      </c>
      <c r="D2873" s="93"/>
      <c r="E2873" s="116" t="str">
        <f t="shared" si="134"/>
        <v>-</v>
      </c>
      <c r="F2873" s="90"/>
      <c r="G2873" s="85" t="s">
        <v>19</v>
      </c>
      <c r="H2873" s="85"/>
      <c r="I2873" s="90"/>
      <c r="J2873" s="89"/>
      <c r="K2873" s="88">
        <f t="shared" si="135"/>
        <v>0</v>
      </c>
      <c r="L2873" s="90"/>
    </row>
    <row r="2874" spans="1:12" x14ac:dyDescent="0.25">
      <c r="A2874" s="84" t="str">
        <f t="shared" si="133"/>
        <v>SelecioneSelecioneSelecione</v>
      </c>
      <c r="B2874" s="85" t="s">
        <v>19</v>
      </c>
      <c r="C2874" s="85" t="s">
        <v>19</v>
      </c>
      <c r="D2874" s="86"/>
      <c r="E2874" s="116" t="str">
        <f t="shared" si="134"/>
        <v>-</v>
      </c>
      <c r="F2874" s="85"/>
      <c r="G2874" s="85" t="s">
        <v>19</v>
      </c>
      <c r="H2874" s="85"/>
      <c r="I2874" s="85"/>
      <c r="J2874" s="87"/>
      <c r="K2874" s="88">
        <f t="shared" si="135"/>
        <v>0</v>
      </c>
      <c r="L2874" s="85"/>
    </row>
    <row r="2875" spans="1:12" x14ac:dyDescent="0.25">
      <c r="A2875" s="84" t="str">
        <f t="shared" si="133"/>
        <v>SelecioneSelecioneSelecione</v>
      </c>
      <c r="B2875" s="85" t="s">
        <v>19</v>
      </c>
      <c r="C2875" s="85" t="s">
        <v>19</v>
      </c>
      <c r="D2875" s="86"/>
      <c r="E2875" s="116" t="str">
        <f t="shared" si="134"/>
        <v>-</v>
      </c>
      <c r="F2875" s="85"/>
      <c r="G2875" s="85" t="s">
        <v>19</v>
      </c>
      <c r="H2875" s="85"/>
      <c r="I2875" s="85"/>
      <c r="J2875" s="87"/>
      <c r="K2875" s="88">
        <f t="shared" si="135"/>
        <v>0</v>
      </c>
      <c r="L2875" s="85"/>
    </row>
    <row r="2876" spans="1:12" x14ac:dyDescent="0.25">
      <c r="A2876" s="84" t="str">
        <f t="shared" si="133"/>
        <v>SelecioneSelecioneSelecione</v>
      </c>
      <c r="B2876" s="85" t="s">
        <v>19</v>
      </c>
      <c r="C2876" s="85" t="s">
        <v>19</v>
      </c>
      <c r="D2876" s="93"/>
      <c r="E2876" s="116" t="str">
        <f t="shared" si="134"/>
        <v>-</v>
      </c>
      <c r="F2876" s="85"/>
      <c r="G2876" s="85" t="s">
        <v>19</v>
      </c>
      <c r="H2876" s="85"/>
      <c r="I2876" s="90"/>
      <c r="J2876" s="89"/>
      <c r="K2876" s="88">
        <f t="shared" si="135"/>
        <v>0</v>
      </c>
      <c r="L2876" s="90"/>
    </row>
    <row r="2877" spans="1:12" x14ac:dyDescent="0.25">
      <c r="A2877" s="84" t="str">
        <f t="shared" si="133"/>
        <v>SelecioneSelecioneSelecione</v>
      </c>
      <c r="B2877" s="85" t="s">
        <v>19</v>
      </c>
      <c r="C2877" s="85" t="s">
        <v>19</v>
      </c>
      <c r="D2877" s="93"/>
      <c r="E2877" s="116" t="str">
        <f t="shared" si="134"/>
        <v>-</v>
      </c>
      <c r="F2877" s="85"/>
      <c r="G2877" s="85" t="s">
        <v>19</v>
      </c>
      <c r="H2877" s="85"/>
      <c r="I2877" s="90"/>
      <c r="J2877" s="89"/>
      <c r="K2877" s="88">
        <f t="shared" si="135"/>
        <v>0</v>
      </c>
      <c r="L2877" s="90"/>
    </row>
    <row r="2878" spans="1:12" x14ac:dyDescent="0.25">
      <c r="A2878" s="84" t="str">
        <f t="shared" si="133"/>
        <v>SelecioneSelecioneSelecione</v>
      </c>
      <c r="B2878" s="85" t="s">
        <v>19</v>
      </c>
      <c r="C2878" s="85" t="s">
        <v>19</v>
      </c>
      <c r="D2878" s="93"/>
      <c r="E2878" s="116" t="str">
        <f t="shared" si="134"/>
        <v>-</v>
      </c>
      <c r="F2878" s="85"/>
      <c r="G2878" s="85" t="s">
        <v>19</v>
      </c>
      <c r="H2878" s="85"/>
      <c r="I2878" s="90"/>
      <c r="J2878" s="89"/>
      <c r="K2878" s="88">
        <f t="shared" si="135"/>
        <v>0</v>
      </c>
      <c r="L2878" s="90"/>
    </row>
    <row r="2879" spans="1:12" x14ac:dyDescent="0.25">
      <c r="A2879" s="84" t="str">
        <f t="shared" si="133"/>
        <v>SelecioneSelecioneSelecione</v>
      </c>
      <c r="B2879" s="85" t="s">
        <v>19</v>
      </c>
      <c r="C2879" s="85" t="s">
        <v>19</v>
      </c>
      <c r="D2879" s="93"/>
      <c r="E2879" s="116" t="str">
        <f t="shared" si="134"/>
        <v>-</v>
      </c>
      <c r="F2879" s="85"/>
      <c r="G2879" s="85" t="s">
        <v>19</v>
      </c>
      <c r="H2879" s="85"/>
      <c r="I2879" s="90"/>
      <c r="J2879" s="89"/>
      <c r="K2879" s="88">
        <f t="shared" si="135"/>
        <v>0</v>
      </c>
      <c r="L2879" s="90"/>
    </row>
    <row r="2880" spans="1:12" x14ac:dyDescent="0.25">
      <c r="A2880" s="84" t="str">
        <f t="shared" si="133"/>
        <v>SelecioneSelecioneSelecione</v>
      </c>
      <c r="B2880" s="85" t="s">
        <v>19</v>
      </c>
      <c r="C2880" s="85" t="s">
        <v>19</v>
      </c>
      <c r="D2880" s="86"/>
      <c r="E2880" s="116" t="str">
        <f t="shared" si="134"/>
        <v>-</v>
      </c>
      <c r="F2880" s="85"/>
      <c r="G2880" s="85" t="s">
        <v>19</v>
      </c>
      <c r="H2880" s="85"/>
      <c r="I2880" s="85"/>
      <c r="J2880" s="87"/>
      <c r="K2880" s="88">
        <f t="shared" si="135"/>
        <v>0</v>
      </c>
      <c r="L2880" s="85"/>
    </row>
    <row r="2881" spans="1:12" x14ac:dyDescent="0.25">
      <c r="A2881" s="84" t="str">
        <f t="shared" si="133"/>
        <v>SelecioneSelecioneSelecione</v>
      </c>
      <c r="B2881" s="85" t="s">
        <v>19</v>
      </c>
      <c r="C2881" s="85" t="s">
        <v>19</v>
      </c>
      <c r="D2881" s="86"/>
      <c r="E2881" s="116" t="str">
        <f t="shared" si="134"/>
        <v>-</v>
      </c>
      <c r="F2881" s="85"/>
      <c r="G2881" s="85" t="s">
        <v>19</v>
      </c>
      <c r="H2881" s="85"/>
      <c r="I2881" s="85"/>
      <c r="J2881" s="87"/>
      <c r="K2881" s="88">
        <f t="shared" si="135"/>
        <v>0</v>
      </c>
      <c r="L2881" s="85"/>
    </row>
    <row r="2882" spans="1:12" x14ac:dyDescent="0.25">
      <c r="A2882" s="84" t="str">
        <f t="shared" ref="A2882:A2945" si="136">CONCATENATE(B2882,C2882,G2882)</f>
        <v>SelecioneSelecioneSelecione</v>
      </c>
      <c r="B2882" s="85" t="s">
        <v>19</v>
      </c>
      <c r="C2882" s="85" t="s">
        <v>19</v>
      </c>
      <c r="D2882" s="86"/>
      <c r="E2882" s="116" t="str">
        <f t="shared" ref="E2882:E2945" si="137">VLOOKUP(G2882,$M$1:$O$968,3,0)</f>
        <v>-</v>
      </c>
      <c r="F2882" s="85"/>
      <c r="G2882" s="85" t="s">
        <v>19</v>
      </c>
      <c r="H2882" s="85"/>
      <c r="I2882" s="85"/>
      <c r="J2882" s="87"/>
      <c r="K2882" s="88">
        <f t="shared" ref="K2882:K2945" si="138">I2882*J2882</f>
        <v>0</v>
      </c>
      <c r="L2882" s="85"/>
    </row>
    <row r="2883" spans="1:12" x14ac:dyDescent="0.25">
      <c r="A2883" s="84" t="str">
        <f t="shared" si="136"/>
        <v>SelecioneSelecioneSelecione</v>
      </c>
      <c r="B2883" s="85" t="s">
        <v>19</v>
      </c>
      <c r="C2883" s="85" t="s">
        <v>19</v>
      </c>
      <c r="D2883" s="86"/>
      <c r="E2883" s="116" t="str">
        <f t="shared" si="137"/>
        <v>-</v>
      </c>
      <c r="F2883" s="85"/>
      <c r="G2883" s="85" t="s">
        <v>19</v>
      </c>
      <c r="H2883" s="85"/>
      <c r="I2883" s="85"/>
      <c r="J2883" s="87"/>
      <c r="K2883" s="88">
        <f t="shared" si="138"/>
        <v>0</v>
      </c>
      <c r="L2883" s="85"/>
    </row>
    <row r="2884" spans="1:12" x14ac:dyDescent="0.25">
      <c r="A2884" s="84" t="str">
        <f t="shared" si="136"/>
        <v>SelecioneSelecioneSelecione</v>
      </c>
      <c r="B2884" s="85" t="s">
        <v>19</v>
      </c>
      <c r="C2884" s="85" t="s">
        <v>19</v>
      </c>
      <c r="D2884" s="86"/>
      <c r="E2884" s="116" t="str">
        <f t="shared" si="137"/>
        <v>-</v>
      </c>
      <c r="F2884" s="85"/>
      <c r="G2884" s="85" t="s">
        <v>19</v>
      </c>
      <c r="H2884" s="85"/>
      <c r="I2884" s="85"/>
      <c r="J2884" s="87"/>
      <c r="K2884" s="88">
        <f t="shared" si="138"/>
        <v>0</v>
      </c>
      <c r="L2884" s="85"/>
    </row>
    <row r="2885" spans="1:12" x14ac:dyDescent="0.25">
      <c r="A2885" s="84" t="str">
        <f t="shared" si="136"/>
        <v>SelecioneSelecioneSelecione</v>
      </c>
      <c r="B2885" s="85" t="s">
        <v>19</v>
      </c>
      <c r="C2885" s="85" t="s">
        <v>19</v>
      </c>
      <c r="D2885" s="86"/>
      <c r="E2885" s="116" t="str">
        <f t="shared" si="137"/>
        <v>-</v>
      </c>
      <c r="F2885" s="85"/>
      <c r="G2885" s="85" t="s">
        <v>19</v>
      </c>
      <c r="H2885" s="85"/>
      <c r="I2885" s="85"/>
      <c r="J2885" s="87"/>
      <c r="K2885" s="88">
        <f t="shared" si="138"/>
        <v>0</v>
      </c>
      <c r="L2885" s="85"/>
    </row>
    <row r="2886" spans="1:12" x14ac:dyDescent="0.25">
      <c r="A2886" s="84" t="str">
        <f t="shared" si="136"/>
        <v>SelecioneSelecioneSelecione</v>
      </c>
      <c r="B2886" s="85" t="s">
        <v>19</v>
      </c>
      <c r="C2886" s="85" t="s">
        <v>19</v>
      </c>
      <c r="D2886" s="86"/>
      <c r="E2886" s="116" t="str">
        <f t="shared" si="137"/>
        <v>-</v>
      </c>
      <c r="F2886" s="85"/>
      <c r="G2886" s="85" t="s">
        <v>19</v>
      </c>
      <c r="H2886" s="85"/>
      <c r="I2886" s="85"/>
      <c r="J2886" s="87"/>
      <c r="K2886" s="88">
        <f t="shared" si="138"/>
        <v>0</v>
      </c>
      <c r="L2886" s="85"/>
    </row>
    <row r="2887" spans="1:12" x14ac:dyDescent="0.25">
      <c r="A2887" s="84" t="str">
        <f t="shared" si="136"/>
        <v>SelecioneSelecioneSelecione</v>
      </c>
      <c r="B2887" s="85" t="s">
        <v>19</v>
      </c>
      <c r="C2887" s="85" t="s">
        <v>19</v>
      </c>
      <c r="D2887" s="93"/>
      <c r="E2887" s="116" t="str">
        <f t="shared" si="137"/>
        <v>-</v>
      </c>
      <c r="F2887" s="90"/>
      <c r="G2887" s="85" t="s">
        <v>19</v>
      </c>
      <c r="H2887" s="85"/>
      <c r="I2887" s="90"/>
      <c r="J2887" s="89"/>
      <c r="K2887" s="88">
        <f t="shared" si="138"/>
        <v>0</v>
      </c>
      <c r="L2887" s="90"/>
    </row>
    <row r="2888" spans="1:12" x14ac:dyDescent="0.25">
      <c r="A2888" s="84" t="str">
        <f t="shared" si="136"/>
        <v>SelecioneSelecioneSelecione</v>
      </c>
      <c r="B2888" s="85" t="s">
        <v>19</v>
      </c>
      <c r="C2888" s="85" t="s">
        <v>19</v>
      </c>
      <c r="D2888" s="86"/>
      <c r="E2888" s="116" t="str">
        <f t="shared" si="137"/>
        <v>-</v>
      </c>
      <c r="F2888" s="85"/>
      <c r="G2888" s="85" t="s">
        <v>19</v>
      </c>
      <c r="H2888" s="85"/>
      <c r="I2888" s="85"/>
      <c r="J2888" s="87"/>
      <c r="K2888" s="88">
        <f t="shared" si="138"/>
        <v>0</v>
      </c>
      <c r="L2888" s="85"/>
    </row>
    <row r="2889" spans="1:12" x14ac:dyDescent="0.25">
      <c r="A2889" s="84" t="str">
        <f t="shared" si="136"/>
        <v>SelecioneSelecioneSelecione</v>
      </c>
      <c r="B2889" s="85" t="s">
        <v>19</v>
      </c>
      <c r="C2889" s="85" t="s">
        <v>19</v>
      </c>
      <c r="D2889" s="86"/>
      <c r="E2889" s="116" t="str">
        <f t="shared" si="137"/>
        <v>-</v>
      </c>
      <c r="F2889" s="85"/>
      <c r="G2889" s="85" t="s">
        <v>19</v>
      </c>
      <c r="H2889" s="85"/>
      <c r="I2889" s="85"/>
      <c r="J2889" s="87"/>
      <c r="K2889" s="88">
        <f t="shared" si="138"/>
        <v>0</v>
      </c>
      <c r="L2889" s="85"/>
    </row>
    <row r="2890" spans="1:12" x14ac:dyDescent="0.25">
      <c r="A2890" s="84" t="str">
        <f t="shared" si="136"/>
        <v>SelecioneSelecioneSelecione</v>
      </c>
      <c r="B2890" s="85" t="s">
        <v>19</v>
      </c>
      <c r="C2890" s="85" t="s">
        <v>19</v>
      </c>
      <c r="D2890" s="86"/>
      <c r="E2890" s="116" t="str">
        <f t="shared" si="137"/>
        <v>-</v>
      </c>
      <c r="F2890" s="85"/>
      <c r="G2890" s="85" t="s">
        <v>19</v>
      </c>
      <c r="H2890" s="85"/>
      <c r="I2890" s="85"/>
      <c r="J2890" s="87"/>
      <c r="K2890" s="88">
        <f t="shared" si="138"/>
        <v>0</v>
      </c>
      <c r="L2890" s="85"/>
    </row>
    <row r="2891" spans="1:12" x14ac:dyDescent="0.25">
      <c r="A2891" s="84" t="str">
        <f t="shared" si="136"/>
        <v>SelecioneSelecioneSelecione</v>
      </c>
      <c r="B2891" s="85" t="s">
        <v>19</v>
      </c>
      <c r="C2891" s="85" t="s">
        <v>19</v>
      </c>
      <c r="D2891" s="93"/>
      <c r="E2891" s="116" t="str">
        <f t="shared" si="137"/>
        <v>-</v>
      </c>
      <c r="F2891" s="90"/>
      <c r="G2891" s="85" t="s">
        <v>19</v>
      </c>
      <c r="H2891" s="85"/>
      <c r="I2891" s="90"/>
      <c r="J2891" s="89"/>
      <c r="K2891" s="88">
        <f t="shared" si="138"/>
        <v>0</v>
      </c>
      <c r="L2891" s="90"/>
    </row>
    <row r="2892" spans="1:12" x14ac:dyDescent="0.25">
      <c r="A2892" s="84" t="str">
        <f t="shared" si="136"/>
        <v>SelecioneSelecioneSelecione</v>
      </c>
      <c r="B2892" s="85" t="s">
        <v>19</v>
      </c>
      <c r="C2892" s="85" t="s">
        <v>19</v>
      </c>
      <c r="D2892" s="93"/>
      <c r="E2892" s="116" t="str">
        <f t="shared" si="137"/>
        <v>-</v>
      </c>
      <c r="F2892" s="90"/>
      <c r="G2892" s="85" t="s">
        <v>19</v>
      </c>
      <c r="H2892" s="85"/>
      <c r="I2892" s="90"/>
      <c r="J2892" s="89"/>
      <c r="K2892" s="88">
        <f t="shared" si="138"/>
        <v>0</v>
      </c>
      <c r="L2892" s="90"/>
    </row>
    <row r="2893" spans="1:12" x14ac:dyDescent="0.25">
      <c r="A2893" s="84" t="str">
        <f t="shared" si="136"/>
        <v>SelecioneSelecioneSelecione</v>
      </c>
      <c r="B2893" s="85" t="s">
        <v>19</v>
      </c>
      <c r="C2893" s="85" t="s">
        <v>19</v>
      </c>
      <c r="D2893" s="93"/>
      <c r="E2893" s="116" t="str">
        <f t="shared" si="137"/>
        <v>-</v>
      </c>
      <c r="F2893" s="90"/>
      <c r="G2893" s="85" t="s">
        <v>19</v>
      </c>
      <c r="H2893" s="85"/>
      <c r="I2893" s="90"/>
      <c r="J2893" s="89"/>
      <c r="K2893" s="88">
        <f t="shared" si="138"/>
        <v>0</v>
      </c>
      <c r="L2893" s="90"/>
    </row>
    <row r="2894" spans="1:12" x14ac:dyDescent="0.25">
      <c r="A2894" s="84" t="str">
        <f t="shared" si="136"/>
        <v>SelecioneSelecioneSelecione</v>
      </c>
      <c r="B2894" s="85" t="s">
        <v>19</v>
      </c>
      <c r="C2894" s="85" t="s">
        <v>19</v>
      </c>
      <c r="D2894" s="86"/>
      <c r="E2894" s="116" t="str">
        <f t="shared" si="137"/>
        <v>-</v>
      </c>
      <c r="F2894" s="85"/>
      <c r="G2894" s="85" t="s">
        <v>19</v>
      </c>
      <c r="H2894" s="85"/>
      <c r="I2894" s="85"/>
      <c r="J2894" s="87"/>
      <c r="K2894" s="88">
        <f t="shared" si="138"/>
        <v>0</v>
      </c>
      <c r="L2894" s="85"/>
    </row>
    <row r="2895" spans="1:12" x14ac:dyDescent="0.25">
      <c r="A2895" s="84" t="str">
        <f t="shared" si="136"/>
        <v>SelecioneSelecioneSelecione</v>
      </c>
      <c r="B2895" s="85" t="s">
        <v>19</v>
      </c>
      <c r="C2895" s="85" t="s">
        <v>19</v>
      </c>
      <c r="D2895" s="86"/>
      <c r="E2895" s="116" t="str">
        <f t="shared" si="137"/>
        <v>-</v>
      </c>
      <c r="F2895" s="85"/>
      <c r="G2895" s="85" t="s">
        <v>19</v>
      </c>
      <c r="H2895" s="85"/>
      <c r="I2895" s="85"/>
      <c r="J2895" s="87"/>
      <c r="K2895" s="88">
        <f t="shared" si="138"/>
        <v>0</v>
      </c>
      <c r="L2895" s="85"/>
    </row>
    <row r="2896" spans="1:12" x14ac:dyDescent="0.25">
      <c r="A2896" s="84" t="str">
        <f t="shared" si="136"/>
        <v>SelecioneSelecioneSelecione</v>
      </c>
      <c r="B2896" s="85" t="s">
        <v>19</v>
      </c>
      <c r="C2896" s="85" t="s">
        <v>19</v>
      </c>
      <c r="D2896" s="86"/>
      <c r="E2896" s="116" t="str">
        <f t="shared" si="137"/>
        <v>-</v>
      </c>
      <c r="F2896" s="85"/>
      <c r="G2896" s="85" t="s">
        <v>19</v>
      </c>
      <c r="H2896" s="85"/>
      <c r="I2896" s="85"/>
      <c r="J2896" s="87"/>
      <c r="K2896" s="88">
        <f t="shared" si="138"/>
        <v>0</v>
      </c>
      <c r="L2896" s="85"/>
    </row>
    <row r="2897" spans="1:12" x14ac:dyDescent="0.25">
      <c r="A2897" s="84" t="str">
        <f t="shared" si="136"/>
        <v>SelecioneSelecioneSelecione</v>
      </c>
      <c r="B2897" s="85" t="s">
        <v>19</v>
      </c>
      <c r="C2897" s="85" t="s">
        <v>19</v>
      </c>
      <c r="D2897" s="86"/>
      <c r="E2897" s="116" t="str">
        <f t="shared" si="137"/>
        <v>-</v>
      </c>
      <c r="F2897" s="85"/>
      <c r="G2897" s="85" t="s">
        <v>19</v>
      </c>
      <c r="H2897" s="85"/>
      <c r="I2897" s="85"/>
      <c r="J2897" s="87"/>
      <c r="K2897" s="88">
        <f t="shared" si="138"/>
        <v>0</v>
      </c>
      <c r="L2897" s="85"/>
    </row>
    <row r="2898" spans="1:12" x14ac:dyDescent="0.25">
      <c r="A2898" s="84" t="str">
        <f t="shared" si="136"/>
        <v>SelecioneSelecioneSelecione</v>
      </c>
      <c r="B2898" s="85" t="s">
        <v>19</v>
      </c>
      <c r="C2898" s="85" t="s">
        <v>19</v>
      </c>
      <c r="D2898" s="86"/>
      <c r="E2898" s="116" t="str">
        <f t="shared" si="137"/>
        <v>-</v>
      </c>
      <c r="F2898" s="85"/>
      <c r="G2898" s="85" t="s">
        <v>19</v>
      </c>
      <c r="H2898" s="85"/>
      <c r="I2898" s="85"/>
      <c r="J2898" s="87"/>
      <c r="K2898" s="88">
        <f t="shared" si="138"/>
        <v>0</v>
      </c>
      <c r="L2898" s="85"/>
    </row>
    <row r="2899" spans="1:12" x14ac:dyDescent="0.25">
      <c r="A2899" s="84" t="str">
        <f t="shared" si="136"/>
        <v>SelecioneSelecioneSelecione</v>
      </c>
      <c r="B2899" s="85" t="s">
        <v>19</v>
      </c>
      <c r="C2899" s="85" t="s">
        <v>19</v>
      </c>
      <c r="D2899" s="86"/>
      <c r="E2899" s="116" t="str">
        <f t="shared" si="137"/>
        <v>-</v>
      </c>
      <c r="F2899" s="85"/>
      <c r="G2899" s="85" t="s">
        <v>19</v>
      </c>
      <c r="H2899" s="85"/>
      <c r="I2899" s="85"/>
      <c r="J2899" s="87"/>
      <c r="K2899" s="88">
        <f t="shared" si="138"/>
        <v>0</v>
      </c>
      <c r="L2899" s="85"/>
    </row>
    <row r="2900" spans="1:12" x14ac:dyDescent="0.25">
      <c r="A2900" s="84" t="str">
        <f t="shared" si="136"/>
        <v>SelecioneSelecioneSelecione</v>
      </c>
      <c r="B2900" s="85" t="s">
        <v>19</v>
      </c>
      <c r="C2900" s="85" t="s">
        <v>19</v>
      </c>
      <c r="D2900" s="86"/>
      <c r="E2900" s="116" t="str">
        <f t="shared" si="137"/>
        <v>-</v>
      </c>
      <c r="F2900" s="85"/>
      <c r="G2900" s="85" t="s">
        <v>19</v>
      </c>
      <c r="H2900" s="85"/>
      <c r="I2900" s="85"/>
      <c r="J2900" s="87"/>
      <c r="K2900" s="88">
        <f t="shared" si="138"/>
        <v>0</v>
      </c>
      <c r="L2900" s="85"/>
    </row>
    <row r="2901" spans="1:12" x14ac:dyDescent="0.25">
      <c r="A2901" s="84" t="str">
        <f t="shared" si="136"/>
        <v>SelecioneSelecioneSelecione</v>
      </c>
      <c r="B2901" s="85" t="s">
        <v>19</v>
      </c>
      <c r="C2901" s="85" t="s">
        <v>19</v>
      </c>
      <c r="D2901" s="86"/>
      <c r="E2901" s="116" t="str">
        <f t="shared" si="137"/>
        <v>-</v>
      </c>
      <c r="F2901" s="85"/>
      <c r="G2901" s="85" t="s">
        <v>19</v>
      </c>
      <c r="H2901" s="85"/>
      <c r="I2901" s="85"/>
      <c r="J2901" s="87"/>
      <c r="K2901" s="88">
        <f t="shared" si="138"/>
        <v>0</v>
      </c>
      <c r="L2901" s="85"/>
    </row>
    <row r="2902" spans="1:12" x14ac:dyDescent="0.25">
      <c r="A2902" s="84" t="str">
        <f t="shared" si="136"/>
        <v>SelecioneSelecioneSelecione</v>
      </c>
      <c r="B2902" s="85" t="s">
        <v>19</v>
      </c>
      <c r="C2902" s="85" t="s">
        <v>19</v>
      </c>
      <c r="D2902" s="86"/>
      <c r="E2902" s="116" t="str">
        <f t="shared" si="137"/>
        <v>-</v>
      </c>
      <c r="F2902" s="85"/>
      <c r="G2902" s="85" t="s">
        <v>19</v>
      </c>
      <c r="H2902" s="85"/>
      <c r="I2902" s="85"/>
      <c r="J2902" s="87"/>
      <c r="K2902" s="88">
        <f t="shared" si="138"/>
        <v>0</v>
      </c>
      <c r="L2902" s="85"/>
    </row>
    <row r="2903" spans="1:12" x14ac:dyDescent="0.25">
      <c r="A2903" s="84" t="str">
        <f t="shared" si="136"/>
        <v>SelecioneSelecioneSelecione</v>
      </c>
      <c r="B2903" s="85" t="s">
        <v>19</v>
      </c>
      <c r="C2903" s="85" t="s">
        <v>19</v>
      </c>
      <c r="D2903" s="86"/>
      <c r="E2903" s="116" t="str">
        <f t="shared" si="137"/>
        <v>-</v>
      </c>
      <c r="F2903" s="85"/>
      <c r="G2903" s="85" t="s">
        <v>19</v>
      </c>
      <c r="H2903" s="85"/>
      <c r="I2903" s="85"/>
      <c r="J2903" s="87"/>
      <c r="K2903" s="88">
        <f t="shared" si="138"/>
        <v>0</v>
      </c>
      <c r="L2903" s="85"/>
    </row>
    <row r="2904" spans="1:12" x14ac:dyDescent="0.25">
      <c r="A2904" s="84" t="str">
        <f t="shared" si="136"/>
        <v>SelecioneSelecioneSelecione</v>
      </c>
      <c r="B2904" s="85" t="s">
        <v>19</v>
      </c>
      <c r="C2904" s="85" t="s">
        <v>19</v>
      </c>
      <c r="D2904" s="86"/>
      <c r="E2904" s="116" t="str">
        <f t="shared" si="137"/>
        <v>-</v>
      </c>
      <c r="F2904" s="85"/>
      <c r="G2904" s="85" t="s">
        <v>19</v>
      </c>
      <c r="H2904" s="85"/>
      <c r="I2904" s="85"/>
      <c r="J2904" s="87"/>
      <c r="K2904" s="88">
        <f t="shared" si="138"/>
        <v>0</v>
      </c>
      <c r="L2904" s="85"/>
    </row>
    <row r="2905" spans="1:12" x14ac:dyDescent="0.25">
      <c r="A2905" s="84" t="str">
        <f t="shared" si="136"/>
        <v>SelecioneSelecioneSelecione</v>
      </c>
      <c r="B2905" s="85" t="s">
        <v>19</v>
      </c>
      <c r="C2905" s="85" t="s">
        <v>19</v>
      </c>
      <c r="D2905" s="93"/>
      <c r="E2905" s="116" t="str">
        <f t="shared" si="137"/>
        <v>-</v>
      </c>
      <c r="F2905" s="90"/>
      <c r="G2905" s="85" t="s">
        <v>19</v>
      </c>
      <c r="H2905" s="85"/>
      <c r="I2905" s="90"/>
      <c r="J2905" s="89"/>
      <c r="K2905" s="88">
        <f t="shared" si="138"/>
        <v>0</v>
      </c>
      <c r="L2905" s="90"/>
    </row>
    <row r="2906" spans="1:12" x14ac:dyDescent="0.25">
      <c r="A2906" s="84" t="str">
        <f t="shared" si="136"/>
        <v>SelecioneSelecioneSelecione</v>
      </c>
      <c r="B2906" s="85" t="s">
        <v>19</v>
      </c>
      <c r="C2906" s="85" t="s">
        <v>19</v>
      </c>
      <c r="D2906" s="86"/>
      <c r="E2906" s="116" t="str">
        <f t="shared" si="137"/>
        <v>-</v>
      </c>
      <c r="F2906" s="85"/>
      <c r="G2906" s="85" t="s">
        <v>19</v>
      </c>
      <c r="H2906" s="85"/>
      <c r="I2906" s="85"/>
      <c r="J2906" s="87"/>
      <c r="K2906" s="88">
        <f t="shared" si="138"/>
        <v>0</v>
      </c>
      <c r="L2906" s="85"/>
    </row>
    <row r="2907" spans="1:12" x14ac:dyDescent="0.25">
      <c r="A2907" s="84" t="str">
        <f t="shared" si="136"/>
        <v>SelecioneSelecioneSelecione</v>
      </c>
      <c r="B2907" s="85" t="s">
        <v>19</v>
      </c>
      <c r="C2907" s="85" t="s">
        <v>19</v>
      </c>
      <c r="D2907" s="86"/>
      <c r="E2907" s="116" t="str">
        <f t="shared" si="137"/>
        <v>-</v>
      </c>
      <c r="F2907" s="85"/>
      <c r="G2907" s="85" t="s">
        <v>19</v>
      </c>
      <c r="H2907" s="85"/>
      <c r="I2907" s="85"/>
      <c r="J2907" s="87"/>
      <c r="K2907" s="88">
        <f t="shared" si="138"/>
        <v>0</v>
      </c>
      <c r="L2907" s="85"/>
    </row>
    <row r="2908" spans="1:12" x14ac:dyDescent="0.25">
      <c r="A2908" s="84" t="str">
        <f t="shared" si="136"/>
        <v>SelecioneSelecioneSelecione</v>
      </c>
      <c r="B2908" s="85" t="s">
        <v>19</v>
      </c>
      <c r="C2908" s="85" t="s">
        <v>19</v>
      </c>
      <c r="D2908" s="86"/>
      <c r="E2908" s="116" t="str">
        <f t="shared" si="137"/>
        <v>-</v>
      </c>
      <c r="F2908" s="85"/>
      <c r="G2908" s="85" t="s">
        <v>19</v>
      </c>
      <c r="H2908" s="85"/>
      <c r="I2908" s="85"/>
      <c r="J2908" s="87"/>
      <c r="K2908" s="88">
        <f t="shared" si="138"/>
        <v>0</v>
      </c>
      <c r="L2908" s="85"/>
    </row>
    <row r="2909" spans="1:12" x14ac:dyDescent="0.25">
      <c r="A2909" s="84" t="str">
        <f t="shared" si="136"/>
        <v>SelecioneSelecioneSelecione</v>
      </c>
      <c r="B2909" s="85" t="s">
        <v>19</v>
      </c>
      <c r="C2909" s="85" t="s">
        <v>19</v>
      </c>
      <c r="D2909" s="86"/>
      <c r="E2909" s="116" t="str">
        <f t="shared" si="137"/>
        <v>-</v>
      </c>
      <c r="F2909" s="85"/>
      <c r="G2909" s="85" t="s">
        <v>19</v>
      </c>
      <c r="H2909" s="85"/>
      <c r="I2909" s="85"/>
      <c r="J2909" s="87"/>
      <c r="K2909" s="88">
        <f t="shared" si="138"/>
        <v>0</v>
      </c>
      <c r="L2909" s="85"/>
    </row>
    <row r="2910" spans="1:12" x14ac:dyDescent="0.25">
      <c r="A2910" s="84" t="str">
        <f t="shared" si="136"/>
        <v>SelecioneSelecioneSelecione</v>
      </c>
      <c r="B2910" s="85" t="s">
        <v>19</v>
      </c>
      <c r="C2910" s="85" t="s">
        <v>19</v>
      </c>
      <c r="D2910" s="86"/>
      <c r="E2910" s="116" t="str">
        <f t="shared" si="137"/>
        <v>-</v>
      </c>
      <c r="F2910" s="85"/>
      <c r="G2910" s="85" t="s">
        <v>19</v>
      </c>
      <c r="H2910" s="85"/>
      <c r="I2910" s="85"/>
      <c r="J2910" s="87"/>
      <c r="K2910" s="88">
        <f t="shared" si="138"/>
        <v>0</v>
      </c>
      <c r="L2910" s="85"/>
    </row>
    <row r="2911" spans="1:12" x14ac:dyDescent="0.25">
      <c r="A2911" s="84" t="str">
        <f t="shared" si="136"/>
        <v>SelecioneSelecioneSelecione</v>
      </c>
      <c r="B2911" s="85" t="s">
        <v>19</v>
      </c>
      <c r="C2911" s="85" t="s">
        <v>19</v>
      </c>
      <c r="D2911" s="86"/>
      <c r="E2911" s="116" t="str">
        <f t="shared" si="137"/>
        <v>-</v>
      </c>
      <c r="F2911" s="85"/>
      <c r="G2911" s="85" t="s">
        <v>19</v>
      </c>
      <c r="H2911" s="85"/>
      <c r="I2911" s="85"/>
      <c r="J2911" s="87"/>
      <c r="K2911" s="88">
        <f t="shared" si="138"/>
        <v>0</v>
      </c>
      <c r="L2911" s="85"/>
    </row>
    <row r="2912" spans="1:12" x14ac:dyDescent="0.25">
      <c r="A2912" s="84" t="str">
        <f t="shared" si="136"/>
        <v>SelecioneSelecioneSelecione</v>
      </c>
      <c r="B2912" s="85" t="s">
        <v>19</v>
      </c>
      <c r="C2912" s="85" t="s">
        <v>19</v>
      </c>
      <c r="D2912" s="86"/>
      <c r="E2912" s="116" t="str">
        <f t="shared" si="137"/>
        <v>-</v>
      </c>
      <c r="F2912" s="85"/>
      <c r="G2912" s="85" t="s">
        <v>19</v>
      </c>
      <c r="H2912" s="85"/>
      <c r="I2912" s="85"/>
      <c r="J2912" s="87"/>
      <c r="K2912" s="88">
        <f t="shared" si="138"/>
        <v>0</v>
      </c>
      <c r="L2912" s="85"/>
    </row>
    <row r="2913" spans="1:12" x14ac:dyDescent="0.25">
      <c r="A2913" s="84" t="str">
        <f t="shared" si="136"/>
        <v>SelecioneSelecioneSelecione</v>
      </c>
      <c r="B2913" s="85" t="s">
        <v>19</v>
      </c>
      <c r="C2913" s="85" t="s">
        <v>19</v>
      </c>
      <c r="D2913" s="86"/>
      <c r="E2913" s="116" t="str">
        <f t="shared" si="137"/>
        <v>-</v>
      </c>
      <c r="F2913" s="85"/>
      <c r="G2913" s="85" t="s">
        <v>19</v>
      </c>
      <c r="H2913" s="85"/>
      <c r="I2913" s="85"/>
      <c r="J2913" s="87"/>
      <c r="K2913" s="88">
        <f t="shared" si="138"/>
        <v>0</v>
      </c>
      <c r="L2913" s="85"/>
    </row>
    <row r="2914" spans="1:12" x14ac:dyDescent="0.25">
      <c r="A2914" s="84" t="str">
        <f t="shared" si="136"/>
        <v>SelecioneSelecioneSelecione</v>
      </c>
      <c r="B2914" s="85" t="s">
        <v>19</v>
      </c>
      <c r="C2914" s="85" t="s">
        <v>19</v>
      </c>
      <c r="D2914" s="86"/>
      <c r="E2914" s="116" t="str">
        <f t="shared" si="137"/>
        <v>-</v>
      </c>
      <c r="F2914" s="85"/>
      <c r="G2914" s="85" t="s">
        <v>19</v>
      </c>
      <c r="H2914" s="85"/>
      <c r="I2914" s="85"/>
      <c r="J2914" s="87"/>
      <c r="K2914" s="88">
        <f t="shared" si="138"/>
        <v>0</v>
      </c>
      <c r="L2914" s="85"/>
    </row>
    <row r="2915" spans="1:12" x14ac:dyDescent="0.25">
      <c r="A2915" s="84" t="str">
        <f t="shared" si="136"/>
        <v>SelecioneSelecioneSelecione</v>
      </c>
      <c r="B2915" s="85" t="s">
        <v>19</v>
      </c>
      <c r="C2915" s="85" t="s">
        <v>19</v>
      </c>
      <c r="D2915" s="86"/>
      <c r="E2915" s="116" t="str">
        <f t="shared" si="137"/>
        <v>-</v>
      </c>
      <c r="F2915" s="85"/>
      <c r="G2915" s="85" t="s">
        <v>19</v>
      </c>
      <c r="H2915" s="85"/>
      <c r="I2915" s="85"/>
      <c r="J2915" s="87"/>
      <c r="K2915" s="88">
        <f t="shared" si="138"/>
        <v>0</v>
      </c>
      <c r="L2915" s="85"/>
    </row>
    <row r="2916" spans="1:12" x14ac:dyDescent="0.25">
      <c r="A2916" s="84" t="str">
        <f t="shared" si="136"/>
        <v>SelecioneSelecioneSelecione</v>
      </c>
      <c r="B2916" s="85" t="s">
        <v>19</v>
      </c>
      <c r="C2916" s="85" t="s">
        <v>19</v>
      </c>
      <c r="D2916" s="86"/>
      <c r="E2916" s="116" t="str">
        <f t="shared" si="137"/>
        <v>-</v>
      </c>
      <c r="F2916" s="85"/>
      <c r="G2916" s="85" t="s">
        <v>19</v>
      </c>
      <c r="H2916" s="85"/>
      <c r="I2916" s="85"/>
      <c r="J2916" s="87"/>
      <c r="K2916" s="88">
        <f t="shared" si="138"/>
        <v>0</v>
      </c>
      <c r="L2916" s="85"/>
    </row>
    <row r="2917" spans="1:12" x14ac:dyDescent="0.25">
      <c r="A2917" s="84" t="str">
        <f t="shared" si="136"/>
        <v>SelecioneSelecioneSelecione</v>
      </c>
      <c r="B2917" s="85" t="s">
        <v>19</v>
      </c>
      <c r="C2917" s="85" t="s">
        <v>19</v>
      </c>
      <c r="D2917" s="86"/>
      <c r="E2917" s="116" t="str">
        <f t="shared" si="137"/>
        <v>-</v>
      </c>
      <c r="F2917" s="85"/>
      <c r="G2917" s="85" t="s">
        <v>19</v>
      </c>
      <c r="H2917" s="85"/>
      <c r="I2917" s="85"/>
      <c r="J2917" s="87"/>
      <c r="K2917" s="88">
        <f t="shared" si="138"/>
        <v>0</v>
      </c>
      <c r="L2917" s="85"/>
    </row>
    <row r="2918" spans="1:12" x14ac:dyDescent="0.25">
      <c r="A2918" s="84" t="str">
        <f t="shared" si="136"/>
        <v>SelecioneSelecioneSelecione</v>
      </c>
      <c r="B2918" s="85" t="s">
        <v>19</v>
      </c>
      <c r="C2918" s="85" t="s">
        <v>19</v>
      </c>
      <c r="D2918" s="86"/>
      <c r="E2918" s="116" t="str">
        <f t="shared" si="137"/>
        <v>-</v>
      </c>
      <c r="F2918" s="85"/>
      <c r="G2918" s="85" t="s">
        <v>19</v>
      </c>
      <c r="H2918" s="85"/>
      <c r="I2918" s="85"/>
      <c r="J2918" s="87"/>
      <c r="K2918" s="88">
        <f t="shared" si="138"/>
        <v>0</v>
      </c>
      <c r="L2918" s="85"/>
    </row>
    <row r="2919" spans="1:12" x14ac:dyDescent="0.25">
      <c r="A2919" s="84" t="str">
        <f t="shared" si="136"/>
        <v>SelecioneSelecioneSelecione</v>
      </c>
      <c r="B2919" s="85" t="s">
        <v>19</v>
      </c>
      <c r="C2919" s="85" t="s">
        <v>19</v>
      </c>
      <c r="D2919" s="86"/>
      <c r="E2919" s="116" t="str">
        <f t="shared" si="137"/>
        <v>-</v>
      </c>
      <c r="F2919" s="85"/>
      <c r="G2919" s="85" t="s">
        <v>19</v>
      </c>
      <c r="H2919" s="85"/>
      <c r="I2919" s="85"/>
      <c r="J2919" s="87"/>
      <c r="K2919" s="88">
        <f t="shared" si="138"/>
        <v>0</v>
      </c>
      <c r="L2919" s="85"/>
    </row>
    <row r="2920" spans="1:12" x14ac:dyDescent="0.25">
      <c r="A2920" s="84" t="str">
        <f t="shared" si="136"/>
        <v>SelecioneSelecioneSelecione</v>
      </c>
      <c r="B2920" s="85" t="s">
        <v>19</v>
      </c>
      <c r="C2920" s="85" t="s">
        <v>19</v>
      </c>
      <c r="D2920" s="86"/>
      <c r="E2920" s="116" t="str">
        <f t="shared" si="137"/>
        <v>-</v>
      </c>
      <c r="F2920" s="85"/>
      <c r="G2920" s="85" t="s">
        <v>19</v>
      </c>
      <c r="H2920" s="85"/>
      <c r="I2920" s="85"/>
      <c r="J2920" s="87"/>
      <c r="K2920" s="88">
        <f t="shared" si="138"/>
        <v>0</v>
      </c>
      <c r="L2920" s="85"/>
    </row>
    <row r="2921" spans="1:12" x14ac:dyDescent="0.25">
      <c r="A2921" s="84" t="str">
        <f t="shared" si="136"/>
        <v>SelecioneSelecioneSelecione</v>
      </c>
      <c r="B2921" s="85" t="s">
        <v>19</v>
      </c>
      <c r="C2921" s="85" t="s">
        <v>19</v>
      </c>
      <c r="D2921" s="86"/>
      <c r="E2921" s="116" t="str">
        <f t="shared" si="137"/>
        <v>-</v>
      </c>
      <c r="F2921" s="85"/>
      <c r="G2921" s="85" t="s">
        <v>19</v>
      </c>
      <c r="H2921" s="85"/>
      <c r="I2921" s="85"/>
      <c r="J2921" s="87"/>
      <c r="K2921" s="88">
        <f t="shared" si="138"/>
        <v>0</v>
      </c>
      <c r="L2921" s="85"/>
    </row>
    <row r="2922" spans="1:12" x14ac:dyDescent="0.25">
      <c r="A2922" s="84" t="str">
        <f t="shared" si="136"/>
        <v>SelecioneSelecioneSelecione</v>
      </c>
      <c r="B2922" s="85" t="s">
        <v>19</v>
      </c>
      <c r="C2922" s="85" t="s">
        <v>19</v>
      </c>
      <c r="D2922" s="86"/>
      <c r="E2922" s="116" t="str">
        <f t="shared" si="137"/>
        <v>-</v>
      </c>
      <c r="F2922" s="85"/>
      <c r="G2922" s="85" t="s">
        <v>19</v>
      </c>
      <c r="H2922" s="85"/>
      <c r="I2922" s="85"/>
      <c r="J2922" s="87"/>
      <c r="K2922" s="88">
        <f t="shared" si="138"/>
        <v>0</v>
      </c>
      <c r="L2922" s="85"/>
    </row>
    <row r="2923" spans="1:12" x14ac:dyDescent="0.25">
      <c r="A2923" s="84" t="str">
        <f t="shared" si="136"/>
        <v>SelecioneSelecioneSelecione</v>
      </c>
      <c r="B2923" s="85" t="s">
        <v>19</v>
      </c>
      <c r="C2923" s="85" t="s">
        <v>19</v>
      </c>
      <c r="D2923" s="86"/>
      <c r="E2923" s="116" t="str">
        <f t="shared" si="137"/>
        <v>-</v>
      </c>
      <c r="F2923" s="85"/>
      <c r="G2923" s="85" t="s">
        <v>19</v>
      </c>
      <c r="H2923" s="85"/>
      <c r="I2923" s="85"/>
      <c r="J2923" s="87"/>
      <c r="K2923" s="88">
        <f t="shared" si="138"/>
        <v>0</v>
      </c>
      <c r="L2923" s="85"/>
    </row>
    <row r="2924" spans="1:12" x14ac:dyDescent="0.25">
      <c r="A2924" s="84" t="str">
        <f t="shared" si="136"/>
        <v>SelecioneSelecioneSelecione</v>
      </c>
      <c r="B2924" s="85" t="s">
        <v>19</v>
      </c>
      <c r="C2924" s="85" t="s">
        <v>19</v>
      </c>
      <c r="D2924" s="86"/>
      <c r="E2924" s="116" t="str">
        <f t="shared" si="137"/>
        <v>-</v>
      </c>
      <c r="F2924" s="85"/>
      <c r="G2924" s="85" t="s">
        <v>19</v>
      </c>
      <c r="H2924" s="85"/>
      <c r="I2924" s="85"/>
      <c r="J2924" s="87"/>
      <c r="K2924" s="88">
        <f t="shared" si="138"/>
        <v>0</v>
      </c>
      <c r="L2924" s="85"/>
    </row>
    <row r="2925" spans="1:12" x14ac:dyDescent="0.25">
      <c r="A2925" s="84" t="str">
        <f t="shared" si="136"/>
        <v>SelecioneSelecioneSelecione</v>
      </c>
      <c r="B2925" s="85" t="s">
        <v>19</v>
      </c>
      <c r="C2925" s="85" t="s">
        <v>19</v>
      </c>
      <c r="D2925" s="86"/>
      <c r="E2925" s="116" t="str">
        <f t="shared" si="137"/>
        <v>-</v>
      </c>
      <c r="F2925" s="85"/>
      <c r="G2925" s="85" t="s">
        <v>19</v>
      </c>
      <c r="H2925" s="85"/>
      <c r="I2925" s="85"/>
      <c r="J2925" s="87"/>
      <c r="K2925" s="88">
        <f t="shared" si="138"/>
        <v>0</v>
      </c>
      <c r="L2925" s="85"/>
    </row>
    <row r="2926" spans="1:12" x14ac:dyDescent="0.25">
      <c r="A2926" s="84" t="str">
        <f t="shared" si="136"/>
        <v>SelecioneSelecioneSelecione</v>
      </c>
      <c r="B2926" s="85" t="s">
        <v>19</v>
      </c>
      <c r="C2926" s="85" t="s">
        <v>19</v>
      </c>
      <c r="D2926" s="86"/>
      <c r="E2926" s="116" t="str">
        <f t="shared" si="137"/>
        <v>-</v>
      </c>
      <c r="F2926" s="85"/>
      <c r="G2926" s="85" t="s">
        <v>19</v>
      </c>
      <c r="H2926" s="85"/>
      <c r="I2926" s="85"/>
      <c r="J2926" s="87"/>
      <c r="K2926" s="88">
        <f t="shared" si="138"/>
        <v>0</v>
      </c>
      <c r="L2926" s="85"/>
    </row>
    <row r="2927" spans="1:12" x14ac:dyDescent="0.25">
      <c r="A2927" s="84" t="str">
        <f t="shared" si="136"/>
        <v>SelecioneSelecioneSelecione</v>
      </c>
      <c r="B2927" s="85" t="s">
        <v>19</v>
      </c>
      <c r="C2927" s="85" t="s">
        <v>19</v>
      </c>
      <c r="D2927" s="86"/>
      <c r="E2927" s="116" t="str">
        <f t="shared" si="137"/>
        <v>-</v>
      </c>
      <c r="F2927" s="85"/>
      <c r="G2927" s="85" t="s">
        <v>19</v>
      </c>
      <c r="H2927" s="85"/>
      <c r="I2927" s="85"/>
      <c r="J2927" s="87"/>
      <c r="K2927" s="88">
        <f t="shared" si="138"/>
        <v>0</v>
      </c>
      <c r="L2927" s="85"/>
    </row>
    <row r="2928" spans="1:12" x14ac:dyDescent="0.25">
      <c r="A2928" s="84" t="str">
        <f t="shared" si="136"/>
        <v>SelecioneSelecioneSelecione</v>
      </c>
      <c r="B2928" s="85" t="s">
        <v>19</v>
      </c>
      <c r="C2928" s="85" t="s">
        <v>19</v>
      </c>
      <c r="D2928" s="86"/>
      <c r="E2928" s="116" t="str">
        <f t="shared" si="137"/>
        <v>-</v>
      </c>
      <c r="F2928" s="85"/>
      <c r="G2928" s="85" t="s">
        <v>19</v>
      </c>
      <c r="H2928" s="85"/>
      <c r="I2928" s="85"/>
      <c r="J2928" s="87"/>
      <c r="K2928" s="88">
        <f t="shared" si="138"/>
        <v>0</v>
      </c>
      <c r="L2928" s="85"/>
    </row>
    <row r="2929" spans="1:12" x14ac:dyDescent="0.25">
      <c r="A2929" s="84" t="str">
        <f t="shared" si="136"/>
        <v>SelecioneSelecioneSelecione</v>
      </c>
      <c r="B2929" s="85" t="s">
        <v>19</v>
      </c>
      <c r="C2929" s="85" t="s">
        <v>19</v>
      </c>
      <c r="D2929" s="86"/>
      <c r="E2929" s="116" t="str">
        <f t="shared" si="137"/>
        <v>-</v>
      </c>
      <c r="F2929" s="85"/>
      <c r="G2929" s="85" t="s">
        <v>19</v>
      </c>
      <c r="H2929" s="85"/>
      <c r="I2929" s="85"/>
      <c r="J2929" s="87"/>
      <c r="K2929" s="88">
        <f t="shared" si="138"/>
        <v>0</v>
      </c>
      <c r="L2929" s="85"/>
    </row>
    <row r="2930" spans="1:12" x14ac:dyDescent="0.25">
      <c r="A2930" s="84" t="str">
        <f t="shared" si="136"/>
        <v>SelecioneSelecioneSelecione</v>
      </c>
      <c r="B2930" s="85" t="s">
        <v>19</v>
      </c>
      <c r="C2930" s="85" t="s">
        <v>19</v>
      </c>
      <c r="D2930" s="86"/>
      <c r="E2930" s="116" t="str">
        <f t="shared" si="137"/>
        <v>-</v>
      </c>
      <c r="F2930" s="85"/>
      <c r="G2930" s="85" t="s">
        <v>19</v>
      </c>
      <c r="H2930" s="85"/>
      <c r="I2930" s="85"/>
      <c r="J2930" s="87"/>
      <c r="K2930" s="88">
        <f t="shared" si="138"/>
        <v>0</v>
      </c>
      <c r="L2930" s="85"/>
    </row>
    <row r="2931" spans="1:12" x14ac:dyDescent="0.25">
      <c r="A2931" s="84" t="str">
        <f t="shared" si="136"/>
        <v>SelecioneSelecioneSelecione</v>
      </c>
      <c r="B2931" s="85" t="s">
        <v>19</v>
      </c>
      <c r="C2931" s="85" t="s">
        <v>19</v>
      </c>
      <c r="D2931" s="86"/>
      <c r="E2931" s="116" t="str">
        <f t="shared" si="137"/>
        <v>-</v>
      </c>
      <c r="F2931" s="85"/>
      <c r="G2931" s="85" t="s">
        <v>19</v>
      </c>
      <c r="H2931" s="85"/>
      <c r="I2931" s="85"/>
      <c r="J2931" s="87"/>
      <c r="K2931" s="88">
        <f t="shared" si="138"/>
        <v>0</v>
      </c>
      <c r="L2931" s="85"/>
    </row>
    <row r="2932" spans="1:12" x14ac:dyDescent="0.25">
      <c r="A2932" s="84" t="str">
        <f t="shared" si="136"/>
        <v>SelecioneSelecioneSelecione</v>
      </c>
      <c r="B2932" s="85" t="s">
        <v>19</v>
      </c>
      <c r="C2932" s="85" t="s">
        <v>19</v>
      </c>
      <c r="D2932" s="86"/>
      <c r="E2932" s="116" t="str">
        <f t="shared" si="137"/>
        <v>-</v>
      </c>
      <c r="F2932" s="85"/>
      <c r="G2932" s="85" t="s">
        <v>19</v>
      </c>
      <c r="H2932" s="85"/>
      <c r="I2932" s="85"/>
      <c r="J2932" s="87"/>
      <c r="K2932" s="88">
        <f t="shared" si="138"/>
        <v>0</v>
      </c>
      <c r="L2932" s="85"/>
    </row>
    <row r="2933" spans="1:12" x14ac:dyDescent="0.25">
      <c r="A2933" s="84" t="str">
        <f t="shared" si="136"/>
        <v>SelecioneSelecioneSelecione</v>
      </c>
      <c r="B2933" s="85" t="s">
        <v>19</v>
      </c>
      <c r="C2933" s="85" t="s">
        <v>19</v>
      </c>
      <c r="D2933" s="86"/>
      <c r="E2933" s="116" t="str">
        <f t="shared" si="137"/>
        <v>-</v>
      </c>
      <c r="F2933" s="85"/>
      <c r="G2933" s="85" t="s">
        <v>19</v>
      </c>
      <c r="H2933" s="85"/>
      <c r="I2933" s="85"/>
      <c r="J2933" s="87"/>
      <c r="K2933" s="88">
        <f t="shared" si="138"/>
        <v>0</v>
      </c>
      <c r="L2933" s="85"/>
    </row>
    <row r="2934" spans="1:12" x14ac:dyDescent="0.25">
      <c r="A2934" s="84" t="str">
        <f t="shared" si="136"/>
        <v>SelecioneSelecioneSelecione</v>
      </c>
      <c r="B2934" s="85" t="s">
        <v>19</v>
      </c>
      <c r="C2934" s="85" t="s">
        <v>19</v>
      </c>
      <c r="D2934" s="86"/>
      <c r="E2934" s="116" t="str">
        <f t="shared" si="137"/>
        <v>-</v>
      </c>
      <c r="F2934" s="85"/>
      <c r="G2934" s="85" t="s">
        <v>19</v>
      </c>
      <c r="H2934" s="85"/>
      <c r="I2934" s="85"/>
      <c r="J2934" s="87"/>
      <c r="K2934" s="88">
        <f t="shared" si="138"/>
        <v>0</v>
      </c>
      <c r="L2934" s="85"/>
    </row>
    <row r="2935" spans="1:12" x14ac:dyDescent="0.25">
      <c r="A2935" s="84" t="str">
        <f t="shared" si="136"/>
        <v>SelecioneSelecioneSelecione</v>
      </c>
      <c r="B2935" s="85" t="s">
        <v>19</v>
      </c>
      <c r="C2935" s="85" t="s">
        <v>19</v>
      </c>
      <c r="D2935" s="86"/>
      <c r="E2935" s="116" t="str">
        <f t="shared" si="137"/>
        <v>-</v>
      </c>
      <c r="F2935" s="85"/>
      <c r="G2935" s="85" t="s">
        <v>19</v>
      </c>
      <c r="H2935" s="85"/>
      <c r="I2935" s="85"/>
      <c r="J2935" s="87"/>
      <c r="K2935" s="88">
        <f t="shared" si="138"/>
        <v>0</v>
      </c>
      <c r="L2935" s="85"/>
    </row>
    <row r="2936" spans="1:12" x14ac:dyDescent="0.25">
      <c r="A2936" s="84" t="str">
        <f t="shared" si="136"/>
        <v>SelecioneSelecioneSelecione</v>
      </c>
      <c r="B2936" s="85" t="s">
        <v>19</v>
      </c>
      <c r="C2936" s="85" t="s">
        <v>19</v>
      </c>
      <c r="D2936" s="86"/>
      <c r="E2936" s="116" t="str">
        <f t="shared" si="137"/>
        <v>-</v>
      </c>
      <c r="F2936" s="85"/>
      <c r="G2936" s="85" t="s">
        <v>19</v>
      </c>
      <c r="H2936" s="85"/>
      <c r="I2936" s="85"/>
      <c r="J2936" s="87"/>
      <c r="K2936" s="88">
        <f t="shared" si="138"/>
        <v>0</v>
      </c>
      <c r="L2936" s="85"/>
    </row>
    <row r="2937" spans="1:12" x14ac:dyDescent="0.25">
      <c r="A2937" s="84" t="str">
        <f t="shared" si="136"/>
        <v>SelecioneSelecioneSelecione</v>
      </c>
      <c r="B2937" s="85" t="s">
        <v>19</v>
      </c>
      <c r="C2937" s="85" t="s">
        <v>19</v>
      </c>
      <c r="D2937" s="86"/>
      <c r="E2937" s="116" t="str">
        <f t="shared" si="137"/>
        <v>-</v>
      </c>
      <c r="F2937" s="85"/>
      <c r="G2937" s="85" t="s">
        <v>19</v>
      </c>
      <c r="H2937" s="85"/>
      <c r="I2937" s="85"/>
      <c r="J2937" s="87"/>
      <c r="K2937" s="88">
        <f t="shared" si="138"/>
        <v>0</v>
      </c>
      <c r="L2937" s="85"/>
    </row>
    <row r="2938" spans="1:12" x14ac:dyDescent="0.25">
      <c r="A2938" s="84" t="str">
        <f t="shared" si="136"/>
        <v>SelecioneSelecioneSelecione</v>
      </c>
      <c r="B2938" s="85" t="s">
        <v>19</v>
      </c>
      <c r="C2938" s="85" t="s">
        <v>19</v>
      </c>
      <c r="D2938" s="86"/>
      <c r="E2938" s="116" t="str">
        <f t="shared" si="137"/>
        <v>-</v>
      </c>
      <c r="F2938" s="85"/>
      <c r="G2938" s="85" t="s">
        <v>19</v>
      </c>
      <c r="H2938" s="85"/>
      <c r="I2938" s="85"/>
      <c r="J2938" s="87"/>
      <c r="K2938" s="88">
        <f t="shared" si="138"/>
        <v>0</v>
      </c>
      <c r="L2938" s="85"/>
    </row>
    <row r="2939" spans="1:12" x14ac:dyDescent="0.25">
      <c r="A2939" s="84" t="str">
        <f t="shared" si="136"/>
        <v>SelecioneSelecioneSelecione</v>
      </c>
      <c r="B2939" s="85" t="s">
        <v>19</v>
      </c>
      <c r="C2939" s="85" t="s">
        <v>19</v>
      </c>
      <c r="D2939" s="86"/>
      <c r="E2939" s="116" t="str">
        <f t="shared" si="137"/>
        <v>-</v>
      </c>
      <c r="F2939" s="85"/>
      <c r="G2939" s="85" t="s">
        <v>19</v>
      </c>
      <c r="H2939" s="85"/>
      <c r="I2939" s="85"/>
      <c r="J2939" s="87"/>
      <c r="K2939" s="88">
        <f t="shared" si="138"/>
        <v>0</v>
      </c>
      <c r="L2939" s="85"/>
    </row>
    <row r="2940" spans="1:12" x14ac:dyDescent="0.25">
      <c r="A2940" s="84" t="str">
        <f t="shared" si="136"/>
        <v>SelecioneSelecioneSelecione</v>
      </c>
      <c r="B2940" s="85" t="s">
        <v>19</v>
      </c>
      <c r="C2940" s="85" t="s">
        <v>19</v>
      </c>
      <c r="D2940" s="86"/>
      <c r="E2940" s="116" t="str">
        <f t="shared" si="137"/>
        <v>-</v>
      </c>
      <c r="F2940" s="85"/>
      <c r="G2940" s="85" t="s">
        <v>19</v>
      </c>
      <c r="H2940" s="85"/>
      <c r="I2940" s="85"/>
      <c r="J2940" s="87"/>
      <c r="K2940" s="88">
        <f t="shared" si="138"/>
        <v>0</v>
      </c>
      <c r="L2940" s="85"/>
    </row>
    <row r="2941" spans="1:12" x14ac:dyDescent="0.25">
      <c r="A2941" s="84" t="str">
        <f t="shared" si="136"/>
        <v>SelecioneSelecioneSelecione</v>
      </c>
      <c r="B2941" s="85" t="s">
        <v>19</v>
      </c>
      <c r="C2941" s="85" t="s">
        <v>19</v>
      </c>
      <c r="D2941" s="86"/>
      <c r="E2941" s="116" t="str">
        <f t="shared" si="137"/>
        <v>-</v>
      </c>
      <c r="F2941" s="85"/>
      <c r="G2941" s="85" t="s">
        <v>19</v>
      </c>
      <c r="H2941" s="85"/>
      <c r="I2941" s="85"/>
      <c r="J2941" s="87"/>
      <c r="K2941" s="88">
        <f t="shared" si="138"/>
        <v>0</v>
      </c>
      <c r="L2941" s="85"/>
    </row>
    <row r="2942" spans="1:12" x14ac:dyDescent="0.25">
      <c r="A2942" s="84" t="str">
        <f t="shared" si="136"/>
        <v>SelecioneSelecioneSelecione</v>
      </c>
      <c r="B2942" s="85" t="s">
        <v>19</v>
      </c>
      <c r="C2942" s="85" t="s">
        <v>19</v>
      </c>
      <c r="D2942" s="86"/>
      <c r="E2942" s="116" t="str">
        <f t="shared" si="137"/>
        <v>-</v>
      </c>
      <c r="F2942" s="85"/>
      <c r="G2942" s="85" t="s">
        <v>19</v>
      </c>
      <c r="H2942" s="85"/>
      <c r="I2942" s="85"/>
      <c r="J2942" s="87"/>
      <c r="K2942" s="88">
        <f t="shared" si="138"/>
        <v>0</v>
      </c>
      <c r="L2942" s="85"/>
    </row>
    <row r="2943" spans="1:12" x14ac:dyDescent="0.25">
      <c r="A2943" s="84" t="str">
        <f t="shared" si="136"/>
        <v>SelecioneSelecioneSelecione</v>
      </c>
      <c r="B2943" s="85" t="s">
        <v>19</v>
      </c>
      <c r="C2943" s="85" t="s">
        <v>19</v>
      </c>
      <c r="D2943" s="86"/>
      <c r="E2943" s="116" t="str">
        <f t="shared" si="137"/>
        <v>-</v>
      </c>
      <c r="F2943" s="85"/>
      <c r="G2943" s="85" t="s">
        <v>19</v>
      </c>
      <c r="H2943" s="85"/>
      <c r="I2943" s="85"/>
      <c r="J2943" s="87"/>
      <c r="K2943" s="88">
        <f t="shared" si="138"/>
        <v>0</v>
      </c>
      <c r="L2943" s="85"/>
    </row>
    <row r="2944" spans="1:12" x14ac:dyDescent="0.25">
      <c r="A2944" s="84" t="str">
        <f t="shared" si="136"/>
        <v>SelecioneSelecioneSelecione</v>
      </c>
      <c r="B2944" s="85" t="s">
        <v>19</v>
      </c>
      <c r="C2944" s="85" t="s">
        <v>19</v>
      </c>
      <c r="D2944" s="86"/>
      <c r="E2944" s="116" t="str">
        <f t="shared" si="137"/>
        <v>-</v>
      </c>
      <c r="F2944" s="85"/>
      <c r="G2944" s="85" t="s">
        <v>19</v>
      </c>
      <c r="H2944" s="85"/>
      <c r="I2944" s="85"/>
      <c r="J2944" s="87"/>
      <c r="K2944" s="88">
        <f t="shared" si="138"/>
        <v>0</v>
      </c>
      <c r="L2944" s="85"/>
    </row>
    <row r="2945" spans="1:12" x14ac:dyDescent="0.25">
      <c r="A2945" s="84" t="str">
        <f t="shared" si="136"/>
        <v>SelecioneSelecioneSelecione</v>
      </c>
      <c r="B2945" s="85" t="s">
        <v>19</v>
      </c>
      <c r="C2945" s="85" t="s">
        <v>19</v>
      </c>
      <c r="D2945" s="86"/>
      <c r="E2945" s="116" t="str">
        <f t="shared" si="137"/>
        <v>-</v>
      </c>
      <c r="F2945" s="85"/>
      <c r="G2945" s="85" t="s">
        <v>19</v>
      </c>
      <c r="H2945" s="85"/>
      <c r="I2945" s="85"/>
      <c r="J2945" s="87"/>
      <c r="K2945" s="88">
        <f t="shared" si="138"/>
        <v>0</v>
      </c>
      <c r="L2945" s="85"/>
    </row>
    <row r="2946" spans="1:12" x14ac:dyDescent="0.25">
      <c r="A2946" s="84" t="str">
        <f t="shared" ref="A2946:A3009" si="139">CONCATENATE(B2946,C2946,G2946)</f>
        <v>SelecioneSelecioneSelecione</v>
      </c>
      <c r="B2946" s="85" t="s">
        <v>19</v>
      </c>
      <c r="C2946" s="85" t="s">
        <v>19</v>
      </c>
      <c r="D2946" s="86"/>
      <c r="E2946" s="116" t="str">
        <f t="shared" ref="E2946:E3009" si="140">VLOOKUP(G2946,$M$1:$O$968,3,0)</f>
        <v>-</v>
      </c>
      <c r="F2946" s="85"/>
      <c r="G2946" s="85" t="s">
        <v>19</v>
      </c>
      <c r="H2946" s="85"/>
      <c r="I2946" s="85"/>
      <c r="J2946" s="87"/>
      <c r="K2946" s="88">
        <f t="shared" ref="K2946:K3009" si="141">I2946*J2946</f>
        <v>0</v>
      </c>
      <c r="L2946" s="85"/>
    </row>
    <row r="2947" spans="1:12" x14ac:dyDescent="0.25">
      <c r="A2947" s="84" t="str">
        <f t="shared" si="139"/>
        <v>SelecioneSelecioneSelecione</v>
      </c>
      <c r="B2947" s="85" t="s">
        <v>19</v>
      </c>
      <c r="C2947" s="85" t="s">
        <v>19</v>
      </c>
      <c r="D2947" s="86"/>
      <c r="E2947" s="116" t="str">
        <f t="shared" si="140"/>
        <v>-</v>
      </c>
      <c r="F2947" s="85"/>
      <c r="G2947" s="85" t="s">
        <v>19</v>
      </c>
      <c r="H2947" s="85"/>
      <c r="I2947" s="85"/>
      <c r="J2947" s="87"/>
      <c r="K2947" s="88">
        <f t="shared" si="141"/>
        <v>0</v>
      </c>
      <c r="L2947" s="85"/>
    </row>
    <row r="2948" spans="1:12" x14ac:dyDescent="0.25">
      <c r="A2948" s="84" t="str">
        <f t="shared" si="139"/>
        <v>SelecioneSelecioneSelecione</v>
      </c>
      <c r="B2948" s="85" t="s">
        <v>19</v>
      </c>
      <c r="C2948" s="85" t="s">
        <v>19</v>
      </c>
      <c r="D2948" s="86"/>
      <c r="E2948" s="116" t="str">
        <f t="shared" si="140"/>
        <v>-</v>
      </c>
      <c r="F2948" s="85"/>
      <c r="G2948" s="85" t="s">
        <v>19</v>
      </c>
      <c r="H2948" s="85"/>
      <c r="I2948" s="85"/>
      <c r="J2948" s="87"/>
      <c r="K2948" s="88">
        <f t="shared" si="141"/>
        <v>0</v>
      </c>
      <c r="L2948" s="85"/>
    </row>
    <row r="2949" spans="1:12" x14ac:dyDescent="0.25">
      <c r="A2949" s="84" t="str">
        <f t="shared" si="139"/>
        <v>SelecioneSelecioneSelecione</v>
      </c>
      <c r="B2949" s="85" t="s">
        <v>19</v>
      </c>
      <c r="C2949" s="85" t="s">
        <v>19</v>
      </c>
      <c r="D2949" s="86"/>
      <c r="E2949" s="116" t="str">
        <f t="shared" si="140"/>
        <v>-</v>
      </c>
      <c r="F2949" s="85"/>
      <c r="G2949" s="85" t="s">
        <v>19</v>
      </c>
      <c r="H2949" s="85"/>
      <c r="I2949" s="85"/>
      <c r="J2949" s="87"/>
      <c r="K2949" s="88">
        <f t="shared" si="141"/>
        <v>0</v>
      </c>
      <c r="L2949" s="85"/>
    </row>
    <row r="2950" spans="1:12" x14ac:dyDescent="0.25">
      <c r="A2950" s="84" t="str">
        <f t="shared" si="139"/>
        <v>SelecioneSelecioneSelecione</v>
      </c>
      <c r="B2950" s="85" t="s">
        <v>19</v>
      </c>
      <c r="C2950" s="85" t="s">
        <v>19</v>
      </c>
      <c r="D2950" s="86"/>
      <c r="E2950" s="116" t="str">
        <f t="shared" si="140"/>
        <v>-</v>
      </c>
      <c r="F2950" s="85"/>
      <c r="G2950" s="85" t="s">
        <v>19</v>
      </c>
      <c r="H2950" s="85"/>
      <c r="I2950" s="85"/>
      <c r="J2950" s="87"/>
      <c r="K2950" s="88">
        <f t="shared" si="141"/>
        <v>0</v>
      </c>
      <c r="L2950" s="85"/>
    </row>
    <row r="2951" spans="1:12" x14ac:dyDescent="0.25">
      <c r="A2951" s="84" t="str">
        <f t="shared" si="139"/>
        <v>SelecioneSelecioneSelecione</v>
      </c>
      <c r="B2951" s="85" t="s">
        <v>19</v>
      </c>
      <c r="C2951" s="85" t="s">
        <v>19</v>
      </c>
      <c r="D2951" s="86"/>
      <c r="E2951" s="116" t="str">
        <f t="shared" si="140"/>
        <v>-</v>
      </c>
      <c r="F2951" s="85"/>
      <c r="G2951" s="85" t="s">
        <v>19</v>
      </c>
      <c r="H2951" s="85"/>
      <c r="I2951" s="85"/>
      <c r="J2951" s="87"/>
      <c r="K2951" s="88">
        <f t="shared" si="141"/>
        <v>0</v>
      </c>
      <c r="L2951" s="85"/>
    </row>
    <row r="2952" spans="1:12" x14ac:dyDescent="0.25">
      <c r="A2952" s="84" t="str">
        <f t="shared" si="139"/>
        <v>SelecioneSelecioneSelecione</v>
      </c>
      <c r="B2952" s="85" t="s">
        <v>19</v>
      </c>
      <c r="C2952" s="85" t="s">
        <v>19</v>
      </c>
      <c r="D2952" s="86"/>
      <c r="E2952" s="116" t="str">
        <f t="shared" si="140"/>
        <v>-</v>
      </c>
      <c r="F2952" s="85"/>
      <c r="G2952" s="85" t="s">
        <v>19</v>
      </c>
      <c r="H2952" s="85"/>
      <c r="I2952" s="85"/>
      <c r="J2952" s="87"/>
      <c r="K2952" s="88">
        <f t="shared" si="141"/>
        <v>0</v>
      </c>
      <c r="L2952" s="85"/>
    </row>
    <row r="2953" spans="1:12" x14ac:dyDescent="0.25">
      <c r="A2953" s="84" t="str">
        <f t="shared" si="139"/>
        <v>SelecioneSelecioneSelecione</v>
      </c>
      <c r="B2953" s="85" t="s">
        <v>19</v>
      </c>
      <c r="C2953" s="85" t="s">
        <v>19</v>
      </c>
      <c r="D2953" s="86"/>
      <c r="E2953" s="116" t="str">
        <f t="shared" si="140"/>
        <v>-</v>
      </c>
      <c r="F2953" s="85"/>
      <c r="G2953" s="85" t="s">
        <v>19</v>
      </c>
      <c r="H2953" s="85"/>
      <c r="I2953" s="85"/>
      <c r="J2953" s="87"/>
      <c r="K2953" s="88">
        <f t="shared" si="141"/>
        <v>0</v>
      </c>
      <c r="L2953" s="85"/>
    </row>
    <row r="2954" spans="1:12" x14ac:dyDescent="0.25">
      <c r="A2954" s="84" t="str">
        <f t="shared" si="139"/>
        <v>SelecioneSelecioneSelecione</v>
      </c>
      <c r="B2954" s="85" t="s">
        <v>19</v>
      </c>
      <c r="C2954" s="85" t="s">
        <v>19</v>
      </c>
      <c r="D2954" s="86"/>
      <c r="E2954" s="116" t="str">
        <f t="shared" si="140"/>
        <v>-</v>
      </c>
      <c r="F2954" s="85"/>
      <c r="G2954" s="85" t="s">
        <v>19</v>
      </c>
      <c r="H2954" s="85"/>
      <c r="I2954" s="85"/>
      <c r="J2954" s="87"/>
      <c r="K2954" s="88">
        <f t="shared" si="141"/>
        <v>0</v>
      </c>
      <c r="L2954" s="85"/>
    </row>
    <row r="2955" spans="1:12" x14ac:dyDescent="0.25">
      <c r="A2955" s="84" t="str">
        <f t="shared" si="139"/>
        <v>SelecioneSelecioneSelecione</v>
      </c>
      <c r="B2955" s="85" t="s">
        <v>19</v>
      </c>
      <c r="C2955" s="85" t="s">
        <v>19</v>
      </c>
      <c r="D2955" s="86"/>
      <c r="E2955" s="116" t="str">
        <f t="shared" si="140"/>
        <v>-</v>
      </c>
      <c r="F2955" s="85"/>
      <c r="G2955" s="85" t="s">
        <v>19</v>
      </c>
      <c r="H2955" s="85"/>
      <c r="I2955" s="85"/>
      <c r="J2955" s="87"/>
      <c r="K2955" s="88">
        <f t="shared" si="141"/>
        <v>0</v>
      </c>
      <c r="L2955" s="85"/>
    </row>
    <row r="2956" spans="1:12" x14ac:dyDescent="0.25">
      <c r="A2956" s="84" t="str">
        <f t="shared" si="139"/>
        <v>SelecioneSelecioneSelecione</v>
      </c>
      <c r="B2956" s="85" t="s">
        <v>19</v>
      </c>
      <c r="C2956" s="85" t="s">
        <v>19</v>
      </c>
      <c r="D2956" s="86"/>
      <c r="E2956" s="116" t="str">
        <f t="shared" si="140"/>
        <v>-</v>
      </c>
      <c r="F2956" s="85"/>
      <c r="G2956" s="85" t="s">
        <v>19</v>
      </c>
      <c r="H2956" s="85"/>
      <c r="I2956" s="85"/>
      <c r="J2956" s="87"/>
      <c r="K2956" s="88">
        <f t="shared" si="141"/>
        <v>0</v>
      </c>
      <c r="L2956" s="85"/>
    </row>
    <row r="2957" spans="1:12" x14ac:dyDescent="0.25">
      <c r="A2957" s="84" t="str">
        <f t="shared" si="139"/>
        <v>SelecioneSelecioneSelecione</v>
      </c>
      <c r="B2957" s="85" t="s">
        <v>19</v>
      </c>
      <c r="C2957" s="85" t="s">
        <v>19</v>
      </c>
      <c r="D2957" s="86"/>
      <c r="E2957" s="116" t="str">
        <f t="shared" si="140"/>
        <v>-</v>
      </c>
      <c r="F2957" s="85"/>
      <c r="G2957" s="85" t="s">
        <v>19</v>
      </c>
      <c r="H2957" s="85"/>
      <c r="I2957" s="85"/>
      <c r="J2957" s="87"/>
      <c r="K2957" s="88">
        <f t="shared" si="141"/>
        <v>0</v>
      </c>
      <c r="L2957" s="85"/>
    </row>
    <row r="2958" spans="1:12" x14ac:dyDescent="0.25">
      <c r="A2958" s="84" t="str">
        <f t="shared" si="139"/>
        <v>SelecioneSelecioneSelecione</v>
      </c>
      <c r="B2958" s="85" t="s">
        <v>19</v>
      </c>
      <c r="C2958" s="85" t="s">
        <v>19</v>
      </c>
      <c r="D2958" s="86"/>
      <c r="E2958" s="116" t="str">
        <f t="shared" si="140"/>
        <v>-</v>
      </c>
      <c r="F2958" s="85"/>
      <c r="G2958" s="85" t="s">
        <v>19</v>
      </c>
      <c r="H2958" s="85"/>
      <c r="I2958" s="85"/>
      <c r="J2958" s="87"/>
      <c r="K2958" s="88">
        <f t="shared" si="141"/>
        <v>0</v>
      </c>
      <c r="L2958" s="85"/>
    </row>
    <row r="2959" spans="1:12" x14ac:dyDescent="0.25">
      <c r="A2959" s="84" t="str">
        <f t="shared" si="139"/>
        <v>SelecioneSelecioneSelecione</v>
      </c>
      <c r="B2959" s="85" t="s">
        <v>19</v>
      </c>
      <c r="C2959" s="85" t="s">
        <v>19</v>
      </c>
      <c r="D2959" s="86"/>
      <c r="E2959" s="116" t="str">
        <f t="shared" si="140"/>
        <v>-</v>
      </c>
      <c r="F2959" s="85"/>
      <c r="G2959" s="85" t="s">
        <v>19</v>
      </c>
      <c r="H2959" s="85"/>
      <c r="I2959" s="85"/>
      <c r="J2959" s="87"/>
      <c r="K2959" s="88">
        <f t="shared" si="141"/>
        <v>0</v>
      </c>
      <c r="L2959" s="85"/>
    </row>
    <row r="2960" spans="1:12" x14ac:dyDescent="0.25">
      <c r="A2960" s="84" t="str">
        <f t="shared" si="139"/>
        <v>SelecioneSelecioneSelecione</v>
      </c>
      <c r="B2960" s="85" t="s">
        <v>19</v>
      </c>
      <c r="C2960" s="85" t="s">
        <v>19</v>
      </c>
      <c r="D2960" s="86"/>
      <c r="E2960" s="116" t="str">
        <f t="shared" si="140"/>
        <v>-</v>
      </c>
      <c r="F2960" s="85"/>
      <c r="G2960" s="85" t="s">
        <v>19</v>
      </c>
      <c r="H2960" s="85"/>
      <c r="I2960" s="85"/>
      <c r="J2960" s="87"/>
      <c r="K2960" s="88">
        <f t="shared" si="141"/>
        <v>0</v>
      </c>
      <c r="L2960" s="85"/>
    </row>
    <row r="2961" spans="1:12" x14ac:dyDescent="0.25">
      <c r="A2961" s="84" t="str">
        <f t="shared" si="139"/>
        <v>SelecioneSelecioneSelecione</v>
      </c>
      <c r="B2961" s="85" t="s">
        <v>19</v>
      </c>
      <c r="C2961" s="85" t="s">
        <v>19</v>
      </c>
      <c r="D2961" s="86"/>
      <c r="E2961" s="116" t="str">
        <f t="shared" si="140"/>
        <v>-</v>
      </c>
      <c r="F2961" s="85"/>
      <c r="G2961" s="85" t="s">
        <v>19</v>
      </c>
      <c r="H2961" s="85"/>
      <c r="I2961" s="85"/>
      <c r="J2961" s="87"/>
      <c r="K2961" s="88">
        <f t="shared" si="141"/>
        <v>0</v>
      </c>
      <c r="L2961" s="85"/>
    </row>
    <row r="2962" spans="1:12" x14ac:dyDescent="0.25">
      <c r="A2962" s="84" t="str">
        <f t="shared" si="139"/>
        <v>SelecioneSelecioneSelecione</v>
      </c>
      <c r="B2962" s="85" t="s">
        <v>19</v>
      </c>
      <c r="C2962" s="85" t="s">
        <v>19</v>
      </c>
      <c r="D2962" s="86"/>
      <c r="E2962" s="116" t="str">
        <f t="shared" si="140"/>
        <v>-</v>
      </c>
      <c r="F2962" s="85"/>
      <c r="G2962" s="85" t="s">
        <v>19</v>
      </c>
      <c r="H2962" s="85"/>
      <c r="I2962" s="85"/>
      <c r="J2962" s="87"/>
      <c r="K2962" s="88">
        <f t="shared" si="141"/>
        <v>0</v>
      </c>
      <c r="L2962" s="85"/>
    </row>
    <row r="2963" spans="1:12" x14ac:dyDescent="0.25">
      <c r="A2963" s="84" t="str">
        <f t="shared" si="139"/>
        <v>SelecioneSelecioneSelecione</v>
      </c>
      <c r="B2963" s="85" t="s">
        <v>19</v>
      </c>
      <c r="C2963" s="85" t="s">
        <v>19</v>
      </c>
      <c r="D2963" s="86"/>
      <c r="E2963" s="116" t="str">
        <f t="shared" si="140"/>
        <v>-</v>
      </c>
      <c r="F2963" s="85"/>
      <c r="G2963" s="85" t="s">
        <v>19</v>
      </c>
      <c r="H2963" s="85"/>
      <c r="I2963" s="85"/>
      <c r="J2963" s="87"/>
      <c r="K2963" s="88">
        <f t="shared" si="141"/>
        <v>0</v>
      </c>
      <c r="L2963" s="85"/>
    </row>
    <row r="2964" spans="1:12" x14ac:dyDescent="0.25">
      <c r="A2964" s="84" t="str">
        <f t="shared" si="139"/>
        <v>SelecioneSelecioneSelecione</v>
      </c>
      <c r="B2964" s="85" t="s">
        <v>19</v>
      </c>
      <c r="C2964" s="85" t="s">
        <v>19</v>
      </c>
      <c r="D2964" s="86"/>
      <c r="E2964" s="116" t="str">
        <f t="shared" si="140"/>
        <v>-</v>
      </c>
      <c r="F2964" s="85"/>
      <c r="G2964" s="85" t="s">
        <v>19</v>
      </c>
      <c r="H2964" s="85"/>
      <c r="I2964" s="85"/>
      <c r="J2964" s="87"/>
      <c r="K2964" s="88">
        <f t="shared" si="141"/>
        <v>0</v>
      </c>
      <c r="L2964" s="85"/>
    </row>
    <row r="2965" spans="1:12" x14ac:dyDescent="0.25">
      <c r="A2965" s="84" t="str">
        <f t="shared" si="139"/>
        <v>SelecioneSelecioneSelecione</v>
      </c>
      <c r="B2965" s="85" t="s">
        <v>19</v>
      </c>
      <c r="C2965" s="85" t="s">
        <v>19</v>
      </c>
      <c r="D2965" s="86"/>
      <c r="E2965" s="116" t="str">
        <f t="shared" si="140"/>
        <v>-</v>
      </c>
      <c r="F2965" s="85"/>
      <c r="G2965" s="85" t="s">
        <v>19</v>
      </c>
      <c r="H2965" s="85"/>
      <c r="I2965" s="85"/>
      <c r="J2965" s="87"/>
      <c r="K2965" s="88">
        <f t="shared" si="141"/>
        <v>0</v>
      </c>
      <c r="L2965" s="85"/>
    </row>
    <row r="2966" spans="1:12" x14ac:dyDescent="0.25">
      <c r="A2966" s="84" t="str">
        <f t="shared" si="139"/>
        <v>SelecioneSelecioneSelecione</v>
      </c>
      <c r="B2966" s="85" t="s">
        <v>19</v>
      </c>
      <c r="C2966" s="85" t="s">
        <v>19</v>
      </c>
      <c r="D2966" s="93"/>
      <c r="E2966" s="116" t="str">
        <f t="shared" si="140"/>
        <v>-</v>
      </c>
      <c r="F2966" s="90"/>
      <c r="G2966" s="85" t="s">
        <v>19</v>
      </c>
      <c r="H2966" s="85"/>
      <c r="I2966" s="90"/>
      <c r="J2966" s="89"/>
      <c r="K2966" s="88">
        <f t="shared" si="141"/>
        <v>0</v>
      </c>
      <c r="L2966" s="90"/>
    </row>
    <row r="2967" spans="1:12" x14ac:dyDescent="0.25">
      <c r="A2967" s="84" t="str">
        <f t="shared" si="139"/>
        <v>SelecioneSelecioneSelecione</v>
      </c>
      <c r="B2967" s="85" t="s">
        <v>19</v>
      </c>
      <c r="C2967" s="85" t="s">
        <v>19</v>
      </c>
      <c r="D2967" s="86"/>
      <c r="E2967" s="116" t="str">
        <f t="shared" si="140"/>
        <v>-</v>
      </c>
      <c r="F2967" s="85"/>
      <c r="G2967" s="85" t="s">
        <v>19</v>
      </c>
      <c r="H2967" s="85"/>
      <c r="I2967" s="85"/>
      <c r="J2967" s="87"/>
      <c r="K2967" s="88">
        <f t="shared" si="141"/>
        <v>0</v>
      </c>
      <c r="L2967" s="85"/>
    </row>
    <row r="2968" spans="1:12" x14ac:dyDescent="0.25">
      <c r="A2968" s="84" t="str">
        <f t="shared" si="139"/>
        <v>SelecioneSelecioneSelecione</v>
      </c>
      <c r="B2968" s="85" t="s">
        <v>19</v>
      </c>
      <c r="C2968" s="85" t="s">
        <v>19</v>
      </c>
      <c r="D2968" s="86"/>
      <c r="E2968" s="116" t="str">
        <f t="shared" si="140"/>
        <v>-</v>
      </c>
      <c r="F2968" s="85"/>
      <c r="G2968" s="85" t="s">
        <v>19</v>
      </c>
      <c r="H2968" s="85"/>
      <c r="I2968" s="85"/>
      <c r="J2968" s="87"/>
      <c r="K2968" s="88">
        <f t="shared" si="141"/>
        <v>0</v>
      </c>
      <c r="L2968" s="85"/>
    </row>
    <row r="2969" spans="1:12" x14ac:dyDescent="0.25">
      <c r="A2969" s="84" t="str">
        <f t="shared" si="139"/>
        <v>SelecioneSelecioneSelecione</v>
      </c>
      <c r="B2969" s="85" t="s">
        <v>19</v>
      </c>
      <c r="C2969" s="85" t="s">
        <v>19</v>
      </c>
      <c r="D2969" s="86"/>
      <c r="E2969" s="116" t="str">
        <f t="shared" si="140"/>
        <v>-</v>
      </c>
      <c r="F2969" s="85"/>
      <c r="G2969" s="85" t="s">
        <v>19</v>
      </c>
      <c r="H2969" s="85"/>
      <c r="I2969" s="85"/>
      <c r="J2969" s="87"/>
      <c r="K2969" s="88">
        <f t="shared" si="141"/>
        <v>0</v>
      </c>
      <c r="L2969" s="85"/>
    </row>
    <row r="2970" spans="1:12" x14ac:dyDescent="0.25">
      <c r="A2970" s="84" t="str">
        <f t="shared" si="139"/>
        <v>SelecioneSelecioneSelecione</v>
      </c>
      <c r="B2970" s="85" t="s">
        <v>19</v>
      </c>
      <c r="C2970" s="85" t="s">
        <v>19</v>
      </c>
      <c r="D2970" s="86"/>
      <c r="E2970" s="116" t="str">
        <f t="shared" si="140"/>
        <v>-</v>
      </c>
      <c r="F2970" s="85"/>
      <c r="G2970" s="85" t="s">
        <v>19</v>
      </c>
      <c r="H2970" s="85"/>
      <c r="I2970" s="85"/>
      <c r="J2970" s="87"/>
      <c r="K2970" s="88">
        <f t="shared" si="141"/>
        <v>0</v>
      </c>
      <c r="L2970" s="85"/>
    </row>
    <row r="2971" spans="1:12" x14ac:dyDescent="0.25">
      <c r="A2971" s="84" t="str">
        <f t="shared" si="139"/>
        <v>SelecioneSelecioneSelecione</v>
      </c>
      <c r="B2971" s="85" t="s">
        <v>19</v>
      </c>
      <c r="C2971" s="85" t="s">
        <v>19</v>
      </c>
      <c r="D2971" s="86"/>
      <c r="E2971" s="116" t="str">
        <f t="shared" si="140"/>
        <v>-</v>
      </c>
      <c r="F2971" s="85"/>
      <c r="G2971" s="85" t="s">
        <v>19</v>
      </c>
      <c r="H2971" s="85"/>
      <c r="I2971" s="85"/>
      <c r="J2971" s="87"/>
      <c r="K2971" s="88">
        <f t="shared" si="141"/>
        <v>0</v>
      </c>
      <c r="L2971" s="85"/>
    </row>
    <row r="2972" spans="1:12" x14ac:dyDescent="0.25">
      <c r="A2972" s="84" t="str">
        <f t="shared" si="139"/>
        <v>SelecioneSelecioneSelecione</v>
      </c>
      <c r="B2972" s="85" t="s">
        <v>19</v>
      </c>
      <c r="C2972" s="85" t="s">
        <v>19</v>
      </c>
      <c r="D2972" s="86"/>
      <c r="E2972" s="116" t="str">
        <f t="shared" si="140"/>
        <v>-</v>
      </c>
      <c r="F2972" s="85"/>
      <c r="G2972" s="85" t="s">
        <v>19</v>
      </c>
      <c r="H2972" s="85"/>
      <c r="I2972" s="85"/>
      <c r="J2972" s="87"/>
      <c r="K2972" s="88">
        <f t="shared" si="141"/>
        <v>0</v>
      </c>
      <c r="L2972" s="85"/>
    </row>
    <row r="2973" spans="1:12" x14ac:dyDescent="0.25">
      <c r="A2973" s="84" t="str">
        <f t="shared" si="139"/>
        <v>SelecioneSelecioneSelecione</v>
      </c>
      <c r="B2973" s="85" t="s">
        <v>19</v>
      </c>
      <c r="C2973" s="85" t="s">
        <v>19</v>
      </c>
      <c r="D2973" s="86"/>
      <c r="E2973" s="116" t="str">
        <f t="shared" si="140"/>
        <v>-</v>
      </c>
      <c r="F2973" s="85"/>
      <c r="G2973" s="85" t="s">
        <v>19</v>
      </c>
      <c r="H2973" s="85"/>
      <c r="I2973" s="85"/>
      <c r="J2973" s="87"/>
      <c r="K2973" s="88">
        <f t="shared" si="141"/>
        <v>0</v>
      </c>
      <c r="L2973" s="85"/>
    </row>
    <row r="2974" spans="1:12" x14ac:dyDescent="0.25">
      <c r="A2974" s="84" t="str">
        <f t="shared" si="139"/>
        <v>SelecioneSelecioneSelecione</v>
      </c>
      <c r="B2974" s="85" t="s">
        <v>19</v>
      </c>
      <c r="C2974" s="85" t="s">
        <v>19</v>
      </c>
      <c r="D2974" s="86"/>
      <c r="E2974" s="116" t="str">
        <f t="shared" si="140"/>
        <v>-</v>
      </c>
      <c r="F2974" s="85"/>
      <c r="G2974" s="85" t="s">
        <v>19</v>
      </c>
      <c r="H2974" s="85"/>
      <c r="I2974" s="85"/>
      <c r="J2974" s="87"/>
      <c r="K2974" s="88">
        <f t="shared" si="141"/>
        <v>0</v>
      </c>
      <c r="L2974" s="85"/>
    </row>
    <row r="2975" spans="1:12" x14ac:dyDescent="0.25">
      <c r="A2975" s="84" t="str">
        <f t="shared" si="139"/>
        <v>SelecioneSelecioneSelecione</v>
      </c>
      <c r="B2975" s="85" t="s">
        <v>19</v>
      </c>
      <c r="C2975" s="85" t="s">
        <v>19</v>
      </c>
      <c r="D2975" s="86"/>
      <c r="E2975" s="116" t="str">
        <f t="shared" si="140"/>
        <v>-</v>
      </c>
      <c r="F2975" s="85"/>
      <c r="G2975" s="85" t="s">
        <v>19</v>
      </c>
      <c r="H2975" s="85"/>
      <c r="I2975" s="85"/>
      <c r="J2975" s="87"/>
      <c r="K2975" s="88">
        <f t="shared" si="141"/>
        <v>0</v>
      </c>
      <c r="L2975" s="85"/>
    </row>
    <row r="2976" spans="1:12" x14ac:dyDescent="0.25">
      <c r="A2976" s="84" t="str">
        <f t="shared" si="139"/>
        <v>SelecioneSelecioneSelecione</v>
      </c>
      <c r="B2976" s="85" t="s">
        <v>19</v>
      </c>
      <c r="C2976" s="85" t="s">
        <v>19</v>
      </c>
      <c r="D2976" s="86"/>
      <c r="E2976" s="116" t="str">
        <f t="shared" si="140"/>
        <v>-</v>
      </c>
      <c r="F2976" s="85"/>
      <c r="G2976" s="85" t="s">
        <v>19</v>
      </c>
      <c r="H2976" s="85"/>
      <c r="I2976" s="85"/>
      <c r="J2976" s="87"/>
      <c r="K2976" s="88">
        <f t="shared" si="141"/>
        <v>0</v>
      </c>
      <c r="L2976" s="85"/>
    </row>
    <row r="2977" spans="1:12" x14ac:dyDescent="0.25">
      <c r="A2977" s="84" t="str">
        <f t="shared" si="139"/>
        <v>SelecioneSelecioneSelecione</v>
      </c>
      <c r="B2977" s="85" t="s">
        <v>19</v>
      </c>
      <c r="C2977" s="85" t="s">
        <v>19</v>
      </c>
      <c r="D2977" s="86"/>
      <c r="E2977" s="116" t="str">
        <f t="shared" si="140"/>
        <v>-</v>
      </c>
      <c r="F2977" s="85"/>
      <c r="G2977" s="85" t="s">
        <v>19</v>
      </c>
      <c r="H2977" s="85"/>
      <c r="I2977" s="85"/>
      <c r="J2977" s="87"/>
      <c r="K2977" s="88">
        <f t="shared" si="141"/>
        <v>0</v>
      </c>
      <c r="L2977" s="85"/>
    </row>
    <row r="2978" spans="1:12" x14ac:dyDescent="0.25">
      <c r="A2978" s="84" t="str">
        <f t="shared" si="139"/>
        <v>SelecioneSelecioneSelecione</v>
      </c>
      <c r="B2978" s="85" t="s">
        <v>19</v>
      </c>
      <c r="C2978" s="85" t="s">
        <v>19</v>
      </c>
      <c r="D2978" s="86"/>
      <c r="E2978" s="116" t="str">
        <f t="shared" si="140"/>
        <v>-</v>
      </c>
      <c r="F2978" s="85"/>
      <c r="G2978" s="85" t="s">
        <v>19</v>
      </c>
      <c r="H2978" s="85"/>
      <c r="I2978" s="85"/>
      <c r="J2978" s="87"/>
      <c r="K2978" s="88">
        <f t="shared" si="141"/>
        <v>0</v>
      </c>
      <c r="L2978" s="85"/>
    </row>
    <row r="2979" spans="1:12" x14ac:dyDescent="0.25">
      <c r="A2979" s="84" t="str">
        <f t="shared" si="139"/>
        <v>SelecioneSelecioneSelecione</v>
      </c>
      <c r="B2979" s="85" t="s">
        <v>19</v>
      </c>
      <c r="C2979" s="85" t="s">
        <v>19</v>
      </c>
      <c r="D2979" s="86"/>
      <c r="E2979" s="116" t="str">
        <f t="shared" si="140"/>
        <v>-</v>
      </c>
      <c r="F2979" s="85"/>
      <c r="G2979" s="85" t="s">
        <v>19</v>
      </c>
      <c r="H2979" s="85"/>
      <c r="I2979" s="85"/>
      <c r="J2979" s="87"/>
      <c r="K2979" s="88">
        <f t="shared" si="141"/>
        <v>0</v>
      </c>
      <c r="L2979" s="85"/>
    </row>
    <row r="2980" spans="1:12" x14ac:dyDescent="0.25">
      <c r="A2980" s="84" t="str">
        <f t="shared" si="139"/>
        <v>SelecioneSelecioneSelecione</v>
      </c>
      <c r="B2980" s="85" t="s">
        <v>19</v>
      </c>
      <c r="C2980" s="85" t="s">
        <v>19</v>
      </c>
      <c r="D2980" s="86"/>
      <c r="E2980" s="116" t="str">
        <f t="shared" si="140"/>
        <v>-</v>
      </c>
      <c r="F2980" s="85"/>
      <c r="G2980" s="85" t="s">
        <v>19</v>
      </c>
      <c r="H2980" s="85"/>
      <c r="I2980" s="85"/>
      <c r="J2980" s="87"/>
      <c r="K2980" s="88">
        <f t="shared" si="141"/>
        <v>0</v>
      </c>
      <c r="L2980" s="85"/>
    </row>
    <row r="2981" spans="1:12" x14ac:dyDescent="0.25">
      <c r="A2981" s="84" t="str">
        <f t="shared" si="139"/>
        <v>SelecioneSelecioneSelecione</v>
      </c>
      <c r="B2981" s="85" t="s">
        <v>19</v>
      </c>
      <c r="C2981" s="85" t="s">
        <v>19</v>
      </c>
      <c r="D2981" s="86"/>
      <c r="E2981" s="116" t="str">
        <f t="shared" si="140"/>
        <v>-</v>
      </c>
      <c r="F2981" s="85"/>
      <c r="G2981" s="85" t="s">
        <v>19</v>
      </c>
      <c r="H2981" s="85"/>
      <c r="I2981" s="85"/>
      <c r="J2981" s="87"/>
      <c r="K2981" s="88">
        <f t="shared" si="141"/>
        <v>0</v>
      </c>
      <c r="L2981" s="85"/>
    </row>
    <row r="2982" spans="1:12" x14ac:dyDescent="0.25">
      <c r="A2982" s="84" t="str">
        <f t="shared" si="139"/>
        <v>SelecioneSelecioneSelecione</v>
      </c>
      <c r="B2982" s="85" t="s">
        <v>19</v>
      </c>
      <c r="C2982" s="85" t="s">
        <v>19</v>
      </c>
      <c r="D2982" s="86"/>
      <c r="E2982" s="116" t="str">
        <f t="shared" si="140"/>
        <v>-</v>
      </c>
      <c r="F2982" s="85"/>
      <c r="G2982" s="85" t="s">
        <v>19</v>
      </c>
      <c r="H2982" s="85"/>
      <c r="I2982" s="85"/>
      <c r="J2982" s="87"/>
      <c r="K2982" s="88">
        <f t="shared" si="141"/>
        <v>0</v>
      </c>
      <c r="L2982" s="85"/>
    </row>
    <row r="2983" spans="1:12" x14ac:dyDescent="0.25">
      <c r="A2983" s="84" t="str">
        <f t="shared" si="139"/>
        <v>SelecioneSelecioneSelecione</v>
      </c>
      <c r="B2983" s="85" t="s">
        <v>19</v>
      </c>
      <c r="C2983" s="85" t="s">
        <v>19</v>
      </c>
      <c r="D2983" s="86"/>
      <c r="E2983" s="116" t="str">
        <f t="shared" si="140"/>
        <v>-</v>
      </c>
      <c r="F2983" s="85"/>
      <c r="G2983" s="85" t="s">
        <v>19</v>
      </c>
      <c r="H2983" s="85"/>
      <c r="I2983" s="85"/>
      <c r="J2983" s="87"/>
      <c r="K2983" s="88">
        <f t="shared" si="141"/>
        <v>0</v>
      </c>
      <c r="L2983" s="85"/>
    </row>
    <row r="2984" spans="1:12" x14ac:dyDescent="0.25">
      <c r="A2984" s="84" t="str">
        <f t="shared" si="139"/>
        <v>SelecioneSelecioneSelecione</v>
      </c>
      <c r="B2984" s="85" t="s">
        <v>19</v>
      </c>
      <c r="C2984" s="85" t="s">
        <v>19</v>
      </c>
      <c r="D2984" s="86"/>
      <c r="E2984" s="116" t="str">
        <f t="shared" si="140"/>
        <v>-</v>
      </c>
      <c r="F2984" s="85"/>
      <c r="G2984" s="85" t="s">
        <v>19</v>
      </c>
      <c r="H2984" s="85"/>
      <c r="I2984" s="85"/>
      <c r="J2984" s="87"/>
      <c r="K2984" s="88">
        <f t="shared" si="141"/>
        <v>0</v>
      </c>
      <c r="L2984" s="85"/>
    </row>
    <row r="2985" spans="1:12" x14ac:dyDescent="0.25">
      <c r="A2985" s="84" t="str">
        <f t="shared" si="139"/>
        <v>SelecioneSelecioneSelecione</v>
      </c>
      <c r="B2985" s="85" t="s">
        <v>19</v>
      </c>
      <c r="C2985" s="85" t="s">
        <v>19</v>
      </c>
      <c r="D2985" s="86"/>
      <c r="E2985" s="116" t="str">
        <f t="shared" si="140"/>
        <v>-</v>
      </c>
      <c r="F2985" s="85"/>
      <c r="G2985" s="85" t="s">
        <v>19</v>
      </c>
      <c r="H2985" s="85"/>
      <c r="I2985" s="85"/>
      <c r="J2985" s="87"/>
      <c r="K2985" s="88">
        <f t="shared" si="141"/>
        <v>0</v>
      </c>
      <c r="L2985" s="85"/>
    </row>
    <row r="2986" spans="1:12" x14ac:dyDescent="0.25">
      <c r="A2986" s="84" t="str">
        <f t="shared" si="139"/>
        <v>SelecioneSelecioneSelecione</v>
      </c>
      <c r="B2986" s="85" t="s">
        <v>19</v>
      </c>
      <c r="C2986" s="85" t="s">
        <v>19</v>
      </c>
      <c r="D2986" s="86"/>
      <c r="E2986" s="116" t="str">
        <f t="shared" si="140"/>
        <v>-</v>
      </c>
      <c r="F2986" s="85"/>
      <c r="G2986" s="85" t="s">
        <v>19</v>
      </c>
      <c r="H2986" s="85"/>
      <c r="I2986" s="85"/>
      <c r="J2986" s="87"/>
      <c r="K2986" s="88">
        <f t="shared" si="141"/>
        <v>0</v>
      </c>
      <c r="L2986" s="85"/>
    </row>
    <row r="2987" spans="1:12" x14ac:dyDescent="0.25">
      <c r="A2987" s="84" t="str">
        <f t="shared" si="139"/>
        <v>SelecioneSelecioneSelecione</v>
      </c>
      <c r="B2987" s="85" t="s">
        <v>19</v>
      </c>
      <c r="C2987" s="85" t="s">
        <v>19</v>
      </c>
      <c r="D2987" s="86"/>
      <c r="E2987" s="116" t="str">
        <f t="shared" si="140"/>
        <v>-</v>
      </c>
      <c r="F2987" s="85"/>
      <c r="G2987" s="85" t="s">
        <v>19</v>
      </c>
      <c r="H2987" s="85"/>
      <c r="I2987" s="85"/>
      <c r="J2987" s="87"/>
      <c r="K2987" s="88">
        <f t="shared" si="141"/>
        <v>0</v>
      </c>
      <c r="L2987" s="85"/>
    </row>
    <row r="2988" spans="1:12" x14ac:dyDescent="0.25">
      <c r="A2988" s="84" t="str">
        <f t="shared" si="139"/>
        <v>SelecioneSelecioneSelecione</v>
      </c>
      <c r="B2988" s="85" t="s">
        <v>19</v>
      </c>
      <c r="C2988" s="85" t="s">
        <v>19</v>
      </c>
      <c r="D2988" s="86"/>
      <c r="E2988" s="116" t="str">
        <f t="shared" si="140"/>
        <v>-</v>
      </c>
      <c r="F2988" s="85"/>
      <c r="G2988" s="85" t="s">
        <v>19</v>
      </c>
      <c r="H2988" s="85"/>
      <c r="I2988" s="85"/>
      <c r="J2988" s="87"/>
      <c r="K2988" s="88">
        <f t="shared" si="141"/>
        <v>0</v>
      </c>
      <c r="L2988" s="85"/>
    </row>
    <row r="2989" spans="1:12" x14ac:dyDescent="0.25">
      <c r="A2989" s="84" t="str">
        <f t="shared" si="139"/>
        <v>SelecioneSelecioneSelecione</v>
      </c>
      <c r="B2989" s="85" t="s">
        <v>19</v>
      </c>
      <c r="C2989" s="85" t="s">
        <v>19</v>
      </c>
      <c r="D2989" s="86"/>
      <c r="E2989" s="116" t="str">
        <f t="shared" si="140"/>
        <v>-</v>
      </c>
      <c r="F2989" s="85"/>
      <c r="G2989" s="85" t="s">
        <v>19</v>
      </c>
      <c r="H2989" s="85"/>
      <c r="I2989" s="85"/>
      <c r="J2989" s="87"/>
      <c r="K2989" s="88">
        <f t="shared" si="141"/>
        <v>0</v>
      </c>
      <c r="L2989" s="85"/>
    </row>
    <row r="2990" spans="1:12" x14ac:dyDescent="0.25">
      <c r="A2990" s="84" t="str">
        <f t="shared" si="139"/>
        <v>SelecioneSelecioneSelecione</v>
      </c>
      <c r="B2990" s="85" t="s">
        <v>19</v>
      </c>
      <c r="C2990" s="85" t="s">
        <v>19</v>
      </c>
      <c r="D2990" s="93"/>
      <c r="E2990" s="116" t="str">
        <f t="shared" si="140"/>
        <v>-</v>
      </c>
      <c r="F2990" s="90"/>
      <c r="G2990" s="85" t="s">
        <v>19</v>
      </c>
      <c r="H2990" s="85"/>
      <c r="I2990" s="90"/>
      <c r="J2990" s="89"/>
      <c r="K2990" s="88">
        <f t="shared" si="141"/>
        <v>0</v>
      </c>
      <c r="L2990" s="90"/>
    </row>
    <row r="2991" spans="1:12" x14ac:dyDescent="0.25">
      <c r="A2991" s="84" t="str">
        <f t="shared" si="139"/>
        <v>SelecioneSelecioneSelecione</v>
      </c>
      <c r="B2991" s="85" t="s">
        <v>19</v>
      </c>
      <c r="C2991" s="85" t="s">
        <v>19</v>
      </c>
      <c r="D2991" s="86"/>
      <c r="E2991" s="116" t="str">
        <f t="shared" si="140"/>
        <v>-</v>
      </c>
      <c r="F2991" s="85"/>
      <c r="G2991" s="85" t="s">
        <v>19</v>
      </c>
      <c r="H2991" s="85"/>
      <c r="I2991" s="85"/>
      <c r="J2991" s="87"/>
      <c r="K2991" s="88">
        <f t="shared" si="141"/>
        <v>0</v>
      </c>
      <c r="L2991" s="85"/>
    </row>
    <row r="2992" spans="1:12" x14ac:dyDescent="0.25">
      <c r="A2992" s="84" t="str">
        <f t="shared" si="139"/>
        <v>SelecioneSelecioneSelecione</v>
      </c>
      <c r="B2992" s="85" t="s">
        <v>19</v>
      </c>
      <c r="C2992" s="85" t="s">
        <v>19</v>
      </c>
      <c r="D2992" s="86"/>
      <c r="E2992" s="116" t="str">
        <f t="shared" si="140"/>
        <v>-</v>
      </c>
      <c r="F2992" s="85"/>
      <c r="G2992" s="85" t="s">
        <v>19</v>
      </c>
      <c r="H2992" s="85"/>
      <c r="I2992" s="85"/>
      <c r="J2992" s="87"/>
      <c r="K2992" s="88">
        <f t="shared" si="141"/>
        <v>0</v>
      </c>
      <c r="L2992" s="85"/>
    </row>
    <row r="2993" spans="1:12" x14ac:dyDescent="0.25">
      <c r="A2993" s="84" t="str">
        <f t="shared" si="139"/>
        <v>SelecioneSelecioneSelecione</v>
      </c>
      <c r="B2993" s="85" t="s">
        <v>19</v>
      </c>
      <c r="C2993" s="85" t="s">
        <v>19</v>
      </c>
      <c r="D2993" s="93"/>
      <c r="E2993" s="116" t="str">
        <f t="shared" si="140"/>
        <v>-</v>
      </c>
      <c r="F2993" s="90"/>
      <c r="G2993" s="85" t="s">
        <v>19</v>
      </c>
      <c r="H2993" s="85"/>
      <c r="I2993" s="90"/>
      <c r="J2993" s="89"/>
      <c r="K2993" s="88">
        <f t="shared" si="141"/>
        <v>0</v>
      </c>
      <c r="L2993" s="90"/>
    </row>
    <row r="2994" spans="1:12" x14ac:dyDescent="0.25">
      <c r="A2994" s="84" t="str">
        <f t="shared" si="139"/>
        <v>SelecioneSelecioneSelecione</v>
      </c>
      <c r="B2994" s="85" t="s">
        <v>19</v>
      </c>
      <c r="C2994" s="85" t="s">
        <v>19</v>
      </c>
      <c r="D2994" s="93"/>
      <c r="E2994" s="116" t="str">
        <f t="shared" si="140"/>
        <v>-</v>
      </c>
      <c r="F2994" s="90"/>
      <c r="G2994" s="85" t="s">
        <v>19</v>
      </c>
      <c r="H2994" s="85"/>
      <c r="I2994" s="90"/>
      <c r="J2994" s="89"/>
      <c r="K2994" s="88">
        <f t="shared" si="141"/>
        <v>0</v>
      </c>
      <c r="L2994" s="90"/>
    </row>
    <row r="2995" spans="1:12" x14ac:dyDescent="0.25">
      <c r="A2995" s="84" t="str">
        <f t="shared" si="139"/>
        <v>SelecioneSelecioneSelecione</v>
      </c>
      <c r="B2995" s="85" t="s">
        <v>19</v>
      </c>
      <c r="C2995" s="85" t="s">
        <v>19</v>
      </c>
      <c r="D2995" s="93"/>
      <c r="E2995" s="116" t="str">
        <f t="shared" si="140"/>
        <v>-</v>
      </c>
      <c r="F2995" s="90"/>
      <c r="G2995" s="85" t="s">
        <v>19</v>
      </c>
      <c r="H2995" s="85"/>
      <c r="I2995" s="90"/>
      <c r="J2995" s="89"/>
      <c r="K2995" s="88">
        <f t="shared" si="141"/>
        <v>0</v>
      </c>
      <c r="L2995" s="90"/>
    </row>
    <row r="2996" spans="1:12" x14ac:dyDescent="0.25">
      <c r="A2996" s="84" t="str">
        <f t="shared" si="139"/>
        <v>SelecioneSelecioneSelecione</v>
      </c>
      <c r="B2996" s="85" t="s">
        <v>19</v>
      </c>
      <c r="C2996" s="85" t="s">
        <v>19</v>
      </c>
      <c r="D2996" s="93"/>
      <c r="E2996" s="116" t="str">
        <f t="shared" si="140"/>
        <v>-</v>
      </c>
      <c r="F2996" s="90"/>
      <c r="G2996" s="85" t="s">
        <v>19</v>
      </c>
      <c r="H2996" s="85"/>
      <c r="I2996" s="90"/>
      <c r="J2996" s="89"/>
      <c r="K2996" s="88">
        <f t="shared" si="141"/>
        <v>0</v>
      </c>
      <c r="L2996" s="90"/>
    </row>
    <row r="2997" spans="1:12" x14ac:dyDescent="0.25">
      <c r="A2997" s="84" t="str">
        <f t="shared" si="139"/>
        <v>SelecioneSelecioneSelecione</v>
      </c>
      <c r="B2997" s="85" t="s">
        <v>19</v>
      </c>
      <c r="C2997" s="85" t="s">
        <v>19</v>
      </c>
      <c r="D2997" s="93"/>
      <c r="E2997" s="116" t="str">
        <f t="shared" si="140"/>
        <v>-</v>
      </c>
      <c r="F2997" s="90"/>
      <c r="G2997" s="85" t="s">
        <v>19</v>
      </c>
      <c r="H2997" s="85"/>
      <c r="I2997" s="90"/>
      <c r="J2997" s="89"/>
      <c r="K2997" s="88">
        <f t="shared" si="141"/>
        <v>0</v>
      </c>
      <c r="L2997" s="90"/>
    </row>
    <row r="2998" spans="1:12" x14ac:dyDescent="0.25">
      <c r="A2998" s="84" t="str">
        <f t="shared" si="139"/>
        <v>SelecioneSelecioneSelecione</v>
      </c>
      <c r="B2998" s="85" t="s">
        <v>19</v>
      </c>
      <c r="C2998" s="85" t="s">
        <v>19</v>
      </c>
      <c r="D2998" s="86"/>
      <c r="E2998" s="116" t="str">
        <f t="shared" si="140"/>
        <v>-</v>
      </c>
      <c r="F2998" s="85"/>
      <c r="G2998" s="85" t="s">
        <v>19</v>
      </c>
      <c r="H2998" s="85"/>
      <c r="I2998" s="85"/>
      <c r="J2998" s="87"/>
      <c r="K2998" s="88">
        <f t="shared" si="141"/>
        <v>0</v>
      </c>
      <c r="L2998" s="85"/>
    </row>
    <row r="2999" spans="1:12" x14ac:dyDescent="0.25">
      <c r="A2999" s="84" t="str">
        <f t="shared" si="139"/>
        <v>SelecioneSelecioneSelecione</v>
      </c>
      <c r="B2999" s="85" t="s">
        <v>19</v>
      </c>
      <c r="C2999" s="85" t="s">
        <v>19</v>
      </c>
      <c r="D2999" s="86"/>
      <c r="E2999" s="116" t="str">
        <f t="shared" si="140"/>
        <v>-</v>
      </c>
      <c r="F2999" s="85"/>
      <c r="G2999" s="85" t="s">
        <v>19</v>
      </c>
      <c r="H2999" s="85"/>
      <c r="I2999" s="85"/>
      <c r="J2999" s="87"/>
      <c r="K2999" s="88">
        <f t="shared" si="141"/>
        <v>0</v>
      </c>
      <c r="L2999" s="85"/>
    </row>
    <row r="3000" spans="1:12" x14ac:dyDescent="0.25">
      <c r="A3000" s="84" t="str">
        <f t="shared" si="139"/>
        <v>SelecioneSelecioneSelecione</v>
      </c>
      <c r="B3000" s="85" t="s">
        <v>19</v>
      </c>
      <c r="C3000" s="85" t="s">
        <v>19</v>
      </c>
      <c r="D3000" s="86"/>
      <c r="E3000" s="116" t="str">
        <f t="shared" si="140"/>
        <v>-</v>
      </c>
      <c r="F3000" s="85"/>
      <c r="G3000" s="85" t="s">
        <v>19</v>
      </c>
      <c r="H3000" s="85"/>
      <c r="I3000" s="85"/>
      <c r="J3000" s="87"/>
      <c r="K3000" s="88">
        <f t="shared" si="141"/>
        <v>0</v>
      </c>
      <c r="L3000" s="85"/>
    </row>
    <row r="3001" spans="1:12" x14ac:dyDescent="0.25">
      <c r="A3001" s="84" t="str">
        <f t="shared" si="139"/>
        <v>SelecioneSelecioneSelecione</v>
      </c>
      <c r="B3001" s="85" t="s">
        <v>19</v>
      </c>
      <c r="C3001" s="85" t="s">
        <v>19</v>
      </c>
      <c r="D3001" s="93"/>
      <c r="E3001" s="116" t="str">
        <f t="shared" si="140"/>
        <v>-</v>
      </c>
      <c r="F3001" s="90"/>
      <c r="G3001" s="85" t="s">
        <v>19</v>
      </c>
      <c r="H3001" s="85"/>
      <c r="I3001" s="90"/>
      <c r="J3001" s="89"/>
      <c r="K3001" s="88">
        <f t="shared" si="141"/>
        <v>0</v>
      </c>
      <c r="L3001" s="90"/>
    </row>
    <row r="3002" spans="1:12" x14ac:dyDescent="0.25">
      <c r="A3002" s="84" t="str">
        <f t="shared" si="139"/>
        <v>SelecioneSelecioneSelecione</v>
      </c>
      <c r="B3002" s="85" t="s">
        <v>19</v>
      </c>
      <c r="C3002" s="85" t="s">
        <v>19</v>
      </c>
      <c r="D3002" s="93"/>
      <c r="E3002" s="116" t="str">
        <f t="shared" si="140"/>
        <v>-</v>
      </c>
      <c r="F3002" s="90"/>
      <c r="G3002" s="85" t="s">
        <v>19</v>
      </c>
      <c r="H3002" s="85"/>
      <c r="I3002" s="90"/>
      <c r="J3002" s="89"/>
      <c r="K3002" s="88">
        <f t="shared" si="141"/>
        <v>0</v>
      </c>
      <c r="L3002" s="90"/>
    </row>
    <row r="3003" spans="1:12" x14ac:dyDescent="0.25">
      <c r="A3003" s="84" t="str">
        <f t="shared" si="139"/>
        <v>SelecioneSelecioneSelecione</v>
      </c>
      <c r="B3003" s="85" t="s">
        <v>19</v>
      </c>
      <c r="C3003" s="85" t="s">
        <v>19</v>
      </c>
      <c r="D3003" s="93"/>
      <c r="E3003" s="116" t="str">
        <f t="shared" si="140"/>
        <v>-</v>
      </c>
      <c r="F3003" s="85"/>
      <c r="G3003" s="85" t="s">
        <v>19</v>
      </c>
      <c r="H3003" s="85"/>
      <c r="I3003" s="90"/>
      <c r="J3003" s="89"/>
      <c r="K3003" s="88">
        <f t="shared" si="141"/>
        <v>0</v>
      </c>
      <c r="L3003" s="90"/>
    </row>
    <row r="3004" spans="1:12" x14ac:dyDescent="0.25">
      <c r="A3004" s="84" t="str">
        <f t="shared" si="139"/>
        <v>SelecioneSelecioneSelecione</v>
      </c>
      <c r="B3004" s="85" t="s">
        <v>19</v>
      </c>
      <c r="C3004" s="85" t="s">
        <v>19</v>
      </c>
      <c r="D3004" s="93"/>
      <c r="E3004" s="116" t="str">
        <f t="shared" si="140"/>
        <v>-</v>
      </c>
      <c r="F3004" s="85"/>
      <c r="G3004" s="85" t="s">
        <v>19</v>
      </c>
      <c r="H3004" s="85"/>
      <c r="I3004" s="90"/>
      <c r="J3004" s="89"/>
      <c r="K3004" s="88">
        <f t="shared" si="141"/>
        <v>0</v>
      </c>
      <c r="L3004" s="90"/>
    </row>
    <row r="3005" spans="1:12" x14ac:dyDescent="0.25">
      <c r="A3005" s="84" t="str">
        <f t="shared" si="139"/>
        <v>SelecioneSelecioneSelecione</v>
      </c>
      <c r="B3005" s="85" t="s">
        <v>19</v>
      </c>
      <c r="C3005" s="85" t="s">
        <v>19</v>
      </c>
      <c r="D3005" s="93"/>
      <c r="E3005" s="116" t="str">
        <f t="shared" si="140"/>
        <v>-</v>
      </c>
      <c r="F3005" s="90"/>
      <c r="G3005" s="85" t="s">
        <v>19</v>
      </c>
      <c r="H3005" s="85"/>
      <c r="I3005" s="90"/>
      <c r="J3005" s="89"/>
      <c r="K3005" s="88">
        <f t="shared" si="141"/>
        <v>0</v>
      </c>
      <c r="L3005" s="90"/>
    </row>
    <row r="3006" spans="1:12" x14ac:dyDescent="0.25">
      <c r="A3006" s="84" t="str">
        <f t="shared" si="139"/>
        <v>SelecioneSelecioneSelecione</v>
      </c>
      <c r="B3006" s="85" t="s">
        <v>19</v>
      </c>
      <c r="C3006" s="85" t="s">
        <v>19</v>
      </c>
      <c r="D3006" s="93"/>
      <c r="E3006" s="116" t="str">
        <f t="shared" si="140"/>
        <v>-</v>
      </c>
      <c r="F3006" s="90"/>
      <c r="G3006" s="85" t="s">
        <v>19</v>
      </c>
      <c r="H3006" s="85"/>
      <c r="I3006" s="90"/>
      <c r="J3006" s="89"/>
      <c r="K3006" s="88">
        <f t="shared" si="141"/>
        <v>0</v>
      </c>
      <c r="L3006" s="90"/>
    </row>
    <row r="3007" spans="1:12" x14ac:dyDescent="0.25">
      <c r="A3007" s="84" t="str">
        <f t="shared" si="139"/>
        <v>SelecioneSelecioneSelecione</v>
      </c>
      <c r="B3007" s="85" t="s">
        <v>19</v>
      </c>
      <c r="C3007" s="85" t="s">
        <v>19</v>
      </c>
      <c r="D3007" s="93"/>
      <c r="E3007" s="116" t="str">
        <f t="shared" si="140"/>
        <v>-</v>
      </c>
      <c r="F3007" s="90"/>
      <c r="G3007" s="85" t="s">
        <v>19</v>
      </c>
      <c r="H3007" s="85"/>
      <c r="I3007" s="90"/>
      <c r="J3007" s="89"/>
      <c r="K3007" s="88">
        <f t="shared" si="141"/>
        <v>0</v>
      </c>
      <c r="L3007" s="90"/>
    </row>
    <row r="3008" spans="1:12" x14ac:dyDescent="0.25">
      <c r="A3008" s="84" t="str">
        <f t="shared" si="139"/>
        <v>SelecioneSelecioneSelecione</v>
      </c>
      <c r="B3008" s="85" t="s">
        <v>19</v>
      </c>
      <c r="C3008" s="85" t="s">
        <v>19</v>
      </c>
      <c r="D3008" s="93"/>
      <c r="E3008" s="116" t="str">
        <f t="shared" si="140"/>
        <v>-</v>
      </c>
      <c r="F3008" s="90"/>
      <c r="G3008" s="85" t="s">
        <v>19</v>
      </c>
      <c r="H3008" s="85"/>
      <c r="I3008" s="90"/>
      <c r="J3008" s="89"/>
      <c r="K3008" s="88">
        <f t="shared" si="141"/>
        <v>0</v>
      </c>
      <c r="L3008" s="85"/>
    </row>
    <row r="3009" spans="1:12" x14ac:dyDescent="0.25">
      <c r="A3009" s="84" t="str">
        <f t="shared" si="139"/>
        <v>SelecioneSelecioneSelecione</v>
      </c>
      <c r="B3009" s="85" t="s">
        <v>19</v>
      </c>
      <c r="C3009" s="85" t="s">
        <v>19</v>
      </c>
      <c r="D3009" s="93"/>
      <c r="E3009" s="116" t="str">
        <f t="shared" si="140"/>
        <v>-</v>
      </c>
      <c r="F3009" s="90"/>
      <c r="G3009" s="85" t="s">
        <v>19</v>
      </c>
      <c r="H3009" s="85"/>
      <c r="I3009" s="90"/>
      <c r="J3009" s="89"/>
      <c r="K3009" s="88">
        <f t="shared" si="141"/>
        <v>0</v>
      </c>
      <c r="L3009" s="90"/>
    </row>
    <row r="3010" spans="1:12" x14ac:dyDescent="0.25">
      <c r="A3010" s="84" t="str">
        <f t="shared" ref="A3010:A3073" si="142">CONCATENATE(B3010,C3010,G3010)</f>
        <v>SelecioneSelecioneSelecione</v>
      </c>
      <c r="B3010" s="85" t="s">
        <v>19</v>
      </c>
      <c r="C3010" s="85" t="s">
        <v>19</v>
      </c>
      <c r="D3010" s="93"/>
      <c r="E3010" s="116" t="str">
        <f t="shared" ref="E3010:E3073" si="143">VLOOKUP(G3010,$M$1:$O$968,3,0)</f>
        <v>-</v>
      </c>
      <c r="F3010" s="90"/>
      <c r="G3010" s="85" t="s">
        <v>19</v>
      </c>
      <c r="H3010" s="85"/>
      <c r="I3010" s="90"/>
      <c r="J3010" s="89"/>
      <c r="K3010" s="88">
        <f t="shared" ref="K3010:K3073" si="144">I3010*J3010</f>
        <v>0</v>
      </c>
      <c r="L3010" s="90"/>
    </row>
    <row r="3011" spans="1:12" x14ac:dyDescent="0.25">
      <c r="A3011" s="84" t="str">
        <f t="shared" si="142"/>
        <v>SelecioneSelecioneSelecione</v>
      </c>
      <c r="B3011" s="85" t="s">
        <v>19</v>
      </c>
      <c r="C3011" s="85" t="s">
        <v>19</v>
      </c>
      <c r="D3011" s="93"/>
      <c r="E3011" s="116" t="str">
        <f t="shared" si="143"/>
        <v>-</v>
      </c>
      <c r="F3011" s="90"/>
      <c r="G3011" s="85" t="s">
        <v>19</v>
      </c>
      <c r="H3011" s="85"/>
      <c r="I3011" s="90"/>
      <c r="J3011" s="89"/>
      <c r="K3011" s="88">
        <f t="shared" si="144"/>
        <v>0</v>
      </c>
      <c r="L3011" s="90"/>
    </row>
    <row r="3012" spans="1:12" x14ac:dyDescent="0.25">
      <c r="A3012" s="84" t="str">
        <f t="shared" si="142"/>
        <v>SelecioneSelecioneSelecione</v>
      </c>
      <c r="B3012" s="85" t="s">
        <v>19</v>
      </c>
      <c r="C3012" s="85" t="s">
        <v>19</v>
      </c>
      <c r="D3012" s="86"/>
      <c r="E3012" s="116" t="str">
        <f t="shared" si="143"/>
        <v>-</v>
      </c>
      <c r="F3012" s="85"/>
      <c r="G3012" s="85" t="s">
        <v>19</v>
      </c>
      <c r="H3012" s="85"/>
      <c r="I3012" s="85"/>
      <c r="J3012" s="87"/>
      <c r="K3012" s="88">
        <f t="shared" si="144"/>
        <v>0</v>
      </c>
      <c r="L3012" s="85"/>
    </row>
    <row r="3013" spans="1:12" x14ac:dyDescent="0.25">
      <c r="A3013" s="84" t="str">
        <f t="shared" si="142"/>
        <v>SelecioneSelecioneSelecione</v>
      </c>
      <c r="B3013" s="85" t="s">
        <v>19</v>
      </c>
      <c r="C3013" s="85" t="s">
        <v>19</v>
      </c>
      <c r="D3013" s="86"/>
      <c r="E3013" s="116" t="str">
        <f t="shared" si="143"/>
        <v>-</v>
      </c>
      <c r="F3013" s="85"/>
      <c r="G3013" s="85" t="s">
        <v>19</v>
      </c>
      <c r="H3013" s="85"/>
      <c r="I3013" s="85"/>
      <c r="J3013" s="87"/>
      <c r="K3013" s="88">
        <f t="shared" si="144"/>
        <v>0</v>
      </c>
      <c r="L3013" s="85"/>
    </row>
    <row r="3014" spans="1:12" x14ac:dyDescent="0.25">
      <c r="A3014" s="84" t="str">
        <f t="shared" si="142"/>
        <v>SelecioneSelecioneSelecione</v>
      </c>
      <c r="B3014" s="85" t="s">
        <v>19</v>
      </c>
      <c r="C3014" s="85" t="s">
        <v>19</v>
      </c>
      <c r="D3014" s="93"/>
      <c r="E3014" s="116" t="str">
        <f t="shared" si="143"/>
        <v>-</v>
      </c>
      <c r="F3014" s="90"/>
      <c r="G3014" s="85" t="s">
        <v>19</v>
      </c>
      <c r="H3014" s="85"/>
      <c r="I3014" s="90"/>
      <c r="J3014" s="89"/>
      <c r="K3014" s="88">
        <f t="shared" si="144"/>
        <v>0</v>
      </c>
      <c r="L3014" s="90"/>
    </row>
    <row r="3015" spans="1:12" x14ac:dyDescent="0.25">
      <c r="A3015" s="84" t="str">
        <f t="shared" si="142"/>
        <v>SelecioneSelecioneSelecione</v>
      </c>
      <c r="B3015" s="85" t="s">
        <v>19</v>
      </c>
      <c r="C3015" s="85" t="s">
        <v>19</v>
      </c>
      <c r="D3015" s="86"/>
      <c r="E3015" s="116" t="str">
        <f t="shared" si="143"/>
        <v>-</v>
      </c>
      <c r="F3015" s="85"/>
      <c r="G3015" s="85" t="s">
        <v>19</v>
      </c>
      <c r="H3015" s="85"/>
      <c r="I3015" s="85"/>
      <c r="J3015" s="87"/>
      <c r="K3015" s="88">
        <f t="shared" si="144"/>
        <v>0</v>
      </c>
      <c r="L3015" s="85"/>
    </row>
    <row r="3016" spans="1:12" x14ac:dyDescent="0.25">
      <c r="A3016" s="84" t="str">
        <f t="shared" si="142"/>
        <v>SelecioneSelecioneSelecione</v>
      </c>
      <c r="B3016" s="85" t="s">
        <v>19</v>
      </c>
      <c r="C3016" s="85" t="s">
        <v>19</v>
      </c>
      <c r="D3016" s="86"/>
      <c r="E3016" s="116" t="str">
        <f t="shared" si="143"/>
        <v>-</v>
      </c>
      <c r="F3016" s="85"/>
      <c r="G3016" s="85" t="s">
        <v>19</v>
      </c>
      <c r="H3016" s="85"/>
      <c r="I3016" s="85"/>
      <c r="J3016" s="87"/>
      <c r="K3016" s="88">
        <f t="shared" si="144"/>
        <v>0</v>
      </c>
      <c r="L3016" s="85"/>
    </row>
    <row r="3017" spans="1:12" x14ac:dyDescent="0.25">
      <c r="A3017" s="84" t="str">
        <f t="shared" si="142"/>
        <v>SelecioneSelecioneSelecione</v>
      </c>
      <c r="B3017" s="85" t="s">
        <v>19</v>
      </c>
      <c r="C3017" s="85" t="s">
        <v>19</v>
      </c>
      <c r="D3017" s="86"/>
      <c r="E3017" s="116" t="str">
        <f t="shared" si="143"/>
        <v>-</v>
      </c>
      <c r="F3017" s="85"/>
      <c r="G3017" s="85" t="s">
        <v>19</v>
      </c>
      <c r="H3017" s="85"/>
      <c r="I3017" s="85"/>
      <c r="J3017" s="87"/>
      <c r="K3017" s="88">
        <f t="shared" si="144"/>
        <v>0</v>
      </c>
      <c r="L3017" s="85"/>
    </row>
    <row r="3018" spans="1:12" x14ac:dyDescent="0.25">
      <c r="A3018" s="84" t="str">
        <f t="shared" si="142"/>
        <v>SelecioneSelecioneSelecione</v>
      </c>
      <c r="B3018" s="85" t="s">
        <v>19</v>
      </c>
      <c r="C3018" s="85" t="s">
        <v>19</v>
      </c>
      <c r="D3018" s="86"/>
      <c r="E3018" s="116" t="str">
        <f t="shared" si="143"/>
        <v>-</v>
      </c>
      <c r="F3018" s="85"/>
      <c r="G3018" s="85" t="s">
        <v>19</v>
      </c>
      <c r="H3018" s="85"/>
      <c r="I3018" s="85"/>
      <c r="J3018" s="87"/>
      <c r="K3018" s="88">
        <f t="shared" si="144"/>
        <v>0</v>
      </c>
      <c r="L3018" s="85"/>
    </row>
    <row r="3019" spans="1:12" x14ac:dyDescent="0.25">
      <c r="A3019" s="84" t="str">
        <f t="shared" si="142"/>
        <v>SelecioneSelecioneSelecione</v>
      </c>
      <c r="B3019" s="85" t="s">
        <v>19</v>
      </c>
      <c r="C3019" s="85" t="s">
        <v>19</v>
      </c>
      <c r="D3019" s="86"/>
      <c r="E3019" s="116" t="str">
        <f t="shared" si="143"/>
        <v>-</v>
      </c>
      <c r="F3019" s="85"/>
      <c r="G3019" s="85" t="s">
        <v>19</v>
      </c>
      <c r="H3019" s="85"/>
      <c r="I3019" s="85"/>
      <c r="J3019" s="87"/>
      <c r="K3019" s="88">
        <f t="shared" si="144"/>
        <v>0</v>
      </c>
      <c r="L3019" s="85"/>
    </row>
    <row r="3020" spans="1:12" x14ac:dyDescent="0.25">
      <c r="A3020" s="84" t="str">
        <f t="shared" si="142"/>
        <v>SelecioneSelecioneSelecione</v>
      </c>
      <c r="B3020" s="85" t="s">
        <v>19</v>
      </c>
      <c r="C3020" s="85" t="s">
        <v>19</v>
      </c>
      <c r="D3020" s="86"/>
      <c r="E3020" s="116" t="str">
        <f t="shared" si="143"/>
        <v>-</v>
      </c>
      <c r="F3020" s="85"/>
      <c r="G3020" s="85" t="s">
        <v>19</v>
      </c>
      <c r="H3020" s="85"/>
      <c r="I3020" s="85"/>
      <c r="J3020" s="87"/>
      <c r="K3020" s="88">
        <f t="shared" si="144"/>
        <v>0</v>
      </c>
      <c r="L3020" s="85"/>
    </row>
    <row r="3021" spans="1:12" x14ac:dyDescent="0.25">
      <c r="A3021" s="84" t="str">
        <f t="shared" si="142"/>
        <v>SelecioneSelecioneSelecione</v>
      </c>
      <c r="B3021" s="85" t="s">
        <v>19</v>
      </c>
      <c r="C3021" s="85" t="s">
        <v>19</v>
      </c>
      <c r="D3021" s="86"/>
      <c r="E3021" s="116" t="str">
        <f t="shared" si="143"/>
        <v>-</v>
      </c>
      <c r="F3021" s="85"/>
      <c r="G3021" s="85" t="s">
        <v>19</v>
      </c>
      <c r="H3021" s="85"/>
      <c r="I3021" s="85"/>
      <c r="J3021" s="87"/>
      <c r="K3021" s="88">
        <f t="shared" si="144"/>
        <v>0</v>
      </c>
      <c r="L3021" s="85"/>
    </row>
    <row r="3022" spans="1:12" x14ac:dyDescent="0.25">
      <c r="A3022" s="84" t="str">
        <f t="shared" si="142"/>
        <v>SelecioneSelecioneSelecione</v>
      </c>
      <c r="B3022" s="85" t="s">
        <v>19</v>
      </c>
      <c r="C3022" s="85" t="s">
        <v>19</v>
      </c>
      <c r="D3022" s="86"/>
      <c r="E3022" s="116" t="str">
        <f t="shared" si="143"/>
        <v>-</v>
      </c>
      <c r="F3022" s="85"/>
      <c r="G3022" s="85" t="s">
        <v>19</v>
      </c>
      <c r="H3022" s="85"/>
      <c r="I3022" s="85"/>
      <c r="J3022" s="87"/>
      <c r="K3022" s="88">
        <f t="shared" si="144"/>
        <v>0</v>
      </c>
      <c r="L3022" s="85"/>
    </row>
    <row r="3023" spans="1:12" x14ac:dyDescent="0.25">
      <c r="A3023" s="84" t="str">
        <f t="shared" si="142"/>
        <v>SelecioneSelecioneSelecione</v>
      </c>
      <c r="B3023" s="85" t="s">
        <v>19</v>
      </c>
      <c r="C3023" s="85" t="s">
        <v>19</v>
      </c>
      <c r="D3023" s="86"/>
      <c r="E3023" s="116" t="str">
        <f t="shared" si="143"/>
        <v>-</v>
      </c>
      <c r="F3023" s="85"/>
      <c r="G3023" s="85" t="s">
        <v>19</v>
      </c>
      <c r="H3023" s="85"/>
      <c r="I3023" s="85"/>
      <c r="J3023" s="87"/>
      <c r="K3023" s="88">
        <f t="shared" si="144"/>
        <v>0</v>
      </c>
      <c r="L3023" s="85"/>
    </row>
    <row r="3024" spans="1:12" x14ac:dyDescent="0.25">
      <c r="A3024" s="84" t="str">
        <f t="shared" si="142"/>
        <v>SelecioneSelecioneSelecione</v>
      </c>
      <c r="B3024" s="85" t="s">
        <v>19</v>
      </c>
      <c r="C3024" s="85" t="s">
        <v>19</v>
      </c>
      <c r="D3024" s="86"/>
      <c r="E3024" s="116" t="str">
        <f t="shared" si="143"/>
        <v>-</v>
      </c>
      <c r="F3024" s="85"/>
      <c r="G3024" s="85" t="s">
        <v>19</v>
      </c>
      <c r="H3024" s="85"/>
      <c r="I3024" s="85"/>
      <c r="J3024" s="87"/>
      <c r="K3024" s="88">
        <f t="shared" si="144"/>
        <v>0</v>
      </c>
      <c r="L3024" s="85"/>
    </row>
    <row r="3025" spans="1:12" x14ac:dyDescent="0.25">
      <c r="A3025" s="84" t="str">
        <f t="shared" si="142"/>
        <v>SelecioneSelecioneSelecione</v>
      </c>
      <c r="B3025" s="85" t="s">
        <v>19</v>
      </c>
      <c r="C3025" s="85" t="s">
        <v>19</v>
      </c>
      <c r="D3025" s="93"/>
      <c r="E3025" s="116" t="str">
        <f t="shared" si="143"/>
        <v>-</v>
      </c>
      <c r="F3025" s="90"/>
      <c r="G3025" s="85" t="s">
        <v>19</v>
      </c>
      <c r="H3025" s="85"/>
      <c r="I3025" s="90"/>
      <c r="J3025" s="89"/>
      <c r="K3025" s="88">
        <f t="shared" si="144"/>
        <v>0</v>
      </c>
      <c r="L3025" s="90"/>
    </row>
    <row r="3026" spans="1:12" x14ac:dyDescent="0.25">
      <c r="A3026" s="84" t="str">
        <f t="shared" si="142"/>
        <v>SelecioneSelecioneSelecione</v>
      </c>
      <c r="B3026" s="85" t="s">
        <v>19</v>
      </c>
      <c r="C3026" s="85" t="s">
        <v>19</v>
      </c>
      <c r="D3026" s="93"/>
      <c r="E3026" s="116" t="str">
        <f t="shared" si="143"/>
        <v>-</v>
      </c>
      <c r="F3026" s="90"/>
      <c r="G3026" s="85" t="s">
        <v>19</v>
      </c>
      <c r="H3026" s="85"/>
      <c r="I3026" s="90"/>
      <c r="J3026" s="89"/>
      <c r="K3026" s="88">
        <f t="shared" si="144"/>
        <v>0</v>
      </c>
      <c r="L3026" s="90"/>
    </row>
    <row r="3027" spans="1:12" x14ac:dyDescent="0.25">
      <c r="A3027" s="84" t="str">
        <f t="shared" si="142"/>
        <v>SelecioneSelecioneSelecione</v>
      </c>
      <c r="B3027" s="85" t="s">
        <v>19</v>
      </c>
      <c r="C3027" s="85" t="s">
        <v>19</v>
      </c>
      <c r="D3027" s="93"/>
      <c r="E3027" s="116" t="str">
        <f t="shared" si="143"/>
        <v>-</v>
      </c>
      <c r="F3027" s="90"/>
      <c r="G3027" s="85" t="s">
        <v>19</v>
      </c>
      <c r="H3027" s="85"/>
      <c r="I3027" s="90"/>
      <c r="J3027" s="89"/>
      <c r="K3027" s="88">
        <f t="shared" si="144"/>
        <v>0</v>
      </c>
      <c r="L3027" s="90"/>
    </row>
    <row r="3028" spans="1:12" x14ac:dyDescent="0.25">
      <c r="A3028" s="84" t="str">
        <f t="shared" si="142"/>
        <v>SelecioneSelecioneSelecione</v>
      </c>
      <c r="B3028" s="85" t="s">
        <v>19</v>
      </c>
      <c r="C3028" s="85" t="s">
        <v>19</v>
      </c>
      <c r="D3028" s="93"/>
      <c r="E3028" s="116" t="str">
        <f t="shared" si="143"/>
        <v>-</v>
      </c>
      <c r="F3028" s="90"/>
      <c r="G3028" s="85" t="s">
        <v>19</v>
      </c>
      <c r="H3028" s="85"/>
      <c r="I3028" s="90"/>
      <c r="J3028" s="89"/>
      <c r="K3028" s="88">
        <f t="shared" si="144"/>
        <v>0</v>
      </c>
      <c r="L3028" s="90"/>
    </row>
    <row r="3029" spans="1:12" x14ac:dyDescent="0.25">
      <c r="A3029" s="84" t="str">
        <f t="shared" si="142"/>
        <v>SelecioneSelecioneSelecione</v>
      </c>
      <c r="B3029" s="85" t="s">
        <v>19</v>
      </c>
      <c r="C3029" s="85" t="s">
        <v>19</v>
      </c>
      <c r="D3029" s="93"/>
      <c r="E3029" s="116" t="str">
        <f t="shared" si="143"/>
        <v>-</v>
      </c>
      <c r="F3029" s="90"/>
      <c r="G3029" s="85" t="s">
        <v>19</v>
      </c>
      <c r="H3029" s="85"/>
      <c r="I3029" s="90"/>
      <c r="J3029" s="89"/>
      <c r="K3029" s="88">
        <f t="shared" si="144"/>
        <v>0</v>
      </c>
      <c r="L3029" s="90"/>
    </row>
    <row r="3030" spans="1:12" x14ac:dyDescent="0.25">
      <c r="A3030" s="84" t="str">
        <f t="shared" si="142"/>
        <v>SelecioneSelecioneSelecione</v>
      </c>
      <c r="B3030" s="85" t="s">
        <v>19</v>
      </c>
      <c r="C3030" s="85" t="s">
        <v>19</v>
      </c>
      <c r="D3030" s="86"/>
      <c r="E3030" s="116" t="str">
        <f t="shared" si="143"/>
        <v>-</v>
      </c>
      <c r="F3030" s="85"/>
      <c r="G3030" s="85" t="s">
        <v>19</v>
      </c>
      <c r="H3030" s="85"/>
      <c r="I3030" s="85"/>
      <c r="J3030" s="87"/>
      <c r="K3030" s="88">
        <f t="shared" si="144"/>
        <v>0</v>
      </c>
      <c r="L3030" s="85"/>
    </row>
    <row r="3031" spans="1:12" x14ac:dyDescent="0.25">
      <c r="A3031" s="84" t="str">
        <f t="shared" si="142"/>
        <v>SelecioneSelecioneSelecione</v>
      </c>
      <c r="B3031" s="85" t="s">
        <v>19</v>
      </c>
      <c r="C3031" s="85" t="s">
        <v>19</v>
      </c>
      <c r="D3031" s="86"/>
      <c r="E3031" s="116" t="str">
        <f t="shared" si="143"/>
        <v>-</v>
      </c>
      <c r="F3031" s="85"/>
      <c r="G3031" s="85" t="s">
        <v>19</v>
      </c>
      <c r="H3031" s="85"/>
      <c r="I3031" s="85"/>
      <c r="J3031" s="87"/>
      <c r="K3031" s="88">
        <f t="shared" si="144"/>
        <v>0</v>
      </c>
      <c r="L3031" s="85"/>
    </row>
    <row r="3032" spans="1:12" x14ac:dyDescent="0.25">
      <c r="A3032" s="84" t="str">
        <f t="shared" si="142"/>
        <v>SelecioneSelecioneSelecione</v>
      </c>
      <c r="B3032" s="85" t="s">
        <v>19</v>
      </c>
      <c r="C3032" s="85" t="s">
        <v>19</v>
      </c>
      <c r="D3032" s="86"/>
      <c r="E3032" s="116" t="str">
        <f t="shared" si="143"/>
        <v>-</v>
      </c>
      <c r="F3032" s="85"/>
      <c r="G3032" s="85" t="s">
        <v>19</v>
      </c>
      <c r="H3032" s="85"/>
      <c r="I3032" s="85"/>
      <c r="J3032" s="87"/>
      <c r="K3032" s="88">
        <f t="shared" si="144"/>
        <v>0</v>
      </c>
      <c r="L3032" s="85"/>
    </row>
    <row r="3033" spans="1:12" x14ac:dyDescent="0.25">
      <c r="A3033" s="84" t="str">
        <f t="shared" si="142"/>
        <v>SelecioneSelecioneSelecione</v>
      </c>
      <c r="B3033" s="85" t="s">
        <v>19</v>
      </c>
      <c r="C3033" s="85" t="s">
        <v>19</v>
      </c>
      <c r="D3033" s="86"/>
      <c r="E3033" s="116" t="str">
        <f t="shared" si="143"/>
        <v>-</v>
      </c>
      <c r="F3033" s="85"/>
      <c r="G3033" s="85" t="s">
        <v>19</v>
      </c>
      <c r="H3033" s="85"/>
      <c r="I3033" s="85"/>
      <c r="J3033" s="87"/>
      <c r="K3033" s="88">
        <f t="shared" si="144"/>
        <v>0</v>
      </c>
      <c r="L3033" s="85"/>
    </row>
    <row r="3034" spans="1:12" x14ac:dyDescent="0.25">
      <c r="A3034" s="84" t="str">
        <f t="shared" si="142"/>
        <v>SelecioneSelecioneSelecione</v>
      </c>
      <c r="B3034" s="85" t="s">
        <v>19</v>
      </c>
      <c r="C3034" s="85" t="s">
        <v>19</v>
      </c>
      <c r="D3034" s="86"/>
      <c r="E3034" s="116" t="str">
        <f t="shared" si="143"/>
        <v>-</v>
      </c>
      <c r="F3034" s="85"/>
      <c r="G3034" s="85" t="s">
        <v>19</v>
      </c>
      <c r="H3034" s="85"/>
      <c r="I3034" s="85"/>
      <c r="J3034" s="87"/>
      <c r="K3034" s="88">
        <f t="shared" si="144"/>
        <v>0</v>
      </c>
      <c r="L3034" s="85"/>
    </row>
    <row r="3035" spans="1:12" x14ac:dyDescent="0.25">
      <c r="A3035" s="84" t="str">
        <f t="shared" si="142"/>
        <v>SelecioneSelecioneSelecione</v>
      </c>
      <c r="B3035" s="85" t="s">
        <v>19</v>
      </c>
      <c r="C3035" s="85" t="s">
        <v>19</v>
      </c>
      <c r="D3035" s="86"/>
      <c r="E3035" s="116" t="str">
        <f t="shared" si="143"/>
        <v>-</v>
      </c>
      <c r="F3035" s="85"/>
      <c r="G3035" s="85" t="s">
        <v>19</v>
      </c>
      <c r="H3035" s="85"/>
      <c r="I3035" s="85"/>
      <c r="J3035" s="87"/>
      <c r="K3035" s="88">
        <f t="shared" si="144"/>
        <v>0</v>
      </c>
      <c r="L3035" s="85"/>
    </row>
    <row r="3036" spans="1:12" x14ac:dyDescent="0.25">
      <c r="A3036" s="84" t="str">
        <f t="shared" si="142"/>
        <v>SelecioneSelecioneSelecione</v>
      </c>
      <c r="B3036" s="85" t="s">
        <v>19</v>
      </c>
      <c r="C3036" s="85" t="s">
        <v>19</v>
      </c>
      <c r="D3036" s="93"/>
      <c r="E3036" s="116" t="str">
        <f t="shared" si="143"/>
        <v>-</v>
      </c>
      <c r="F3036" s="90"/>
      <c r="G3036" s="85" t="s">
        <v>19</v>
      </c>
      <c r="H3036" s="85"/>
      <c r="I3036" s="90"/>
      <c r="J3036" s="89"/>
      <c r="K3036" s="88">
        <f t="shared" si="144"/>
        <v>0</v>
      </c>
      <c r="L3036" s="90"/>
    </row>
    <row r="3037" spans="1:12" x14ac:dyDescent="0.25">
      <c r="A3037" s="84" t="str">
        <f t="shared" si="142"/>
        <v>SelecioneSelecioneSelecione</v>
      </c>
      <c r="B3037" s="85" t="s">
        <v>19</v>
      </c>
      <c r="C3037" s="85" t="s">
        <v>19</v>
      </c>
      <c r="D3037" s="86"/>
      <c r="E3037" s="116" t="str">
        <f t="shared" si="143"/>
        <v>-</v>
      </c>
      <c r="F3037" s="85"/>
      <c r="G3037" s="85" t="s">
        <v>19</v>
      </c>
      <c r="H3037" s="85"/>
      <c r="I3037" s="85"/>
      <c r="J3037" s="87"/>
      <c r="K3037" s="88">
        <f t="shared" si="144"/>
        <v>0</v>
      </c>
      <c r="L3037" s="85"/>
    </row>
    <row r="3038" spans="1:12" x14ac:dyDescent="0.25">
      <c r="A3038" s="84" t="str">
        <f t="shared" si="142"/>
        <v>SelecioneSelecioneSelecione</v>
      </c>
      <c r="B3038" s="85" t="s">
        <v>19</v>
      </c>
      <c r="C3038" s="85" t="s">
        <v>19</v>
      </c>
      <c r="D3038" s="86"/>
      <c r="E3038" s="116" t="str">
        <f t="shared" si="143"/>
        <v>-</v>
      </c>
      <c r="F3038" s="85"/>
      <c r="G3038" s="85" t="s">
        <v>19</v>
      </c>
      <c r="H3038" s="85"/>
      <c r="I3038" s="85"/>
      <c r="J3038" s="87"/>
      <c r="K3038" s="88">
        <f t="shared" si="144"/>
        <v>0</v>
      </c>
      <c r="L3038" s="85"/>
    </row>
    <row r="3039" spans="1:12" x14ac:dyDescent="0.25">
      <c r="A3039" s="84" t="str">
        <f t="shared" si="142"/>
        <v>SelecioneSelecioneSelecione</v>
      </c>
      <c r="B3039" s="85" t="s">
        <v>19</v>
      </c>
      <c r="C3039" s="85" t="s">
        <v>19</v>
      </c>
      <c r="D3039" s="86"/>
      <c r="E3039" s="116" t="str">
        <f t="shared" si="143"/>
        <v>-</v>
      </c>
      <c r="F3039" s="85"/>
      <c r="G3039" s="85" t="s">
        <v>19</v>
      </c>
      <c r="H3039" s="85"/>
      <c r="I3039" s="85"/>
      <c r="J3039" s="87"/>
      <c r="K3039" s="88">
        <f t="shared" si="144"/>
        <v>0</v>
      </c>
      <c r="L3039" s="85"/>
    </row>
    <row r="3040" spans="1:12" x14ac:dyDescent="0.25">
      <c r="A3040" s="84" t="str">
        <f t="shared" si="142"/>
        <v>SelecioneSelecioneSelecione</v>
      </c>
      <c r="B3040" s="85" t="s">
        <v>19</v>
      </c>
      <c r="C3040" s="85" t="s">
        <v>19</v>
      </c>
      <c r="D3040" s="86"/>
      <c r="E3040" s="116" t="str">
        <f t="shared" si="143"/>
        <v>-</v>
      </c>
      <c r="F3040" s="85"/>
      <c r="G3040" s="85" t="s">
        <v>19</v>
      </c>
      <c r="H3040" s="85"/>
      <c r="I3040" s="85"/>
      <c r="J3040" s="87"/>
      <c r="K3040" s="88">
        <f t="shared" si="144"/>
        <v>0</v>
      </c>
      <c r="L3040" s="85"/>
    </row>
    <row r="3041" spans="1:12" x14ac:dyDescent="0.25">
      <c r="A3041" s="84" t="str">
        <f t="shared" si="142"/>
        <v>SelecioneSelecioneSelecione</v>
      </c>
      <c r="B3041" s="85" t="s">
        <v>19</v>
      </c>
      <c r="C3041" s="85" t="s">
        <v>19</v>
      </c>
      <c r="D3041" s="86"/>
      <c r="E3041" s="116" t="str">
        <f t="shared" si="143"/>
        <v>-</v>
      </c>
      <c r="F3041" s="85"/>
      <c r="G3041" s="85" t="s">
        <v>19</v>
      </c>
      <c r="H3041" s="85"/>
      <c r="I3041" s="85"/>
      <c r="J3041" s="87"/>
      <c r="K3041" s="88">
        <f t="shared" si="144"/>
        <v>0</v>
      </c>
      <c r="L3041" s="85"/>
    </row>
    <row r="3042" spans="1:12" x14ac:dyDescent="0.25">
      <c r="A3042" s="84" t="str">
        <f t="shared" si="142"/>
        <v>SelecioneSelecioneSelecione</v>
      </c>
      <c r="B3042" s="85" t="s">
        <v>19</v>
      </c>
      <c r="C3042" s="85" t="s">
        <v>19</v>
      </c>
      <c r="D3042" s="93"/>
      <c r="E3042" s="116" t="str">
        <f t="shared" si="143"/>
        <v>-</v>
      </c>
      <c r="F3042" s="90"/>
      <c r="G3042" s="85" t="s">
        <v>19</v>
      </c>
      <c r="H3042" s="85"/>
      <c r="I3042" s="90"/>
      <c r="J3042" s="89"/>
      <c r="K3042" s="88">
        <f t="shared" si="144"/>
        <v>0</v>
      </c>
      <c r="L3042" s="90"/>
    </row>
    <row r="3043" spans="1:12" x14ac:dyDescent="0.25">
      <c r="A3043" s="84" t="str">
        <f t="shared" si="142"/>
        <v>SelecioneSelecioneSelecione</v>
      </c>
      <c r="B3043" s="85" t="s">
        <v>19</v>
      </c>
      <c r="C3043" s="85" t="s">
        <v>19</v>
      </c>
      <c r="D3043" s="93"/>
      <c r="E3043" s="116" t="str">
        <f t="shared" si="143"/>
        <v>-</v>
      </c>
      <c r="F3043" s="90"/>
      <c r="G3043" s="85" t="s">
        <v>19</v>
      </c>
      <c r="H3043" s="85"/>
      <c r="I3043" s="90"/>
      <c r="J3043" s="89"/>
      <c r="K3043" s="88">
        <f t="shared" si="144"/>
        <v>0</v>
      </c>
      <c r="L3043" s="90"/>
    </row>
    <row r="3044" spans="1:12" x14ac:dyDescent="0.25">
      <c r="A3044" s="84" t="str">
        <f t="shared" si="142"/>
        <v>SelecioneSelecioneSelecione</v>
      </c>
      <c r="B3044" s="85" t="s">
        <v>19</v>
      </c>
      <c r="C3044" s="85" t="s">
        <v>19</v>
      </c>
      <c r="D3044" s="93"/>
      <c r="E3044" s="116" t="str">
        <f t="shared" si="143"/>
        <v>-</v>
      </c>
      <c r="F3044" s="90"/>
      <c r="G3044" s="85" t="s">
        <v>19</v>
      </c>
      <c r="H3044" s="85"/>
      <c r="I3044" s="90"/>
      <c r="J3044" s="89"/>
      <c r="K3044" s="88">
        <f t="shared" si="144"/>
        <v>0</v>
      </c>
      <c r="L3044" s="90"/>
    </row>
    <row r="3045" spans="1:12" x14ac:dyDescent="0.25">
      <c r="A3045" s="84" t="str">
        <f t="shared" si="142"/>
        <v>SelecioneSelecioneSelecione</v>
      </c>
      <c r="B3045" s="85" t="s">
        <v>19</v>
      </c>
      <c r="C3045" s="85" t="s">
        <v>19</v>
      </c>
      <c r="D3045" s="93"/>
      <c r="E3045" s="116" t="str">
        <f t="shared" si="143"/>
        <v>-</v>
      </c>
      <c r="F3045" s="90"/>
      <c r="G3045" s="85" t="s">
        <v>19</v>
      </c>
      <c r="H3045" s="85"/>
      <c r="I3045" s="90"/>
      <c r="J3045" s="89"/>
      <c r="K3045" s="88">
        <f t="shared" si="144"/>
        <v>0</v>
      </c>
      <c r="L3045" s="90"/>
    </row>
    <row r="3046" spans="1:12" x14ac:dyDescent="0.25">
      <c r="A3046" s="84" t="str">
        <f t="shared" si="142"/>
        <v>SelecioneSelecioneSelecione</v>
      </c>
      <c r="B3046" s="85" t="s">
        <v>19</v>
      </c>
      <c r="C3046" s="85" t="s">
        <v>19</v>
      </c>
      <c r="D3046" s="93"/>
      <c r="E3046" s="116" t="str">
        <f t="shared" si="143"/>
        <v>-</v>
      </c>
      <c r="F3046" s="90"/>
      <c r="G3046" s="85" t="s">
        <v>19</v>
      </c>
      <c r="H3046" s="85"/>
      <c r="I3046" s="90"/>
      <c r="J3046" s="89"/>
      <c r="K3046" s="88">
        <f t="shared" si="144"/>
        <v>0</v>
      </c>
      <c r="L3046" s="90"/>
    </row>
    <row r="3047" spans="1:12" x14ac:dyDescent="0.25">
      <c r="A3047" s="84" t="str">
        <f t="shared" si="142"/>
        <v>SelecioneSelecioneSelecione</v>
      </c>
      <c r="B3047" s="85" t="s">
        <v>19</v>
      </c>
      <c r="C3047" s="85" t="s">
        <v>19</v>
      </c>
      <c r="D3047" s="86"/>
      <c r="E3047" s="116" t="str">
        <f t="shared" si="143"/>
        <v>-</v>
      </c>
      <c r="F3047" s="85"/>
      <c r="G3047" s="85" t="s">
        <v>19</v>
      </c>
      <c r="H3047" s="85"/>
      <c r="I3047" s="85"/>
      <c r="J3047" s="87"/>
      <c r="K3047" s="88">
        <f t="shared" si="144"/>
        <v>0</v>
      </c>
      <c r="L3047" s="85"/>
    </row>
    <row r="3048" spans="1:12" x14ac:dyDescent="0.25">
      <c r="A3048" s="84" t="str">
        <f t="shared" si="142"/>
        <v>SelecioneSelecioneSelecione</v>
      </c>
      <c r="B3048" s="85" t="s">
        <v>19</v>
      </c>
      <c r="C3048" s="85" t="s">
        <v>19</v>
      </c>
      <c r="D3048" s="86"/>
      <c r="E3048" s="116" t="str">
        <f t="shared" si="143"/>
        <v>-</v>
      </c>
      <c r="F3048" s="85"/>
      <c r="G3048" s="85" t="s">
        <v>19</v>
      </c>
      <c r="H3048" s="85"/>
      <c r="I3048" s="85"/>
      <c r="J3048" s="87"/>
      <c r="K3048" s="88">
        <f t="shared" si="144"/>
        <v>0</v>
      </c>
      <c r="L3048" s="85"/>
    </row>
    <row r="3049" spans="1:12" x14ac:dyDescent="0.25">
      <c r="A3049" s="84" t="str">
        <f t="shared" si="142"/>
        <v>SelecioneSelecioneSelecione</v>
      </c>
      <c r="B3049" s="85" t="s">
        <v>19</v>
      </c>
      <c r="C3049" s="85" t="s">
        <v>19</v>
      </c>
      <c r="D3049" s="86"/>
      <c r="E3049" s="116" t="str">
        <f t="shared" si="143"/>
        <v>-</v>
      </c>
      <c r="F3049" s="85"/>
      <c r="G3049" s="85" t="s">
        <v>19</v>
      </c>
      <c r="H3049" s="85"/>
      <c r="I3049" s="85"/>
      <c r="J3049" s="87"/>
      <c r="K3049" s="88">
        <f t="shared" si="144"/>
        <v>0</v>
      </c>
      <c r="L3049" s="85"/>
    </row>
    <row r="3050" spans="1:12" x14ac:dyDescent="0.25">
      <c r="A3050" s="84" t="str">
        <f t="shared" si="142"/>
        <v>SelecioneSelecioneSelecione</v>
      </c>
      <c r="B3050" s="85" t="s">
        <v>19</v>
      </c>
      <c r="C3050" s="85" t="s">
        <v>19</v>
      </c>
      <c r="D3050" s="93"/>
      <c r="E3050" s="116" t="str">
        <f t="shared" si="143"/>
        <v>-</v>
      </c>
      <c r="F3050" s="85"/>
      <c r="G3050" s="85" t="s">
        <v>19</v>
      </c>
      <c r="H3050" s="85"/>
      <c r="I3050" s="90"/>
      <c r="J3050" s="89"/>
      <c r="K3050" s="88">
        <f t="shared" si="144"/>
        <v>0</v>
      </c>
      <c r="L3050" s="90"/>
    </row>
    <row r="3051" spans="1:12" x14ac:dyDescent="0.25">
      <c r="A3051" s="84" t="str">
        <f t="shared" si="142"/>
        <v>SelecioneSelecioneSelecione</v>
      </c>
      <c r="B3051" s="85" t="s">
        <v>19</v>
      </c>
      <c r="C3051" s="85" t="s">
        <v>19</v>
      </c>
      <c r="D3051" s="86"/>
      <c r="E3051" s="116" t="str">
        <f t="shared" si="143"/>
        <v>-</v>
      </c>
      <c r="F3051" s="85"/>
      <c r="G3051" s="85" t="s">
        <v>19</v>
      </c>
      <c r="H3051" s="85"/>
      <c r="I3051" s="85"/>
      <c r="J3051" s="87"/>
      <c r="K3051" s="88">
        <f t="shared" si="144"/>
        <v>0</v>
      </c>
      <c r="L3051" s="85"/>
    </row>
    <row r="3052" spans="1:12" x14ac:dyDescent="0.25">
      <c r="A3052" s="84" t="str">
        <f t="shared" si="142"/>
        <v>SelecioneSelecioneSelecione</v>
      </c>
      <c r="B3052" s="85" t="s">
        <v>19</v>
      </c>
      <c r="C3052" s="85" t="s">
        <v>19</v>
      </c>
      <c r="D3052" s="86"/>
      <c r="E3052" s="116" t="str">
        <f t="shared" si="143"/>
        <v>-</v>
      </c>
      <c r="F3052" s="85"/>
      <c r="G3052" s="85" t="s">
        <v>19</v>
      </c>
      <c r="H3052" s="85"/>
      <c r="I3052" s="85"/>
      <c r="J3052" s="87"/>
      <c r="K3052" s="88">
        <f t="shared" si="144"/>
        <v>0</v>
      </c>
      <c r="L3052" s="85"/>
    </row>
    <row r="3053" spans="1:12" x14ac:dyDescent="0.25">
      <c r="A3053" s="84" t="str">
        <f t="shared" si="142"/>
        <v>SelecioneSelecioneSelecione</v>
      </c>
      <c r="B3053" s="85" t="s">
        <v>19</v>
      </c>
      <c r="C3053" s="85" t="s">
        <v>19</v>
      </c>
      <c r="D3053" s="86"/>
      <c r="E3053" s="116" t="str">
        <f t="shared" si="143"/>
        <v>-</v>
      </c>
      <c r="F3053" s="85"/>
      <c r="G3053" s="85" t="s">
        <v>19</v>
      </c>
      <c r="H3053" s="85"/>
      <c r="I3053" s="85"/>
      <c r="J3053" s="87"/>
      <c r="K3053" s="88">
        <f t="shared" si="144"/>
        <v>0</v>
      </c>
      <c r="L3053" s="85"/>
    </row>
    <row r="3054" spans="1:12" x14ac:dyDescent="0.25">
      <c r="A3054" s="84" t="str">
        <f t="shared" si="142"/>
        <v>SelecioneSelecioneSelecione</v>
      </c>
      <c r="B3054" s="85" t="s">
        <v>19</v>
      </c>
      <c r="C3054" s="85" t="s">
        <v>19</v>
      </c>
      <c r="D3054" s="86"/>
      <c r="E3054" s="116" t="str">
        <f t="shared" si="143"/>
        <v>-</v>
      </c>
      <c r="F3054" s="85"/>
      <c r="G3054" s="85" t="s">
        <v>19</v>
      </c>
      <c r="H3054" s="85"/>
      <c r="I3054" s="85"/>
      <c r="J3054" s="87"/>
      <c r="K3054" s="88">
        <f t="shared" si="144"/>
        <v>0</v>
      </c>
      <c r="L3054" s="85"/>
    </row>
    <row r="3055" spans="1:12" x14ac:dyDescent="0.25">
      <c r="A3055" s="84" t="str">
        <f t="shared" si="142"/>
        <v>SelecioneSelecioneSelecione</v>
      </c>
      <c r="B3055" s="85" t="s">
        <v>19</v>
      </c>
      <c r="C3055" s="85" t="s">
        <v>19</v>
      </c>
      <c r="D3055" s="93"/>
      <c r="E3055" s="116" t="str">
        <f t="shared" si="143"/>
        <v>-</v>
      </c>
      <c r="F3055" s="90"/>
      <c r="G3055" s="85" t="s">
        <v>19</v>
      </c>
      <c r="H3055" s="85"/>
      <c r="I3055" s="90"/>
      <c r="J3055" s="89"/>
      <c r="K3055" s="88">
        <f t="shared" si="144"/>
        <v>0</v>
      </c>
      <c r="L3055" s="90"/>
    </row>
    <row r="3056" spans="1:12" x14ac:dyDescent="0.25">
      <c r="A3056" s="84" t="str">
        <f t="shared" si="142"/>
        <v>SelecioneSelecioneSelecione</v>
      </c>
      <c r="B3056" s="85" t="s">
        <v>19</v>
      </c>
      <c r="C3056" s="85" t="s">
        <v>19</v>
      </c>
      <c r="D3056" s="93"/>
      <c r="E3056" s="116" t="str">
        <f t="shared" si="143"/>
        <v>-</v>
      </c>
      <c r="F3056" s="90"/>
      <c r="G3056" s="85" t="s">
        <v>19</v>
      </c>
      <c r="H3056" s="85"/>
      <c r="I3056" s="90"/>
      <c r="J3056" s="89"/>
      <c r="K3056" s="88">
        <f t="shared" si="144"/>
        <v>0</v>
      </c>
      <c r="L3056" s="90"/>
    </row>
    <row r="3057" spans="1:12" x14ac:dyDescent="0.25">
      <c r="A3057" s="84" t="str">
        <f t="shared" si="142"/>
        <v>SelecioneSelecioneSelecione</v>
      </c>
      <c r="B3057" s="85" t="s">
        <v>19</v>
      </c>
      <c r="C3057" s="85" t="s">
        <v>19</v>
      </c>
      <c r="D3057" s="93"/>
      <c r="E3057" s="116" t="str">
        <f t="shared" si="143"/>
        <v>-</v>
      </c>
      <c r="F3057" s="90"/>
      <c r="G3057" s="85" t="s">
        <v>19</v>
      </c>
      <c r="H3057" s="85"/>
      <c r="I3057" s="90"/>
      <c r="J3057" s="89"/>
      <c r="K3057" s="88">
        <f t="shared" si="144"/>
        <v>0</v>
      </c>
      <c r="L3057" s="90"/>
    </row>
    <row r="3058" spans="1:12" x14ac:dyDescent="0.25">
      <c r="A3058" s="84" t="str">
        <f t="shared" si="142"/>
        <v>SelecioneSelecioneSelecione</v>
      </c>
      <c r="B3058" s="85" t="s">
        <v>19</v>
      </c>
      <c r="C3058" s="85" t="s">
        <v>19</v>
      </c>
      <c r="D3058" s="93"/>
      <c r="E3058" s="116" t="str">
        <f t="shared" si="143"/>
        <v>-</v>
      </c>
      <c r="F3058" s="90"/>
      <c r="G3058" s="85" t="s">
        <v>19</v>
      </c>
      <c r="H3058" s="85"/>
      <c r="I3058" s="90"/>
      <c r="J3058" s="89"/>
      <c r="K3058" s="88">
        <f t="shared" si="144"/>
        <v>0</v>
      </c>
      <c r="L3058" s="90"/>
    </row>
    <row r="3059" spans="1:12" x14ac:dyDescent="0.25">
      <c r="A3059" s="84" t="str">
        <f t="shared" si="142"/>
        <v>SelecioneSelecioneSelecione</v>
      </c>
      <c r="B3059" s="85" t="s">
        <v>19</v>
      </c>
      <c r="C3059" s="85" t="s">
        <v>19</v>
      </c>
      <c r="D3059" s="93"/>
      <c r="E3059" s="116" t="str">
        <f t="shared" si="143"/>
        <v>-</v>
      </c>
      <c r="F3059" s="90"/>
      <c r="G3059" s="85" t="s">
        <v>19</v>
      </c>
      <c r="H3059" s="85"/>
      <c r="I3059" s="90"/>
      <c r="J3059" s="89"/>
      <c r="K3059" s="88">
        <f t="shared" si="144"/>
        <v>0</v>
      </c>
      <c r="L3059" s="90"/>
    </row>
    <row r="3060" spans="1:12" x14ac:dyDescent="0.25">
      <c r="A3060" s="84" t="str">
        <f t="shared" si="142"/>
        <v>SelecioneSelecioneSelecione</v>
      </c>
      <c r="B3060" s="85" t="s">
        <v>19</v>
      </c>
      <c r="C3060" s="85" t="s">
        <v>19</v>
      </c>
      <c r="D3060" s="93"/>
      <c r="E3060" s="116" t="str">
        <f t="shared" si="143"/>
        <v>-</v>
      </c>
      <c r="F3060" s="90"/>
      <c r="G3060" s="85" t="s">
        <v>19</v>
      </c>
      <c r="H3060" s="85"/>
      <c r="I3060" s="90"/>
      <c r="J3060" s="89"/>
      <c r="K3060" s="88">
        <f t="shared" si="144"/>
        <v>0</v>
      </c>
      <c r="L3060" s="90"/>
    </row>
    <row r="3061" spans="1:12" x14ac:dyDescent="0.25">
      <c r="A3061" s="84" t="str">
        <f t="shared" si="142"/>
        <v>SelecioneSelecioneSelecione</v>
      </c>
      <c r="B3061" s="85" t="s">
        <v>19</v>
      </c>
      <c r="C3061" s="85" t="s">
        <v>19</v>
      </c>
      <c r="D3061" s="93"/>
      <c r="E3061" s="116" t="str">
        <f t="shared" si="143"/>
        <v>-</v>
      </c>
      <c r="F3061" s="85"/>
      <c r="G3061" s="85" t="s">
        <v>19</v>
      </c>
      <c r="H3061" s="85"/>
      <c r="I3061" s="90"/>
      <c r="J3061" s="89"/>
      <c r="K3061" s="88">
        <f t="shared" si="144"/>
        <v>0</v>
      </c>
      <c r="L3061" s="90"/>
    </row>
    <row r="3062" spans="1:12" x14ac:dyDescent="0.25">
      <c r="A3062" s="84" t="str">
        <f t="shared" si="142"/>
        <v>SelecioneSelecioneSelecione</v>
      </c>
      <c r="B3062" s="85" t="s">
        <v>19</v>
      </c>
      <c r="C3062" s="85" t="s">
        <v>19</v>
      </c>
      <c r="D3062" s="93"/>
      <c r="E3062" s="116" t="str">
        <f t="shared" si="143"/>
        <v>-</v>
      </c>
      <c r="F3062" s="90"/>
      <c r="G3062" s="85" t="s">
        <v>19</v>
      </c>
      <c r="H3062" s="85"/>
      <c r="I3062" s="90"/>
      <c r="J3062" s="89"/>
      <c r="K3062" s="88">
        <f t="shared" si="144"/>
        <v>0</v>
      </c>
      <c r="L3062" s="90"/>
    </row>
    <row r="3063" spans="1:12" x14ac:dyDescent="0.25">
      <c r="A3063" s="84" t="str">
        <f t="shared" si="142"/>
        <v>SelecioneSelecioneSelecione</v>
      </c>
      <c r="B3063" s="85" t="s">
        <v>19</v>
      </c>
      <c r="C3063" s="85" t="s">
        <v>19</v>
      </c>
      <c r="D3063" s="93"/>
      <c r="E3063" s="116" t="str">
        <f t="shared" si="143"/>
        <v>-</v>
      </c>
      <c r="F3063" s="90"/>
      <c r="G3063" s="85" t="s">
        <v>19</v>
      </c>
      <c r="H3063" s="85"/>
      <c r="I3063" s="90"/>
      <c r="J3063" s="89"/>
      <c r="K3063" s="88">
        <f t="shared" si="144"/>
        <v>0</v>
      </c>
      <c r="L3063" s="90"/>
    </row>
    <row r="3064" spans="1:12" x14ac:dyDescent="0.25">
      <c r="A3064" s="84" t="str">
        <f t="shared" si="142"/>
        <v>SelecioneSelecioneSelecione</v>
      </c>
      <c r="B3064" s="85" t="s">
        <v>19</v>
      </c>
      <c r="C3064" s="85" t="s">
        <v>19</v>
      </c>
      <c r="D3064" s="93"/>
      <c r="E3064" s="116" t="str">
        <f t="shared" si="143"/>
        <v>-</v>
      </c>
      <c r="F3064" s="90"/>
      <c r="G3064" s="85" t="s">
        <v>19</v>
      </c>
      <c r="H3064" s="85"/>
      <c r="I3064" s="90"/>
      <c r="J3064" s="89"/>
      <c r="K3064" s="88">
        <f t="shared" si="144"/>
        <v>0</v>
      </c>
      <c r="L3064" s="90"/>
    </row>
    <row r="3065" spans="1:12" x14ac:dyDescent="0.25">
      <c r="A3065" s="84" t="str">
        <f t="shared" si="142"/>
        <v>SelecioneSelecioneSelecione</v>
      </c>
      <c r="B3065" s="85" t="s">
        <v>19</v>
      </c>
      <c r="C3065" s="85" t="s">
        <v>19</v>
      </c>
      <c r="D3065" s="93"/>
      <c r="E3065" s="116" t="str">
        <f t="shared" si="143"/>
        <v>-</v>
      </c>
      <c r="F3065" s="90"/>
      <c r="G3065" s="85" t="s">
        <v>19</v>
      </c>
      <c r="H3065" s="85"/>
      <c r="I3065" s="90"/>
      <c r="J3065" s="89"/>
      <c r="K3065" s="88">
        <f t="shared" si="144"/>
        <v>0</v>
      </c>
      <c r="L3065" s="90"/>
    </row>
    <row r="3066" spans="1:12" x14ac:dyDescent="0.25">
      <c r="A3066" s="84" t="str">
        <f t="shared" si="142"/>
        <v>SelecioneSelecioneSelecione</v>
      </c>
      <c r="B3066" s="85" t="s">
        <v>19</v>
      </c>
      <c r="C3066" s="85" t="s">
        <v>19</v>
      </c>
      <c r="D3066" s="93"/>
      <c r="E3066" s="116" t="str">
        <f t="shared" si="143"/>
        <v>-</v>
      </c>
      <c r="F3066" s="90"/>
      <c r="G3066" s="85" t="s">
        <v>19</v>
      </c>
      <c r="H3066" s="85"/>
      <c r="I3066" s="90"/>
      <c r="J3066" s="89"/>
      <c r="K3066" s="88">
        <f t="shared" si="144"/>
        <v>0</v>
      </c>
      <c r="L3066" s="90"/>
    </row>
    <row r="3067" spans="1:12" x14ac:dyDescent="0.25">
      <c r="A3067" s="84" t="str">
        <f t="shared" si="142"/>
        <v>SelecioneSelecioneSelecione</v>
      </c>
      <c r="B3067" s="85" t="s">
        <v>19</v>
      </c>
      <c r="C3067" s="85" t="s">
        <v>19</v>
      </c>
      <c r="D3067" s="86"/>
      <c r="E3067" s="116" t="str">
        <f t="shared" si="143"/>
        <v>-</v>
      </c>
      <c r="F3067" s="85"/>
      <c r="G3067" s="85" t="s">
        <v>19</v>
      </c>
      <c r="H3067" s="85"/>
      <c r="I3067" s="85"/>
      <c r="J3067" s="87"/>
      <c r="K3067" s="88">
        <f t="shared" si="144"/>
        <v>0</v>
      </c>
      <c r="L3067" s="85"/>
    </row>
    <row r="3068" spans="1:12" x14ac:dyDescent="0.25">
      <c r="A3068" s="84" t="str">
        <f t="shared" si="142"/>
        <v>SelecioneSelecioneSelecione</v>
      </c>
      <c r="B3068" s="85" t="s">
        <v>19</v>
      </c>
      <c r="C3068" s="85" t="s">
        <v>19</v>
      </c>
      <c r="D3068" s="86"/>
      <c r="E3068" s="116" t="str">
        <f t="shared" si="143"/>
        <v>-</v>
      </c>
      <c r="F3068" s="85"/>
      <c r="G3068" s="85" t="s">
        <v>19</v>
      </c>
      <c r="H3068" s="85"/>
      <c r="I3068" s="85"/>
      <c r="J3068" s="87"/>
      <c r="K3068" s="88">
        <f t="shared" si="144"/>
        <v>0</v>
      </c>
      <c r="L3068" s="85"/>
    </row>
    <row r="3069" spans="1:12" x14ac:dyDescent="0.25">
      <c r="A3069" s="84" t="str">
        <f t="shared" si="142"/>
        <v>SelecioneSelecioneSelecione</v>
      </c>
      <c r="B3069" s="85" t="s">
        <v>19</v>
      </c>
      <c r="C3069" s="85" t="s">
        <v>19</v>
      </c>
      <c r="D3069" s="93"/>
      <c r="E3069" s="116" t="str">
        <f t="shared" si="143"/>
        <v>-</v>
      </c>
      <c r="F3069" s="90"/>
      <c r="G3069" s="85" t="s">
        <v>19</v>
      </c>
      <c r="H3069" s="85"/>
      <c r="I3069" s="90"/>
      <c r="J3069" s="89"/>
      <c r="K3069" s="88">
        <f t="shared" si="144"/>
        <v>0</v>
      </c>
      <c r="L3069" s="90"/>
    </row>
    <row r="3070" spans="1:12" x14ac:dyDescent="0.25">
      <c r="A3070" s="84" t="str">
        <f t="shared" si="142"/>
        <v>SelecioneSelecioneSelecione</v>
      </c>
      <c r="B3070" s="85" t="s">
        <v>19</v>
      </c>
      <c r="C3070" s="85" t="s">
        <v>19</v>
      </c>
      <c r="D3070" s="86"/>
      <c r="E3070" s="116" t="str">
        <f t="shared" si="143"/>
        <v>-</v>
      </c>
      <c r="F3070" s="85"/>
      <c r="G3070" s="85" t="s">
        <v>19</v>
      </c>
      <c r="H3070" s="85"/>
      <c r="I3070" s="85"/>
      <c r="J3070" s="87"/>
      <c r="K3070" s="88">
        <f t="shared" si="144"/>
        <v>0</v>
      </c>
      <c r="L3070" s="85"/>
    </row>
    <row r="3071" spans="1:12" x14ac:dyDescent="0.25">
      <c r="A3071" s="84" t="str">
        <f t="shared" si="142"/>
        <v>SelecioneSelecioneSelecione</v>
      </c>
      <c r="B3071" s="85" t="s">
        <v>19</v>
      </c>
      <c r="C3071" s="85" t="s">
        <v>19</v>
      </c>
      <c r="D3071" s="86"/>
      <c r="E3071" s="116" t="str">
        <f t="shared" si="143"/>
        <v>-</v>
      </c>
      <c r="F3071" s="85"/>
      <c r="G3071" s="85" t="s">
        <v>19</v>
      </c>
      <c r="H3071" s="85"/>
      <c r="I3071" s="85"/>
      <c r="J3071" s="87"/>
      <c r="K3071" s="88">
        <f t="shared" si="144"/>
        <v>0</v>
      </c>
      <c r="L3071" s="85"/>
    </row>
    <row r="3072" spans="1:12" x14ac:dyDescent="0.25">
      <c r="A3072" s="84" t="str">
        <f t="shared" si="142"/>
        <v>SelecioneSelecioneSelecione</v>
      </c>
      <c r="B3072" s="85" t="s">
        <v>19</v>
      </c>
      <c r="C3072" s="85" t="s">
        <v>19</v>
      </c>
      <c r="D3072" s="86"/>
      <c r="E3072" s="116" t="str">
        <f t="shared" si="143"/>
        <v>-</v>
      </c>
      <c r="F3072" s="85"/>
      <c r="G3072" s="85" t="s">
        <v>19</v>
      </c>
      <c r="H3072" s="85"/>
      <c r="I3072" s="85"/>
      <c r="J3072" s="87"/>
      <c r="K3072" s="88">
        <f t="shared" si="144"/>
        <v>0</v>
      </c>
      <c r="L3072" s="85"/>
    </row>
    <row r="3073" spans="1:12" x14ac:dyDescent="0.25">
      <c r="A3073" s="84" t="str">
        <f t="shared" si="142"/>
        <v>SelecioneSelecioneSelecione</v>
      </c>
      <c r="B3073" s="85" t="s">
        <v>19</v>
      </c>
      <c r="C3073" s="85" t="s">
        <v>19</v>
      </c>
      <c r="D3073" s="93"/>
      <c r="E3073" s="116" t="str">
        <f t="shared" si="143"/>
        <v>-</v>
      </c>
      <c r="F3073" s="90"/>
      <c r="G3073" s="85" t="s">
        <v>19</v>
      </c>
      <c r="H3073" s="85"/>
      <c r="I3073" s="90"/>
      <c r="J3073" s="89"/>
      <c r="K3073" s="88">
        <f t="shared" si="144"/>
        <v>0</v>
      </c>
      <c r="L3073" s="90"/>
    </row>
    <row r="3074" spans="1:12" x14ac:dyDescent="0.25">
      <c r="A3074" s="84" t="str">
        <f t="shared" ref="A3074:A3137" si="145">CONCATENATE(B3074,C3074,G3074)</f>
        <v>SelecioneSelecioneSelecione</v>
      </c>
      <c r="B3074" s="85" t="s">
        <v>19</v>
      </c>
      <c r="C3074" s="85" t="s">
        <v>19</v>
      </c>
      <c r="D3074" s="86"/>
      <c r="E3074" s="116" t="str">
        <f t="shared" ref="E3074:E3137" si="146">VLOOKUP(G3074,$M$1:$O$968,3,0)</f>
        <v>-</v>
      </c>
      <c r="F3074" s="85"/>
      <c r="G3074" s="85" t="s">
        <v>19</v>
      </c>
      <c r="H3074" s="85"/>
      <c r="I3074" s="85"/>
      <c r="J3074" s="87"/>
      <c r="K3074" s="88">
        <f t="shared" ref="K3074:K3137" si="147">I3074*J3074</f>
        <v>0</v>
      </c>
      <c r="L3074" s="85"/>
    </row>
    <row r="3075" spans="1:12" x14ac:dyDescent="0.25">
      <c r="A3075" s="84" t="str">
        <f t="shared" si="145"/>
        <v>SelecioneSelecioneSelecione</v>
      </c>
      <c r="B3075" s="85" t="s">
        <v>19</v>
      </c>
      <c r="C3075" s="85" t="s">
        <v>19</v>
      </c>
      <c r="D3075" s="86"/>
      <c r="E3075" s="116" t="str">
        <f t="shared" si="146"/>
        <v>-</v>
      </c>
      <c r="F3075" s="85"/>
      <c r="G3075" s="85" t="s">
        <v>19</v>
      </c>
      <c r="H3075" s="85"/>
      <c r="I3075" s="85"/>
      <c r="J3075" s="87"/>
      <c r="K3075" s="88">
        <f t="shared" si="147"/>
        <v>0</v>
      </c>
      <c r="L3075" s="85"/>
    </row>
    <row r="3076" spans="1:12" x14ac:dyDescent="0.25">
      <c r="A3076" s="84" t="str">
        <f t="shared" si="145"/>
        <v>SelecioneSelecioneSelecione</v>
      </c>
      <c r="B3076" s="85" t="s">
        <v>19</v>
      </c>
      <c r="C3076" s="85" t="s">
        <v>19</v>
      </c>
      <c r="D3076" s="86"/>
      <c r="E3076" s="116" t="str">
        <f t="shared" si="146"/>
        <v>-</v>
      </c>
      <c r="F3076" s="85"/>
      <c r="G3076" s="85" t="s">
        <v>19</v>
      </c>
      <c r="H3076" s="85"/>
      <c r="I3076" s="85"/>
      <c r="J3076" s="87"/>
      <c r="K3076" s="88">
        <f t="shared" si="147"/>
        <v>0</v>
      </c>
      <c r="L3076" s="85"/>
    </row>
    <row r="3077" spans="1:12" x14ac:dyDescent="0.25">
      <c r="A3077" s="84" t="str">
        <f t="shared" si="145"/>
        <v>SelecioneSelecioneSelecione</v>
      </c>
      <c r="B3077" s="85" t="s">
        <v>19</v>
      </c>
      <c r="C3077" s="85" t="s">
        <v>19</v>
      </c>
      <c r="D3077" s="93"/>
      <c r="E3077" s="116" t="str">
        <f t="shared" si="146"/>
        <v>-</v>
      </c>
      <c r="F3077" s="90"/>
      <c r="G3077" s="85" t="s">
        <v>19</v>
      </c>
      <c r="H3077" s="85"/>
      <c r="I3077" s="90"/>
      <c r="J3077" s="89"/>
      <c r="K3077" s="88">
        <f t="shared" si="147"/>
        <v>0</v>
      </c>
      <c r="L3077" s="90"/>
    </row>
    <row r="3078" spans="1:12" x14ac:dyDescent="0.25">
      <c r="A3078" s="84" t="str">
        <f t="shared" si="145"/>
        <v>SelecioneSelecioneSelecione</v>
      </c>
      <c r="B3078" s="85" t="s">
        <v>19</v>
      </c>
      <c r="C3078" s="85" t="s">
        <v>19</v>
      </c>
      <c r="D3078" s="86"/>
      <c r="E3078" s="116" t="str">
        <f t="shared" si="146"/>
        <v>-</v>
      </c>
      <c r="F3078" s="85"/>
      <c r="G3078" s="85" t="s">
        <v>19</v>
      </c>
      <c r="H3078" s="85"/>
      <c r="I3078" s="85"/>
      <c r="J3078" s="87"/>
      <c r="K3078" s="88">
        <f t="shared" si="147"/>
        <v>0</v>
      </c>
      <c r="L3078" s="85"/>
    </row>
    <row r="3079" spans="1:12" x14ac:dyDescent="0.25">
      <c r="A3079" s="84" t="str">
        <f t="shared" si="145"/>
        <v>SelecioneSelecioneSelecione</v>
      </c>
      <c r="B3079" s="85" t="s">
        <v>19</v>
      </c>
      <c r="C3079" s="85" t="s">
        <v>19</v>
      </c>
      <c r="D3079" s="86"/>
      <c r="E3079" s="116" t="str">
        <f t="shared" si="146"/>
        <v>-</v>
      </c>
      <c r="F3079" s="85"/>
      <c r="G3079" s="85" t="s">
        <v>19</v>
      </c>
      <c r="H3079" s="85"/>
      <c r="I3079" s="85"/>
      <c r="J3079" s="87"/>
      <c r="K3079" s="88">
        <f t="shared" si="147"/>
        <v>0</v>
      </c>
      <c r="L3079" s="85"/>
    </row>
    <row r="3080" spans="1:12" x14ac:dyDescent="0.25">
      <c r="A3080" s="84" t="str">
        <f t="shared" si="145"/>
        <v>SelecioneSelecioneSelecione</v>
      </c>
      <c r="B3080" s="85" t="s">
        <v>19</v>
      </c>
      <c r="C3080" s="85" t="s">
        <v>19</v>
      </c>
      <c r="D3080" s="86"/>
      <c r="E3080" s="116" t="str">
        <f t="shared" si="146"/>
        <v>-</v>
      </c>
      <c r="F3080" s="85"/>
      <c r="G3080" s="85" t="s">
        <v>19</v>
      </c>
      <c r="H3080" s="85"/>
      <c r="I3080" s="85"/>
      <c r="J3080" s="87"/>
      <c r="K3080" s="88">
        <f t="shared" si="147"/>
        <v>0</v>
      </c>
      <c r="L3080" s="85"/>
    </row>
    <row r="3081" spans="1:12" x14ac:dyDescent="0.25">
      <c r="A3081" s="84" t="str">
        <f t="shared" si="145"/>
        <v>SelecioneSelecioneSelecione</v>
      </c>
      <c r="B3081" s="85" t="s">
        <v>19</v>
      </c>
      <c r="C3081" s="85" t="s">
        <v>19</v>
      </c>
      <c r="D3081" s="86"/>
      <c r="E3081" s="116" t="str">
        <f t="shared" si="146"/>
        <v>-</v>
      </c>
      <c r="F3081" s="85"/>
      <c r="G3081" s="85" t="s">
        <v>19</v>
      </c>
      <c r="H3081" s="85"/>
      <c r="I3081" s="85"/>
      <c r="J3081" s="87"/>
      <c r="K3081" s="88">
        <f t="shared" si="147"/>
        <v>0</v>
      </c>
      <c r="L3081" s="85"/>
    </row>
    <row r="3082" spans="1:12" x14ac:dyDescent="0.25">
      <c r="A3082" s="84" t="str">
        <f t="shared" si="145"/>
        <v>SelecioneSelecioneSelecione</v>
      </c>
      <c r="B3082" s="85" t="s">
        <v>19</v>
      </c>
      <c r="C3082" s="85" t="s">
        <v>19</v>
      </c>
      <c r="D3082" s="86"/>
      <c r="E3082" s="116" t="str">
        <f t="shared" si="146"/>
        <v>-</v>
      </c>
      <c r="F3082" s="85"/>
      <c r="G3082" s="85" t="s">
        <v>19</v>
      </c>
      <c r="H3082" s="85"/>
      <c r="I3082" s="85"/>
      <c r="J3082" s="87"/>
      <c r="K3082" s="88">
        <f t="shared" si="147"/>
        <v>0</v>
      </c>
      <c r="L3082" s="85"/>
    </row>
    <row r="3083" spans="1:12" x14ac:dyDescent="0.25">
      <c r="A3083" s="84" t="str">
        <f t="shared" si="145"/>
        <v>SelecioneSelecioneSelecione</v>
      </c>
      <c r="B3083" s="85" t="s">
        <v>19</v>
      </c>
      <c r="C3083" s="85" t="s">
        <v>19</v>
      </c>
      <c r="D3083" s="93"/>
      <c r="E3083" s="116" t="str">
        <f t="shared" si="146"/>
        <v>-</v>
      </c>
      <c r="F3083" s="90"/>
      <c r="G3083" s="85" t="s">
        <v>19</v>
      </c>
      <c r="H3083" s="85"/>
      <c r="I3083" s="90"/>
      <c r="J3083" s="89"/>
      <c r="K3083" s="88">
        <f t="shared" si="147"/>
        <v>0</v>
      </c>
      <c r="L3083" s="90"/>
    </row>
    <row r="3084" spans="1:12" x14ac:dyDescent="0.25">
      <c r="A3084" s="84" t="str">
        <f t="shared" si="145"/>
        <v>SelecioneSelecioneSelecione</v>
      </c>
      <c r="B3084" s="85" t="s">
        <v>19</v>
      </c>
      <c r="C3084" s="85" t="s">
        <v>19</v>
      </c>
      <c r="D3084" s="86"/>
      <c r="E3084" s="116" t="str">
        <f t="shared" si="146"/>
        <v>-</v>
      </c>
      <c r="F3084" s="85"/>
      <c r="G3084" s="85" t="s">
        <v>19</v>
      </c>
      <c r="H3084" s="85"/>
      <c r="I3084" s="85"/>
      <c r="J3084" s="87"/>
      <c r="K3084" s="88">
        <f t="shared" si="147"/>
        <v>0</v>
      </c>
      <c r="L3084" s="85"/>
    </row>
    <row r="3085" spans="1:12" x14ac:dyDescent="0.25">
      <c r="A3085" s="84" t="str">
        <f t="shared" si="145"/>
        <v>SelecioneSelecioneSelecione</v>
      </c>
      <c r="B3085" s="85" t="s">
        <v>19</v>
      </c>
      <c r="C3085" s="85" t="s">
        <v>19</v>
      </c>
      <c r="D3085" s="86"/>
      <c r="E3085" s="116" t="str">
        <f t="shared" si="146"/>
        <v>-</v>
      </c>
      <c r="F3085" s="85"/>
      <c r="G3085" s="85" t="s">
        <v>19</v>
      </c>
      <c r="H3085" s="85"/>
      <c r="I3085" s="85"/>
      <c r="J3085" s="87"/>
      <c r="K3085" s="88">
        <f t="shared" si="147"/>
        <v>0</v>
      </c>
      <c r="L3085" s="85"/>
    </row>
    <row r="3086" spans="1:12" x14ac:dyDescent="0.25">
      <c r="A3086" s="84" t="str">
        <f t="shared" si="145"/>
        <v>SelecioneSelecioneSelecione</v>
      </c>
      <c r="B3086" s="85" t="s">
        <v>19</v>
      </c>
      <c r="C3086" s="85" t="s">
        <v>19</v>
      </c>
      <c r="D3086" s="86"/>
      <c r="E3086" s="116" t="str">
        <f t="shared" si="146"/>
        <v>-</v>
      </c>
      <c r="F3086" s="85"/>
      <c r="G3086" s="85" t="s">
        <v>19</v>
      </c>
      <c r="H3086" s="85"/>
      <c r="I3086" s="85"/>
      <c r="J3086" s="87"/>
      <c r="K3086" s="88">
        <f t="shared" si="147"/>
        <v>0</v>
      </c>
      <c r="L3086" s="85"/>
    </row>
    <row r="3087" spans="1:12" x14ac:dyDescent="0.25">
      <c r="A3087" s="84" t="str">
        <f t="shared" si="145"/>
        <v>SelecioneSelecioneSelecione</v>
      </c>
      <c r="B3087" s="85" t="s">
        <v>19</v>
      </c>
      <c r="C3087" s="85" t="s">
        <v>19</v>
      </c>
      <c r="D3087" s="86"/>
      <c r="E3087" s="116" t="str">
        <f t="shared" si="146"/>
        <v>-</v>
      </c>
      <c r="F3087" s="85"/>
      <c r="G3087" s="85" t="s">
        <v>19</v>
      </c>
      <c r="H3087" s="85"/>
      <c r="I3087" s="85"/>
      <c r="J3087" s="87"/>
      <c r="K3087" s="88">
        <f t="shared" si="147"/>
        <v>0</v>
      </c>
      <c r="L3087" s="85"/>
    </row>
    <row r="3088" spans="1:12" x14ac:dyDescent="0.25">
      <c r="A3088" s="84" t="str">
        <f t="shared" si="145"/>
        <v>SelecioneSelecioneSelecione</v>
      </c>
      <c r="B3088" s="85" t="s">
        <v>19</v>
      </c>
      <c r="C3088" s="85" t="s">
        <v>19</v>
      </c>
      <c r="D3088" s="86"/>
      <c r="E3088" s="116" t="str">
        <f t="shared" si="146"/>
        <v>-</v>
      </c>
      <c r="F3088" s="85"/>
      <c r="G3088" s="85" t="s">
        <v>19</v>
      </c>
      <c r="H3088" s="85"/>
      <c r="I3088" s="85"/>
      <c r="J3088" s="87"/>
      <c r="K3088" s="88">
        <f t="shared" si="147"/>
        <v>0</v>
      </c>
      <c r="L3088" s="85"/>
    </row>
    <row r="3089" spans="1:12" x14ac:dyDescent="0.25">
      <c r="A3089" s="84" t="str">
        <f t="shared" si="145"/>
        <v>SelecioneSelecioneSelecione</v>
      </c>
      <c r="B3089" s="85" t="s">
        <v>19</v>
      </c>
      <c r="C3089" s="85" t="s">
        <v>19</v>
      </c>
      <c r="D3089" s="86"/>
      <c r="E3089" s="116" t="str">
        <f t="shared" si="146"/>
        <v>-</v>
      </c>
      <c r="F3089" s="85"/>
      <c r="G3089" s="85" t="s">
        <v>19</v>
      </c>
      <c r="H3089" s="85"/>
      <c r="I3089" s="85"/>
      <c r="J3089" s="87"/>
      <c r="K3089" s="88">
        <f t="shared" si="147"/>
        <v>0</v>
      </c>
      <c r="L3089" s="85"/>
    </row>
    <row r="3090" spans="1:12" x14ac:dyDescent="0.25">
      <c r="A3090" s="84" t="str">
        <f t="shared" si="145"/>
        <v>SelecioneSelecioneSelecione</v>
      </c>
      <c r="B3090" s="85" t="s">
        <v>19</v>
      </c>
      <c r="C3090" s="85" t="s">
        <v>19</v>
      </c>
      <c r="D3090" s="86"/>
      <c r="E3090" s="116" t="str">
        <f t="shared" si="146"/>
        <v>-</v>
      </c>
      <c r="F3090" s="85"/>
      <c r="G3090" s="85" t="s">
        <v>19</v>
      </c>
      <c r="H3090" s="85"/>
      <c r="I3090" s="85"/>
      <c r="J3090" s="87"/>
      <c r="K3090" s="88">
        <f t="shared" si="147"/>
        <v>0</v>
      </c>
      <c r="L3090" s="85"/>
    </row>
    <row r="3091" spans="1:12" x14ac:dyDescent="0.25">
      <c r="A3091" s="84" t="str">
        <f t="shared" si="145"/>
        <v>SelecioneSelecioneSelecione</v>
      </c>
      <c r="B3091" s="85" t="s">
        <v>19</v>
      </c>
      <c r="C3091" s="85" t="s">
        <v>19</v>
      </c>
      <c r="D3091" s="93"/>
      <c r="E3091" s="116" t="str">
        <f t="shared" si="146"/>
        <v>-</v>
      </c>
      <c r="F3091" s="90"/>
      <c r="G3091" s="85" t="s">
        <v>19</v>
      </c>
      <c r="H3091" s="85"/>
      <c r="I3091" s="90"/>
      <c r="J3091" s="89"/>
      <c r="K3091" s="88">
        <f t="shared" si="147"/>
        <v>0</v>
      </c>
      <c r="L3091" s="90"/>
    </row>
    <row r="3092" spans="1:12" x14ac:dyDescent="0.25">
      <c r="A3092" s="84" t="str">
        <f t="shared" si="145"/>
        <v>SelecioneSelecioneSelecione</v>
      </c>
      <c r="B3092" s="85" t="s">
        <v>19</v>
      </c>
      <c r="C3092" s="85" t="s">
        <v>19</v>
      </c>
      <c r="D3092" s="86"/>
      <c r="E3092" s="116" t="str">
        <f t="shared" si="146"/>
        <v>-</v>
      </c>
      <c r="F3092" s="85"/>
      <c r="G3092" s="85" t="s">
        <v>19</v>
      </c>
      <c r="H3092" s="85"/>
      <c r="I3092" s="85"/>
      <c r="J3092" s="87"/>
      <c r="K3092" s="88">
        <f t="shared" si="147"/>
        <v>0</v>
      </c>
      <c r="L3092" s="85"/>
    </row>
    <row r="3093" spans="1:12" x14ac:dyDescent="0.25">
      <c r="A3093" s="84" t="str">
        <f t="shared" si="145"/>
        <v>SelecioneSelecioneSelecione</v>
      </c>
      <c r="B3093" s="85" t="s">
        <v>19</v>
      </c>
      <c r="C3093" s="85" t="s">
        <v>19</v>
      </c>
      <c r="D3093" s="93"/>
      <c r="E3093" s="116" t="str">
        <f t="shared" si="146"/>
        <v>-</v>
      </c>
      <c r="F3093" s="90"/>
      <c r="G3093" s="85" t="s">
        <v>19</v>
      </c>
      <c r="H3093" s="85"/>
      <c r="I3093" s="90"/>
      <c r="J3093" s="89"/>
      <c r="K3093" s="88">
        <f t="shared" si="147"/>
        <v>0</v>
      </c>
      <c r="L3093" s="90"/>
    </row>
    <row r="3094" spans="1:12" x14ac:dyDescent="0.25">
      <c r="A3094" s="84" t="str">
        <f t="shared" si="145"/>
        <v>SelecioneSelecioneSelecione</v>
      </c>
      <c r="B3094" s="85" t="s">
        <v>19</v>
      </c>
      <c r="C3094" s="85" t="s">
        <v>19</v>
      </c>
      <c r="D3094" s="86"/>
      <c r="E3094" s="116" t="str">
        <f t="shared" si="146"/>
        <v>-</v>
      </c>
      <c r="F3094" s="85"/>
      <c r="G3094" s="85" t="s">
        <v>19</v>
      </c>
      <c r="H3094" s="85"/>
      <c r="I3094" s="85"/>
      <c r="J3094" s="87"/>
      <c r="K3094" s="88">
        <f t="shared" si="147"/>
        <v>0</v>
      </c>
      <c r="L3094" s="85"/>
    </row>
    <row r="3095" spans="1:12" x14ac:dyDescent="0.25">
      <c r="A3095" s="84" t="str">
        <f t="shared" si="145"/>
        <v>SelecioneSelecioneSelecione</v>
      </c>
      <c r="B3095" s="85" t="s">
        <v>19</v>
      </c>
      <c r="C3095" s="85" t="s">
        <v>19</v>
      </c>
      <c r="D3095" s="86"/>
      <c r="E3095" s="116" t="str">
        <f t="shared" si="146"/>
        <v>-</v>
      </c>
      <c r="F3095" s="85"/>
      <c r="G3095" s="85" t="s">
        <v>19</v>
      </c>
      <c r="H3095" s="85"/>
      <c r="I3095" s="85"/>
      <c r="J3095" s="87"/>
      <c r="K3095" s="88">
        <f t="shared" si="147"/>
        <v>0</v>
      </c>
      <c r="L3095" s="85"/>
    </row>
    <row r="3096" spans="1:12" x14ac:dyDescent="0.25">
      <c r="A3096" s="84" t="str">
        <f t="shared" si="145"/>
        <v>SelecioneSelecioneSelecione</v>
      </c>
      <c r="B3096" s="85" t="s">
        <v>19</v>
      </c>
      <c r="C3096" s="85" t="s">
        <v>19</v>
      </c>
      <c r="D3096" s="86"/>
      <c r="E3096" s="116" t="str">
        <f t="shared" si="146"/>
        <v>-</v>
      </c>
      <c r="F3096" s="85"/>
      <c r="G3096" s="85" t="s">
        <v>19</v>
      </c>
      <c r="H3096" s="85"/>
      <c r="I3096" s="85"/>
      <c r="J3096" s="87"/>
      <c r="K3096" s="88">
        <f t="shared" si="147"/>
        <v>0</v>
      </c>
      <c r="L3096" s="85"/>
    </row>
    <row r="3097" spans="1:12" x14ac:dyDescent="0.25">
      <c r="A3097" s="84" t="str">
        <f t="shared" si="145"/>
        <v>SelecioneSelecioneSelecione</v>
      </c>
      <c r="B3097" s="85" t="s">
        <v>19</v>
      </c>
      <c r="C3097" s="85" t="s">
        <v>19</v>
      </c>
      <c r="D3097" s="86"/>
      <c r="E3097" s="116" t="str">
        <f t="shared" si="146"/>
        <v>-</v>
      </c>
      <c r="F3097" s="85"/>
      <c r="G3097" s="85" t="s">
        <v>19</v>
      </c>
      <c r="H3097" s="85"/>
      <c r="I3097" s="85"/>
      <c r="J3097" s="87"/>
      <c r="K3097" s="88">
        <f t="shared" si="147"/>
        <v>0</v>
      </c>
      <c r="L3097" s="85"/>
    </row>
    <row r="3098" spans="1:12" x14ac:dyDescent="0.25">
      <c r="A3098" s="84" t="str">
        <f t="shared" si="145"/>
        <v>SelecioneSelecioneSelecione</v>
      </c>
      <c r="B3098" s="85" t="s">
        <v>19</v>
      </c>
      <c r="C3098" s="85" t="s">
        <v>19</v>
      </c>
      <c r="D3098" s="93"/>
      <c r="E3098" s="116" t="str">
        <f t="shared" si="146"/>
        <v>-</v>
      </c>
      <c r="F3098" s="90"/>
      <c r="G3098" s="85" t="s">
        <v>19</v>
      </c>
      <c r="H3098" s="85"/>
      <c r="I3098" s="90"/>
      <c r="J3098" s="89"/>
      <c r="K3098" s="88">
        <f t="shared" si="147"/>
        <v>0</v>
      </c>
      <c r="L3098" s="90"/>
    </row>
    <row r="3099" spans="1:12" x14ac:dyDescent="0.25">
      <c r="A3099" s="84" t="str">
        <f t="shared" si="145"/>
        <v>SelecioneSelecioneSelecione</v>
      </c>
      <c r="B3099" s="85" t="s">
        <v>19</v>
      </c>
      <c r="C3099" s="85" t="s">
        <v>19</v>
      </c>
      <c r="D3099" s="93"/>
      <c r="E3099" s="116" t="str">
        <f t="shared" si="146"/>
        <v>-</v>
      </c>
      <c r="F3099" s="85"/>
      <c r="G3099" s="85" t="s">
        <v>19</v>
      </c>
      <c r="H3099" s="85"/>
      <c r="I3099" s="90"/>
      <c r="J3099" s="89"/>
      <c r="K3099" s="88">
        <f t="shared" si="147"/>
        <v>0</v>
      </c>
      <c r="L3099" s="90"/>
    </row>
    <row r="3100" spans="1:12" x14ac:dyDescent="0.25">
      <c r="A3100" s="84" t="str">
        <f t="shared" si="145"/>
        <v>SelecioneSelecioneSelecione</v>
      </c>
      <c r="B3100" s="85" t="s">
        <v>19</v>
      </c>
      <c r="C3100" s="85" t="s">
        <v>19</v>
      </c>
      <c r="D3100" s="86"/>
      <c r="E3100" s="116" t="str">
        <f t="shared" si="146"/>
        <v>-</v>
      </c>
      <c r="F3100" s="85"/>
      <c r="G3100" s="85" t="s">
        <v>19</v>
      </c>
      <c r="H3100" s="85"/>
      <c r="I3100" s="85"/>
      <c r="J3100" s="87"/>
      <c r="K3100" s="88">
        <f t="shared" si="147"/>
        <v>0</v>
      </c>
      <c r="L3100" s="85"/>
    </row>
    <row r="3101" spans="1:12" x14ac:dyDescent="0.25">
      <c r="A3101" s="84" t="str">
        <f t="shared" si="145"/>
        <v>SelecioneSelecioneSelecione</v>
      </c>
      <c r="B3101" s="85" t="s">
        <v>19</v>
      </c>
      <c r="C3101" s="85" t="s">
        <v>19</v>
      </c>
      <c r="D3101" s="86"/>
      <c r="E3101" s="116" t="str">
        <f t="shared" si="146"/>
        <v>-</v>
      </c>
      <c r="F3101" s="85"/>
      <c r="G3101" s="85" t="s">
        <v>19</v>
      </c>
      <c r="H3101" s="85"/>
      <c r="I3101" s="85"/>
      <c r="J3101" s="87"/>
      <c r="K3101" s="88">
        <f t="shared" si="147"/>
        <v>0</v>
      </c>
      <c r="L3101" s="85"/>
    </row>
    <row r="3102" spans="1:12" x14ac:dyDescent="0.25">
      <c r="A3102" s="84" t="str">
        <f t="shared" si="145"/>
        <v>SelecioneSelecioneSelecione</v>
      </c>
      <c r="B3102" s="85" t="s">
        <v>19</v>
      </c>
      <c r="C3102" s="85" t="s">
        <v>19</v>
      </c>
      <c r="D3102" s="86"/>
      <c r="E3102" s="116" t="str">
        <f t="shared" si="146"/>
        <v>-</v>
      </c>
      <c r="F3102" s="85"/>
      <c r="G3102" s="85" t="s">
        <v>19</v>
      </c>
      <c r="H3102" s="85"/>
      <c r="I3102" s="85"/>
      <c r="J3102" s="87"/>
      <c r="K3102" s="88">
        <f t="shared" si="147"/>
        <v>0</v>
      </c>
      <c r="L3102" s="85"/>
    </row>
    <row r="3103" spans="1:12" x14ac:dyDescent="0.25">
      <c r="A3103" s="84" t="str">
        <f t="shared" si="145"/>
        <v>SelecioneSelecioneSelecione</v>
      </c>
      <c r="B3103" s="85" t="s">
        <v>19</v>
      </c>
      <c r="C3103" s="85" t="s">
        <v>19</v>
      </c>
      <c r="D3103" s="86"/>
      <c r="E3103" s="116" t="str">
        <f t="shared" si="146"/>
        <v>-</v>
      </c>
      <c r="F3103" s="85"/>
      <c r="G3103" s="85" t="s">
        <v>19</v>
      </c>
      <c r="H3103" s="85"/>
      <c r="I3103" s="85"/>
      <c r="J3103" s="87"/>
      <c r="K3103" s="88">
        <f t="shared" si="147"/>
        <v>0</v>
      </c>
      <c r="L3103" s="85"/>
    </row>
    <row r="3104" spans="1:12" x14ac:dyDescent="0.25">
      <c r="A3104" s="84" t="str">
        <f t="shared" si="145"/>
        <v>SelecioneSelecioneSelecione</v>
      </c>
      <c r="B3104" s="85" t="s">
        <v>19</v>
      </c>
      <c r="C3104" s="85" t="s">
        <v>19</v>
      </c>
      <c r="D3104" s="93"/>
      <c r="E3104" s="116" t="str">
        <f t="shared" si="146"/>
        <v>-</v>
      </c>
      <c r="F3104" s="90"/>
      <c r="G3104" s="85" t="s">
        <v>19</v>
      </c>
      <c r="H3104" s="85"/>
      <c r="I3104" s="90"/>
      <c r="J3104" s="89"/>
      <c r="K3104" s="88">
        <f t="shared" si="147"/>
        <v>0</v>
      </c>
      <c r="L3104" s="90"/>
    </row>
    <row r="3105" spans="1:12" x14ac:dyDescent="0.25">
      <c r="A3105" s="84" t="str">
        <f t="shared" si="145"/>
        <v>SelecioneSelecioneSelecione</v>
      </c>
      <c r="B3105" s="85" t="s">
        <v>19</v>
      </c>
      <c r="C3105" s="85" t="s">
        <v>19</v>
      </c>
      <c r="D3105" s="86"/>
      <c r="E3105" s="116" t="str">
        <f t="shared" si="146"/>
        <v>-</v>
      </c>
      <c r="F3105" s="85"/>
      <c r="G3105" s="85" t="s">
        <v>19</v>
      </c>
      <c r="H3105" s="85"/>
      <c r="I3105" s="85"/>
      <c r="J3105" s="87"/>
      <c r="K3105" s="88">
        <f t="shared" si="147"/>
        <v>0</v>
      </c>
      <c r="L3105" s="85"/>
    </row>
    <row r="3106" spans="1:12" x14ac:dyDescent="0.25">
      <c r="A3106" s="84" t="str">
        <f t="shared" si="145"/>
        <v>SelecioneSelecioneSelecione</v>
      </c>
      <c r="B3106" s="85" t="s">
        <v>19</v>
      </c>
      <c r="C3106" s="85" t="s">
        <v>19</v>
      </c>
      <c r="D3106" s="93"/>
      <c r="E3106" s="116" t="str">
        <f t="shared" si="146"/>
        <v>-</v>
      </c>
      <c r="F3106" s="90"/>
      <c r="G3106" s="85" t="s">
        <v>19</v>
      </c>
      <c r="H3106" s="85"/>
      <c r="I3106" s="90"/>
      <c r="J3106" s="89"/>
      <c r="K3106" s="88">
        <f t="shared" si="147"/>
        <v>0</v>
      </c>
      <c r="L3106" s="90"/>
    </row>
    <row r="3107" spans="1:12" x14ac:dyDescent="0.25">
      <c r="A3107" s="84" t="str">
        <f t="shared" si="145"/>
        <v>SelecioneSelecioneSelecione</v>
      </c>
      <c r="B3107" s="85" t="s">
        <v>19</v>
      </c>
      <c r="C3107" s="85" t="s">
        <v>19</v>
      </c>
      <c r="D3107" s="86"/>
      <c r="E3107" s="116" t="str">
        <f t="shared" si="146"/>
        <v>-</v>
      </c>
      <c r="F3107" s="85"/>
      <c r="G3107" s="85" t="s">
        <v>19</v>
      </c>
      <c r="H3107" s="85"/>
      <c r="I3107" s="85"/>
      <c r="J3107" s="87"/>
      <c r="K3107" s="88">
        <f t="shared" si="147"/>
        <v>0</v>
      </c>
      <c r="L3107" s="85"/>
    </row>
    <row r="3108" spans="1:12" x14ac:dyDescent="0.25">
      <c r="A3108" s="84" t="str">
        <f t="shared" si="145"/>
        <v>SelecioneSelecioneSelecione</v>
      </c>
      <c r="B3108" s="85" t="s">
        <v>19</v>
      </c>
      <c r="C3108" s="85" t="s">
        <v>19</v>
      </c>
      <c r="D3108" s="93"/>
      <c r="E3108" s="116" t="str">
        <f t="shared" si="146"/>
        <v>-</v>
      </c>
      <c r="F3108" s="90"/>
      <c r="G3108" s="85" t="s">
        <v>19</v>
      </c>
      <c r="H3108" s="85"/>
      <c r="I3108" s="90"/>
      <c r="J3108" s="89"/>
      <c r="K3108" s="88">
        <f t="shared" si="147"/>
        <v>0</v>
      </c>
      <c r="L3108" s="90"/>
    </row>
    <row r="3109" spans="1:12" x14ac:dyDescent="0.25">
      <c r="A3109" s="84" t="str">
        <f t="shared" si="145"/>
        <v>SelecioneSelecioneSelecione</v>
      </c>
      <c r="B3109" s="85" t="s">
        <v>19</v>
      </c>
      <c r="C3109" s="85" t="s">
        <v>19</v>
      </c>
      <c r="D3109" s="93"/>
      <c r="E3109" s="116" t="str">
        <f t="shared" si="146"/>
        <v>-</v>
      </c>
      <c r="F3109" s="85"/>
      <c r="G3109" s="85" t="s">
        <v>19</v>
      </c>
      <c r="H3109" s="85"/>
      <c r="I3109" s="90"/>
      <c r="J3109" s="89"/>
      <c r="K3109" s="88">
        <f t="shared" si="147"/>
        <v>0</v>
      </c>
      <c r="L3109" s="90"/>
    </row>
    <row r="3110" spans="1:12" x14ac:dyDescent="0.25">
      <c r="A3110" s="84" t="str">
        <f t="shared" si="145"/>
        <v>SelecioneSelecioneSelecione</v>
      </c>
      <c r="B3110" s="85" t="s">
        <v>19</v>
      </c>
      <c r="C3110" s="85" t="s">
        <v>19</v>
      </c>
      <c r="D3110" s="93"/>
      <c r="E3110" s="116" t="str">
        <f t="shared" si="146"/>
        <v>-</v>
      </c>
      <c r="F3110" s="90"/>
      <c r="G3110" s="85" t="s">
        <v>19</v>
      </c>
      <c r="H3110" s="85"/>
      <c r="I3110" s="90"/>
      <c r="J3110" s="89"/>
      <c r="K3110" s="88">
        <f t="shared" si="147"/>
        <v>0</v>
      </c>
      <c r="L3110" s="90"/>
    </row>
    <row r="3111" spans="1:12" x14ac:dyDescent="0.25">
      <c r="A3111" s="84" t="str">
        <f t="shared" si="145"/>
        <v>SelecioneSelecioneSelecione</v>
      </c>
      <c r="B3111" s="85" t="s">
        <v>19</v>
      </c>
      <c r="C3111" s="85" t="s">
        <v>19</v>
      </c>
      <c r="D3111" s="93"/>
      <c r="E3111" s="116" t="str">
        <f t="shared" si="146"/>
        <v>-</v>
      </c>
      <c r="F3111" s="90"/>
      <c r="G3111" s="85" t="s">
        <v>19</v>
      </c>
      <c r="H3111" s="85"/>
      <c r="I3111" s="90"/>
      <c r="J3111" s="89"/>
      <c r="K3111" s="88">
        <f t="shared" si="147"/>
        <v>0</v>
      </c>
      <c r="L3111" s="90"/>
    </row>
    <row r="3112" spans="1:12" x14ac:dyDescent="0.25">
      <c r="A3112" s="84" t="str">
        <f t="shared" si="145"/>
        <v>SelecioneSelecioneSelecione</v>
      </c>
      <c r="B3112" s="85" t="s">
        <v>19</v>
      </c>
      <c r="C3112" s="85" t="s">
        <v>19</v>
      </c>
      <c r="D3112" s="93"/>
      <c r="E3112" s="116" t="str">
        <f t="shared" si="146"/>
        <v>-</v>
      </c>
      <c r="F3112" s="90"/>
      <c r="G3112" s="85" t="s">
        <v>19</v>
      </c>
      <c r="H3112" s="85"/>
      <c r="I3112" s="90"/>
      <c r="J3112" s="89"/>
      <c r="K3112" s="88">
        <f t="shared" si="147"/>
        <v>0</v>
      </c>
      <c r="L3112" s="90"/>
    </row>
    <row r="3113" spans="1:12" x14ac:dyDescent="0.25">
      <c r="A3113" s="84" t="str">
        <f t="shared" si="145"/>
        <v>SelecioneSelecioneSelecione</v>
      </c>
      <c r="B3113" s="85" t="s">
        <v>19</v>
      </c>
      <c r="C3113" s="85" t="s">
        <v>19</v>
      </c>
      <c r="D3113" s="93"/>
      <c r="E3113" s="116" t="str">
        <f t="shared" si="146"/>
        <v>-</v>
      </c>
      <c r="F3113" s="90"/>
      <c r="G3113" s="85" t="s">
        <v>19</v>
      </c>
      <c r="H3113" s="85"/>
      <c r="I3113" s="90"/>
      <c r="J3113" s="89"/>
      <c r="K3113" s="88">
        <f t="shared" si="147"/>
        <v>0</v>
      </c>
      <c r="L3113" s="90"/>
    </row>
    <row r="3114" spans="1:12" x14ac:dyDescent="0.25">
      <c r="A3114" s="84" t="str">
        <f t="shared" si="145"/>
        <v>SelecioneSelecioneSelecione</v>
      </c>
      <c r="B3114" s="85" t="s">
        <v>19</v>
      </c>
      <c r="C3114" s="85" t="s">
        <v>19</v>
      </c>
      <c r="D3114" s="86"/>
      <c r="E3114" s="116" t="str">
        <f t="shared" si="146"/>
        <v>-</v>
      </c>
      <c r="F3114" s="85"/>
      <c r="G3114" s="85" t="s">
        <v>19</v>
      </c>
      <c r="H3114" s="85"/>
      <c r="I3114" s="85"/>
      <c r="J3114" s="87"/>
      <c r="K3114" s="88">
        <f t="shared" si="147"/>
        <v>0</v>
      </c>
      <c r="L3114" s="85"/>
    </row>
    <row r="3115" spans="1:12" x14ac:dyDescent="0.25">
      <c r="A3115" s="84" t="str">
        <f t="shared" si="145"/>
        <v>SelecioneSelecioneSelecione</v>
      </c>
      <c r="B3115" s="85" t="s">
        <v>19</v>
      </c>
      <c r="C3115" s="85" t="s">
        <v>19</v>
      </c>
      <c r="D3115" s="86"/>
      <c r="E3115" s="116" t="str">
        <f t="shared" si="146"/>
        <v>-</v>
      </c>
      <c r="F3115" s="85"/>
      <c r="G3115" s="85" t="s">
        <v>19</v>
      </c>
      <c r="H3115" s="85"/>
      <c r="I3115" s="85"/>
      <c r="J3115" s="87"/>
      <c r="K3115" s="88">
        <f t="shared" si="147"/>
        <v>0</v>
      </c>
      <c r="L3115" s="85"/>
    </row>
    <row r="3116" spans="1:12" x14ac:dyDescent="0.25">
      <c r="A3116" s="84" t="str">
        <f t="shared" si="145"/>
        <v>SelecioneSelecioneSelecione</v>
      </c>
      <c r="B3116" s="85" t="s">
        <v>19</v>
      </c>
      <c r="C3116" s="85" t="s">
        <v>19</v>
      </c>
      <c r="D3116" s="93"/>
      <c r="E3116" s="116" t="str">
        <f t="shared" si="146"/>
        <v>-</v>
      </c>
      <c r="F3116" s="90"/>
      <c r="G3116" s="85" t="s">
        <v>19</v>
      </c>
      <c r="H3116" s="85"/>
      <c r="I3116" s="90"/>
      <c r="J3116" s="89"/>
      <c r="K3116" s="88">
        <f t="shared" si="147"/>
        <v>0</v>
      </c>
      <c r="L3116" s="90"/>
    </row>
    <row r="3117" spans="1:12" x14ac:dyDescent="0.25">
      <c r="A3117" s="84" t="str">
        <f t="shared" si="145"/>
        <v>SelecioneSelecioneSelecione</v>
      </c>
      <c r="B3117" s="85" t="s">
        <v>19</v>
      </c>
      <c r="C3117" s="85" t="s">
        <v>19</v>
      </c>
      <c r="D3117" s="93"/>
      <c r="E3117" s="116" t="str">
        <f t="shared" si="146"/>
        <v>-</v>
      </c>
      <c r="F3117" s="90"/>
      <c r="G3117" s="85" t="s">
        <v>19</v>
      </c>
      <c r="H3117" s="85"/>
      <c r="I3117" s="90"/>
      <c r="J3117" s="89"/>
      <c r="K3117" s="88">
        <f t="shared" si="147"/>
        <v>0</v>
      </c>
      <c r="L3117" s="90"/>
    </row>
    <row r="3118" spans="1:12" x14ac:dyDescent="0.25">
      <c r="A3118" s="84" t="str">
        <f t="shared" si="145"/>
        <v>SelecioneSelecioneSelecione</v>
      </c>
      <c r="B3118" s="85" t="s">
        <v>19</v>
      </c>
      <c r="C3118" s="85" t="s">
        <v>19</v>
      </c>
      <c r="D3118" s="86"/>
      <c r="E3118" s="116" t="str">
        <f t="shared" si="146"/>
        <v>-</v>
      </c>
      <c r="F3118" s="85"/>
      <c r="G3118" s="85" t="s">
        <v>19</v>
      </c>
      <c r="H3118" s="85"/>
      <c r="I3118" s="85"/>
      <c r="J3118" s="87"/>
      <c r="K3118" s="88">
        <f t="shared" si="147"/>
        <v>0</v>
      </c>
      <c r="L3118" s="85"/>
    </row>
    <row r="3119" spans="1:12" x14ac:dyDescent="0.25">
      <c r="A3119" s="84" t="str">
        <f t="shared" si="145"/>
        <v>SelecioneSelecioneSelecione</v>
      </c>
      <c r="B3119" s="85" t="s">
        <v>19</v>
      </c>
      <c r="C3119" s="85" t="s">
        <v>19</v>
      </c>
      <c r="D3119" s="86"/>
      <c r="E3119" s="116" t="str">
        <f t="shared" si="146"/>
        <v>-</v>
      </c>
      <c r="F3119" s="85"/>
      <c r="G3119" s="85" t="s">
        <v>19</v>
      </c>
      <c r="H3119" s="85"/>
      <c r="I3119" s="85"/>
      <c r="J3119" s="87"/>
      <c r="K3119" s="88">
        <f t="shared" si="147"/>
        <v>0</v>
      </c>
      <c r="L3119" s="85"/>
    </row>
    <row r="3120" spans="1:12" x14ac:dyDescent="0.25">
      <c r="A3120" s="84" t="str">
        <f t="shared" si="145"/>
        <v>SelecioneSelecioneSelecione</v>
      </c>
      <c r="B3120" s="85" t="s">
        <v>19</v>
      </c>
      <c r="C3120" s="85" t="s">
        <v>19</v>
      </c>
      <c r="D3120" s="86"/>
      <c r="E3120" s="116" t="str">
        <f t="shared" si="146"/>
        <v>-</v>
      </c>
      <c r="F3120" s="85"/>
      <c r="G3120" s="85" t="s">
        <v>19</v>
      </c>
      <c r="H3120" s="85"/>
      <c r="I3120" s="85"/>
      <c r="J3120" s="87"/>
      <c r="K3120" s="88">
        <f t="shared" si="147"/>
        <v>0</v>
      </c>
      <c r="L3120" s="85"/>
    </row>
    <row r="3121" spans="1:12" x14ac:dyDescent="0.25">
      <c r="A3121" s="84" t="str">
        <f t="shared" si="145"/>
        <v>SelecioneSelecioneSelecione</v>
      </c>
      <c r="B3121" s="85" t="s">
        <v>19</v>
      </c>
      <c r="C3121" s="85" t="s">
        <v>19</v>
      </c>
      <c r="D3121" s="86"/>
      <c r="E3121" s="116" t="str">
        <f t="shared" si="146"/>
        <v>-</v>
      </c>
      <c r="F3121" s="85"/>
      <c r="G3121" s="85" t="s">
        <v>19</v>
      </c>
      <c r="H3121" s="85"/>
      <c r="I3121" s="85"/>
      <c r="J3121" s="87"/>
      <c r="K3121" s="88">
        <f t="shared" si="147"/>
        <v>0</v>
      </c>
      <c r="L3121" s="85"/>
    </row>
    <row r="3122" spans="1:12" x14ac:dyDescent="0.25">
      <c r="A3122" s="84" t="str">
        <f t="shared" si="145"/>
        <v>SelecioneSelecioneSelecione</v>
      </c>
      <c r="B3122" s="85" t="s">
        <v>19</v>
      </c>
      <c r="C3122" s="85" t="s">
        <v>19</v>
      </c>
      <c r="D3122" s="93"/>
      <c r="E3122" s="116" t="str">
        <f t="shared" si="146"/>
        <v>-</v>
      </c>
      <c r="F3122" s="90"/>
      <c r="G3122" s="85" t="s">
        <v>19</v>
      </c>
      <c r="H3122" s="85"/>
      <c r="I3122" s="90"/>
      <c r="J3122" s="89"/>
      <c r="K3122" s="88">
        <f t="shared" si="147"/>
        <v>0</v>
      </c>
      <c r="L3122" s="90"/>
    </row>
    <row r="3123" spans="1:12" x14ac:dyDescent="0.25">
      <c r="A3123" s="84" t="str">
        <f t="shared" si="145"/>
        <v>SelecioneSelecioneSelecione</v>
      </c>
      <c r="B3123" s="85" t="s">
        <v>19</v>
      </c>
      <c r="C3123" s="85" t="s">
        <v>19</v>
      </c>
      <c r="D3123" s="93"/>
      <c r="E3123" s="116" t="str">
        <f t="shared" si="146"/>
        <v>-</v>
      </c>
      <c r="F3123" s="85"/>
      <c r="G3123" s="85" t="s">
        <v>19</v>
      </c>
      <c r="H3123" s="85"/>
      <c r="I3123" s="90"/>
      <c r="J3123" s="89"/>
      <c r="K3123" s="88">
        <f t="shared" si="147"/>
        <v>0</v>
      </c>
      <c r="L3123" s="90"/>
    </row>
    <row r="3124" spans="1:12" x14ac:dyDescent="0.25">
      <c r="A3124" s="84" t="str">
        <f t="shared" si="145"/>
        <v>SelecioneSelecioneSelecione</v>
      </c>
      <c r="B3124" s="85" t="s">
        <v>19</v>
      </c>
      <c r="C3124" s="85" t="s">
        <v>19</v>
      </c>
      <c r="D3124" s="93"/>
      <c r="E3124" s="116" t="str">
        <f t="shared" si="146"/>
        <v>-</v>
      </c>
      <c r="F3124" s="90"/>
      <c r="G3124" s="85" t="s">
        <v>19</v>
      </c>
      <c r="H3124" s="85"/>
      <c r="I3124" s="90"/>
      <c r="J3124" s="89"/>
      <c r="K3124" s="88">
        <f t="shared" si="147"/>
        <v>0</v>
      </c>
      <c r="L3124" s="90"/>
    </row>
    <row r="3125" spans="1:12" x14ac:dyDescent="0.25">
      <c r="A3125" s="84" t="str">
        <f t="shared" si="145"/>
        <v>SelecioneSelecioneSelecione</v>
      </c>
      <c r="B3125" s="85" t="s">
        <v>19</v>
      </c>
      <c r="C3125" s="85" t="s">
        <v>19</v>
      </c>
      <c r="D3125" s="86"/>
      <c r="E3125" s="116" t="str">
        <f t="shared" si="146"/>
        <v>-</v>
      </c>
      <c r="F3125" s="85"/>
      <c r="G3125" s="85" t="s">
        <v>19</v>
      </c>
      <c r="H3125" s="85"/>
      <c r="I3125" s="85"/>
      <c r="J3125" s="87"/>
      <c r="K3125" s="88">
        <f t="shared" si="147"/>
        <v>0</v>
      </c>
      <c r="L3125" s="85"/>
    </row>
    <row r="3126" spans="1:12" x14ac:dyDescent="0.25">
      <c r="A3126" s="84" t="str">
        <f t="shared" si="145"/>
        <v>SelecioneSelecioneSelecione</v>
      </c>
      <c r="B3126" s="85" t="s">
        <v>19</v>
      </c>
      <c r="C3126" s="85" t="s">
        <v>19</v>
      </c>
      <c r="D3126" s="86"/>
      <c r="E3126" s="116" t="str">
        <f t="shared" si="146"/>
        <v>-</v>
      </c>
      <c r="F3126" s="85"/>
      <c r="G3126" s="85" t="s">
        <v>19</v>
      </c>
      <c r="H3126" s="85"/>
      <c r="I3126" s="85"/>
      <c r="J3126" s="87"/>
      <c r="K3126" s="88">
        <f t="shared" si="147"/>
        <v>0</v>
      </c>
      <c r="L3126" s="85"/>
    </row>
    <row r="3127" spans="1:12" x14ac:dyDescent="0.25">
      <c r="A3127" s="84" t="str">
        <f t="shared" si="145"/>
        <v>SelecioneSelecioneSelecione</v>
      </c>
      <c r="B3127" s="85" t="s">
        <v>19</v>
      </c>
      <c r="C3127" s="85" t="s">
        <v>19</v>
      </c>
      <c r="D3127" s="86"/>
      <c r="E3127" s="116" t="str">
        <f t="shared" si="146"/>
        <v>-</v>
      </c>
      <c r="F3127" s="85"/>
      <c r="G3127" s="85" t="s">
        <v>19</v>
      </c>
      <c r="H3127" s="85"/>
      <c r="I3127" s="85"/>
      <c r="J3127" s="87"/>
      <c r="K3127" s="88">
        <f t="shared" si="147"/>
        <v>0</v>
      </c>
      <c r="L3127" s="85"/>
    </row>
    <row r="3128" spans="1:12" x14ac:dyDescent="0.25">
      <c r="A3128" s="84" t="str">
        <f t="shared" si="145"/>
        <v>SelecioneSelecioneSelecione</v>
      </c>
      <c r="B3128" s="85" t="s">
        <v>19</v>
      </c>
      <c r="C3128" s="85" t="s">
        <v>19</v>
      </c>
      <c r="D3128" s="86"/>
      <c r="E3128" s="116" t="str">
        <f t="shared" si="146"/>
        <v>-</v>
      </c>
      <c r="F3128" s="85"/>
      <c r="G3128" s="85" t="s">
        <v>19</v>
      </c>
      <c r="H3128" s="85"/>
      <c r="I3128" s="85"/>
      <c r="J3128" s="87"/>
      <c r="K3128" s="88">
        <f t="shared" si="147"/>
        <v>0</v>
      </c>
      <c r="L3128" s="85"/>
    </row>
    <row r="3129" spans="1:12" x14ac:dyDescent="0.25">
      <c r="A3129" s="84" t="str">
        <f t="shared" si="145"/>
        <v>SelecioneSelecioneSelecione</v>
      </c>
      <c r="B3129" s="85" t="s">
        <v>19</v>
      </c>
      <c r="C3129" s="85" t="s">
        <v>19</v>
      </c>
      <c r="D3129" s="86"/>
      <c r="E3129" s="116" t="str">
        <f t="shared" si="146"/>
        <v>-</v>
      </c>
      <c r="F3129" s="85"/>
      <c r="G3129" s="85" t="s">
        <v>19</v>
      </c>
      <c r="H3129" s="85"/>
      <c r="I3129" s="85"/>
      <c r="J3129" s="87"/>
      <c r="K3129" s="88">
        <f t="shared" si="147"/>
        <v>0</v>
      </c>
      <c r="L3129" s="85"/>
    </row>
    <row r="3130" spans="1:12" x14ac:dyDescent="0.25">
      <c r="A3130" s="84" t="str">
        <f t="shared" si="145"/>
        <v>SelecioneSelecioneSelecione</v>
      </c>
      <c r="B3130" s="85" t="s">
        <v>19</v>
      </c>
      <c r="C3130" s="85" t="s">
        <v>19</v>
      </c>
      <c r="D3130" s="93"/>
      <c r="E3130" s="116" t="str">
        <f t="shared" si="146"/>
        <v>-</v>
      </c>
      <c r="F3130" s="90"/>
      <c r="G3130" s="85" t="s">
        <v>19</v>
      </c>
      <c r="H3130" s="85"/>
      <c r="I3130" s="90"/>
      <c r="J3130" s="89"/>
      <c r="K3130" s="88">
        <f t="shared" si="147"/>
        <v>0</v>
      </c>
      <c r="L3130" s="90"/>
    </row>
    <row r="3131" spans="1:12" x14ac:dyDescent="0.25">
      <c r="A3131" s="84" t="str">
        <f t="shared" si="145"/>
        <v>SelecioneSelecioneSelecione</v>
      </c>
      <c r="B3131" s="85" t="s">
        <v>19</v>
      </c>
      <c r="C3131" s="85" t="s">
        <v>19</v>
      </c>
      <c r="D3131" s="86"/>
      <c r="E3131" s="116" t="str">
        <f t="shared" si="146"/>
        <v>-</v>
      </c>
      <c r="F3131" s="85"/>
      <c r="G3131" s="85" t="s">
        <v>19</v>
      </c>
      <c r="H3131" s="85"/>
      <c r="I3131" s="85"/>
      <c r="J3131" s="87"/>
      <c r="K3131" s="88">
        <f t="shared" si="147"/>
        <v>0</v>
      </c>
      <c r="L3131" s="85"/>
    </row>
    <row r="3132" spans="1:12" x14ac:dyDescent="0.25">
      <c r="A3132" s="84" t="str">
        <f t="shared" si="145"/>
        <v>SelecioneSelecioneSelecione</v>
      </c>
      <c r="B3132" s="85" t="s">
        <v>19</v>
      </c>
      <c r="C3132" s="85" t="s">
        <v>19</v>
      </c>
      <c r="D3132" s="86"/>
      <c r="E3132" s="116" t="str">
        <f t="shared" si="146"/>
        <v>-</v>
      </c>
      <c r="F3132" s="85"/>
      <c r="G3132" s="85" t="s">
        <v>19</v>
      </c>
      <c r="H3132" s="85"/>
      <c r="I3132" s="85"/>
      <c r="J3132" s="87"/>
      <c r="K3132" s="88">
        <f t="shared" si="147"/>
        <v>0</v>
      </c>
      <c r="L3132" s="85"/>
    </row>
    <row r="3133" spans="1:12" x14ac:dyDescent="0.25">
      <c r="A3133" s="84" t="str">
        <f t="shared" si="145"/>
        <v>SelecioneSelecioneSelecione</v>
      </c>
      <c r="B3133" s="85" t="s">
        <v>19</v>
      </c>
      <c r="C3133" s="85" t="s">
        <v>19</v>
      </c>
      <c r="D3133" s="93"/>
      <c r="E3133" s="116" t="str">
        <f t="shared" si="146"/>
        <v>-</v>
      </c>
      <c r="F3133" s="90"/>
      <c r="G3133" s="85" t="s">
        <v>19</v>
      </c>
      <c r="H3133" s="85"/>
      <c r="I3133" s="90"/>
      <c r="J3133" s="89"/>
      <c r="K3133" s="88">
        <f t="shared" si="147"/>
        <v>0</v>
      </c>
      <c r="L3133" s="90"/>
    </row>
    <row r="3134" spans="1:12" x14ac:dyDescent="0.25">
      <c r="A3134" s="84" t="str">
        <f t="shared" si="145"/>
        <v>SelecioneSelecioneSelecione</v>
      </c>
      <c r="B3134" s="85" t="s">
        <v>19</v>
      </c>
      <c r="C3134" s="85" t="s">
        <v>19</v>
      </c>
      <c r="D3134" s="86"/>
      <c r="E3134" s="116" t="str">
        <f t="shared" si="146"/>
        <v>-</v>
      </c>
      <c r="F3134" s="85"/>
      <c r="G3134" s="85" t="s">
        <v>19</v>
      </c>
      <c r="H3134" s="85"/>
      <c r="I3134" s="85"/>
      <c r="J3134" s="87"/>
      <c r="K3134" s="88">
        <f t="shared" si="147"/>
        <v>0</v>
      </c>
      <c r="L3134" s="85"/>
    </row>
    <row r="3135" spans="1:12" x14ac:dyDescent="0.25">
      <c r="A3135" s="84" t="str">
        <f t="shared" si="145"/>
        <v>SelecioneSelecioneSelecione</v>
      </c>
      <c r="B3135" s="85" t="s">
        <v>19</v>
      </c>
      <c r="C3135" s="85" t="s">
        <v>19</v>
      </c>
      <c r="D3135" s="86"/>
      <c r="E3135" s="116" t="str">
        <f t="shared" si="146"/>
        <v>-</v>
      </c>
      <c r="F3135" s="85"/>
      <c r="G3135" s="85" t="s">
        <v>19</v>
      </c>
      <c r="H3135" s="85"/>
      <c r="I3135" s="85"/>
      <c r="J3135" s="87"/>
      <c r="K3135" s="88">
        <f t="shared" si="147"/>
        <v>0</v>
      </c>
      <c r="L3135" s="85"/>
    </row>
    <row r="3136" spans="1:12" x14ac:dyDescent="0.25">
      <c r="A3136" s="84" t="str">
        <f t="shared" si="145"/>
        <v>SelecioneSelecioneSelecione</v>
      </c>
      <c r="B3136" s="85" t="s">
        <v>19</v>
      </c>
      <c r="C3136" s="85" t="s">
        <v>19</v>
      </c>
      <c r="D3136" s="86"/>
      <c r="E3136" s="116" t="str">
        <f t="shared" si="146"/>
        <v>-</v>
      </c>
      <c r="F3136" s="85"/>
      <c r="G3136" s="85" t="s">
        <v>19</v>
      </c>
      <c r="H3136" s="85"/>
      <c r="I3136" s="85"/>
      <c r="J3136" s="87"/>
      <c r="K3136" s="88">
        <f t="shared" si="147"/>
        <v>0</v>
      </c>
      <c r="L3136" s="85"/>
    </row>
    <row r="3137" spans="1:12" x14ac:dyDescent="0.25">
      <c r="A3137" s="84" t="str">
        <f t="shared" si="145"/>
        <v>SelecioneSelecioneSelecione</v>
      </c>
      <c r="B3137" s="85" t="s">
        <v>19</v>
      </c>
      <c r="C3137" s="85" t="s">
        <v>19</v>
      </c>
      <c r="D3137" s="93"/>
      <c r="E3137" s="116" t="str">
        <f t="shared" si="146"/>
        <v>-</v>
      </c>
      <c r="F3137" s="90"/>
      <c r="G3137" s="85" t="s">
        <v>19</v>
      </c>
      <c r="H3137" s="85"/>
      <c r="I3137" s="90"/>
      <c r="J3137" s="89"/>
      <c r="K3137" s="88">
        <f t="shared" si="147"/>
        <v>0</v>
      </c>
      <c r="L3137" s="90"/>
    </row>
    <row r="1048576" spans="6:6" x14ac:dyDescent="0.25">
      <c r="F1048576" s="85"/>
    </row>
  </sheetData>
  <sheetProtection selectLockedCells="1" autoFilter="0" pivotTables="0"/>
  <autoFilter ref="B1:L3137" xr:uid="{00000000-0009-0000-0000-000000000000}"/>
  <sortState ref="M2:O971">
    <sortCondition ref="M2"/>
  </sortState>
  <dataValidations xWindow="751" yWindow="588" count="4">
    <dataValidation type="list" allowBlank="1" showInputMessage="1" showErrorMessage="1" sqref="B2:B3137" xr:uid="{00000000-0002-0000-0000-000000000000}">
      <formula1>"Selecione,Janeiro,Fevereiro,Março,Abril,Maio,Junho,Julho,Agosto,Setembro,Outubro,Novembro,Dezembro"</formula1>
    </dataValidation>
    <dataValidation type="list" allowBlank="1" showInputMessage="1" showErrorMessage="1" sqref="C2:C3137" xr:uid="{00000000-0002-0000-0000-000001000000}">
      <formula1>"Selecione,SEMANA 1,SEMANA 2, SEMANA 3, SEMANA 4, SEMANA 5"</formula1>
    </dataValidation>
    <dataValidation type="whole" allowBlank="1" showInputMessage="1" showErrorMessage="1" sqref="D2:D4" xr:uid="{00000000-0002-0000-0000-000002000000}">
      <formula1>1</formula1>
      <formula2>31</formula2>
    </dataValidation>
    <dataValidation type="list" allowBlank="1" showInputMessage="1" showErrorMessage="1" prompt="Dê 02 cliques na célula para pesquisar o produto." sqref="G2:G3137" xr:uid="{00000000-0002-0000-0000-000003000000}">
      <formula1>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XFD1005"/>
  <sheetViews>
    <sheetView showGridLines="0" zoomScale="70" zoomScaleNormal="70" zoomScalePageLayoutView="70" workbookViewId="0">
      <pane xSplit="2" ySplit="3" topLeftCell="BE945" activePane="bottomRight" state="frozen"/>
      <selection pane="topRight" activeCell="C1" sqref="C1"/>
      <selection pane="bottomLeft" activeCell="A4" sqref="A4"/>
      <selection pane="bottomRight" activeCell="XFD1" sqref="XFD1"/>
    </sheetView>
  </sheetViews>
  <sheetFormatPr defaultColWidth="9.140625" defaultRowHeight="15" x14ac:dyDescent="0.25"/>
  <cols>
    <col min="1" max="1" width="52.7109375" style="112" bestFit="1" customWidth="1"/>
    <col min="2" max="2" width="1.7109375" style="13" customWidth="1"/>
    <col min="3" max="3" width="16.85546875" style="3" bestFit="1" customWidth="1"/>
    <col min="4" max="4" width="1.7109375" style="3" customWidth="1"/>
    <col min="5" max="5" width="5.85546875" style="3" hidden="1" customWidth="1"/>
    <col min="6" max="6" width="10.85546875" style="3" bestFit="1" customWidth="1"/>
    <col min="7" max="10" width="15.28515625" style="3" customWidth="1"/>
    <col min="11" max="12" width="16.140625" style="3" bestFit="1" customWidth="1"/>
    <col min="13" max="13" width="16.42578125" style="3" bestFit="1" customWidth="1"/>
    <col min="14" max="14" width="17.7109375" style="3" bestFit="1" customWidth="1"/>
    <col min="15" max="15" width="14" style="3" bestFit="1" customWidth="1"/>
    <col min="16" max="16" width="1.7109375" style="3" customWidth="1"/>
    <col min="17" max="17" width="8.7109375" style="3" hidden="1" customWidth="1"/>
    <col min="18" max="18" width="14.28515625" style="3" customWidth="1"/>
    <col min="19" max="19" width="16.85546875" style="3" bestFit="1" customWidth="1"/>
    <col min="20" max="24" width="16.140625" style="3" bestFit="1" customWidth="1"/>
    <col min="25" max="25" width="16.42578125" style="3" bestFit="1" customWidth="1"/>
    <col min="26" max="26" width="17.7109375" style="3" bestFit="1" customWidth="1"/>
    <col min="27" max="27" width="14" style="3" bestFit="1" customWidth="1"/>
    <col min="28" max="28" width="1.7109375" style="3" customWidth="1"/>
    <col min="29" max="29" width="6.42578125" style="3" hidden="1" customWidth="1"/>
    <col min="30" max="30" width="10.85546875" style="3" bestFit="1" customWidth="1"/>
    <col min="31" max="31" width="16.85546875" style="3" bestFit="1" customWidth="1"/>
    <col min="32" max="32" width="15.28515625" style="3" customWidth="1"/>
    <col min="33" max="34" width="16.140625" style="3" bestFit="1" customWidth="1"/>
    <col min="35" max="35" width="15.7109375" style="3" bestFit="1" customWidth="1"/>
    <col min="36" max="36" width="16.140625" style="3" bestFit="1" customWidth="1"/>
    <col min="37" max="37" width="16.42578125" style="3" bestFit="1" customWidth="1"/>
    <col min="38" max="38" width="17.7109375" style="3" bestFit="1" customWidth="1"/>
    <col min="39" max="39" width="14" style="3" bestFit="1" customWidth="1"/>
    <col min="40" max="40" width="1.7109375" style="3" customWidth="1"/>
    <col min="41" max="41" width="6.42578125" style="3" hidden="1" customWidth="1"/>
    <col min="42" max="42" width="10.85546875" style="3" bestFit="1" customWidth="1"/>
    <col min="43" max="43" width="16.85546875" style="3" bestFit="1" customWidth="1"/>
    <col min="44" max="44" width="15.28515625" style="3" customWidth="1"/>
    <col min="45" max="45" width="16.140625" style="3" bestFit="1" customWidth="1"/>
    <col min="46" max="46" width="18.140625" style="3" customWidth="1"/>
    <col min="47" max="47" width="17.42578125" style="3" customWidth="1"/>
    <col min="48" max="48" width="18.42578125" style="3" customWidth="1"/>
    <col min="49" max="49" width="19.140625" style="3" customWidth="1"/>
    <col min="50" max="50" width="17.7109375" style="3" bestFit="1" customWidth="1"/>
    <col min="51" max="51" width="14" style="3" bestFit="1" customWidth="1"/>
    <col min="52" max="52" width="1.7109375" style="3" customWidth="1"/>
    <col min="53" max="53" width="11.85546875" style="3" hidden="1" customWidth="1"/>
    <col min="54" max="54" width="10.85546875" style="3" bestFit="1" customWidth="1"/>
    <col min="55" max="55" width="18.140625" style="3" customWidth="1"/>
    <col min="56" max="56" width="17.7109375" style="3" customWidth="1"/>
    <col min="57" max="57" width="18.42578125" style="3" customWidth="1"/>
    <col min="58" max="58" width="19.42578125" style="3" customWidth="1"/>
    <col min="59" max="59" width="18.85546875" style="3" customWidth="1"/>
    <col min="60" max="60" width="18.42578125" style="3" customWidth="1"/>
    <col min="61" max="61" width="17.85546875" style="3" customWidth="1"/>
    <col min="62" max="62" width="17.28515625" style="3" customWidth="1"/>
    <col min="63" max="63" width="19.85546875" style="3" customWidth="1"/>
    <col min="64" max="64" width="19" style="3" customWidth="1"/>
    <col min="65" max="65" width="1.7109375" style="3" customWidth="1"/>
    <col min="66" max="66" width="21.28515625" style="1" customWidth="1"/>
    <col min="67" max="67" width="24.28515625" style="1" bestFit="1" customWidth="1"/>
    <col min="68" max="68" width="1.7109375" style="3" customWidth="1"/>
    <col min="69" max="69" width="6.42578125" style="143" hidden="1" customWidth="1"/>
    <col min="70" max="70" width="8.42578125" style="143" hidden="1" customWidth="1"/>
    <col min="71" max="71" width="12.140625" style="143" hidden="1" customWidth="1"/>
    <col min="72" max="72" width="6.42578125" style="143" hidden="1" customWidth="1"/>
    <col min="73" max="74" width="9.140625" style="143" customWidth="1"/>
    <col min="75" max="77" width="9.140625" style="1" customWidth="1"/>
    <col min="78" max="16384" width="9.140625" style="1"/>
  </cols>
  <sheetData>
    <row r="1" spans="1:74 16384:16384" ht="15.75" customHeight="1" thickBot="1" x14ac:dyDescent="0.3">
      <c r="A1" s="159" t="s">
        <v>0</v>
      </c>
      <c r="B1" s="12"/>
      <c r="C1" s="72" t="s">
        <v>28</v>
      </c>
      <c r="D1" s="24"/>
      <c r="F1" s="156" t="s">
        <v>20</v>
      </c>
      <c r="G1" s="157"/>
      <c r="H1" s="157"/>
      <c r="I1" s="157"/>
      <c r="J1" s="157"/>
      <c r="K1" s="157"/>
      <c r="L1" s="157"/>
      <c r="M1" s="157"/>
      <c r="N1" s="157"/>
      <c r="O1" s="157"/>
      <c r="P1" s="24"/>
      <c r="R1" s="156" t="s">
        <v>21</v>
      </c>
      <c r="S1" s="157"/>
      <c r="T1" s="157"/>
      <c r="U1" s="157"/>
      <c r="V1" s="157"/>
      <c r="W1" s="157"/>
      <c r="X1" s="157"/>
      <c r="Y1" s="157"/>
      <c r="Z1" s="157"/>
      <c r="AA1" s="157"/>
      <c r="AB1" s="24"/>
      <c r="AD1" s="156" t="s">
        <v>22</v>
      </c>
      <c r="AE1" s="157"/>
      <c r="AF1" s="157"/>
      <c r="AG1" s="157"/>
      <c r="AH1" s="157"/>
      <c r="AI1" s="157"/>
      <c r="AJ1" s="157"/>
      <c r="AK1" s="157"/>
      <c r="AL1" s="157"/>
      <c r="AM1" s="157"/>
      <c r="AN1" s="24"/>
      <c r="AP1" s="156" t="s">
        <v>23</v>
      </c>
      <c r="AQ1" s="157"/>
      <c r="AR1" s="157"/>
      <c r="AS1" s="157"/>
      <c r="AT1" s="157"/>
      <c r="AU1" s="157"/>
      <c r="AV1" s="157"/>
      <c r="AW1" s="157"/>
      <c r="AX1" s="157"/>
      <c r="AY1" s="157"/>
      <c r="AZ1" s="24"/>
      <c r="BB1" s="156" t="s">
        <v>24</v>
      </c>
      <c r="BC1" s="157"/>
      <c r="BD1" s="157"/>
      <c r="BE1" s="157"/>
      <c r="BF1" s="157"/>
      <c r="BG1" s="157"/>
      <c r="BH1" s="157"/>
      <c r="BI1" s="157"/>
      <c r="BJ1" s="157"/>
      <c r="BK1" s="157"/>
      <c r="BL1" s="158"/>
      <c r="BM1" s="49"/>
      <c r="BN1" s="152" t="s">
        <v>53</v>
      </c>
      <c r="BO1" s="152" t="s">
        <v>54</v>
      </c>
      <c r="BP1" s="49"/>
      <c r="XFD1" s="142"/>
    </row>
    <row r="2" spans="1:74 16384:16384" x14ac:dyDescent="0.25">
      <c r="A2" s="160"/>
      <c r="B2" s="12"/>
      <c r="C2" s="73" t="s">
        <v>37</v>
      </c>
      <c r="D2" s="25"/>
      <c r="E2" s="4"/>
      <c r="F2" s="154" t="s">
        <v>1</v>
      </c>
      <c r="G2" s="20" t="s">
        <v>2</v>
      </c>
      <c r="H2" s="20" t="s">
        <v>3</v>
      </c>
      <c r="I2" s="20" t="s">
        <v>4</v>
      </c>
      <c r="J2" s="20" t="s">
        <v>5</v>
      </c>
      <c r="K2" s="20" t="s">
        <v>6</v>
      </c>
      <c r="L2" s="20" t="s">
        <v>7</v>
      </c>
      <c r="M2" s="20" t="s">
        <v>10</v>
      </c>
      <c r="N2" s="154" t="s">
        <v>8</v>
      </c>
      <c r="O2" s="154" t="s">
        <v>9</v>
      </c>
      <c r="P2" s="25"/>
      <c r="Q2" s="4"/>
      <c r="R2" s="154" t="s">
        <v>1</v>
      </c>
      <c r="S2" s="20" t="s">
        <v>2</v>
      </c>
      <c r="T2" s="20" t="s">
        <v>3</v>
      </c>
      <c r="U2" s="20" t="s">
        <v>4</v>
      </c>
      <c r="V2" s="20" t="s">
        <v>5</v>
      </c>
      <c r="W2" s="20" t="s">
        <v>6</v>
      </c>
      <c r="X2" s="20" t="s">
        <v>7</v>
      </c>
      <c r="Y2" s="20" t="s">
        <v>10</v>
      </c>
      <c r="Z2" s="154" t="s">
        <v>8</v>
      </c>
      <c r="AA2" s="154" t="s">
        <v>9</v>
      </c>
      <c r="AB2" s="25"/>
      <c r="AC2" s="4"/>
      <c r="AD2" s="154" t="s">
        <v>1</v>
      </c>
      <c r="AE2" s="20" t="s">
        <v>2</v>
      </c>
      <c r="AF2" s="20" t="s">
        <v>3</v>
      </c>
      <c r="AG2" s="20" t="s">
        <v>4</v>
      </c>
      <c r="AH2" s="20" t="s">
        <v>5</v>
      </c>
      <c r="AI2" s="20" t="s">
        <v>6</v>
      </c>
      <c r="AJ2" s="20" t="s">
        <v>7</v>
      </c>
      <c r="AK2" s="20" t="s">
        <v>10</v>
      </c>
      <c r="AL2" s="154" t="s">
        <v>8</v>
      </c>
      <c r="AM2" s="154" t="s">
        <v>9</v>
      </c>
      <c r="AN2" s="25"/>
      <c r="AO2" s="4"/>
      <c r="AP2" s="154" t="s">
        <v>1</v>
      </c>
      <c r="AQ2" s="20" t="s">
        <v>2</v>
      </c>
      <c r="AR2" s="20" t="s">
        <v>3</v>
      </c>
      <c r="AS2" s="20" t="s">
        <v>4</v>
      </c>
      <c r="AT2" s="20" t="s">
        <v>5</v>
      </c>
      <c r="AU2" s="20" t="s">
        <v>6</v>
      </c>
      <c r="AV2" s="20" t="s">
        <v>7</v>
      </c>
      <c r="AW2" s="20" t="s">
        <v>10</v>
      </c>
      <c r="AX2" s="154" t="s">
        <v>8</v>
      </c>
      <c r="AY2" s="154" t="s">
        <v>9</v>
      </c>
      <c r="AZ2" s="25"/>
      <c r="BA2" s="4"/>
      <c r="BB2" s="154" t="s">
        <v>1</v>
      </c>
      <c r="BC2" s="20" t="s">
        <v>2</v>
      </c>
      <c r="BD2" s="20" t="s">
        <v>3</v>
      </c>
      <c r="BE2" s="20" t="s">
        <v>4</v>
      </c>
      <c r="BF2" s="75" t="s">
        <v>5</v>
      </c>
      <c r="BG2" s="75" t="s">
        <v>6</v>
      </c>
      <c r="BH2" s="75" t="s">
        <v>7</v>
      </c>
      <c r="BI2" s="75" t="s">
        <v>10</v>
      </c>
      <c r="BJ2" s="75" t="s">
        <v>2</v>
      </c>
      <c r="BK2" s="154" t="s">
        <v>8</v>
      </c>
      <c r="BL2" s="154" t="s">
        <v>9</v>
      </c>
      <c r="BM2" s="50"/>
      <c r="BN2" s="153"/>
      <c r="BO2" s="153"/>
      <c r="BP2" s="50"/>
      <c r="BQ2" s="144"/>
      <c r="BR2" s="144"/>
      <c r="BS2" s="144"/>
    </row>
    <row r="3" spans="1:74 16384:16384" s="16" customFormat="1" ht="30" customHeight="1" thickBot="1" x14ac:dyDescent="0.3">
      <c r="A3" s="160"/>
      <c r="B3" s="14"/>
      <c r="C3" s="121" t="s">
        <v>27</v>
      </c>
      <c r="D3" s="25"/>
      <c r="E3" s="15"/>
      <c r="F3" s="155"/>
      <c r="G3" s="21">
        <v>1</v>
      </c>
      <c r="H3" s="21">
        <v>2</v>
      </c>
      <c r="I3" s="21">
        <v>3</v>
      </c>
      <c r="J3" s="21">
        <v>4</v>
      </c>
      <c r="K3" s="21">
        <v>5</v>
      </c>
      <c r="L3" s="21">
        <v>6</v>
      </c>
      <c r="M3" s="21">
        <v>7</v>
      </c>
      <c r="N3" s="155"/>
      <c r="O3" s="155"/>
      <c r="P3" s="25"/>
      <c r="Q3" s="15"/>
      <c r="R3" s="155"/>
      <c r="S3" s="21">
        <v>8</v>
      </c>
      <c r="T3" s="21">
        <v>9</v>
      </c>
      <c r="U3" s="21">
        <v>10</v>
      </c>
      <c r="V3" s="21">
        <v>11</v>
      </c>
      <c r="W3" s="21">
        <v>12</v>
      </c>
      <c r="X3" s="21">
        <v>13</v>
      </c>
      <c r="Y3" s="21">
        <v>14</v>
      </c>
      <c r="Z3" s="155"/>
      <c r="AA3" s="155"/>
      <c r="AB3" s="25"/>
      <c r="AC3" s="15"/>
      <c r="AD3" s="155"/>
      <c r="AE3" s="21">
        <v>15</v>
      </c>
      <c r="AF3" s="21">
        <v>16</v>
      </c>
      <c r="AG3" s="21">
        <v>17</v>
      </c>
      <c r="AH3" s="21">
        <v>18</v>
      </c>
      <c r="AI3" s="21">
        <v>19</v>
      </c>
      <c r="AJ3" s="21">
        <v>20</v>
      </c>
      <c r="AK3" s="21">
        <v>21</v>
      </c>
      <c r="AL3" s="155"/>
      <c r="AM3" s="155"/>
      <c r="AN3" s="25"/>
      <c r="AO3" s="15"/>
      <c r="AP3" s="155"/>
      <c r="AQ3" s="21">
        <v>22</v>
      </c>
      <c r="AR3" s="21">
        <v>23</v>
      </c>
      <c r="AS3" s="21">
        <v>242</v>
      </c>
      <c r="AT3" s="21">
        <v>25</v>
      </c>
      <c r="AU3" s="21">
        <v>26</v>
      </c>
      <c r="AV3" s="21">
        <v>27</v>
      </c>
      <c r="AW3" s="21">
        <v>28</v>
      </c>
      <c r="AX3" s="155"/>
      <c r="AY3" s="155"/>
      <c r="AZ3" s="25"/>
      <c r="BA3" s="15"/>
      <c r="BB3" s="155"/>
      <c r="BC3" s="21">
        <v>29</v>
      </c>
      <c r="BD3" s="21">
        <v>30</v>
      </c>
      <c r="BE3" s="21">
        <v>31</v>
      </c>
      <c r="BF3" s="76">
        <v>1</v>
      </c>
      <c r="BG3" s="76">
        <v>2</v>
      </c>
      <c r="BH3" s="76">
        <v>3</v>
      </c>
      <c r="BI3" s="76">
        <v>4</v>
      </c>
      <c r="BJ3" s="76">
        <v>5</v>
      </c>
      <c r="BK3" s="155"/>
      <c r="BL3" s="155"/>
      <c r="BM3" s="50"/>
      <c r="BN3" s="153"/>
      <c r="BO3" s="153"/>
      <c r="BP3" s="50"/>
      <c r="BQ3" s="145"/>
      <c r="BR3" s="145" t="s">
        <v>55</v>
      </c>
      <c r="BS3" s="145" t="s">
        <v>56</v>
      </c>
      <c r="BT3" s="146"/>
      <c r="BU3" s="146"/>
      <c r="BV3" s="146"/>
    </row>
    <row r="4" spans="1:74 16384:16384" s="16" customFormat="1" ht="30" customHeight="1" thickBot="1" x14ac:dyDescent="0.3">
      <c r="A4" s="139" t="s">
        <v>919</v>
      </c>
      <c r="B4" s="130"/>
      <c r="C4" s="131"/>
      <c r="D4" s="132"/>
      <c r="E4" s="133"/>
      <c r="F4" s="134"/>
      <c r="G4" s="133"/>
      <c r="H4" s="133"/>
      <c r="I4" s="133"/>
      <c r="J4" s="133"/>
      <c r="K4" s="133"/>
      <c r="L4" s="133"/>
      <c r="M4" s="133"/>
      <c r="N4" s="134"/>
      <c r="O4" s="134"/>
      <c r="P4" s="132"/>
      <c r="Q4" s="133"/>
      <c r="R4" s="134"/>
      <c r="S4" s="133"/>
      <c r="T4" s="133"/>
      <c r="U4" s="133"/>
      <c r="V4" s="133"/>
      <c r="W4" s="133"/>
      <c r="X4" s="133"/>
      <c r="Y4" s="133"/>
      <c r="Z4" s="134"/>
      <c r="AA4" s="134"/>
      <c r="AB4" s="132"/>
      <c r="AC4" s="133"/>
      <c r="AD4" s="134"/>
      <c r="AE4" s="133"/>
      <c r="AF4" s="133"/>
      <c r="AG4" s="133"/>
      <c r="AH4" s="133"/>
      <c r="AI4" s="133"/>
      <c r="AJ4" s="133"/>
      <c r="AK4" s="133"/>
      <c r="AL4" s="134"/>
      <c r="AM4" s="134"/>
      <c r="AN4" s="132"/>
      <c r="AO4" s="133"/>
      <c r="AP4" s="134"/>
      <c r="AQ4" s="133"/>
      <c r="AR4" s="133"/>
      <c r="AS4" s="133"/>
      <c r="AT4" s="133"/>
      <c r="AU4" s="133"/>
      <c r="AV4" s="133"/>
      <c r="AW4" s="133"/>
      <c r="AX4" s="134"/>
      <c r="AY4" s="134"/>
      <c r="AZ4" s="132"/>
      <c r="BA4" s="133"/>
      <c r="BB4" s="134"/>
      <c r="BC4" s="133"/>
      <c r="BD4" s="133"/>
      <c r="BE4" s="133"/>
      <c r="BF4" s="135"/>
      <c r="BG4" s="135"/>
      <c r="BH4" s="135"/>
      <c r="BI4" s="135"/>
      <c r="BJ4" s="135"/>
      <c r="BK4" s="134"/>
      <c r="BL4" s="134"/>
      <c r="BM4" s="136"/>
      <c r="BN4" s="137"/>
      <c r="BO4" s="137"/>
      <c r="BP4" s="138"/>
      <c r="BQ4" s="145"/>
      <c r="BR4" s="145"/>
      <c r="BS4" s="145"/>
      <c r="BT4" s="146"/>
      <c r="BU4" s="146"/>
      <c r="BV4" s="146"/>
    </row>
    <row r="5" spans="1:74 16384:16384" x14ac:dyDescent="0.25">
      <c r="A5" s="122" t="s">
        <v>89</v>
      </c>
      <c r="B5" s="12"/>
      <c r="C5" s="123"/>
      <c r="D5" s="25"/>
      <c r="E5" s="124" t="str">
        <f t="shared" ref="E5:E71" si="0">CONCATENATE($C$2,$F$1,$A5)</f>
        <v>OutubroSEMANA 1Água Mineral Bb 5 lt</v>
      </c>
      <c r="F5" s="125">
        <f>SUMIF(NF!$A:$A,$E5,NF!$I:$I)</f>
        <v>0</v>
      </c>
      <c r="G5" s="127"/>
      <c r="H5" s="127"/>
      <c r="I5" s="127"/>
      <c r="J5" s="127"/>
      <c r="K5" s="127"/>
      <c r="L5" s="127"/>
      <c r="M5" s="127"/>
      <c r="N5" s="125">
        <f t="shared" ref="N5" si="1">SUM(G5:M5)</f>
        <v>0</v>
      </c>
      <c r="O5" s="128">
        <f t="shared" ref="O5:O65" si="2">F5+C5-N5</f>
        <v>0</v>
      </c>
      <c r="P5" s="25"/>
      <c r="Q5" s="124" t="str">
        <f t="shared" ref="Q5:Q71" si="3">CONCATENATE($C$2,$R$1,$A5)</f>
        <v>OutubroSEMANA 2Água Mineral Bb 5 lt</v>
      </c>
      <c r="R5" s="125">
        <f>SUMIF(NF!$A:$A,$Q5,NF!$I:$I)</f>
        <v>0</v>
      </c>
      <c r="S5" s="127"/>
      <c r="T5" s="127"/>
      <c r="U5" s="127"/>
      <c r="V5" s="127"/>
      <c r="W5" s="127"/>
      <c r="X5" s="127"/>
      <c r="Y5" s="127"/>
      <c r="Z5" s="125">
        <f t="shared" ref="Z5" si="4">SUM(S5:Y5)</f>
        <v>0</v>
      </c>
      <c r="AA5" s="128">
        <f t="shared" ref="AA5:AA65" si="5">R5+O5-Z5</f>
        <v>0</v>
      </c>
      <c r="AB5" s="25"/>
      <c r="AC5" s="124" t="str">
        <f t="shared" ref="AC5:AC71" si="6">CONCATENATE($C$2,$AD$1,$A5)</f>
        <v>OutubroSEMANA 3Água Mineral Bb 5 lt</v>
      </c>
      <c r="AD5" s="125">
        <f>SUMIF(NF!$A:$A,$AC5,NF!$I:$I)</f>
        <v>0</v>
      </c>
      <c r="AE5" s="127"/>
      <c r="AF5" s="127"/>
      <c r="AG5" s="127"/>
      <c r="AH5" s="127"/>
      <c r="AI5" s="127"/>
      <c r="AJ5" s="127"/>
      <c r="AK5" s="127"/>
      <c r="AL5" s="125">
        <f t="shared" ref="AL5" si="7">SUM(AE5:AK5)</f>
        <v>0</v>
      </c>
      <c r="AM5" s="128">
        <f t="shared" ref="AM5:AM65" si="8">AD5+AA5-AL5</f>
        <v>0</v>
      </c>
      <c r="AN5" s="25"/>
      <c r="AO5" s="124" t="str">
        <f t="shared" ref="AO5:AO71" si="9">CONCATENATE($C$2,$AP$1,$A5)</f>
        <v>OutubroSEMANA 4Água Mineral Bb 5 lt</v>
      </c>
      <c r="AP5" s="125">
        <f>SUMIF(NF!$A:$A,$AO5,NF!$I:$I)</f>
        <v>0</v>
      </c>
      <c r="AQ5" s="127"/>
      <c r="AR5" s="127"/>
      <c r="AS5" s="127"/>
      <c r="AT5" s="127"/>
      <c r="AU5" s="127"/>
      <c r="AV5" s="127"/>
      <c r="AW5" s="127"/>
      <c r="AX5" s="125">
        <f t="shared" ref="AX5" si="10">SUM(AQ5:AW5)</f>
        <v>0</v>
      </c>
      <c r="AY5" s="128">
        <f t="shared" ref="AY5:AY65" si="11">AP5+AM5-AX5</f>
        <v>0</v>
      </c>
      <c r="AZ5" s="25"/>
      <c r="BA5" s="124" t="str">
        <f t="shared" ref="BA5:BA71" si="12">CONCATENATE($C$2,$BB$1,$A5)</f>
        <v>OutubroSEMANA 5Água Mineral Bb 5 lt</v>
      </c>
      <c r="BB5" s="125">
        <f>SUMIF(NF!$A:$A,$BA5,NF!$I:$I)</f>
        <v>0</v>
      </c>
      <c r="BC5" s="127"/>
      <c r="BD5" s="127"/>
      <c r="BE5" s="127"/>
      <c r="BF5" s="126"/>
      <c r="BG5" s="126"/>
      <c r="BH5" s="126"/>
      <c r="BI5" s="126"/>
      <c r="BJ5" s="126"/>
      <c r="BK5" s="125">
        <f t="shared" ref="BK5" si="13">SUM(BC5:BJ5)</f>
        <v>0</v>
      </c>
      <c r="BL5" s="129">
        <f t="shared" ref="BL5:BL65" si="14">BB5+AY5-BK5</f>
        <v>0</v>
      </c>
      <c r="BM5" s="51" t="str">
        <f>IFERROR(VLOOKUP(A5,NF!$M:$O,3,0),"")</f>
        <v>Bebidas</v>
      </c>
      <c r="BN5" s="125">
        <f t="shared" ref="BN5:BN65" si="15">SUM(N5,Z5,AL5,AX5,BK5)</f>
        <v>0</v>
      </c>
      <c r="BO5" s="129">
        <f t="array" ref="BO5">IFERROR(LARGE(IF(NF!$G$2:$G$3137='Mês atual'!A5,NF!$J$2:$J$3137),1),0)*BN5</f>
        <v>0</v>
      </c>
      <c r="BP5" s="50"/>
      <c r="BR5" s="147">
        <f t="array" ref="BR5">IFERROR(LARGE(IF(NF!$G$2:$G$3137='Mês atual'!A5,NF!$J$2:$J$3137),1),0)</f>
        <v>0</v>
      </c>
      <c r="BS5" s="143" t="str">
        <f>VLOOKUP(A5,NF!M:O,3,0)</f>
        <v>Bebidas</v>
      </c>
    </row>
    <row r="6" spans="1:74 16384:16384" x14ac:dyDescent="0.25">
      <c r="A6" s="108" t="s">
        <v>90</v>
      </c>
      <c r="B6" s="12"/>
      <c r="C6" s="9">
        <f>156+44</f>
        <v>200</v>
      </c>
      <c r="D6" s="25"/>
      <c r="E6" s="10" t="str">
        <f t="shared" si="0"/>
        <v>OutubroSEMANA 1Água Mineral com Gás</v>
      </c>
      <c r="F6" s="7">
        <f>SUMIF(NF!$A:$A,$E6,NF!$I:$I)</f>
        <v>144</v>
      </c>
      <c r="G6" s="6">
        <f>7+17</f>
        <v>24</v>
      </c>
      <c r="H6" s="6">
        <f>3+5+7</f>
        <v>15</v>
      </c>
      <c r="I6" s="6">
        <f>1+6+6</f>
        <v>13</v>
      </c>
      <c r="J6" s="6">
        <f>6+14</f>
        <v>20</v>
      </c>
      <c r="K6" s="6">
        <f>2+2+12</f>
        <v>16</v>
      </c>
      <c r="L6" s="6">
        <f>6+12+21</f>
        <v>39</v>
      </c>
      <c r="M6" s="6">
        <f>2+11+4</f>
        <v>17</v>
      </c>
      <c r="N6" s="7">
        <f t="shared" ref="N6:N28" si="16">SUM(G6:M6)</f>
        <v>144</v>
      </c>
      <c r="O6" s="11">
        <f t="shared" si="2"/>
        <v>200</v>
      </c>
      <c r="P6" s="25"/>
      <c r="Q6" s="10" t="str">
        <f t="shared" si="3"/>
        <v>OutubroSEMANA 2Água Mineral com Gás</v>
      </c>
      <c r="R6" s="7">
        <f>SUMIF(NF!$A:$A,$Q6,NF!$I:$I)</f>
        <v>132</v>
      </c>
      <c r="S6" s="6">
        <f>3+10+15</f>
        <v>28</v>
      </c>
      <c r="T6" s="6">
        <f>2+10+11</f>
        <v>23</v>
      </c>
      <c r="U6" s="6">
        <f>5+6+15</f>
        <v>26</v>
      </c>
      <c r="V6" s="6">
        <f>3+7+3</f>
        <v>13</v>
      </c>
      <c r="W6" s="6">
        <f>1+14+4</f>
        <v>19</v>
      </c>
      <c r="X6" s="6">
        <f>1+6+12+4</f>
        <v>23</v>
      </c>
      <c r="Y6" s="6">
        <f>2+9+9</f>
        <v>20</v>
      </c>
      <c r="Z6" s="7">
        <f t="shared" ref="Z6:Z28" si="17">SUM(S6:Y6)</f>
        <v>152</v>
      </c>
      <c r="AA6" s="11">
        <f t="shared" si="5"/>
        <v>180</v>
      </c>
      <c r="AB6" s="25"/>
      <c r="AC6" s="10" t="str">
        <f t="shared" si="6"/>
        <v>OutubroSEMANA 3Água Mineral com Gás</v>
      </c>
      <c r="AD6" s="7">
        <f>SUMIF(NF!$A:$A,$AC6,NF!$I:$I)</f>
        <v>126</v>
      </c>
      <c r="AE6" s="6">
        <f>6+7+7</f>
        <v>20</v>
      </c>
      <c r="AF6" s="6">
        <f>2+2+9</f>
        <v>13</v>
      </c>
      <c r="AG6" s="6">
        <f>5+10+6</f>
        <v>21</v>
      </c>
      <c r="AH6" s="6">
        <f>6+4+11</f>
        <v>21</v>
      </c>
      <c r="AI6" s="6">
        <f>4+11+8</f>
        <v>23</v>
      </c>
      <c r="AJ6" s="6">
        <f>8+5+9</f>
        <v>22</v>
      </c>
      <c r="AK6" s="6">
        <f>2+17+4</f>
        <v>23</v>
      </c>
      <c r="AL6" s="7">
        <f t="shared" ref="AL6:AL28" si="18">SUM(AE6:AK6)</f>
        <v>143</v>
      </c>
      <c r="AM6" s="11">
        <f t="shared" si="8"/>
        <v>163</v>
      </c>
      <c r="AN6" s="25"/>
      <c r="AO6" s="10" t="str">
        <f t="shared" si="9"/>
        <v>OutubroSEMANA 4Água Mineral com Gás</v>
      </c>
      <c r="AP6" s="7">
        <f>SUMIF(NF!$A:$A,$AO6,NF!$I:$I)</f>
        <v>150</v>
      </c>
      <c r="AQ6" s="6">
        <f>2+10+4</f>
        <v>16</v>
      </c>
      <c r="AR6" s="6">
        <f>2+2+6</f>
        <v>10</v>
      </c>
      <c r="AS6" s="6">
        <f>6+11+3</f>
        <v>20</v>
      </c>
      <c r="AT6" s="6">
        <f>5+5</f>
        <v>10</v>
      </c>
      <c r="AU6" s="6">
        <f>2+5+5</f>
        <v>12</v>
      </c>
      <c r="AV6" s="6">
        <f>8+9</f>
        <v>17</v>
      </c>
      <c r="AW6" s="6">
        <f>2+13+6</f>
        <v>21</v>
      </c>
      <c r="AX6" s="7">
        <f t="shared" ref="AX6:AX28" si="19">SUM(AQ6:AW6)</f>
        <v>106</v>
      </c>
      <c r="AY6" s="11">
        <f t="shared" si="11"/>
        <v>207</v>
      </c>
      <c r="AZ6" s="25"/>
      <c r="BA6" s="10" t="str">
        <f t="shared" si="12"/>
        <v>OutubroSEMANA 5Água Mineral com Gás</v>
      </c>
      <c r="BB6" s="7">
        <f>SUMIF(NF!$A:$A,$BA6,NF!$I:$I)</f>
        <v>0</v>
      </c>
      <c r="BC6" s="6">
        <f>1+13+6</f>
        <v>20</v>
      </c>
      <c r="BD6" s="6">
        <f>2+4+4</f>
        <v>10</v>
      </c>
      <c r="BE6" s="6">
        <f>7+4+6+4</f>
        <v>21</v>
      </c>
      <c r="BF6" s="74"/>
      <c r="BG6" s="74"/>
      <c r="BH6" s="74"/>
      <c r="BI6" s="74"/>
      <c r="BJ6" s="74"/>
      <c r="BK6" s="7">
        <f t="shared" ref="BK6:BK28" si="20">SUM(BC6:BJ6)</f>
        <v>51</v>
      </c>
      <c r="BL6" s="8">
        <f t="shared" si="14"/>
        <v>156</v>
      </c>
      <c r="BM6" s="51" t="str">
        <f>IFERROR(VLOOKUP(A6,NF!$M:$O,3,0),"")</f>
        <v>Bebidas</v>
      </c>
      <c r="BN6" s="7">
        <f t="shared" si="15"/>
        <v>596</v>
      </c>
      <c r="BO6" s="8">
        <f t="array" ref="BO6">IFERROR(LARGE(IF(NF!$G$2:$G$3137='Mês atual'!A6,NF!$J$2:$J$3137),1),0)*BN6</f>
        <v>747.412380952381</v>
      </c>
      <c r="BP6" s="50"/>
      <c r="BR6" s="147">
        <f t="array" ref="BR6">IFERROR(LARGE(IF(NF!$G$2:$G$3137='Mês atual'!A6,NF!$J$2:$J$3137),1),0)</f>
        <v>1.2540476190476191</v>
      </c>
      <c r="BS6" s="143" t="str">
        <f>VLOOKUP(A6,NF!M:O,3,0)</f>
        <v>Bebidas</v>
      </c>
    </row>
    <row r="7" spans="1:74 16384:16384" x14ac:dyDescent="0.25">
      <c r="A7" s="108" t="s">
        <v>91</v>
      </c>
      <c r="B7" s="12"/>
      <c r="C7" s="9">
        <f>180+56</f>
        <v>236</v>
      </c>
      <c r="D7" s="25"/>
      <c r="E7" s="10" t="str">
        <f t="shared" si="0"/>
        <v>OutubroSEMANA 1Água Mineral sem Gás</v>
      </c>
      <c r="F7" s="7">
        <f>SUMIF(NF!$A:$A,$E7,NF!$I:$I)</f>
        <v>150</v>
      </c>
      <c r="G7" s="6">
        <f>7+23+11</f>
        <v>41</v>
      </c>
      <c r="H7" s="6">
        <f>2+8+10</f>
        <v>20</v>
      </c>
      <c r="I7" s="6">
        <f>2+9+9</f>
        <v>20</v>
      </c>
      <c r="J7" s="6">
        <f>12+2+15</f>
        <v>29</v>
      </c>
      <c r="K7" s="6">
        <f>10+6+14</f>
        <v>30</v>
      </c>
      <c r="L7" s="6">
        <f>4+13+2-16</f>
        <v>3</v>
      </c>
      <c r="M7" s="6">
        <f>4+11+10</f>
        <v>25</v>
      </c>
      <c r="N7" s="7">
        <f t="shared" si="16"/>
        <v>168</v>
      </c>
      <c r="O7" s="11">
        <f t="shared" si="2"/>
        <v>218</v>
      </c>
      <c r="P7" s="25"/>
      <c r="Q7" s="10" t="str">
        <f t="shared" si="3"/>
        <v>OutubroSEMANA 2Água Mineral sem Gás</v>
      </c>
      <c r="R7" s="7">
        <f>SUMIF(NF!$A:$A,$Q7,NF!$I:$I)</f>
        <v>120</v>
      </c>
      <c r="S7" s="6">
        <f>1+4+17+14</f>
        <v>36</v>
      </c>
      <c r="T7" s="6">
        <f>5+6+5</f>
        <v>16</v>
      </c>
      <c r="U7" s="6">
        <f>8+8+10</f>
        <v>26</v>
      </c>
      <c r="V7" s="6">
        <f>5+8+9</f>
        <v>22</v>
      </c>
      <c r="W7" s="6">
        <f>3+11+14</f>
        <v>28</v>
      </c>
      <c r="X7" s="6">
        <f>4+5+7+1</f>
        <v>17</v>
      </c>
      <c r="Y7" s="6">
        <f>8+11+4</f>
        <v>23</v>
      </c>
      <c r="Z7" s="7">
        <f t="shared" si="17"/>
        <v>168</v>
      </c>
      <c r="AA7" s="11">
        <f t="shared" si="5"/>
        <v>170</v>
      </c>
      <c r="AB7" s="25"/>
      <c r="AC7" s="10" t="str">
        <f t="shared" si="6"/>
        <v>OutubroSEMANA 3Água Mineral sem Gás</v>
      </c>
      <c r="AD7" s="7">
        <f>SUMIF(NF!$A:$A,$AC7,NF!$I:$I)</f>
        <v>180</v>
      </c>
      <c r="AE7" s="6">
        <f>9+13+20</f>
        <v>42</v>
      </c>
      <c r="AF7" s="6">
        <f>3+6+10</f>
        <v>19</v>
      </c>
      <c r="AG7" s="6">
        <f>6+4+7</f>
        <v>17</v>
      </c>
      <c r="AH7" s="6">
        <f>7+11+12</f>
        <v>30</v>
      </c>
      <c r="AI7" s="6">
        <f>5+10+6</f>
        <v>21</v>
      </c>
      <c r="AJ7" s="6">
        <f>7+6+12-7</f>
        <v>18</v>
      </c>
      <c r="AK7" s="6">
        <f>3+14+8</f>
        <v>25</v>
      </c>
      <c r="AL7" s="7">
        <f t="shared" si="18"/>
        <v>172</v>
      </c>
      <c r="AM7" s="11">
        <f t="shared" si="8"/>
        <v>178</v>
      </c>
      <c r="AN7" s="25"/>
      <c r="AO7" s="10" t="str">
        <f t="shared" si="9"/>
        <v>OutubroSEMANA 4Água Mineral sem Gás</v>
      </c>
      <c r="AP7" s="7">
        <f>SUMIF(NF!$A:$A,$AO7,NF!$I:$I)</f>
        <v>192</v>
      </c>
      <c r="AQ7" s="6">
        <f>13+23+14</f>
        <v>50</v>
      </c>
      <c r="AR7" s="6">
        <f>2+7+3</f>
        <v>12</v>
      </c>
      <c r="AS7" s="6">
        <f>4+2+5</f>
        <v>11</v>
      </c>
      <c r="AT7" s="6">
        <f>4+5+8</f>
        <v>17</v>
      </c>
      <c r="AU7" s="6">
        <f>7+6+11</f>
        <v>24</v>
      </c>
      <c r="AV7" s="6">
        <f>24-6</f>
        <v>18</v>
      </c>
      <c r="AW7" s="6">
        <f>5+17+14</f>
        <v>36</v>
      </c>
      <c r="AX7" s="7">
        <f t="shared" si="19"/>
        <v>168</v>
      </c>
      <c r="AY7" s="11">
        <f t="shared" si="11"/>
        <v>202</v>
      </c>
      <c r="AZ7" s="25"/>
      <c r="BA7" s="10" t="str">
        <f t="shared" si="12"/>
        <v>OutubroSEMANA 5Água Mineral sem Gás</v>
      </c>
      <c r="BB7" s="7">
        <f>SUMIF(NF!$A:$A,$BA7,NF!$I:$I)</f>
        <v>0</v>
      </c>
      <c r="BC7" s="6">
        <f>1+13+10</f>
        <v>24</v>
      </c>
      <c r="BD7" s="6">
        <f>4+10+15</f>
        <v>29</v>
      </c>
      <c r="BE7" s="6">
        <f>7+9+9-3</f>
        <v>22</v>
      </c>
      <c r="BF7" s="74"/>
      <c r="BG7" s="74"/>
      <c r="BH7" s="74"/>
      <c r="BI7" s="74"/>
      <c r="BJ7" s="74"/>
      <c r="BK7" s="7">
        <f t="shared" si="20"/>
        <v>75</v>
      </c>
      <c r="BL7" s="8">
        <f t="shared" si="14"/>
        <v>127</v>
      </c>
      <c r="BM7" s="51" t="str">
        <f>IFERROR(VLOOKUP(A7,NF!$M:$O,3,0),"")</f>
        <v>Bebidas</v>
      </c>
      <c r="BN7" s="7">
        <f t="shared" si="15"/>
        <v>751</v>
      </c>
      <c r="BO7" s="8">
        <f t="array" ref="BO7">IFERROR(LARGE(IF(NF!$G$2:$G$3137='Mês atual'!A7,NF!$J$2:$J$3137),1),0)*BN7</f>
        <v>941.7618229166668</v>
      </c>
      <c r="BP7" s="50"/>
      <c r="BR7" s="147">
        <f t="array" ref="BR7">IFERROR(LARGE(IF(NF!$G$2:$G$3137='Mês atual'!A7,NF!$J$2:$J$3137),1),0)</f>
        <v>1.2540104166666668</v>
      </c>
      <c r="BS7" s="143" t="str">
        <f>VLOOKUP(A7,NF!M:O,3,0)</f>
        <v>Bebidas</v>
      </c>
    </row>
    <row r="8" spans="1:74 16384:16384" x14ac:dyDescent="0.25">
      <c r="A8" s="108" t="s">
        <v>92</v>
      </c>
      <c r="B8" s="12"/>
      <c r="C8" s="9">
        <f>48+25</f>
        <v>73</v>
      </c>
      <c r="D8" s="25"/>
      <c r="E8" s="10" t="str">
        <f t="shared" si="0"/>
        <v>OutubroSEMANA 1Água Tonica</v>
      </c>
      <c r="F8" s="7">
        <f>SUMIF(NF!$A:$A,$E8,NF!$I:$I)</f>
        <v>12</v>
      </c>
      <c r="G8" s="6"/>
      <c r="H8" s="6"/>
      <c r="I8" s="6">
        <f>1</f>
        <v>1</v>
      </c>
      <c r="J8" s="6"/>
      <c r="K8" s="6">
        <v>1</v>
      </c>
      <c r="L8" s="6">
        <v>1</v>
      </c>
      <c r="M8" s="6">
        <f>1+1</f>
        <v>2</v>
      </c>
      <c r="N8" s="7">
        <f t="shared" si="16"/>
        <v>5</v>
      </c>
      <c r="O8" s="11">
        <f t="shared" si="2"/>
        <v>80</v>
      </c>
      <c r="P8" s="25"/>
      <c r="Q8" s="10" t="str">
        <f t="shared" si="3"/>
        <v>OutubroSEMANA 2Água Tonica</v>
      </c>
      <c r="R8" s="7">
        <f>SUMIF(NF!$A:$A,$Q8,NF!$I:$I)</f>
        <v>12</v>
      </c>
      <c r="S8" s="6">
        <f>3+2</f>
        <v>5</v>
      </c>
      <c r="T8" s="6">
        <f>1</f>
        <v>1</v>
      </c>
      <c r="U8" s="6">
        <v>1</v>
      </c>
      <c r="V8" s="6">
        <f>1</f>
        <v>1</v>
      </c>
      <c r="W8" s="6">
        <f>1</f>
        <v>1</v>
      </c>
      <c r="X8" s="6">
        <f>2</f>
        <v>2</v>
      </c>
      <c r="Y8" s="6">
        <f>1</f>
        <v>1</v>
      </c>
      <c r="Z8" s="7">
        <f t="shared" si="17"/>
        <v>12</v>
      </c>
      <c r="AA8" s="11">
        <f t="shared" si="5"/>
        <v>80</v>
      </c>
      <c r="AB8" s="25"/>
      <c r="AC8" s="10" t="str">
        <f t="shared" si="6"/>
        <v>OutubroSEMANA 3Água Tonica</v>
      </c>
      <c r="AD8" s="7">
        <f>SUMIF(NF!$A:$A,$AC8,NF!$I:$I)</f>
        <v>0</v>
      </c>
      <c r="AE8" s="6">
        <f>2+3+1</f>
        <v>6</v>
      </c>
      <c r="AF8" s="6">
        <f>1</f>
        <v>1</v>
      </c>
      <c r="AG8" s="6">
        <v>1</v>
      </c>
      <c r="AH8" s="6">
        <v>1</v>
      </c>
      <c r="AI8" s="6">
        <f>1</f>
        <v>1</v>
      </c>
      <c r="AJ8" s="6"/>
      <c r="AK8" s="6">
        <f>1</f>
        <v>1</v>
      </c>
      <c r="AL8" s="7">
        <f t="shared" si="18"/>
        <v>11</v>
      </c>
      <c r="AM8" s="11">
        <f t="shared" si="8"/>
        <v>69</v>
      </c>
      <c r="AN8" s="25"/>
      <c r="AO8" s="10" t="str">
        <f t="shared" si="9"/>
        <v>OutubroSEMANA 4Água Tonica</v>
      </c>
      <c r="AP8" s="7">
        <f>SUMIF(NF!$A:$A,$AO8,NF!$I:$I)</f>
        <v>0</v>
      </c>
      <c r="AQ8" s="6">
        <f>4</f>
        <v>4</v>
      </c>
      <c r="AR8" s="6">
        <f>1</f>
        <v>1</v>
      </c>
      <c r="AS8" s="6">
        <v>1</v>
      </c>
      <c r="AT8" s="6"/>
      <c r="AU8" s="6"/>
      <c r="AV8" s="6">
        <v>1</v>
      </c>
      <c r="AW8" s="6">
        <v>1</v>
      </c>
      <c r="AX8" s="7">
        <f t="shared" si="19"/>
        <v>8</v>
      </c>
      <c r="AY8" s="11">
        <f t="shared" si="11"/>
        <v>61</v>
      </c>
      <c r="AZ8" s="25"/>
      <c r="BA8" s="10" t="str">
        <f t="shared" si="12"/>
        <v>OutubroSEMANA 5Água Tonica</v>
      </c>
      <c r="BB8" s="7">
        <f>SUMIF(NF!$A:$A,$BA8,NF!$I:$I)</f>
        <v>0</v>
      </c>
      <c r="BC8" s="6">
        <f>1+1</f>
        <v>2</v>
      </c>
      <c r="BD8" s="6"/>
      <c r="BE8" s="6">
        <v>2</v>
      </c>
      <c r="BF8" s="74"/>
      <c r="BG8" s="74"/>
      <c r="BH8" s="74"/>
      <c r="BI8" s="74"/>
      <c r="BJ8" s="74"/>
      <c r="BK8" s="7">
        <f t="shared" si="20"/>
        <v>4</v>
      </c>
      <c r="BL8" s="8">
        <f t="shared" si="14"/>
        <v>57</v>
      </c>
      <c r="BM8" s="51" t="str">
        <f>IFERROR(VLOOKUP(A8,NF!$M:$O,3,0),"")</f>
        <v>Bebidas</v>
      </c>
      <c r="BN8" s="7">
        <f t="shared" si="15"/>
        <v>40</v>
      </c>
      <c r="BO8" s="8">
        <f t="array" ref="BO8">IFERROR(LARGE(IF(NF!$G$2:$G$3137='Mês atual'!A8,NF!$J$2:$J$3137),1),0)*BN8</f>
        <v>74.433333333333323</v>
      </c>
      <c r="BP8" s="50"/>
      <c r="BR8" s="147">
        <f t="array" ref="BR8">IFERROR(LARGE(IF(NF!$G$2:$G$3137='Mês atual'!A8,NF!$J$2:$J$3137),1),0)</f>
        <v>1.8608333333333331</v>
      </c>
      <c r="BS8" s="143" t="str">
        <f>VLOOKUP(A8,NF!M:O,3,0)</f>
        <v>Bebidas</v>
      </c>
    </row>
    <row r="9" spans="1:74 16384:16384" x14ac:dyDescent="0.25">
      <c r="A9" s="108" t="s">
        <v>93</v>
      </c>
      <c r="B9" s="12"/>
      <c r="C9" s="9">
        <f>36+19</f>
        <v>55</v>
      </c>
      <c r="D9" s="25"/>
      <c r="E9" s="10" t="str">
        <f t="shared" si="0"/>
        <v>OutubroSEMANA 1Água Tonica Diet</v>
      </c>
      <c r="F9" s="7">
        <f>SUMIF(NF!$A:$A,$E9,NF!$I:$I)</f>
        <v>0</v>
      </c>
      <c r="G9" s="6">
        <f>2</f>
        <v>2</v>
      </c>
      <c r="H9" s="6">
        <v>1</v>
      </c>
      <c r="I9" s="6"/>
      <c r="J9" s="6">
        <v>2</v>
      </c>
      <c r="K9" s="6">
        <v>1</v>
      </c>
      <c r="L9" s="6">
        <v>2</v>
      </c>
      <c r="M9" s="6">
        <f>1</f>
        <v>1</v>
      </c>
      <c r="N9" s="7">
        <f t="shared" si="16"/>
        <v>9</v>
      </c>
      <c r="O9" s="11">
        <f t="shared" si="2"/>
        <v>46</v>
      </c>
      <c r="P9" s="25"/>
      <c r="Q9" s="10" t="str">
        <f t="shared" si="3"/>
        <v>OutubroSEMANA 2Água Tonica Diet</v>
      </c>
      <c r="R9" s="7">
        <f>SUMIF(NF!$A:$A,$Q9,NF!$I:$I)</f>
        <v>0</v>
      </c>
      <c r="S9" s="6">
        <f>4</f>
        <v>4</v>
      </c>
      <c r="T9" s="6"/>
      <c r="U9" s="6">
        <f>1+1</f>
        <v>2</v>
      </c>
      <c r="V9" s="6">
        <f>2+3</f>
        <v>5</v>
      </c>
      <c r="W9" s="6">
        <f>1+1</f>
        <v>2</v>
      </c>
      <c r="X9" s="6"/>
      <c r="Y9" s="6"/>
      <c r="Z9" s="7">
        <f t="shared" si="17"/>
        <v>13</v>
      </c>
      <c r="AA9" s="11">
        <f t="shared" si="5"/>
        <v>33</v>
      </c>
      <c r="AB9" s="25"/>
      <c r="AC9" s="10" t="str">
        <f t="shared" si="6"/>
        <v>OutubroSEMANA 3Água Tonica Diet</v>
      </c>
      <c r="AD9" s="7">
        <f>SUMIF(NF!$A:$A,$AC9,NF!$I:$I)</f>
        <v>24</v>
      </c>
      <c r="AE9" s="6">
        <f>1+1</f>
        <v>2</v>
      </c>
      <c r="AF9" s="6">
        <f>1</f>
        <v>1</v>
      </c>
      <c r="AG9" s="6">
        <v>3</v>
      </c>
      <c r="AH9" s="6">
        <v>1</v>
      </c>
      <c r="AI9" s="6">
        <f>1+1</f>
        <v>2</v>
      </c>
      <c r="AJ9" s="6"/>
      <c r="AK9" s="6">
        <f>1</f>
        <v>1</v>
      </c>
      <c r="AL9" s="7">
        <f t="shared" si="18"/>
        <v>10</v>
      </c>
      <c r="AM9" s="11">
        <f t="shared" si="8"/>
        <v>47</v>
      </c>
      <c r="AN9" s="25"/>
      <c r="AO9" s="10" t="str">
        <f t="shared" si="9"/>
        <v>OutubroSEMANA 4Água Tonica Diet</v>
      </c>
      <c r="AP9" s="7">
        <f>SUMIF(NF!$A:$A,$AO9,NF!$I:$I)</f>
        <v>0</v>
      </c>
      <c r="AQ9" s="6"/>
      <c r="AR9" s="6">
        <f>1</f>
        <v>1</v>
      </c>
      <c r="AS9" s="6">
        <f>1</f>
        <v>1</v>
      </c>
      <c r="AT9" s="6">
        <v>1</v>
      </c>
      <c r="AU9" s="6">
        <f>1</f>
        <v>1</v>
      </c>
      <c r="AV9" s="6">
        <v>2</v>
      </c>
      <c r="AW9" s="6">
        <f>3+1</f>
        <v>4</v>
      </c>
      <c r="AX9" s="7">
        <f t="shared" si="19"/>
        <v>10</v>
      </c>
      <c r="AY9" s="11">
        <f t="shared" si="11"/>
        <v>37</v>
      </c>
      <c r="AZ9" s="25"/>
      <c r="BA9" s="10" t="str">
        <f t="shared" si="12"/>
        <v>OutubroSEMANA 5Água Tonica Diet</v>
      </c>
      <c r="BB9" s="7">
        <f>SUMIF(NF!$A:$A,$BA9,NF!$I:$I)</f>
        <v>0</v>
      </c>
      <c r="BC9" s="6">
        <f>1+1</f>
        <v>2</v>
      </c>
      <c r="BD9" s="6">
        <v>1</v>
      </c>
      <c r="BE9" s="6"/>
      <c r="BF9" s="74"/>
      <c r="BG9" s="74"/>
      <c r="BH9" s="74"/>
      <c r="BI9" s="74"/>
      <c r="BJ9" s="74"/>
      <c r="BK9" s="7">
        <f t="shared" si="20"/>
        <v>3</v>
      </c>
      <c r="BL9" s="8">
        <f t="shared" si="14"/>
        <v>34</v>
      </c>
      <c r="BM9" s="51" t="str">
        <f>IFERROR(VLOOKUP(A9,NF!$M:$O,3,0),"")</f>
        <v>Bebidas</v>
      </c>
      <c r="BN9" s="7">
        <f t="shared" si="15"/>
        <v>45</v>
      </c>
      <c r="BO9" s="8">
        <f t="array" ref="BO9">IFERROR(LARGE(IF(NF!$G$2:$G$3137='Mês atual'!A9,NF!$J$2:$J$3137),1),0)*BN9</f>
        <v>83.737499999999997</v>
      </c>
      <c r="BP9" s="50"/>
      <c r="BR9" s="147">
        <f t="array" ref="BR9">IFERROR(LARGE(IF(NF!$G$2:$G$3137='Mês atual'!A9,NF!$J$2:$J$3137),1),0)</f>
        <v>1.8608333333333331</v>
      </c>
      <c r="BS9" s="143" t="str">
        <f>VLOOKUP(A9,NF!M:O,3,0)</f>
        <v>Bebidas</v>
      </c>
    </row>
    <row r="10" spans="1:74 16384:16384" x14ac:dyDescent="0.25">
      <c r="A10" s="108" t="s">
        <v>94</v>
      </c>
      <c r="B10" s="12"/>
      <c r="C10" s="9">
        <v>2</v>
      </c>
      <c r="D10" s="25"/>
      <c r="E10" s="10" t="str">
        <f t="shared" si="0"/>
        <v>OutubroSEMANA 1Aguardente 51</v>
      </c>
      <c r="F10" s="7">
        <f>SUMIF(NF!$A:$A,$E10,NF!$I:$I)</f>
        <v>0</v>
      </c>
      <c r="G10" s="6">
        <v>1</v>
      </c>
      <c r="H10" s="6"/>
      <c r="I10" s="6"/>
      <c r="J10" s="6"/>
      <c r="K10" s="6"/>
      <c r="L10" s="6"/>
      <c r="M10" s="6"/>
      <c r="N10" s="7">
        <f t="shared" si="16"/>
        <v>1</v>
      </c>
      <c r="O10" s="11">
        <f t="shared" si="2"/>
        <v>1</v>
      </c>
      <c r="P10" s="25"/>
      <c r="Q10" s="10" t="str">
        <f t="shared" si="3"/>
        <v>OutubroSEMANA 2Aguardente 51</v>
      </c>
      <c r="R10" s="7">
        <f>SUMIF(NF!$A:$A,$Q10,NF!$I:$I)</f>
        <v>1</v>
      </c>
      <c r="S10" s="6"/>
      <c r="T10" s="6"/>
      <c r="U10" s="6"/>
      <c r="V10" s="6"/>
      <c r="W10" s="6"/>
      <c r="X10" s="6">
        <v>1</v>
      </c>
      <c r="Y10" s="6"/>
      <c r="Z10" s="7">
        <f t="shared" si="17"/>
        <v>1</v>
      </c>
      <c r="AA10" s="11">
        <f t="shared" si="5"/>
        <v>1</v>
      </c>
      <c r="AB10" s="25"/>
      <c r="AC10" s="10" t="str">
        <f t="shared" si="6"/>
        <v>OutubroSEMANA 3Aguardente 51</v>
      </c>
      <c r="AD10" s="7">
        <f>SUMIF(NF!$A:$A,$AC10,NF!$I:$I)</f>
        <v>1</v>
      </c>
      <c r="AE10" s="6"/>
      <c r="AF10" s="6"/>
      <c r="AG10" s="6"/>
      <c r="AH10" s="6"/>
      <c r="AI10" s="6"/>
      <c r="AJ10" s="6"/>
      <c r="AK10" s="6"/>
      <c r="AL10" s="7">
        <f t="shared" si="18"/>
        <v>0</v>
      </c>
      <c r="AM10" s="11">
        <f t="shared" si="8"/>
        <v>2</v>
      </c>
      <c r="AN10" s="25"/>
      <c r="AO10" s="10" t="str">
        <f t="shared" si="9"/>
        <v>OutubroSEMANA 4Aguardente 51</v>
      </c>
      <c r="AP10" s="7">
        <f>SUMIF(NF!$A:$A,$AO10,NF!$I:$I)</f>
        <v>0</v>
      </c>
      <c r="AQ10" s="6">
        <v>1</v>
      </c>
      <c r="AR10" s="6"/>
      <c r="AS10" s="6"/>
      <c r="AT10" s="6"/>
      <c r="AU10" s="6"/>
      <c r="AV10" s="6"/>
      <c r="AW10" s="6">
        <v>1</v>
      </c>
      <c r="AX10" s="7">
        <f t="shared" si="19"/>
        <v>2</v>
      </c>
      <c r="AY10" s="11">
        <f t="shared" si="11"/>
        <v>0</v>
      </c>
      <c r="AZ10" s="25"/>
      <c r="BA10" s="10" t="str">
        <f t="shared" si="12"/>
        <v>OutubroSEMANA 5Aguardente 51</v>
      </c>
      <c r="BB10" s="7">
        <f>SUMIF(NF!$A:$A,$BA10,NF!$I:$I)</f>
        <v>0</v>
      </c>
      <c r="BC10" s="6"/>
      <c r="BD10" s="6"/>
      <c r="BE10" s="6"/>
      <c r="BF10" s="74"/>
      <c r="BG10" s="74"/>
      <c r="BH10" s="74"/>
      <c r="BI10" s="74"/>
      <c r="BJ10" s="74"/>
      <c r="BK10" s="7">
        <f t="shared" si="20"/>
        <v>0</v>
      </c>
      <c r="BL10" s="8">
        <f t="shared" si="14"/>
        <v>0</v>
      </c>
      <c r="BM10" s="51" t="str">
        <f>IFERROR(VLOOKUP(A10,NF!$M:$O,3,0),"")</f>
        <v>Bebidas</v>
      </c>
      <c r="BN10" s="7">
        <f t="shared" si="15"/>
        <v>4</v>
      </c>
      <c r="BO10" s="8">
        <f t="array" ref="BO10">IFERROR(LARGE(IF(NF!$G$2:$G$3137='Mês atual'!A10,NF!$J$2:$J$3137),1),0)*BN10</f>
        <v>30.72</v>
      </c>
      <c r="BP10" s="50"/>
      <c r="BR10" s="147">
        <f t="array" ref="BR10">IFERROR(LARGE(IF(NF!$G$2:$G$3137='Mês atual'!A10,NF!$J$2:$J$3137),1),0)</f>
        <v>7.68</v>
      </c>
      <c r="BS10" s="143" t="str">
        <f>VLOOKUP(A10,NF!M:O,3,0)</f>
        <v>Bebidas</v>
      </c>
    </row>
    <row r="11" spans="1:74 16384:16384" x14ac:dyDescent="0.25">
      <c r="A11" s="108" t="s">
        <v>936</v>
      </c>
      <c r="B11" s="12"/>
      <c r="C11" s="9"/>
      <c r="D11" s="25"/>
      <c r="E11" s="10" t="str">
        <f t="shared" si="0"/>
        <v>OutubroSEMANA 1Cachaça Seleta Branca 670 ml</v>
      </c>
      <c r="F11" s="7">
        <f>SUMIF(NF!$A:$A,$E11,NF!$I:$I)</f>
        <v>0</v>
      </c>
      <c r="G11" s="6"/>
      <c r="H11" s="6"/>
      <c r="I11" s="6"/>
      <c r="J11" s="6"/>
      <c r="K11" s="6"/>
      <c r="L11" s="6"/>
      <c r="M11" s="6"/>
      <c r="N11" s="7">
        <f t="shared" si="16"/>
        <v>0</v>
      </c>
      <c r="O11" s="11">
        <f t="shared" si="2"/>
        <v>0</v>
      </c>
      <c r="P11" s="25"/>
      <c r="Q11" s="10" t="str">
        <f t="shared" si="3"/>
        <v>OutubroSEMANA 2Cachaça Seleta Branca 670 ml</v>
      </c>
      <c r="R11" s="7">
        <f>SUMIF(NF!$A:$A,$Q11,NF!$I:$I)</f>
        <v>0</v>
      </c>
      <c r="S11" s="6"/>
      <c r="T11" s="6"/>
      <c r="U11" s="6"/>
      <c r="V11" s="6"/>
      <c r="W11" s="6"/>
      <c r="X11" s="6"/>
      <c r="Y11" s="6"/>
      <c r="Z11" s="7">
        <f t="shared" si="17"/>
        <v>0</v>
      </c>
      <c r="AA11" s="11">
        <f t="shared" si="5"/>
        <v>0</v>
      </c>
      <c r="AB11" s="25"/>
      <c r="AC11" s="10" t="str">
        <f t="shared" si="6"/>
        <v>OutubroSEMANA 3Cachaça Seleta Branca 670 ml</v>
      </c>
      <c r="AD11" s="7">
        <f>SUMIF(NF!$A:$A,$AC11,NF!$I:$I)</f>
        <v>0</v>
      </c>
      <c r="AE11" s="6"/>
      <c r="AF11" s="6"/>
      <c r="AG11" s="6"/>
      <c r="AH11" s="6"/>
      <c r="AI11" s="6"/>
      <c r="AJ11" s="6"/>
      <c r="AK11" s="6"/>
      <c r="AL11" s="7">
        <f t="shared" si="18"/>
        <v>0</v>
      </c>
      <c r="AM11" s="11">
        <f t="shared" si="8"/>
        <v>0</v>
      </c>
      <c r="AN11" s="25"/>
      <c r="AO11" s="10" t="str">
        <f t="shared" si="9"/>
        <v>OutubroSEMANA 4Cachaça Seleta Branca 670 ml</v>
      </c>
      <c r="AP11" s="7">
        <f>SUMIF(NF!$A:$A,$AO11,NF!$I:$I)</f>
        <v>0</v>
      </c>
      <c r="AQ11" s="6"/>
      <c r="AR11" s="6"/>
      <c r="AS11" s="6"/>
      <c r="AT11" s="6"/>
      <c r="AU11" s="6"/>
      <c r="AV11" s="6"/>
      <c r="AW11" s="6"/>
      <c r="AX11" s="7">
        <f t="shared" si="19"/>
        <v>0</v>
      </c>
      <c r="AY11" s="11">
        <f t="shared" si="11"/>
        <v>0</v>
      </c>
      <c r="AZ11" s="25"/>
      <c r="BA11" s="10" t="str">
        <f t="shared" si="12"/>
        <v>OutubroSEMANA 5Cachaça Seleta Branca 670 ml</v>
      </c>
      <c r="BB11" s="7">
        <f>SUMIF(NF!$A:$A,$BA11,NF!$I:$I)</f>
        <v>0</v>
      </c>
      <c r="BC11" s="6"/>
      <c r="BD11" s="6"/>
      <c r="BE11" s="6"/>
      <c r="BF11" s="74"/>
      <c r="BG11" s="74"/>
      <c r="BH11" s="74"/>
      <c r="BI11" s="74"/>
      <c r="BJ11" s="74"/>
      <c r="BK11" s="7">
        <f t="shared" si="20"/>
        <v>0</v>
      </c>
      <c r="BL11" s="8">
        <f t="shared" si="14"/>
        <v>0</v>
      </c>
      <c r="BM11" s="51" t="str">
        <f>IFERROR(VLOOKUP(A11,NF!$M:$O,3,0),"")</f>
        <v>Bebidas</v>
      </c>
      <c r="BN11" s="7">
        <f t="shared" si="15"/>
        <v>0</v>
      </c>
      <c r="BO11" s="8">
        <f t="array" ref="BO11">IFERROR(LARGE(IF(NF!$G$2:$G$3137='Mês atual'!A11,NF!$J$2:$J$3137),1),0)*BN11</f>
        <v>0</v>
      </c>
      <c r="BP11" s="50"/>
      <c r="BR11" s="147">
        <f t="array" ref="BR11">IFERROR(LARGE(IF(NF!$G$2:$G$3137='Mês atual'!A11,NF!$J$2:$J$3137),1),0)</f>
        <v>0</v>
      </c>
      <c r="BS11" s="143" t="str">
        <f>VLOOKUP(A11,NF!M:O,3,0)</f>
        <v>Bebidas</v>
      </c>
    </row>
    <row r="12" spans="1:74 16384:16384" x14ac:dyDescent="0.25">
      <c r="A12" s="108" t="s">
        <v>937</v>
      </c>
      <c r="B12" s="12"/>
      <c r="C12" s="9"/>
      <c r="D12" s="25"/>
      <c r="E12" s="10" t="str">
        <f t="shared" si="0"/>
        <v>OutubroSEMANA 1Cachaça Seleta Preta 600 ml</v>
      </c>
      <c r="F12" s="7">
        <f>SUMIF(NF!$A:$A,$E12,NF!$I:$I)</f>
        <v>0</v>
      </c>
      <c r="G12" s="6"/>
      <c r="H12" s="6"/>
      <c r="I12" s="6"/>
      <c r="J12" s="6"/>
      <c r="K12" s="6"/>
      <c r="L12" s="6"/>
      <c r="M12" s="6"/>
      <c r="N12" s="7">
        <f t="shared" si="16"/>
        <v>0</v>
      </c>
      <c r="O12" s="11">
        <f t="shared" si="2"/>
        <v>0</v>
      </c>
      <c r="P12" s="25"/>
      <c r="Q12" s="10" t="str">
        <f t="shared" si="3"/>
        <v>OutubroSEMANA 2Cachaça Seleta Preta 600 ml</v>
      </c>
      <c r="R12" s="7">
        <f>SUMIF(NF!$A:$A,$Q12,NF!$I:$I)</f>
        <v>0</v>
      </c>
      <c r="S12" s="6"/>
      <c r="T12" s="6"/>
      <c r="U12" s="6"/>
      <c r="V12" s="6"/>
      <c r="W12" s="6"/>
      <c r="X12" s="6"/>
      <c r="Y12" s="6"/>
      <c r="Z12" s="7">
        <f t="shared" si="17"/>
        <v>0</v>
      </c>
      <c r="AA12" s="11">
        <f t="shared" si="5"/>
        <v>0</v>
      </c>
      <c r="AB12" s="25"/>
      <c r="AC12" s="10" t="str">
        <f t="shared" si="6"/>
        <v>OutubroSEMANA 3Cachaça Seleta Preta 600 ml</v>
      </c>
      <c r="AD12" s="7">
        <f>SUMIF(NF!$A:$A,$AC12,NF!$I:$I)</f>
        <v>0</v>
      </c>
      <c r="AE12" s="6"/>
      <c r="AF12" s="6"/>
      <c r="AG12" s="6"/>
      <c r="AH12" s="6"/>
      <c r="AI12" s="6"/>
      <c r="AJ12" s="6"/>
      <c r="AK12" s="6"/>
      <c r="AL12" s="7">
        <f t="shared" si="18"/>
        <v>0</v>
      </c>
      <c r="AM12" s="11">
        <f t="shared" si="8"/>
        <v>0</v>
      </c>
      <c r="AN12" s="25"/>
      <c r="AO12" s="10" t="str">
        <f t="shared" si="9"/>
        <v>OutubroSEMANA 4Cachaça Seleta Preta 600 ml</v>
      </c>
      <c r="AP12" s="7">
        <f>SUMIF(NF!$A:$A,$AO12,NF!$I:$I)</f>
        <v>0</v>
      </c>
      <c r="AQ12" s="6"/>
      <c r="AR12" s="6"/>
      <c r="AS12" s="6"/>
      <c r="AT12" s="6"/>
      <c r="AU12" s="6"/>
      <c r="AV12" s="6"/>
      <c r="AW12" s="6"/>
      <c r="AX12" s="7">
        <f t="shared" si="19"/>
        <v>0</v>
      </c>
      <c r="AY12" s="11">
        <f t="shared" si="11"/>
        <v>0</v>
      </c>
      <c r="AZ12" s="25"/>
      <c r="BA12" s="10" t="str">
        <f t="shared" si="12"/>
        <v>OutubroSEMANA 5Cachaça Seleta Preta 600 ml</v>
      </c>
      <c r="BB12" s="7">
        <f>SUMIF(NF!$A:$A,$BA12,NF!$I:$I)</f>
        <v>0</v>
      </c>
      <c r="BC12" s="6"/>
      <c r="BD12" s="6"/>
      <c r="BE12" s="6"/>
      <c r="BF12" s="74"/>
      <c r="BG12" s="74"/>
      <c r="BH12" s="74"/>
      <c r="BI12" s="74"/>
      <c r="BJ12" s="74"/>
      <c r="BK12" s="7">
        <f t="shared" si="20"/>
        <v>0</v>
      </c>
      <c r="BL12" s="8">
        <f t="shared" si="14"/>
        <v>0</v>
      </c>
      <c r="BM12" s="51" t="str">
        <f>IFERROR(VLOOKUP(A12,NF!$M:$O,3,0),"")</f>
        <v>Bebidas</v>
      </c>
      <c r="BN12" s="7">
        <f t="shared" si="15"/>
        <v>0</v>
      </c>
      <c r="BO12" s="8">
        <f t="array" ref="BO12">IFERROR(LARGE(IF(NF!$G$2:$G$3137='Mês atual'!A12,NF!$J$2:$J$3137),1),0)*BN12</f>
        <v>0</v>
      </c>
      <c r="BP12" s="50"/>
      <c r="BR12" s="147">
        <f t="array" ref="BR12">IFERROR(LARGE(IF(NF!$G$2:$G$3137='Mês atual'!A12,NF!$J$2:$J$3137),1),0)</f>
        <v>0</v>
      </c>
      <c r="BS12" s="143" t="str">
        <f>VLOOKUP(A12,NF!M:O,3,0)</f>
        <v>Bebidas</v>
      </c>
    </row>
    <row r="13" spans="1:74 16384:16384" x14ac:dyDescent="0.25">
      <c r="A13" s="108" t="s">
        <v>254</v>
      </c>
      <c r="B13" s="12"/>
      <c r="C13" s="9">
        <f>14+5</f>
        <v>19</v>
      </c>
      <c r="D13" s="25"/>
      <c r="E13" s="10" t="str">
        <f t="shared" si="0"/>
        <v>OutubroSEMANA 1Cerveja 1795</v>
      </c>
      <c r="F13" s="7">
        <f>SUMIF(NF!$A:$A,$E13,NF!$I:$I)</f>
        <v>0</v>
      </c>
      <c r="G13" s="6"/>
      <c r="H13" s="6"/>
      <c r="I13" s="6"/>
      <c r="J13" s="6"/>
      <c r="K13" s="6"/>
      <c r="L13" s="6"/>
      <c r="M13" s="6"/>
      <c r="N13" s="7">
        <f t="shared" si="16"/>
        <v>0</v>
      </c>
      <c r="O13" s="11">
        <f t="shared" si="2"/>
        <v>19</v>
      </c>
      <c r="P13" s="25"/>
      <c r="Q13" s="10" t="str">
        <f t="shared" si="3"/>
        <v>OutubroSEMANA 2Cerveja 1795</v>
      </c>
      <c r="R13" s="7">
        <f>SUMIF(NF!$A:$A,$Q13,NF!$I:$I)</f>
        <v>0</v>
      </c>
      <c r="S13" s="6"/>
      <c r="T13" s="6"/>
      <c r="U13" s="6"/>
      <c r="V13" s="6"/>
      <c r="W13" s="6">
        <v>2</v>
      </c>
      <c r="X13" s="6"/>
      <c r="Y13" s="6"/>
      <c r="Z13" s="7">
        <f t="shared" si="17"/>
        <v>2</v>
      </c>
      <c r="AA13" s="11">
        <f t="shared" si="5"/>
        <v>17</v>
      </c>
      <c r="AB13" s="25"/>
      <c r="AC13" s="10" t="str">
        <f t="shared" si="6"/>
        <v>OutubroSEMANA 3Cerveja 1795</v>
      </c>
      <c r="AD13" s="7">
        <f>SUMIF(NF!$A:$A,$AC13,NF!$I:$I)</f>
        <v>0</v>
      </c>
      <c r="AE13" s="6"/>
      <c r="AF13" s="6"/>
      <c r="AG13" s="6"/>
      <c r="AH13" s="6"/>
      <c r="AI13" s="6"/>
      <c r="AJ13" s="6"/>
      <c r="AK13" s="6"/>
      <c r="AL13" s="7">
        <f t="shared" si="18"/>
        <v>0</v>
      </c>
      <c r="AM13" s="11">
        <f t="shared" si="8"/>
        <v>17</v>
      </c>
      <c r="AN13" s="25"/>
      <c r="AO13" s="10" t="str">
        <f t="shared" si="9"/>
        <v>OutubroSEMANA 4Cerveja 1795</v>
      </c>
      <c r="AP13" s="7">
        <f>SUMIF(NF!$A:$A,$AO13,NF!$I:$I)</f>
        <v>0</v>
      </c>
      <c r="AQ13" s="6"/>
      <c r="AR13" s="6"/>
      <c r="AS13" s="6"/>
      <c r="AT13" s="6"/>
      <c r="AU13" s="6"/>
      <c r="AV13" s="6"/>
      <c r="AW13" s="6"/>
      <c r="AX13" s="7">
        <f t="shared" si="19"/>
        <v>0</v>
      </c>
      <c r="AY13" s="11">
        <f t="shared" si="11"/>
        <v>17</v>
      </c>
      <c r="AZ13" s="25"/>
      <c r="BA13" s="10" t="str">
        <f t="shared" si="12"/>
        <v>OutubroSEMANA 5Cerveja 1795</v>
      </c>
      <c r="BB13" s="7">
        <f>SUMIF(NF!$A:$A,$BA13,NF!$I:$I)</f>
        <v>0</v>
      </c>
      <c r="BC13" s="6">
        <v>1</v>
      </c>
      <c r="BD13" s="6"/>
      <c r="BE13" s="6"/>
      <c r="BF13" s="74"/>
      <c r="BG13" s="74"/>
      <c r="BH13" s="74"/>
      <c r="BI13" s="74"/>
      <c r="BJ13" s="74"/>
      <c r="BK13" s="7">
        <f t="shared" si="20"/>
        <v>1</v>
      </c>
      <c r="BL13" s="8">
        <f t="shared" si="14"/>
        <v>16</v>
      </c>
      <c r="BM13" s="51" t="str">
        <f>IFERROR(VLOOKUP(A13,NF!$M:$O,3,0),"")</f>
        <v>Bebidas</v>
      </c>
      <c r="BN13" s="7">
        <f t="shared" si="15"/>
        <v>3</v>
      </c>
      <c r="BO13" s="8">
        <f t="array" ref="BO13">IFERROR(LARGE(IF(NF!$G$2:$G$3137='Mês atual'!A13,NF!$J$2:$J$3137),1),0)*BN13</f>
        <v>0</v>
      </c>
      <c r="BP13" s="50"/>
      <c r="BR13" s="147">
        <f t="array" ref="BR13">IFERROR(LARGE(IF(NF!$G$2:$G$3137='Mês atual'!A13,NF!$J$2:$J$3137),1),0)</f>
        <v>0</v>
      </c>
      <c r="BS13" s="143" t="str">
        <f>VLOOKUP(A13,NF!M:O,3,0)</f>
        <v>Bebidas</v>
      </c>
    </row>
    <row r="14" spans="1:74 16384:16384" x14ac:dyDescent="0.25">
      <c r="A14" s="108" t="s">
        <v>255</v>
      </c>
      <c r="B14" s="12"/>
      <c r="C14" s="9">
        <f>12+3</f>
        <v>15</v>
      </c>
      <c r="D14" s="25"/>
      <c r="E14" s="10" t="str">
        <f t="shared" si="0"/>
        <v>OutubroSEMANA 1Cerveja Affligem Blonde</v>
      </c>
      <c r="F14" s="7">
        <f>SUMIF(NF!$A:$A,$E14,NF!$I:$I)</f>
        <v>0</v>
      </c>
      <c r="G14" s="6"/>
      <c r="H14" s="6"/>
      <c r="I14" s="6"/>
      <c r="J14" s="6"/>
      <c r="K14" s="6"/>
      <c r="L14" s="6"/>
      <c r="M14" s="6"/>
      <c r="N14" s="7">
        <f t="shared" si="16"/>
        <v>0</v>
      </c>
      <c r="O14" s="11">
        <f t="shared" si="2"/>
        <v>15</v>
      </c>
      <c r="P14" s="25"/>
      <c r="Q14" s="10" t="str">
        <f t="shared" si="3"/>
        <v>OutubroSEMANA 2Cerveja Affligem Blonde</v>
      </c>
      <c r="R14" s="7">
        <f>SUMIF(NF!$A:$A,$Q14,NF!$I:$I)</f>
        <v>0</v>
      </c>
      <c r="S14" s="6"/>
      <c r="T14" s="6"/>
      <c r="U14" s="6"/>
      <c r="V14" s="6"/>
      <c r="W14" s="6"/>
      <c r="X14" s="6"/>
      <c r="Y14" s="6"/>
      <c r="Z14" s="7">
        <f t="shared" si="17"/>
        <v>0</v>
      </c>
      <c r="AA14" s="11">
        <f t="shared" si="5"/>
        <v>15</v>
      </c>
      <c r="AB14" s="25"/>
      <c r="AC14" s="10" t="str">
        <f t="shared" si="6"/>
        <v>OutubroSEMANA 3Cerveja Affligem Blonde</v>
      </c>
      <c r="AD14" s="7">
        <f>SUMIF(NF!$A:$A,$AC14,NF!$I:$I)</f>
        <v>0</v>
      </c>
      <c r="AE14" s="6">
        <v>1</v>
      </c>
      <c r="AF14" s="6"/>
      <c r="AG14" s="6"/>
      <c r="AH14" s="6"/>
      <c r="AI14" s="6"/>
      <c r="AJ14" s="6"/>
      <c r="AK14" s="6"/>
      <c r="AL14" s="7">
        <f t="shared" si="18"/>
        <v>1</v>
      </c>
      <c r="AM14" s="11">
        <f t="shared" si="8"/>
        <v>14</v>
      </c>
      <c r="AN14" s="25"/>
      <c r="AO14" s="10" t="str">
        <f t="shared" si="9"/>
        <v>OutubroSEMANA 4Cerveja Affligem Blonde</v>
      </c>
      <c r="AP14" s="7">
        <f>SUMIF(NF!$A:$A,$AO14,NF!$I:$I)</f>
        <v>0</v>
      </c>
      <c r="AQ14" s="6"/>
      <c r="AR14" s="6"/>
      <c r="AS14" s="6"/>
      <c r="AT14" s="6"/>
      <c r="AU14" s="6"/>
      <c r="AV14" s="6"/>
      <c r="AW14" s="6"/>
      <c r="AX14" s="7">
        <f t="shared" si="19"/>
        <v>0</v>
      </c>
      <c r="AY14" s="11">
        <f t="shared" si="11"/>
        <v>14</v>
      </c>
      <c r="AZ14" s="25"/>
      <c r="BA14" s="10" t="str">
        <f t="shared" si="12"/>
        <v>OutubroSEMANA 5Cerveja Affligem Blonde</v>
      </c>
      <c r="BB14" s="7">
        <f>SUMIF(NF!$A:$A,$BA14,NF!$I:$I)</f>
        <v>0</v>
      </c>
      <c r="BC14" s="6"/>
      <c r="BD14" s="6"/>
      <c r="BE14" s="6"/>
      <c r="BF14" s="74"/>
      <c r="BG14" s="74"/>
      <c r="BH14" s="74"/>
      <c r="BI14" s="74"/>
      <c r="BJ14" s="74"/>
      <c r="BK14" s="7">
        <f t="shared" si="20"/>
        <v>0</v>
      </c>
      <c r="BL14" s="8">
        <f t="shared" si="14"/>
        <v>14</v>
      </c>
      <c r="BM14" s="51" t="str">
        <f>IFERROR(VLOOKUP(A14,NF!$M:$O,3,0),"")</f>
        <v>Bebidas</v>
      </c>
      <c r="BN14" s="7">
        <f t="shared" si="15"/>
        <v>1</v>
      </c>
      <c r="BO14" s="8">
        <f t="array" ref="BO14">IFERROR(LARGE(IF(NF!$G$2:$G$3137='Mês atual'!A14,NF!$J$2:$J$3137),1),0)*BN14</f>
        <v>0</v>
      </c>
      <c r="BP14" s="50"/>
      <c r="BR14" s="147">
        <f t="array" ref="BR14">IFERROR(LARGE(IF(NF!$G$2:$G$3137='Mês atual'!A14,NF!$J$2:$J$3137),1),0)</f>
        <v>0</v>
      </c>
      <c r="BS14" s="143" t="str">
        <f>VLOOKUP(A14,NF!M:O,3,0)</f>
        <v>Bebidas</v>
      </c>
    </row>
    <row r="15" spans="1:74 16384:16384" x14ac:dyDescent="0.25">
      <c r="A15" s="108" t="s">
        <v>256</v>
      </c>
      <c r="B15" s="12"/>
      <c r="C15" s="9"/>
      <c r="D15" s="25"/>
      <c r="E15" s="10" t="str">
        <f t="shared" si="0"/>
        <v>OutubroSEMANA 1Cerveja Antartica 600 ml</v>
      </c>
      <c r="F15" s="7">
        <f>SUMIF(NF!$A:$A,$E15,NF!$I:$I)</f>
        <v>0</v>
      </c>
      <c r="G15" s="6"/>
      <c r="H15" s="6"/>
      <c r="I15" s="6"/>
      <c r="J15" s="6"/>
      <c r="K15" s="6"/>
      <c r="L15" s="6"/>
      <c r="M15" s="6"/>
      <c r="N15" s="7">
        <f t="shared" si="16"/>
        <v>0</v>
      </c>
      <c r="O15" s="11">
        <f t="shared" si="2"/>
        <v>0</v>
      </c>
      <c r="P15" s="25"/>
      <c r="Q15" s="10" t="str">
        <f t="shared" si="3"/>
        <v>OutubroSEMANA 2Cerveja Antartica 600 ml</v>
      </c>
      <c r="R15" s="7">
        <f>SUMIF(NF!$A:$A,$Q15,NF!$I:$I)</f>
        <v>0</v>
      </c>
      <c r="S15" s="6"/>
      <c r="T15" s="6"/>
      <c r="U15" s="6"/>
      <c r="V15" s="6"/>
      <c r="W15" s="6"/>
      <c r="X15" s="6"/>
      <c r="Y15" s="6"/>
      <c r="Z15" s="7">
        <f t="shared" si="17"/>
        <v>0</v>
      </c>
      <c r="AA15" s="11">
        <f t="shared" si="5"/>
        <v>0</v>
      </c>
      <c r="AB15" s="25"/>
      <c r="AC15" s="10" t="str">
        <f t="shared" si="6"/>
        <v>OutubroSEMANA 3Cerveja Antartica 600 ml</v>
      </c>
      <c r="AD15" s="7">
        <f>SUMIF(NF!$A:$A,$AC15,NF!$I:$I)</f>
        <v>0</v>
      </c>
      <c r="AE15" s="6"/>
      <c r="AF15" s="6"/>
      <c r="AG15" s="6"/>
      <c r="AH15" s="6"/>
      <c r="AI15" s="6"/>
      <c r="AJ15" s="6"/>
      <c r="AK15" s="6"/>
      <c r="AL15" s="7">
        <f t="shared" si="18"/>
        <v>0</v>
      </c>
      <c r="AM15" s="11">
        <f t="shared" si="8"/>
        <v>0</v>
      </c>
      <c r="AN15" s="25"/>
      <c r="AO15" s="10" t="str">
        <f t="shared" si="9"/>
        <v>OutubroSEMANA 4Cerveja Antartica 600 ml</v>
      </c>
      <c r="AP15" s="7">
        <f>SUMIF(NF!$A:$A,$AO15,NF!$I:$I)</f>
        <v>0</v>
      </c>
      <c r="AQ15" s="6"/>
      <c r="AR15" s="6"/>
      <c r="AS15" s="6"/>
      <c r="AT15" s="6"/>
      <c r="AU15" s="6"/>
      <c r="AV15" s="6"/>
      <c r="AW15" s="6"/>
      <c r="AX15" s="7">
        <f t="shared" si="19"/>
        <v>0</v>
      </c>
      <c r="AY15" s="11">
        <f t="shared" si="11"/>
        <v>0</v>
      </c>
      <c r="AZ15" s="25"/>
      <c r="BA15" s="10" t="str">
        <f t="shared" si="12"/>
        <v>OutubroSEMANA 5Cerveja Antartica 600 ml</v>
      </c>
      <c r="BB15" s="7">
        <f>SUMIF(NF!$A:$A,$BA15,NF!$I:$I)</f>
        <v>0</v>
      </c>
      <c r="BC15" s="6"/>
      <c r="BD15" s="6"/>
      <c r="BE15" s="6"/>
      <c r="BF15" s="74"/>
      <c r="BG15" s="74"/>
      <c r="BH15" s="74"/>
      <c r="BI15" s="74"/>
      <c r="BJ15" s="74"/>
      <c r="BK15" s="7">
        <f t="shared" si="20"/>
        <v>0</v>
      </c>
      <c r="BL15" s="8">
        <f t="shared" si="14"/>
        <v>0</v>
      </c>
      <c r="BM15" s="51" t="str">
        <f>IFERROR(VLOOKUP(A15,NF!$M:$O,3,0),"")</f>
        <v>Bebidas</v>
      </c>
      <c r="BN15" s="7">
        <f t="shared" si="15"/>
        <v>0</v>
      </c>
      <c r="BO15" s="8">
        <f t="array" ref="BO15">IFERROR(LARGE(IF(NF!$G$2:$G$3137='Mês atual'!A15,NF!$J$2:$J$3137),1),0)*BN15</f>
        <v>0</v>
      </c>
      <c r="BP15" s="50"/>
      <c r="BR15" s="147">
        <f t="array" ref="BR15">IFERROR(LARGE(IF(NF!$G$2:$G$3137='Mês atual'!A15,NF!$J$2:$J$3137),1),0)</f>
        <v>0</v>
      </c>
      <c r="BS15" s="143" t="str">
        <f>VLOOKUP(A15,NF!M:O,3,0)</f>
        <v>Bebidas</v>
      </c>
    </row>
    <row r="16" spans="1:74 16384:16384" x14ac:dyDescent="0.25">
      <c r="A16" s="108" t="s">
        <v>257</v>
      </c>
      <c r="B16" s="12"/>
      <c r="C16" s="9"/>
      <c r="D16" s="25"/>
      <c r="E16" s="10" t="str">
        <f t="shared" si="0"/>
        <v>OutubroSEMANA 1Cerveja Antartica Long Neck 355 ml</v>
      </c>
      <c r="F16" s="7">
        <f>SUMIF(NF!$A:$A,$E16,NF!$I:$I)</f>
        <v>0</v>
      </c>
      <c r="G16" s="6"/>
      <c r="H16" s="6"/>
      <c r="I16" s="6"/>
      <c r="J16" s="6"/>
      <c r="K16" s="6"/>
      <c r="L16" s="6"/>
      <c r="M16" s="6"/>
      <c r="N16" s="7">
        <f t="shared" si="16"/>
        <v>0</v>
      </c>
      <c r="O16" s="11">
        <f t="shared" si="2"/>
        <v>0</v>
      </c>
      <c r="P16" s="25"/>
      <c r="Q16" s="10" t="str">
        <f t="shared" si="3"/>
        <v>OutubroSEMANA 2Cerveja Antartica Long Neck 355 ml</v>
      </c>
      <c r="R16" s="7">
        <f>SUMIF(NF!$A:$A,$Q16,NF!$I:$I)</f>
        <v>0</v>
      </c>
      <c r="S16" s="6"/>
      <c r="T16" s="6"/>
      <c r="U16" s="6"/>
      <c r="V16" s="6"/>
      <c r="W16" s="6"/>
      <c r="X16" s="6"/>
      <c r="Y16" s="6"/>
      <c r="Z16" s="7">
        <f t="shared" si="17"/>
        <v>0</v>
      </c>
      <c r="AA16" s="11">
        <f t="shared" si="5"/>
        <v>0</v>
      </c>
      <c r="AB16" s="25"/>
      <c r="AC16" s="10" t="str">
        <f t="shared" si="6"/>
        <v>OutubroSEMANA 3Cerveja Antartica Long Neck 355 ml</v>
      </c>
      <c r="AD16" s="7">
        <f>SUMIF(NF!$A:$A,$AC16,NF!$I:$I)</f>
        <v>0</v>
      </c>
      <c r="AE16" s="6"/>
      <c r="AF16" s="6"/>
      <c r="AG16" s="6"/>
      <c r="AH16" s="6"/>
      <c r="AI16" s="6"/>
      <c r="AJ16" s="6"/>
      <c r="AK16" s="6"/>
      <c r="AL16" s="7">
        <f t="shared" si="18"/>
        <v>0</v>
      </c>
      <c r="AM16" s="11">
        <f t="shared" si="8"/>
        <v>0</v>
      </c>
      <c r="AN16" s="25"/>
      <c r="AO16" s="10" t="str">
        <f t="shared" si="9"/>
        <v>OutubroSEMANA 4Cerveja Antartica Long Neck 355 ml</v>
      </c>
      <c r="AP16" s="7">
        <f>SUMIF(NF!$A:$A,$AO16,NF!$I:$I)</f>
        <v>0</v>
      </c>
      <c r="AQ16" s="6"/>
      <c r="AR16" s="6"/>
      <c r="AS16" s="6"/>
      <c r="AT16" s="6"/>
      <c r="AU16" s="6"/>
      <c r="AV16" s="6"/>
      <c r="AW16" s="6"/>
      <c r="AX16" s="7">
        <f t="shared" si="19"/>
        <v>0</v>
      </c>
      <c r="AY16" s="11">
        <f t="shared" si="11"/>
        <v>0</v>
      </c>
      <c r="AZ16" s="25"/>
      <c r="BA16" s="10" t="str">
        <f t="shared" si="12"/>
        <v>OutubroSEMANA 5Cerveja Antartica Long Neck 355 ml</v>
      </c>
      <c r="BB16" s="7">
        <f>SUMIF(NF!$A:$A,$BA16,NF!$I:$I)</f>
        <v>0</v>
      </c>
      <c r="BC16" s="6"/>
      <c r="BD16" s="6"/>
      <c r="BE16" s="6"/>
      <c r="BF16" s="74"/>
      <c r="BG16" s="74"/>
      <c r="BH16" s="74"/>
      <c r="BI16" s="74"/>
      <c r="BJ16" s="74"/>
      <c r="BK16" s="7">
        <f t="shared" si="20"/>
        <v>0</v>
      </c>
      <c r="BL16" s="8">
        <f t="shared" si="14"/>
        <v>0</v>
      </c>
      <c r="BM16" s="51" t="str">
        <f>IFERROR(VLOOKUP(A16,NF!$M:$O,3,0),"")</f>
        <v>Bebidas</v>
      </c>
      <c r="BN16" s="7">
        <f t="shared" si="15"/>
        <v>0</v>
      </c>
      <c r="BO16" s="8">
        <f t="array" ref="BO16">IFERROR(LARGE(IF(NF!$G$2:$G$3137='Mês atual'!A16,NF!$J$2:$J$3137),1),0)*BN16</f>
        <v>0</v>
      </c>
      <c r="BP16" s="50"/>
      <c r="BR16" s="147">
        <f t="array" ref="BR16">IFERROR(LARGE(IF(NF!$G$2:$G$3137='Mês atual'!A16,NF!$J$2:$J$3137),1),0)</f>
        <v>0</v>
      </c>
      <c r="BS16" s="143" t="str">
        <f>VLOOKUP(A16,NF!M:O,3,0)</f>
        <v>Bebidas</v>
      </c>
    </row>
    <row r="17" spans="1:71" x14ac:dyDescent="0.25">
      <c r="A17" s="108" t="s">
        <v>258</v>
      </c>
      <c r="B17" s="12"/>
      <c r="C17" s="9">
        <f>1+2</f>
        <v>3</v>
      </c>
      <c r="D17" s="25"/>
      <c r="E17" s="10" t="str">
        <f t="shared" si="0"/>
        <v>OutubroSEMANA 1Cerveja Bierland Vienna 500ml</v>
      </c>
      <c r="F17" s="7">
        <f>SUMIF(NF!$A:$A,$E17,NF!$I:$I)</f>
        <v>0</v>
      </c>
      <c r="G17" s="6"/>
      <c r="H17" s="6"/>
      <c r="I17" s="6"/>
      <c r="J17" s="6"/>
      <c r="K17" s="6"/>
      <c r="L17" s="6"/>
      <c r="M17" s="6"/>
      <c r="N17" s="7">
        <f t="shared" si="16"/>
        <v>0</v>
      </c>
      <c r="O17" s="11">
        <f t="shared" si="2"/>
        <v>3</v>
      </c>
      <c r="P17" s="25"/>
      <c r="Q17" s="10" t="str">
        <f t="shared" si="3"/>
        <v>OutubroSEMANA 2Cerveja Bierland Vienna 500ml</v>
      </c>
      <c r="R17" s="7">
        <f>SUMIF(NF!$A:$A,$Q17,NF!$I:$I)</f>
        <v>0</v>
      </c>
      <c r="S17" s="6"/>
      <c r="T17" s="6"/>
      <c r="U17" s="6"/>
      <c r="V17" s="6"/>
      <c r="W17" s="6"/>
      <c r="X17" s="6"/>
      <c r="Y17" s="6">
        <v>1</v>
      </c>
      <c r="Z17" s="7">
        <f t="shared" si="17"/>
        <v>1</v>
      </c>
      <c r="AA17" s="11">
        <f t="shared" si="5"/>
        <v>2</v>
      </c>
      <c r="AB17" s="25"/>
      <c r="AC17" s="10" t="str">
        <f t="shared" si="6"/>
        <v>OutubroSEMANA 3Cerveja Bierland Vienna 500ml</v>
      </c>
      <c r="AD17" s="7">
        <f>SUMIF(NF!$A:$A,$AC17,NF!$I:$I)</f>
        <v>0</v>
      </c>
      <c r="AE17" s="6">
        <v>1</v>
      </c>
      <c r="AF17" s="6"/>
      <c r="AG17" s="6"/>
      <c r="AH17" s="6"/>
      <c r="AI17" s="6"/>
      <c r="AJ17" s="6"/>
      <c r="AK17" s="6"/>
      <c r="AL17" s="7">
        <f t="shared" si="18"/>
        <v>1</v>
      </c>
      <c r="AM17" s="11">
        <f t="shared" si="8"/>
        <v>1</v>
      </c>
      <c r="AN17" s="25"/>
      <c r="AO17" s="10" t="str">
        <f t="shared" si="9"/>
        <v>OutubroSEMANA 4Cerveja Bierland Vienna 500ml</v>
      </c>
      <c r="AP17" s="7">
        <f>SUMIF(NF!$A:$A,$AO17,NF!$I:$I)</f>
        <v>0</v>
      </c>
      <c r="AQ17" s="6"/>
      <c r="AR17" s="6"/>
      <c r="AS17" s="6"/>
      <c r="AT17" s="6"/>
      <c r="AU17" s="6"/>
      <c r="AV17" s="6"/>
      <c r="AW17" s="6"/>
      <c r="AX17" s="7">
        <f t="shared" si="19"/>
        <v>0</v>
      </c>
      <c r="AY17" s="11">
        <f t="shared" si="11"/>
        <v>1</v>
      </c>
      <c r="AZ17" s="25"/>
      <c r="BA17" s="10" t="str">
        <f t="shared" si="12"/>
        <v>OutubroSEMANA 5Cerveja Bierland Vienna 500ml</v>
      </c>
      <c r="BB17" s="7">
        <f>SUMIF(NF!$A:$A,$BA17,NF!$I:$I)</f>
        <v>0</v>
      </c>
      <c r="BC17" s="6"/>
      <c r="BD17" s="6"/>
      <c r="BE17" s="6"/>
      <c r="BF17" s="74"/>
      <c r="BG17" s="74"/>
      <c r="BH17" s="74"/>
      <c r="BI17" s="74"/>
      <c r="BJ17" s="74"/>
      <c r="BK17" s="7">
        <f t="shared" si="20"/>
        <v>0</v>
      </c>
      <c r="BL17" s="8">
        <f t="shared" si="14"/>
        <v>1</v>
      </c>
      <c r="BM17" s="51" t="str">
        <f>IFERROR(VLOOKUP(A17,NF!$M:$O,3,0),"")</f>
        <v>Bebidas</v>
      </c>
      <c r="BN17" s="7">
        <f t="shared" si="15"/>
        <v>2</v>
      </c>
      <c r="BO17" s="8">
        <f t="array" ref="BO17">IFERROR(LARGE(IF(NF!$G$2:$G$3137='Mês atual'!A17,NF!$J$2:$J$3137),1),0)*BN17</f>
        <v>0</v>
      </c>
      <c r="BP17" s="50"/>
      <c r="BR17" s="147">
        <f t="array" ref="BR17">IFERROR(LARGE(IF(NF!$G$2:$G$3137='Mês atual'!A17,NF!$J$2:$J$3137),1),0)</f>
        <v>0</v>
      </c>
      <c r="BS17" s="143" t="str">
        <f>VLOOKUP(A17,NF!M:O,3,0)</f>
        <v>Bebidas</v>
      </c>
    </row>
    <row r="18" spans="1:71" x14ac:dyDescent="0.25">
      <c r="A18" s="108" t="s">
        <v>259</v>
      </c>
      <c r="B18" s="12"/>
      <c r="C18" s="9">
        <f>16+16</f>
        <v>32</v>
      </c>
      <c r="D18" s="25"/>
      <c r="E18" s="10" t="str">
        <f t="shared" si="0"/>
        <v>OutubroSEMANA 1Cerveja Bohemia 600 ml</v>
      </c>
      <c r="F18" s="7">
        <f>SUMIF(NF!$A:$A,$E18,NF!$I:$I)</f>
        <v>0</v>
      </c>
      <c r="G18" s="6">
        <f>1+7+1</f>
        <v>9</v>
      </c>
      <c r="H18" s="6"/>
      <c r="I18" s="6">
        <f>1</f>
        <v>1</v>
      </c>
      <c r="J18" s="6"/>
      <c r="K18" s="6"/>
      <c r="L18" s="6">
        <f>3</f>
        <v>3</v>
      </c>
      <c r="M18" s="6">
        <v>2</v>
      </c>
      <c r="N18" s="7">
        <f t="shared" si="16"/>
        <v>15</v>
      </c>
      <c r="O18" s="11">
        <f t="shared" si="2"/>
        <v>17</v>
      </c>
      <c r="P18" s="25"/>
      <c r="Q18" s="10" t="str">
        <f t="shared" si="3"/>
        <v>OutubroSEMANA 2Cerveja Bohemia 600 ml</v>
      </c>
      <c r="R18" s="7">
        <f>SUMIF(NF!$A:$A,$Q18,NF!$I:$I)</f>
        <v>24</v>
      </c>
      <c r="S18" s="6">
        <f>5+5</f>
        <v>10</v>
      </c>
      <c r="T18" s="6"/>
      <c r="U18" s="6"/>
      <c r="V18" s="6"/>
      <c r="W18" s="6">
        <f>2+1</f>
        <v>3</v>
      </c>
      <c r="X18" s="6">
        <v>4</v>
      </c>
      <c r="Y18" s="6">
        <f>1+5</f>
        <v>6</v>
      </c>
      <c r="Z18" s="7">
        <f t="shared" si="17"/>
        <v>23</v>
      </c>
      <c r="AA18" s="11">
        <f t="shared" si="5"/>
        <v>18</v>
      </c>
      <c r="AB18" s="25"/>
      <c r="AC18" s="10" t="str">
        <f t="shared" si="6"/>
        <v>OutubroSEMANA 3Cerveja Bohemia 600 ml</v>
      </c>
      <c r="AD18" s="7">
        <f>SUMIF(NF!$A:$A,$AC18,NF!$I:$I)</f>
        <v>24</v>
      </c>
      <c r="AE18" s="6">
        <f>1+1</f>
        <v>2</v>
      </c>
      <c r="AF18" s="6"/>
      <c r="AG18" s="6"/>
      <c r="AH18" s="6"/>
      <c r="AI18" s="6"/>
      <c r="AJ18" s="6">
        <f>1</f>
        <v>1</v>
      </c>
      <c r="AK18" s="6">
        <f>1</f>
        <v>1</v>
      </c>
      <c r="AL18" s="7">
        <f t="shared" si="18"/>
        <v>4</v>
      </c>
      <c r="AM18" s="11">
        <f t="shared" si="8"/>
        <v>38</v>
      </c>
      <c r="AN18" s="25"/>
      <c r="AO18" s="10" t="str">
        <f t="shared" si="9"/>
        <v>OutubroSEMANA 4Cerveja Bohemia 600 ml</v>
      </c>
      <c r="AP18" s="7">
        <f>SUMIF(NF!$A:$A,$AO18,NF!$I:$I)</f>
        <v>0</v>
      </c>
      <c r="AQ18" s="6">
        <f>1+2-1</f>
        <v>2</v>
      </c>
      <c r="AR18" s="6"/>
      <c r="AS18" s="6"/>
      <c r="AT18" s="6"/>
      <c r="AU18" s="6"/>
      <c r="AV18" s="6"/>
      <c r="AW18" s="6">
        <v>1</v>
      </c>
      <c r="AX18" s="7">
        <f t="shared" si="19"/>
        <v>3</v>
      </c>
      <c r="AY18" s="11">
        <f t="shared" si="11"/>
        <v>35</v>
      </c>
      <c r="AZ18" s="25"/>
      <c r="BA18" s="10" t="str">
        <f t="shared" si="12"/>
        <v>OutubroSEMANA 5Cerveja Bohemia 600 ml</v>
      </c>
      <c r="BB18" s="7">
        <f>SUMIF(NF!$A:$A,$BA18,NF!$I:$I)</f>
        <v>0</v>
      </c>
      <c r="BC18" s="6">
        <f>2</f>
        <v>2</v>
      </c>
      <c r="BD18" s="6"/>
      <c r="BE18" s="6"/>
      <c r="BF18" s="74"/>
      <c r="BG18" s="74"/>
      <c r="BH18" s="74"/>
      <c r="BI18" s="74"/>
      <c r="BJ18" s="74"/>
      <c r="BK18" s="7">
        <f t="shared" si="20"/>
        <v>2</v>
      </c>
      <c r="BL18" s="8">
        <f t="shared" si="14"/>
        <v>33</v>
      </c>
      <c r="BM18" s="51" t="str">
        <f>IFERROR(VLOOKUP(A18,NF!$M:$O,3,0),"")</f>
        <v>Bebidas</v>
      </c>
      <c r="BN18" s="7">
        <f t="shared" si="15"/>
        <v>47</v>
      </c>
      <c r="BO18" s="8">
        <f t="array" ref="BO18">IFERROR(LARGE(IF(NF!$G$2:$G$3137='Mês atual'!A18,NF!$J$2:$J$3137),1),0)*BN18</f>
        <v>225.9329166666667</v>
      </c>
      <c r="BP18" s="50"/>
      <c r="BR18" s="147">
        <f t="array" ref="BR18">IFERROR(LARGE(IF(NF!$G$2:$G$3137='Mês atual'!A18,NF!$J$2:$J$3137),1),0)</f>
        <v>4.8070833333333338</v>
      </c>
      <c r="BS18" s="143" t="str">
        <f>VLOOKUP(A18,NF!M:O,3,0)</f>
        <v>Bebidas</v>
      </c>
    </row>
    <row r="19" spans="1:71" x14ac:dyDescent="0.25">
      <c r="A19" s="108" t="s">
        <v>260</v>
      </c>
      <c r="B19" s="12"/>
      <c r="C19" s="9">
        <f>54+13</f>
        <v>67</v>
      </c>
      <c r="D19" s="25"/>
      <c r="E19" s="10" t="str">
        <f t="shared" si="0"/>
        <v>OutubroSEMANA 1Cerveja Bohemia Long Neck 355 ml</v>
      </c>
      <c r="F19" s="7">
        <f>SUMIF(NF!$A:$A,$E19,NF!$I:$I)</f>
        <v>24</v>
      </c>
      <c r="G19" s="6">
        <f>5+4</f>
        <v>9</v>
      </c>
      <c r="H19" s="6">
        <f>1+1</f>
        <v>2</v>
      </c>
      <c r="I19" s="6"/>
      <c r="J19" s="6"/>
      <c r="K19" s="6">
        <v>1</v>
      </c>
      <c r="L19" s="6">
        <f>4</f>
        <v>4</v>
      </c>
      <c r="M19" s="6">
        <f>1+5</f>
        <v>6</v>
      </c>
      <c r="N19" s="7">
        <f t="shared" si="16"/>
        <v>22</v>
      </c>
      <c r="O19" s="11">
        <f t="shared" si="2"/>
        <v>69</v>
      </c>
      <c r="P19" s="25"/>
      <c r="Q19" s="10" t="str">
        <f t="shared" si="3"/>
        <v>OutubroSEMANA 2Cerveja Bohemia Long Neck 355 ml</v>
      </c>
      <c r="R19" s="7">
        <f>SUMIF(NF!$A:$A,$Q19,NF!$I:$I)</f>
        <v>0</v>
      </c>
      <c r="S19" s="6">
        <f>4+4+6</f>
        <v>14</v>
      </c>
      <c r="T19" s="6">
        <f>2</f>
        <v>2</v>
      </c>
      <c r="U19" s="6">
        <v>1</v>
      </c>
      <c r="V19" s="6">
        <f>1</f>
        <v>1</v>
      </c>
      <c r="W19" s="6">
        <f>1+7+3</f>
        <v>11</v>
      </c>
      <c r="X19" s="6">
        <v>8</v>
      </c>
      <c r="Y19" s="6">
        <f>7+1+2</f>
        <v>10</v>
      </c>
      <c r="Z19" s="7">
        <f t="shared" si="17"/>
        <v>47</v>
      </c>
      <c r="AA19" s="11">
        <f t="shared" si="5"/>
        <v>22</v>
      </c>
      <c r="AB19" s="25"/>
      <c r="AC19" s="10" t="str">
        <f t="shared" si="6"/>
        <v>OutubroSEMANA 3Cerveja Bohemia Long Neck 355 ml</v>
      </c>
      <c r="AD19" s="7">
        <f>SUMIF(NF!$A:$A,$AC19,NF!$I:$I)</f>
        <v>48</v>
      </c>
      <c r="AE19" s="6">
        <f>4+4</f>
        <v>8</v>
      </c>
      <c r="AF19" s="6">
        <v>1</v>
      </c>
      <c r="AG19" s="6">
        <f>1+1</f>
        <v>2</v>
      </c>
      <c r="AH19" s="6">
        <f>4+2+1</f>
        <v>7</v>
      </c>
      <c r="AI19" s="6"/>
      <c r="AJ19" s="6">
        <f>2+1-1</f>
        <v>2</v>
      </c>
      <c r="AK19" s="6">
        <f>4+3+1</f>
        <v>8</v>
      </c>
      <c r="AL19" s="7">
        <f t="shared" si="18"/>
        <v>28</v>
      </c>
      <c r="AM19" s="11">
        <f t="shared" si="8"/>
        <v>42</v>
      </c>
      <c r="AN19" s="25"/>
      <c r="AO19" s="10" t="str">
        <f t="shared" si="9"/>
        <v>OutubroSEMANA 4Cerveja Bohemia Long Neck 355 ml</v>
      </c>
      <c r="AP19" s="7">
        <f>SUMIF(NF!$A:$A,$AO19,NF!$I:$I)</f>
        <v>48</v>
      </c>
      <c r="AQ19" s="6">
        <f>3+4+4</f>
        <v>11</v>
      </c>
      <c r="AR19" s="6">
        <v>1</v>
      </c>
      <c r="AS19" s="6">
        <v>1</v>
      </c>
      <c r="AT19" s="6">
        <f>1</f>
        <v>1</v>
      </c>
      <c r="AU19" s="6"/>
      <c r="AV19" s="6">
        <v>1</v>
      </c>
      <c r="AW19" s="6">
        <f>2+5</f>
        <v>7</v>
      </c>
      <c r="AX19" s="7">
        <f t="shared" si="19"/>
        <v>22</v>
      </c>
      <c r="AY19" s="11">
        <f t="shared" si="11"/>
        <v>68</v>
      </c>
      <c r="AZ19" s="25"/>
      <c r="BA19" s="10" t="str">
        <f t="shared" si="12"/>
        <v>OutubroSEMANA 5Cerveja Bohemia Long Neck 355 ml</v>
      </c>
      <c r="BB19" s="7">
        <f>SUMIF(NF!$A:$A,$BA19,NF!$I:$I)</f>
        <v>0</v>
      </c>
      <c r="BC19" s="6">
        <f>1+7+3</f>
        <v>11</v>
      </c>
      <c r="BD19" s="6"/>
      <c r="BE19" s="6"/>
      <c r="BF19" s="74"/>
      <c r="BG19" s="74"/>
      <c r="BH19" s="74"/>
      <c r="BI19" s="74"/>
      <c r="BJ19" s="74"/>
      <c r="BK19" s="7">
        <f t="shared" si="20"/>
        <v>11</v>
      </c>
      <c r="BL19" s="8">
        <f t="shared" si="14"/>
        <v>57</v>
      </c>
      <c r="BM19" s="51" t="str">
        <f>IFERROR(VLOOKUP(A19,NF!$M:$O,3,0),"")</f>
        <v>Bebidas</v>
      </c>
      <c r="BN19" s="7">
        <f t="shared" si="15"/>
        <v>130</v>
      </c>
      <c r="BO19" s="8">
        <f t="array" ref="BO19">IFERROR(LARGE(IF(NF!$G$2:$G$3137='Mês atual'!A19,NF!$J$2:$J$3137),1),0)*BN19</f>
        <v>345.42083333333335</v>
      </c>
      <c r="BP19" s="50"/>
      <c r="BR19" s="147">
        <f t="array" ref="BR19">IFERROR(LARGE(IF(NF!$G$2:$G$3137='Mês atual'!A19,NF!$J$2:$J$3137),1),0)</f>
        <v>2.6570833333333335</v>
      </c>
      <c r="BS19" s="143" t="str">
        <f>VLOOKUP(A19,NF!M:O,3,0)</f>
        <v>Bebidas</v>
      </c>
    </row>
    <row r="20" spans="1:71" x14ac:dyDescent="0.25">
      <c r="A20" s="108" t="s">
        <v>261</v>
      </c>
      <c r="B20" s="12"/>
      <c r="C20" s="9">
        <f>3+3</f>
        <v>6</v>
      </c>
      <c r="D20" s="25"/>
      <c r="E20" s="10" t="str">
        <f t="shared" si="0"/>
        <v>OutubroSEMANA 1Cerveja Dama IPA 355 ml</v>
      </c>
      <c r="F20" s="7">
        <f>SUMIF(NF!$A:$A,$E20,NF!$I:$I)</f>
        <v>0</v>
      </c>
      <c r="G20" s="6"/>
      <c r="H20" s="6"/>
      <c r="I20" s="6"/>
      <c r="J20" s="6"/>
      <c r="K20" s="6"/>
      <c r="L20" s="6"/>
      <c r="M20" s="6"/>
      <c r="N20" s="7">
        <f t="shared" si="16"/>
        <v>0</v>
      </c>
      <c r="O20" s="11">
        <f t="shared" si="2"/>
        <v>6</v>
      </c>
      <c r="P20" s="25"/>
      <c r="Q20" s="10" t="str">
        <f t="shared" si="3"/>
        <v>OutubroSEMANA 2Cerveja Dama IPA 355 ml</v>
      </c>
      <c r="R20" s="7">
        <f>SUMIF(NF!$A:$A,$Q20,NF!$I:$I)</f>
        <v>0</v>
      </c>
      <c r="S20" s="6">
        <v>1</v>
      </c>
      <c r="T20" s="6"/>
      <c r="U20" s="6"/>
      <c r="V20" s="6"/>
      <c r="W20" s="6"/>
      <c r="X20" s="6"/>
      <c r="Y20" s="6"/>
      <c r="Z20" s="7">
        <f t="shared" si="17"/>
        <v>1</v>
      </c>
      <c r="AA20" s="11">
        <f t="shared" si="5"/>
        <v>5</v>
      </c>
      <c r="AB20" s="25"/>
      <c r="AC20" s="10" t="str">
        <f t="shared" si="6"/>
        <v>OutubroSEMANA 3Cerveja Dama IPA 355 ml</v>
      </c>
      <c r="AD20" s="7">
        <f>SUMIF(NF!$A:$A,$AC20,NF!$I:$I)</f>
        <v>0</v>
      </c>
      <c r="AE20" s="6">
        <v>1</v>
      </c>
      <c r="AF20" s="6"/>
      <c r="AG20" s="6"/>
      <c r="AH20" s="6"/>
      <c r="AI20" s="6"/>
      <c r="AJ20" s="6"/>
      <c r="AK20" s="6"/>
      <c r="AL20" s="7">
        <f t="shared" si="18"/>
        <v>1</v>
      </c>
      <c r="AM20" s="11">
        <f t="shared" si="8"/>
        <v>4</v>
      </c>
      <c r="AN20" s="25"/>
      <c r="AO20" s="10" t="str">
        <f t="shared" si="9"/>
        <v>OutubroSEMANA 4Cerveja Dama IPA 355 ml</v>
      </c>
      <c r="AP20" s="7">
        <f>SUMIF(NF!$A:$A,$AO20,NF!$I:$I)</f>
        <v>0</v>
      </c>
      <c r="AQ20" s="6"/>
      <c r="AR20" s="6"/>
      <c r="AS20" s="6"/>
      <c r="AT20" s="6"/>
      <c r="AU20" s="6"/>
      <c r="AV20" s="6"/>
      <c r="AW20" s="6"/>
      <c r="AX20" s="7">
        <f t="shared" si="19"/>
        <v>0</v>
      </c>
      <c r="AY20" s="11">
        <f t="shared" si="11"/>
        <v>4</v>
      </c>
      <c r="AZ20" s="25"/>
      <c r="BA20" s="10" t="str">
        <f t="shared" si="12"/>
        <v>OutubroSEMANA 5Cerveja Dama IPA 355 ml</v>
      </c>
      <c r="BB20" s="7">
        <f>SUMIF(NF!$A:$A,$BA20,NF!$I:$I)</f>
        <v>0</v>
      </c>
      <c r="BC20" s="6"/>
      <c r="BD20" s="6"/>
      <c r="BE20" s="6"/>
      <c r="BF20" s="74"/>
      <c r="BG20" s="74"/>
      <c r="BH20" s="74"/>
      <c r="BI20" s="74"/>
      <c r="BJ20" s="74"/>
      <c r="BK20" s="7">
        <f t="shared" si="20"/>
        <v>0</v>
      </c>
      <c r="BL20" s="8">
        <f t="shared" si="14"/>
        <v>4</v>
      </c>
      <c r="BM20" s="51" t="str">
        <f>IFERROR(VLOOKUP(A20,NF!$M:$O,3,0),"")</f>
        <v>Bebidas</v>
      </c>
      <c r="BN20" s="7">
        <f t="shared" si="15"/>
        <v>2</v>
      </c>
      <c r="BO20" s="8">
        <f t="array" ref="BO20">IFERROR(LARGE(IF(NF!$G$2:$G$3137='Mês atual'!A20,NF!$J$2:$J$3137),1),0)*BN20</f>
        <v>0</v>
      </c>
      <c r="BP20" s="50"/>
      <c r="BR20" s="147">
        <f t="array" ref="BR20">IFERROR(LARGE(IF(NF!$G$2:$G$3137='Mês atual'!A20,NF!$J$2:$J$3137),1),0)</f>
        <v>0</v>
      </c>
      <c r="BS20" s="143" t="str">
        <f>VLOOKUP(A20,NF!M:O,3,0)</f>
        <v>Bebidas</v>
      </c>
    </row>
    <row r="21" spans="1:71" x14ac:dyDescent="0.25">
      <c r="A21" s="108" t="s">
        <v>262</v>
      </c>
      <c r="B21" s="12"/>
      <c r="C21" s="9">
        <f>4+1</f>
        <v>5</v>
      </c>
      <c r="D21" s="25"/>
      <c r="E21" s="10" t="str">
        <f t="shared" si="0"/>
        <v>OutubroSEMANA 1Cerveja Garrafa Mary Angel 600 ml</v>
      </c>
      <c r="F21" s="7">
        <f>SUMIF(NF!$A:$A,$E21,NF!$I:$I)</f>
        <v>0</v>
      </c>
      <c r="G21" s="6"/>
      <c r="H21" s="6"/>
      <c r="I21" s="6"/>
      <c r="J21" s="6"/>
      <c r="K21" s="6"/>
      <c r="L21" s="6"/>
      <c r="M21" s="6"/>
      <c r="N21" s="7">
        <f t="shared" si="16"/>
        <v>0</v>
      </c>
      <c r="O21" s="11">
        <f t="shared" si="2"/>
        <v>5</v>
      </c>
      <c r="P21" s="25"/>
      <c r="Q21" s="10" t="str">
        <f t="shared" si="3"/>
        <v>OutubroSEMANA 2Cerveja Garrafa Mary Angel 600 ml</v>
      </c>
      <c r="R21" s="7">
        <f>SUMIF(NF!$A:$A,$Q21,NF!$I:$I)</f>
        <v>0</v>
      </c>
      <c r="S21" s="6"/>
      <c r="T21" s="6"/>
      <c r="U21" s="6"/>
      <c r="V21" s="6"/>
      <c r="W21" s="6"/>
      <c r="X21" s="6"/>
      <c r="Y21" s="6"/>
      <c r="Z21" s="7">
        <f t="shared" si="17"/>
        <v>0</v>
      </c>
      <c r="AA21" s="11">
        <f t="shared" si="5"/>
        <v>5</v>
      </c>
      <c r="AB21" s="25"/>
      <c r="AC21" s="10" t="str">
        <f t="shared" si="6"/>
        <v>OutubroSEMANA 3Cerveja Garrafa Mary Angel 600 ml</v>
      </c>
      <c r="AD21" s="7">
        <f>SUMIF(NF!$A:$A,$AC21,NF!$I:$I)</f>
        <v>0</v>
      </c>
      <c r="AE21" s="6"/>
      <c r="AF21" s="6"/>
      <c r="AG21" s="6"/>
      <c r="AH21" s="6"/>
      <c r="AI21" s="6"/>
      <c r="AJ21" s="6"/>
      <c r="AK21" s="6"/>
      <c r="AL21" s="7">
        <f t="shared" si="18"/>
        <v>0</v>
      </c>
      <c r="AM21" s="11">
        <f t="shared" si="8"/>
        <v>5</v>
      </c>
      <c r="AN21" s="25"/>
      <c r="AO21" s="10" t="str">
        <f t="shared" si="9"/>
        <v>OutubroSEMANA 4Cerveja Garrafa Mary Angel 600 ml</v>
      </c>
      <c r="AP21" s="7">
        <f>SUMIF(NF!$A:$A,$AO21,NF!$I:$I)</f>
        <v>0</v>
      </c>
      <c r="AQ21" s="6"/>
      <c r="AR21" s="6"/>
      <c r="AS21" s="6"/>
      <c r="AT21" s="6"/>
      <c r="AU21" s="6"/>
      <c r="AV21" s="6"/>
      <c r="AW21" s="6"/>
      <c r="AX21" s="7">
        <f t="shared" si="19"/>
        <v>0</v>
      </c>
      <c r="AY21" s="11">
        <f t="shared" si="11"/>
        <v>5</v>
      </c>
      <c r="AZ21" s="25"/>
      <c r="BA21" s="10" t="str">
        <f t="shared" si="12"/>
        <v>OutubroSEMANA 5Cerveja Garrafa Mary Angel 600 ml</v>
      </c>
      <c r="BB21" s="7">
        <f>SUMIF(NF!$A:$A,$BA21,NF!$I:$I)</f>
        <v>0</v>
      </c>
      <c r="BC21" s="6">
        <f>3</f>
        <v>3</v>
      </c>
      <c r="BD21" s="6"/>
      <c r="BE21" s="6">
        <v>2</v>
      </c>
      <c r="BF21" s="74"/>
      <c r="BG21" s="74"/>
      <c r="BH21" s="74"/>
      <c r="BI21" s="74"/>
      <c r="BJ21" s="74"/>
      <c r="BK21" s="7">
        <f t="shared" si="20"/>
        <v>5</v>
      </c>
      <c r="BL21" s="8">
        <f t="shared" si="14"/>
        <v>0</v>
      </c>
      <c r="BM21" s="51" t="str">
        <f>IFERROR(VLOOKUP(A21,NF!$M:$O,3,0),"")</f>
        <v>Bebidas</v>
      </c>
      <c r="BN21" s="7">
        <f t="shared" si="15"/>
        <v>5</v>
      </c>
      <c r="BO21" s="8">
        <f t="array" ref="BO21">IFERROR(LARGE(IF(NF!$G$2:$G$3137='Mês atual'!A21,NF!$J$2:$J$3137),1),0)*BN21</f>
        <v>0</v>
      </c>
      <c r="BP21" s="50"/>
      <c r="BR21" s="147">
        <f t="array" ref="BR21">IFERROR(LARGE(IF(NF!$G$2:$G$3137='Mês atual'!A21,NF!$J$2:$J$3137),1),0)</f>
        <v>0</v>
      </c>
      <c r="BS21" s="143" t="str">
        <f>VLOOKUP(A21,NF!M:O,3,0)</f>
        <v>Bebidas</v>
      </c>
    </row>
    <row r="22" spans="1:71" x14ac:dyDescent="0.25">
      <c r="A22" s="108" t="s">
        <v>263</v>
      </c>
      <c r="B22" s="12"/>
      <c r="C22" s="9">
        <f>31+15</f>
        <v>46</v>
      </c>
      <c r="D22" s="25"/>
      <c r="E22" s="10" t="str">
        <f t="shared" si="0"/>
        <v>OutubroSEMANA 1Cerveja Heineken 600 ml</v>
      </c>
      <c r="F22" s="7">
        <f>SUMIF(NF!$A:$A,$E22,NF!$I:$I)</f>
        <v>0</v>
      </c>
      <c r="G22" s="6"/>
      <c r="H22" s="6"/>
      <c r="I22" s="6"/>
      <c r="J22" s="6">
        <f>1</f>
        <v>1</v>
      </c>
      <c r="K22" s="6"/>
      <c r="L22" s="6"/>
      <c r="M22" s="6">
        <f>1</f>
        <v>1</v>
      </c>
      <c r="N22" s="7">
        <f t="shared" si="16"/>
        <v>2</v>
      </c>
      <c r="O22" s="11">
        <f t="shared" si="2"/>
        <v>44</v>
      </c>
      <c r="P22" s="25"/>
      <c r="Q22" s="10" t="str">
        <f t="shared" si="3"/>
        <v>OutubroSEMANA 2Cerveja Heineken 600 ml</v>
      </c>
      <c r="R22" s="7">
        <f>SUMIF(NF!$A:$A,$Q22,NF!$I:$I)</f>
        <v>0</v>
      </c>
      <c r="S22" s="6">
        <f>1</f>
        <v>1</v>
      </c>
      <c r="T22" s="6">
        <f>1</f>
        <v>1</v>
      </c>
      <c r="U22" s="6">
        <v>1</v>
      </c>
      <c r="V22" s="6"/>
      <c r="W22" s="6">
        <f>1+1</f>
        <v>2</v>
      </c>
      <c r="X22" s="6">
        <f>1+2</f>
        <v>3</v>
      </c>
      <c r="Y22" s="6">
        <f>1+1</f>
        <v>2</v>
      </c>
      <c r="Z22" s="7">
        <f t="shared" si="17"/>
        <v>10</v>
      </c>
      <c r="AA22" s="11">
        <f t="shared" si="5"/>
        <v>34</v>
      </c>
      <c r="AB22" s="25"/>
      <c r="AC22" s="10" t="str">
        <f t="shared" si="6"/>
        <v>OutubroSEMANA 3Cerveja Heineken 600 ml</v>
      </c>
      <c r="AD22" s="7">
        <f>SUMIF(NF!$A:$A,$AC22,NF!$I:$I)</f>
        <v>0</v>
      </c>
      <c r="AE22" s="6">
        <f>1+1</f>
        <v>2</v>
      </c>
      <c r="AF22" s="6"/>
      <c r="AG22" s="6"/>
      <c r="AH22" s="6"/>
      <c r="AI22" s="6"/>
      <c r="AJ22" s="6"/>
      <c r="AK22" s="6"/>
      <c r="AL22" s="7">
        <f t="shared" si="18"/>
        <v>2</v>
      </c>
      <c r="AM22" s="11">
        <f t="shared" si="8"/>
        <v>32</v>
      </c>
      <c r="AN22" s="25"/>
      <c r="AO22" s="10" t="str">
        <f t="shared" si="9"/>
        <v>OutubroSEMANA 4Cerveja Heineken 600 ml</v>
      </c>
      <c r="AP22" s="7">
        <f>SUMIF(NF!$A:$A,$AO22,NF!$I:$I)</f>
        <v>0</v>
      </c>
      <c r="AQ22" s="6"/>
      <c r="AR22" s="6"/>
      <c r="AS22" s="6"/>
      <c r="AT22" s="6"/>
      <c r="AU22" s="6"/>
      <c r="AV22" s="6">
        <v>1</v>
      </c>
      <c r="AW22" s="6">
        <f>1+1</f>
        <v>2</v>
      </c>
      <c r="AX22" s="7">
        <f t="shared" si="19"/>
        <v>3</v>
      </c>
      <c r="AY22" s="11">
        <f t="shared" si="11"/>
        <v>29</v>
      </c>
      <c r="AZ22" s="25"/>
      <c r="BA22" s="10" t="str">
        <f t="shared" si="12"/>
        <v>OutubroSEMANA 5Cerveja Heineken 600 ml</v>
      </c>
      <c r="BB22" s="7">
        <f>SUMIF(NF!$A:$A,$BA22,NF!$I:$I)</f>
        <v>0</v>
      </c>
      <c r="BC22" s="6">
        <f>1+2-1</f>
        <v>2</v>
      </c>
      <c r="BD22" s="6"/>
      <c r="BE22" s="6"/>
      <c r="BF22" s="74"/>
      <c r="BG22" s="74"/>
      <c r="BH22" s="74"/>
      <c r="BI22" s="74"/>
      <c r="BJ22" s="74"/>
      <c r="BK22" s="7">
        <f t="shared" si="20"/>
        <v>2</v>
      </c>
      <c r="BL22" s="8">
        <f t="shared" si="14"/>
        <v>27</v>
      </c>
      <c r="BM22" s="51" t="str">
        <f>IFERROR(VLOOKUP(A22,NF!$M:$O,3,0),"")</f>
        <v>Bebidas</v>
      </c>
      <c r="BN22" s="7">
        <f t="shared" si="15"/>
        <v>19</v>
      </c>
      <c r="BO22" s="8">
        <f t="array" ref="BO22">IFERROR(LARGE(IF(NF!$G$2:$G$3137='Mês atual'!A22,NF!$J$2:$J$3137),1),0)*BN22</f>
        <v>0</v>
      </c>
      <c r="BP22" s="50"/>
      <c r="BR22" s="147">
        <f t="array" ref="BR22">IFERROR(LARGE(IF(NF!$G$2:$G$3137='Mês atual'!A22,NF!$J$2:$J$3137),1),0)</f>
        <v>0</v>
      </c>
      <c r="BS22" s="143" t="str">
        <f>VLOOKUP(A22,NF!M:O,3,0)</f>
        <v>Bebidas</v>
      </c>
    </row>
    <row r="23" spans="1:71" x14ac:dyDescent="0.25">
      <c r="A23" s="108" t="s">
        <v>264</v>
      </c>
      <c r="B23" s="12"/>
      <c r="C23" s="9">
        <f>60+10</f>
        <v>70</v>
      </c>
      <c r="D23" s="25"/>
      <c r="E23" s="10" t="str">
        <f t="shared" si="0"/>
        <v>OutubroSEMANA 1Cerveja Heineken Long Neck 330 ml</v>
      </c>
      <c r="F23" s="7">
        <f>SUMIF(NF!$A:$A,$E23,NF!$I:$I)</f>
        <v>0</v>
      </c>
      <c r="G23" s="6">
        <f>2+5+5</f>
        <v>12</v>
      </c>
      <c r="H23" s="6">
        <f>1</f>
        <v>1</v>
      </c>
      <c r="I23" s="6">
        <v>1</v>
      </c>
      <c r="J23" s="6">
        <f>1</f>
        <v>1</v>
      </c>
      <c r="K23" s="6">
        <f>1+1</f>
        <v>2</v>
      </c>
      <c r="L23" s="6">
        <f>3+1</f>
        <v>4</v>
      </c>
      <c r="M23" s="6">
        <f>3+4</f>
        <v>7</v>
      </c>
      <c r="N23" s="7">
        <f t="shared" si="16"/>
        <v>28</v>
      </c>
      <c r="O23" s="11">
        <f t="shared" si="2"/>
        <v>42</v>
      </c>
      <c r="P23" s="25"/>
      <c r="Q23" s="10" t="str">
        <f t="shared" si="3"/>
        <v>OutubroSEMANA 2Cerveja Heineken Long Neck 330 ml</v>
      </c>
      <c r="R23" s="7">
        <f>SUMIF(NF!$A:$A,$Q23,NF!$I:$I)</f>
        <v>24</v>
      </c>
      <c r="S23" s="6">
        <f>3+5</f>
        <v>8</v>
      </c>
      <c r="T23" s="6">
        <f>1</f>
        <v>1</v>
      </c>
      <c r="U23" s="6">
        <f>3</f>
        <v>3</v>
      </c>
      <c r="V23" s="6"/>
      <c r="W23" s="6">
        <f>9+2</f>
        <v>11</v>
      </c>
      <c r="X23" s="6">
        <f>1+3+3</f>
        <v>7</v>
      </c>
      <c r="Y23" s="6">
        <f>2+2+2</f>
        <v>6</v>
      </c>
      <c r="Z23" s="7">
        <f t="shared" si="17"/>
        <v>36</v>
      </c>
      <c r="AA23" s="11">
        <f t="shared" si="5"/>
        <v>30</v>
      </c>
      <c r="AB23" s="25"/>
      <c r="AC23" s="10" t="str">
        <f t="shared" si="6"/>
        <v>OutubroSEMANA 3Cerveja Heineken Long Neck 330 ml</v>
      </c>
      <c r="AD23" s="7">
        <f>SUMIF(NF!$A:$A,$AC23,NF!$I:$I)</f>
        <v>48</v>
      </c>
      <c r="AE23" s="6">
        <f>1+1+6</f>
        <v>8</v>
      </c>
      <c r="AF23" s="6"/>
      <c r="AG23" s="6">
        <f>1</f>
        <v>1</v>
      </c>
      <c r="AH23" s="6">
        <f>2+3</f>
        <v>5</v>
      </c>
      <c r="AI23" s="6">
        <v>3</v>
      </c>
      <c r="AJ23" s="6">
        <f>1+1+1</f>
        <v>3</v>
      </c>
      <c r="AK23" s="6">
        <f>1+2+1</f>
        <v>4</v>
      </c>
      <c r="AL23" s="7">
        <f t="shared" si="18"/>
        <v>24</v>
      </c>
      <c r="AM23" s="11">
        <f t="shared" si="8"/>
        <v>54</v>
      </c>
      <c r="AN23" s="25"/>
      <c r="AO23" s="10" t="str">
        <f t="shared" si="9"/>
        <v>OutubroSEMANA 4Cerveja Heineken Long Neck 330 ml</v>
      </c>
      <c r="AP23" s="7">
        <f>SUMIF(NF!$A:$A,$AO23,NF!$I:$I)</f>
        <v>24</v>
      </c>
      <c r="AQ23" s="6">
        <f>1+4+4</f>
        <v>9</v>
      </c>
      <c r="AR23" s="6">
        <v>2</v>
      </c>
      <c r="AS23" s="6">
        <f>2+1</f>
        <v>3</v>
      </c>
      <c r="AT23" s="6">
        <f>1+2</f>
        <v>3</v>
      </c>
      <c r="AU23" s="6">
        <f>1</f>
        <v>1</v>
      </c>
      <c r="AV23" s="6">
        <f>2+1</f>
        <v>3</v>
      </c>
      <c r="AW23" s="6">
        <f>1+2+2</f>
        <v>5</v>
      </c>
      <c r="AX23" s="7">
        <f t="shared" si="19"/>
        <v>26</v>
      </c>
      <c r="AY23" s="11">
        <f t="shared" si="11"/>
        <v>52</v>
      </c>
      <c r="AZ23" s="25"/>
      <c r="BA23" s="10" t="str">
        <f t="shared" si="12"/>
        <v>OutubroSEMANA 5Cerveja Heineken Long Neck 330 ml</v>
      </c>
      <c r="BB23" s="7">
        <f>SUMIF(NF!$A:$A,$BA23,NF!$I:$I)</f>
        <v>0</v>
      </c>
      <c r="BC23" s="6">
        <f>4</f>
        <v>4</v>
      </c>
      <c r="BD23" s="6">
        <f>1+1</f>
        <v>2</v>
      </c>
      <c r="BE23" s="6">
        <f>1+1</f>
        <v>2</v>
      </c>
      <c r="BF23" s="74"/>
      <c r="BG23" s="74"/>
      <c r="BH23" s="74"/>
      <c r="BI23" s="74"/>
      <c r="BJ23" s="74"/>
      <c r="BK23" s="7">
        <f t="shared" si="20"/>
        <v>8</v>
      </c>
      <c r="BL23" s="8">
        <f t="shared" si="14"/>
        <v>44</v>
      </c>
      <c r="BM23" s="51" t="str">
        <f>IFERROR(VLOOKUP(A23,NF!$M:$O,3,0),"")</f>
        <v>Bebidas</v>
      </c>
      <c r="BN23" s="7">
        <f t="shared" si="15"/>
        <v>122</v>
      </c>
      <c r="BO23" s="8">
        <f t="array" ref="BO23">IFERROR(LARGE(IF(NF!$G$2:$G$3137='Mês atual'!A23,NF!$J$2:$J$3137),1),0)*BN23</f>
        <v>488</v>
      </c>
      <c r="BP23" s="50"/>
      <c r="BR23" s="147">
        <f t="array" ref="BR23">IFERROR(LARGE(IF(NF!$G$2:$G$3137='Mês atual'!A23,NF!$J$2:$J$3137),1),0)</f>
        <v>4</v>
      </c>
      <c r="BS23" s="143" t="str">
        <f>VLOOKUP(A23,NF!M:O,3,0)</f>
        <v>Bebidas</v>
      </c>
    </row>
    <row r="24" spans="1:71" s="81" customFormat="1" x14ac:dyDescent="0.25">
      <c r="A24" s="148" t="s">
        <v>265</v>
      </c>
      <c r="B24" s="149"/>
      <c r="C24" s="9">
        <f>2+4</f>
        <v>6</v>
      </c>
      <c r="D24" s="25"/>
      <c r="E24" s="150" t="str">
        <f t="shared" si="0"/>
        <v>OutubroSEMANA 1Cerveja La Trappe Dubbel</v>
      </c>
      <c r="F24" s="7">
        <f>SUMIF(NF!$A:$A,$E24,NF!$I:$I)</f>
        <v>0</v>
      </c>
      <c r="G24" s="6"/>
      <c r="H24" s="6"/>
      <c r="I24" s="6"/>
      <c r="J24" s="6"/>
      <c r="K24" s="6"/>
      <c r="L24" s="6"/>
      <c r="M24" s="6"/>
      <c r="N24" s="7">
        <f t="shared" si="16"/>
        <v>0</v>
      </c>
      <c r="O24" s="11">
        <f t="shared" si="2"/>
        <v>6</v>
      </c>
      <c r="P24" s="25"/>
      <c r="Q24" s="150" t="str">
        <f t="shared" si="3"/>
        <v>OutubroSEMANA 2Cerveja La Trappe Dubbel</v>
      </c>
      <c r="R24" s="7">
        <f>SUMIF(NF!$A:$A,$Q24,NF!$I:$I)</f>
        <v>0</v>
      </c>
      <c r="S24" s="6"/>
      <c r="T24" s="6"/>
      <c r="U24" s="6"/>
      <c r="V24" s="6"/>
      <c r="W24" s="6"/>
      <c r="X24" s="6"/>
      <c r="Y24" s="6"/>
      <c r="Z24" s="7">
        <f t="shared" si="17"/>
        <v>0</v>
      </c>
      <c r="AA24" s="11">
        <f t="shared" si="5"/>
        <v>6</v>
      </c>
      <c r="AB24" s="25"/>
      <c r="AC24" s="150" t="str">
        <f t="shared" si="6"/>
        <v>OutubroSEMANA 3Cerveja La Trappe Dubbel</v>
      </c>
      <c r="AD24" s="7">
        <f>SUMIF(NF!$A:$A,$AC24,NF!$I:$I)</f>
        <v>0</v>
      </c>
      <c r="AE24" s="6"/>
      <c r="AF24" s="6"/>
      <c r="AG24" s="6"/>
      <c r="AH24" s="6"/>
      <c r="AI24" s="6"/>
      <c r="AJ24" s="6"/>
      <c r="AK24" s="6"/>
      <c r="AL24" s="7">
        <f t="shared" si="18"/>
        <v>0</v>
      </c>
      <c r="AM24" s="11">
        <f t="shared" si="8"/>
        <v>6</v>
      </c>
      <c r="AN24" s="25"/>
      <c r="AO24" s="150" t="str">
        <f t="shared" si="9"/>
        <v>OutubroSEMANA 4Cerveja La Trappe Dubbel</v>
      </c>
      <c r="AP24" s="7">
        <f>SUMIF(NF!$A:$A,$AO24,NF!$I:$I)</f>
        <v>0</v>
      </c>
      <c r="AQ24" s="6"/>
      <c r="AR24" s="6"/>
      <c r="AS24" s="6"/>
      <c r="AT24" s="6"/>
      <c r="AU24" s="6"/>
      <c r="AV24" s="6"/>
      <c r="AW24" s="6"/>
      <c r="AX24" s="7">
        <f t="shared" si="19"/>
        <v>0</v>
      </c>
      <c r="AY24" s="11">
        <f t="shared" si="11"/>
        <v>6</v>
      </c>
      <c r="AZ24" s="25"/>
      <c r="BA24" s="150" t="str">
        <f t="shared" si="12"/>
        <v>OutubroSEMANA 5Cerveja La Trappe Dubbel</v>
      </c>
      <c r="BB24" s="7">
        <f>SUMIF(NF!$A:$A,$BA24,NF!$I:$I)</f>
        <v>0</v>
      </c>
      <c r="BC24" s="6"/>
      <c r="BD24" s="6"/>
      <c r="BE24" s="6"/>
      <c r="BF24" s="74"/>
      <c r="BG24" s="74"/>
      <c r="BH24" s="74"/>
      <c r="BI24" s="74"/>
      <c r="BJ24" s="74"/>
      <c r="BK24" s="7">
        <f t="shared" si="20"/>
        <v>0</v>
      </c>
      <c r="BL24" s="8">
        <f t="shared" si="14"/>
        <v>6</v>
      </c>
      <c r="BM24" s="151" t="str">
        <f>IFERROR(VLOOKUP(A24,NF!$M:$O,3,0),"")</f>
        <v>Bebidas</v>
      </c>
      <c r="BN24" s="7">
        <f t="shared" si="15"/>
        <v>0</v>
      </c>
      <c r="BO24" s="8">
        <f t="array" ref="BO24">IFERROR(LARGE(IF(NF!$G$2:$G$3137='Mês atual'!A24,NF!$J$2:$J$3137),1),0)*BN24</f>
        <v>0</v>
      </c>
      <c r="BP24" s="25"/>
      <c r="BR24" s="3">
        <f t="array" ref="BR24">IFERROR(LARGE(IF(NF!$G$2:$G$3137='Mês atual'!A24,NF!$J$2:$J$3137),1),0)</f>
        <v>0</v>
      </c>
      <c r="BS24" s="81" t="str">
        <f>VLOOKUP(A24,NF!M:O,3,0)</f>
        <v>Bebidas</v>
      </c>
    </row>
    <row r="25" spans="1:71" x14ac:dyDescent="0.25">
      <c r="A25" s="108" t="s">
        <v>266</v>
      </c>
      <c r="B25" s="12"/>
      <c r="C25" s="9">
        <v>18</v>
      </c>
      <c r="D25" s="25"/>
      <c r="E25" s="10" t="str">
        <f t="shared" si="0"/>
        <v>OutubroSEMANA 1Cerveja Malzbier Brahma Long Neck</v>
      </c>
      <c r="F25" s="7">
        <f>SUMIF(NF!$A:$A,$E25,NF!$I:$I)</f>
        <v>0</v>
      </c>
      <c r="G25" s="6"/>
      <c r="H25" s="6"/>
      <c r="I25" s="6">
        <v>9</v>
      </c>
      <c r="J25" s="6"/>
      <c r="K25" s="6"/>
      <c r="L25" s="6"/>
      <c r="M25" s="6"/>
      <c r="N25" s="7">
        <f t="shared" si="16"/>
        <v>9</v>
      </c>
      <c r="O25" s="11">
        <f t="shared" si="2"/>
        <v>9</v>
      </c>
      <c r="P25" s="25"/>
      <c r="Q25" s="10" t="str">
        <f t="shared" si="3"/>
        <v>OutubroSEMANA 2Cerveja Malzbier Brahma Long Neck</v>
      </c>
      <c r="R25" s="7">
        <f>SUMIF(NF!$A:$A,$Q25,NF!$I:$I)</f>
        <v>0</v>
      </c>
      <c r="S25" s="6"/>
      <c r="T25" s="6"/>
      <c r="U25" s="6"/>
      <c r="V25" s="6"/>
      <c r="W25" s="6"/>
      <c r="X25" s="6">
        <v>9</v>
      </c>
      <c r="Y25" s="6"/>
      <c r="Z25" s="7">
        <f t="shared" si="17"/>
        <v>9</v>
      </c>
      <c r="AA25" s="11">
        <f t="shared" si="5"/>
        <v>0</v>
      </c>
      <c r="AB25" s="25"/>
      <c r="AC25" s="10" t="str">
        <f t="shared" si="6"/>
        <v>OutubroSEMANA 3Cerveja Malzbier Brahma Long Neck</v>
      </c>
      <c r="AD25" s="7">
        <f>SUMIF(NF!$A:$A,$AC25,NF!$I:$I)</f>
        <v>24</v>
      </c>
      <c r="AE25" s="6"/>
      <c r="AF25" s="6"/>
      <c r="AG25" s="6"/>
      <c r="AH25" s="6"/>
      <c r="AI25" s="6"/>
      <c r="AJ25" s="6"/>
      <c r="AK25" s="6"/>
      <c r="AL25" s="7">
        <f t="shared" si="18"/>
        <v>0</v>
      </c>
      <c r="AM25" s="11">
        <f t="shared" si="8"/>
        <v>24</v>
      </c>
      <c r="AN25" s="25"/>
      <c r="AO25" s="10" t="str">
        <f t="shared" si="9"/>
        <v>OutubroSEMANA 4Cerveja Malzbier Brahma Long Neck</v>
      </c>
      <c r="AP25" s="7">
        <f>SUMIF(NF!$A:$A,$AO25,NF!$I:$I)</f>
        <v>0</v>
      </c>
      <c r="AQ25" s="6"/>
      <c r="AR25" s="6"/>
      <c r="AS25" s="6"/>
      <c r="AT25" s="6">
        <v>12</v>
      </c>
      <c r="AU25" s="6"/>
      <c r="AV25" s="6"/>
      <c r="AW25" s="6"/>
      <c r="AX25" s="7">
        <f t="shared" si="19"/>
        <v>12</v>
      </c>
      <c r="AY25" s="11">
        <f t="shared" si="11"/>
        <v>12</v>
      </c>
      <c r="AZ25" s="25"/>
      <c r="BA25" s="10" t="str">
        <f t="shared" si="12"/>
        <v>OutubroSEMANA 5Cerveja Malzbier Brahma Long Neck</v>
      </c>
      <c r="BB25" s="7">
        <f>SUMIF(NF!$A:$A,$BA25,NF!$I:$I)</f>
        <v>0</v>
      </c>
      <c r="BC25" s="6"/>
      <c r="BD25" s="6"/>
      <c r="BE25" s="6"/>
      <c r="BF25" s="74"/>
      <c r="BG25" s="74"/>
      <c r="BH25" s="74"/>
      <c r="BI25" s="74"/>
      <c r="BJ25" s="74"/>
      <c r="BK25" s="7">
        <f t="shared" si="20"/>
        <v>0</v>
      </c>
      <c r="BL25" s="8">
        <f t="shared" si="14"/>
        <v>12</v>
      </c>
      <c r="BM25" s="51" t="str">
        <f>IFERROR(VLOOKUP(A25,NF!$M:$O,3,0),"")</f>
        <v>Bebidas</v>
      </c>
      <c r="BN25" s="7">
        <f t="shared" si="15"/>
        <v>30</v>
      </c>
      <c r="BO25" s="8">
        <f t="array" ref="BO25">IFERROR(LARGE(IF(NF!$G$2:$G$3137='Mês atual'!A25,NF!$J$2:$J$3137),1),0)*BN25</f>
        <v>93.275000000000006</v>
      </c>
      <c r="BP25" s="50"/>
      <c r="BR25" s="147">
        <f t="array" ref="BR25">IFERROR(LARGE(IF(NF!$G$2:$G$3137='Mês atual'!A25,NF!$J$2:$J$3137),1),0)</f>
        <v>3.1091666666666669</v>
      </c>
      <c r="BS25" s="143" t="str">
        <f>VLOOKUP(A25,NF!M:O,3,0)</f>
        <v>Bebidas</v>
      </c>
    </row>
    <row r="26" spans="1:71" x14ac:dyDescent="0.25">
      <c r="A26" s="108" t="s">
        <v>267</v>
      </c>
      <c r="B26" s="12"/>
      <c r="C26" s="9">
        <f>15+5</f>
        <v>20</v>
      </c>
      <c r="D26" s="25"/>
      <c r="E26" s="10" t="str">
        <f t="shared" si="0"/>
        <v>OutubroSEMANA 1Cerveja Paulaner Heufe 500 ml</v>
      </c>
      <c r="F26" s="7">
        <f>SUMIF(NF!$A:$A,$E26,NF!$I:$I)</f>
        <v>0</v>
      </c>
      <c r="G26" s="6"/>
      <c r="H26" s="6"/>
      <c r="I26" s="6"/>
      <c r="J26" s="6"/>
      <c r="K26" s="6"/>
      <c r="L26" s="6"/>
      <c r="M26" s="6"/>
      <c r="N26" s="7">
        <f t="shared" si="16"/>
        <v>0</v>
      </c>
      <c r="O26" s="11">
        <f t="shared" si="2"/>
        <v>20</v>
      </c>
      <c r="P26" s="25"/>
      <c r="Q26" s="10" t="str">
        <f t="shared" si="3"/>
        <v>OutubroSEMANA 2Cerveja Paulaner Heufe 500 ml</v>
      </c>
      <c r="R26" s="7">
        <f>SUMIF(NF!$A:$A,$Q26,NF!$I:$I)</f>
        <v>0</v>
      </c>
      <c r="S26" s="6"/>
      <c r="T26" s="6"/>
      <c r="U26" s="6"/>
      <c r="V26" s="6"/>
      <c r="W26" s="6"/>
      <c r="X26" s="6">
        <v>2</v>
      </c>
      <c r="Y26" s="6"/>
      <c r="Z26" s="7">
        <f t="shared" si="17"/>
        <v>2</v>
      </c>
      <c r="AA26" s="11">
        <f t="shared" si="5"/>
        <v>18</v>
      </c>
      <c r="AB26" s="25"/>
      <c r="AC26" s="10" t="str">
        <f t="shared" si="6"/>
        <v>OutubroSEMANA 3Cerveja Paulaner Heufe 500 ml</v>
      </c>
      <c r="AD26" s="7">
        <f>SUMIF(NF!$A:$A,$AC26,NF!$I:$I)</f>
        <v>0</v>
      </c>
      <c r="AE26" s="6"/>
      <c r="AF26" s="6"/>
      <c r="AG26" s="6"/>
      <c r="AH26" s="6"/>
      <c r="AI26" s="6"/>
      <c r="AJ26" s="6"/>
      <c r="AK26" s="6"/>
      <c r="AL26" s="7">
        <f t="shared" si="18"/>
        <v>0</v>
      </c>
      <c r="AM26" s="11">
        <f t="shared" si="8"/>
        <v>18</v>
      </c>
      <c r="AN26" s="25"/>
      <c r="AO26" s="10" t="str">
        <f t="shared" si="9"/>
        <v>OutubroSEMANA 4Cerveja Paulaner Heufe 500 ml</v>
      </c>
      <c r="AP26" s="7">
        <f>SUMIF(NF!$A:$A,$AO26,NF!$I:$I)</f>
        <v>0</v>
      </c>
      <c r="AQ26" s="6"/>
      <c r="AR26" s="6"/>
      <c r="AS26" s="6"/>
      <c r="AT26" s="6"/>
      <c r="AU26" s="6"/>
      <c r="AV26" s="6"/>
      <c r="AW26" s="6">
        <v>1</v>
      </c>
      <c r="AX26" s="7">
        <f t="shared" si="19"/>
        <v>1</v>
      </c>
      <c r="AY26" s="11">
        <f t="shared" si="11"/>
        <v>17</v>
      </c>
      <c r="AZ26" s="25"/>
      <c r="BA26" s="10" t="str">
        <f t="shared" si="12"/>
        <v>OutubroSEMANA 5Cerveja Paulaner Heufe 500 ml</v>
      </c>
      <c r="BB26" s="7">
        <f>SUMIF(NF!$A:$A,$BA26,NF!$I:$I)</f>
        <v>0</v>
      </c>
      <c r="BC26" s="6"/>
      <c r="BD26" s="6"/>
      <c r="BE26" s="6"/>
      <c r="BF26" s="74"/>
      <c r="BG26" s="74"/>
      <c r="BH26" s="74"/>
      <c r="BI26" s="74"/>
      <c r="BJ26" s="74"/>
      <c r="BK26" s="7">
        <f t="shared" si="20"/>
        <v>0</v>
      </c>
      <c r="BL26" s="8">
        <f t="shared" si="14"/>
        <v>17</v>
      </c>
      <c r="BM26" s="51" t="str">
        <f>IFERROR(VLOOKUP(A26,NF!$M:$O,3,0),"")</f>
        <v>Bebidas</v>
      </c>
      <c r="BN26" s="7">
        <f t="shared" si="15"/>
        <v>3</v>
      </c>
      <c r="BO26" s="8">
        <f t="array" ref="BO26">IFERROR(LARGE(IF(NF!$G$2:$G$3137='Mês atual'!A26,NF!$J$2:$J$3137),1),0)*BN26</f>
        <v>0</v>
      </c>
      <c r="BP26" s="50"/>
      <c r="BR26" s="147">
        <f t="array" ref="BR26">IFERROR(LARGE(IF(NF!$G$2:$G$3137='Mês atual'!A26,NF!$J$2:$J$3137),1),0)</f>
        <v>0</v>
      </c>
      <c r="BS26" s="143" t="str">
        <f>VLOOKUP(A26,NF!M:O,3,0)</f>
        <v>Bebidas</v>
      </c>
    </row>
    <row r="27" spans="1:71" x14ac:dyDescent="0.25">
      <c r="A27" s="108" t="s">
        <v>268</v>
      </c>
      <c r="B27" s="12"/>
      <c r="C27" s="9">
        <f>6+3</f>
        <v>9</v>
      </c>
      <c r="D27" s="25"/>
      <c r="E27" s="10" t="str">
        <f t="shared" si="0"/>
        <v>OutubroSEMANA 1Cerveja W*Kattz Kölsh</v>
      </c>
      <c r="F27" s="7">
        <f>SUMIF(NF!$A:$A,$E27,NF!$I:$I)</f>
        <v>0</v>
      </c>
      <c r="G27" s="6"/>
      <c r="H27" s="6"/>
      <c r="I27" s="6"/>
      <c r="J27" s="6"/>
      <c r="K27" s="6"/>
      <c r="L27" s="6"/>
      <c r="M27" s="6"/>
      <c r="N27" s="7">
        <f t="shared" si="16"/>
        <v>0</v>
      </c>
      <c r="O27" s="11">
        <f t="shared" si="2"/>
        <v>9</v>
      </c>
      <c r="P27" s="25"/>
      <c r="Q27" s="10" t="str">
        <f t="shared" si="3"/>
        <v>OutubroSEMANA 2Cerveja W*Kattz Kölsh</v>
      </c>
      <c r="R27" s="7">
        <f>SUMIF(NF!$A:$A,$Q27,NF!$I:$I)</f>
        <v>0</v>
      </c>
      <c r="S27" s="6"/>
      <c r="T27" s="6"/>
      <c r="U27" s="6"/>
      <c r="V27" s="6"/>
      <c r="W27" s="6"/>
      <c r="X27" s="6"/>
      <c r="Y27" s="6"/>
      <c r="Z27" s="7">
        <f t="shared" si="17"/>
        <v>0</v>
      </c>
      <c r="AA27" s="11">
        <f t="shared" si="5"/>
        <v>9</v>
      </c>
      <c r="AB27" s="25"/>
      <c r="AC27" s="10" t="str">
        <f t="shared" si="6"/>
        <v>OutubroSEMANA 3Cerveja W*Kattz Kölsh</v>
      </c>
      <c r="AD27" s="7">
        <f>SUMIF(NF!$A:$A,$AC27,NF!$I:$I)</f>
        <v>0</v>
      </c>
      <c r="AE27" s="6"/>
      <c r="AF27" s="6"/>
      <c r="AG27" s="6"/>
      <c r="AH27" s="6"/>
      <c r="AI27" s="6"/>
      <c r="AJ27" s="6"/>
      <c r="AK27" s="6"/>
      <c r="AL27" s="7">
        <f t="shared" si="18"/>
        <v>0</v>
      </c>
      <c r="AM27" s="11">
        <f t="shared" si="8"/>
        <v>9</v>
      </c>
      <c r="AN27" s="25"/>
      <c r="AO27" s="10" t="str">
        <f t="shared" si="9"/>
        <v>OutubroSEMANA 4Cerveja W*Kattz Kölsh</v>
      </c>
      <c r="AP27" s="7">
        <f>SUMIF(NF!$A:$A,$AO27,NF!$I:$I)</f>
        <v>0</v>
      </c>
      <c r="AQ27" s="6"/>
      <c r="AR27" s="6"/>
      <c r="AS27" s="6"/>
      <c r="AT27" s="6"/>
      <c r="AU27" s="6"/>
      <c r="AV27" s="6"/>
      <c r="AW27" s="6"/>
      <c r="AX27" s="7">
        <f t="shared" si="19"/>
        <v>0</v>
      </c>
      <c r="AY27" s="11">
        <f t="shared" si="11"/>
        <v>9</v>
      </c>
      <c r="AZ27" s="25"/>
      <c r="BA27" s="10" t="str">
        <f t="shared" si="12"/>
        <v>OutubroSEMANA 5Cerveja W*Kattz Kölsh</v>
      </c>
      <c r="BB27" s="7">
        <f>SUMIF(NF!$A:$A,$BA27,NF!$I:$I)</f>
        <v>0</v>
      </c>
      <c r="BC27" s="6">
        <v>2</v>
      </c>
      <c r="BD27" s="6"/>
      <c r="BE27" s="6"/>
      <c r="BF27" s="74"/>
      <c r="BG27" s="74"/>
      <c r="BH27" s="74"/>
      <c r="BI27" s="74"/>
      <c r="BJ27" s="74"/>
      <c r="BK27" s="7">
        <f t="shared" si="20"/>
        <v>2</v>
      </c>
      <c r="BL27" s="8">
        <f t="shared" si="14"/>
        <v>7</v>
      </c>
      <c r="BM27" s="51" t="str">
        <f>IFERROR(VLOOKUP(A27,NF!$M:$O,3,0),"")</f>
        <v>Bebidas</v>
      </c>
      <c r="BN27" s="7">
        <f t="shared" si="15"/>
        <v>2</v>
      </c>
      <c r="BO27" s="8">
        <f t="array" ref="BO27">IFERROR(LARGE(IF(NF!$G$2:$G$3137='Mês atual'!A27,NF!$J$2:$J$3137),1),0)*BN27</f>
        <v>0</v>
      </c>
      <c r="BP27" s="50"/>
      <c r="BR27" s="147">
        <f t="array" ref="BR27">IFERROR(LARGE(IF(NF!$G$2:$G$3137='Mês atual'!A27,NF!$J$2:$J$3137),1),0)</f>
        <v>0</v>
      </c>
      <c r="BS27" s="143" t="str">
        <f>VLOOKUP(A27,NF!M:O,3,0)</f>
        <v>Bebidas</v>
      </c>
    </row>
    <row r="28" spans="1:71" x14ac:dyDescent="0.25">
      <c r="A28" s="108" t="s">
        <v>285</v>
      </c>
      <c r="B28" s="12"/>
      <c r="C28" s="9">
        <f>96+36</f>
        <v>132</v>
      </c>
      <c r="D28" s="25"/>
      <c r="E28" s="10" t="str">
        <f t="shared" si="0"/>
        <v>OutubroSEMANA 1Coca Cola (lata)</v>
      </c>
      <c r="F28" s="7">
        <f>SUMIF(NF!$A:$A,$E28,NF!$I:$I)</f>
        <v>84</v>
      </c>
      <c r="G28" s="6">
        <f>5+12+8</f>
        <v>25</v>
      </c>
      <c r="H28" s="6">
        <f>1+2+4</f>
        <v>7</v>
      </c>
      <c r="I28" s="6">
        <f>2+2+5</f>
        <v>9</v>
      </c>
      <c r="J28" s="6">
        <f>4+2+5</f>
        <v>11</v>
      </c>
      <c r="K28" s="6">
        <f>2+10</f>
        <v>12</v>
      </c>
      <c r="L28" s="6">
        <f>1+3+3-2</f>
        <v>5</v>
      </c>
      <c r="M28" s="6">
        <f>3+5+3</f>
        <v>11</v>
      </c>
      <c r="N28" s="7">
        <f t="shared" si="16"/>
        <v>80</v>
      </c>
      <c r="O28" s="11">
        <f t="shared" si="2"/>
        <v>136</v>
      </c>
      <c r="P28" s="25"/>
      <c r="Q28" s="10" t="str">
        <f t="shared" si="3"/>
        <v>OutubroSEMANA 2Coca Cola (lata)</v>
      </c>
      <c r="R28" s="7">
        <f>SUMIF(NF!$A:$A,$Q28,NF!$I:$I)</f>
        <v>84</v>
      </c>
      <c r="S28" s="6">
        <f>4+11+16</f>
        <v>31</v>
      </c>
      <c r="T28" s="6">
        <f>2+2+2</f>
        <v>6</v>
      </c>
      <c r="U28" s="6">
        <f>3+5+6</f>
        <v>14</v>
      </c>
      <c r="V28" s="6">
        <f>4+3+4</f>
        <v>11</v>
      </c>
      <c r="W28" s="6">
        <f>2+8+4</f>
        <v>14</v>
      </c>
      <c r="X28" s="6">
        <f>8+3+3+4</f>
        <v>18</v>
      </c>
      <c r="Y28" s="6">
        <f>5+5+1</f>
        <v>11</v>
      </c>
      <c r="Z28" s="7">
        <f t="shared" si="17"/>
        <v>105</v>
      </c>
      <c r="AA28" s="11">
        <f t="shared" si="5"/>
        <v>115</v>
      </c>
      <c r="AB28" s="25"/>
      <c r="AC28" s="10" t="str">
        <f t="shared" si="6"/>
        <v>OutubroSEMANA 3Coca Cola (lata)</v>
      </c>
      <c r="AD28" s="7">
        <f>SUMIF(NF!$A:$A,$AC28,NF!$I:$I)</f>
        <v>96</v>
      </c>
      <c r="AE28" s="6">
        <f>2+14+6</f>
        <v>22</v>
      </c>
      <c r="AF28" s="6">
        <f>2+3+4</f>
        <v>9</v>
      </c>
      <c r="AG28" s="6">
        <f>2+4+4</f>
        <v>10</v>
      </c>
      <c r="AH28" s="6">
        <f>5+5+10</f>
        <v>20</v>
      </c>
      <c r="AI28" s="6">
        <f>6+7+3</f>
        <v>16</v>
      </c>
      <c r="AJ28" s="6">
        <f>2+6+4+4</f>
        <v>16</v>
      </c>
      <c r="AK28" s="6">
        <f>5</f>
        <v>5</v>
      </c>
      <c r="AL28" s="7">
        <f t="shared" si="18"/>
        <v>98</v>
      </c>
      <c r="AM28" s="11">
        <f t="shared" si="8"/>
        <v>113</v>
      </c>
      <c r="AN28" s="25"/>
      <c r="AO28" s="10" t="str">
        <f t="shared" si="9"/>
        <v>OutubroSEMANA 4Coca Cola (lata)</v>
      </c>
      <c r="AP28" s="7">
        <f>SUMIF(NF!$A:$A,$AO28,NF!$I:$I)</f>
        <v>108</v>
      </c>
      <c r="AQ28" s="6">
        <f>1+15+3+(1)</f>
        <v>20</v>
      </c>
      <c r="AR28" s="6">
        <f>1+2+4</f>
        <v>7</v>
      </c>
      <c r="AS28" s="6">
        <f>3+1</f>
        <v>4</v>
      </c>
      <c r="AT28" s="6">
        <f>3+2+2</f>
        <v>7</v>
      </c>
      <c r="AU28" s="6">
        <f>2+4+3</f>
        <v>9</v>
      </c>
      <c r="AV28" s="6">
        <f>13+6</f>
        <v>19</v>
      </c>
      <c r="AW28" s="6">
        <f>7+3</f>
        <v>10</v>
      </c>
      <c r="AX28" s="7">
        <f t="shared" si="19"/>
        <v>76</v>
      </c>
      <c r="AY28" s="11">
        <f t="shared" si="11"/>
        <v>145</v>
      </c>
      <c r="AZ28" s="25"/>
      <c r="BA28" s="10" t="str">
        <f t="shared" si="12"/>
        <v>OutubroSEMANA 5Coca Cola (lata)</v>
      </c>
      <c r="BB28" s="7">
        <f>SUMIF(NF!$A:$A,$BA28,NF!$I:$I)</f>
        <v>0</v>
      </c>
      <c r="BC28" s="6">
        <f>1+18+6</f>
        <v>25</v>
      </c>
      <c r="BD28" s="6">
        <f>2+3+3</f>
        <v>8</v>
      </c>
      <c r="BE28" s="6">
        <f>1+2+5+3</f>
        <v>11</v>
      </c>
      <c r="BF28" s="74"/>
      <c r="BG28" s="74"/>
      <c r="BH28" s="74"/>
      <c r="BI28" s="74"/>
      <c r="BJ28" s="74"/>
      <c r="BK28" s="7">
        <f t="shared" si="20"/>
        <v>44</v>
      </c>
      <c r="BL28" s="8">
        <f t="shared" si="14"/>
        <v>101</v>
      </c>
      <c r="BM28" s="51" t="str">
        <f>IFERROR(VLOOKUP(A28,NF!$M:$O,3,0),"")</f>
        <v>Bebidas</v>
      </c>
      <c r="BN28" s="7">
        <f t="shared" si="15"/>
        <v>403</v>
      </c>
      <c r="BO28" s="8">
        <f t="array" ref="BO28">IFERROR(LARGE(IF(NF!$G$2:$G$3137='Mês atual'!A28,NF!$J$2:$J$3137),1),0)*BN28</f>
        <v>1170.0433333333335</v>
      </c>
      <c r="BP28" s="50"/>
      <c r="BR28" s="147">
        <f t="array" ref="BR28">IFERROR(LARGE(IF(NF!$G$2:$G$3137='Mês atual'!A28,NF!$J$2:$J$3137),1),0)</f>
        <v>2.9033333333333338</v>
      </c>
      <c r="BS28" s="143" t="str">
        <f>VLOOKUP(A28,NF!M:O,3,0)</f>
        <v>Bebidas</v>
      </c>
    </row>
    <row r="29" spans="1:71" x14ac:dyDescent="0.25">
      <c r="A29" s="108" t="s">
        <v>938</v>
      </c>
      <c r="B29" s="12"/>
      <c r="C29" s="9"/>
      <c r="D29" s="25"/>
      <c r="E29" s="10" t="str">
        <f t="shared" si="0"/>
        <v>OutubroSEMANA 1Coca-Cola Pet 2 Lt</v>
      </c>
      <c r="F29" s="7">
        <f>SUMIF(NF!$A:$A,$E29,NF!$I:$I)</f>
        <v>0</v>
      </c>
      <c r="G29" s="6"/>
      <c r="H29" s="6"/>
      <c r="I29" s="6"/>
      <c r="J29" s="6"/>
      <c r="K29" s="6"/>
      <c r="L29" s="6"/>
      <c r="M29" s="6"/>
      <c r="N29" s="7">
        <f t="shared" ref="N29" si="21">SUM(G29:M29)</f>
        <v>0</v>
      </c>
      <c r="O29" s="11">
        <f t="shared" si="2"/>
        <v>0</v>
      </c>
      <c r="P29" s="25"/>
      <c r="Q29" s="10" t="str">
        <f t="shared" si="3"/>
        <v>OutubroSEMANA 2Coca-Cola Pet 2 Lt</v>
      </c>
      <c r="R29" s="7">
        <f>SUMIF(NF!$A:$A,$Q29,NF!$I:$I)</f>
        <v>0</v>
      </c>
      <c r="S29" s="6"/>
      <c r="T29" s="6"/>
      <c r="U29" s="6"/>
      <c r="V29" s="6"/>
      <c r="W29" s="6"/>
      <c r="X29" s="6"/>
      <c r="Y29" s="6"/>
      <c r="Z29" s="7">
        <f t="shared" ref="Z29" si="22">SUM(S29:Y29)</f>
        <v>0</v>
      </c>
      <c r="AA29" s="11">
        <f t="shared" si="5"/>
        <v>0</v>
      </c>
      <c r="AB29" s="25"/>
      <c r="AC29" s="10" t="str">
        <f t="shared" si="6"/>
        <v>OutubroSEMANA 3Coca-Cola Pet 2 Lt</v>
      </c>
      <c r="AD29" s="7">
        <f>SUMIF(NF!$A:$A,$AC29,NF!$I:$I)</f>
        <v>0</v>
      </c>
      <c r="AE29" s="6"/>
      <c r="AF29" s="6"/>
      <c r="AG29" s="6"/>
      <c r="AH29" s="6"/>
      <c r="AI29" s="6"/>
      <c r="AJ29" s="6"/>
      <c r="AK29" s="6"/>
      <c r="AL29" s="7">
        <f t="shared" ref="AL29" si="23">SUM(AE29:AK29)</f>
        <v>0</v>
      </c>
      <c r="AM29" s="11">
        <f t="shared" si="8"/>
        <v>0</v>
      </c>
      <c r="AN29" s="25"/>
      <c r="AO29" s="10" t="str">
        <f t="shared" si="9"/>
        <v>OutubroSEMANA 4Coca-Cola Pet 2 Lt</v>
      </c>
      <c r="AP29" s="7">
        <f>SUMIF(NF!$A:$A,$AO29,NF!$I:$I)</f>
        <v>0</v>
      </c>
      <c r="AQ29" s="6"/>
      <c r="AR29" s="6"/>
      <c r="AS29" s="6"/>
      <c r="AT29" s="6"/>
      <c r="AU29" s="6"/>
      <c r="AV29" s="6"/>
      <c r="AW29" s="6"/>
      <c r="AX29" s="7">
        <f t="shared" ref="AX29" si="24">SUM(AQ29:AW29)</f>
        <v>0</v>
      </c>
      <c r="AY29" s="11">
        <f t="shared" si="11"/>
        <v>0</v>
      </c>
      <c r="AZ29" s="25"/>
      <c r="BA29" s="10" t="str">
        <f t="shared" si="12"/>
        <v>OutubroSEMANA 5Coca-Cola Pet 2 Lt</v>
      </c>
      <c r="BB29" s="7">
        <f>SUMIF(NF!$A:$A,$BA29,NF!$I:$I)</f>
        <v>0</v>
      </c>
      <c r="BC29" s="6"/>
      <c r="BD29" s="6"/>
      <c r="BE29" s="6"/>
      <c r="BF29" s="74"/>
      <c r="BG29" s="74"/>
      <c r="BH29" s="74"/>
      <c r="BI29" s="74"/>
      <c r="BJ29" s="74"/>
      <c r="BK29" s="7">
        <f t="shared" ref="BK29" si="25">SUM(BC29:BJ29)</f>
        <v>0</v>
      </c>
      <c r="BL29" s="8">
        <f t="shared" si="14"/>
        <v>0</v>
      </c>
      <c r="BM29" s="51" t="str">
        <f>IFERROR(VLOOKUP(A29,NF!$M:$O,3,0),"")</f>
        <v>Bebidas</v>
      </c>
      <c r="BN29" s="7">
        <f t="shared" si="15"/>
        <v>0</v>
      </c>
      <c r="BO29" s="8">
        <f t="array" ref="BO29">IFERROR(LARGE(IF(NF!$G$2:$G$3137='Mês atual'!A29,NF!$J$2:$J$3137),1),0)*BN29</f>
        <v>0</v>
      </c>
      <c r="BP29" s="50"/>
      <c r="BR29" s="147">
        <f t="array" ref="BR29">IFERROR(LARGE(IF(NF!$G$2:$G$3137='Mês atual'!A29,NF!$J$2:$J$3137),1),0)</f>
        <v>0</v>
      </c>
      <c r="BS29" s="143" t="str">
        <f>VLOOKUP(A29,NF!M:O,3,0)</f>
        <v>Bebidas</v>
      </c>
    </row>
    <row r="30" spans="1:71" x14ac:dyDescent="0.25">
      <c r="A30" s="108" t="s">
        <v>286</v>
      </c>
      <c r="B30" s="12"/>
      <c r="C30" s="9">
        <f>156+6</f>
        <v>162</v>
      </c>
      <c r="D30" s="25"/>
      <c r="E30" s="10" t="str">
        <f t="shared" si="0"/>
        <v>OutubroSEMANA 1Coca Cola Zero (lata)</v>
      </c>
      <c r="F30" s="7">
        <f>SUMIF(NF!$A:$A,$E30,NF!$I:$I)</f>
        <v>96</v>
      </c>
      <c r="G30" s="6">
        <f>8+7</f>
        <v>15</v>
      </c>
      <c r="H30" s="6">
        <f>3+6+3</f>
        <v>12</v>
      </c>
      <c r="I30" s="6">
        <f>6+3</f>
        <v>9</v>
      </c>
      <c r="J30" s="6">
        <f>5+6+10</f>
        <v>21</v>
      </c>
      <c r="K30" s="6">
        <f>1+4+9</f>
        <v>14</v>
      </c>
      <c r="L30" s="6">
        <f>6+4+5-2</f>
        <v>13</v>
      </c>
      <c r="M30" s="6">
        <f>1+12+7</f>
        <v>20</v>
      </c>
      <c r="N30" s="7">
        <f t="shared" ref="N30:N31" si="26">SUM(G30:M30)</f>
        <v>104</v>
      </c>
      <c r="O30" s="11">
        <f t="shared" si="2"/>
        <v>154</v>
      </c>
      <c r="P30" s="25"/>
      <c r="Q30" s="10" t="str">
        <f t="shared" si="3"/>
        <v>OutubroSEMANA 2Coca Cola Zero (lata)</v>
      </c>
      <c r="R30" s="7">
        <f>SUMIF(NF!$A:$A,$Q30,NF!$I:$I)</f>
        <v>84</v>
      </c>
      <c r="S30" s="6">
        <f>1+9+9</f>
        <v>19</v>
      </c>
      <c r="T30" s="6">
        <f>4+11+3</f>
        <v>18</v>
      </c>
      <c r="U30" s="6">
        <f>5+5+3</f>
        <v>13</v>
      </c>
      <c r="V30" s="6">
        <f>6+9+8</f>
        <v>23</v>
      </c>
      <c r="W30" s="6">
        <f>6+4</f>
        <v>10</v>
      </c>
      <c r="X30" s="6">
        <f>5+6+5+3</f>
        <v>19</v>
      </c>
      <c r="Y30" s="6">
        <f>5+10+8</f>
        <v>23</v>
      </c>
      <c r="Z30" s="7">
        <f t="shared" ref="Z30:Z31" si="27">SUM(S30:Y30)</f>
        <v>125</v>
      </c>
      <c r="AA30" s="11">
        <f t="shared" si="5"/>
        <v>113</v>
      </c>
      <c r="AB30" s="25"/>
      <c r="AC30" s="10" t="str">
        <f t="shared" si="6"/>
        <v>OutubroSEMANA 3Coca Cola Zero (lata)</v>
      </c>
      <c r="AD30" s="7">
        <f>SUMIF(NF!$A:$A,$AC30,NF!$I:$I)</f>
        <v>168</v>
      </c>
      <c r="AE30" s="6">
        <f>4+7+13</f>
        <v>24</v>
      </c>
      <c r="AF30" s="6">
        <f>7+2+2</f>
        <v>11</v>
      </c>
      <c r="AG30" s="6">
        <f>3+9+6</f>
        <v>18</v>
      </c>
      <c r="AH30" s="6">
        <f>1+2+13</f>
        <v>16</v>
      </c>
      <c r="AI30" s="6">
        <f>1+4+6</f>
        <v>11</v>
      </c>
      <c r="AJ30" s="6">
        <f>5+10+5-1</f>
        <v>19</v>
      </c>
      <c r="AK30" s="6">
        <f>1+12+3</f>
        <v>16</v>
      </c>
      <c r="AL30" s="7">
        <f t="shared" ref="AL30:AL31" si="28">SUM(AE30:AK30)</f>
        <v>115</v>
      </c>
      <c r="AM30" s="11">
        <f t="shared" si="8"/>
        <v>166</v>
      </c>
      <c r="AN30" s="25"/>
      <c r="AO30" s="10" t="str">
        <f t="shared" si="9"/>
        <v>OutubroSEMANA 4Coca Cola Zero (lata)</v>
      </c>
      <c r="AP30" s="7">
        <f>SUMIF(NF!$A:$A,$AO30,NF!$I:$I)</f>
        <v>120</v>
      </c>
      <c r="AQ30" s="6">
        <f>3+9+5</f>
        <v>17</v>
      </c>
      <c r="AR30" s="6">
        <f>5+2+3</f>
        <v>10</v>
      </c>
      <c r="AS30" s="6">
        <f>3+7+5</f>
        <v>15</v>
      </c>
      <c r="AT30" s="6">
        <f>2+1+8</f>
        <v>11</v>
      </c>
      <c r="AU30" s="6">
        <f>1+5+6</f>
        <v>12</v>
      </c>
      <c r="AV30" s="6">
        <f>12+5</f>
        <v>17</v>
      </c>
      <c r="AW30" s="6">
        <f>2+15+8</f>
        <v>25</v>
      </c>
      <c r="AX30" s="7">
        <f t="shared" ref="AX30:AX31" si="29">SUM(AQ30:AW30)</f>
        <v>107</v>
      </c>
      <c r="AY30" s="11">
        <f t="shared" si="11"/>
        <v>179</v>
      </c>
      <c r="AZ30" s="25"/>
      <c r="BA30" s="10" t="str">
        <f t="shared" si="12"/>
        <v>OutubroSEMANA 5Coca Cola Zero (lata)</v>
      </c>
      <c r="BB30" s="7">
        <f>SUMIF(NF!$A:$A,$BA30,NF!$I:$I)</f>
        <v>0</v>
      </c>
      <c r="BC30" s="6">
        <f>4+16+3</f>
        <v>23</v>
      </c>
      <c r="BD30" s="6">
        <f>9+5+9</f>
        <v>23</v>
      </c>
      <c r="BE30" s="6">
        <f>3+11+7+1</f>
        <v>22</v>
      </c>
      <c r="BF30" s="74"/>
      <c r="BG30" s="74"/>
      <c r="BH30" s="74"/>
      <c r="BI30" s="74"/>
      <c r="BJ30" s="74"/>
      <c r="BK30" s="7">
        <f>SUM(BC30:BJ30)</f>
        <v>68</v>
      </c>
      <c r="BL30" s="8">
        <f t="shared" si="14"/>
        <v>111</v>
      </c>
      <c r="BM30" s="51" t="str">
        <f>IFERROR(VLOOKUP(A30,NF!$M:$O,3,0),"")</f>
        <v>Bebidas</v>
      </c>
      <c r="BN30" s="7">
        <f t="shared" si="15"/>
        <v>519</v>
      </c>
      <c r="BO30" s="8">
        <f t="array" ref="BO30">IFERROR(LARGE(IF(NF!$G$2:$G$3137='Mês atual'!A30,NF!$J$2:$J$3137),1),0)*BN30</f>
        <v>1499.91</v>
      </c>
      <c r="BP30" s="50"/>
      <c r="BR30" s="147">
        <f t="array" ref="BR30">IFERROR(LARGE(IF(NF!$G$2:$G$3137='Mês atual'!A30,NF!$J$2:$J$3137),1),0)</f>
        <v>2.89</v>
      </c>
      <c r="BS30" s="143" t="str">
        <f>VLOOKUP(A30,NF!M:O,3,0)</f>
        <v>Bebidas</v>
      </c>
    </row>
    <row r="31" spans="1:71" x14ac:dyDescent="0.25">
      <c r="A31" s="108" t="s">
        <v>397</v>
      </c>
      <c r="B31" s="12"/>
      <c r="C31" s="9">
        <f>48+20</f>
        <v>68</v>
      </c>
      <c r="D31" s="25"/>
      <c r="E31" s="10" t="str">
        <f t="shared" si="0"/>
        <v>OutubroSEMANA 1Guaraná Antarctica (lata)</v>
      </c>
      <c r="F31" s="7">
        <f>SUMIF(NF!$A:$A,$E31,NF!$I:$I)</f>
        <v>12</v>
      </c>
      <c r="G31" s="6">
        <f>2+5</f>
        <v>7</v>
      </c>
      <c r="H31" s="6">
        <f>3+2+4</f>
        <v>9</v>
      </c>
      <c r="I31" s="6">
        <f>2+2+3</f>
        <v>7</v>
      </c>
      <c r="J31" s="6">
        <v>1</v>
      </c>
      <c r="K31" s="6">
        <f>2+6</f>
        <v>8</v>
      </c>
      <c r="L31" s="6">
        <f>1+2-2</f>
        <v>1</v>
      </c>
      <c r="M31" s="6">
        <f>1+4+1</f>
        <v>6</v>
      </c>
      <c r="N31" s="7">
        <f t="shared" si="26"/>
        <v>39</v>
      </c>
      <c r="O31" s="11">
        <f t="shared" si="2"/>
        <v>41</v>
      </c>
      <c r="P31" s="25"/>
      <c r="Q31" s="10" t="str">
        <f t="shared" si="3"/>
        <v>OutubroSEMANA 2Guaraná Antarctica (lata)</v>
      </c>
      <c r="R31" s="7">
        <f>SUMIF(NF!$A:$A,$Q31,NF!$I:$I)</f>
        <v>60</v>
      </c>
      <c r="S31" s="6">
        <f>1+4+3+3</f>
        <v>11</v>
      </c>
      <c r="T31" s="6">
        <f>3+3</f>
        <v>6</v>
      </c>
      <c r="U31" s="6">
        <f>1+1</f>
        <v>2</v>
      </c>
      <c r="V31" s="6">
        <v>1</v>
      </c>
      <c r="W31" s="6">
        <f>1+4+2</f>
        <v>7</v>
      </c>
      <c r="X31" s="6">
        <f>1+2-1</f>
        <v>2</v>
      </c>
      <c r="Y31" s="6"/>
      <c r="Z31" s="7">
        <f t="shared" si="27"/>
        <v>29</v>
      </c>
      <c r="AA31" s="11">
        <f t="shared" si="5"/>
        <v>72</v>
      </c>
      <c r="AB31" s="25"/>
      <c r="AC31" s="10" t="str">
        <f t="shared" si="6"/>
        <v>OutubroSEMANA 3Guaraná Antarctica (lata)</v>
      </c>
      <c r="AD31" s="7">
        <f>SUMIF(NF!$A:$A,$AC31,NF!$I:$I)</f>
        <v>0</v>
      </c>
      <c r="AE31" s="6">
        <f>2+2</f>
        <v>4</v>
      </c>
      <c r="AF31" s="6"/>
      <c r="AG31" s="6">
        <f>1</f>
        <v>1</v>
      </c>
      <c r="AH31" s="6">
        <v>1</v>
      </c>
      <c r="AI31" s="6">
        <f>2</f>
        <v>2</v>
      </c>
      <c r="AJ31" s="6">
        <f>1+2+1+1</f>
        <v>5</v>
      </c>
      <c r="AK31" s="6">
        <f>4+2</f>
        <v>6</v>
      </c>
      <c r="AL31" s="7">
        <f t="shared" si="28"/>
        <v>19</v>
      </c>
      <c r="AM31" s="11">
        <f t="shared" si="8"/>
        <v>53</v>
      </c>
      <c r="AN31" s="25"/>
      <c r="AO31" s="10" t="str">
        <f t="shared" si="9"/>
        <v>OutubroSEMANA 4Guaraná Antarctica (lata)</v>
      </c>
      <c r="AP31" s="7">
        <f>SUMIF(NF!$A:$A,$AO31,NF!$I:$I)</f>
        <v>24</v>
      </c>
      <c r="AQ31" s="6">
        <f>3+3</f>
        <v>6</v>
      </c>
      <c r="AR31" s="6">
        <f>1</f>
        <v>1</v>
      </c>
      <c r="AS31" s="6"/>
      <c r="AT31" s="6">
        <f>2</f>
        <v>2</v>
      </c>
      <c r="AU31" s="6">
        <f>1+2</f>
        <v>3</v>
      </c>
      <c r="AV31" s="6">
        <f>5-1</f>
        <v>4</v>
      </c>
      <c r="AW31" s="6">
        <f>2+5</f>
        <v>7</v>
      </c>
      <c r="AX31" s="7">
        <f t="shared" si="29"/>
        <v>23</v>
      </c>
      <c r="AY31" s="11">
        <f t="shared" si="11"/>
        <v>54</v>
      </c>
      <c r="AZ31" s="25"/>
      <c r="BA31" s="10" t="str">
        <f t="shared" si="12"/>
        <v>OutubroSEMANA 5Guaraná Antarctica (lata)</v>
      </c>
      <c r="BB31" s="7">
        <f>SUMIF(NF!$A:$A,$BA31,NF!$I:$I)</f>
        <v>0</v>
      </c>
      <c r="BC31" s="6">
        <f>4+5</f>
        <v>9</v>
      </c>
      <c r="BD31" s="6">
        <f>2+1</f>
        <v>3</v>
      </c>
      <c r="BE31" s="6">
        <f>1+1+1+2</f>
        <v>5</v>
      </c>
      <c r="BF31" s="74"/>
      <c r="BG31" s="74"/>
      <c r="BH31" s="74"/>
      <c r="BI31" s="74"/>
      <c r="BJ31" s="74"/>
      <c r="BK31" s="7">
        <f>SUM(BC31:BJ31)</f>
        <v>17</v>
      </c>
      <c r="BL31" s="8">
        <f t="shared" si="14"/>
        <v>37</v>
      </c>
      <c r="BM31" s="51" t="str">
        <f>IFERROR(VLOOKUP(A31,NF!$M:$O,3,0),"")</f>
        <v>Bebidas</v>
      </c>
      <c r="BN31" s="7">
        <f t="shared" si="15"/>
        <v>127</v>
      </c>
      <c r="BO31" s="8">
        <f t="array" ref="BO31">IFERROR(LARGE(IF(NF!$G$2:$G$3137='Mês atual'!A31,NF!$J$2:$J$3137),1),0)*BN31</f>
        <v>232.26183333333333</v>
      </c>
      <c r="BP31" s="50"/>
      <c r="BR31" s="147">
        <f t="array" ref="BR31">IFERROR(LARGE(IF(NF!$G$2:$G$3137='Mês atual'!A31,NF!$J$2:$J$3137),1),0)</f>
        <v>1.8288333333333333</v>
      </c>
      <c r="BS31" s="143" t="str">
        <f>VLOOKUP(A31,NF!M:O,3,0)</f>
        <v>Bebidas</v>
      </c>
    </row>
    <row r="32" spans="1:71" x14ac:dyDescent="0.25">
      <c r="A32" s="108" t="s">
        <v>939</v>
      </c>
      <c r="B32" s="12"/>
      <c r="C32" s="9"/>
      <c r="D32" s="25"/>
      <c r="E32" s="10" t="str">
        <f t="shared" si="0"/>
        <v>OutubroSEMANA 1Guaraná Antarctica Pet 2 Lt</v>
      </c>
      <c r="F32" s="7">
        <f>SUMIF(NF!$A:$A,$E32,NF!$I:$I)</f>
        <v>0</v>
      </c>
      <c r="G32" s="6"/>
      <c r="H32" s="6"/>
      <c r="I32" s="6"/>
      <c r="J32" s="6"/>
      <c r="K32" s="6"/>
      <c r="L32" s="6"/>
      <c r="M32" s="6"/>
      <c r="N32" s="7">
        <f t="shared" ref="N32" si="30">SUM(G32:M32)</f>
        <v>0</v>
      </c>
      <c r="O32" s="11">
        <f t="shared" si="2"/>
        <v>0</v>
      </c>
      <c r="P32" s="25"/>
      <c r="Q32" s="10" t="str">
        <f t="shared" si="3"/>
        <v>OutubroSEMANA 2Guaraná Antarctica Pet 2 Lt</v>
      </c>
      <c r="R32" s="7">
        <f>SUMIF(NF!$A:$A,$Q32,NF!$I:$I)</f>
        <v>0</v>
      </c>
      <c r="S32" s="6"/>
      <c r="T32" s="6"/>
      <c r="U32" s="6"/>
      <c r="V32" s="6"/>
      <c r="W32" s="6"/>
      <c r="X32" s="6"/>
      <c r="Y32" s="6"/>
      <c r="Z32" s="7">
        <f t="shared" ref="Z32" si="31">SUM(S32:Y32)</f>
        <v>0</v>
      </c>
      <c r="AA32" s="11">
        <f t="shared" si="5"/>
        <v>0</v>
      </c>
      <c r="AB32" s="25"/>
      <c r="AC32" s="10" t="str">
        <f t="shared" si="6"/>
        <v>OutubroSEMANA 3Guaraná Antarctica Pet 2 Lt</v>
      </c>
      <c r="AD32" s="7">
        <f>SUMIF(NF!$A:$A,$AC32,NF!$I:$I)</f>
        <v>0</v>
      </c>
      <c r="AE32" s="6"/>
      <c r="AF32" s="6"/>
      <c r="AG32" s="6"/>
      <c r="AH32" s="6"/>
      <c r="AI32" s="6"/>
      <c r="AJ32" s="6"/>
      <c r="AK32" s="6"/>
      <c r="AL32" s="7">
        <f t="shared" ref="AL32" si="32">SUM(AE32:AK32)</f>
        <v>0</v>
      </c>
      <c r="AM32" s="11">
        <f t="shared" si="8"/>
        <v>0</v>
      </c>
      <c r="AN32" s="25"/>
      <c r="AO32" s="10" t="str">
        <f t="shared" si="9"/>
        <v>OutubroSEMANA 4Guaraná Antarctica Pet 2 Lt</v>
      </c>
      <c r="AP32" s="7">
        <f>SUMIF(NF!$A:$A,$AO32,NF!$I:$I)</f>
        <v>0</v>
      </c>
      <c r="AQ32" s="6"/>
      <c r="AR32" s="6"/>
      <c r="AS32" s="6"/>
      <c r="AT32" s="6"/>
      <c r="AU32" s="6"/>
      <c r="AV32" s="6"/>
      <c r="AW32" s="6"/>
      <c r="AX32" s="7">
        <f t="shared" ref="AX32" si="33">SUM(AQ32:AW32)</f>
        <v>0</v>
      </c>
      <c r="AY32" s="11">
        <f t="shared" si="11"/>
        <v>0</v>
      </c>
      <c r="AZ32" s="25"/>
      <c r="BA32" s="10" t="str">
        <f t="shared" si="12"/>
        <v>OutubroSEMANA 5Guaraná Antarctica Pet 2 Lt</v>
      </c>
      <c r="BB32" s="7">
        <f>SUMIF(NF!$A:$A,$BA32,NF!$I:$I)</f>
        <v>0</v>
      </c>
      <c r="BC32" s="6"/>
      <c r="BD32" s="6"/>
      <c r="BE32" s="6"/>
      <c r="BF32" s="74"/>
      <c r="BG32" s="74"/>
      <c r="BH32" s="74"/>
      <c r="BI32" s="74"/>
      <c r="BJ32" s="74"/>
      <c r="BK32" s="7">
        <f t="shared" ref="BK32" si="34">SUM(BC32:BJ32)</f>
        <v>0</v>
      </c>
      <c r="BL32" s="8">
        <f t="shared" si="14"/>
        <v>0</v>
      </c>
      <c r="BM32" s="51" t="str">
        <f>IFERROR(VLOOKUP(A32,NF!$M:$O,3,0),"")</f>
        <v>Bebidas</v>
      </c>
      <c r="BN32" s="7">
        <f t="shared" si="15"/>
        <v>0</v>
      </c>
      <c r="BO32" s="8">
        <f t="array" ref="BO32">IFERROR(LARGE(IF(NF!$G$2:$G$3137='Mês atual'!A32,NF!$J$2:$J$3137),1),0)*BN32</f>
        <v>0</v>
      </c>
      <c r="BP32" s="50"/>
      <c r="BR32" s="147">
        <f t="array" ref="BR32">IFERROR(LARGE(IF(NF!$G$2:$G$3137='Mês atual'!A32,NF!$J$2:$J$3137),1),0)</f>
        <v>0</v>
      </c>
      <c r="BS32" s="143" t="str">
        <f>VLOOKUP(A32,NF!M:O,3,0)</f>
        <v>Bebidas</v>
      </c>
    </row>
    <row r="33" spans="1:71" x14ac:dyDescent="0.25">
      <c r="A33" s="108" t="s">
        <v>398</v>
      </c>
      <c r="B33" s="12"/>
      <c r="C33" s="9">
        <f>72+25</f>
        <v>97</v>
      </c>
      <c r="D33" s="25"/>
      <c r="E33" s="10" t="str">
        <f t="shared" si="0"/>
        <v>OutubroSEMANA 1Guaraná Antarctica Zero (lata)</v>
      </c>
      <c r="F33" s="7">
        <f>SUMIF(NF!$A:$A,$E33,NF!$I:$I)</f>
        <v>120</v>
      </c>
      <c r="G33" s="6">
        <f>3+13+3</f>
        <v>19</v>
      </c>
      <c r="H33" s="6">
        <f>2+1+6</f>
        <v>9</v>
      </c>
      <c r="I33" s="6">
        <f>2+5+2</f>
        <v>9</v>
      </c>
      <c r="J33" s="6">
        <f>1+1+9</f>
        <v>11</v>
      </c>
      <c r="K33" s="6">
        <f>1+6</f>
        <v>7</v>
      </c>
      <c r="L33" s="6">
        <v>4</v>
      </c>
      <c r="M33" s="6">
        <f>2+6+3</f>
        <v>11</v>
      </c>
      <c r="N33" s="7">
        <f t="shared" ref="N33:N44" si="35">SUM(G33:M33)</f>
        <v>70</v>
      </c>
      <c r="O33" s="11">
        <f t="shared" si="2"/>
        <v>147</v>
      </c>
      <c r="P33" s="25"/>
      <c r="Q33" s="10" t="str">
        <f t="shared" si="3"/>
        <v>OutubroSEMANA 2Guaraná Antarctica Zero (lata)</v>
      </c>
      <c r="R33" s="7">
        <f>SUMIF(NF!$A:$A,$Q33,NF!$I:$I)</f>
        <v>24</v>
      </c>
      <c r="S33" s="6">
        <f>6+3</f>
        <v>9</v>
      </c>
      <c r="T33" s="6">
        <f>2+2</f>
        <v>4</v>
      </c>
      <c r="U33" s="6">
        <f>4+4</f>
        <v>8</v>
      </c>
      <c r="V33" s="6">
        <f>5+3</f>
        <v>8</v>
      </c>
      <c r="W33" s="6">
        <f>5+2</f>
        <v>7</v>
      </c>
      <c r="X33" s="6">
        <f>2+2+6</f>
        <v>10</v>
      </c>
      <c r="Y33" s="6">
        <f>1+6+3</f>
        <v>10</v>
      </c>
      <c r="Z33" s="7">
        <f t="shared" ref="Z33:Z44" si="36">SUM(S33:Y33)</f>
        <v>56</v>
      </c>
      <c r="AA33" s="11">
        <f t="shared" si="5"/>
        <v>115</v>
      </c>
      <c r="AB33" s="25"/>
      <c r="AC33" s="10" t="str">
        <f t="shared" si="6"/>
        <v>OutubroSEMANA 3Guaraná Antarctica Zero (lata)</v>
      </c>
      <c r="AD33" s="7">
        <f>SUMIF(NF!$A:$A,$AC33,NF!$I:$I)</f>
        <v>36</v>
      </c>
      <c r="AE33" s="6">
        <f>1+2+1</f>
        <v>4</v>
      </c>
      <c r="AF33" s="6">
        <f>3+3+3</f>
        <v>9</v>
      </c>
      <c r="AG33" s="6">
        <f>1+1+3</f>
        <v>5</v>
      </c>
      <c r="AH33" s="6">
        <f>1+3+3</f>
        <v>7</v>
      </c>
      <c r="AI33" s="6">
        <f>2+5+4</f>
        <v>11</v>
      </c>
      <c r="AJ33" s="6">
        <f>1-1</f>
        <v>0</v>
      </c>
      <c r="AK33" s="6">
        <f>4+4</f>
        <v>8</v>
      </c>
      <c r="AL33" s="7">
        <f t="shared" ref="AL33:AL44" si="37">SUM(AE33:AK33)</f>
        <v>44</v>
      </c>
      <c r="AM33" s="11">
        <f t="shared" si="8"/>
        <v>107</v>
      </c>
      <c r="AN33" s="25"/>
      <c r="AO33" s="10" t="str">
        <f t="shared" si="9"/>
        <v>OutubroSEMANA 4Guaraná Antarctica Zero (lata)</v>
      </c>
      <c r="AP33" s="7">
        <f>SUMIF(NF!$A:$A,$AO33,NF!$I:$I)</f>
        <v>36</v>
      </c>
      <c r="AQ33" s="6">
        <f>5+3</f>
        <v>8</v>
      </c>
      <c r="AR33" s="6">
        <v>2</v>
      </c>
      <c r="AS33" s="6">
        <f>1+1+2</f>
        <v>4</v>
      </c>
      <c r="AT33" s="6">
        <f>1+1+3</f>
        <v>5</v>
      </c>
      <c r="AU33" s="6">
        <f>2+2+4</f>
        <v>8</v>
      </c>
      <c r="AV33" s="6">
        <f>4+2</f>
        <v>6</v>
      </c>
      <c r="AW33" s="6">
        <f>6+4</f>
        <v>10</v>
      </c>
      <c r="AX33" s="7">
        <f t="shared" ref="AX33:AX44" si="38">SUM(AQ33:AW33)</f>
        <v>43</v>
      </c>
      <c r="AY33" s="11">
        <f t="shared" si="11"/>
        <v>100</v>
      </c>
      <c r="AZ33" s="25"/>
      <c r="BA33" s="10" t="str">
        <f t="shared" si="12"/>
        <v>OutubroSEMANA 5Guaraná Antarctica Zero (lata)</v>
      </c>
      <c r="BB33" s="7">
        <f>SUMIF(NF!$A:$A,$BA33,NF!$I:$I)</f>
        <v>0</v>
      </c>
      <c r="BC33" s="6">
        <f>1+9+4</f>
        <v>14</v>
      </c>
      <c r="BD33" s="6">
        <f>1+1</f>
        <v>2</v>
      </c>
      <c r="BE33" s="6">
        <f>2+1+5</f>
        <v>8</v>
      </c>
      <c r="BF33" s="74"/>
      <c r="BG33" s="74"/>
      <c r="BH33" s="74"/>
      <c r="BI33" s="74"/>
      <c r="BJ33" s="74"/>
      <c r="BK33" s="7">
        <f t="shared" ref="BK33:BK44" si="39">SUM(BC33:BJ33)</f>
        <v>24</v>
      </c>
      <c r="BL33" s="8">
        <f t="shared" si="14"/>
        <v>76</v>
      </c>
      <c r="BM33" s="51" t="str">
        <f>IFERROR(VLOOKUP(A33,NF!$M:$O,3,0),"")</f>
        <v>Bebidas</v>
      </c>
      <c r="BN33" s="7">
        <f t="shared" si="15"/>
        <v>237</v>
      </c>
      <c r="BO33" s="8">
        <f t="array" ref="BO33">IFERROR(LARGE(IF(NF!$G$2:$G$3137='Mês atual'!A33,NF!$J$2:$J$3137),1),0)*BN33</f>
        <v>433.44666666666672</v>
      </c>
      <c r="BP33" s="50"/>
      <c r="BR33" s="147">
        <f t="array" ref="BR33">IFERROR(LARGE(IF(NF!$G$2:$G$3137='Mês atual'!A33,NF!$J$2:$J$3137),1),0)</f>
        <v>1.828888888888889</v>
      </c>
      <c r="BS33" s="143" t="str">
        <f>VLOOKUP(A33,NF!M:O,3,0)</f>
        <v>Bebidas</v>
      </c>
    </row>
    <row r="34" spans="1:71" x14ac:dyDescent="0.25">
      <c r="A34" s="108" t="s">
        <v>400</v>
      </c>
      <c r="B34" s="12"/>
      <c r="C34" s="9">
        <f>36+17</f>
        <v>53</v>
      </c>
      <c r="D34" s="25"/>
      <c r="E34" s="10" t="str">
        <f t="shared" si="0"/>
        <v>OutubroSEMANA 1H2O Limão</v>
      </c>
      <c r="F34" s="7">
        <f>SUMIF(NF!$A:$A,$E34,NF!$I:$I)</f>
        <v>24</v>
      </c>
      <c r="G34" s="6">
        <f>1+2</f>
        <v>3</v>
      </c>
      <c r="H34" s="6">
        <f>1</f>
        <v>1</v>
      </c>
      <c r="I34" s="6"/>
      <c r="J34" s="6">
        <f>1</f>
        <v>1</v>
      </c>
      <c r="K34" s="6">
        <v>1</v>
      </c>
      <c r="L34" s="6"/>
      <c r="M34" s="6"/>
      <c r="N34" s="7">
        <f t="shared" si="35"/>
        <v>6</v>
      </c>
      <c r="O34" s="11">
        <f t="shared" si="2"/>
        <v>71</v>
      </c>
      <c r="P34" s="25"/>
      <c r="Q34" s="10" t="str">
        <f t="shared" si="3"/>
        <v>OutubroSEMANA 2H2O Limão</v>
      </c>
      <c r="R34" s="7">
        <f>SUMIF(NF!$A:$A,$Q34,NF!$I:$I)</f>
        <v>0</v>
      </c>
      <c r="S34" s="6">
        <f>2+4+1</f>
        <v>7</v>
      </c>
      <c r="T34" s="6">
        <f>1+3+1</f>
        <v>5</v>
      </c>
      <c r="U34" s="6">
        <f>1+2</f>
        <v>3</v>
      </c>
      <c r="V34" s="6">
        <f>1</f>
        <v>1</v>
      </c>
      <c r="W34" s="6">
        <f>1+1</f>
        <v>2</v>
      </c>
      <c r="X34" s="6">
        <v>1</v>
      </c>
      <c r="Y34" s="6">
        <f>1</f>
        <v>1</v>
      </c>
      <c r="Z34" s="7">
        <f t="shared" si="36"/>
        <v>20</v>
      </c>
      <c r="AA34" s="11">
        <f t="shared" si="5"/>
        <v>51</v>
      </c>
      <c r="AB34" s="25"/>
      <c r="AC34" s="10" t="str">
        <f t="shared" si="6"/>
        <v>OutubroSEMANA 3H2O Limão</v>
      </c>
      <c r="AD34" s="7">
        <f>SUMIF(NF!$A:$A,$AC34,NF!$I:$I)</f>
        <v>24</v>
      </c>
      <c r="AE34" s="6">
        <f>1+5</f>
        <v>6</v>
      </c>
      <c r="AF34" s="6">
        <f>1+4</f>
        <v>5</v>
      </c>
      <c r="AG34" s="6">
        <f>2</f>
        <v>2</v>
      </c>
      <c r="AH34" s="6">
        <f>1+1</f>
        <v>2</v>
      </c>
      <c r="AI34" s="6">
        <f>2</f>
        <v>2</v>
      </c>
      <c r="AJ34" s="6"/>
      <c r="AK34" s="6">
        <f>1+1</f>
        <v>2</v>
      </c>
      <c r="AL34" s="7">
        <f t="shared" si="37"/>
        <v>19</v>
      </c>
      <c r="AM34" s="11">
        <f t="shared" si="8"/>
        <v>56</v>
      </c>
      <c r="AN34" s="25"/>
      <c r="AO34" s="10" t="str">
        <f t="shared" si="9"/>
        <v>OutubroSEMANA 4H2O Limão</v>
      </c>
      <c r="AP34" s="7">
        <f>SUMIF(NF!$A:$A,$AO34,NF!$I:$I)</f>
        <v>12</v>
      </c>
      <c r="AQ34" s="6">
        <f>5+1</f>
        <v>6</v>
      </c>
      <c r="AR34" s="6"/>
      <c r="AS34" s="6">
        <f>1+2</f>
        <v>3</v>
      </c>
      <c r="AT34" s="6">
        <f>1+1+2</f>
        <v>4</v>
      </c>
      <c r="AU34" s="6">
        <f>1+1</f>
        <v>2</v>
      </c>
      <c r="AV34" s="6">
        <v>3</v>
      </c>
      <c r="AW34" s="6">
        <v>2</v>
      </c>
      <c r="AX34" s="7">
        <f t="shared" si="38"/>
        <v>20</v>
      </c>
      <c r="AY34" s="11">
        <f t="shared" si="11"/>
        <v>48</v>
      </c>
      <c r="AZ34" s="25"/>
      <c r="BA34" s="10" t="str">
        <f t="shared" si="12"/>
        <v>OutubroSEMANA 5H2O Limão</v>
      </c>
      <c r="BB34" s="7">
        <f>SUMIF(NF!$A:$A,$BA34,NF!$I:$I)</f>
        <v>0</v>
      </c>
      <c r="BC34" s="6">
        <f>2+1</f>
        <v>3</v>
      </c>
      <c r="BD34" s="6">
        <f>3</f>
        <v>3</v>
      </c>
      <c r="BE34" s="6">
        <f>1+1</f>
        <v>2</v>
      </c>
      <c r="BF34" s="74"/>
      <c r="BG34" s="74"/>
      <c r="BH34" s="74"/>
      <c r="BI34" s="74"/>
      <c r="BJ34" s="74"/>
      <c r="BK34" s="7">
        <f t="shared" si="39"/>
        <v>8</v>
      </c>
      <c r="BL34" s="8">
        <f t="shared" si="14"/>
        <v>40</v>
      </c>
      <c r="BM34" s="51" t="str">
        <f>IFERROR(VLOOKUP(A34,NF!$M:$O,3,0),"")</f>
        <v>Bebidas</v>
      </c>
      <c r="BN34" s="7">
        <f t="shared" si="15"/>
        <v>73</v>
      </c>
      <c r="BO34" s="8">
        <f t="array" ref="BO34">IFERROR(LARGE(IF(NF!$G$2:$G$3137='Mês atual'!A34,NF!$J$2:$J$3137),1),0)*BN34</f>
        <v>156.49375000000001</v>
      </c>
      <c r="BP34" s="50"/>
      <c r="BR34" s="147">
        <f t="array" ref="BR34">IFERROR(LARGE(IF(NF!$G$2:$G$3137='Mês atual'!A34,NF!$J$2:$J$3137),1),0)</f>
        <v>2.1437500000000003</v>
      </c>
      <c r="BS34" s="143" t="str">
        <f>VLOOKUP(A34,NF!M:O,3,0)</f>
        <v>Bebidas</v>
      </c>
    </row>
    <row r="35" spans="1:71" x14ac:dyDescent="0.25">
      <c r="A35" s="108" t="s">
        <v>443</v>
      </c>
      <c r="B35" s="12"/>
      <c r="C35" s="9">
        <f>72+29</f>
        <v>101</v>
      </c>
      <c r="D35" s="25"/>
      <c r="E35" s="10" t="str">
        <f t="shared" si="0"/>
        <v>OutubroSEMANA 1Ice Tea Limão</v>
      </c>
      <c r="F35" s="7">
        <f>SUMIF(NF!$A:$A,$E35,NF!$I:$I)</f>
        <v>24</v>
      </c>
      <c r="G35" s="6">
        <f>1+3+1</f>
        <v>5</v>
      </c>
      <c r="H35" s="6">
        <f>1+1</f>
        <v>2</v>
      </c>
      <c r="I35" s="6">
        <v>4</v>
      </c>
      <c r="J35" s="6">
        <v>2</v>
      </c>
      <c r="K35" s="6">
        <f>1+1</f>
        <v>2</v>
      </c>
      <c r="L35" s="6">
        <v>3</v>
      </c>
      <c r="M35" s="6">
        <f>3+3</f>
        <v>6</v>
      </c>
      <c r="N35" s="7">
        <f t="shared" si="35"/>
        <v>24</v>
      </c>
      <c r="O35" s="11">
        <f t="shared" si="2"/>
        <v>101</v>
      </c>
      <c r="P35" s="25"/>
      <c r="Q35" s="10" t="str">
        <f t="shared" si="3"/>
        <v>OutubroSEMANA 2Ice Tea Limão</v>
      </c>
      <c r="R35" s="7">
        <f>SUMIF(NF!$A:$A,$Q35,NF!$I:$I)</f>
        <v>0</v>
      </c>
      <c r="S35" s="6">
        <f>6+3</f>
        <v>9</v>
      </c>
      <c r="T35" s="6"/>
      <c r="U35" s="6">
        <f>2</f>
        <v>2</v>
      </c>
      <c r="V35" s="6">
        <f>1+1</f>
        <v>2</v>
      </c>
      <c r="W35" s="6">
        <f>1+1</f>
        <v>2</v>
      </c>
      <c r="X35" s="6"/>
      <c r="Y35" s="6">
        <f>1+1</f>
        <v>2</v>
      </c>
      <c r="Z35" s="7">
        <f t="shared" si="36"/>
        <v>17</v>
      </c>
      <c r="AA35" s="11">
        <f t="shared" si="5"/>
        <v>84</v>
      </c>
      <c r="AB35" s="25"/>
      <c r="AC35" s="10" t="str">
        <f t="shared" si="6"/>
        <v>OutubroSEMANA 3Ice Tea Limão</v>
      </c>
      <c r="AD35" s="7">
        <f>SUMIF(NF!$A:$A,$AC35,NF!$I:$I)</f>
        <v>0</v>
      </c>
      <c r="AE35" s="6">
        <f>2+1+2</f>
        <v>5</v>
      </c>
      <c r="AF35" s="6">
        <v>1</v>
      </c>
      <c r="AG35" s="6">
        <f>1</f>
        <v>1</v>
      </c>
      <c r="AH35" s="6">
        <f>2+1</f>
        <v>3</v>
      </c>
      <c r="AI35" s="6">
        <f>1</f>
        <v>1</v>
      </c>
      <c r="AJ35" s="6">
        <f>1+2+2</f>
        <v>5</v>
      </c>
      <c r="AK35" s="6">
        <f>3+3</f>
        <v>6</v>
      </c>
      <c r="AL35" s="7">
        <f t="shared" si="37"/>
        <v>22</v>
      </c>
      <c r="AM35" s="11">
        <f t="shared" si="8"/>
        <v>62</v>
      </c>
      <c r="AN35" s="25"/>
      <c r="AO35" s="10" t="str">
        <f t="shared" si="9"/>
        <v>OutubroSEMANA 4Ice Tea Limão</v>
      </c>
      <c r="AP35" s="7">
        <f>SUMIF(NF!$A:$A,$AO35,NF!$I:$I)</f>
        <v>24</v>
      </c>
      <c r="AQ35" s="6">
        <f>1</f>
        <v>1</v>
      </c>
      <c r="AR35" s="6">
        <f>1+1</f>
        <v>2</v>
      </c>
      <c r="AS35" s="6">
        <f>2</f>
        <v>2</v>
      </c>
      <c r="AT35" s="6">
        <f>2+1</f>
        <v>3</v>
      </c>
      <c r="AU35" s="6">
        <f>1+1</f>
        <v>2</v>
      </c>
      <c r="AV35" s="6">
        <f>5-1</f>
        <v>4</v>
      </c>
      <c r="AW35" s="6">
        <f>1+2</f>
        <v>3</v>
      </c>
      <c r="AX35" s="7">
        <f t="shared" si="38"/>
        <v>17</v>
      </c>
      <c r="AY35" s="11">
        <f t="shared" si="11"/>
        <v>69</v>
      </c>
      <c r="AZ35" s="25"/>
      <c r="BA35" s="10" t="str">
        <f t="shared" si="12"/>
        <v>OutubroSEMANA 5Ice Tea Limão</v>
      </c>
      <c r="BB35" s="7">
        <f>SUMIF(NF!$A:$A,$BA35,NF!$I:$I)</f>
        <v>0</v>
      </c>
      <c r="BC35" s="6">
        <f>4+1</f>
        <v>5</v>
      </c>
      <c r="BD35" s="6">
        <f>1+1</f>
        <v>2</v>
      </c>
      <c r="BE35" s="6">
        <f>1+1+1</f>
        <v>3</v>
      </c>
      <c r="BF35" s="74"/>
      <c r="BG35" s="74"/>
      <c r="BH35" s="74"/>
      <c r="BI35" s="74"/>
      <c r="BJ35" s="74"/>
      <c r="BK35" s="7">
        <f t="shared" si="39"/>
        <v>10</v>
      </c>
      <c r="BL35" s="8">
        <f t="shared" si="14"/>
        <v>59</v>
      </c>
      <c r="BM35" s="51" t="str">
        <f>IFERROR(VLOOKUP(A35,NF!$M:$O,3,0),"")</f>
        <v>Bebidas</v>
      </c>
      <c r="BN35" s="7">
        <f t="shared" si="15"/>
        <v>90</v>
      </c>
      <c r="BO35" s="8">
        <f t="array" ref="BO35">IFERROR(LARGE(IF(NF!$G$2:$G$3137='Mês atual'!A35,NF!$J$2:$J$3137),1),0)*BN35</f>
        <v>181.12499999999997</v>
      </c>
      <c r="BP35" s="50"/>
      <c r="BR35" s="147">
        <f t="array" ref="BR35">IFERROR(LARGE(IF(NF!$G$2:$G$3137='Mês atual'!A35,NF!$J$2:$J$3137),1),0)</f>
        <v>2.0124999999999997</v>
      </c>
      <c r="BS35" s="143" t="str">
        <f>VLOOKUP(A35,NF!M:O,3,0)</f>
        <v>Bebidas</v>
      </c>
    </row>
    <row r="36" spans="1:71" x14ac:dyDescent="0.25">
      <c r="A36" s="108" t="s">
        <v>444</v>
      </c>
      <c r="B36" s="12"/>
      <c r="C36" s="9"/>
      <c r="D36" s="25"/>
      <c r="E36" s="10" t="str">
        <f t="shared" si="0"/>
        <v>OutubroSEMANA 1Ice Tea Limão Ligth</v>
      </c>
      <c r="F36" s="7">
        <f>SUMIF(NF!$A:$A,$E36,NF!$I:$I)</f>
        <v>0</v>
      </c>
      <c r="G36" s="6"/>
      <c r="H36" s="6"/>
      <c r="I36" s="6"/>
      <c r="J36" s="6"/>
      <c r="K36" s="6"/>
      <c r="L36" s="6"/>
      <c r="M36" s="6"/>
      <c r="N36" s="7">
        <f t="shared" si="35"/>
        <v>0</v>
      </c>
      <c r="O36" s="11">
        <f t="shared" si="2"/>
        <v>0</v>
      </c>
      <c r="P36" s="25"/>
      <c r="Q36" s="10" t="str">
        <f t="shared" si="3"/>
        <v>OutubroSEMANA 2Ice Tea Limão Ligth</v>
      </c>
      <c r="R36" s="7">
        <f>SUMIF(NF!$A:$A,$Q36,NF!$I:$I)</f>
        <v>0</v>
      </c>
      <c r="S36" s="6"/>
      <c r="T36" s="6"/>
      <c r="U36" s="6"/>
      <c r="V36" s="6"/>
      <c r="W36" s="6"/>
      <c r="X36" s="6"/>
      <c r="Y36" s="6"/>
      <c r="Z36" s="7">
        <f t="shared" si="36"/>
        <v>0</v>
      </c>
      <c r="AA36" s="11">
        <f t="shared" si="5"/>
        <v>0</v>
      </c>
      <c r="AB36" s="25"/>
      <c r="AC36" s="10" t="str">
        <f t="shared" si="6"/>
        <v>OutubroSEMANA 3Ice Tea Limão Ligth</v>
      </c>
      <c r="AD36" s="7">
        <f>SUMIF(NF!$A:$A,$AC36,NF!$I:$I)</f>
        <v>0</v>
      </c>
      <c r="AE36" s="6"/>
      <c r="AF36" s="6"/>
      <c r="AG36" s="6"/>
      <c r="AH36" s="6"/>
      <c r="AI36" s="6"/>
      <c r="AJ36" s="6"/>
      <c r="AK36" s="6"/>
      <c r="AL36" s="7">
        <f t="shared" si="37"/>
        <v>0</v>
      </c>
      <c r="AM36" s="11">
        <f t="shared" si="8"/>
        <v>0</v>
      </c>
      <c r="AN36" s="25"/>
      <c r="AO36" s="10" t="str">
        <f t="shared" si="9"/>
        <v>OutubroSEMANA 4Ice Tea Limão Ligth</v>
      </c>
      <c r="AP36" s="7">
        <f>SUMIF(NF!$A:$A,$AO36,NF!$I:$I)</f>
        <v>0</v>
      </c>
      <c r="AQ36" s="6"/>
      <c r="AR36" s="6"/>
      <c r="AS36" s="6"/>
      <c r="AT36" s="6"/>
      <c r="AU36" s="6"/>
      <c r="AV36" s="6"/>
      <c r="AW36" s="6"/>
      <c r="AX36" s="7">
        <f t="shared" si="38"/>
        <v>0</v>
      </c>
      <c r="AY36" s="11">
        <f t="shared" si="11"/>
        <v>0</v>
      </c>
      <c r="AZ36" s="25"/>
      <c r="BA36" s="10" t="str">
        <f t="shared" si="12"/>
        <v>OutubroSEMANA 5Ice Tea Limão Ligth</v>
      </c>
      <c r="BB36" s="7">
        <f>SUMIF(NF!$A:$A,$BA36,NF!$I:$I)</f>
        <v>0</v>
      </c>
      <c r="BC36" s="6"/>
      <c r="BD36" s="6"/>
      <c r="BE36" s="6"/>
      <c r="BF36" s="74"/>
      <c r="BG36" s="74"/>
      <c r="BH36" s="74"/>
      <c r="BI36" s="74"/>
      <c r="BJ36" s="74"/>
      <c r="BK36" s="7">
        <f t="shared" si="39"/>
        <v>0</v>
      </c>
      <c r="BL36" s="8">
        <f t="shared" si="14"/>
        <v>0</v>
      </c>
      <c r="BM36" s="51" t="str">
        <f>IFERROR(VLOOKUP(A36,NF!$M:$O,3,0),"")</f>
        <v>Bebidas</v>
      </c>
      <c r="BN36" s="7">
        <f t="shared" si="15"/>
        <v>0</v>
      </c>
      <c r="BO36" s="8">
        <f t="array" ref="BO36">IFERROR(LARGE(IF(NF!$G$2:$G$3137='Mês atual'!A36,NF!$J$2:$J$3137),1),0)*BN36</f>
        <v>0</v>
      </c>
      <c r="BP36" s="50"/>
      <c r="BR36" s="147">
        <f t="array" ref="BR36">IFERROR(LARGE(IF(NF!$G$2:$G$3137='Mês atual'!A36,NF!$J$2:$J$3137),1),0)</f>
        <v>0</v>
      </c>
      <c r="BS36" s="143" t="str">
        <f>VLOOKUP(A36,NF!M:O,3,0)</f>
        <v>Bebidas</v>
      </c>
    </row>
    <row r="37" spans="1:71" x14ac:dyDescent="0.25">
      <c r="A37" s="108" t="s">
        <v>445</v>
      </c>
      <c r="B37" s="12"/>
      <c r="C37" s="9">
        <f>84+31</f>
        <v>115</v>
      </c>
      <c r="D37" s="25"/>
      <c r="E37" s="10" t="str">
        <f t="shared" si="0"/>
        <v>OutubroSEMANA 1Ice Tea Pêssego</v>
      </c>
      <c r="F37" s="7">
        <f>SUMIF(NF!$A:$A,$E37,NF!$I:$I)</f>
        <v>0</v>
      </c>
      <c r="G37" s="6">
        <f>1+2+2</f>
        <v>5</v>
      </c>
      <c r="H37" s="6">
        <f>2+2+1</f>
        <v>5</v>
      </c>
      <c r="I37" s="6">
        <f>2</f>
        <v>2</v>
      </c>
      <c r="J37" s="6">
        <f>1</f>
        <v>1</v>
      </c>
      <c r="K37" s="6">
        <f>1+2</f>
        <v>3</v>
      </c>
      <c r="L37" s="6">
        <f>1+1-1</f>
        <v>1</v>
      </c>
      <c r="M37" s="6">
        <f>1+3</f>
        <v>4</v>
      </c>
      <c r="N37" s="7">
        <f t="shared" si="35"/>
        <v>21</v>
      </c>
      <c r="O37" s="11">
        <f t="shared" si="2"/>
        <v>94</v>
      </c>
      <c r="P37" s="25"/>
      <c r="Q37" s="10" t="str">
        <f t="shared" si="3"/>
        <v>OutubroSEMANA 2Ice Tea Pêssego</v>
      </c>
      <c r="R37" s="7">
        <f>SUMIF(NF!$A:$A,$Q37,NF!$I:$I)</f>
        <v>0</v>
      </c>
      <c r="S37" s="6">
        <f>4+1</f>
        <v>5</v>
      </c>
      <c r="T37" s="6">
        <f>1+2</f>
        <v>3</v>
      </c>
      <c r="U37" s="6">
        <f>2+1+1</f>
        <v>4</v>
      </c>
      <c r="V37" s="6">
        <f>2+1+1</f>
        <v>4</v>
      </c>
      <c r="W37" s="6">
        <f>4+2</f>
        <v>6</v>
      </c>
      <c r="X37" s="6">
        <f>3+2</f>
        <v>5</v>
      </c>
      <c r="Y37" s="6">
        <f>1+4</f>
        <v>5</v>
      </c>
      <c r="Z37" s="7">
        <f t="shared" si="36"/>
        <v>32</v>
      </c>
      <c r="AA37" s="11">
        <f t="shared" si="5"/>
        <v>62</v>
      </c>
      <c r="AB37" s="25"/>
      <c r="AC37" s="10" t="str">
        <f t="shared" si="6"/>
        <v>OutubroSEMANA 3Ice Tea Pêssego</v>
      </c>
      <c r="AD37" s="7">
        <f>SUMIF(NF!$A:$A,$AC37,NF!$I:$I)</f>
        <v>12</v>
      </c>
      <c r="AE37" s="6">
        <f>1+3+2</f>
        <v>6</v>
      </c>
      <c r="AF37" s="6">
        <f>1+2</f>
        <v>3</v>
      </c>
      <c r="AG37" s="6">
        <f>1+1</f>
        <v>2</v>
      </c>
      <c r="AH37" s="6">
        <f>1+1+1</f>
        <v>3</v>
      </c>
      <c r="AI37" s="6">
        <f>2+1+1</f>
        <v>4</v>
      </c>
      <c r="AJ37" s="6">
        <f>1+2</f>
        <v>3</v>
      </c>
      <c r="AK37" s="6">
        <f>5+2</f>
        <v>7</v>
      </c>
      <c r="AL37" s="7">
        <f t="shared" si="37"/>
        <v>28</v>
      </c>
      <c r="AM37" s="11">
        <f t="shared" si="8"/>
        <v>46</v>
      </c>
      <c r="AN37" s="25"/>
      <c r="AO37" s="10" t="str">
        <f t="shared" si="9"/>
        <v>OutubroSEMANA 4Ice Tea Pêssego</v>
      </c>
      <c r="AP37" s="7">
        <f>SUMIF(NF!$A:$A,$AO37,NF!$I:$I)</f>
        <v>0</v>
      </c>
      <c r="AQ37" s="6">
        <f>1+3+4</f>
        <v>8</v>
      </c>
      <c r="AR37" s="6">
        <f>1+2</f>
        <v>3</v>
      </c>
      <c r="AS37" s="6">
        <f>2</f>
        <v>2</v>
      </c>
      <c r="AT37" s="6">
        <f>1</f>
        <v>1</v>
      </c>
      <c r="AU37" s="6">
        <f>2+2</f>
        <v>4</v>
      </c>
      <c r="AV37" s="6">
        <f>3-1</f>
        <v>2</v>
      </c>
      <c r="AW37" s="6">
        <f>1+5</f>
        <v>6</v>
      </c>
      <c r="AX37" s="7">
        <f t="shared" si="38"/>
        <v>26</v>
      </c>
      <c r="AY37" s="11">
        <f t="shared" si="11"/>
        <v>20</v>
      </c>
      <c r="AZ37" s="25"/>
      <c r="BA37" s="10" t="str">
        <f t="shared" si="12"/>
        <v>OutubroSEMANA 5Ice Tea Pêssego</v>
      </c>
      <c r="BB37" s="7">
        <f>SUMIF(NF!$A:$A,$BA37,NF!$I:$I)</f>
        <v>0</v>
      </c>
      <c r="BC37" s="6">
        <f>7+3</f>
        <v>10</v>
      </c>
      <c r="BD37" s="6">
        <f>1+1</f>
        <v>2</v>
      </c>
      <c r="BE37" s="6">
        <f>1+3+3</f>
        <v>7</v>
      </c>
      <c r="BF37" s="74"/>
      <c r="BG37" s="74"/>
      <c r="BH37" s="74"/>
      <c r="BI37" s="74"/>
      <c r="BJ37" s="74"/>
      <c r="BK37" s="7">
        <f t="shared" si="39"/>
        <v>19</v>
      </c>
      <c r="BL37" s="8">
        <f t="shared" si="14"/>
        <v>1</v>
      </c>
      <c r="BM37" s="51" t="str">
        <f>IFERROR(VLOOKUP(A37,NF!$M:$O,3,0),"")</f>
        <v>Bebidas</v>
      </c>
      <c r="BN37" s="7">
        <f t="shared" si="15"/>
        <v>126</v>
      </c>
      <c r="BO37" s="8">
        <f t="array" ref="BO37">IFERROR(LARGE(IF(NF!$G$2:$G$3137='Mês atual'!A37,NF!$J$2:$J$3137),1),0)*BN37</f>
        <v>253.57499999999996</v>
      </c>
      <c r="BP37" s="50"/>
      <c r="BR37" s="147">
        <f t="array" ref="BR37">IFERROR(LARGE(IF(NF!$G$2:$G$3137='Mês atual'!A37,NF!$J$2:$J$3137),1),0)</f>
        <v>2.0124999999999997</v>
      </c>
      <c r="BS37" s="143" t="str">
        <f>VLOOKUP(A37,NF!M:O,3,0)</f>
        <v>Bebidas</v>
      </c>
    </row>
    <row r="38" spans="1:71" x14ac:dyDescent="0.25">
      <c r="A38" s="108" t="s">
        <v>446</v>
      </c>
      <c r="B38" s="12"/>
      <c r="C38" s="9"/>
      <c r="D38" s="25"/>
      <c r="E38" s="10" t="str">
        <f t="shared" si="0"/>
        <v>OutubroSEMANA 1Ice Tea Pêssego Light</v>
      </c>
      <c r="F38" s="7">
        <f>SUMIF(NF!$A:$A,$E38,NF!$I:$I)</f>
        <v>0</v>
      </c>
      <c r="G38" s="6"/>
      <c r="H38" s="6"/>
      <c r="I38" s="6"/>
      <c r="J38" s="6"/>
      <c r="K38" s="6"/>
      <c r="L38" s="6"/>
      <c r="M38" s="6"/>
      <c r="N38" s="7">
        <f t="shared" si="35"/>
        <v>0</v>
      </c>
      <c r="O38" s="11">
        <f t="shared" si="2"/>
        <v>0</v>
      </c>
      <c r="P38" s="25"/>
      <c r="Q38" s="10" t="str">
        <f t="shared" si="3"/>
        <v>OutubroSEMANA 2Ice Tea Pêssego Light</v>
      </c>
      <c r="R38" s="7">
        <f>SUMIF(NF!$A:$A,$Q38,NF!$I:$I)</f>
        <v>0</v>
      </c>
      <c r="S38" s="6"/>
      <c r="T38" s="6"/>
      <c r="U38" s="6"/>
      <c r="V38" s="6"/>
      <c r="W38" s="6"/>
      <c r="X38" s="6"/>
      <c r="Y38" s="6"/>
      <c r="Z38" s="7">
        <f t="shared" si="36"/>
        <v>0</v>
      </c>
      <c r="AA38" s="11">
        <f t="shared" si="5"/>
        <v>0</v>
      </c>
      <c r="AB38" s="25"/>
      <c r="AC38" s="10" t="str">
        <f t="shared" si="6"/>
        <v>OutubroSEMANA 3Ice Tea Pêssego Light</v>
      </c>
      <c r="AD38" s="7">
        <f>SUMIF(NF!$A:$A,$AC38,NF!$I:$I)</f>
        <v>0</v>
      </c>
      <c r="AE38" s="6"/>
      <c r="AF38" s="6"/>
      <c r="AG38" s="6"/>
      <c r="AH38" s="6"/>
      <c r="AI38" s="6"/>
      <c r="AJ38" s="6"/>
      <c r="AK38" s="6"/>
      <c r="AL38" s="7">
        <f t="shared" si="37"/>
        <v>0</v>
      </c>
      <c r="AM38" s="11">
        <f t="shared" si="8"/>
        <v>0</v>
      </c>
      <c r="AN38" s="25"/>
      <c r="AO38" s="10" t="str">
        <f t="shared" si="9"/>
        <v>OutubroSEMANA 4Ice Tea Pêssego Light</v>
      </c>
      <c r="AP38" s="7">
        <f>SUMIF(NF!$A:$A,$AO38,NF!$I:$I)</f>
        <v>0</v>
      </c>
      <c r="AQ38" s="6"/>
      <c r="AR38" s="6"/>
      <c r="AS38" s="6"/>
      <c r="AT38" s="6"/>
      <c r="AU38" s="6"/>
      <c r="AV38" s="6"/>
      <c r="AW38" s="6"/>
      <c r="AX38" s="7">
        <f t="shared" si="38"/>
        <v>0</v>
      </c>
      <c r="AY38" s="11">
        <f t="shared" si="11"/>
        <v>0</v>
      </c>
      <c r="AZ38" s="25"/>
      <c r="BA38" s="10" t="str">
        <f t="shared" si="12"/>
        <v>OutubroSEMANA 5Ice Tea Pêssego Light</v>
      </c>
      <c r="BB38" s="7">
        <f>SUMIF(NF!$A:$A,$BA38,NF!$I:$I)</f>
        <v>0</v>
      </c>
      <c r="BC38" s="6"/>
      <c r="BD38" s="6"/>
      <c r="BE38" s="6"/>
      <c r="BF38" s="74"/>
      <c r="BG38" s="74"/>
      <c r="BH38" s="74"/>
      <c r="BI38" s="74"/>
      <c r="BJ38" s="74"/>
      <c r="BK38" s="7">
        <f t="shared" si="39"/>
        <v>0</v>
      </c>
      <c r="BL38" s="8">
        <f t="shared" si="14"/>
        <v>0</v>
      </c>
      <c r="BM38" s="51" t="str">
        <f>IFERROR(VLOOKUP(A38,NF!$M:$O,3,0),"")</f>
        <v>Bebidas</v>
      </c>
      <c r="BN38" s="7">
        <f t="shared" si="15"/>
        <v>0</v>
      </c>
      <c r="BO38" s="8">
        <f t="array" ref="BO38">IFERROR(LARGE(IF(NF!$G$2:$G$3137='Mês atual'!A38,NF!$J$2:$J$3137),1),0)*BN38</f>
        <v>0</v>
      </c>
      <c r="BP38" s="50"/>
      <c r="BR38" s="147">
        <f t="array" ref="BR38">IFERROR(LARGE(IF(NF!$G$2:$G$3137='Mês atual'!A38,NF!$J$2:$J$3137),1),0)</f>
        <v>0</v>
      </c>
      <c r="BS38" s="143" t="str">
        <f>VLOOKUP(A38,NF!M:O,3,0)</f>
        <v>Bebidas</v>
      </c>
    </row>
    <row r="39" spans="1:71" x14ac:dyDescent="0.25">
      <c r="A39" s="108" t="s">
        <v>511</v>
      </c>
      <c r="B39" s="12"/>
      <c r="C39" s="9">
        <f>60+15</f>
        <v>75</v>
      </c>
      <c r="D39" s="25"/>
      <c r="E39" s="10" t="str">
        <f t="shared" si="0"/>
        <v>OutubroSEMANA 1Mate Orgânico Limão</v>
      </c>
      <c r="F39" s="7">
        <f>SUMIF(NF!$A:$A,$E39,NF!$I:$I)</f>
        <v>0</v>
      </c>
      <c r="G39" s="6">
        <f>2+9+6</f>
        <v>17</v>
      </c>
      <c r="H39" s="6">
        <f>1+1+1</f>
        <v>3</v>
      </c>
      <c r="I39" s="6">
        <f>4+2</f>
        <v>6</v>
      </c>
      <c r="J39" s="6">
        <f>4+1+1</f>
        <v>6</v>
      </c>
      <c r="K39" s="6">
        <f>2+1</f>
        <v>3</v>
      </c>
      <c r="L39" s="6">
        <f>3+1-2</f>
        <v>2</v>
      </c>
      <c r="M39" s="6">
        <f>1+1+4</f>
        <v>6</v>
      </c>
      <c r="N39" s="7">
        <f t="shared" si="35"/>
        <v>43</v>
      </c>
      <c r="O39" s="11">
        <f t="shared" si="2"/>
        <v>32</v>
      </c>
      <c r="P39" s="25"/>
      <c r="Q39" s="10" t="str">
        <f t="shared" si="3"/>
        <v>OutubroSEMANA 2Mate Orgânico Limão</v>
      </c>
      <c r="R39" s="7">
        <f>SUMIF(NF!$A:$A,$Q39,NF!$I:$I)</f>
        <v>300</v>
      </c>
      <c r="S39" s="6">
        <f>1+9+5</f>
        <v>15</v>
      </c>
      <c r="T39" s="6">
        <f>1+3+1</f>
        <v>5</v>
      </c>
      <c r="U39" s="6">
        <f>1+2</f>
        <v>3</v>
      </c>
      <c r="V39" s="6">
        <f>1+2</f>
        <v>3</v>
      </c>
      <c r="W39" s="6">
        <f>5+1</f>
        <v>6</v>
      </c>
      <c r="X39" s="6">
        <f>2+2+4+1</f>
        <v>9</v>
      </c>
      <c r="Y39" s="6">
        <f>2+6+5</f>
        <v>13</v>
      </c>
      <c r="Z39" s="7">
        <f t="shared" si="36"/>
        <v>54</v>
      </c>
      <c r="AA39" s="11">
        <f t="shared" si="5"/>
        <v>278</v>
      </c>
      <c r="AB39" s="25"/>
      <c r="AC39" s="10" t="str">
        <f t="shared" si="6"/>
        <v>OutubroSEMANA 3Mate Orgânico Limão</v>
      </c>
      <c r="AD39" s="7">
        <f>SUMIF(NF!$A:$A,$AC39,NF!$I:$I)</f>
        <v>0</v>
      </c>
      <c r="AE39" s="6">
        <f>1+9+4</f>
        <v>14</v>
      </c>
      <c r="AF39" s="6">
        <f>5</f>
        <v>5</v>
      </c>
      <c r="AG39" s="6">
        <f>1+1</f>
        <v>2</v>
      </c>
      <c r="AH39" s="6">
        <f>2+1+3</f>
        <v>6</v>
      </c>
      <c r="AI39" s="6">
        <f>1+7+2</f>
        <v>10</v>
      </c>
      <c r="AJ39" s="6">
        <f>1+5+1</f>
        <v>7</v>
      </c>
      <c r="AK39" s="6">
        <f>1+3+4</f>
        <v>8</v>
      </c>
      <c r="AL39" s="7">
        <f t="shared" si="37"/>
        <v>52</v>
      </c>
      <c r="AM39" s="11">
        <f t="shared" si="8"/>
        <v>226</v>
      </c>
      <c r="AN39" s="25"/>
      <c r="AO39" s="10" t="str">
        <f t="shared" si="9"/>
        <v>OutubroSEMANA 4Mate Orgânico Limão</v>
      </c>
      <c r="AP39" s="7">
        <f>SUMIF(NF!$A:$A,$AO39,NF!$I:$I)</f>
        <v>0</v>
      </c>
      <c r="AQ39" s="6">
        <f>5+3</f>
        <v>8</v>
      </c>
      <c r="AR39" s="6">
        <f>1</f>
        <v>1</v>
      </c>
      <c r="AS39" s="6">
        <f>2+3+1</f>
        <v>6</v>
      </c>
      <c r="AT39" s="6">
        <f>5+4+6</f>
        <v>15</v>
      </c>
      <c r="AU39" s="6">
        <f>1+2+3</f>
        <v>6</v>
      </c>
      <c r="AV39" s="6">
        <f>6+1</f>
        <v>7</v>
      </c>
      <c r="AW39" s="6">
        <f>1+2+2</f>
        <v>5</v>
      </c>
      <c r="AX39" s="7">
        <f t="shared" si="38"/>
        <v>48</v>
      </c>
      <c r="AY39" s="11">
        <f t="shared" si="11"/>
        <v>178</v>
      </c>
      <c r="AZ39" s="25"/>
      <c r="BA39" s="10" t="str">
        <f t="shared" si="12"/>
        <v>OutubroSEMANA 5Mate Orgânico Limão</v>
      </c>
      <c r="BB39" s="7">
        <f>SUMIF(NF!$A:$A,$BA39,NF!$I:$I)</f>
        <v>0</v>
      </c>
      <c r="BC39" s="6">
        <f>1+10+2</f>
        <v>13</v>
      </c>
      <c r="BD39" s="6">
        <f>2+1</f>
        <v>3</v>
      </c>
      <c r="BE39" s="6">
        <f>1+2+1+1</f>
        <v>5</v>
      </c>
      <c r="BF39" s="74"/>
      <c r="BG39" s="74"/>
      <c r="BH39" s="74"/>
      <c r="BI39" s="74"/>
      <c r="BJ39" s="74"/>
      <c r="BK39" s="7">
        <f t="shared" si="39"/>
        <v>21</v>
      </c>
      <c r="BL39" s="8">
        <f t="shared" si="14"/>
        <v>157</v>
      </c>
      <c r="BM39" s="51" t="str">
        <f>IFERROR(VLOOKUP(A39,NF!$M:$O,3,0),"")</f>
        <v>Bebidas</v>
      </c>
      <c r="BN39" s="7">
        <f t="shared" si="15"/>
        <v>218</v>
      </c>
      <c r="BO39" s="8">
        <f t="array" ref="BO39">IFERROR(LARGE(IF(NF!$G$2:$G$3137='Mês atual'!A39,NF!$J$2:$J$3137),1),0)*BN39</f>
        <v>1037.8565800000001</v>
      </c>
      <c r="BP39" s="50"/>
      <c r="BR39" s="147">
        <f t="array" ref="BR39">IFERROR(LARGE(IF(NF!$G$2:$G$3137='Mês atual'!A39,NF!$J$2:$J$3137),1),0)</f>
        <v>4.7608100000000002</v>
      </c>
      <c r="BS39" s="143" t="str">
        <f>VLOOKUP(A39,NF!M:O,3,0)</f>
        <v>Bebidas</v>
      </c>
    </row>
    <row r="40" spans="1:71" x14ac:dyDescent="0.25">
      <c r="A40" s="108" t="s">
        <v>512</v>
      </c>
      <c r="B40" s="12"/>
      <c r="C40" s="9">
        <f>60+15</f>
        <v>75</v>
      </c>
      <c r="D40" s="25"/>
      <c r="E40" s="10" t="str">
        <f t="shared" si="0"/>
        <v>OutubroSEMANA 1Mate Orgânico Natural</v>
      </c>
      <c r="F40" s="7">
        <f>SUMIF(NF!$A:$A,$E40,NF!$I:$I)</f>
        <v>0</v>
      </c>
      <c r="G40" s="6">
        <f>1+5+3</f>
        <v>9</v>
      </c>
      <c r="H40" s="6">
        <f>1+1</f>
        <v>2</v>
      </c>
      <c r="I40" s="6">
        <v>1</v>
      </c>
      <c r="J40" s="6">
        <f>1+1+1</f>
        <v>3</v>
      </c>
      <c r="K40" s="6">
        <f>3+3</f>
        <v>6</v>
      </c>
      <c r="L40" s="6">
        <f>4+2+2</f>
        <v>8</v>
      </c>
      <c r="M40" s="6">
        <f>2+2+3</f>
        <v>7</v>
      </c>
      <c r="N40" s="7">
        <f t="shared" si="35"/>
        <v>36</v>
      </c>
      <c r="O40" s="11">
        <f t="shared" si="2"/>
        <v>39</v>
      </c>
      <c r="P40" s="25"/>
      <c r="Q40" s="10" t="str">
        <f t="shared" si="3"/>
        <v>OutubroSEMANA 2Mate Orgânico Natural</v>
      </c>
      <c r="R40" s="7">
        <f>SUMIF(NF!$A:$A,$Q40,NF!$I:$I)</f>
        <v>240</v>
      </c>
      <c r="S40" s="6">
        <f>5+6</f>
        <v>11</v>
      </c>
      <c r="T40" s="6">
        <f>3+3</f>
        <v>6</v>
      </c>
      <c r="U40" s="6">
        <f>3+1</f>
        <v>4</v>
      </c>
      <c r="V40" s="6">
        <f>2+2</f>
        <v>4</v>
      </c>
      <c r="W40" s="6">
        <f>4+1</f>
        <v>5</v>
      </c>
      <c r="X40" s="6">
        <f>2+2</f>
        <v>4</v>
      </c>
      <c r="Y40" s="6">
        <f>3+3</f>
        <v>6</v>
      </c>
      <c r="Z40" s="7">
        <f t="shared" si="36"/>
        <v>40</v>
      </c>
      <c r="AA40" s="11">
        <f t="shared" si="5"/>
        <v>239</v>
      </c>
      <c r="AB40" s="25"/>
      <c r="AC40" s="10" t="str">
        <f t="shared" si="6"/>
        <v>OutubroSEMANA 3Mate Orgânico Natural</v>
      </c>
      <c r="AD40" s="7">
        <f>SUMIF(NF!$A:$A,$AC40,NF!$I:$I)</f>
        <v>0</v>
      </c>
      <c r="AE40" s="6">
        <f>1+5+3</f>
        <v>9</v>
      </c>
      <c r="AF40" s="6">
        <f>1+1</f>
        <v>2</v>
      </c>
      <c r="AG40" s="6">
        <f>1+2</f>
        <v>3</v>
      </c>
      <c r="AH40" s="6">
        <f>1+2</f>
        <v>3</v>
      </c>
      <c r="AI40" s="6">
        <f>2+2+2</f>
        <v>6</v>
      </c>
      <c r="AJ40" s="6">
        <f>1+1+1+1</f>
        <v>4</v>
      </c>
      <c r="AK40" s="6">
        <f>1+3+1</f>
        <v>5</v>
      </c>
      <c r="AL40" s="7">
        <f t="shared" si="37"/>
        <v>32</v>
      </c>
      <c r="AM40" s="11">
        <f t="shared" si="8"/>
        <v>207</v>
      </c>
      <c r="AN40" s="25"/>
      <c r="AO40" s="10" t="str">
        <f t="shared" si="9"/>
        <v>OutubroSEMANA 4Mate Orgânico Natural</v>
      </c>
      <c r="AP40" s="7">
        <f>SUMIF(NF!$A:$A,$AO40,NF!$I:$I)</f>
        <v>0</v>
      </c>
      <c r="AQ40" s="6">
        <f>2+3+3</f>
        <v>8</v>
      </c>
      <c r="AR40" s="6">
        <f>1+1</f>
        <v>2</v>
      </c>
      <c r="AS40" s="6">
        <f>1+1+3</f>
        <v>5</v>
      </c>
      <c r="AT40" s="6">
        <f>1+1</f>
        <v>2</v>
      </c>
      <c r="AU40" s="6">
        <f>3+1</f>
        <v>4</v>
      </c>
      <c r="AV40" s="6">
        <v>1</v>
      </c>
      <c r="AW40" s="6">
        <f>4+3+5</f>
        <v>12</v>
      </c>
      <c r="AX40" s="7">
        <f t="shared" si="38"/>
        <v>34</v>
      </c>
      <c r="AY40" s="11">
        <f t="shared" si="11"/>
        <v>173</v>
      </c>
      <c r="AZ40" s="25"/>
      <c r="BA40" s="10" t="str">
        <f t="shared" si="12"/>
        <v>OutubroSEMANA 5Mate Orgânico Natural</v>
      </c>
      <c r="BB40" s="7">
        <f>SUMIF(NF!$A:$A,$BA40,NF!$I:$I)</f>
        <v>0</v>
      </c>
      <c r="BC40" s="6">
        <f>1+4+4</f>
        <v>9</v>
      </c>
      <c r="BD40" s="6">
        <f>2+1</f>
        <v>3</v>
      </c>
      <c r="BE40" s="6">
        <f>2+3-1</f>
        <v>4</v>
      </c>
      <c r="BF40" s="74"/>
      <c r="BG40" s="74"/>
      <c r="BH40" s="74"/>
      <c r="BI40" s="74"/>
      <c r="BJ40" s="74"/>
      <c r="BK40" s="7">
        <f t="shared" si="39"/>
        <v>16</v>
      </c>
      <c r="BL40" s="8">
        <f t="shared" si="14"/>
        <v>157</v>
      </c>
      <c r="BM40" s="51" t="str">
        <f>IFERROR(VLOOKUP(A40,NF!$M:$O,3,0),"")</f>
        <v>Bebidas</v>
      </c>
      <c r="BN40" s="7">
        <f t="shared" si="15"/>
        <v>158</v>
      </c>
      <c r="BO40" s="8">
        <f t="array" ref="BO40">IFERROR(LARGE(IF(NF!$G$2:$G$3137='Mês atual'!A40,NF!$J$2:$J$3137),1),0)*BN40</f>
        <v>752.20798000000002</v>
      </c>
      <c r="BP40" s="50"/>
      <c r="BR40" s="147">
        <f t="array" ref="BR40">IFERROR(LARGE(IF(NF!$G$2:$G$3137='Mês atual'!A40,NF!$J$2:$J$3137),1),0)</f>
        <v>4.7608100000000002</v>
      </c>
      <c r="BS40" s="143" t="str">
        <f>VLOOKUP(A40,NF!M:O,3,0)</f>
        <v>Bebidas</v>
      </c>
    </row>
    <row r="41" spans="1:71" x14ac:dyDescent="0.25">
      <c r="A41" s="108" t="s">
        <v>513</v>
      </c>
      <c r="B41" s="12"/>
      <c r="C41" s="9"/>
      <c r="D41" s="25"/>
      <c r="E41" s="10" t="str">
        <f t="shared" si="0"/>
        <v>OutubroSEMANA 1Matte Leão Limão Pet 1,5 Lt</v>
      </c>
      <c r="F41" s="7">
        <f>SUMIF(NF!$A:$A,$E41,NF!$I:$I)</f>
        <v>0</v>
      </c>
      <c r="G41" s="6"/>
      <c r="H41" s="6"/>
      <c r="I41" s="6"/>
      <c r="J41" s="6"/>
      <c r="K41" s="6"/>
      <c r="L41" s="6"/>
      <c r="M41" s="6"/>
      <c r="N41" s="7">
        <f t="shared" si="35"/>
        <v>0</v>
      </c>
      <c r="O41" s="11">
        <f t="shared" si="2"/>
        <v>0</v>
      </c>
      <c r="P41" s="25"/>
      <c r="Q41" s="10" t="str">
        <f t="shared" si="3"/>
        <v>OutubroSEMANA 2Matte Leão Limão Pet 1,5 Lt</v>
      </c>
      <c r="R41" s="7">
        <f>SUMIF(NF!$A:$A,$Q41,NF!$I:$I)</f>
        <v>0</v>
      </c>
      <c r="S41" s="6"/>
      <c r="T41" s="6"/>
      <c r="U41" s="6"/>
      <c r="V41" s="6"/>
      <c r="W41" s="6"/>
      <c r="X41" s="6"/>
      <c r="Y41" s="6"/>
      <c r="Z41" s="7">
        <f t="shared" si="36"/>
        <v>0</v>
      </c>
      <c r="AA41" s="11">
        <f t="shared" si="5"/>
        <v>0</v>
      </c>
      <c r="AB41" s="25"/>
      <c r="AC41" s="10" t="str">
        <f t="shared" si="6"/>
        <v>OutubroSEMANA 3Matte Leão Limão Pet 1,5 Lt</v>
      </c>
      <c r="AD41" s="7">
        <f>SUMIF(NF!$A:$A,$AC41,NF!$I:$I)</f>
        <v>0</v>
      </c>
      <c r="AE41" s="6"/>
      <c r="AF41" s="6"/>
      <c r="AG41" s="6"/>
      <c r="AH41" s="6"/>
      <c r="AI41" s="6"/>
      <c r="AJ41" s="6"/>
      <c r="AK41" s="6"/>
      <c r="AL41" s="7">
        <f t="shared" si="37"/>
        <v>0</v>
      </c>
      <c r="AM41" s="11">
        <f t="shared" si="8"/>
        <v>0</v>
      </c>
      <c r="AN41" s="25"/>
      <c r="AO41" s="10" t="str">
        <f t="shared" si="9"/>
        <v>OutubroSEMANA 4Matte Leão Limão Pet 1,5 Lt</v>
      </c>
      <c r="AP41" s="7">
        <f>SUMIF(NF!$A:$A,$AO41,NF!$I:$I)</f>
        <v>0</v>
      </c>
      <c r="AQ41" s="6"/>
      <c r="AR41" s="6"/>
      <c r="AS41" s="6"/>
      <c r="AT41" s="6"/>
      <c r="AU41" s="6"/>
      <c r="AV41" s="6"/>
      <c r="AW41" s="6"/>
      <c r="AX41" s="7">
        <f t="shared" si="38"/>
        <v>0</v>
      </c>
      <c r="AY41" s="11">
        <f t="shared" si="11"/>
        <v>0</v>
      </c>
      <c r="AZ41" s="25"/>
      <c r="BA41" s="10" t="str">
        <f t="shared" si="12"/>
        <v>OutubroSEMANA 5Matte Leão Limão Pet 1,5 Lt</v>
      </c>
      <c r="BB41" s="7">
        <f>SUMIF(NF!$A:$A,$BA41,NF!$I:$I)</f>
        <v>0</v>
      </c>
      <c r="BC41" s="6"/>
      <c r="BD41" s="6"/>
      <c r="BE41" s="6"/>
      <c r="BF41" s="74"/>
      <c r="BG41" s="74"/>
      <c r="BH41" s="74"/>
      <c r="BI41" s="74"/>
      <c r="BJ41" s="74"/>
      <c r="BK41" s="7">
        <f t="shared" si="39"/>
        <v>0</v>
      </c>
      <c r="BL41" s="8">
        <f t="shared" si="14"/>
        <v>0</v>
      </c>
      <c r="BM41" s="51" t="str">
        <f>IFERROR(VLOOKUP(A41,NF!$M:$O,3,0),"")</f>
        <v>Bebidas</v>
      </c>
      <c r="BN41" s="7">
        <f t="shared" si="15"/>
        <v>0</v>
      </c>
      <c r="BO41" s="8">
        <f t="array" ref="BO41">IFERROR(LARGE(IF(NF!$G$2:$G$3137='Mês atual'!A41,NF!$J$2:$J$3137),1),0)*BN41</f>
        <v>0</v>
      </c>
      <c r="BP41" s="50"/>
      <c r="BR41" s="147">
        <f t="array" ref="BR41">IFERROR(LARGE(IF(NF!$G$2:$G$3137='Mês atual'!A41,NF!$J$2:$J$3137),1),0)</f>
        <v>0</v>
      </c>
      <c r="BS41" s="143" t="str">
        <f>VLOOKUP(A41,NF!M:O,3,0)</f>
        <v>Bebidas</v>
      </c>
    </row>
    <row r="42" spans="1:71" x14ac:dyDescent="0.25">
      <c r="A42" s="108" t="s">
        <v>514</v>
      </c>
      <c r="B42" s="12"/>
      <c r="C42" s="9"/>
      <c r="D42" s="25"/>
      <c r="E42" s="10" t="str">
        <f t="shared" si="0"/>
        <v>OutubroSEMANA 1Matte Leão Limão Zero Pet 1,5 Lt</v>
      </c>
      <c r="F42" s="7">
        <f>SUMIF(NF!$A:$A,$E42,NF!$I:$I)</f>
        <v>0</v>
      </c>
      <c r="G42" s="6"/>
      <c r="H42" s="6"/>
      <c r="I42" s="6"/>
      <c r="J42" s="6"/>
      <c r="K42" s="6"/>
      <c r="L42" s="6"/>
      <c r="M42" s="6"/>
      <c r="N42" s="7">
        <f t="shared" si="35"/>
        <v>0</v>
      </c>
      <c r="O42" s="11">
        <f t="shared" si="2"/>
        <v>0</v>
      </c>
      <c r="P42" s="25"/>
      <c r="Q42" s="10" t="str">
        <f t="shared" si="3"/>
        <v>OutubroSEMANA 2Matte Leão Limão Zero Pet 1,5 Lt</v>
      </c>
      <c r="R42" s="7">
        <f>SUMIF(NF!$A:$A,$Q42,NF!$I:$I)</f>
        <v>0</v>
      </c>
      <c r="S42" s="6"/>
      <c r="T42" s="6"/>
      <c r="U42" s="6"/>
      <c r="V42" s="6"/>
      <c r="W42" s="6"/>
      <c r="X42" s="6"/>
      <c r="Y42" s="6"/>
      <c r="Z42" s="7">
        <f t="shared" si="36"/>
        <v>0</v>
      </c>
      <c r="AA42" s="11">
        <f t="shared" si="5"/>
        <v>0</v>
      </c>
      <c r="AB42" s="25"/>
      <c r="AC42" s="10" t="str">
        <f t="shared" si="6"/>
        <v>OutubroSEMANA 3Matte Leão Limão Zero Pet 1,5 Lt</v>
      </c>
      <c r="AD42" s="7">
        <f>SUMIF(NF!$A:$A,$AC42,NF!$I:$I)</f>
        <v>0</v>
      </c>
      <c r="AE42" s="6"/>
      <c r="AF42" s="6"/>
      <c r="AG42" s="6"/>
      <c r="AH42" s="6"/>
      <c r="AI42" s="6"/>
      <c r="AJ42" s="6"/>
      <c r="AK42" s="6"/>
      <c r="AL42" s="7">
        <f t="shared" si="37"/>
        <v>0</v>
      </c>
      <c r="AM42" s="11">
        <f t="shared" si="8"/>
        <v>0</v>
      </c>
      <c r="AN42" s="25"/>
      <c r="AO42" s="10" t="str">
        <f t="shared" si="9"/>
        <v>OutubroSEMANA 4Matte Leão Limão Zero Pet 1,5 Lt</v>
      </c>
      <c r="AP42" s="7">
        <f>SUMIF(NF!$A:$A,$AO42,NF!$I:$I)</f>
        <v>0</v>
      </c>
      <c r="AQ42" s="6"/>
      <c r="AR42" s="6"/>
      <c r="AS42" s="6"/>
      <c r="AT42" s="6"/>
      <c r="AU42" s="6"/>
      <c r="AV42" s="6"/>
      <c r="AW42" s="6"/>
      <c r="AX42" s="7">
        <f t="shared" si="38"/>
        <v>0</v>
      </c>
      <c r="AY42" s="11">
        <f t="shared" si="11"/>
        <v>0</v>
      </c>
      <c r="AZ42" s="25"/>
      <c r="BA42" s="10" t="str">
        <f t="shared" si="12"/>
        <v>OutubroSEMANA 5Matte Leão Limão Zero Pet 1,5 Lt</v>
      </c>
      <c r="BB42" s="7">
        <f>SUMIF(NF!$A:$A,$BA42,NF!$I:$I)</f>
        <v>0</v>
      </c>
      <c r="BC42" s="6"/>
      <c r="BD42" s="6"/>
      <c r="BE42" s="6"/>
      <c r="BF42" s="74"/>
      <c r="BG42" s="74"/>
      <c r="BH42" s="74"/>
      <c r="BI42" s="74"/>
      <c r="BJ42" s="74"/>
      <c r="BK42" s="7">
        <f t="shared" si="39"/>
        <v>0</v>
      </c>
      <c r="BL42" s="8">
        <f t="shared" si="14"/>
        <v>0</v>
      </c>
      <c r="BM42" s="51" t="str">
        <f>IFERROR(VLOOKUP(A42,NF!$M:$O,3,0),"")</f>
        <v>Bebidas</v>
      </c>
      <c r="BN42" s="7">
        <f t="shared" si="15"/>
        <v>0</v>
      </c>
      <c r="BO42" s="8">
        <f t="array" ref="BO42">IFERROR(LARGE(IF(NF!$G$2:$G$3137='Mês atual'!A42,NF!$J$2:$J$3137),1),0)*BN42</f>
        <v>0</v>
      </c>
      <c r="BP42" s="50"/>
      <c r="BR42" s="147">
        <f t="array" ref="BR42">IFERROR(LARGE(IF(NF!$G$2:$G$3137='Mês atual'!A42,NF!$J$2:$J$3137),1),0)</f>
        <v>0</v>
      </c>
      <c r="BS42" s="143" t="str">
        <f>VLOOKUP(A42,NF!M:O,3,0)</f>
        <v>Bebidas</v>
      </c>
    </row>
    <row r="43" spans="1:71" x14ac:dyDescent="0.25">
      <c r="A43" s="108" t="s">
        <v>739</v>
      </c>
      <c r="B43" s="12"/>
      <c r="C43" s="9">
        <f>24+23</f>
        <v>47</v>
      </c>
      <c r="D43" s="25"/>
      <c r="E43" s="10" t="str">
        <f t="shared" si="0"/>
        <v>OutubroSEMANA 1Schweppes Citrus</v>
      </c>
      <c r="F43" s="7">
        <f>SUMIF(NF!$A:$A,$E43,NF!$I:$I)</f>
        <v>12</v>
      </c>
      <c r="G43" s="6">
        <v>1</v>
      </c>
      <c r="H43" s="6"/>
      <c r="I43" s="6">
        <f>1</f>
        <v>1</v>
      </c>
      <c r="J43" s="6">
        <v>4</v>
      </c>
      <c r="K43" s="6">
        <f>3+1</f>
        <v>4</v>
      </c>
      <c r="L43" s="6">
        <v>1</v>
      </c>
      <c r="M43" s="6">
        <f>1+1</f>
        <v>2</v>
      </c>
      <c r="N43" s="7">
        <f t="shared" si="35"/>
        <v>13</v>
      </c>
      <c r="O43" s="11">
        <f t="shared" si="2"/>
        <v>46</v>
      </c>
      <c r="P43" s="25"/>
      <c r="Q43" s="10" t="str">
        <f t="shared" si="3"/>
        <v>OutubroSEMANA 2Schweppes Citrus</v>
      </c>
      <c r="R43" s="7">
        <f>SUMIF(NF!$A:$A,$Q43,NF!$I:$I)</f>
        <v>0</v>
      </c>
      <c r="S43" s="6">
        <f>1+2</f>
        <v>3</v>
      </c>
      <c r="T43" s="6"/>
      <c r="U43" s="6"/>
      <c r="V43" s="6">
        <f>1+1</f>
        <v>2</v>
      </c>
      <c r="W43" s="6">
        <v>2</v>
      </c>
      <c r="X43" s="6">
        <f>2+1</f>
        <v>3</v>
      </c>
      <c r="Y43" s="6">
        <f>2+2</f>
        <v>4</v>
      </c>
      <c r="Z43" s="7">
        <f t="shared" si="36"/>
        <v>14</v>
      </c>
      <c r="AA43" s="11">
        <f t="shared" si="5"/>
        <v>32</v>
      </c>
      <c r="AB43" s="25"/>
      <c r="AC43" s="10" t="str">
        <f t="shared" si="6"/>
        <v>OutubroSEMANA 3Schweppes Citrus</v>
      </c>
      <c r="AD43" s="7">
        <f>SUMIF(NF!$A:$A,$AC43,NF!$I:$I)</f>
        <v>36</v>
      </c>
      <c r="AE43" s="6">
        <f>1+2</f>
        <v>3</v>
      </c>
      <c r="AF43" s="6"/>
      <c r="AG43" s="6"/>
      <c r="AH43" s="6">
        <f>1+1</f>
        <v>2</v>
      </c>
      <c r="AI43" s="6"/>
      <c r="AJ43" s="6"/>
      <c r="AK43" s="6"/>
      <c r="AL43" s="7">
        <f t="shared" si="37"/>
        <v>5</v>
      </c>
      <c r="AM43" s="11">
        <f t="shared" si="8"/>
        <v>63</v>
      </c>
      <c r="AN43" s="25"/>
      <c r="AO43" s="10" t="str">
        <f t="shared" si="9"/>
        <v>OutubroSEMANA 4Schweppes Citrus</v>
      </c>
      <c r="AP43" s="7">
        <f>SUMIF(NF!$A:$A,$AO43,NF!$I:$I)</f>
        <v>0</v>
      </c>
      <c r="AQ43" s="6">
        <f>1</f>
        <v>1</v>
      </c>
      <c r="AR43" s="6"/>
      <c r="AS43" s="6">
        <f>2</f>
        <v>2</v>
      </c>
      <c r="AT43" s="6">
        <f>1</f>
        <v>1</v>
      </c>
      <c r="AU43" s="6"/>
      <c r="AV43" s="6">
        <v>1</v>
      </c>
      <c r="AW43" s="6">
        <f>1</f>
        <v>1</v>
      </c>
      <c r="AX43" s="7">
        <f t="shared" si="38"/>
        <v>6</v>
      </c>
      <c r="AY43" s="11">
        <f t="shared" si="11"/>
        <v>57</v>
      </c>
      <c r="AZ43" s="25"/>
      <c r="BA43" s="10" t="str">
        <f t="shared" si="12"/>
        <v>OutubroSEMANA 5Schweppes Citrus</v>
      </c>
      <c r="BB43" s="7">
        <f>SUMIF(NF!$A:$A,$BA43,NF!$I:$I)</f>
        <v>0</v>
      </c>
      <c r="BC43" s="6">
        <f>1+3</f>
        <v>4</v>
      </c>
      <c r="BD43" s="6">
        <v>3</v>
      </c>
      <c r="BE43" s="6">
        <v>1</v>
      </c>
      <c r="BF43" s="74"/>
      <c r="BG43" s="74"/>
      <c r="BH43" s="74"/>
      <c r="BI43" s="74"/>
      <c r="BJ43" s="74"/>
      <c r="BK43" s="7">
        <f t="shared" si="39"/>
        <v>8</v>
      </c>
      <c r="BL43" s="8">
        <f t="shared" si="14"/>
        <v>49</v>
      </c>
      <c r="BM43" s="51" t="str">
        <f>IFERROR(VLOOKUP(A43,NF!$M:$O,3,0),"")</f>
        <v>Bebidas</v>
      </c>
      <c r="BN43" s="7">
        <f t="shared" si="15"/>
        <v>46</v>
      </c>
      <c r="BO43" s="8">
        <f t="array" ref="BO43">IFERROR(LARGE(IF(NF!$G$2:$G$3137='Mês atual'!A43,NF!$J$2:$J$3137),1),0)*BN43</f>
        <v>133.05500000000001</v>
      </c>
      <c r="BP43" s="50"/>
      <c r="BR43" s="147">
        <f t="array" ref="BR43">IFERROR(LARGE(IF(NF!$G$2:$G$3137='Mês atual'!A43,NF!$J$2:$J$3137),1),0)</f>
        <v>2.8925000000000001</v>
      </c>
      <c r="BS43" s="143" t="str">
        <f>VLOOKUP(A43,NF!M:O,3,0)</f>
        <v>Bebidas</v>
      </c>
    </row>
    <row r="44" spans="1:71" x14ac:dyDescent="0.25">
      <c r="A44" s="108" t="s">
        <v>740</v>
      </c>
      <c r="B44" s="12"/>
      <c r="C44" s="9"/>
      <c r="D44" s="25"/>
      <c r="E44" s="10" t="str">
        <f t="shared" si="0"/>
        <v>OutubroSEMANA 1Schweppes Citrus Light</v>
      </c>
      <c r="F44" s="7">
        <f>SUMIF(NF!$A:$A,$E44,NF!$I:$I)</f>
        <v>0</v>
      </c>
      <c r="G44" s="6"/>
      <c r="H44" s="6"/>
      <c r="I44" s="6"/>
      <c r="J44" s="6"/>
      <c r="K44" s="6"/>
      <c r="L44" s="6"/>
      <c r="M44" s="6"/>
      <c r="N44" s="7">
        <f t="shared" si="35"/>
        <v>0</v>
      </c>
      <c r="O44" s="11">
        <f t="shared" si="2"/>
        <v>0</v>
      </c>
      <c r="P44" s="25"/>
      <c r="Q44" s="10" t="str">
        <f t="shared" si="3"/>
        <v>OutubroSEMANA 2Schweppes Citrus Light</v>
      </c>
      <c r="R44" s="7">
        <f>SUMIF(NF!$A:$A,$Q44,NF!$I:$I)</f>
        <v>0</v>
      </c>
      <c r="S44" s="6"/>
      <c r="T44" s="6"/>
      <c r="U44" s="6"/>
      <c r="V44" s="6"/>
      <c r="W44" s="6"/>
      <c r="X44" s="6"/>
      <c r="Y44" s="6"/>
      <c r="Z44" s="7">
        <f t="shared" si="36"/>
        <v>0</v>
      </c>
      <c r="AA44" s="11">
        <f t="shared" si="5"/>
        <v>0</v>
      </c>
      <c r="AB44" s="25"/>
      <c r="AC44" s="10" t="str">
        <f t="shared" si="6"/>
        <v>OutubroSEMANA 3Schweppes Citrus Light</v>
      </c>
      <c r="AD44" s="7">
        <f>SUMIF(NF!$A:$A,$AC44,NF!$I:$I)</f>
        <v>0</v>
      </c>
      <c r="AE44" s="6"/>
      <c r="AF44" s="6"/>
      <c r="AG44" s="6"/>
      <c r="AH44" s="6"/>
      <c r="AI44" s="6"/>
      <c r="AJ44" s="6"/>
      <c r="AK44" s="6"/>
      <c r="AL44" s="7">
        <f t="shared" si="37"/>
        <v>0</v>
      </c>
      <c r="AM44" s="11">
        <f t="shared" si="8"/>
        <v>0</v>
      </c>
      <c r="AN44" s="25"/>
      <c r="AO44" s="10" t="str">
        <f t="shared" si="9"/>
        <v>OutubroSEMANA 4Schweppes Citrus Light</v>
      </c>
      <c r="AP44" s="7">
        <f>SUMIF(NF!$A:$A,$AO44,NF!$I:$I)</f>
        <v>0</v>
      </c>
      <c r="AQ44" s="6"/>
      <c r="AR44" s="6"/>
      <c r="AS44" s="6"/>
      <c r="AT44" s="6"/>
      <c r="AU44" s="6"/>
      <c r="AV44" s="6"/>
      <c r="AW44" s="6"/>
      <c r="AX44" s="7">
        <f t="shared" si="38"/>
        <v>0</v>
      </c>
      <c r="AY44" s="11">
        <f t="shared" si="11"/>
        <v>0</v>
      </c>
      <c r="AZ44" s="25"/>
      <c r="BA44" s="10" t="str">
        <f t="shared" si="12"/>
        <v>OutubroSEMANA 5Schweppes Citrus Light</v>
      </c>
      <c r="BB44" s="7">
        <f>SUMIF(NF!$A:$A,$BA44,NF!$I:$I)</f>
        <v>0</v>
      </c>
      <c r="BC44" s="6"/>
      <c r="BD44" s="6"/>
      <c r="BE44" s="6"/>
      <c r="BF44" s="74"/>
      <c r="BG44" s="74"/>
      <c r="BH44" s="74"/>
      <c r="BI44" s="74"/>
      <c r="BJ44" s="74"/>
      <c r="BK44" s="7">
        <f t="shared" si="39"/>
        <v>0</v>
      </c>
      <c r="BL44" s="8">
        <f t="shared" si="14"/>
        <v>0</v>
      </c>
      <c r="BM44" s="51" t="str">
        <f>IFERROR(VLOOKUP(A44,NF!$M:$O,3,0),"")</f>
        <v>Bebidas</v>
      </c>
      <c r="BN44" s="7">
        <f t="shared" si="15"/>
        <v>0</v>
      </c>
      <c r="BO44" s="8">
        <f t="array" ref="BO44">IFERROR(LARGE(IF(NF!$G$2:$G$3137='Mês atual'!A44,NF!$J$2:$J$3137),1),0)*BN44</f>
        <v>0</v>
      </c>
      <c r="BP44" s="50"/>
      <c r="BR44" s="147">
        <f t="array" ref="BR44">IFERROR(LARGE(IF(NF!$G$2:$G$3137='Mês atual'!A44,NF!$J$2:$J$3137),1),0)</f>
        <v>0</v>
      </c>
      <c r="BS44" s="143" t="str">
        <f>VLOOKUP(A44,NF!M:O,3,0)</f>
        <v>Bebidas</v>
      </c>
    </row>
    <row r="45" spans="1:71" x14ac:dyDescent="0.25">
      <c r="A45" s="108" t="s">
        <v>746</v>
      </c>
      <c r="B45" s="12"/>
      <c r="C45" s="9"/>
      <c r="D45" s="25"/>
      <c r="E45" s="10" t="str">
        <f t="shared" si="0"/>
        <v>OutubroSEMANA 1Sidra Espumante</v>
      </c>
      <c r="F45" s="7">
        <f>SUMIF(NF!$A:$A,$E45,NF!$I:$I)</f>
        <v>0</v>
      </c>
      <c r="G45" s="6"/>
      <c r="H45" s="6"/>
      <c r="I45" s="6"/>
      <c r="J45" s="6"/>
      <c r="K45" s="6"/>
      <c r="L45" s="6"/>
      <c r="M45" s="6"/>
      <c r="N45" s="7">
        <f t="shared" ref="N45" si="40">SUM(G45:M45)</f>
        <v>0</v>
      </c>
      <c r="O45" s="11">
        <f t="shared" si="2"/>
        <v>0</v>
      </c>
      <c r="P45" s="25"/>
      <c r="Q45" s="10" t="str">
        <f t="shared" si="3"/>
        <v>OutubroSEMANA 2Sidra Espumante</v>
      </c>
      <c r="R45" s="7">
        <f>SUMIF(NF!$A:$A,$Q45,NF!$I:$I)</f>
        <v>0</v>
      </c>
      <c r="S45" s="6"/>
      <c r="T45" s="6"/>
      <c r="U45" s="6"/>
      <c r="V45" s="6"/>
      <c r="W45" s="6"/>
      <c r="X45" s="6"/>
      <c r="Y45" s="6"/>
      <c r="Z45" s="7">
        <f t="shared" ref="Z45" si="41">SUM(S45:Y45)</f>
        <v>0</v>
      </c>
      <c r="AA45" s="11">
        <f t="shared" si="5"/>
        <v>0</v>
      </c>
      <c r="AB45" s="25"/>
      <c r="AC45" s="10" t="str">
        <f t="shared" si="6"/>
        <v>OutubroSEMANA 3Sidra Espumante</v>
      </c>
      <c r="AD45" s="7">
        <f>SUMIF(NF!$A:$A,$AC45,NF!$I:$I)</f>
        <v>0</v>
      </c>
      <c r="AE45" s="6"/>
      <c r="AF45" s="6"/>
      <c r="AG45" s="6"/>
      <c r="AH45" s="6"/>
      <c r="AI45" s="6"/>
      <c r="AJ45" s="6"/>
      <c r="AK45" s="6"/>
      <c r="AL45" s="7">
        <f t="shared" ref="AL45" si="42">SUM(AE45:AK45)</f>
        <v>0</v>
      </c>
      <c r="AM45" s="11">
        <f t="shared" si="8"/>
        <v>0</v>
      </c>
      <c r="AN45" s="25"/>
      <c r="AO45" s="10" t="str">
        <f t="shared" si="9"/>
        <v>OutubroSEMANA 4Sidra Espumante</v>
      </c>
      <c r="AP45" s="7">
        <f>SUMIF(NF!$A:$A,$AO45,NF!$I:$I)</f>
        <v>0</v>
      </c>
      <c r="AQ45" s="6"/>
      <c r="AR45" s="6"/>
      <c r="AS45" s="6"/>
      <c r="AT45" s="6"/>
      <c r="AU45" s="6"/>
      <c r="AV45" s="6"/>
      <c r="AW45" s="6"/>
      <c r="AX45" s="7">
        <f t="shared" ref="AX45" si="43">SUM(AQ45:AW45)</f>
        <v>0</v>
      </c>
      <c r="AY45" s="11">
        <f t="shared" si="11"/>
        <v>0</v>
      </c>
      <c r="AZ45" s="25"/>
      <c r="BA45" s="10" t="str">
        <f t="shared" si="12"/>
        <v>OutubroSEMANA 5Sidra Espumante</v>
      </c>
      <c r="BB45" s="7">
        <f>SUMIF(NF!$A:$A,$BA45,NF!$I:$I)</f>
        <v>0</v>
      </c>
      <c r="BC45" s="6"/>
      <c r="BD45" s="6"/>
      <c r="BE45" s="6"/>
      <c r="BF45" s="74"/>
      <c r="BG45" s="74"/>
      <c r="BH45" s="74"/>
      <c r="BI45" s="74"/>
      <c r="BJ45" s="74"/>
      <c r="BK45" s="7">
        <f t="shared" ref="BK45" si="44">SUM(BC45:BJ45)</f>
        <v>0</v>
      </c>
      <c r="BL45" s="8">
        <f t="shared" si="14"/>
        <v>0</v>
      </c>
      <c r="BM45" s="51" t="str">
        <f>IFERROR(VLOOKUP(A45,NF!$M:$O,3,0),"")</f>
        <v>Bebidas</v>
      </c>
      <c r="BN45" s="7">
        <f t="shared" si="15"/>
        <v>0</v>
      </c>
      <c r="BO45" s="8">
        <f t="array" ref="BO45">IFERROR(LARGE(IF(NF!$G$2:$G$3137='Mês atual'!A45,NF!$J$2:$J$3137),1),0)*BN45</f>
        <v>0</v>
      </c>
      <c r="BP45" s="50"/>
      <c r="BR45" s="147">
        <f t="array" ref="BR45">IFERROR(LARGE(IF(NF!$G$2:$G$3137='Mês atual'!A45,NF!$J$2:$J$3137),1),0)</f>
        <v>0</v>
      </c>
      <c r="BS45" s="143" t="str">
        <f>VLOOKUP(A45,NF!M:O,3,0)</f>
        <v>Bebidas</v>
      </c>
    </row>
    <row r="46" spans="1:71" x14ac:dyDescent="0.25">
      <c r="A46" s="108" t="s">
        <v>940</v>
      </c>
      <c r="B46" s="12"/>
      <c r="C46" s="9"/>
      <c r="D46" s="25"/>
      <c r="E46" s="10" t="str">
        <f t="shared" si="0"/>
        <v>OutubroSEMANA 1Sukita Laranja Pet 2 Lt</v>
      </c>
      <c r="F46" s="7">
        <f>SUMIF(NF!$A:$A,$E46,NF!$I:$I)</f>
        <v>0</v>
      </c>
      <c r="G46" s="6"/>
      <c r="H46" s="6"/>
      <c r="I46" s="6"/>
      <c r="J46" s="6"/>
      <c r="K46" s="6"/>
      <c r="L46" s="6"/>
      <c r="M46" s="6"/>
      <c r="N46" s="7">
        <f t="shared" ref="N46:N71" si="45">SUM(G46:M46)</f>
        <v>0</v>
      </c>
      <c r="O46" s="11">
        <f t="shared" si="2"/>
        <v>0</v>
      </c>
      <c r="P46" s="25"/>
      <c r="Q46" s="10" t="str">
        <f t="shared" si="3"/>
        <v>OutubroSEMANA 2Sukita Laranja Pet 2 Lt</v>
      </c>
      <c r="R46" s="7">
        <f>SUMIF(NF!$A:$A,$Q46,NF!$I:$I)</f>
        <v>0</v>
      </c>
      <c r="S46" s="6"/>
      <c r="T46" s="6"/>
      <c r="U46" s="6"/>
      <c r="V46" s="6"/>
      <c r="W46" s="6"/>
      <c r="X46" s="6"/>
      <c r="Y46" s="6"/>
      <c r="Z46" s="7">
        <f t="shared" ref="Z46:Z70" si="46">SUM(S46:Y46)</f>
        <v>0</v>
      </c>
      <c r="AA46" s="11">
        <f t="shared" si="5"/>
        <v>0</v>
      </c>
      <c r="AB46" s="25"/>
      <c r="AC46" s="10" t="str">
        <f t="shared" si="6"/>
        <v>OutubroSEMANA 3Sukita Laranja Pet 2 Lt</v>
      </c>
      <c r="AD46" s="7">
        <f>SUMIF(NF!$A:$A,$AC46,NF!$I:$I)</f>
        <v>0</v>
      </c>
      <c r="AE46" s="6"/>
      <c r="AF46" s="6"/>
      <c r="AG46" s="6"/>
      <c r="AH46" s="6"/>
      <c r="AI46" s="6"/>
      <c r="AJ46" s="6"/>
      <c r="AK46" s="6"/>
      <c r="AL46" s="7">
        <f t="shared" ref="AL46:AL70" si="47">SUM(AE46:AK46)</f>
        <v>0</v>
      </c>
      <c r="AM46" s="11">
        <f t="shared" si="8"/>
        <v>0</v>
      </c>
      <c r="AN46" s="25"/>
      <c r="AO46" s="10" t="str">
        <f t="shared" si="9"/>
        <v>OutubroSEMANA 4Sukita Laranja Pet 2 Lt</v>
      </c>
      <c r="AP46" s="7">
        <f>SUMIF(NF!$A:$A,$AO46,NF!$I:$I)</f>
        <v>6</v>
      </c>
      <c r="AQ46" s="6"/>
      <c r="AR46" s="6"/>
      <c r="AS46" s="6"/>
      <c r="AT46" s="6"/>
      <c r="AU46" s="6"/>
      <c r="AV46" s="6"/>
      <c r="AW46" s="6"/>
      <c r="AX46" s="7">
        <f t="shared" ref="AX46:AX70" si="48">SUM(AQ46:AW46)</f>
        <v>0</v>
      </c>
      <c r="AY46" s="11">
        <f t="shared" si="11"/>
        <v>6</v>
      </c>
      <c r="AZ46" s="25"/>
      <c r="BA46" s="10" t="str">
        <f t="shared" si="12"/>
        <v>OutubroSEMANA 5Sukita Laranja Pet 2 Lt</v>
      </c>
      <c r="BB46" s="7">
        <f>SUMIF(NF!$A:$A,$BA46,NF!$I:$I)</f>
        <v>0</v>
      </c>
      <c r="BC46" s="6"/>
      <c r="BD46" s="6"/>
      <c r="BE46" s="6"/>
      <c r="BF46" s="74"/>
      <c r="BG46" s="74"/>
      <c r="BH46" s="74"/>
      <c r="BI46" s="74"/>
      <c r="BJ46" s="74"/>
      <c r="BK46" s="7">
        <f t="shared" ref="BK46:BK71" si="49">SUM(BC46:BJ46)</f>
        <v>0</v>
      </c>
      <c r="BL46" s="8">
        <f t="shared" si="14"/>
        <v>6</v>
      </c>
      <c r="BM46" s="51" t="str">
        <f>IFERROR(VLOOKUP(A46,NF!$M:$O,3,0),"")</f>
        <v>Bebidas</v>
      </c>
      <c r="BN46" s="7">
        <f t="shared" si="15"/>
        <v>0</v>
      </c>
      <c r="BO46" s="8">
        <f t="array" ref="BO46">IFERROR(LARGE(IF(NF!$G$2:$G$3137='Mês atual'!A46,NF!$J$2:$J$3137),1),0)*BN46</f>
        <v>0</v>
      </c>
      <c r="BP46" s="50"/>
      <c r="BR46" s="147">
        <f t="array" ref="BR46">IFERROR(LARGE(IF(NF!$G$2:$G$3137='Mês atual'!A46,NF!$J$2:$J$3137),1),0)</f>
        <v>0</v>
      </c>
      <c r="BS46" s="143" t="str">
        <f>VLOOKUP(A46,NF!M:O,3,0)</f>
        <v>Bebidas</v>
      </c>
    </row>
    <row r="47" spans="1:71" x14ac:dyDescent="0.25">
      <c r="A47" s="108" t="s">
        <v>844</v>
      </c>
      <c r="B47" s="12"/>
      <c r="C47" s="9">
        <f>6+5</f>
        <v>11</v>
      </c>
      <c r="D47" s="25"/>
      <c r="E47" s="10" t="str">
        <f t="shared" si="0"/>
        <v>OutubroSEMANA 1Vinho  Espumante Veuve Du Vernay 187 ml</v>
      </c>
      <c r="F47" s="7">
        <f>SUMIF(NF!$A:$A,$E47,NF!$I:$I)</f>
        <v>0</v>
      </c>
      <c r="G47" s="6">
        <v>1</v>
      </c>
      <c r="H47" s="6"/>
      <c r="I47" s="6"/>
      <c r="J47" s="6"/>
      <c r="K47" s="6"/>
      <c r="L47" s="6"/>
      <c r="M47" s="6"/>
      <c r="N47" s="7">
        <f t="shared" si="45"/>
        <v>1</v>
      </c>
      <c r="O47" s="11">
        <f t="shared" si="2"/>
        <v>10</v>
      </c>
      <c r="P47" s="25"/>
      <c r="Q47" s="10" t="str">
        <f t="shared" si="3"/>
        <v>OutubroSEMANA 2Vinho  Espumante Veuve Du Vernay 187 ml</v>
      </c>
      <c r="R47" s="7">
        <f>SUMIF(NF!$A:$A,$Q47,NF!$I:$I)</f>
        <v>0</v>
      </c>
      <c r="S47" s="6">
        <v>1</v>
      </c>
      <c r="T47" s="6"/>
      <c r="U47" s="6"/>
      <c r="V47" s="6"/>
      <c r="W47" s="6">
        <v>1</v>
      </c>
      <c r="X47" s="6"/>
      <c r="Y47" s="6"/>
      <c r="Z47" s="7">
        <f t="shared" si="46"/>
        <v>2</v>
      </c>
      <c r="AA47" s="11">
        <f t="shared" si="5"/>
        <v>8</v>
      </c>
      <c r="AB47" s="25"/>
      <c r="AC47" s="10" t="str">
        <f t="shared" si="6"/>
        <v>OutubroSEMANA 3Vinho  Espumante Veuve Du Vernay 187 ml</v>
      </c>
      <c r="AD47" s="7">
        <f>SUMIF(NF!$A:$A,$AC47,NF!$I:$I)</f>
        <v>12</v>
      </c>
      <c r="AE47" s="6"/>
      <c r="AF47" s="6"/>
      <c r="AG47" s="6"/>
      <c r="AH47" s="6"/>
      <c r="AI47" s="6"/>
      <c r="AJ47" s="6"/>
      <c r="AK47" s="6"/>
      <c r="AL47" s="7">
        <f t="shared" si="47"/>
        <v>0</v>
      </c>
      <c r="AM47" s="11">
        <f t="shared" si="8"/>
        <v>20</v>
      </c>
      <c r="AN47" s="25"/>
      <c r="AO47" s="10" t="str">
        <f t="shared" si="9"/>
        <v>OutubroSEMANA 4Vinho  Espumante Veuve Du Vernay 187 ml</v>
      </c>
      <c r="AP47" s="7">
        <f>SUMIF(NF!$A:$A,$AO47,NF!$I:$I)</f>
        <v>0</v>
      </c>
      <c r="AQ47" s="6"/>
      <c r="AR47" s="6"/>
      <c r="AS47" s="6"/>
      <c r="AT47" s="6"/>
      <c r="AU47" s="6"/>
      <c r="AV47" s="6"/>
      <c r="AW47" s="6"/>
      <c r="AX47" s="7">
        <f t="shared" si="48"/>
        <v>0</v>
      </c>
      <c r="AY47" s="11">
        <f t="shared" si="11"/>
        <v>20</v>
      </c>
      <c r="AZ47" s="25"/>
      <c r="BA47" s="10" t="str">
        <f t="shared" si="12"/>
        <v>OutubroSEMANA 5Vinho  Espumante Veuve Du Vernay 187 ml</v>
      </c>
      <c r="BB47" s="7">
        <f>SUMIF(NF!$A:$A,$BA47,NF!$I:$I)</f>
        <v>0</v>
      </c>
      <c r="BC47" s="6"/>
      <c r="BD47" s="6"/>
      <c r="BE47" s="6"/>
      <c r="BF47" s="74"/>
      <c r="BG47" s="74"/>
      <c r="BH47" s="74"/>
      <c r="BI47" s="74"/>
      <c r="BJ47" s="74"/>
      <c r="BK47" s="7">
        <f t="shared" si="49"/>
        <v>0</v>
      </c>
      <c r="BL47" s="8">
        <f t="shared" si="14"/>
        <v>20</v>
      </c>
      <c r="BM47" s="51" t="str">
        <f>IFERROR(VLOOKUP(A47,NF!$M:$O,3,0),"")</f>
        <v>Bebidas</v>
      </c>
      <c r="BN47" s="7">
        <f t="shared" si="15"/>
        <v>3</v>
      </c>
      <c r="BO47" s="8">
        <f t="array" ref="BO47">IFERROR(LARGE(IF(NF!$G$2:$G$3137='Mês atual'!A47,NF!$J$2:$J$3137),1),0)*BN47</f>
        <v>42.24</v>
      </c>
      <c r="BP47" s="50"/>
      <c r="BR47" s="147">
        <f t="array" ref="BR47">IFERROR(LARGE(IF(NF!$G$2:$G$3137='Mês atual'!A47,NF!$J$2:$J$3137),1),0)</f>
        <v>14.08</v>
      </c>
      <c r="BS47" s="143" t="str">
        <f>VLOOKUP(A47,NF!M:O,3,0)</f>
        <v>Bebidas</v>
      </c>
    </row>
    <row r="48" spans="1:71" x14ac:dyDescent="0.25">
      <c r="A48" s="108" t="s">
        <v>845</v>
      </c>
      <c r="B48" s="12"/>
      <c r="C48" s="9">
        <v>6</v>
      </c>
      <c r="D48" s="25"/>
      <c r="E48" s="10" t="str">
        <f t="shared" si="0"/>
        <v>OutubroSEMANA 1Vinho Alfredo Roca Malbec 375 ml</v>
      </c>
      <c r="F48" s="7">
        <f>SUMIF(NF!$A:$A,$E48,NF!$I:$I)</f>
        <v>0</v>
      </c>
      <c r="G48" s="6"/>
      <c r="H48" s="6"/>
      <c r="I48" s="6"/>
      <c r="J48" s="6"/>
      <c r="K48" s="6"/>
      <c r="L48" s="6"/>
      <c r="M48" s="6"/>
      <c r="N48" s="7">
        <f t="shared" si="45"/>
        <v>0</v>
      </c>
      <c r="O48" s="11">
        <f t="shared" si="2"/>
        <v>6</v>
      </c>
      <c r="P48" s="25"/>
      <c r="Q48" s="10" t="str">
        <f t="shared" si="3"/>
        <v>OutubroSEMANA 2Vinho Alfredo Roca Malbec 375 ml</v>
      </c>
      <c r="R48" s="7">
        <f>SUMIF(NF!$A:$A,$Q48,NF!$I:$I)</f>
        <v>0</v>
      </c>
      <c r="S48" s="6">
        <f>1</f>
        <v>1</v>
      </c>
      <c r="T48" s="6"/>
      <c r="U48" s="6">
        <v>1</v>
      </c>
      <c r="V48" s="6"/>
      <c r="W48" s="6"/>
      <c r="X48" s="6"/>
      <c r="Y48" s="6"/>
      <c r="Z48" s="7">
        <f t="shared" si="46"/>
        <v>2</v>
      </c>
      <c r="AA48" s="11">
        <f t="shared" si="5"/>
        <v>4</v>
      </c>
      <c r="AB48" s="25"/>
      <c r="AC48" s="10" t="str">
        <f t="shared" si="6"/>
        <v>OutubroSEMANA 3Vinho Alfredo Roca Malbec 375 ml</v>
      </c>
      <c r="AD48" s="7">
        <f>SUMIF(NF!$A:$A,$AC48,NF!$I:$I)</f>
        <v>12</v>
      </c>
      <c r="AE48" s="6">
        <v>1</v>
      </c>
      <c r="AF48" s="6"/>
      <c r="AG48" s="6"/>
      <c r="AH48" s="6"/>
      <c r="AI48" s="6"/>
      <c r="AJ48" s="6"/>
      <c r="AK48" s="6"/>
      <c r="AL48" s="7">
        <f t="shared" si="47"/>
        <v>1</v>
      </c>
      <c r="AM48" s="11">
        <f t="shared" si="8"/>
        <v>15</v>
      </c>
      <c r="AN48" s="25"/>
      <c r="AO48" s="10" t="str">
        <f t="shared" si="9"/>
        <v>OutubroSEMANA 4Vinho Alfredo Roca Malbec 375 ml</v>
      </c>
      <c r="AP48" s="7">
        <f>SUMIF(NF!$A:$A,$AO48,NF!$I:$I)</f>
        <v>0</v>
      </c>
      <c r="AQ48" s="6"/>
      <c r="AR48" s="6"/>
      <c r="AS48" s="6"/>
      <c r="AT48" s="6"/>
      <c r="AU48" s="6"/>
      <c r="AV48" s="6"/>
      <c r="AW48" s="6"/>
      <c r="AX48" s="7">
        <f t="shared" si="48"/>
        <v>0</v>
      </c>
      <c r="AY48" s="11">
        <f t="shared" si="11"/>
        <v>15</v>
      </c>
      <c r="AZ48" s="25"/>
      <c r="BA48" s="10" t="str">
        <f t="shared" si="12"/>
        <v>OutubroSEMANA 5Vinho Alfredo Roca Malbec 375 ml</v>
      </c>
      <c r="BB48" s="7">
        <f>SUMIF(NF!$A:$A,$BA48,NF!$I:$I)</f>
        <v>0</v>
      </c>
      <c r="BC48" s="6"/>
      <c r="BD48" s="6"/>
      <c r="BE48" s="6"/>
      <c r="BF48" s="74"/>
      <c r="BG48" s="74"/>
      <c r="BH48" s="74"/>
      <c r="BI48" s="74"/>
      <c r="BJ48" s="74"/>
      <c r="BK48" s="7">
        <f t="shared" si="49"/>
        <v>0</v>
      </c>
      <c r="BL48" s="8">
        <f t="shared" si="14"/>
        <v>15</v>
      </c>
      <c r="BM48" s="51" t="str">
        <f>IFERROR(VLOOKUP(A48,NF!$M:$O,3,0),"")</f>
        <v>Bebidas</v>
      </c>
      <c r="BN48" s="7">
        <f t="shared" si="15"/>
        <v>3</v>
      </c>
      <c r="BO48" s="8">
        <f t="array" ref="BO48">IFERROR(LARGE(IF(NF!$G$2:$G$3137='Mês atual'!A48,NF!$J$2:$J$3137),1),0)*BN48</f>
        <v>70.974999999999994</v>
      </c>
      <c r="BP48" s="50"/>
      <c r="BR48" s="147">
        <f t="array" ref="BR48">IFERROR(LARGE(IF(NF!$G$2:$G$3137='Mês atual'!A48,NF!$J$2:$J$3137),1),0)</f>
        <v>23.658333333333331</v>
      </c>
      <c r="BS48" s="143" t="str">
        <f>VLOOKUP(A48,NF!M:O,3,0)</f>
        <v>Bebidas</v>
      </c>
    </row>
    <row r="49" spans="1:71" x14ac:dyDescent="0.25">
      <c r="A49" s="108" t="s">
        <v>846</v>
      </c>
      <c r="B49" s="12"/>
      <c r="C49" s="9"/>
      <c r="D49" s="25"/>
      <c r="E49" s="10" t="str">
        <f t="shared" si="0"/>
        <v>OutubroSEMANA 1Vinho Arg. Nieto Reserva Cab Sal 750ml</v>
      </c>
      <c r="F49" s="7">
        <f>SUMIF(NF!$A:$A,$E49,NF!$I:$I)</f>
        <v>0</v>
      </c>
      <c r="G49" s="6"/>
      <c r="H49" s="6"/>
      <c r="I49" s="6"/>
      <c r="J49" s="6"/>
      <c r="K49" s="6"/>
      <c r="L49" s="6"/>
      <c r="M49" s="6"/>
      <c r="N49" s="7">
        <f t="shared" si="45"/>
        <v>0</v>
      </c>
      <c r="O49" s="11">
        <f t="shared" si="2"/>
        <v>0</v>
      </c>
      <c r="P49" s="25"/>
      <c r="Q49" s="10" t="str">
        <f t="shared" si="3"/>
        <v>OutubroSEMANA 2Vinho Arg. Nieto Reserva Cab Sal 750ml</v>
      </c>
      <c r="R49" s="7">
        <f>SUMIF(NF!$A:$A,$Q49,NF!$I:$I)</f>
        <v>0</v>
      </c>
      <c r="S49" s="6"/>
      <c r="T49" s="6"/>
      <c r="U49" s="6"/>
      <c r="V49" s="6"/>
      <c r="W49" s="6"/>
      <c r="X49" s="6"/>
      <c r="Y49" s="6"/>
      <c r="Z49" s="7">
        <f t="shared" si="46"/>
        <v>0</v>
      </c>
      <c r="AA49" s="11">
        <f t="shared" si="5"/>
        <v>0</v>
      </c>
      <c r="AB49" s="25"/>
      <c r="AC49" s="10" t="str">
        <f t="shared" si="6"/>
        <v>OutubroSEMANA 3Vinho Arg. Nieto Reserva Cab Sal 750ml</v>
      </c>
      <c r="AD49" s="7">
        <f>SUMIF(NF!$A:$A,$AC49,NF!$I:$I)</f>
        <v>0</v>
      </c>
      <c r="AE49" s="6"/>
      <c r="AF49" s="6"/>
      <c r="AG49" s="6"/>
      <c r="AH49" s="6"/>
      <c r="AI49" s="6"/>
      <c r="AJ49" s="6"/>
      <c r="AK49" s="6"/>
      <c r="AL49" s="7">
        <f t="shared" si="47"/>
        <v>0</v>
      </c>
      <c r="AM49" s="11">
        <f t="shared" si="8"/>
        <v>0</v>
      </c>
      <c r="AN49" s="25"/>
      <c r="AO49" s="10" t="str">
        <f t="shared" si="9"/>
        <v>OutubroSEMANA 4Vinho Arg. Nieto Reserva Cab Sal 750ml</v>
      </c>
      <c r="AP49" s="7">
        <f>SUMIF(NF!$A:$A,$AO49,NF!$I:$I)</f>
        <v>0</v>
      </c>
      <c r="AQ49" s="6"/>
      <c r="AR49" s="6"/>
      <c r="AS49" s="6"/>
      <c r="AT49" s="6"/>
      <c r="AU49" s="6"/>
      <c r="AV49" s="6"/>
      <c r="AW49" s="6"/>
      <c r="AX49" s="7">
        <f t="shared" si="48"/>
        <v>0</v>
      </c>
      <c r="AY49" s="11">
        <f t="shared" si="11"/>
        <v>0</v>
      </c>
      <c r="AZ49" s="25"/>
      <c r="BA49" s="10" t="str">
        <f t="shared" si="12"/>
        <v>OutubroSEMANA 5Vinho Arg. Nieto Reserva Cab Sal 750ml</v>
      </c>
      <c r="BB49" s="7">
        <f>SUMIF(NF!$A:$A,$BA49,NF!$I:$I)</f>
        <v>0</v>
      </c>
      <c r="BC49" s="6"/>
      <c r="BD49" s="6"/>
      <c r="BE49" s="6"/>
      <c r="BF49" s="74"/>
      <c r="BG49" s="74"/>
      <c r="BH49" s="74"/>
      <c r="BI49" s="74"/>
      <c r="BJ49" s="74"/>
      <c r="BK49" s="7">
        <f t="shared" si="49"/>
        <v>0</v>
      </c>
      <c r="BL49" s="8">
        <f t="shared" si="14"/>
        <v>0</v>
      </c>
      <c r="BM49" s="51" t="str">
        <f>IFERROR(VLOOKUP(A49,NF!$M:$O,3,0),"")</f>
        <v>Bebidas</v>
      </c>
      <c r="BN49" s="7">
        <f t="shared" si="15"/>
        <v>0</v>
      </c>
      <c r="BO49" s="8">
        <f t="array" ref="BO49">IFERROR(LARGE(IF(NF!$G$2:$G$3137='Mês atual'!A49,NF!$J$2:$J$3137),1),0)*BN49</f>
        <v>0</v>
      </c>
      <c r="BP49" s="50"/>
      <c r="BR49" s="147">
        <f t="array" ref="BR49">IFERROR(LARGE(IF(NF!$G$2:$G$3137='Mês atual'!A49,NF!$J$2:$J$3137),1),0)</f>
        <v>0</v>
      </c>
      <c r="BS49" s="143" t="str">
        <f>VLOOKUP(A49,NF!M:O,3,0)</f>
        <v>Bebidas</v>
      </c>
    </row>
    <row r="50" spans="1:71" x14ac:dyDescent="0.25">
      <c r="A50" s="108" t="s">
        <v>847</v>
      </c>
      <c r="B50" s="12"/>
      <c r="C50" s="9">
        <f>2+5</f>
        <v>7</v>
      </c>
      <c r="D50" s="25"/>
      <c r="E50" s="10" t="str">
        <f t="shared" si="0"/>
        <v>OutubroSEMANA 1Vinho Benjamin Cab. Sauvignon 750 ml</v>
      </c>
      <c r="F50" s="7">
        <f>SUMIF(NF!$A:$A,$E50,NF!$I:$I)</f>
        <v>0</v>
      </c>
      <c r="G50" s="6"/>
      <c r="H50" s="6"/>
      <c r="I50" s="6"/>
      <c r="J50" s="6"/>
      <c r="K50" s="6"/>
      <c r="L50" s="6"/>
      <c r="M50" s="6"/>
      <c r="N50" s="7">
        <f t="shared" si="45"/>
        <v>0</v>
      </c>
      <c r="O50" s="11">
        <f t="shared" si="2"/>
        <v>7</v>
      </c>
      <c r="P50" s="25"/>
      <c r="Q50" s="10" t="str">
        <f t="shared" si="3"/>
        <v>OutubroSEMANA 2Vinho Benjamin Cab. Sauvignon 750 ml</v>
      </c>
      <c r="R50" s="7">
        <f>SUMIF(NF!$A:$A,$Q50,NF!$I:$I)</f>
        <v>0</v>
      </c>
      <c r="S50" s="6"/>
      <c r="T50" s="6"/>
      <c r="U50" s="6"/>
      <c r="V50" s="6"/>
      <c r="W50" s="6"/>
      <c r="X50" s="6"/>
      <c r="Y50" s="6"/>
      <c r="Z50" s="7">
        <f t="shared" si="46"/>
        <v>0</v>
      </c>
      <c r="AA50" s="11">
        <f t="shared" si="5"/>
        <v>7</v>
      </c>
      <c r="AB50" s="25"/>
      <c r="AC50" s="10" t="str">
        <f t="shared" si="6"/>
        <v>OutubroSEMANA 3Vinho Benjamin Cab. Sauvignon 750 ml</v>
      </c>
      <c r="AD50" s="7">
        <f>SUMIF(NF!$A:$A,$AC50,NF!$I:$I)</f>
        <v>0</v>
      </c>
      <c r="AE50" s="6"/>
      <c r="AF50" s="6"/>
      <c r="AG50" s="6"/>
      <c r="AH50" s="6"/>
      <c r="AI50" s="6"/>
      <c r="AJ50" s="6"/>
      <c r="AK50" s="6"/>
      <c r="AL50" s="7">
        <f t="shared" si="47"/>
        <v>0</v>
      </c>
      <c r="AM50" s="11">
        <f t="shared" si="8"/>
        <v>7</v>
      </c>
      <c r="AN50" s="25"/>
      <c r="AO50" s="10" t="str">
        <f t="shared" si="9"/>
        <v>OutubroSEMANA 4Vinho Benjamin Cab. Sauvignon 750 ml</v>
      </c>
      <c r="AP50" s="7">
        <f>SUMIF(NF!$A:$A,$AO50,NF!$I:$I)</f>
        <v>0</v>
      </c>
      <c r="AQ50" s="6"/>
      <c r="AR50" s="6"/>
      <c r="AS50" s="6"/>
      <c r="AT50" s="6"/>
      <c r="AU50" s="6"/>
      <c r="AV50" s="6"/>
      <c r="AW50" s="6"/>
      <c r="AX50" s="7">
        <f t="shared" si="48"/>
        <v>0</v>
      </c>
      <c r="AY50" s="11">
        <f t="shared" si="11"/>
        <v>7</v>
      </c>
      <c r="AZ50" s="25"/>
      <c r="BA50" s="10" t="str">
        <f t="shared" si="12"/>
        <v>OutubroSEMANA 5Vinho Benjamin Cab. Sauvignon 750 ml</v>
      </c>
      <c r="BB50" s="7">
        <f>SUMIF(NF!$A:$A,$BA50,NF!$I:$I)</f>
        <v>0</v>
      </c>
      <c r="BC50" s="6"/>
      <c r="BD50" s="6"/>
      <c r="BE50" s="6"/>
      <c r="BF50" s="74"/>
      <c r="BG50" s="74"/>
      <c r="BH50" s="74"/>
      <c r="BI50" s="74"/>
      <c r="BJ50" s="74"/>
      <c r="BK50" s="7">
        <f t="shared" si="49"/>
        <v>0</v>
      </c>
      <c r="BL50" s="8">
        <f t="shared" si="14"/>
        <v>7</v>
      </c>
      <c r="BM50" s="51" t="str">
        <f>IFERROR(VLOOKUP(A50,NF!$M:$O,3,0),"")</f>
        <v>Bebidas</v>
      </c>
      <c r="BN50" s="7">
        <f t="shared" si="15"/>
        <v>0</v>
      </c>
      <c r="BO50" s="8">
        <f t="array" ref="BO50">IFERROR(LARGE(IF(NF!$G$2:$G$3137='Mês atual'!A50,NF!$J$2:$J$3137),1),0)*BN50</f>
        <v>0</v>
      </c>
      <c r="BP50" s="50"/>
      <c r="BR50" s="147">
        <f t="array" ref="BR50">IFERROR(LARGE(IF(NF!$G$2:$G$3137='Mês atual'!A50,NF!$J$2:$J$3137),1),0)</f>
        <v>0</v>
      </c>
      <c r="BS50" s="143" t="str">
        <f>VLOOKUP(A50,NF!M:O,3,0)</f>
        <v>Bebidas</v>
      </c>
    </row>
    <row r="51" spans="1:71" x14ac:dyDescent="0.25">
      <c r="A51" s="108" t="s">
        <v>848</v>
      </c>
      <c r="B51" s="12"/>
      <c r="C51" s="9">
        <v>1</v>
      </c>
      <c r="D51" s="25"/>
      <c r="E51" s="10" t="str">
        <f t="shared" si="0"/>
        <v>OutubroSEMANA 1Vinho Benjamin Chardonnay 750 ml</v>
      </c>
      <c r="F51" s="7">
        <f>SUMIF(NF!$A:$A,$E51,NF!$I:$I)</f>
        <v>0</v>
      </c>
      <c r="G51" s="6"/>
      <c r="H51" s="6"/>
      <c r="I51" s="6"/>
      <c r="J51" s="6"/>
      <c r="K51" s="6"/>
      <c r="L51" s="6"/>
      <c r="M51" s="6"/>
      <c r="N51" s="7">
        <f t="shared" si="45"/>
        <v>0</v>
      </c>
      <c r="O51" s="11">
        <f t="shared" si="2"/>
        <v>1</v>
      </c>
      <c r="P51" s="25"/>
      <c r="Q51" s="10" t="str">
        <f t="shared" si="3"/>
        <v>OutubroSEMANA 2Vinho Benjamin Chardonnay 750 ml</v>
      </c>
      <c r="R51" s="7">
        <f>SUMIF(NF!$A:$A,$Q51,NF!$I:$I)</f>
        <v>0</v>
      </c>
      <c r="S51" s="6"/>
      <c r="T51" s="6"/>
      <c r="U51" s="6"/>
      <c r="V51" s="6"/>
      <c r="W51" s="6"/>
      <c r="X51" s="6"/>
      <c r="Y51" s="6"/>
      <c r="Z51" s="7">
        <f t="shared" si="46"/>
        <v>0</v>
      </c>
      <c r="AA51" s="11">
        <f t="shared" si="5"/>
        <v>1</v>
      </c>
      <c r="AB51" s="25"/>
      <c r="AC51" s="10" t="str">
        <f t="shared" si="6"/>
        <v>OutubroSEMANA 3Vinho Benjamin Chardonnay 750 ml</v>
      </c>
      <c r="AD51" s="7">
        <f>SUMIF(NF!$A:$A,$AC51,NF!$I:$I)</f>
        <v>6</v>
      </c>
      <c r="AE51" s="6"/>
      <c r="AF51" s="6"/>
      <c r="AG51" s="6"/>
      <c r="AH51" s="6"/>
      <c r="AI51" s="6"/>
      <c r="AJ51" s="6"/>
      <c r="AK51" s="6"/>
      <c r="AL51" s="7">
        <f t="shared" si="47"/>
        <v>0</v>
      </c>
      <c r="AM51" s="11">
        <f t="shared" si="8"/>
        <v>7</v>
      </c>
      <c r="AN51" s="25"/>
      <c r="AO51" s="10" t="str">
        <f t="shared" si="9"/>
        <v>OutubroSEMANA 4Vinho Benjamin Chardonnay 750 ml</v>
      </c>
      <c r="AP51" s="7">
        <f>SUMIF(NF!$A:$A,$AO51,NF!$I:$I)</f>
        <v>0</v>
      </c>
      <c r="AQ51" s="6"/>
      <c r="AR51" s="6"/>
      <c r="AS51" s="6"/>
      <c r="AT51" s="6"/>
      <c r="AU51" s="6"/>
      <c r="AV51" s="6"/>
      <c r="AW51" s="6"/>
      <c r="AX51" s="7">
        <f t="shared" si="48"/>
        <v>0</v>
      </c>
      <c r="AY51" s="11">
        <f t="shared" si="11"/>
        <v>7</v>
      </c>
      <c r="AZ51" s="25"/>
      <c r="BA51" s="10" t="str">
        <f t="shared" si="12"/>
        <v>OutubroSEMANA 5Vinho Benjamin Chardonnay 750 ml</v>
      </c>
      <c r="BB51" s="7">
        <f>SUMIF(NF!$A:$A,$BA51,NF!$I:$I)</f>
        <v>0</v>
      </c>
      <c r="BC51" s="6"/>
      <c r="BD51" s="6"/>
      <c r="BE51" s="6"/>
      <c r="BF51" s="74"/>
      <c r="BG51" s="74"/>
      <c r="BH51" s="74"/>
      <c r="BI51" s="74"/>
      <c r="BJ51" s="74"/>
      <c r="BK51" s="7">
        <f t="shared" si="49"/>
        <v>0</v>
      </c>
      <c r="BL51" s="8">
        <f t="shared" si="14"/>
        <v>7</v>
      </c>
      <c r="BM51" s="51" t="str">
        <f>IFERROR(VLOOKUP(A51,NF!$M:$O,3,0),"")</f>
        <v>Bebidas</v>
      </c>
      <c r="BN51" s="7">
        <f t="shared" si="15"/>
        <v>0</v>
      </c>
      <c r="BO51" s="8">
        <f t="array" ref="BO51">IFERROR(LARGE(IF(NF!$G$2:$G$3137='Mês atual'!A51,NF!$J$2:$J$3137),1),0)*BN51</f>
        <v>0</v>
      </c>
      <c r="BP51" s="50"/>
      <c r="BR51" s="147">
        <f t="array" ref="BR51">IFERROR(LARGE(IF(NF!$G$2:$G$3137='Mês atual'!A51,NF!$J$2:$J$3137),1),0)</f>
        <v>25.564999999999998</v>
      </c>
      <c r="BS51" s="143" t="str">
        <f>VLOOKUP(A51,NF!M:O,3,0)</f>
        <v>Bebidas</v>
      </c>
    </row>
    <row r="52" spans="1:71" x14ac:dyDescent="0.25">
      <c r="A52" s="108" t="s">
        <v>849</v>
      </c>
      <c r="B52" s="12"/>
      <c r="C52" s="9"/>
      <c r="D52" s="25"/>
      <c r="E52" s="10" t="str">
        <f t="shared" si="0"/>
        <v>OutubroSEMANA 1Vinho Benjamin Malbec 375 ml</v>
      </c>
      <c r="F52" s="7">
        <f>SUMIF(NF!$A:$A,$E52,NF!$I:$I)</f>
        <v>0</v>
      </c>
      <c r="G52" s="6"/>
      <c r="H52" s="6"/>
      <c r="I52" s="6"/>
      <c r="J52" s="6"/>
      <c r="K52" s="6"/>
      <c r="L52" s="6"/>
      <c r="M52" s="6"/>
      <c r="N52" s="7">
        <f t="shared" si="45"/>
        <v>0</v>
      </c>
      <c r="O52" s="11">
        <f t="shared" si="2"/>
        <v>0</v>
      </c>
      <c r="P52" s="25"/>
      <c r="Q52" s="10" t="str">
        <f t="shared" si="3"/>
        <v>OutubroSEMANA 2Vinho Benjamin Malbec 375 ml</v>
      </c>
      <c r="R52" s="7">
        <f>SUMIF(NF!$A:$A,$Q52,NF!$I:$I)</f>
        <v>0</v>
      </c>
      <c r="S52" s="6"/>
      <c r="T52" s="6"/>
      <c r="U52" s="6"/>
      <c r="V52" s="6"/>
      <c r="W52" s="6"/>
      <c r="X52" s="6"/>
      <c r="Y52" s="6"/>
      <c r="Z52" s="7">
        <f t="shared" si="46"/>
        <v>0</v>
      </c>
      <c r="AA52" s="11">
        <f t="shared" si="5"/>
        <v>0</v>
      </c>
      <c r="AB52" s="25"/>
      <c r="AC52" s="10" t="str">
        <f t="shared" si="6"/>
        <v>OutubroSEMANA 3Vinho Benjamin Malbec 375 ml</v>
      </c>
      <c r="AD52" s="7">
        <f>SUMIF(NF!$A:$A,$AC52,NF!$I:$I)</f>
        <v>12</v>
      </c>
      <c r="AE52" s="6"/>
      <c r="AF52" s="6"/>
      <c r="AG52" s="6"/>
      <c r="AH52" s="6"/>
      <c r="AI52" s="6"/>
      <c r="AJ52" s="6"/>
      <c r="AK52" s="6"/>
      <c r="AL52" s="7">
        <f t="shared" si="47"/>
        <v>0</v>
      </c>
      <c r="AM52" s="11">
        <f t="shared" si="8"/>
        <v>12</v>
      </c>
      <c r="AN52" s="25"/>
      <c r="AO52" s="10" t="str">
        <f t="shared" si="9"/>
        <v>OutubroSEMANA 4Vinho Benjamin Malbec 375 ml</v>
      </c>
      <c r="AP52" s="7">
        <f>SUMIF(NF!$A:$A,$AO52,NF!$I:$I)</f>
        <v>0</v>
      </c>
      <c r="AQ52" s="6"/>
      <c r="AR52" s="6"/>
      <c r="AS52" s="6"/>
      <c r="AT52" s="6"/>
      <c r="AU52" s="6"/>
      <c r="AV52" s="6"/>
      <c r="AW52" s="6"/>
      <c r="AX52" s="7">
        <f t="shared" si="48"/>
        <v>0</v>
      </c>
      <c r="AY52" s="11">
        <f t="shared" si="11"/>
        <v>12</v>
      </c>
      <c r="AZ52" s="25"/>
      <c r="BA52" s="10" t="str">
        <f t="shared" si="12"/>
        <v>OutubroSEMANA 5Vinho Benjamin Malbec 375 ml</v>
      </c>
      <c r="BB52" s="7">
        <f>SUMIF(NF!$A:$A,$BA52,NF!$I:$I)</f>
        <v>0</v>
      </c>
      <c r="BC52" s="6">
        <v>1</v>
      </c>
      <c r="BD52" s="6"/>
      <c r="BE52" s="6"/>
      <c r="BF52" s="74"/>
      <c r="BG52" s="74"/>
      <c r="BH52" s="74"/>
      <c r="BI52" s="74"/>
      <c r="BJ52" s="74"/>
      <c r="BK52" s="7">
        <f t="shared" si="49"/>
        <v>1</v>
      </c>
      <c r="BL52" s="8">
        <f t="shared" si="14"/>
        <v>11</v>
      </c>
      <c r="BM52" s="51" t="str">
        <f>IFERROR(VLOOKUP(A52,NF!$M:$O,3,0),"")</f>
        <v>Bebidas</v>
      </c>
      <c r="BN52" s="7">
        <f t="shared" si="15"/>
        <v>1</v>
      </c>
      <c r="BO52" s="8">
        <f t="array" ref="BO52">IFERROR(LARGE(IF(NF!$G$2:$G$3137='Mês atual'!A52,NF!$J$2:$J$3137),1),0)*BN52</f>
        <v>15.637500000000001</v>
      </c>
      <c r="BP52" s="50"/>
      <c r="BR52" s="147">
        <f t="array" ref="BR52">IFERROR(LARGE(IF(NF!$G$2:$G$3137='Mês atual'!A52,NF!$J$2:$J$3137),1),0)</f>
        <v>15.637500000000001</v>
      </c>
      <c r="BS52" s="143" t="str">
        <f>VLOOKUP(A52,NF!M:O,3,0)</f>
        <v>Bebidas</v>
      </c>
    </row>
    <row r="53" spans="1:71" x14ac:dyDescent="0.25">
      <c r="A53" s="108" t="s">
        <v>850</v>
      </c>
      <c r="B53" s="12"/>
      <c r="C53" s="9">
        <f>13+5</f>
        <v>18</v>
      </c>
      <c r="D53" s="25"/>
      <c r="E53" s="10" t="str">
        <f t="shared" si="0"/>
        <v>OutubroSEMANA 1Vinho Benjamin Malbec 750 ml</v>
      </c>
      <c r="F53" s="7">
        <f>SUMIF(NF!$A:$A,$E53,NF!$I:$I)</f>
        <v>0</v>
      </c>
      <c r="G53" s="6"/>
      <c r="H53" s="6"/>
      <c r="I53" s="6"/>
      <c r="J53" s="6"/>
      <c r="K53" s="6"/>
      <c r="L53" s="6">
        <v>1</v>
      </c>
      <c r="M53" s="6"/>
      <c r="N53" s="7">
        <f t="shared" si="45"/>
        <v>1</v>
      </c>
      <c r="O53" s="11">
        <f t="shared" si="2"/>
        <v>17</v>
      </c>
      <c r="P53" s="25"/>
      <c r="Q53" s="10" t="str">
        <f t="shared" si="3"/>
        <v>OutubroSEMANA 2Vinho Benjamin Malbec 750 ml</v>
      </c>
      <c r="R53" s="7">
        <f>SUMIF(NF!$A:$A,$Q53,NF!$I:$I)</f>
        <v>0</v>
      </c>
      <c r="S53" s="6"/>
      <c r="T53" s="6"/>
      <c r="U53" s="6"/>
      <c r="V53" s="6"/>
      <c r="W53" s="6"/>
      <c r="X53" s="6"/>
      <c r="Y53" s="6"/>
      <c r="Z53" s="7">
        <f t="shared" si="46"/>
        <v>0</v>
      </c>
      <c r="AA53" s="11">
        <f t="shared" si="5"/>
        <v>17</v>
      </c>
      <c r="AB53" s="25"/>
      <c r="AC53" s="10" t="str">
        <f t="shared" si="6"/>
        <v>OutubroSEMANA 3Vinho Benjamin Malbec 750 ml</v>
      </c>
      <c r="AD53" s="7">
        <f>SUMIF(NF!$A:$A,$AC53,NF!$I:$I)</f>
        <v>0</v>
      </c>
      <c r="AE53" s="6">
        <v>1</v>
      </c>
      <c r="AF53" s="6">
        <v>1</v>
      </c>
      <c r="AG53" s="6"/>
      <c r="AH53" s="6"/>
      <c r="AI53" s="6"/>
      <c r="AJ53" s="6"/>
      <c r="AK53" s="6"/>
      <c r="AL53" s="7">
        <f t="shared" si="47"/>
        <v>2</v>
      </c>
      <c r="AM53" s="11">
        <f t="shared" si="8"/>
        <v>15</v>
      </c>
      <c r="AN53" s="25"/>
      <c r="AO53" s="10" t="str">
        <f t="shared" si="9"/>
        <v>OutubroSEMANA 4Vinho Benjamin Malbec 750 ml</v>
      </c>
      <c r="AP53" s="7">
        <f>SUMIF(NF!$A:$A,$AO53,NF!$I:$I)</f>
        <v>0</v>
      </c>
      <c r="AQ53" s="6">
        <v>1</v>
      </c>
      <c r="AR53" s="6"/>
      <c r="AS53" s="6"/>
      <c r="AT53" s="6"/>
      <c r="AU53" s="6"/>
      <c r="AV53" s="6">
        <v>1</v>
      </c>
      <c r="AW53" s="6"/>
      <c r="AX53" s="7">
        <f t="shared" si="48"/>
        <v>2</v>
      </c>
      <c r="AY53" s="11">
        <f t="shared" si="11"/>
        <v>13</v>
      </c>
      <c r="AZ53" s="25"/>
      <c r="BA53" s="10" t="str">
        <f t="shared" si="12"/>
        <v>OutubroSEMANA 5Vinho Benjamin Malbec 750 ml</v>
      </c>
      <c r="BB53" s="7">
        <f>SUMIF(NF!$A:$A,$BA53,NF!$I:$I)</f>
        <v>0</v>
      </c>
      <c r="BC53" s="6"/>
      <c r="BD53" s="6"/>
      <c r="BE53" s="6">
        <v>1</v>
      </c>
      <c r="BF53" s="74"/>
      <c r="BG53" s="74"/>
      <c r="BH53" s="74"/>
      <c r="BI53" s="74"/>
      <c r="BJ53" s="74"/>
      <c r="BK53" s="7">
        <f t="shared" si="49"/>
        <v>1</v>
      </c>
      <c r="BL53" s="8">
        <f t="shared" si="14"/>
        <v>12</v>
      </c>
      <c r="BM53" s="51" t="str">
        <f>IFERROR(VLOOKUP(A53,NF!$M:$O,3,0),"")</f>
        <v>Bebidas</v>
      </c>
      <c r="BN53" s="7">
        <f t="shared" si="15"/>
        <v>6</v>
      </c>
      <c r="BO53" s="8">
        <f t="array" ref="BO53">IFERROR(LARGE(IF(NF!$G$2:$G$3137='Mês atual'!A53,NF!$J$2:$J$3137),1),0)*BN53</f>
        <v>0</v>
      </c>
      <c r="BP53" s="50"/>
      <c r="BR53" s="147">
        <f t="array" ref="BR53">IFERROR(LARGE(IF(NF!$G$2:$G$3137='Mês atual'!A53,NF!$J$2:$J$3137),1),0)</f>
        <v>0</v>
      </c>
      <c r="BS53" s="143" t="str">
        <f>VLOOKUP(A53,NF!M:O,3,0)</f>
        <v>Bebidas</v>
      </c>
    </row>
    <row r="54" spans="1:71" x14ac:dyDescent="0.25">
      <c r="A54" s="108" t="s">
        <v>852</v>
      </c>
      <c r="B54" s="12"/>
      <c r="C54" s="9"/>
      <c r="D54" s="25"/>
      <c r="E54" s="10" t="str">
        <f t="shared" si="0"/>
        <v>OutubroSEMANA 1Vinho Cassal Del Ronco - Prosseco</v>
      </c>
      <c r="F54" s="7">
        <f>SUMIF(NF!$A:$A,$E54,NF!$I:$I)</f>
        <v>0</v>
      </c>
      <c r="G54" s="6"/>
      <c r="H54" s="6"/>
      <c r="I54" s="6"/>
      <c r="J54" s="6"/>
      <c r="K54" s="6"/>
      <c r="L54" s="6"/>
      <c r="M54" s="6"/>
      <c r="N54" s="7">
        <f t="shared" si="45"/>
        <v>0</v>
      </c>
      <c r="O54" s="11">
        <f t="shared" si="2"/>
        <v>0</v>
      </c>
      <c r="P54" s="25"/>
      <c r="Q54" s="10" t="str">
        <f t="shared" si="3"/>
        <v>OutubroSEMANA 2Vinho Cassal Del Ronco - Prosseco</v>
      </c>
      <c r="R54" s="7">
        <f>SUMIF(NF!$A:$A,$Q54,NF!$I:$I)</f>
        <v>0</v>
      </c>
      <c r="S54" s="6"/>
      <c r="T54" s="6"/>
      <c r="U54" s="6"/>
      <c r="V54" s="6"/>
      <c r="W54" s="6"/>
      <c r="X54" s="6"/>
      <c r="Y54" s="6"/>
      <c r="Z54" s="7">
        <f t="shared" si="46"/>
        <v>0</v>
      </c>
      <c r="AA54" s="11">
        <f t="shared" si="5"/>
        <v>0</v>
      </c>
      <c r="AB54" s="25"/>
      <c r="AC54" s="10" t="str">
        <f t="shared" si="6"/>
        <v>OutubroSEMANA 3Vinho Cassal Del Ronco - Prosseco</v>
      </c>
      <c r="AD54" s="7">
        <f>SUMIF(NF!$A:$A,$AC54,NF!$I:$I)</f>
        <v>0</v>
      </c>
      <c r="AE54" s="6"/>
      <c r="AF54" s="6"/>
      <c r="AG54" s="6"/>
      <c r="AH54" s="6"/>
      <c r="AI54" s="6"/>
      <c r="AJ54" s="6"/>
      <c r="AK54" s="6"/>
      <c r="AL54" s="7">
        <f t="shared" si="47"/>
        <v>0</v>
      </c>
      <c r="AM54" s="11">
        <f t="shared" si="8"/>
        <v>0</v>
      </c>
      <c r="AN54" s="25"/>
      <c r="AO54" s="10" t="str">
        <f t="shared" si="9"/>
        <v>OutubroSEMANA 4Vinho Cassal Del Ronco - Prosseco</v>
      </c>
      <c r="AP54" s="7">
        <f>SUMIF(NF!$A:$A,$AO54,NF!$I:$I)</f>
        <v>0</v>
      </c>
      <c r="AQ54" s="6"/>
      <c r="AR54" s="6"/>
      <c r="AS54" s="6"/>
      <c r="AT54" s="6"/>
      <c r="AU54" s="6"/>
      <c r="AV54" s="6"/>
      <c r="AW54" s="6"/>
      <c r="AX54" s="7">
        <f t="shared" si="48"/>
        <v>0</v>
      </c>
      <c r="AY54" s="11">
        <f t="shared" si="11"/>
        <v>0</v>
      </c>
      <c r="AZ54" s="25"/>
      <c r="BA54" s="10" t="str">
        <f t="shared" si="12"/>
        <v>OutubroSEMANA 5Vinho Cassal Del Ronco - Prosseco</v>
      </c>
      <c r="BB54" s="7">
        <f>SUMIF(NF!$A:$A,$BA54,NF!$I:$I)</f>
        <v>0</v>
      </c>
      <c r="BC54" s="6"/>
      <c r="BD54" s="6"/>
      <c r="BE54" s="6"/>
      <c r="BF54" s="74"/>
      <c r="BG54" s="74"/>
      <c r="BH54" s="74"/>
      <c r="BI54" s="74"/>
      <c r="BJ54" s="74"/>
      <c r="BK54" s="7">
        <f t="shared" si="49"/>
        <v>0</v>
      </c>
      <c r="BL54" s="8">
        <f t="shared" si="14"/>
        <v>0</v>
      </c>
      <c r="BM54" s="51" t="str">
        <f>IFERROR(VLOOKUP(A54,NF!$M:$O,3,0),"")</f>
        <v>Bebidas</v>
      </c>
      <c r="BN54" s="7">
        <f t="shared" si="15"/>
        <v>0</v>
      </c>
      <c r="BO54" s="8">
        <f t="array" ref="BO54">IFERROR(LARGE(IF(NF!$G$2:$G$3137='Mês atual'!A54,NF!$J$2:$J$3137),1),0)*BN54</f>
        <v>0</v>
      </c>
      <c r="BP54" s="50"/>
      <c r="BR54" s="147">
        <f t="array" ref="BR54">IFERROR(LARGE(IF(NF!$G$2:$G$3137='Mês atual'!A54,NF!$J$2:$J$3137),1),0)</f>
        <v>0</v>
      </c>
      <c r="BS54" s="143" t="str">
        <f>VLOOKUP(A54,NF!M:O,3,0)</f>
        <v>Bebidas</v>
      </c>
    </row>
    <row r="55" spans="1:71" x14ac:dyDescent="0.25">
      <c r="A55" s="108" t="s">
        <v>853</v>
      </c>
      <c r="B55" s="12"/>
      <c r="C55" s="9"/>
      <c r="D55" s="25"/>
      <c r="E55" s="10" t="str">
        <f t="shared" si="0"/>
        <v>OutubroSEMANA 1Vinho Cefiro Cab. Sauvignon 187 ml</v>
      </c>
      <c r="F55" s="7">
        <f>SUMIF(NF!$A:$A,$E55,NF!$I:$I)</f>
        <v>0</v>
      </c>
      <c r="G55" s="6"/>
      <c r="H55" s="6"/>
      <c r="I55" s="6"/>
      <c r="J55" s="6"/>
      <c r="K55" s="6"/>
      <c r="L55" s="6"/>
      <c r="M55" s="6"/>
      <c r="N55" s="7">
        <f t="shared" si="45"/>
        <v>0</v>
      </c>
      <c r="O55" s="11">
        <f t="shared" si="2"/>
        <v>0</v>
      </c>
      <c r="P55" s="25"/>
      <c r="Q55" s="10" t="str">
        <f t="shared" si="3"/>
        <v>OutubroSEMANA 2Vinho Cefiro Cab. Sauvignon 187 ml</v>
      </c>
      <c r="R55" s="7">
        <f>SUMIF(NF!$A:$A,$Q55,NF!$I:$I)</f>
        <v>0</v>
      </c>
      <c r="S55" s="6"/>
      <c r="T55" s="6"/>
      <c r="U55" s="6"/>
      <c r="V55" s="6"/>
      <c r="W55" s="6"/>
      <c r="X55" s="6"/>
      <c r="Y55" s="6"/>
      <c r="Z55" s="7">
        <f t="shared" si="46"/>
        <v>0</v>
      </c>
      <c r="AA55" s="11">
        <f t="shared" si="5"/>
        <v>0</v>
      </c>
      <c r="AB55" s="25"/>
      <c r="AC55" s="10" t="str">
        <f t="shared" si="6"/>
        <v>OutubroSEMANA 3Vinho Cefiro Cab. Sauvignon 187 ml</v>
      </c>
      <c r="AD55" s="7">
        <f>SUMIF(NF!$A:$A,$AC55,NF!$I:$I)</f>
        <v>0</v>
      </c>
      <c r="AE55" s="6"/>
      <c r="AF55" s="6"/>
      <c r="AG55" s="6"/>
      <c r="AH55" s="6"/>
      <c r="AI55" s="6"/>
      <c r="AJ55" s="6"/>
      <c r="AK55" s="6"/>
      <c r="AL55" s="7">
        <f t="shared" si="47"/>
        <v>0</v>
      </c>
      <c r="AM55" s="11">
        <f t="shared" si="8"/>
        <v>0</v>
      </c>
      <c r="AN55" s="25"/>
      <c r="AO55" s="10" t="str">
        <f t="shared" si="9"/>
        <v>OutubroSEMANA 4Vinho Cefiro Cab. Sauvignon 187 ml</v>
      </c>
      <c r="AP55" s="7">
        <f>SUMIF(NF!$A:$A,$AO55,NF!$I:$I)</f>
        <v>0</v>
      </c>
      <c r="AQ55" s="6"/>
      <c r="AR55" s="6"/>
      <c r="AS55" s="6"/>
      <c r="AT55" s="6"/>
      <c r="AU55" s="6"/>
      <c r="AV55" s="6"/>
      <c r="AW55" s="6"/>
      <c r="AX55" s="7">
        <f t="shared" si="48"/>
        <v>0</v>
      </c>
      <c r="AY55" s="11">
        <f t="shared" si="11"/>
        <v>0</v>
      </c>
      <c r="AZ55" s="25"/>
      <c r="BA55" s="10" t="str">
        <f t="shared" si="12"/>
        <v>OutubroSEMANA 5Vinho Cefiro Cab. Sauvignon 187 ml</v>
      </c>
      <c r="BB55" s="7">
        <f>SUMIF(NF!$A:$A,$BA55,NF!$I:$I)</f>
        <v>0</v>
      </c>
      <c r="BC55" s="6"/>
      <c r="BD55" s="6"/>
      <c r="BE55" s="6"/>
      <c r="BF55" s="74"/>
      <c r="BG55" s="74"/>
      <c r="BH55" s="74"/>
      <c r="BI55" s="74"/>
      <c r="BJ55" s="74"/>
      <c r="BK55" s="7">
        <f t="shared" si="49"/>
        <v>0</v>
      </c>
      <c r="BL55" s="8">
        <f t="shared" si="14"/>
        <v>0</v>
      </c>
      <c r="BM55" s="51" t="str">
        <f>IFERROR(VLOOKUP(A55,NF!$M:$O,3,0),"")</f>
        <v>Bebidas</v>
      </c>
      <c r="BN55" s="7">
        <f t="shared" si="15"/>
        <v>0</v>
      </c>
      <c r="BO55" s="8">
        <f t="array" ref="BO55">IFERROR(LARGE(IF(NF!$G$2:$G$3137='Mês atual'!A55,NF!$J$2:$J$3137),1),0)*BN55</f>
        <v>0</v>
      </c>
      <c r="BP55" s="50"/>
      <c r="BR55" s="147">
        <f t="array" ref="BR55">IFERROR(LARGE(IF(NF!$G$2:$G$3137='Mês atual'!A55,NF!$J$2:$J$3137),1),0)</f>
        <v>0</v>
      </c>
      <c r="BS55" s="143" t="str">
        <f>VLOOKUP(A55,NF!M:O,3,0)</f>
        <v>Bebidas</v>
      </c>
    </row>
    <row r="56" spans="1:71" x14ac:dyDescent="0.25">
      <c r="A56" s="108" t="s">
        <v>854</v>
      </c>
      <c r="B56" s="12"/>
      <c r="C56" s="9"/>
      <c r="D56" s="25"/>
      <c r="E56" s="10" t="str">
        <f t="shared" si="0"/>
        <v>OutubroSEMANA 1Vinho Cefiro Cab. Sauvignon 375 ml</v>
      </c>
      <c r="F56" s="7">
        <f>SUMIF(NF!$A:$A,$E56,NF!$I:$I)</f>
        <v>0</v>
      </c>
      <c r="G56" s="6"/>
      <c r="H56" s="6"/>
      <c r="I56" s="6"/>
      <c r="J56" s="6"/>
      <c r="K56" s="6"/>
      <c r="L56" s="6"/>
      <c r="M56" s="6"/>
      <c r="N56" s="7">
        <f t="shared" si="45"/>
        <v>0</v>
      </c>
      <c r="O56" s="11">
        <f t="shared" si="2"/>
        <v>0</v>
      </c>
      <c r="P56" s="25"/>
      <c r="Q56" s="10" t="str">
        <f t="shared" si="3"/>
        <v>OutubroSEMANA 2Vinho Cefiro Cab. Sauvignon 375 ml</v>
      </c>
      <c r="R56" s="7">
        <f>SUMIF(NF!$A:$A,$Q56,NF!$I:$I)</f>
        <v>0</v>
      </c>
      <c r="S56" s="6"/>
      <c r="T56" s="6"/>
      <c r="U56" s="6"/>
      <c r="V56" s="6"/>
      <c r="W56" s="6"/>
      <c r="X56" s="6"/>
      <c r="Y56" s="6"/>
      <c r="Z56" s="7">
        <f t="shared" si="46"/>
        <v>0</v>
      </c>
      <c r="AA56" s="11">
        <f t="shared" si="5"/>
        <v>0</v>
      </c>
      <c r="AB56" s="25"/>
      <c r="AC56" s="10" t="str">
        <f t="shared" si="6"/>
        <v>OutubroSEMANA 3Vinho Cefiro Cab. Sauvignon 375 ml</v>
      </c>
      <c r="AD56" s="7">
        <f>SUMIF(NF!$A:$A,$AC56,NF!$I:$I)</f>
        <v>12</v>
      </c>
      <c r="AE56" s="6"/>
      <c r="AF56" s="6"/>
      <c r="AG56" s="6"/>
      <c r="AH56" s="6"/>
      <c r="AI56" s="6"/>
      <c r="AJ56" s="6"/>
      <c r="AK56" s="6"/>
      <c r="AL56" s="7">
        <f t="shared" si="47"/>
        <v>0</v>
      </c>
      <c r="AM56" s="11">
        <f t="shared" si="8"/>
        <v>12</v>
      </c>
      <c r="AN56" s="25"/>
      <c r="AO56" s="10" t="str">
        <f t="shared" si="9"/>
        <v>OutubroSEMANA 4Vinho Cefiro Cab. Sauvignon 375 ml</v>
      </c>
      <c r="AP56" s="7">
        <f>SUMIF(NF!$A:$A,$AO56,NF!$I:$I)</f>
        <v>0</v>
      </c>
      <c r="AQ56" s="6"/>
      <c r="AR56" s="6"/>
      <c r="AS56" s="6"/>
      <c r="AT56" s="6"/>
      <c r="AU56" s="6"/>
      <c r="AV56" s="6"/>
      <c r="AW56" s="6"/>
      <c r="AX56" s="7">
        <f t="shared" si="48"/>
        <v>0</v>
      </c>
      <c r="AY56" s="11">
        <f t="shared" si="11"/>
        <v>12</v>
      </c>
      <c r="AZ56" s="25"/>
      <c r="BA56" s="10" t="str">
        <f t="shared" si="12"/>
        <v>OutubroSEMANA 5Vinho Cefiro Cab. Sauvignon 375 ml</v>
      </c>
      <c r="BB56" s="7">
        <f>SUMIF(NF!$A:$A,$BA56,NF!$I:$I)</f>
        <v>0</v>
      </c>
      <c r="BC56" s="6">
        <f>1</f>
        <v>1</v>
      </c>
      <c r="BD56" s="6"/>
      <c r="BE56" s="6"/>
      <c r="BF56" s="74"/>
      <c r="BG56" s="74"/>
      <c r="BH56" s="74"/>
      <c r="BI56" s="74"/>
      <c r="BJ56" s="74"/>
      <c r="BK56" s="7">
        <f t="shared" si="49"/>
        <v>1</v>
      </c>
      <c r="BL56" s="8">
        <f t="shared" si="14"/>
        <v>11</v>
      </c>
      <c r="BM56" s="51" t="str">
        <f>IFERROR(VLOOKUP(A56,NF!$M:$O,3,0),"")</f>
        <v>Bebidas</v>
      </c>
      <c r="BN56" s="7">
        <f t="shared" si="15"/>
        <v>1</v>
      </c>
      <c r="BO56" s="8">
        <f t="array" ref="BO56">IFERROR(LARGE(IF(NF!$G$2:$G$3137='Mês atual'!A56,NF!$J$2:$J$3137),1),0)*BN56</f>
        <v>26.906666666666666</v>
      </c>
      <c r="BP56" s="50"/>
      <c r="BR56" s="147">
        <f t="array" ref="BR56">IFERROR(LARGE(IF(NF!$G$2:$G$3137='Mês atual'!A56,NF!$J$2:$J$3137),1),0)</f>
        <v>26.906666666666666</v>
      </c>
      <c r="BS56" s="143" t="str">
        <f>VLOOKUP(A56,NF!M:O,3,0)</f>
        <v>Bebidas</v>
      </c>
    </row>
    <row r="57" spans="1:71" x14ac:dyDescent="0.25">
      <c r="A57" s="108" t="s">
        <v>855</v>
      </c>
      <c r="B57" s="12"/>
      <c r="C57" s="9">
        <v>3</v>
      </c>
      <c r="D57" s="25"/>
      <c r="E57" s="10" t="str">
        <f t="shared" si="0"/>
        <v>OutubroSEMANA 1Vinho Cefiro Cab. Sauvignon 750 ml</v>
      </c>
      <c r="F57" s="7">
        <f>SUMIF(NF!$A:$A,$E57,NF!$I:$I)</f>
        <v>0</v>
      </c>
      <c r="G57" s="6"/>
      <c r="H57" s="6"/>
      <c r="I57" s="6"/>
      <c r="J57" s="6"/>
      <c r="K57" s="6"/>
      <c r="L57" s="6"/>
      <c r="M57" s="6"/>
      <c r="N57" s="7">
        <f t="shared" si="45"/>
        <v>0</v>
      </c>
      <c r="O57" s="11">
        <f t="shared" si="2"/>
        <v>3</v>
      </c>
      <c r="P57" s="25"/>
      <c r="Q57" s="10" t="str">
        <f t="shared" si="3"/>
        <v>OutubroSEMANA 2Vinho Cefiro Cab. Sauvignon 750 ml</v>
      </c>
      <c r="R57" s="7">
        <f>SUMIF(NF!$A:$A,$Q57,NF!$I:$I)</f>
        <v>0</v>
      </c>
      <c r="S57" s="6"/>
      <c r="T57" s="6"/>
      <c r="U57" s="6"/>
      <c r="V57" s="6"/>
      <c r="W57" s="6"/>
      <c r="X57" s="6"/>
      <c r="Y57" s="6"/>
      <c r="Z57" s="7">
        <f t="shared" si="46"/>
        <v>0</v>
      </c>
      <c r="AA57" s="11">
        <f t="shared" si="5"/>
        <v>3</v>
      </c>
      <c r="AB57" s="25"/>
      <c r="AC57" s="10" t="str">
        <f t="shared" si="6"/>
        <v>OutubroSEMANA 3Vinho Cefiro Cab. Sauvignon 750 ml</v>
      </c>
      <c r="AD57" s="7">
        <f>SUMIF(NF!$A:$A,$AC57,NF!$I:$I)</f>
        <v>0</v>
      </c>
      <c r="AE57" s="6"/>
      <c r="AF57" s="6"/>
      <c r="AG57" s="6"/>
      <c r="AH57" s="6"/>
      <c r="AI57" s="6"/>
      <c r="AJ57" s="6"/>
      <c r="AK57" s="6"/>
      <c r="AL57" s="7">
        <f t="shared" si="47"/>
        <v>0</v>
      </c>
      <c r="AM57" s="11">
        <f t="shared" si="8"/>
        <v>3</v>
      </c>
      <c r="AN57" s="25"/>
      <c r="AO57" s="10" t="str">
        <f t="shared" si="9"/>
        <v>OutubroSEMANA 4Vinho Cefiro Cab. Sauvignon 750 ml</v>
      </c>
      <c r="AP57" s="7">
        <f>SUMIF(NF!$A:$A,$AO57,NF!$I:$I)</f>
        <v>0</v>
      </c>
      <c r="AQ57" s="6"/>
      <c r="AR57" s="6"/>
      <c r="AS57" s="6"/>
      <c r="AT57" s="6"/>
      <c r="AU57" s="6"/>
      <c r="AV57" s="6"/>
      <c r="AW57" s="6"/>
      <c r="AX57" s="7">
        <f t="shared" si="48"/>
        <v>0</v>
      </c>
      <c r="AY57" s="11">
        <f t="shared" si="11"/>
        <v>3</v>
      </c>
      <c r="AZ57" s="25"/>
      <c r="BA57" s="10" t="str">
        <f t="shared" si="12"/>
        <v>OutubroSEMANA 5Vinho Cefiro Cab. Sauvignon 750 ml</v>
      </c>
      <c r="BB57" s="7">
        <f>SUMIF(NF!$A:$A,$BA57,NF!$I:$I)</f>
        <v>0</v>
      </c>
      <c r="BC57" s="6"/>
      <c r="BD57" s="6"/>
      <c r="BE57" s="6"/>
      <c r="BF57" s="74"/>
      <c r="BG57" s="74"/>
      <c r="BH57" s="74"/>
      <c r="BI57" s="74"/>
      <c r="BJ57" s="74"/>
      <c r="BK57" s="7">
        <f t="shared" si="49"/>
        <v>0</v>
      </c>
      <c r="BL57" s="8">
        <f t="shared" si="14"/>
        <v>3</v>
      </c>
      <c r="BM57" s="51" t="str">
        <f>IFERROR(VLOOKUP(A57,NF!$M:$O,3,0),"")</f>
        <v>Bebidas</v>
      </c>
      <c r="BN57" s="7">
        <f t="shared" si="15"/>
        <v>0</v>
      </c>
      <c r="BO57" s="8">
        <f t="array" ref="BO57">IFERROR(LARGE(IF(NF!$G$2:$G$3137='Mês atual'!A57,NF!$J$2:$J$3137),1),0)*BN57</f>
        <v>0</v>
      </c>
      <c r="BP57" s="50"/>
      <c r="BR57" s="147">
        <f t="array" ref="BR57">IFERROR(LARGE(IF(NF!$G$2:$G$3137='Mês atual'!A57,NF!$J$2:$J$3137),1),0)</f>
        <v>0</v>
      </c>
      <c r="BS57" s="143" t="str">
        <f>VLOOKUP(A57,NF!M:O,3,0)</f>
        <v>Bebidas</v>
      </c>
    </row>
    <row r="58" spans="1:71" x14ac:dyDescent="0.25">
      <c r="A58" s="108" t="s">
        <v>856</v>
      </c>
      <c r="B58" s="12"/>
      <c r="C58" s="9"/>
      <c r="D58" s="25"/>
      <c r="E58" s="10" t="str">
        <f t="shared" si="0"/>
        <v>OutubroSEMANA 1Vinho Cefiro Sauv. Blanc 187 ml</v>
      </c>
      <c r="F58" s="7">
        <f>SUMIF(NF!$A:$A,$E58,NF!$I:$I)</f>
        <v>0</v>
      </c>
      <c r="G58" s="6"/>
      <c r="H58" s="6"/>
      <c r="I58" s="6"/>
      <c r="J58" s="6"/>
      <c r="K58" s="6"/>
      <c r="L58" s="6"/>
      <c r="M58" s="6"/>
      <c r="N58" s="7">
        <f t="shared" si="45"/>
        <v>0</v>
      </c>
      <c r="O58" s="11">
        <f t="shared" si="2"/>
        <v>0</v>
      </c>
      <c r="P58" s="25"/>
      <c r="Q58" s="10" t="str">
        <f t="shared" si="3"/>
        <v>OutubroSEMANA 2Vinho Cefiro Sauv. Blanc 187 ml</v>
      </c>
      <c r="R58" s="7">
        <f>SUMIF(NF!$A:$A,$Q58,NF!$I:$I)</f>
        <v>0</v>
      </c>
      <c r="S58" s="6"/>
      <c r="T58" s="6"/>
      <c r="U58" s="6"/>
      <c r="V58" s="6"/>
      <c r="W58" s="6"/>
      <c r="X58" s="6"/>
      <c r="Y58" s="6"/>
      <c r="Z58" s="7">
        <f t="shared" si="46"/>
        <v>0</v>
      </c>
      <c r="AA58" s="11">
        <f t="shared" si="5"/>
        <v>0</v>
      </c>
      <c r="AB58" s="25"/>
      <c r="AC58" s="10" t="str">
        <f t="shared" si="6"/>
        <v>OutubroSEMANA 3Vinho Cefiro Sauv. Blanc 187 ml</v>
      </c>
      <c r="AD58" s="7">
        <f>SUMIF(NF!$A:$A,$AC58,NF!$I:$I)</f>
        <v>0</v>
      </c>
      <c r="AE58" s="6"/>
      <c r="AF58" s="6"/>
      <c r="AG58" s="6"/>
      <c r="AH58" s="6"/>
      <c r="AI58" s="6"/>
      <c r="AJ58" s="6"/>
      <c r="AK58" s="6"/>
      <c r="AL58" s="7">
        <f t="shared" si="47"/>
        <v>0</v>
      </c>
      <c r="AM58" s="11">
        <f t="shared" si="8"/>
        <v>0</v>
      </c>
      <c r="AN58" s="25"/>
      <c r="AO58" s="10" t="str">
        <f t="shared" si="9"/>
        <v>OutubroSEMANA 4Vinho Cefiro Sauv. Blanc 187 ml</v>
      </c>
      <c r="AP58" s="7">
        <f>SUMIF(NF!$A:$A,$AO58,NF!$I:$I)</f>
        <v>0</v>
      </c>
      <c r="AQ58" s="6"/>
      <c r="AR58" s="6"/>
      <c r="AS58" s="6"/>
      <c r="AT58" s="6"/>
      <c r="AU58" s="6"/>
      <c r="AV58" s="6"/>
      <c r="AW58" s="6"/>
      <c r="AX58" s="7">
        <f t="shared" si="48"/>
        <v>0</v>
      </c>
      <c r="AY58" s="11">
        <f t="shared" si="11"/>
        <v>0</v>
      </c>
      <c r="AZ58" s="25"/>
      <c r="BA58" s="10" t="str">
        <f t="shared" si="12"/>
        <v>OutubroSEMANA 5Vinho Cefiro Sauv. Blanc 187 ml</v>
      </c>
      <c r="BB58" s="7">
        <f>SUMIF(NF!$A:$A,$BA58,NF!$I:$I)</f>
        <v>0</v>
      </c>
      <c r="BC58" s="6"/>
      <c r="BD58" s="6"/>
      <c r="BE58" s="6"/>
      <c r="BF58" s="74"/>
      <c r="BG58" s="74"/>
      <c r="BH58" s="74"/>
      <c r="BI58" s="74"/>
      <c r="BJ58" s="74"/>
      <c r="BK58" s="7">
        <f t="shared" si="49"/>
        <v>0</v>
      </c>
      <c r="BL58" s="8">
        <f t="shared" si="14"/>
        <v>0</v>
      </c>
      <c r="BM58" s="51" t="str">
        <f>IFERROR(VLOOKUP(A58,NF!$M:$O,3,0),"")</f>
        <v>Bebidas</v>
      </c>
      <c r="BN58" s="7">
        <f t="shared" si="15"/>
        <v>0</v>
      </c>
      <c r="BO58" s="8">
        <f t="array" ref="BO58">IFERROR(LARGE(IF(NF!$G$2:$G$3137='Mês atual'!A58,NF!$J$2:$J$3137),1),0)*BN58</f>
        <v>0</v>
      </c>
      <c r="BP58" s="50"/>
      <c r="BR58" s="147">
        <f t="array" ref="BR58">IFERROR(LARGE(IF(NF!$G$2:$G$3137='Mês atual'!A58,NF!$J$2:$J$3137),1),0)</f>
        <v>0</v>
      </c>
      <c r="BS58" s="143" t="str">
        <f>VLOOKUP(A58,NF!M:O,3,0)</f>
        <v>Bebidas</v>
      </c>
    </row>
    <row r="59" spans="1:71" x14ac:dyDescent="0.25">
      <c r="A59" s="108" t="s">
        <v>857</v>
      </c>
      <c r="B59" s="12"/>
      <c r="C59" s="9">
        <v>2</v>
      </c>
      <c r="D59" s="25"/>
      <c r="E59" s="10" t="str">
        <f t="shared" si="0"/>
        <v>OutubroSEMANA 1Vinho Cefiro Sauv. Blanc 750 ml</v>
      </c>
      <c r="F59" s="7">
        <f>SUMIF(NF!$A:$A,$E59,NF!$I:$I)</f>
        <v>0</v>
      </c>
      <c r="G59" s="6"/>
      <c r="H59" s="6"/>
      <c r="I59" s="6"/>
      <c r="J59" s="6"/>
      <c r="K59" s="6"/>
      <c r="L59" s="6"/>
      <c r="M59" s="6"/>
      <c r="N59" s="7">
        <f t="shared" si="45"/>
        <v>0</v>
      </c>
      <c r="O59" s="11">
        <f t="shared" si="2"/>
        <v>2</v>
      </c>
      <c r="P59" s="25"/>
      <c r="Q59" s="10" t="str">
        <f t="shared" si="3"/>
        <v>OutubroSEMANA 2Vinho Cefiro Sauv. Blanc 750 ml</v>
      </c>
      <c r="R59" s="7">
        <f>SUMIF(NF!$A:$A,$Q59,NF!$I:$I)</f>
        <v>0</v>
      </c>
      <c r="S59" s="6">
        <v>1</v>
      </c>
      <c r="T59" s="6"/>
      <c r="U59" s="6"/>
      <c r="V59" s="6"/>
      <c r="W59" s="6"/>
      <c r="X59" s="6"/>
      <c r="Y59" s="6"/>
      <c r="Z59" s="7">
        <f t="shared" si="46"/>
        <v>1</v>
      </c>
      <c r="AA59" s="11">
        <f t="shared" si="5"/>
        <v>1</v>
      </c>
      <c r="AB59" s="25"/>
      <c r="AC59" s="10" t="str">
        <f t="shared" si="6"/>
        <v>OutubroSEMANA 3Vinho Cefiro Sauv. Blanc 750 ml</v>
      </c>
      <c r="AD59" s="7">
        <f>SUMIF(NF!$A:$A,$AC59,NF!$I:$I)</f>
        <v>4</v>
      </c>
      <c r="AE59" s="6"/>
      <c r="AF59" s="6"/>
      <c r="AG59" s="6"/>
      <c r="AH59" s="6"/>
      <c r="AI59" s="6"/>
      <c r="AJ59" s="6"/>
      <c r="AK59" s="6"/>
      <c r="AL59" s="7">
        <f t="shared" si="47"/>
        <v>0</v>
      </c>
      <c r="AM59" s="11">
        <f t="shared" si="8"/>
        <v>5</v>
      </c>
      <c r="AN59" s="25"/>
      <c r="AO59" s="10" t="str">
        <f t="shared" si="9"/>
        <v>OutubroSEMANA 4Vinho Cefiro Sauv. Blanc 750 ml</v>
      </c>
      <c r="AP59" s="7">
        <f>SUMIF(NF!$A:$A,$AO59,NF!$I:$I)</f>
        <v>0</v>
      </c>
      <c r="AQ59" s="6"/>
      <c r="AR59" s="6"/>
      <c r="AS59" s="6"/>
      <c r="AT59" s="6"/>
      <c r="AU59" s="6"/>
      <c r="AV59" s="6"/>
      <c r="AW59" s="6"/>
      <c r="AX59" s="7">
        <f t="shared" si="48"/>
        <v>0</v>
      </c>
      <c r="AY59" s="11">
        <f t="shared" si="11"/>
        <v>5</v>
      </c>
      <c r="AZ59" s="25"/>
      <c r="BA59" s="10" t="str">
        <f t="shared" si="12"/>
        <v>OutubroSEMANA 5Vinho Cefiro Sauv. Blanc 750 ml</v>
      </c>
      <c r="BB59" s="7">
        <f>SUMIF(NF!$A:$A,$BA59,NF!$I:$I)</f>
        <v>0</v>
      </c>
      <c r="BC59" s="6"/>
      <c r="BD59" s="6"/>
      <c r="BE59" s="6"/>
      <c r="BF59" s="74"/>
      <c r="BG59" s="74"/>
      <c r="BH59" s="74"/>
      <c r="BI59" s="74"/>
      <c r="BJ59" s="74"/>
      <c r="BK59" s="7">
        <f t="shared" si="49"/>
        <v>0</v>
      </c>
      <c r="BL59" s="8">
        <f t="shared" si="14"/>
        <v>5</v>
      </c>
      <c r="BM59" s="51" t="str">
        <f>IFERROR(VLOOKUP(A59,NF!$M:$O,3,0),"")</f>
        <v>Bebidas</v>
      </c>
      <c r="BN59" s="7">
        <f t="shared" si="15"/>
        <v>1</v>
      </c>
      <c r="BO59" s="8">
        <f t="array" ref="BO59">IFERROR(LARGE(IF(NF!$G$2:$G$3137='Mês atual'!A59,NF!$J$2:$J$3137),1),0)*BN59</f>
        <v>44.542499999999997</v>
      </c>
      <c r="BP59" s="50"/>
      <c r="BR59" s="147">
        <f t="array" ref="BR59">IFERROR(LARGE(IF(NF!$G$2:$G$3137='Mês atual'!A59,NF!$J$2:$J$3137),1),0)</f>
        <v>44.542499999999997</v>
      </c>
      <c r="BS59" s="143" t="str">
        <f>VLOOKUP(A59,NF!M:O,3,0)</f>
        <v>Bebidas</v>
      </c>
    </row>
    <row r="60" spans="1:71" x14ac:dyDescent="0.25">
      <c r="A60" s="108" t="s">
        <v>858</v>
      </c>
      <c r="B60" s="12"/>
      <c r="C60" s="9">
        <f>5+3</f>
        <v>8</v>
      </c>
      <c r="D60" s="25"/>
      <c r="E60" s="10" t="str">
        <f t="shared" si="0"/>
        <v>OutubroSEMANA 1Vinho Espumante Veuve Du Vernay 750 ml</v>
      </c>
      <c r="F60" s="7">
        <f>SUMIF(NF!$A:$A,$E60,NF!$I:$I)</f>
        <v>0</v>
      </c>
      <c r="G60" s="6"/>
      <c r="H60" s="6"/>
      <c r="I60" s="6"/>
      <c r="J60" s="6"/>
      <c r="K60" s="6"/>
      <c r="L60" s="6"/>
      <c r="M60" s="6"/>
      <c r="N60" s="7">
        <f t="shared" si="45"/>
        <v>0</v>
      </c>
      <c r="O60" s="11">
        <f t="shared" si="2"/>
        <v>8</v>
      </c>
      <c r="P60" s="25"/>
      <c r="Q60" s="10" t="str">
        <f t="shared" si="3"/>
        <v>OutubroSEMANA 2Vinho Espumante Veuve Du Vernay 750 ml</v>
      </c>
      <c r="R60" s="7">
        <f>SUMIF(NF!$A:$A,$Q60,NF!$I:$I)</f>
        <v>0</v>
      </c>
      <c r="S60" s="6"/>
      <c r="T60" s="6"/>
      <c r="U60" s="6"/>
      <c r="V60" s="6"/>
      <c r="W60" s="6">
        <v>2</v>
      </c>
      <c r="X60" s="6"/>
      <c r="Y60" s="6"/>
      <c r="Z60" s="7">
        <f t="shared" si="46"/>
        <v>2</v>
      </c>
      <c r="AA60" s="11">
        <f t="shared" si="5"/>
        <v>6</v>
      </c>
      <c r="AB60" s="25"/>
      <c r="AC60" s="10" t="str">
        <f t="shared" si="6"/>
        <v>OutubroSEMANA 3Vinho Espumante Veuve Du Vernay 750 ml</v>
      </c>
      <c r="AD60" s="7">
        <f>SUMIF(NF!$A:$A,$AC60,NF!$I:$I)</f>
        <v>0</v>
      </c>
      <c r="AE60" s="6"/>
      <c r="AF60" s="6"/>
      <c r="AG60" s="6"/>
      <c r="AH60" s="6"/>
      <c r="AI60" s="6"/>
      <c r="AJ60" s="6"/>
      <c r="AK60" s="6"/>
      <c r="AL60" s="7">
        <f t="shared" si="47"/>
        <v>0</v>
      </c>
      <c r="AM60" s="11">
        <f t="shared" si="8"/>
        <v>6</v>
      </c>
      <c r="AN60" s="25"/>
      <c r="AO60" s="10" t="str">
        <f t="shared" si="9"/>
        <v>OutubroSEMANA 4Vinho Espumante Veuve Du Vernay 750 ml</v>
      </c>
      <c r="AP60" s="7">
        <f>SUMIF(NF!$A:$A,$AO60,NF!$I:$I)</f>
        <v>0</v>
      </c>
      <c r="AQ60" s="6"/>
      <c r="AR60" s="6"/>
      <c r="AS60" s="6"/>
      <c r="AT60" s="6"/>
      <c r="AU60" s="6"/>
      <c r="AV60" s="6"/>
      <c r="AW60" s="6"/>
      <c r="AX60" s="7">
        <f t="shared" si="48"/>
        <v>0</v>
      </c>
      <c r="AY60" s="11">
        <f t="shared" si="11"/>
        <v>6</v>
      </c>
      <c r="AZ60" s="25"/>
      <c r="BA60" s="10" t="str">
        <f t="shared" si="12"/>
        <v>OutubroSEMANA 5Vinho Espumante Veuve Du Vernay 750 ml</v>
      </c>
      <c r="BB60" s="7">
        <f>SUMIF(NF!$A:$A,$BA60,NF!$I:$I)</f>
        <v>0</v>
      </c>
      <c r="BC60" s="6"/>
      <c r="BD60" s="6"/>
      <c r="BE60" s="6"/>
      <c r="BF60" s="74"/>
      <c r="BG60" s="74"/>
      <c r="BH60" s="74"/>
      <c r="BI60" s="74"/>
      <c r="BJ60" s="74"/>
      <c r="BK60" s="7">
        <f t="shared" si="49"/>
        <v>0</v>
      </c>
      <c r="BL60" s="8">
        <f t="shared" si="14"/>
        <v>6</v>
      </c>
      <c r="BM60" s="51" t="str">
        <f>IFERROR(VLOOKUP(A60,NF!$M:$O,3,0),"")</f>
        <v>Bebidas</v>
      </c>
      <c r="BN60" s="7">
        <f t="shared" si="15"/>
        <v>2</v>
      </c>
      <c r="BO60" s="8">
        <f t="array" ref="BO60">IFERROR(LARGE(IF(NF!$G$2:$G$3137='Mês atual'!A60,NF!$J$2:$J$3137),1),0)*BN60</f>
        <v>0</v>
      </c>
      <c r="BP60" s="50"/>
      <c r="BR60" s="147">
        <f t="array" ref="BR60">IFERROR(LARGE(IF(NF!$G$2:$G$3137='Mês atual'!A60,NF!$J$2:$J$3137),1),0)</f>
        <v>0</v>
      </c>
      <c r="BS60" s="143" t="str">
        <f>VLOOKUP(A60,NF!M:O,3,0)</f>
        <v>Bebidas</v>
      </c>
    </row>
    <row r="61" spans="1:71" x14ac:dyDescent="0.25">
      <c r="A61" s="108" t="s">
        <v>859</v>
      </c>
      <c r="B61" s="12"/>
      <c r="C61" s="9"/>
      <c r="D61" s="25"/>
      <c r="E61" s="10" t="str">
        <f t="shared" si="0"/>
        <v>OutubroSEMANA 1Vinho Loios</v>
      </c>
      <c r="F61" s="7">
        <f>SUMIF(NF!$A:$A,$E61,NF!$I:$I)</f>
        <v>0</v>
      </c>
      <c r="G61" s="6"/>
      <c r="H61" s="6"/>
      <c r="I61" s="6"/>
      <c r="J61" s="6"/>
      <c r="K61" s="6"/>
      <c r="L61" s="6"/>
      <c r="M61" s="6"/>
      <c r="N61" s="7">
        <f t="shared" si="45"/>
        <v>0</v>
      </c>
      <c r="O61" s="11">
        <f t="shared" si="2"/>
        <v>0</v>
      </c>
      <c r="P61" s="25"/>
      <c r="Q61" s="10" t="str">
        <f t="shared" si="3"/>
        <v>OutubroSEMANA 2Vinho Loios</v>
      </c>
      <c r="R61" s="7">
        <f>SUMIF(NF!$A:$A,$Q61,NF!$I:$I)</f>
        <v>0</v>
      </c>
      <c r="S61" s="6"/>
      <c r="T61" s="6"/>
      <c r="U61" s="6"/>
      <c r="V61" s="6"/>
      <c r="W61" s="6"/>
      <c r="X61" s="6"/>
      <c r="Y61" s="6"/>
      <c r="Z61" s="7">
        <f t="shared" si="46"/>
        <v>0</v>
      </c>
      <c r="AA61" s="11">
        <f t="shared" si="5"/>
        <v>0</v>
      </c>
      <c r="AB61" s="25"/>
      <c r="AC61" s="10" t="str">
        <f t="shared" si="6"/>
        <v>OutubroSEMANA 3Vinho Loios</v>
      </c>
      <c r="AD61" s="7">
        <f>SUMIF(NF!$A:$A,$AC61,NF!$I:$I)</f>
        <v>0</v>
      </c>
      <c r="AE61" s="6"/>
      <c r="AF61" s="6"/>
      <c r="AG61" s="6"/>
      <c r="AH61" s="6"/>
      <c r="AI61" s="6"/>
      <c r="AJ61" s="6"/>
      <c r="AK61" s="6"/>
      <c r="AL61" s="7">
        <f t="shared" si="47"/>
        <v>0</v>
      </c>
      <c r="AM61" s="11">
        <f t="shared" si="8"/>
        <v>0</v>
      </c>
      <c r="AN61" s="25"/>
      <c r="AO61" s="10" t="str">
        <f t="shared" si="9"/>
        <v>OutubroSEMANA 4Vinho Loios</v>
      </c>
      <c r="AP61" s="7">
        <f>SUMIF(NF!$A:$A,$AO61,NF!$I:$I)</f>
        <v>0</v>
      </c>
      <c r="AQ61" s="6"/>
      <c r="AR61" s="6"/>
      <c r="AS61" s="6"/>
      <c r="AT61" s="6"/>
      <c r="AU61" s="6"/>
      <c r="AV61" s="6"/>
      <c r="AW61" s="6"/>
      <c r="AX61" s="7">
        <f t="shared" si="48"/>
        <v>0</v>
      </c>
      <c r="AY61" s="11">
        <f t="shared" si="11"/>
        <v>0</v>
      </c>
      <c r="AZ61" s="25"/>
      <c r="BA61" s="10" t="str">
        <f t="shared" si="12"/>
        <v>OutubroSEMANA 5Vinho Loios</v>
      </c>
      <c r="BB61" s="7">
        <f>SUMIF(NF!$A:$A,$BA61,NF!$I:$I)</f>
        <v>0</v>
      </c>
      <c r="BC61" s="6"/>
      <c r="BD61" s="6"/>
      <c r="BE61" s="6"/>
      <c r="BF61" s="74"/>
      <c r="BG61" s="74"/>
      <c r="BH61" s="74"/>
      <c r="BI61" s="74"/>
      <c r="BJ61" s="74"/>
      <c r="BK61" s="7">
        <f t="shared" si="49"/>
        <v>0</v>
      </c>
      <c r="BL61" s="8">
        <f t="shared" si="14"/>
        <v>0</v>
      </c>
      <c r="BM61" s="51" t="str">
        <f>IFERROR(VLOOKUP(A61,NF!$M:$O,3,0),"")</f>
        <v>Bebidas</v>
      </c>
      <c r="BN61" s="7">
        <f t="shared" si="15"/>
        <v>0</v>
      </c>
      <c r="BO61" s="8">
        <f t="array" ref="BO61">IFERROR(LARGE(IF(NF!$G$2:$G$3137='Mês atual'!A61,NF!$J$2:$J$3137),1),0)*BN61</f>
        <v>0</v>
      </c>
      <c r="BP61" s="50"/>
      <c r="BR61" s="147">
        <f t="array" ref="BR61">IFERROR(LARGE(IF(NF!$G$2:$G$3137='Mês atual'!A61,NF!$J$2:$J$3137),1),0)</f>
        <v>0</v>
      </c>
      <c r="BS61" s="143" t="str">
        <f>VLOOKUP(A61,NF!M:O,3,0)</f>
        <v>Bebidas</v>
      </c>
    </row>
    <row r="62" spans="1:71" x14ac:dyDescent="0.25">
      <c r="A62" s="108" t="s">
        <v>860</v>
      </c>
      <c r="B62" s="12"/>
      <c r="C62" s="9">
        <v>1</v>
      </c>
      <c r="D62" s="25"/>
      <c r="E62" s="10" t="str">
        <f t="shared" si="0"/>
        <v>OutubroSEMANA 1Vinho Nieto Senet D.O.C. Malbec 750 ml</v>
      </c>
      <c r="F62" s="7">
        <f>SUMIF(NF!$A:$A,$E62,NF!$I:$I)</f>
        <v>0</v>
      </c>
      <c r="G62" s="6"/>
      <c r="H62" s="6"/>
      <c r="I62" s="6"/>
      <c r="J62" s="6"/>
      <c r="K62" s="6"/>
      <c r="L62" s="6"/>
      <c r="M62" s="6"/>
      <c r="N62" s="7">
        <f t="shared" si="45"/>
        <v>0</v>
      </c>
      <c r="O62" s="11">
        <f t="shared" si="2"/>
        <v>1</v>
      </c>
      <c r="P62" s="25"/>
      <c r="Q62" s="10" t="str">
        <f t="shared" si="3"/>
        <v>OutubroSEMANA 2Vinho Nieto Senet D.O.C. Malbec 750 ml</v>
      </c>
      <c r="R62" s="7">
        <f>SUMIF(NF!$A:$A,$Q62,NF!$I:$I)</f>
        <v>0</v>
      </c>
      <c r="S62" s="6"/>
      <c r="T62" s="6"/>
      <c r="U62" s="6"/>
      <c r="V62" s="6"/>
      <c r="W62" s="6"/>
      <c r="X62" s="6"/>
      <c r="Y62" s="6"/>
      <c r="Z62" s="7">
        <f t="shared" si="46"/>
        <v>0</v>
      </c>
      <c r="AA62" s="11">
        <f t="shared" si="5"/>
        <v>1</v>
      </c>
      <c r="AB62" s="25"/>
      <c r="AC62" s="10" t="str">
        <f t="shared" si="6"/>
        <v>OutubroSEMANA 3Vinho Nieto Senet D.O.C. Malbec 750 ml</v>
      </c>
      <c r="AD62" s="7">
        <f>SUMIF(NF!$A:$A,$AC62,NF!$I:$I)</f>
        <v>3</v>
      </c>
      <c r="AE62" s="6"/>
      <c r="AF62" s="6"/>
      <c r="AG62" s="6"/>
      <c r="AH62" s="6"/>
      <c r="AI62" s="6"/>
      <c r="AJ62" s="6"/>
      <c r="AK62" s="6"/>
      <c r="AL62" s="7">
        <f t="shared" si="47"/>
        <v>0</v>
      </c>
      <c r="AM62" s="11">
        <f t="shared" si="8"/>
        <v>4</v>
      </c>
      <c r="AN62" s="25"/>
      <c r="AO62" s="10" t="str">
        <f t="shared" si="9"/>
        <v>OutubroSEMANA 4Vinho Nieto Senet D.O.C. Malbec 750 ml</v>
      </c>
      <c r="AP62" s="7">
        <f>SUMIF(NF!$A:$A,$AO62,NF!$I:$I)</f>
        <v>0</v>
      </c>
      <c r="AQ62" s="6"/>
      <c r="AR62" s="6"/>
      <c r="AS62" s="6"/>
      <c r="AT62" s="6"/>
      <c r="AU62" s="6"/>
      <c r="AV62" s="6"/>
      <c r="AW62" s="6"/>
      <c r="AX62" s="7">
        <f t="shared" si="48"/>
        <v>0</v>
      </c>
      <c r="AY62" s="11">
        <f t="shared" si="11"/>
        <v>4</v>
      </c>
      <c r="AZ62" s="25"/>
      <c r="BA62" s="10" t="str">
        <f t="shared" si="12"/>
        <v>OutubroSEMANA 5Vinho Nieto Senet D.O.C. Malbec 750 ml</v>
      </c>
      <c r="BB62" s="7">
        <f>SUMIF(NF!$A:$A,$BA62,NF!$I:$I)</f>
        <v>0</v>
      </c>
      <c r="BC62" s="6"/>
      <c r="BD62" s="6"/>
      <c r="BE62" s="6"/>
      <c r="BF62" s="74"/>
      <c r="BG62" s="74"/>
      <c r="BH62" s="74"/>
      <c r="BI62" s="74"/>
      <c r="BJ62" s="74"/>
      <c r="BK62" s="7">
        <f t="shared" si="49"/>
        <v>0</v>
      </c>
      <c r="BL62" s="8">
        <f t="shared" si="14"/>
        <v>4</v>
      </c>
      <c r="BM62" s="51" t="str">
        <f>IFERROR(VLOOKUP(A62,NF!$M:$O,3,0),"")</f>
        <v>Bebidas</v>
      </c>
      <c r="BN62" s="7">
        <f t="shared" si="15"/>
        <v>0</v>
      </c>
      <c r="BO62" s="8">
        <f t="array" ref="BO62">IFERROR(LARGE(IF(NF!$G$2:$G$3137='Mês atual'!A62,NF!$J$2:$J$3137),1),0)*BN62</f>
        <v>0</v>
      </c>
      <c r="BP62" s="50"/>
      <c r="BR62" s="147">
        <f t="array" ref="BR62">IFERROR(LARGE(IF(NF!$G$2:$G$3137='Mês atual'!A62,NF!$J$2:$J$3137),1),0)</f>
        <v>52.04666666666666</v>
      </c>
      <c r="BS62" s="143" t="str">
        <f>VLOOKUP(A62,NF!M:O,3,0)</f>
        <v>Bebidas</v>
      </c>
    </row>
    <row r="63" spans="1:71" x14ac:dyDescent="0.25">
      <c r="A63" s="108" t="s">
        <v>861</v>
      </c>
      <c r="B63" s="12"/>
      <c r="C63" s="9"/>
      <c r="D63" s="25"/>
      <c r="E63" s="10" t="str">
        <f t="shared" si="0"/>
        <v>OutubroSEMANA 1Vinho Nieto Senet Espumante 187 ml</v>
      </c>
      <c r="F63" s="7">
        <f>SUMIF(NF!$A:$A,$E63,NF!$I:$I)</f>
        <v>0</v>
      </c>
      <c r="G63" s="6"/>
      <c r="H63" s="6"/>
      <c r="I63" s="6"/>
      <c r="J63" s="6"/>
      <c r="K63" s="6"/>
      <c r="L63" s="6"/>
      <c r="M63" s="6"/>
      <c r="N63" s="7">
        <f t="shared" si="45"/>
        <v>0</v>
      </c>
      <c r="O63" s="11">
        <f t="shared" si="2"/>
        <v>0</v>
      </c>
      <c r="P63" s="25"/>
      <c r="Q63" s="10" t="str">
        <f t="shared" si="3"/>
        <v>OutubroSEMANA 2Vinho Nieto Senet Espumante 187 ml</v>
      </c>
      <c r="R63" s="7">
        <f>SUMIF(NF!$A:$A,$Q63,NF!$I:$I)</f>
        <v>0</v>
      </c>
      <c r="S63" s="6"/>
      <c r="T63" s="6"/>
      <c r="U63" s="6"/>
      <c r="V63" s="6"/>
      <c r="W63" s="6"/>
      <c r="X63" s="6"/>
      <c r="Y63" s="6"/>
      <c r="Z63" s="7">
        <f t="shared" si="46"/>
        <v>0</v>
      </c>
      <c r="AA63" s="11">
        <f t="shared" si="5"/>
        <v>0</v>
      </c>
      <c r="AB63" s="25"/>
      <c r="AC63" s="10" t="str">
        <f t="shared" si="6"/>
        <v>OutubroSEMANA 3Vinho Nieto Senet Espumante 187 ml</v>
      </c>
      <c r="AD63" s="7">
        <f>SUMIF(NF!$A:$A,$AC63,NF!$I:$I)</f>
        <v>0</v>
      </c>
      <c r="AE63" s="6"/>
      <c r="AF63" s="6"/>
      <c r="AG63" s="6"/>
      <c r="AH63" s="6"/>
      <c r="AI63" s="6"/>
      <c r="AJ63" s="6"/>
      <c r="AK63" s="6"/>
      <c r="AL63" s="7">
        <f t="shared" si="47"/>
        <v>0</v>
      </c>
      <c r="AM63" s="11">
        <f t="shared" si="8"/>
        <v>0</v>
      </c>
      <c r="AN63" s="25"/>
      <c r="AO63" s="10" t="str">
        <f t="shared" si="9"/>
        <v>OutubroSEMANA 4Vinho Nieto Senet Espumante 187 ml</v>
      </c>
      <c r="AP63" s="7">
        <f>SUMIF(NF!$A:$A,$AO63,NF!$I:$I)</f>
        <v>0</v>
      </c>
      <c r="AQ63" s="6"/>
      <c r="AR63" s="6"/>
      <c r="AS63" s="6"/>
      <c r="AT63" s="6"/>
      <c r="AU63" s="6"/>
      <c r="AV63" s="6"/>
      <c r="AW63" s="6"/>
      <c r="AX63" s="7">
        <f t="shared" si="48"/>
        <v>0</v>
      </c>
      <c r="AY63" s="11">
        <f t="shared" si="11"/>
        <v>0</v>
      </c>
      <c r="AZ63" s="25"/>
      <c r="BA63" s="10" t="str">
        <f t="shared" si="12"/>
        <v>OutubroSEMANA 5Vinho Nieto Senet Espumante 187 ml</v>
      </c>
      <c r="BB63" s="7">
        <f>SUMIF(NF!$A:$A,$BA63,NF!$I:$I)</f>
        <v>0</v>
      </c>
      <c r="BC63" s="6"/>
      <c r="BD63" s="6"/>
      <c r="BE63" s="6"/>
      <c r="BF63" s="74"/>
      <c r="BG63" s="74"/>
      <c r="BH63" s="74"/>
      <c r="BI63" s="74"/>
      <c r="BJ63" s="74"/>
      <c r="BK63" s="7">
        <f t="shared" si="49"/>
        <v>0</v>
      </c>
      <c r="BL63" s="8">
        <f t="shared" si="14"/>
        <v>0</v>
      </c>
      <c r="BM63" s="51" t="str">
        <f>IFERROR(VLOOKUP(A63,NF!$M:$O,3,0),"")</f>
        <v>Bebidas</v>
      </c>
      <c r="BN63" s="7">
        <f t="shared" si="15"/>
        <v>0</v>
      </c>
      <c r="BO63" s="8">
        <f t="array" ref="BO63">IFERROR(LARGE(IF(NF!$G$2:$G$3137='Mês atual'!A63,NF!$J$2:$J$3137),1),0)*BN63</f>
        <v>0</v>
      </c>
      <c r="BP63" s="50"/>
      <c r="BR63" s="147">
        <f t="array" ref="BR63">IFERROR(LARGE(IF(NF!$G$2:$G$3137='Mês atual'!A63,NF!$J$2:$J$3137),1),0)</f>
        <v>0</v>
      </c>
      <c r="BS63" s="143" t="str">
        <f>VLOOKUP(A63,NF!M:O,3,0)</f>
        <v>Bebidas</v>
      </c>
    </row>
    <row r="64" spans="1:71" x14ac:dyDescent="0.25">
      <c r="A64" s="108" t="s">
        <v>1304</v>
      </c>
      <c r="B64" s="12"/>
      <c r="C64" s="9">
        <v>4</v>
      </c>
      <c r="D64" s="25"/>
      <c r="E64" s="10" t="str">
        <f t="shared" si="0"/>
        <v>OutubroSEMANA 1Vinho Nieto Senet Espumante (Brut) 750 ml</v>
      </c>
      <c r="F64" s="7">
        <f>SUMIF(NF!$A:$A,$E64,NF!$I:$I)</f>
        <v>0</v>
      </c>
      <c r="G64" s="6"/>
      <c r="H64" s="6"/>
      <c r="I64" s="6"/>
      <c r="J64" s="6"/>
      <c r="K64" s="6"/>
      <c r="L64" s="6"/>
      <c r="M64" s="6"/>
      <c r="N64" s="7">
        <f t="shared" si="45"/>
        <v>0</v>
      </c>
      <c r="O64" s="11">
        <f t="shared" si="2"/>
        <v>4</v>
      </c>
      <c r="P64" s="25"/>
      <c r="Q64" s="10" t="str">
        <f t="shared" si="3"/>
        <v>OutubroSEMANA 2Vinho Nieto Senet Espumante (Brut) 750 ml</v>
      </c>
      <c r="R64" s="7">
        <f>SUMIF(NF!$A:$A,$Q64,NF!$I:$I)</f>
        <v>0</v>
      </c>
      <c r="S64" s="6"/>
      <c r="T64" s="6"/>
      <c r="U64" s="6"/>
      <c r="V64" s="6"/>
      <c r="W64" s="6"/>
      <c r="X64" s="6"/>
      <c r="Y64" s="6"/>
      <c r="Z64" s="7">
        <f t="shared" si="46"/>
        <v>0</v>
      </c>
      <c r="AA64" s="11">
        <f t="shared" si="5"/>
        <v>4</v>
      </c>
      <c r="AB64" s="25"/>
      <c r="AC64" s="10" t="str">
        <f t="shared" si="6"/>
        <v>OutubroSEMANA 3Vinho Nieto Senet Espumante (Brut) 750 ml</v>
      </c>
      <c r="AD64" s="7">
        <f>SUMIF(NF!$A:$A,$AC64,NF!$I:$I)</f>
        <v>0</v>
      </c>
      <c r="AE64" s="6"/>
      <c r="AF64" s="6"/>
      <c r="AG64" s="6"/>
      <c r="AH64" s="6"/>
      <c r="AI64" s="6"/>
      <c r="AJ64" s="6"/>
      <c r="AK64" s="6"/>
      <c r="AL64" s="7">
        <f t="shared" si="47"/>
        <v>0</v>
      </c>
      <c r="AM64" s="11">
        <f t="shared" si="8"/>
        <v>4</v>
      </c>
      <c r="AN64" s="25"/>
      <c r="AO64" s="10" t="str">
        <f t="shared" si="9"/>
        <v>OutubroSEMANA 4Vinho Nieto Senet Espumante (Brut) 750 ml</v>
      </c>
      <c r="AP64" s="7">
        <f>SUMIF(NF!$A:$A,$AO64,NF!$I:$I)</f>
        <v>0</v>
      </c>
      <c r="AQ64" s="6"/>
      <c r="AR64" s="6"/>
      <c r="AS64" s="6"/>
      <c r="AT64" s="6"/>
      <c r="AU64" s="6"/>
      <c r="AV64" s="6"/>
      <c r="AW64" s="6"/>
      <c r="AX64" s="7">
        <f t="shared" si="48"/>
        <v>0</v>
      </c>
      <c r="AY64" s="11">
        <f t="shared" si="11"/>
        <v>4</v>
      </c>
      <c r="AZ64" s="25"/>
      <c r="BA64" s="10" t="str">
        <f t="shared" si="12"/>
        <v>OutubroSEMANA 5Vinho Nieto Senet Espumante (Brut) 750 ml</v>
      </c>
      <c r="BB64" s="7">
        <f>SUMIF(NF!$A:$A,$BA64,NF!$I:$I)</f>
        <v>0</v>
      </c>
      <c r="BC64" s="6"/>
      <c r="BD64" s="6"/>
      <c r="BE64" s="6"/>
      <c r="BF64" s="74"/>
      <c r="BG64" s="74"/>
      <c r="BH64" s="74"/>
      <c r="BI64" s="74"/>
      <c r="BJ64" s="74"/>
      <c r="BK64" s="7">
        <f t="shared" si="49"/>
        <v>0</v>
      </c>
      <c r="BL64" s="8">
        <f t="shared" si="14"/>
        <v>4</v>
      </c>
      <c r="BM64" s="51" t="str">
        <f>IFERROR(VLOOKUP(A64,NF!$M:$O,3,0),"")</f>
        <v>Bebidas</v>
      </c>
      <c r="BN64" s="7">
        <f t="shared" si="15"/>
        <v>0</v>
      </c>
      <c r="BO64" s="8">
        <f t="array" ref="BO64">IFERROR(LARGE(IF(NF!$G$2:$G$3137='Mês atual'!A64,NF!$J$2:$J$3137),1),0)*BN64</f>
        <v>0</v>
      </c>
      <c r="BP64" s="50"/>
      <c r="BR64" s="147">
        <f t="array" ref="BR64">IFERROR(LARGE(IF(NF!$G$2:$G$3137='Mês atual'!A64,NF!$J$2:$J$3137),1),0)</f>
        <v>0</v>
      </c>
      <c r="BS64" s="143" t="str">
        <f>VLOOKUP(A64,NF!M:O,3,0)</f>
        <v>Bebidas</v>
      </c>
    </row>
    <row r="65" spans="1:74" x14ac:dyDescent="0.25">
      <c r="A65" s="108" t="s">
        <v>862</v>
      </c>
      <c r="B65" s="12"/>
      <c r="C65" s="9">
        <f>6+6</f>
        <v>12</v>
      </c>
      <c r="D65" s="25"/>
      <c r="E65" s="10" t="str">
        <f t="shared" si="0"/>
        <v>OutubroSEMANA 1Vinho Nieto Senet Malbec 375 ml</v>
      </c>
      <c r="F65" s="7">
        <f>SUMIF(NF!$A:$A,$E65,NF!$I:$I)</f>
        <v>0</v>
      </c>
      <c r="G65" s="6"/>
      <c r="H65" s="6"/>
      <c r="I65" s="6">
        <v>1</v>
      </c>
      <c r="J65" s="6"/>
      <c r="K65" s="6"/>
      <c r="L65" s="6"/>
      <c r="M65" s="6"/>
      <c r="N65" s="7">
        <f t="shared" si="45"/>
        <v>1</v>
      </c>
      <c r="O65" s="11">
        <f t="shared" si="2"/>
        <v>11</v>
      </c>
      <c r="P65" s="25"/>
      <c r="Q65" s="10" t="str">
        <f t="shared" si="3"/>
        <v>OutubroSEMANA 2Vinho Nieto Senet Malbec 375 ml</v>
      </c>
      <c r="R65" s="7">
        <f>SUMIF(NF!$A:$A,$Q65,NF!$I:$I)</f>
        <v>0</v>
      </c>
      <c r="S65" s="6"/>
      <c r="T65" s="6"/>
      <c r="U65" s="6"/>
      <c r="V65" s="6"/>
      <c r="W65" s="6"/>
      <c r="X65" s="6"/>
      <c r="Y65" s="6"/>
      <c r="Z65" s="7">
        <f t="shared" si="46"/>
        <v>0</v>
      </c>
      <c r="AA65" s="11">
        <f t="shared" si="5"/>
        <v>11</v>
      </c>
      <c r="AB65" s="25"/>
      <c r="AC65" s="10" t="str">
        <f t="shared" si="6"/>
        <v>OutubroSEMANA 3Vinho Nieto Senet Malbec 375 ml</v>
      </c>
      <c r="AD65" s="7">
        <f>SUMIF(NF!$A:$A,$AC65,NF!$I:$I)</f>
        <v>0</v>
      </c>
      <c r="AE65" s="6"/>
      <c r="AF65" s="6"/>
      <c r="AG65" s="6"/>
      <c r="AH65" s="6"/>
      <c r="AI65" s="6"/>
      <c r="AJ65" s="6"/>
      <c r="AK65" s="6"/>
      <c r="AL65" s="7">
        <f t="shared" si="47"/>
        <v>0</v>
      </c>
      <c r="AM65" s="11">
        <f t="shared" si="8"/>
        <v>11</v>
      </c>
      <c r="AN65" s="25"/>
      <c r="AO65" s="10" t="str">
        <f t="shared" si="9"/>
        <v>OutubroSEMANA 4Vinho Nieto Senet Malbec 375 ml</v>
      </c>
      <c r="AP65" s="7">
        <f>SUMIF(NF!$A:$A,$AO65,NF!$I:$I)</f>
        <v>0</v>
      </c>
      <c r="AQ65" s="6"/>
      <c r="AR65" s="6"/>
      <c r="AS65" s="6"/>
      <c r="AT65" s="6"/>
      <c r="AU65" s="6"/>
      <c r="AV65" s="6">
        <v>1</v>
      </c>
      <c r="AW65" s="6"/>
      <c r="AX65" s="7">
        <f t="shared" si="48"/>
        <v>1</v>
      </c>
      <c r="AY65" s="11">
        <f t="shared" si="11"/>
        <v>10</v>
      </c>
      <c r="AZ65" s="25"/>
      <c r="BA65" s="10" t="str">
        <f t="shared" si="12"/>
        <v>OutubroSEMANA 5Vinho Nieto Senet Malbec 375 ml</v>
      </c>
      <c r="BB65" s="7">
        <f>SUMIF(NF!$A:$A,$BA65,NF!$I:$I)</f>
        <v>0</v>
      </c>
      <c r="BC65" s="6"/>
      <c r="BD65" s="6"/>
      <c r="BE65" s="6"/>
      <c r="BF65" s="74"/>
      <c r="BG65" s="74"/>
      <c r="BH65" s="74"/>
      <c r="BI65" s="74"/>
      <c r="BJ65" s="74"/>
      <c r="BK65" s="7">
        <f t="shared" si="49"/>
        <v>0</v>
      </c>
      <c r="BL65" s="8">
        <f t="shared" si="14"/>
        <v>10</v>
      </c>
      <c r="BM65" s="51" t="str">
        <f>IFERROR(VLOOKUP(A65,NF!$M:$O,3,0),"")</f>
        <v>Bebidas</v>
      </c>
      <c r="BN65" s="7">
        <f t="shared" si="15"/>
        <v>2</v>
      </c>
      <c r="BO65" s="8">
        <f t="array" ref="BO65">IFERROR(LARGE(IF(NF!$G$2:$G$3137='Mês atual'!A65,NF!$J$2:$J$3137),1),0)*BN65</f>
        <v>0</v>
      </c>
      <c r="BP65" s="50"/>
      <c r="BR65" s="147">
        <f t="array" ref="BR65">IFERROR(LARGE(IF(NF!$G$2:$G$3137='Mês atual'!A65,NF!$J$2:$J$3137),1),0)</f>
        <v>0</v>
      </c>
      <c r="BS65" s="143" t="str">
        <f>VLOOKUP(A65,NF!M:O,3,0)</f>
        <v>Bebidas</v>
      </c>
    </row>
    <row r="66" spans="1:74" x14ac:dyDescent="0.25">
      <c r="A66" s="108" t="s">
        <v>863</v>
      </c>
      <c r="B66" s="12"/>
      <c r="C66" s="9">
        <v>2</v>
      </c>
      <c r="D66" s="25"/>
      <c r="E66" s="10" t="str">
        <f t="shared" si="0"/>
        <v>OutubroSEMANA 1Vinho Nieto Senet Pinot Noir 750 ml</v>
      </c>
      <c r="F66" s="7">
        <f>SUMIF(NF!$A:$A,$E66,NF!$I:$I)</f>
        <v>0</v>
      </c>
      <c r="G66" s="6"/>
      <c r="H66" s="6"/>
      <c r="I66" s="6"/>
      <c r="J66" s="6"/>
      <c r="K66" s="6"/>
      <c r="L66" s="6"/>
      <c r="M66" s="6"/>
      <c r="N66" s="7">
        <f t="shared" si="45"/>
        <v>0</v>
      </c>
      <c r="O66" s="11">
        <f t="shared" ref="O66:O71" si="50">F66+C66-N66</f>
        <v>2</v>
      </c>
      <c r="P66" s="25"/>
      <c r="Q66" s="10" t="str">
        <f t="shared" si="3"/>
        <v>OutubroSEMANA 2Vinho Nieto Senet Pinot Noir 750 ml</v>
      </c>
      <c r="R66" s="7">
        <f>SUMIF(NF!$A:$A,$Q66,NF!$I:$I)</f>
        <v>0</v>
      </c>
      <c r="S66" s="6"/>
      <c r="T66" s="6"/>
      <c r="U66" s="6"/>
      <c r="V66" s="6"/>
      <c r="W66" s="6"/>
      <c r="X66" s="6"/>
      <c r="Y66" s="6"/>
      <c r="Z66" s="7">
        <f t="shared" si="46"/>
        <v>0</v>
      </c>
      <c r="AA66" s="11">
        <f t="shared" ref="AA66:AA71" si="51">R66+O66-Z66</f>
        <v>2</v>
      </c>
      <c r="AB66" s="25"/>
      <c r="AC66" s="10" t="str">
        <f t="shared" si="6"/>
        <v>OutubroSEMANA 3Vinho Nieto Senet Pinot Noir 750 ml</v>
      </c>
      <c r="AD66" s="7">
        <f>SUMIF(NF!$A:$A,$AC66,NF!$I:$I)</f>
        <v>0</v>
      </c>
      <c r="AE66" s="6"/>
      <c r="AF66" s="6"/>
      <c r="AG66" s="6"/>
      <c r="AH66" s="6"/>
      <c r="AI66" s="6"/>
      <c r="AJ66" s="6"/>
      <c r="AK66" s="6"/>
      <c r="AL66" s="7">
        <f t="shared" si="47"/>
        <v>0</v>
      </c>
      <c r="AM66" s="11">
        <f t="shared" ref="AM66:AM71" si="52">AD66+AA66-AL66</f>
        <v>2</v>
      </c>
      <c r="AN66" s="25"/>
      <c r="AO66" s="10" t="str">
        <f t="shared" si="9"/>
        <v>OutubroSEMANA 4Vinho Nieto Senet Pinot Noir 750 ml</v>
      </c>
      <c r="AP66" s="7">
        <f>SUMIF(NF!$A:$A,$AO66,NF!$I:$I)</f>
        <v>0</v>
      </c>
      <c r="AQ66" s="6"/>
      <c r="AR66" s="6"/>
      <c r="AS66" s="6"/>
      <c r="AT66" s="6"/>
      <c r="AU66" s="6"/>
      <c r="AV66" s="6"/>
      <c r="AW66" s="6"/>
      <c r="AX66" s="7">
        <f t="shared" si="48"/>
        <v>0</v>
      </c>
      <c r="AY66" s="11">
        <f t="shared" ref="AY66:AY71" si="53">AP66+AM66-AX66</f>
        <v>2</v>
      </c>
      <c r="AZ66" s="25"/>
      <c r="BA66" s="10" t="str">
        <f t="shared" si="12"/>
        <v>OutubroSEMANA 5Vinho Nieto Senet Pinot Noir 750 ml</v>
      </c>
      <c r="BB66" s="7">
        <f>SUMIF(NF!$A:$A,$BA66,NF!$I:$I)</f>
        <v>0</v>
      </c>
      <c r="BC66" s="6"/>
      <c r="BD66" s="6"/>
      <c r="BE66" s="6"/>
      <c r="BF66" s="74"/>
      <c r="BG66" s="74"/>
      <c r="BH66" s="74"/>
      <c r="BI66" s="74"/>
      <c r="BJ66" s="74"/>
      <c r="BK66" s="7">
        <f t="shared" si="49"/>
        <v>0</v>
      </c>
      <c r="BL66" s="8">
        <f t="shared" ref="BL66:BL71" si="54">BB66+AY66-BK66</f>
        <v>2</v>
      </c>
      <c r="BM66" s="51" t="str">
        <f>IFERROR(VLOOKUP(A66,NF!$M:$O,3,0),"")</f>
        <v>Bebidas</v>
      </c>
      <c r="BN66" s="7">
        <f t="shared" ref="BN66:BN71" si="55">SUM(N66,Z66,AL66,AX66,BK66)</f>
        <v>0</v>
      </c>
      <c r="BO66" s="8">
        <f t="array" ref="BO66">IFERROR(LARGE(IF(NF!$G$2:$G$3137='Mês atual'!A66,NF!$J$2:$J$3137),1),0)*BN66</f>
        <v>0</v>
      </c>
      <c r="BP66" s="50"/>
      <c r="BR66" s="147">
        <f t="array" ref="BR66">IFERROR(LARGE(IF(NF!$G$2:$G$3137='Mês atual'!A66,NF!$J$2:$J$3137),1),0)</f>
        <v>0</v>
      </c>
      <c r="BS66" s="143" t="str">
        <f>VLOOKUP(A66,NF!M:O,3,0)</f>
        <v>Bebidas</v>
      </c>
    </row>
    <row r="67" spans="1:74" x14ac:dyDescent="0.25">
      <c r="A67" s="108" t="s">
        <v>877</v>
      </c>
      <c r="B67" s="12"/>
      <c r="C67" s="9"/>
      <c r="D67" s="25"/>
      <c r="E67" s="10" t="str">
        <f t="shared" si="0"/>
        <v>OutubroSEMANA 1Vinho Nieto Senet. Malbec 750 ml</v>
      </c>
      <c r="F67" s="7">
        <f>SUMIF(NF!$A:$A,$E67,NF!$I:$I)</f>
        <v>0</v>
      </c>
      <c r="G67" s="6"/>
      <c r="H67" s="6"/>
      <c r="I67" s="6"/>
      <c r="J67" s="6"/>
      <c r="K67" s="6"/>
      <c r="L67" s="6"/>
      <c r="M67" s="6"/>
      <c r="N67" s="7">
        <f t="shared" si="45"/>
        <v>0</v>
      </c>
      <c r="O67" s="11">
        <f t="shared" si="50"/>
        <v>0</v>
      </c>
      <c r="P67" s="25"/>
      <c r="Q67" s="10" t="str">
        <f t="shared" si="3"/>
        <v>OutubroSEMANA 2Vinho Nieto Senet. Malbec 750 ml</v>
      </c>
      <c r="R67" s="7">
        <f>SUMIF(NF!$A:$A,$Q67,NF!$I:$I)</f>
        <v>0</v>
      </c>
      <c r="S67" s="6"/>
      <c r="T67" s="6"/>
      <c r="U67" s="6"/>
      <c r="V67" s="6"/>
      <c r="W67" s="6"/>
      <c r="X67" s="6"/>
      <c r="Y67" s="6"/>
      <c r="Z67" s="7">
        <f t="shared" si="46"/>
        <v>0</v>
      </c>
      <c r="AA67" s="11">
        <f t="shared" si="51"/>
        <v>0</v>
      </c>
      <c r="AB67" s="25"/>
      <c r="AC67" s="10" t="str">
        <f t="shared" si="6"/>
        <v>OutubroSEMANA 3Vinho Nieto Senet. Malbec 750 ml</v>
      </c>
      <c r="AD67" s="7">
        <f>SUMIF(NF!$A:$A,$AC67,NF!$I:$I)</f>
        <v>0</v>
      </c>
      <c r="AE67" s="6"/>
      <c r="AF67" s="6"/>
      <c r="AG67" s="6"/>
      <c r="AH67" s="6"/>
      <c r="AI67" s="6"/>
      <c r="AJ67" s="6"/>
      <c r="AK67" s="6"/>
      <c r="AL67" s="7">
        <f t="shared" si="47"/>
        <v>0</v>
      </c>
      <c r="AM67" s="11">
        <f t="shared" si="52"/>
        <v>0</v>
      </c>
      <c r="AN67" s="25"/>
      <c r="AO67" s="10" t="str">
        <f t="shared" si="9"/>
        <v>OutubroSEMANA 4Vinho Nieto Senet. Malbec 750 ml</v>
      </c>
      <c r="AP67" s="7">
        <f>SUMIF(NF!$A:$A,$AO67,NF!$I:$I)</f>
        <v>0</v>
      </c>
      <c r="AQ67" s="6"/>
      <c r="AR67" s="6"/>
      <c r="AS67" s="6"/>
      <c r="AT67" s="6"/>
      <c r="AU67" s="6"/>
      <c r="AV67" s="6"/>
      <c r="AW67" s="6"/>
      <c r="AX67" s="7">
        <f t="shared" si="48"/>
        <v>0</v>
      </c>
      <c r="AY67" s="11">
        <f t="shared" si="53"/>
        <v>0</v>
      </c>
      <c r="AZ67" s="25"/>
      <c r="BA67" s="10" t="str">
        <f t="shared" si="12"/>
        <v>OutubroSEMANA 5Vinho Nieto Senet. Malbec 750 ml</v>
      </c>
      <c r="BB67" s="7">
        <f>SUMIF(NF!$A:$A,$BA67,NF!$I:$I)</f>
        <v>0</v>
      </c>
      <c r="BC67" s="6"/>
      <c r="BD67" s="6"/>
      <c r="BE67" s="6"/>
      <c r="BF67" s="74"/>
      <c r="BG67" s="74"/>
      <c r="BH67" s="74"/>
      <c r="BI67" s="74"/>
      <c r="BJ67" s="74"/>
      <c r="BK67" s="7">
        <f t="shared" si="49"/>
        <v>0</v>
      </c>
      <c r="BL67" s="8">
        <f t="shared" si="54"/>
        <v>0</v>
      </c>
      <c r="BM67" s="51" t="str">
        <f>IFERROR(VLOOKUP(A67,NF!$M:$O,3,0),"")</f>
        <v>Bebidas</v>
      </c>
      <c r="BN67" s="7">
        <f t="shared" si="55"/>
        <v>0</v>
      </c>
      <c r="BO67" s="8">
        <f t="array" ref="BO67">IFERROR(LARGE(IF(NF!$G$2:$G$3137='Mês atual'!A67,NF!$J$2:$J$3137),1),0)*BN67</f>
        <v>0</v>
      </c>
      <c r="BP67" s="50"/>
      <c r="BR67" s="147">
        <f t="array" ref="BR67">IFERROR(LARGE(IF(NF!$G$2:$G$3137='Mês atual'!A67,NF!$J$2:$J$3137),1),0)</f>
        <v>0</v>
      </c>
      <c r="BS67" s="143" t="str">
        <f>VLOOKUP(A67,NF!M:O,3,0)</f>
        <v>Bebidas</v>
      </c>
    </row>
    <row r="68" spans="1:74" x14ac:dyDescent="0.25">
      <c r="A68" s="108" t="s">
        <v>864</v>
      </c>
      <c r="B68" s="12"/>
      <c r="C68" s="9"/>
      <c r="D68" s="25"/>
      <c r="E68" s="10" t="str">
        <f t="shared" si="0"/>
        <v>OutubroSEMANA 1Vinho Sta Carolina Cab. Sauvignon 187 ml</v>
      </c>
      <c r="F68" s="7">
        <f>SUMIF(NF!$A:$A,$E68,NF!$I:$I)</f>
        <v>0</v>
      </c>
      <c r="G68" s="6"/>
      <c r="H68" s="6"/>
      <c r="I68" s="6"/>
      <c r="J68" s="6"/>
      <c r="K68" s="6"/>
      <c r="L68" s="6"/>
      <c r="M68" s="6"/>
      <c r="N68" s="7">
        <f t="shared" si="45"/>
        <v>0</v>
      </c>
      <c r="O68" s="11">
        <f t="shared" si="50"/>
        <v>0</v>
      </c>
      <c r="P68" s="25"/>
      <c r="Q68" s="10" t="str">
        <f t="shared" si="3"/>
        <v>OutubroSEMANA 2Vinho Sta Carolina Cab. Sauvignon 187 ml</v>
      </c>
      <c r="R68" s="7">
        <f>SUMIF(NF!$A:$A,$Q68,NF!$I:$I)</f>
        <v>0</v>
      </c>
      <c r="S68" s="6"/>
      <c r="T68" s="6"/>
      <c r="U68" s="6"/>
      <c r="V68" s="6"/>
      <c r="W68" s="6"/>
      <c r="X68" s="6"/>
      <c r="Y68" s="6"/>
      <c r="Z68" s="7">
        <f t="shared" si="46"/>
        <v>0</v>
      </c>
      <c r="AA68" s="11">
        <f t="shared" si="51"/>
        <v>0</v>
      </c>
      <c r="AB68" s="25"/>
      <c r="AC68" s="10" t="str">
        <f t="shared" si="6"/>
        <v>OutubroSEMANA 3Vinho Sta Carolina Cab. Sauvignon 187 ml</v>
      </c>
      <c r="AD68" s="7">
        <f>SUMIF(NF!$A:$A,$AC68,NF!$I:$I)</f>
        <v>0</v>
      </c>
      <c r="AE68" s="6"/>
      <c r="AF68" s="6"/>
      <c r="AG68" s="6"/>
      <c r="AH68" s="6"/>
      <c r="AI68" s="6"/>
      <c r="AJ68" s="6"/>
      <c r="AK68" s="6"/>
      <c r="AL68" s="7">
        <f t="shared" si="47"/>
        <v>0</v>
      </c>
      <c r="AM68" s="11">
        <f t="shared" si="52"/>
        <v>0</v>
      </c>
      <c r="AN68" s="25"/>
      <c r="AO68" s="10" t="str">
        <f t="shared" si="9"/>
        <v>OutubroSEMANA 4Vinho Sta Carolina Cab. Sauvignon 187 ml</v>
      </c>
      <c r="AP68" s="7">
        <f>SUMIF(NF!$A:$A,$AO68,NF!$I:$I)</f>
        <v>0</v>
      </c>
      <c r="AQ68" s="6"/>
      <c r="AR68" s="6"/>
      <c r="AS68" s="6"/>
      <c r="AT68" s="6"/>
      <c r="AU68" s="6"/>
      <c r="AV68" s="6"/>
      <c r="AW68" s="6"/>
      <c r="AX68" s="7">
        <f t="shared" si="48"/>
        <v>0</v>
      </c>
      <c r="AY68" s="11">
        <f t="shared" si="53"/>
        <v>0</v>
      </c>
      <c r="AZ68" s="25"/>
      <c r="BA68" s="10" t="str">
        <f t="shared" si="12"/>
        <v>OutubroSEMANA 5Vinho Sta Carolina Cab. Sauvignon 187 ml</v>
      </c>
      <c r="BB68" s="7">
        <f>SUMIF(NF!$A:$A,$BA68,NF!$I:$I)</f>
        <v>0</v>
      </c>
      <c r="BC68" s="6"/>
      <c r="BD68" s="6"/>
      <c r="BE68" s="6"/>
      <c r="BF68" s="74"/>
      <c r="BG68" s="74"/>
      <c r="BH68" s="74"/>
      <c r="BI68" s="74"/>
      <c r="BJ68" s="74"/>
      <c r="BK68" s="7">
        <f t="shared" si="49"/>
        <v>0</v>
      </c>
      <c r="BL68" s="8">
        <f t="shared" si="54"/>
        <v>0</v>
      </c>
      <c r="BM68" s="51" t="str">
        <f>IFERROR(VLOOKUP(A68,NF!$M:$O,3,0),"")</f>
        <v>Bebidas</v>
      </c>
      <c r="BN68" s="7">
        <f t="shared" si="55"/>
        <v>0</v>
      </c>
      <c r="BO68" s="8">
        <f t="array" ref="BO68">IFERROR(LARGE(IF(NF!$G$2:$G$3137='Mês atual'!A68,NF!$J$2:$J$3137),1),0)*BN68</f>
        <v>0</v>
      </c>
      <c r="BP68" s="50"/>
      <c r="BR68" s="147">
        <f t="array" ref="BR68">IFERROR(LARGE(IF(NF!$G$2:$G$3137='Mês atual'!A68,NF!$J$2:$J$3137),1),0)</f>
        <v>0</v>
      </c>
      <c r="BS68" s="143" t="str">
        <f>VLOOKUP(A68,NF!M:O,3,0)</f>
        <v>Bebidas</v>
      </c>
    </row>
    <row r="69" spans="1:74" x14ac:dyDescent="0.25">
      <c r="A69" s="108" t="s">
        <v>1008</v>
      </c>
      <c r="B69" s="12"/>
      <c r="C69" s="9">
        <f>12+16</f>
        <v>28</v>
      </c>
      <c r="D69" s="25"/>
      <c r="E69" s="10" t="str">
        <f t="shared" si="0"/>
        <v>OutubroSEMANA 1Vinho Sta Carolina Estrellas Cab. Sauv. 187ml</v>
      </c>
      <c r="F69" s="7">
        <f>SUMIF(NF!$A:$A,$E69,NF!$I:$I)</f>
        <v>0</v>
      </c>
      <c r="G69" s="6"/>
      <c r="H69" s="6">
        <v>1</v>
      </c>
      <c r="I69" s="6"/>
      <c r="J69" s="6"/>
      <c r="K69" s="6"/>
      <c r="L69" s="6"/>
      <c r="M69" s="6">
        <f>1</f>
        <v>1</v>
      </c>
      <c r="N69" s="7">
        <f t="shared" ref="N69" si="56">SUM(G69:M69)</f>
        <v>2</v>
      </c>
      <c r="O69" s="11">
        <f t="shared" ref="O69" si="57">F69+C69-N69</f>
        <v>26</v>
      </c>
      <c r="P69" s="25"/>
      <c r="Q69" s="10" t="str">
        <f t="shared" si="3"/>
        <v>OutubroSEMANA 2Vinho Sta Carolina Estrellas Cab. Sauv. 187ml</v>
      </c>
      <c r="R69" s="7">
        <f>SUMIF(NF!$A:$A,$Q69,NF!$I:$I)</f>
        <v>0</v>
      </c>
      <c r="S69" s="6">
        <v>3</v>
      </c>
      <c r="T69" s="6"/>
      <c r="U69" s="6">
        <v>1</v>
      </c>
      <c r="V69" s="6"/>
      <c r="W69" s="6">
        <f>1+1</f>
        <v>2</v>
      </c>
      <c r="X69" s="6"/>
      <c r="Y69" s="6"/>
      <c r="Z69" s="7">
        <f t="shared" ref="Z69" si="58">SUM(S69:Y69)</f>
        <v>6</v>
      </c>
      <c r="AA69" s="11">
        <f t="shared" ref="AA69" si="59">R69+O69-Z69</f>
        <v>20</v>
      </c>
      <c r="AB69" s="25"/>
      <c r="AC69" s="10" t="str">
        <f t="shared" si="6"/>
        <v>OutubroSEMANA 3Vinho Sta Carolina Estrellas Cab. Sauv. 187ml</v>
      </c>
      <c r="AD69" s="7">
        <f>SUMIF(NF!$A:$A,$AC69,NF!$I:$I)</f>
        <v>24</v>
      </c>
      <c r="AE69" s="6">
        <f>2+1</f>
        <v>3</v>
      </c>
      <c r="AF69" s="6"/>
      <c r="AG69" s="6">
        <v>1</v>
      </c>
      <c r="AH69" s="6"/>
      <c r="AI69" s="6"/>
      <c r="AJ69" s="6"/>
      <c r="AK69" s="6"/>
      <c r="AL69" s="7">
        <f t="shared" ref="AL69" si="60">SUM(AE69:AK69)</f>
        <v>4</v>
      </c>
      <c r="AM69" s="11">
        <f t="shared" ref="AM69" si="61">AD69+AA69-AL69</f>
        <v>40</v>
      </c>
      <c r="AN69" s="25"/>
      <c r="AO69" s="10" t="str">
        <f t="shared" si="9"/>
        <v>OutubroSEMANA 4Vinho Sta Carolina Estrellas Cab. Sauv. 187ml</v>
      </c>
      <c r="AP69" s="7">
        <f>SUMIF(NF!$A:$A,$AO69,NF!$I:$I)</f>
        <v>0</v>
      </c>
      <c r="AQ69" s="6"/>
      <c r="AR69" s="6"/>
      <c r="AS69" s="6"/>
      <c r="AT69" s="6"/>
      <c r="AU69" s="6">
        <f>1</f>
        <v>1</v>
      </c>
      <c r="AV69" s="6">
        <v>1</v>
      </c>
      <c r="AW69" s="6">
        <v>2</v>
      </c>
      <c r="AX69" s="7">
        <f t="shared" ref="AX69" si="62">SUM(AQ69:AW69)</f>
        <v>4</v>
      </c>
      <c r="AY69" s="11">
        <f t="shared" ref="AY69" si="63">AP69+AM69-AX69</f>
        <v>36</v>
      </c>
      <c r="AZ69" s="25"/>
      <c r="BA69" s="10" t="str">
        <f t="shared" si="12"/>
        <v>OutubroSEMANA 5Vinho Sta Carolina Estrellas Cab. Sauv. 187ml</v>
      </c>
      <c r="BB69" s="7">
        <f>SUMIF(NF!$A:$A,$BA69,NF!$I:$I)</f>
        <v>0</v>
      </c>
      <c r="BC69" s="6"/>
      <c r="BD69" s="6"/>
      <c r="BE69" s="6">
        <v>1</v>
      </c>
      <c r="BF69" s="74"/>
      <c r="BG69" s="74"/>
      <c r="BH69" s="74"/>
      <c r="BI69" s="74"/>
      <c r="BJ69" s="74"/>
      <c r="BK69" s="7">
        <f t="shared" ref="BK69" si="64">SUM(BC69:BJ69)</f>
        <v>1</v>
      </c>
      <c r="BL69" s="8">
        <f t="shared" ref="BL69" si="65">BB69+AY69-BK69</f>
        <v>35</v>
      </c>
      <c r="BM69" s="51" t="str">
        <f>IFERROR(VLOOKUP(A69,NF!$M:$O,3,0),"")</f>
        <v>Bebidas</v>
      </c>
      <c r="BN69" s="7">
        <f t="shared" ref="BN69" si="66">SUM(N69,Z69,AL69,AX69,BK69)</f>
        <v>17</v>
      </c>
      <c r="BO69" s="8">
        <f t="array" ref="BO69">IFERROR(LARGE(IF(NF!$G$2:$G$3137='Mês atual'!A69,NF!$J$2:$J$3137),1),0)*BN69</f>
        <v>216.71458333333334</v>
      </c>
      <c r="BP69" s="50"/>
      <c r="BR69" s="147">
        <f t="array" ref="BR69">IFERROR(LARGE(IF(NF!$G$2:$G$3137='Mês atual'!A69,NF!$J$2:$J$3137),1),0)</f>
        <v>12.747916666666667</v>
      </c>
      <c r="BS69" s="143" t="str">
        <f>VLOOKUP(A69,NF!M:O,3,0)</f>
        <v>Bebidas</v>
      </c>
    </row>
    <row r="70" spans="1:74" x14ac:dyDescent="0.25">
      <c r="A70" s="108" t="s">
        <v>865</v>
      </c>
      <c r="B70" s="12"/>
      <c r="C70" s="9">
        <f>12+18</f>
        <v>30</v>
      </c>
      <c r="D70" s="25"/>
      <c r="E70" s="10" t="str">
        <f t="shared" si="0"/>
        <v>OutubroSEMANA 1Vinho Sta Carolina Sauv. Blanc 187 ml</v>
      </c>
      <c r="F70" s="7">
        <f>SUMIF(NF!$A:$A,$E70,NF!$I:$I)</f>
        <v>0</v>
      </c>
      <c r="G70" s="6">
        <v>1</v>
      </c>
      <c r="H70" s="6"/>
      <c r="I70" s="6"/>
      <c r="J70" s="6"/>
      <c r="K70" s="6"/>
      <c r="L70" s="6"/>
      <c r="M70" s="6"/>
      <c r="N70" s="7">
        <f t="shared" si="45"/>
        <v>1</v>
      </c>
      <c r="O70" s="11">
        <f t="shared" si="50"/>
        <v>29</v>
      </c>
      <c r="P70" s="25"/>
      <c r="Q70" s="10" t="str">
        <f t="shared" si="3"/>
        <v>OutubroSEMANA 2Vinho Sta Carolina Sauv. Blanc 187 ml</v>
      </c>
      <c r="R70" s="7">
        <f>SUMIF(NF!$A:$A,$Q70,NF!$I:$I)</f>
        <v>0</v>
      </c>
      <c r="S70" s="6">
        <v>1</v>
      </c>
      <c r="T70" s="6"/>
      <c r="U70" s="6"/>
      <c r="V70" s="6"/>
      <c r="W70" s="6"/>
      <c r="X70" s="6"/>
      <c r="Y70" s="6"/>
      <c r="Z70" s="7">
        <f t="shared" si="46"/>
        <v>1</v>
      </c>
      <c r="AA70" s="11">
        <f t="shared" si="51"/>
        <v>28</v>
      </c>
      <c r="AB70" s="25"/>
      <c r="AC70" s="10" t="str">
        <f t="shared" si="6"/>
        <v>OutubroSEMANA 3Vinho Sta Carolina Sauv. Blanc 187 ml</v>
      </c>
      <c r="AD70" s="7">
        <f>SUMIF(NF!$A:$A,$AC70,NF!$I:$I)</f>
        <v>0</v>
      </c>
      <c r="AE70" s="6">
        <f>1+1</f>
        <v>2</v>
      </c>
      <c r="AF70" s="6"/>
      <c r="AG70" s="6"/>
      <c r="AH70" s="6"/>
      <c r="AI70" s="6">
        <v>1</v>
      </c>
      <c r="AJ70" s="6"/>
      <c r="AK70" s="6">
        <f>1</f>
        <v>1</v>
      </c>
      <c r="AL70" s="7">
        <f t="shared" si="47"/>
        <v>4</v>
      </c>
      <c r="AM70" s="11">
        <f t="shared" si="52"/>
        <v>24</v>
      </c>
      <c r="AN70" s="25"/>
      <c r="AO70" s="10" t="str">
        <f t="shared" si="9"/>
        <v>OutubroSEMANA 4Vinho Sta Carolina Sauv. Blanc 187 ml</v>
      </c>
      <c r="AP70" s="7">
        <f>SUMIF(NF!$A:$A,$AO70,NF!$I:$I)</f>
        <v>0</v>
      </c>
      <c r="AQ70" s="6"/>
      <c r="AR70" s="6"/>
      <c r="AS70" s="6"/>
      <c r="AT70" s="6">
        <f>1</f>
        <v>1</v>
      </c>
      <c r="AU70" s="6"/>
      <c r="AV70" s="6">
        <v>1</v>
      </c>
      <c r="AW70" s="6"/>
      <c r="AX70" s="7">
        <f t="shared" si="48"/>
        <v>2</v>
      </c>
      <c r="AY70" s="11">
        <f t="shared" si="53"/>
        <v>22</v>
      </c>
      <c r="AZ70" s="25"/>
      <c r="BA70" s="10" t="str">
        <f t="shared" si="12"/>
        <v>OutubroSEMANA 5Vinho Sta Carolina Sauv. Blanc 187 ml</v>
      </c>
      <c r="BB70" s="7">
        <f>SUMIF(NF!$A:$A,$BA70,NF!$I:$I)</f>
        <v>0</v>
      </c>
      <c r="BC70" s="6"/>
      <c r="BD70" s="6">
        <v>1</v>
      </c>
      <c r="BE70" s="6">
        <f>1-1</f>
        <v>0</v>
      </c>
      <c r="BF70" s="74"/>
      <c r="BG70" s="74"/>
      <c r="BH70" s="74"/>
      <c r="BI70" s="74"/>
      <c r="BJ70" s="74"/>
      <c r="BK70" s="7">
        <f t="shared" si="49"/>
        <v>1</v>
      </c>
      <c r="BL70" s="8">
        <f t="shared" si="54"/>
        <v>21</v>
      </c>
      <c r="BM70" s="51" t="str">
        <f>IFERROR(VLOOKUP(A70,NF!$M:$O,3,0),"")</f>
        <v>Bebidas</v>
      </c>
      <c r="BN70" s="7">
        <f t="shared" si="55"/>
        <v>9</v>
      </c>
      <c r="BO70" s="8">
        <f t="array" ref="BO70">IFERROR(LARGE(IF(NF!$G$2:$G$3137='Mês atual'!A70,NF!$J$2:$J$3137),1),0)*BN70</f>
        <v>0</v>
      </c>
      <c r="BP70" s="50"/>
      <c r="BR70" s="147">
        <f t="array" ref="BR70">IFERROR(LARGE(IF(NF!$G$2:$G$3137='Mês atual'!A70,NF!$J$2:$J$3137),1),0)</f>
        <v>0</v>
      </c>
      <c r="BS70" s="143" t="str">
        <f>VLOOKUP(A70,NF!M:O,3,0)</f>
        <v>Bebidas</v>
      </c>
    </row>
    <row r="71" spans="1:74" ht="15.75" thickBot="1" x14ac:dyDescent="0.3">
      <c r="A71" s="108" t="s">
        <v>867</v>
      </c>
      <c r="B71" s="12"/>
      <c r="C71" s="9">
        <v>2</v>
      </c>
      <c r="D71" s="25"/>
      <c r="E71" s="10" t="str">
        <f t="shared" si="0"/>
        <v>OutubroSEMANA 1Vodka Smirnoff</v>
      </c>
      <c r="F71" s="7">
        <f>SUMIF(NF!$A:$A,$E71,NF!$I:$I)</f>
        <v>0</v>
      </c>
      <c r="G71" s="6">
        <v>1</v>
      </c>
      <c r="H71" s="6"/>
      <c r="I71" s="6"/>
      <c r="J71" s="6"/>
      <c r="K71" s="6"/>
      <c r="L71" s="6"/>
      <c r="M71" s="6"/>
      <c r="N71" s="7">
        <f t="shared" si="45"/>
        <v>1</v>
      </c>
      <c r="O71" s="11">
        <f t="shared" si="50"/>
        <v>1</v>
      </c>
      <c r="P71" s="25"/>
      <c r="Q71" s="10" t="str">
        <f t="shared" si="3"/>
        <v>OutubroSEMANA 2Vodka Smirnoff</v>
      </c>
      <c r="R71" s="7">
        <f>SUMIF(NF!$A:$A,$Q71,NF!$I:$I)</f>
        <v>1</v>
      </c>
      <c r="S71" s="6"/>
      <c r="T71" s="6"/>
      <c r="U71" s="6"/>
      <c r="V71" s="6"/>
      <c r="W71" s="6"/>
      <c r="X71" s="6">
        <v>1</v>
      </c>
      <c r="Y71" s="6"/>
      <c r="Z71" s="7">
        <f t="shared" ref="Z71" si="67">SUM(S71:Y71)</f>
        <v>1</v>
      </c>
      <c r="AA71" s="11">
        <f t="shared" si="51"/>
        <v>1</v>
      </c>
      <c r="AB71" s="25"/>
      <c r="AC71" s="10" t="str">
        <f t="shared" si="6"/>
        <v>OutubroSEMANA 3Vodka Smirnoff</v>
      </c>
      <c r="AD71" s="7">
        <f>SUMIF(NF!$A:$A,$AC71,NF!$I:$I)</f>
        <v>1</v>
      </c>
      <c r="AE71" s="6"/>
      <c r="AF71" s="6"/>
      <c r="AG71" s="6"/>
      <c r="AH71" s="6"/>
      <c r="AI71" s="6"/>
      <c r="AJ71" s="6"/>
      <c r="AK71" s="6"/>
      <c r="AL71" s="7">
        <f t="shared" ref="AL71" si="68">SUM(AE71:AK71)</f>
        <v>0</v>
      </c>
      <c r="AM71" s="11">
        <f t="shared" si="52"/>
        <v>2</v>
      </c>
      <c r="AN71" s="25"/>
      <c r="AO71" s="10" t="str">
        <f t="shared" si="9"/>
        <v>OutubroSEMANA 4Vodka Smirnoff</v>
      </c>
      <c r="AP71" s="7">
        <f>SUMIF(NF!$A:$A,$AO71,NF!$I:$I)</f>
        <v>0</v>
      </c>
      <c r="AQ71" s="6"/>
      <c r="AR71" s="6"/>
      <c r="AS71" s="6"/>
      <c r="AT71" s="6"/>
      <c r="AU71" s="6"/>
      <c r="AV71" s="6"/>
      <c r="AW71" s="6">
        <v>1</v>
      </c>
      <c r="AX71" s="7">
        <f t="shared" ref="AX71" si="69">SUM(AQ71:AW71)</f>
        <v>1</v>
      </c>
      <c r="AY71" s="11">
        <f t="shared" si="53"/>
        <v>1</v>
      </c>
      <c r="AZ71" s="25"/>
      <c r="BA71" s="10" t="str">
        <f t="shared" si="12"/>
        <v>OutubroSEMANA 5Vodka Smirnoff</v>
      </c>
      <c r="BB71" s="7">
        <f>SUMIF(NF!$A:$A,$BA71,NF!$I:$I)</f>
        <v>0</v>
      </c>
      <c r="BC71" s="6"/>
      <c r="BD71" s="6"/>
      <c r="BE71" s="6"/>
      <c r="BF71" s="74"/>
      <c r="BG71" s="74"/>
      <c r="BH71" s="74"/>
      <c r="BI71" s="74"/>
      <c r="BJ71" s="74"/>
      <c r="BK71" s="7">
        <f t="shared" si="49"/>
        <v>0</v>
      </c>
      <c r="BL71" s="8">
        <f t="shared" si="54"/>
        <v>1</v>
      </c>
      <c r="BM71" s="51" t="str">
        <f>IFERROR(VLOOKUP(A71,NF!$M:$O,3,0),"")</f>
        <v>Bebidas</v>
      </c>
      <c r="BN71" s="7">
        <f t="shared" si="55"/>
        <v>3</v>
      </c>
      <c r="BO71" s="8">
        <f t="array" ref="BO71">IFERROR(LARGE(IF(NF!$G$2:$G$3137='Mês atual'!A71,NF!$J$2:$J$3137),1),0)*BN71</f>
        <v>92.97</v>
      </c>
      <c r="BP71" s="50"/>
      <c r="BR71" s="147">
        <f t="array" ref="BR71">IFERROR(LARGE(IF(NF!$G$2:$G$3137='Mês atual'!A71,NF!$J$2:$J$3137),1),0)</f>
        <v>30.99</v>
      </c>
      <c r="BS71" s="143" t="str">
        <f>VLOOKUP(A71,NF!M:O,3,0)</f>
        <v>Bebidas</v>
      </c>
    </row>
    <row r="72" spans="1:74" s="16" customFormat="1" ht="30" customHeight="1" thickBot="1" x14ac:dyDescent="0.3">
      <c r="A72" s="139" t="s">
        <v>920</v>
      </c>
      <c r="B72" s="130"/>
      <c r="C72" s="131"/>
      <c r="D72" s="132"/>
      <c r="E72" s="133"/>
      <c r="F72" s="134"/>
      <c r="G72" s="133"/>
      <c r="H72" s="133"/>
      <c r="I72" s="133"/>
      <c r="J72" s="133"/>
      <c r="K72" s="133"/>
      <c r="L72" s="133"/>
      <c r="M72" s="133"/>
      <c r="N72" s="134"/>
      <c r="O72" s="134"/>
      <c r="P72" s="132"/>
      <c r="Q72" s="133"/>
      <c r="R72" s="134"/>
      <c r="S72" s="133"/>
      <c r="T72" s="133"/>
      <c r="U72" s="133"/>
      <c r="V72" s="133"/>
      <c r="W72" s="133"/>
      <c r="X72" s="133"/>
      <c r="Y72" s="133"/>
      <c r="Z72" s="134"/>
      <c r="AA72" s="134"/>
      <c r="AB72" s="132"/>
      <c r="AC72" s="133"/>
      <c r="AD72" s="134"/>
      <c r="AE72" s="133"/>
      <c r="AF72" s="133"/>
      <c r="AG72" s="133"/>
      <c r="AH72" s="133"/>
      <c r="AI72" s="133"/>
      <c r="AJ72" s="133"/>
      <c r="AK72" s="133"/>
      <c r="AL72" s="134"/>
      <c r="AM72" s="134"/>
      <c r="AN72" s="132"/>
      <c r="AO72" s="133"/>
      <c r="AP72" s="134"/>
      <c r="AQ72" s="133"/>
      <c r="AR72" s="133"/>
      <c r="AS72" s="133"/>
      <c r="AT72" s="133"/>
      <c r="AU72" s="133"/>
      <c r="AV72" s="133"/>
      <c r="AW72" s="133"/>
      <c r="AX72" s="134"/>
      <c r="AY72" s="134"/>
      <c r="AZ72" s="132"/>
      <c r="BA72" s="133"/>
      <c r="BB72" s="134"/>
      <c r="BC72" s="133"/>
      <c r="BD72" s="133"/>
      <c r="BE72" s="133"/>
      <c r="BF72" s="135"/>
      <c r="BG72" s="135"/>
      <c r="BH72" s="135"/>
      <c r="BI72" s="135"/>
      <c r="BJ72" s="135"/>
      <c r="BK72" s="134"/>
      <c r="BL72" s="134"/>
      <c r="BM72" s="136"/>
      <c r="BN72" s="137"/>
      <c r="BO72" s="137"/>
      <c r="BP72" s="138"/>
      <c r="BQ72" s="145"/>
      <c r="BR72" s="145"/>
      <c r="BS72" s="145"/>
      <c r="BT72" s="146"/>
      <c r="BU72" s="146"/>
      <c r="BV72" s="146"/>
    </row>
    <row r="73" spans="1:74" x14ac:dyDescent="0.25">
      <c r="A73" s="108" t="s">
        <v>941</v>
      </c>
      <c r="B73" s="12"/>
      <c r="C73" s="9"/>
      <c r="D73" s="25"/>
      <c r="E73" s="10" t="str">
        <f t="shared" ref="E73:E194" si="70">CONCATENATE($C$2,$F$1,$A73)</f>
        <v>OutubroSEMANA 1Aves - Drumet de Frango</v>
      </c>
      <c r="F73" s="7">
        <f>SUMIF(NF!$A:$A,$E73,NF!$I:$I)</f>
        <v>0</v>
      </c>
      <c r="G73" s="6"/>
      <c r="H73" s="6"/>
      <c r="I73" s="6"/>
      <c r="J73" s="6"/>
      <c r="K73" s="6"/>
      <c r="L73" s="6"/>
      <c r="M73" s="6"/>
      <c r="N73" s="7">
        <f t="shared" ref="N73" si="71">SUM(G73:M73)</f>
        <v>0</v>
      </c>
      <c r="O73" s="11">
        <f t="shared" ref="O73:O136" si="72">F73+C73-N73</f>
        <v>0</v>
      </c>
      <c r="P73" s="25"/>
      <c r="Q73" s="10" t="str">
        <f t="shared" ref="Q73:Q194" si="73">CONCATENATE($C$2,$R$1,$A73)</f>
        <v>OutubroSEMANA 2Aves - Drumet de Frango</v>
      </c>
      <c r="R73" s="7">
        <f>SUMIF(NF!$A:$A,$Q73,NF!$I:$I)</f>
        <v>0</v>
      </c>
      <c r="S73" s="6"/>
      <c r="T73" s="6"/>
      <c r="U73" s="6"/>
      <c r="V73" s="6"/>
      <c r="W73" s="6"/>
      <c r="X73" s="6"/>
      <c r="Y73" s="6"/>
      <c r="Z73" s="7">
        <f t="shared" ref="Z73" si="74">SUM(S73:Y73)</f>
        <v>0</v>
      </c>
      <c r="AA73" s="11">
        <f t="shared" ref="AA73:AA136" si="75">R73+O73-Z73</f>
        <v>0</v>
      </c>
      <c r="AB73" s="25"/>
      <c r="AC73" s="10" t="str">
        <f t="shared" ref="AC73:AC194" si="76">CONCATENATE($C$2,$AD$1,$A73)</f>
        <v>OutubroSEMANA 3Aves - Drumet de Frango</v>
      </c>
      <c r="AD73" s="7">
        <f>SUMIF(NF!$A:$A,$AC73,NF!$I:$I)</f>
        <v>0</v>
      </c>
      <c r="AE73" s="6"/>
      <c r="AF73" s="6"/>
      <c r="AG73" s="6"/>
      <c r="AH73" s="6"/>
      <c r="AI73" s="6"/>
      <c r="AJ73" s="6"/>
      <c r="AK73" s="6"/>
      <c r="AL73" s="7">
        <f t="shared" ref="AL73" si="77">SUM(AE73:AK73)</f>
        <v>0</v>
      </c>
      <c r="AM73" s="11">
        <f t="shared" ref="AM73:AM136" si="78">AD73+AA73-AL73</f>
        <v>0</v>
      </c>
      <c r="AN73" s="25"/>
      <c r="AO73" s="10" t="str">
        <f t="shared" ref="AO73:AO194" si="79">CONCATENATE($C$2,$AP$1,$A73)</f>
        <v>OutubroSEMANA 4Aves - Drumet de Frango</v>
      </c>
      <c r="AP73" s="7">
        <f>SUMIF(NF!$A:$A,$AO73,NF!$I:$I)</f>
        <v>0</v>
      </c>
      <c r="AQ73" s="6"/>
      <c r="AR73" s="6"/>
      <c r="AS73" s="6"/>
      <c r="AT73" s="6"/>
      <c r="AU73" s="6"/>
      <c r="AV73" s="6"/>
      <c r="AW73" s="6"/>
      <c r="AX73" s="7">
        <f t="shared" ref="AX73" si="80">SUM(AQ73:AW73)</f>
        <v>0</v>
      </c>
      <c r="AY73" s="11">
        <f t="shared" ref="AY73:AY136" si="81">AP73+AM73-AX73</f>
        <v>0</v>
      </c>
      <c r="AZ73" s="25"/>
      <c r="BA73" s="10" t="str">
        <f t="shared" ref="BA73:BA194" si="82">CONCATENATE($C$2,$BB$1,$A73)</f>
        <v>OutubroSEMANA 5Aves - Drumet de Frango</v>
      </c>
      <c r="BB73" s="7">
        <f>SUMIF(NF!$A:$A,$BA73,NF!$I:$I)</f>
        <v>0</v>
      </c>
      <c r="BC73" s="6"/>
      <c r="BD73" s="6"/>
      <c r="BE73" s="6"/>
      <c r="BF73" s="74"/>
      <c r="BG73" s="74"/>
      <c r="BH73" s="74"/>
      <c r="BI73" s="74"/>
      <c r="BJ73" s="74"/>
      <c r="BK73" s="7">
        <f t="shared" ref="BK73" si="83">SUM(BC73:BJ73)</f>
        <v>0</v>
      </c>
      <c r="BL73" s="8">
        <f t="shared" ref="BL73:BL136" si="84">BB73+AY73-BK73</f>
        <v>0</v>
      </c>
      <c r="BM73" s="51" t="str">
        <f>IFERROR(VLOOKUP(A73,NF!$M:$O,3,0),"")</f>
        <v>Carnes</v>
      </c>
      <c r="BN73" s="7">
        <f t="shared" ref="BN73:BN136" si="85">SUM(N73,Z73,AL73,AX73,BK73)</f>
        <v>0</v>
      </c>
      <c r="BO73" s="8">
        <f t="array" ref="BO73">IFERROR(LARGE(IF(NF!$G$2:$G$3137='Mês atual'!A73,NF!$J$2:$J$3137),1),0)*BN73</f>
        <v>0</v>
      </c>
      <c r="BP73" s="50"/>
      <c r="BR73" s="147">
        <f t="array" ref="BR73">IFERROR(LARGE(IF(NF!$G$2:$G$3137='Mês atual'!A73,NF!$J$2:$J$3137),1),0)</f>
        <v>0</v>
      </c>
      <c r="BS73" s="143" t="str">
        <f>VLOOKUP(A73,NF!M:O,3,0)</f>
        <v>Carnes</v>
      </c>
    </row>
    <row r="74" spans="1:74" x14ac:dyDescent="0.25">
      <c r="A74" s="108" t="s">
        <v>134</v>
      </c>
      <c r="B74" s="12"/>
      <c r="C74" s="9"/>
      <c r="D74" s="25"/>
      <c r="E74" s="10" t="str">
        <f t="shared" si="70"/>
        <v>OutubroSEMANA 1Aves -  Linguiça de frango</v>
      </c>
      <c r="F74" s="7">
        <f>SUMIF(NF!$A:$A,$E74,NF!$I:$I)</f>
        <v>0</v>
      </c>
      <c r="G74" s="6"/>
      <c r="H74" s="6"/>
      <c r="I74" s="6"/>
      <c r="J74" s="6"/>
      <c r="K74" s="6"/>
      <c r="L74" s="6"/>
      <c r="M74" s="6"/>
      <c r="N74" s="7">
        <f t="shared" ref="N74" si="86">SUM(G74:M74)</f>
        <v>0</v>
      </c>
      <c r="O74" s="11">
        <f t="shared" si="72"/>
        <v>0</v>
      </c>
      <c r="P74" s="25"/>
      <c r="Q74" s="10" t="str">
        <f t="shared" si="73"/>
        <v>OutubroSEMANA 2Aves -  Linguiça de frango</v>
      </c>
      <c r="R74" s="7">
        <f>SUMIF(NF!$A:$A,$Q74,NF!$I:$I)</f>
        <v>0</v>
      </c>
      <c r="S74" s="6"/>
      <c r="T74" s="6"/>
      <c r="U74" s="6"/>
      <c r="V74" s="6"/>
      <c r="W74" s="6"/>
      <c r="X74" s="6"/>
      <c r="Y74" s="6"/>
      <c r="Z74" s="7">
        <f t="shared" ref="Z74" si="87">SUM(S74:Y74)</f>
        <v>0</v>
      </c>
      <c r="AA74" s="11">
        <f t="shared" si="75"/>
        <v>0</v>
      </c>
      <c r="AB74" s="25"/>
      <c r="AC74" s="10" t="str">
        <f t="shared" si="76"/>
        <v>OutubroSEMANA 3Aves -  Linguiça de frango</v>
      </c>
      <c r="AD74" s="7">
        <f>SUMIF(NF!$A:$A,$AC74,NF!$I:$I)</f>
        <v>0</v>
      </c>
      <c r="AE74" s="6"/>
      <c r="AF74" s="6"/>
      <c r="AG74" s="6"/>
      <c r="AH74" s="6"/>
      <c r="AI74" s="6"/>
      <c r="AJ74" s="6"/>
      <c r="AK74" s="6"/>
      <c r="AL74" s="7">
        <f t="shared" ref="AL74" si="88">SUM(AE74:AK74)</f>
        <v>0</v>
      </c>
      <c r="AM74" s="11">
        <f t="shared" si="78"/>
        <v>0</v>
      </c>
      <c r="AN74" s="25"/>
      <c r="AO74" s="10" t="str">
        <f t="shared" si="79"/>
        <v>OutubroSEMANA 4Aves -  Linguiça de frango</v>
      </c>
      <c r="AP74" s="7">
        <f>SUMIF(NF!$A:$A,$AO74,NF!$I:$I)</f>
        <v>0</v>
      </c>
      <c r="AQ74" s="6"/>
      <c r="AR74" s="6"/>
      <c r="AS74" s="6"/>
      <c r="AT74" s="6"/>
      <c r="AU74" s="6"/>
      <c r="AV74" s="6"/>
      <c r="AW74" s="6"/>
      <c r="AX74" s="7">
        <f t="shared" ref="AX74" si="89">SUM(AQ74:AW74)</f>
        <v>0</v>
      </c>
      <c r="AY74" s="11">
        <f t="shared" si="81"/>
        <v>0</v>
      </c>
      <c r="AZ74" s="25"/>
      <c r="BA74" s="10" t="str">
        <f t="shared" si="82"/>
        <v>OutubroSEMANA 5Aves -  Linguiça de frango</v>
      </c>
      <c r="BB74" s="7">
        <f>SUMIF(NF!$A:$A,$BA74,NF!$I:$I)</f>
        <v>0</v>
      </c>
      <c r="BC74" s="6"/>
      <c r="BD74" s="6"/>
      <c r="BE74" s="6"/>
      <c r="BF74" s="74"/>
      <c r="BG74" s="74"/>
      <c r="BH74" s="74"/>
      <c r="BI74" s="74"/>
      <c r="BJ74" s="74"/>
      <c r="BK74" s="7">
        <f t="shared" ref="BK74" si="90">SUM(BC74:BJ74)</f>
        <v>0</v>
      </c>
      <c r="BL74" s="8">
        <f t="shared" si="84"/>
        <v>0</v>
      </c>
      <c r="BM74" s="51" t="str">
        <f>IFERROR(VLOOKUP(A74,NF!$M:$O,3,0),"")</f>
        <v>Carnes</v>
      </c>
      <c r="BN74" s="7">
        <f t="shared" si="85"/>
        <v>0</v>
      </c>
      <c r="BO74" s="8">
        <f t="array" ref="BO74">IFERROR(LARGE(IF(NF!$G$2:$G$3137='Mês atual'!A74,NF!$J$2:$J$3137),1),0)*BN74</f>
        <v>0</v>
      </c>
      <c r="BP74" s="50"/>
      <c r="BR74" s="147">
        <f t="array" ref="BR74">IFERROR(LARGE(IF(NF!$G$2:$G$3137='Mês atual'!A74,NF!$J$2:$J$3137),1),0)</f>
        <v>0</v>
      </c>
      <c r="BS74" s="143" t="str">
        <f>VLOOKUP(A74,NF!M:O,3,0)</f>
        <v>Carnes</v>
      </c>
    </row>
    <row r="75" spans="1:74" x14ac:dyDescent="0.25">
      <c r="A75" s="108" t="s">
        <v>135</v>
      </c>
      <c r="B75" s="12"/>
      <c r="C75" s="9"/>
      <c r="D75" s="25"/>
      <c r="E75" s="10" t="str">
        <f t="shared" si="70"/>
        <v>OutubroSEMANA 1Aves - Blanquete de Peru</v>
      </c>
      <c r="F75" s="7">
        <f>SUMIF(NF!$A:$A,$E75,NF!$I:$I)</f>
        <v>0</v>
      </c>
      <c r="G75" s="6"/>
      <c r="H75" s="6"/>
      <c r="I75" s="6"/>
      <c r="J75" s="6"/>
      <c r="K75" s="6"/>
      <c r="L75" s="6"/>
      <c r="M75" s="6"/>
      <c r="N75" s="7">
        <f t="shared" ref="N75:N81" si="91">SUM(G75:M75)</f>
        <v>0</v>
      </c>
      <c r="O75" s="11">
        <f t="shared" si="72"/>
        <v>0</v>
      </c>
      <c r="P75" s="25"/>
      <c r="Q75" s="10" t="str">
        <f t="shared" si="73"/>
        <v>OutubroSEMANA 2Aves - Blanquete de Peru</v>
      </c>
      <c r="R75" s="7">
        <f>SUMIF(NF!$A:$A,$Q75,NF!$I:$I)</f>
        <v>0</v>
      </c>
      <c r="S75" s="6"/>
      <c r="T75" s="6"/>
      <c r="U75" s="6"/>
      <c r="V75" s="6"/>
      <c r="W75" s="6"/>
      <c r="X75" s="6"/>
      <c r="Y75" s="6"/>
      <c r="Z75" s="7">
        <f t="shared" ref="Z75:Z81" si="92">SUM(S75:Y75)</f>
        <v>0</v>
      </c>
      <c r="AA75" s="11">
        <f t="shared" si="75"/>
        <v>0</v>
      </c>
      <c r="AB75" s="25"/>
      <c r="AC75" s="10" t="str">
        <f t="shared" si="76"/>
        <v>OutubroSEMANA 3Aves - Blanquete de Peru</v>
      </c>
      <c r="AD75" s="7">
        <f>SUMIF(NF!$A:$A,$AC75,NF!$I:$I)</f>
        <v>0</v>
      </c>
      <c r="AE75" s="6"/>
      <c r="AF75" s="6"/>
      <c r="AG75" s="6"/>
      <c r="AH75" s="6"/>
      <c r="AI75" s="6"/>
      <c r="AJ75" s="6"/>
      <c r="AK75" s="6"/>
      <c r="AL75" s="7">
        <f t="shared" ref="AL75:AL81" si="93">SUM(AE75:AK75)</f>
        <v>0</v>
      </c>
      <c r="AM75" s="11">
        <f t="shared" si="78"/>
        <v>0</v>
      </c>
      <c r="AN75" s="25"/>
      <c r="AO75" s="10" t="str">
        <f t="shared" si="79"/>
        <v>OutubroSEMANA 4Aves - Blanquete de Peru</v>
      </c>
      <c r="AP75" s="7">
        <f>SUMIF(NF!$A:$A,$AO75,NF!$I:$I)</f>
        <v>0</v>
      </c>
      <c r="AQ75" s="6"/>
      <c r="AR75" s="6"/>
      <c r="AS75" s="6"/>
      <c r="AT75" s="6"/>
      <c r="AU75" s="6"/>
      <c r="AV75" s="6"/>
      <c r="AW75" s="6"/>
      <c r="AX75" s="7">
        <f t="shared" ref="AX75:AX81" si="94">SUM(AQ75:AW75)</f>
        <v>0</v>
      </c>
      <c r="AY75" s="11">
        <f t="shared" si="81"/>
        <v>0</v>
      </c>
      <c r="AZ75" s="25"/>
      <c r="BA75" s="10" t="str">
        <f t="shared" si="82"/>
        <v>OutubroSEMANA 5Aves - Blanquete de Peru</v>
      </c>
      <c r="BB75" s="7">
        <f>SUMIF(NF!$A:$A,$BA75,NF!$I:$I)</f>
        <v>0</v>
      </c>
      <c r="BC75" s="6"/>
      <c r="BD75" s="6"/>
      <c r="BE75" s="6"/>
      <c r="BF75" s="74"/>
      <c r="BG75" s="74"/>
      <c r="BH75" s="74"/>
      <c r="BI75" s="74"/>
      <c r="BJ75" s="74"/>
      <c r="BK75" s="7">
        <f t="shared" ref="BK75:BK81" si="95">SUM(BC75:BJ75)</f>
        <v>0</v>
      </c>
      <c r="BL75" s="8">
        <f t="shared" si="84"/>
        <v>0</v>
      </c>
      <c r="BM75" s="51" t="str">
        <f>IFERROR(VLOOKUP(A75,NF!$M:$O,3,0),"")</f>
        <v>Carnes</v>
      </c>
      <c r="BN75" s="7">
        <f t="shared" si="85"/>
        <v>0</v>
      </c>
      <c r="BO75" s="8">
        <f t="array" ref="BO75">IFERROR(LARGE(IF(NF!$G$2:$G$3137='Mês atual'!A75,NF!$J$2:$J$3137),1),0)*BN75</f>
        <v>0</v>
      </c>
      <c r="BP75" s="50"/>
      <c r="BR75" s="147">
        <f t="array" ref="BR75">IFERROR(LARGE(IF(NF!$G$2:$G$3137='Mês atual'!A75,NF!$J$2:$J$3137),1),0)</f>
        <v>0</v>
      </c>
      <c r="BS75" s="143" t="str">
        <f>VLOOKUP(A75,NF!M:O,3,0)</f>
        <v>Carnes</v>
      </c>
    </row>
    <row r="76" spans="1:74" x14ac:dyDescent="0.25">
      <c r="A76" s="108" t="s">
        <v>136</v>
      </c>
      <c r="B76" s="12"/>
      <c r="C76" s="9"/>
      <c r="D76" s="25"/>
      <c r="E76" s="10" t="str">
        <f t="shared" si="70"/>
        <v>OutubroSEMANA 1Aves - Coração de Frango</v>
      </c>
      <c r="F76" s="7">
        <f>SUMIF(NF!$A:$A,$E76,NF!$I:$I)</f>
        <v>0</v>
      </c>
      <c r="G76" s="6"/>
      <c r="H76" s="6"/>
      <c r="I76" s="6"/>
      <c r="J76" s="6"/>
      <c r="K76" s="6"/>
      <c r="L76" s="6"/>
      <c r="M76" s="6"/>
      <c r="N76" s="7">
        <f t="shared" si="91"/>
        <v>0</v>
      </c>
      <c r="O76" s="11">
        <f t="shared" si="72"/>
        <v>0</v>
      </c>
      <c r="P76" s="25"/>
      <c r="Q76" s="10" t="str">
        <f t="shared" si="73"/>
        <v>OutubroSEMANA 2Aves - Coração de Frango</v>
      </c>
      <c r="R76" s="7">
        <f>SUMIF(NF!$A:$A,$Q76,NF!$I:$I)</f>
        <v>0</v>
      </c>
      <c r="S76" s="6"/>
      <c r="T76" s="6"/>
      <c r="U76" s="6"/>
      <c r="V76" s="6"/>
      <c r="W76" s="6"/>
      <c r="X76" s="6"/>
      <c r="Y76" s="6"/>
      <c r="Z76" s="7">
        <f t="shared" si="92"/>
        <v>0</v>
      </c>
      <c r="AA76" s="11">
        <f t="shared" si="75"/>
        <v>0</v>
      </c>
      <c r="AB76" s="25"/>
      <c r="AC76" s="10" t="str">
        <f t="shared" si="76"/>
        <v>OutubroSEMANA 3Aves - Coração de Frango</v>
      </c>
      <c r="AD76" s="7">
        <f>SUMIF(NF!$A:$A,$AC76,NF!$I:$I)</f>
        <v>0</v>
      </c>
      <c r="AE76" s="6"/>
      <c r="AF76" s="6"/>
      <c r="AG76" s="6"/>
      <c r="AH76" s="6"/>
      <c r="AI76" s="6"/>
      <c r="AJ76" s="6"/>
      <c r="AK76" s="6"/>
      <c r="AL76" s="7">
        <f t="shared" si="93"/>
        <v>0</v>
      </c>
      <c r="AM76" s="11">
        <f t="shared" si="78"/>
        <v>0</v>
      </c>
      <c r="AN76" s="25"/>
      <c r="AO76" s="10" t="str">
        <f t="shared" si="79"/>
        <v>OutubroSEMANA 4Aves - Coração de Frango</v>
      </c>
      <c r="AP76" s="7">
        <f>SUMIF(NF!$A:$A,$AO76,NF!$I:$I)</f>
        <v>18</v>
      </c>
      <c r="AQ76" s="6"/>
      <c r="AR76" s="6"/>
      <c r="AS76" s="6">
        <v>15</v>
      </c>
      <c r="AT76" s="6"/>
      <c r="AU76" s="6"/>
      <c r="AV76" s="6"/>
      <c r="AW76" s="6"/>
      <c r="AX76" s="7">
        <f t="shared" si="94"/>
        <v>15</v>
      </c>
      <c r="AY76" s="11">
        <f t="shared" si="81"/>
        <v>3</v>
      </c>
      <c r="AZ76" s="25"/>
      <c r="BA76" s="10" t="str">
        <f t="shared" si="82"/>
        <v>OutubroSEMANA 5Aves - Coração de Frango</v>
      </c>
      <c r="BB76" s="7">
        <f>SUMIF(NF!$A:$A,$BA76,NF!$I:$I)</f>
        <v>0</v>
      </c>
      <c r="BC76" s="6"/>
      <c r="BD76" s="6"/>
      <c r="BE76" s="6"/>
      <c r="BF76" s="74"/>
      <c r="BG76" s="74"/>
      <c r="BH76" s="74"/>
      <c r="BI76" s="74"/>
      <c r="BJ76" s="74"/>
      <c r="BK76" s="7">
        <f t="shared" si="95"/>
        <v>0</v>
      </c>
      <c r="BL76" s="8">
        <f t="shared" si="84"/>
        <v>3</v>
      </c>
      <c r="BM76" s="51" t="str">
        <f>IFERROR(VLOOKUP(A76,NF!$M:$O,3,0),"")</f>
        <v>Carnes</v>
      </c>
      <c r="BN76" s="7">
        <f t="shared" si="85"/>
        <v>15</v>
      </c>
      <c r="BO76" s="8">
        <f t="array" ref="BO76">IFERROR(LARGE(IF(NF!$G$2:$G$3137='Mês atual'!A76,NF!$J$2:$J$3137),1),0)*BN76</f>
        <v>170.85000000000002</v>
      </c>
      <c r="BP76" s="50"/>
      <c r="BR76" s="147">
        <f t="array" ref="BR76">IFERROR(LARGE(IF(NF!$G$2:$G$3137='Mês atual'!A76,NF!$J$2:$J$3137),1),0)</f>
        <v>11.39</v>
      </c>
      <c r="BS76" s="143" t="str">
        <f>VLOOKUP(A76,NF!M:O,3,0)</f>
        <v>Carnes</v>
      </c>
    </row>
    <row r="77" spans="1:74" x14ac:dyDescent="0.25">
      <c r="A77" s="108" t="s">
        <v>137</v>
      </c>
      <c r="B77" s="12"/>
      <c r="C77" s="9">
        <v>23.1</v>
      </c>
      <c r="D77" s="25"/>
      <c r="E77" s="10" t="str">
        <f t="shared" si="70"/>
        <v>OutubroSEMANA 1Aves - Filé de Coxa</v>
      </c>
      <c r="F77" s="7">
        <f>SUMIF(NF!$A:$A,$E77,NF!$I:$I)</f>
        <v>0</v>
      </c>
      <c r="G77" s="6"/>
      <c r="H77" s="6">
        <f>16.8+6.3-9.2</f>
        <v>13.900000000000002</v>
      </c>
      <c r="I77" s="6"/>
      <c r="J77" s="6"/>
      <c r="K77" s="6"/>
      <c r="L77" s="6">
        <v>9.1999999999999993</v>
      </c>
      <c r="M77" s="6"/>
      <c r="N77" s="7">
        <f t="shared" si="91"/>
        <v>23.1</v>
      </c>
      <c r="O77" s="11">
        <f t="shared" si="72"/>
        <v>0</v>
      </c>
      <c r="P77" s="25"/>
      <c r="Q77" s="10" t="str">
        <f t="shared" si="73"/>
        <v>OutubroSEMANA 2Aves - Filé de Coxa</v>
      </c>
      <c r="R77" s="7">
        <f>SUMIF(NF!$A:$A,$Q77,NF!$I:$I)</f>
        <v>16.799999999999997</v>
      </c>
      <c r="S77" s="6"/>
      <c r="T77" s="6"/>
      <c r="U77" s="6"/>
      <c r="V77" s="6">
        <v>14</v>
      </c>
      <c r="W77" s="6"/>
      <c r="X77" s="6"/>
      <c r="Y77" s="6"/>
      <c r="Z77" s="7">
        <f t="shared" si="92"/>
        <v>14</v>
      </c>
      <c r="AA77" s="11">
        <f t="shared" si="75"/>
        <v>2.7999999999999972</v>
      </c>
      <c r="AB77" s="25"/>
      <c r="AC77" s="10" t="str">
        <f t="shared" si="76"/>
        <v>OutubroSEMANA 3Aves - Filé de Coxa</v>
      </c>
      <c r="AD77" s="7">
        <f>SUMIF(NF!$A:$A,$AC77,NF!$I:$I)</f>
        <v>16.799999999999997</v>
      </c>
      <c r="AE77" s="6"/>
      <c r="AF77" s="6"/>
      <c r="AG77" s="6"/>
      <c r="AH77" s="6"/>
      <c r="AI77" s="6"/>
      <c r="AJ77" s="6">
        <v>12.6</v>
      </c>
      <c r="AK77" s="6"/>
      <c r="AL77" s="7">
        <f t="shared" si="93"/>
        <v>12.6</v>
      </c>
      <c r="AM77" s="11">
        <f t="shared" si="78"/>
        <v>6.9999999999999947</v>
      </c>
      <c r="AN77" s="25"/>
      <c r="AO77" s="10" t="str">
        <f t="shared" si="79"/>
        <v>OutubroSEMANA 4Aves - Filé de Coxa</v>
      </c>
      <c r="AP77" s="7">
        <f>SUMIF(NF!$A:$A,$AO77,NF!$I:$I)</f>
        <v>33.599999999999994</v>
      </c>
      <c r="AQ77" s="6"/>
      <c r="AR77" s="6"/>
      <c r="AS77" s="6">
        <v>11.9</v>
      </c>
      <c r="AT77" s="6"/>
      <c r="AU77" s="6"/>
      <c r="AV77" s="6">
        <f>9.6+3</f>
        <v>12.6</v>
      </c>
      <c r="AW77" s="6"/>
      <c r="AX77" s="7">
        <f t="shared" si="94"/>
        <v>24.5</v>
      </c>
      <c r="AY77" s="11">
        <f t="shared" si="81"/>
        <v>16.099999999999987</v>
      </c>
      <c r="AZ77" s="25"/>
      <c r="BA77" s="10" t="str">
        <f t="shared" si="82"/>
        <v>OutubroSEMANA 5Aves - Filé de Coxa</v>
      </c>
      <c r="BB77" s="7">
        <f>SUMIF(NF!$A:$A,$BA77,NF!$I:$I)</f>
        <v>0</v>
      </c>
      <c r="BC77" s="6"/>
      <c r="BD77" s="6"/>
      <c r="BE77" s="6"/>
      <c r="BF77" s="74"/>
      <c r="BG77" s="74"/>
      <c r="BH77" s="74"/>
      <c r="BI77" s="74"/>
      <c r="BJ77" s="74"/>
      <c r="BK77" s="7">
        <f t="shared" si="95"/>
        <v>0</v>
      </c>
      <c r="BL77" s="8">
        <f t="shared" si="84"/>
        <v>16.099999999999987</v>
      </c>
      <c r="BM77" s="51" t="str">
        <f>IFERROR(VLOOKUP(A77,NF!$M:$O,3,0),"")</f>
        <v>Carnes</v>
      </c>
      <c r="BN77" s="7">
        <f t="shared" si="85"/>
        <v>74.2</v>
      </c>
      <c r="BO77" s="8">
        <f t="array" ref="BO77">IFERROR(LARGE(IF(NF!$G$2:$G$3137='Mês atual'!A77,NF!$J$2:$J$3137),1),0)*BN77</f>
        <v>645.54</v>
      </c>
      <c r="BP77" s="50"/>
      <c r="BR77" s="147">
        <f t="array" ref="BR77">IFERROR(LARGE(IF(NF!$G$2:$G$3137='Mês atual'!A77,NF!$J$2:$J$3137),1),0)</f>
        <v>8.6999999999999993</v>
      </c>
      <c r="BS77" s="143" t="str">
        <f>VLOOKUP(A77,NF!M:O,3,0)</f>
        <v>Carnes</v>
      </c>
    </row>
    <row r="78" spans="1:74" x14ac:dyDescent="0.25">
      <c r="A78" s="108" t="s">
        <v>138</v>
      </c>
      <c r="B78" s="12"/>
      <c r="C78" s="9"/>
      <c r="D78" s="25"/>
      <c r="E78" s="10" t="str">
        <f t="shared" si="70"/>
        <v>OutubroSEMANA 1Aves - Filé de Coxa c/ pele</v>
      </c>
      <c r="F78" s="7">
        <f>SUMIF(NF!$A:$A,$E78,NF!$I:$I)</f>
        <v>0</v>
      </c>
      <c r="G78" s="6"/>
      <c r="H78" s="6"/>
      <c r="I78" s="6"/>
      <c r="J78" s="6"/>
      <c r="K78" s="6"/>
      <c r="L78" s="6"/>
      <c r="M78" s="6"/>
      <c r="N78" s="7">
        <f t="shared" si="91"/>
        <v>0</v>
      </c>
      <c r="O78" s="11">
        <f t="shared" si="72"/>
        <v>0</v>
      </c>
      <c r="P78" s="25"/>
      <c r="Q78" s="10" t="str">
        <f t="shared" si="73"/>
        <v>OutubroSEMANA 2Aves - Filé de Coxa c/ pele</v>
      </c>
      <c r="R78" s="7">
        <f>SUMIF(NF!$A:$A,$Q78,NF!$I:$I)</f>
        <v>0</v>
      </c>
      <c r="S78" s="6"/>
      <c r="T78" s="6"/>
      <c r="U78" s="6"/>
      <c r="V78" s="6"/>
      <c r="W78" s="6"/>
      <c r="X78" s="6"/>
      <c r="Y78" s="6"/>
      <c r="Z78" s="7">
        <f t="shared" si="92"/>
        <v>0</v>
      </c>
      <c r="AA78" s="11">
        <f t="shared" si="75"/>
        <v>0</v>
      </c>
      <c r="AB78" s="25"/>
      <c r="AC78" s="10" t="str">
        <f t="shared" si="76"/>
        <v>OutubroSEMANA 3Aves - Filé de Coxa c/ pele</v>
      </c>
      <c r="AD78" s="7">
        <f>SUMIF(NF!$A:$A,$AC78,NF!$I:$I)</f>
        <v>0</v>
      </c>
      <c r="AE78" s="6"/>
      <c r="AF78" s="6"/>
      <c r="AG78" s="6"/>
      <c r="AH78" s="6"/>
      <c r="AI78" s="6"/>
      <c r="AJ78" s="6"/>
      <c r="AK78" s="6"/>
      <c r="AL78" s="7">
        <f t="shared" si="93"/>
        <v>0</v>
      </c>
      <c r="AM78" s="11">
        <f t="shared" si="78"/>
        <v>0</v>
      </c>
      <c r="AN78" s="25"/>
      <c r="AO78" s="10" t="str">
        <f t="shared" si="79"/>
        <v>OutubroSEMANA 4Aves - Filé de Coxa c/ pele</v>
      </c>
      <c r="AP78" s="7">
        <f>SUMIF(NF!$A:$A,$AO78,NF!$I:$I)</f>
        <v>0</v>
      </c>
      <c r="AQ78" s="6"/>
      <c r="AR78" s="6"/>
      <c r="AS78" s="6"/>
      <c r="AT78" s="6"/>
      <c r="AU78" s="6"/>
      <c r="AV78" s="6"/>
      <c r="AW78" s="6"/>
      <c r="AX78" s="7">
        <f t="shared" si="94"/>
        <v>0</v>
      </c>
      <c r="AY78" s="11">
        <f t="shared" si="81"/>
        <v>0</v>
      </c>
      <c r="AZ78" s="25"/>
      <c r="BA78" s="10" t="str">
        <f t="shared" si="82"/>
        <v>OutubroSEMANA 5Aves - Filé de Coxa c/ pele</v>
      </c>
      <c r="BB78" s="7">
        <f>SUMIF(NF!$A:$A,$BA78,NF!$I:$I)</f>
        <v>0</v>
      </c>
      <c r="BC78" s="6"/>
      <c r="BD78" s="6"/>
      <c r="BE78" s="6"/>
      <c r="BF78" s="74"/>
      <c r="BG78" s="74"/>
      <c r="BH78" s="74"/>
      <c r="BI78" s="74"/>
      <c r="BJ78" s="74"/>
      <c r="BK78" s="7">
        <f t="shared" si="95"/>
        <v>0</v>
      </c>
      <c r="BL78" s="8">
        <f t="shared" si="84"/>
        <v>0</v>
      </c>
      <c r="BM78" s="51" t="str">
        <f>IFERROR(VLOOKUP(A78,NF!$M:$O,3,0),"")</f>
        <v>Carnes</v>
      </c>
      <c r="BN78" s="7">
        <f t="shared" si="85"/>
        <v>0</v>
      </c>
      <c r="BO78" s="8">
        <f t="array" ref="BO78">IFERROR(LARGE(IF(NF!$G$2:$G$3137='Mês atual'!A78,NF!$J$2:$J$3137),1),0)*BN78</f>
        <v>0</v>
      </c>
      <c r="BP78" s="50"/>
      <c r="BR78" s="147">
        <f t="array" ref="BR78">IFERROR(LARGE(IF(NF!$G$2:$G$3137='Mês atual'!A78,NF!$J$2:$J$3137),1),0)</f>
        <v>0</v>
      </c>
      <c r="BS78" s="143" t="str">
        <f>VLOOKUP(A78,NF!M:O,3,0)</f>
        <v>Carnes</v>
      </c>
    </row>
    <row r="79" spans="1:74" x14ac:dyDescent="0.25">
      <c r="A79" s="108" t="s">
        <v>885</v>
      </c>
      <c r="B79" s="12"/>
      <c r="C79" s="9"/>
      <c r="D79" s="25"/>
      <c r="E79" s="10" t="str">
        <f t="shared" si="70"/>
        <v>OutubroSEMANA 1Aves - Filé de Coxa e Sobrecoxa s/pele</v>
      </c>
      <c r="F79" s="7">
        <f>SUMIF(NF!$A:$A,$E79,NF!$I:$I)</f>
        <v>0</v>
      </c>
      <c r="G79" s="6"/>
      <c r="H79" s="6"/>
      <c r="I79" s="6"/>
      <c r="J79" s="6"/>
      <c r="K79" s="6"/>
      <c r="L79" s="6"/>
      <c r="M79" s="6"/>
      <c r="N79" s="7">
        <f t="shared" si="91"/>
        <v>0</v>
      </c>
      <c r="O79" s="11">
        <f t="shared" si="72"/>
        <v>0</v>
      </c>
      <c r="P79" s="25"/>
      <c r="Q79" s="10" t="str">
        <f t="shared" si="73"/>
        <v>OutubroSEMANA 2Aves - Filé de Coxa e Sobrecoxa s/pele</v>
      </c>
      <c r="R79" s="7">
        <f>SUMIF(NF!$A:$A,$Q79,NF!$I:$I)</f>
        <v>0</v>
      </c>
      <c r="S79" s="6"/>
      <c r="T79" s="6"/>
      <c r="U79" s="6"/>
      <c r="V79" s="6"/>
      <c r="W79" s="6"/>
      <c r="X79" s="6"/>
      <c r="Y79" s="6"/>
      <c r="Z79" s="7">
        <f t="shared" si="92"/>
        <v>0</v>
      </c>
      <c r="AA79" s="11">
        <f t="shared" si="75"/>
        <v>0</v>
      </c>
      <c r="AB79" s="25"/>
      <c r="AC79" s="10" t="str">
        <f t="shared" si="76"/>
        <v>OutubroSEMANA 3Aves - Filé de Coxa e Sobrecoxa s/pele</v>
      </c>
      <c r="AD79" s="7">
        <f>SUMIF(NF!$A:$A,$AC79,NF!$I:$I)</f>
        <v>0</v>
      </c>
      <c r="AE79" s="6"/>
      <c r="AF79" s="6"/>
      <c r="AG79" s="6"/>
      <c r="AH79" s="6"/>
      <c r="AI79" s="6"/>
      <c r="AJ79" s="6"/>
      <c r="AK79" s="6"/>
      <c r="AL79" s="7">
        <f t="shared" si="93"/>
        <v>0</v>
      </c>
      <c r="AM79" s="11">
        <f t="shared" si="78"/>
        <v>0</v>
      </c>
      <c r="AN79" s="25"/>
      <c r="AO79" s="10" t="str">
        <f t="shared" si="79"/>
        <v>OutubroSEMANA 4Aves - Filé de Coxa e Sobrecoxa s/pele</v>
      </c>
      <c r="AP79" s="7">
        <f>SUMIF(NF!$A:$A,$AO79,NF!$I:$I)</f>
        <v>0</v>
      </c>
      <c r="AQ79" s="6"/>
      <c r="AR79" s="6"/>
      <c r="AS79" s="6"/>
      <c r="AT79" s="6"/>
      <c r="AU79" s="6"/>
      <c r="AV79" s="6"/>
      <c r="AW79" s="6"/>
      <c r="AX79" s="7">
        <f t="shared" si="94"/>
        <v>0</v>
      </c>
      <c r="AY79" s="11">
        <f t="shared" si="81"/>
        <v>0</v>
      </c>
      <c r="AZ79" s="25"/>
      <c r="BA79" s="10" t="str">
        <f t="shared" si="82"/>
        <v>OutubroSEMANA 5Aves - Filé de Coxa e Sobrecoxa s/pele</v>
      </c>
      <c r="BB79" s="7">
        <f>SUMIF(NF!$A:$A,$BA79,NF!$I:$I)</f>
        <v>0</v>
      </c>
      <c r="BC79" s="6"/>
      <c r="BD79" s="6"/>
      <c r="BE79" s="6"/>
      <c r="BF79" s="74"/>
      <c r="BG79" s="74"/>
      <c r="BH79" s="74"/>
      <c r="BI79" s="74"/>
      <c r="BJ79" s="74"/>
      <c r="BK79" s="7">
        <f t="shared" si="95"/>
        <v>0</v>
      </c>
      <c r="BL79" s="8">
        <f t="shared" si="84"/>
        <v>0</v>
      </c>
      <c r="BM79" s="51" t="str">
        <f>IFERROR(VLOOKUP(A79,NF!$M:$O,3,0),"")</f>
        <v>Carnes</v>
      </c>
      <c r="BN79" s="7">
        <f t="shared" si="85"/>
        <v>0</v>
      </c>
      <c r="BO79" s="8">
        <f t="array" ref="BO79">IFERROR(LARGE(IF(NF!$G$2:$G$3137='Mês atual'!A79,NF!$J$2:$J$3137),1),0)*BN79</f>
        <v>0</v>
      </c>
      <c r="BP79" s="50"/>
      <c r="BR79" s="147">
        <f t="array" ref="BR79">IFERROR(LARGE(IF(NF!$G$2:$G$3137='Mês atual'!A79,NF!$J$2:$J$3137),1),0)</f>
        <v>0</v>
      </c>
      <c r="BS79" s="143" t="str">
        <f>VLOOKUP(A79,NF!M:O,3,0)</f>
        <v>Carnes</v>
      </c>
    </row>
    <row r="80" spans="1:74" x14ac:dyDescent="0.25">
      <c r="A80" s="108" t="s">
        <v>139</v>
      </c>
      <c r="B80" s="12"/>
      <c r="C80" s="9">
        <v>63.8</v>
      </c>
      <c r="D80" s="25"/>
      <c r="E80" s="10" t="str">
        <f t="shared" si="70"/>
        <v>OutubroSEMANA 1Aves - Filé de Peito de Frango</v>
      </c>
      <c r="F80" s="7">
        <f>SUMIF(NF!$A:$A,$E80,NF!$I:$I)</f>
        <v>96</v>
      </c>
      <c r="G80" s="6"/>
      <c r="H80" s="6">
        <v>15.74</v>
      </c>
      <c r="I80" s="6">
        <v>20.399999999999999</v>
      </c>
      <c r="J80" s="6">
        <v>14.71</v>
      </c>
      <c r="K80" s="6">
        <v>14.71</v>
      </c>
      <c r="L80" s="6">
        <v>22.96</v>
      </c>
      <c r="M80" s="6">
        <v>21.46</v>
      </c>
      <c r="N80" s="7">
        <f t="shared" si="91"/>
        <v>109.98000000000002</v>
      </c>
      <c r="O80" s="11">
        <f t="shared" si="72"/>
        <v>49.819999999999993</v>
      </c>
      <c r="P80" s="25"/>
      <c r="Q80" s="10" t="str">
        <f t="shared" si="73"/>
        <v>OutubroSEMANA 2Aves - Filé de Peito de Frango</v>
      </c>
      <c r="R80" s="7">
        <f>SUMIF(NF!$A:$A,$Q80,NF!$I:$I)</f>
        <v>144</v>
      </c>
      <c r="S80" s="6">
        <v>11.34</v>
      </c>
      <c r="T80" s="6">
        <f>20+16.9</f>
        <v>36.9</v>
      </c>
      <c r="U80" s="6"/>
      <c r="V80" s="6"/>
      <c r="W80" s="6">
        <v>25.22</v>
      </c>
      <c r="X80" s="6">
        <v>22.8</v>
      </c>
      <c r="Y80" s="6">
        <v>13.19</v>
      </c>
      <c r="Z80" s="7">
        <f t="shared" si="92"/>
        <v>109.44999999999999</v>
      </c>
      <c r="AA80" s="11">
        <f t="shared" si="75"/>
        <v>84.37</v>
      </c>
      <c r="AB80" s="25"/>
      <c r="AC80" s="10" t="str">
        <f t="shared" si="76"/>
        <v>OutubroSEMANA 3Aves - Filé de Peito de Frango</v>
      </c>
      <c r="AD80" s="7">
        <f>SUMIF(NF!$A:$A,$AC80,NF!$I:$I)</f>
        <v>96</v>
      </c>
      <c r="AE80" s="6">
        <v>13.19</v>
      </c>
      <c r="AF80" s="6">
        <v>22.62</v>
      </c>
      <c r="AG80" s="6">
        <v>5.1059999999999999</v>
      </c>
      <c r="AH80" s="6">
        <f>28.72+10</f>
        <v>38.72</v>
      </c>
      <c r="AI80" s="6">
        <f>12.88+11.245</f>
        <v>24.125</v>
      </c>
      <c r="AJ80" s="6"/>
      <c r="AK80" s="6">
        <v>26.12</v>
      </c>
      <c r="AL80" s="7">
        <f t="shared" si="93"/>
        <v>129.881</v>
      </c>
      <c r="AM80" s="11">
        <f t="shared" si="78"/>
        <v>50.489000000000004</v>
      </c>
      <c r="AN80" s="25"/>
      <c r="AO80" s="10" t="str">
        <f t="shared" si="79"/>
        <v>OutubroSEMANA 4Aves - Filé de Peito de Frango</v>
      </c>
      <c r="AP80" s="7">
        <f>SUMIF(NF!$A:$A,$AO80,NF!$I:$I)</f>
        <v>96</v>
      </c>
      <c r="AQ80" s="6">
        <v>14.02</v>
      </c>
      <c r="AR80" s="6">
        <v>14.04</v>
      </c>
      <c r="AS80" s="6">
        <v>17.3</v>
      </c>
      <c r="AT80" s="6"/>
      <c r="AU80" s="6">
        <v>31.4</v>
      </c>
      <c r="AV80" s="6"/>
      <c r="AW80" s="6">
        <f>12.82+2.5</f>
        <v>15.32</v>
      </c>
      <c r="AX80" s="7">
        <f t="shared" si="94"/>
        <v>92.079999999999984</v>
      </c>
      <c r="AY80" s="11">
        <f t="shared" si="81"/>
        <v>54.40900000000002</v>
      </c>
      <c r="AZ80" s="25"/>
      <c r="BA80" s="10" t="str">
        <f t="shared" si="82"/>
        <v>OutubroSEMANA 5Aves - Filé de Peito de Frango</v>
      </c>
      <c r="BB80" s="7">
        <f>SUMIF(NF!$A:$A,$BA80,NF!$I:$I)</f>
        <v>48</v>
      </c>
      <c r="BC80" s="6">
        <f>12.82+2.59</f>
        <v>15.41</v>
      </c>
      <c r="BD80" s="6">
        <v>20</v>
      </c>
      <c r="BE80" s="6">
        <f>19+14.3</f>
        <v>33.299999999999997</v>
      </c>
      <c r="BF80" s="74"/>
      <c r="BG80" s="74"/>
      <c r="BH80" s="74"/>
      <c r="BI80" s="74"/>
      <c r="BJ80" s="74"/>
      <c r="BK80" s="7">
        <f t="shared" si="95"/>
        <v>68.709999999999994</v>
      </c>
      <c r="BL80" s="8">
        <f t="shared" si="84"/>
        <v>33.699000000000026</v>
      </c>
      <c r="BM80" s="51" t="str">
        <f>IFERROR(VLOOKUP(A80,NF!$M:$O,3,0),"")</f>
        <v>Carnes</v>
      </c>
      <c r="BN80" s="7">
        <f t="shared" si="85"/>
        <v>510.101</v>
      </c>
      <c r="BO80" s="8">
        <f t="array" ref="BO80">IFERROR(LARGE(IF(NF!$G$2:$G$3137='Mês atual'!A80,NF!$J$2:$J$3137),1),0)*BN80</f>
        <v>3978.7878000000001</v>
      </c>
      <c r="BP80" s="50"/>
      <c r="BR80" s="147">
        <f t="array" ref="BR80">IFERROR(LARGE(IF(NF!$G$2:$G$3137='Mês atual'!A80,NF!$J$2:$J$3137),1),0)</f>
        <v>7.8</v>
      </c>
      <c r="BS80" s="143" t="str">
        <f>VLOOKUP(A80,NF!M:O,3,0)</f>
        <v>Carnes</v>
      </c>
    </row>
    <row r="81" spans="1:71" x14ac:dyDescent="0.25">
      <c r="A81" s="108" t="s">
        <v>140</v>
      </c>
      <c r="B81" s="12"/>
      <c r="C81" s="9"/>
      <c r="D81" s="25"/>
      <c r="E81" s="10" t="str">
        <f t="shared" si="70"/>
        <v>OutubroSEMANA 1Aves - Filé de Peito Korin</v>
      </c>
      <c r="F81" s="7">
        <f>SUMIF(NF!$A:$A,$E81,NF!$I:$I)</f>
        <v>0</v>
      </c>
      <c r="G81" s="6"/>
      <c r="H81" s="6"/>
      <c r="I81" s="6"/>
      <c r="J81" s="6"/>
      <c r="K81" s="6"/>
      <c r="L81" s="6"/>
      <c r="M81" s="6"/>
      <c r="N81" s="7">
        <f t="shared" si="91"/>
        <v>0</v>
      </c>
      <c r="O81" s="11">
        <f t="shared" si="72"/>
        <v>0</v>
      </c>
      <c r="P81" s="25"/>
      <c r="Q81" s="10" t="str">
        <f t="shared" si="73"/>
        <v>OutubroSEMANA 2Aves - Filé de Peito Korin</v>
      </c>
      <c r="R81" s="7">
        <f>SUMIF(NF!$A:$A,$Q81,NF!$I:$I)</f>
        <v>0</v>
      </c>
      <c r="S81" s="6"/>
      <c r="T81" s="6"/>
      <c r="U81" s="6"/>
      <c r="V81" s="6"/>
      <c r="W81" s="6"/>
      <c r="X81" s="6"/>
      <c r="Y81" s="6"/>
      <c r="Z81" s="7">
        <f t="shared" si="92"/>
        <v>0</v>
      </c>
      <c r="AA81" s="11">
        <f t="shared" si="75"/>
        <v>0</v>
      </c>
      <c r="AB81" s="25"/>
      <c r="AC81" s="10" t="str">
        <f t="shared" si="76"/>
        <v>OutubroSEMANA 3Aves - Filé de Peito Korin</v>
      </c>
      <c r="AD81" s="7">
        <f>SUMIF(NF!$A:$A,$AC81,NF!$I:$I)</f>
        <v>0</v>
      </c>
      <c r="AE81" s="6"/>
      <c r="AF81" s="6"/>
      <c r="AG81" s="6"/>
      <c r="AH81" s="6"/>
      <c r="AI81" s="6"/>
      <c r="AJ81" s="6"/>
      <c r="AK81" s="6"/>
      <c r="AL81" s="7">
        <f t="shared" si="93"/>
        <v>0</v>
      </c>
      <c r="AM81" s="11">
        <f t="shared" si="78"/>
        <v>0</v>
      </c>
      <c r="AN81" s="25"/>
      <c r="AO81" s="10" t="str">
        <f t="shared" si="79"/>
        <v>OutubroSEMANA 4Aves - Filé de Peito Korin</v>
      </c>
      <c r="AP81" s="7">
        <f>SUMIF(NF!$A:$A,$AO81,NF!$I:$I)</f>
        <v>0</v>
      </c>
      <c r="AQ81" s="6"/>
      <c r="AR81" s="6"/>
      <c r="AS81" s="6"/>
      <c r="AT81" s="6"/>
      <c r="AU81" s="6"/>
      <c r="AV81" s="6"/>
      <c r="AW81" s="6"/>
      <c r="AX81" s="7">
        <f t="shared" si="94"/>
        <v>0</v>
      </c>
      <c r="AY81" s="11">
        <f t="shared" si="81"/>
        <v>0</v>
      </c>
      <c r="AZ81" s="25"/>
      <c r="BA81" s="10" t="str">
        <f t="shared" si="82"/>
        <v>OutubroSEMANA 5Aves - Filé de Peito Korin</v>
      </c>
      <c r="BB81" s="7">
        <f>SUMIF(NF!$A:$A,$BA81,NF!$I:$I)</f>
        <v>0</v>
      </c>
      <c r="BC81" s="6"/>
      <c r="BD81" s="6"/>
      <c r="BE81" s="6"/>
      <c r="BF81" s="74"/>
      <c r="BG81" s="74"/>
      <c r="BH81" s="74"/>
      <c r="BI81" s="74"/>
      <c r="BJ81" s="74"/>
      <c r="BK81" s="7">
        <f t="shared" si="95"/>
        <v>0</v>
      </c>
      <c r="BL81" s="8">
        <f t="shared" si="84"/>
        <v>0</v>
      </c>
      <c r="BM81" s="51" t="str">
        <f>IFERROR(VLOOKUP(A81,NF!$M:$O,3,0),"")</f>
        <v>Carnes</v>
      </c>
      <c r="BN81" s="7">
        <f t="shared" si="85"/>
        <v>0</v>
      </c>
      <c r="BO81" s="8">
        <f t="array" ref="BO81">IFERROR(LARGE(IF(NF!$G$2:$G$3137='Mês atual'!A81,NF!$J$2:$J$3137),1),0)*BN81</f>
        <v>0</v>
      </c>
      <c r="BP81" s="50"/>
      <c r="BR81" s="147">
        <f t="array" ref="BR81">IFERROR(LARGE(IF(NF!$G$2:$G$3137='Mês atual'!A81,NF!$J$2:$J$3137),1),0)</f>
        <v>0</v>
      </c>
      <c r="BS81" s="143" t="str">
        <f>VLOOKUP(A81,NF!M:O,3,0)</f>
        <v>Carnes</v>
      </c>
    </row>
    <row r="82" spans="1:71" x14ac:dyDescent="0.25">
      <c r="A82" s="108" t="s">
        <v>141</v>
      </c>
      <c r="B82" s="12"/>
      <c r="C82" s="9"/>
      <c r="D82" s="25"/>
      <c r="E82" s="10" t="str">
        <f t="shared" si="70"/>
        <v>OutubroSEMANA 1Aves - Filezinho Sassami</v>
      </c>
      <c r="F82" s="7">
        <f>SUMIF(NF!$A:$A,$E82,NF!$I:$I)</f>
        <v>0</v>
      </c>
      <c r="G82" s="6"/>
      <c r="H82" s="6"/>
      <c r="I82" s="6"/>
      <c r="J82" s="6"/>
      <c r="K82" s="6"/>
      <c r="L82" s="6"/>
      <c r="M82" s="6"/>
      <c r="N82" s="7">
        <f t="shared" ref="N82" si="96">SUM(G82:M82)</f>
        <v>0</v>
      </c>
      <c r="O82" s="11">
        <f t="shared" si="72"/>
        <v>0</v>
      </c>
      <c r="P82" s="25"/>
      <c r="Q82" s="10" t="str">
        <f t="shared" si="73"/>
        <v>OutubroSEMANA 2Aves - Filezinho Sassami</v>
      </c>
      <c r="R82" s="7">
        <f>SUMIF(NF!$A:$A,$Q82,NF!$I:$I)</f>
        <v>0</v>
      </c>
      <c r="S82" s="6"/>
      <c r="T82" s="6"/>
      <c r="U82" s="6"/>
      <c r="V82" s="6"/>
      <c r="W82" s="6"/>
      <c r="X82" s="6"/>
      <c r="Y82" s="6"/>
      <c r="Z82" s="7">
        <f t="shared" ref="Z82" si="97">SUM(S82:Y82)</f>
        <v>0</v>
      </c>
      <c r="AA82" s="11">
        <f t="shared" si="75"/>
        <v>0</v>
      </c>
      <c r="AB82" s="25"/>
      <c r="AC82" s="10" t="str">
        <f t="shared" si="76"/>
        <v>OutubroSEMANA 3Aves - Filezinho Sassami</v>
      </c>
      <c r="AD82" s="7">
        <f>SUMIF(NF!$A:$A,$AC82,NF!$I:$I)</f>
        <v>0</v>
      </c>
      <c r="AE82" s="6"/>
      <c r="AF82" s="6"/>
      <c r="AG82" s="6"/>
      <c r="AH82" s="6"/>
      <c r="AI82" s="6"/>
      <c r="AJ82" s="6"/>
      <c r="AK82" s="6"/>
      <c r="AL82" s="7">
        <f t="shared" ref="AL82" si="98">SUM(AE82:AK82)</f>
        <v>0</v>
      </c>
      <c r="AM82" s="11">
        <f t="shared" si="78"/>
        <v>0</v>
      </c>
      <c r="AN82" s="25"/>
      <c r="AO82" s="10" t="str">
        <f t="shared" si="79"/>
        <v>OutubroSEMANA 4Aves - Filezinho Sassami</v>
      </c>
      <c r="AP82" s="7">
        <f>SUMIF(NF!$A:$A,$AO82,NF!$I:$I)</f>
        <v>0</v>
      </c>
      <c r="AQ82" s="6"/>
      <c r="AR82" s="6"/>
      <c r="AS82" s="6"/>
      <c r="AT82" s="6"/>
      <c r="AU82" s="6"/>
      <c r="AV82" s="6"/>
      <c r="AW82" s="6"/>
      <c r="AX82" s="7">
        <f t="shared" ref="AX82" si="99">SUM(AQ82:AW82)</f>
        <v>0</v>
      </c>
      <c r="AY82" s="11">
        <f t="shared" si="81"/>
        <v>0</v>
      </c>
      <c r="AZ82" s="25"/>
      <c r="BA82" s="10" t="str">
        <f t="shared" si="82"/>
        <v>OutubroSEMANA 5Aves - Filezinho Sassami</v>
      </c>
      <c r="BB82" s="7">
        <f>SUMIF(NF!$A:$A,$BA82,NF!$I:$I)</f>
        <v>0</v>
      </c>
      <c r="BC82" s="6"/>
      <c r="BD82" s="6"/>
      <c r="BE82" s="6"/>
      <c r="BF82" s="74"/>
      <c r="BG82" s="74"/>
      <c r="BH82" s="74"/>
      <c r="BI82" s="74"/>
      <c r="BJ82" s="74"/>
      <c r="BK82" s="7">
        <f t="shared" ref="BK82" si="100">SUM(BC82:BJ82)</f>
        <v>0</v>
      </c>
      <c r="BL82" s="8">
        <f t="shared" si="84"/>
        <v>0</v>
      </c>
      <c r="BM82" s="51" t="str">
        <f>IFERROR(VLOOKUP(A82,NF!$M:$O,3,0),"")</f>
        <v>Carnes</v>
      </c>
      <c r="BN82" s="7">
        <f t="shared" si="85"/>
        <v>0</v>
      </c>
      <c r="BO82" s="8">
        <f t="array" ref="BO82">IFERROR(LARGE(IF(NF!$G$2:$G$3137='Mês atual'!A82,NF!$J$2:$J$3137),1),0)*BN82</f>
        <v>0</v>
      </c>
      <c r="BP82" s="50"/>
      <c r="BR82" s="147">
        <f t="array" ref="BR82">IFERROR(LARGE(IF(NF!$G$2:$G$3137='Mês atual'!A82,NF!$J$2:$J$3137),1),0)</f>
        <v>0</v>
      </c>
      <c r="BS82" s="143" t="str">
        <f>VLOOKUP(A82,NF!M:O,3,0)</f>
        <v>Carnes</v>
      </c>
    </row>
    <row r="83" spans="1:71" x14ac:dyDescent="0.25">
      <c r="A83" s="108" t="s">
        <v>142</v>
      </c>
      <c r="B83" s="12"/>
      <c r="C83" s="9"/>
      <c r="D83" s="25"/>
      <c r="E83" s="10" t="str">
        <f t="shared" si="70"/>
        <v>OutubroSEMANA 1Aves - Frangão Rica (Chester)</v>
      </c>
      <c r="F83" s="7">
        <f>SUMIF(NF!$A:$A,$E83,NF!$I:$I)</f>
        <v>0</v>
      </c>
      <c r="G83" s="6"/>
      <c r="H83" s="6"/>
      <c r="I83" s="6"/>
      <c r="J83" s="6"/>
      <c r="K83" s="6"/>
      <c r="L83" s="6"/>
      <c r="M83" s="6"/>
      <c r="N83" s="7">
        <f t="shared" ref="N83:N96" si="101">SUM(G83:M83)</f>
        <v>0</v>
      </c>
      <c r="O83" s="11">
        <f t="shared" si="72"/>
        <v>0</v>
      </c>
      <c r="P83" s="25"/>
      <c r="Q83" s="10" t="str">
        <f t="shared" si="73"/>
        <v>OutubroSEMANA 2Aves - Frangão Rica (Chester)</v>
      </c>
      <c r="R83" s="7">
        <f>SUMIF(NF!$A:$A,$Q83,NF!$I:$I)</f>
        <v>0</v>
      </c>
      <c r="S83" s="6"/>
      <c r="T83" s="6"/>
      <c r="U83" s="6"/>
      <c r="V83" s="6"/>
      <c r="W83" s="6"/>
      <c r="X83" s="6"/>
      <c r="Y83" s="6"/>
      <c r="Z83" s="7">
        <f t="shared" ref="Z83:Z96" si="102">SUM(S83:Y83)</f>
        <v>0</v>
      </c>
      <c r="AA83" s="11">
        <f t="shared" si="75"/>
        <v>0</v>
      </c>
      <c r="AB83" s="25"/>
      <c r="AC83" s="10" t="str">
        <f t="shared" si="76"/>
        <v>OutubroSEMANA 3Aves - Frangão Rica (Chester)</v>
      </c>
      <c r="AD83" s="7">
        <f>SUMIF(NF!$A:$A,$AC83,NF!$I:$I)</f>
        <v>0</v>
      </c>
      <c r="AE83" s="6"/>
      <c r="AF83" s="6"/>
      <c r="AG83" s="6"/>
      <c r="AH83" s="6"/>
      <c r="AI83" s="6"/>
      <c r="AJ83" s="6"/>
      <c r="AK83" s="6"/>
      <c r="AL83" s="7">
        <f t="shared" ref="AL83:AL96" si="103">SUM(AE83:AK83)</f>
        <v>0</v>
      </c>
      <c r="AM83" s="11">
        <f t="shared" si="78"/>
        <v>0</v>
      </c>
      <c r="AN83" s="25"/>
      <c r="AO83" s="10" t="str">
        <f t="shared" si="79"/>
        <v>OutubroSEMANA 4Aves - Frangão Rica (Chester)</v>
      </c>
      <c r="AP83" s="7">
        <f>SUMIF(NF!$A:$A,$AO83,NF!$I:$I)</f>
        <v>0</v>
      </c>
      <c r="AQ83" s="6"/>
      <c r="AR83" s="6"/>
      <c r="AS83" s="6"/>
      <c r="AT83" s="6"/>
      <c r="AU83" s="6"/>
      <c r="AV83" s="6"/>
      <c r="AW83" s="6"/>
      <c r="AX83" s="7">
        <f t="shared" ref="AX83:AX96" si="104">SUM(AQ83:AW83)</f>
        <v>0</v>
      </c>
      <c r="AY83" s="11">
        <f t="shared" si="81"/>
        <v>0</v>
      </c>
      <c r="AZ83" s="25"/>
      <c r="BA83" s="10" t="str">
        <f t="shared" si="82"/>
        <v>OutubroSEMANA 5Aves - Frangão Rica (Chester)</v>
      </c>
      <c r="BB83" s="7">
        <f>SUMIF(NF!$A:$A,$BA83,NF!$I:$I)</f>
        <v>0</v>
      </c>
      <c r="BC83" s="6"/>
      <c r="BD83" s="6"/>
      <c r="BE83" s="6"/>
      <c r="BF83" s="74"/>
      <c r="BG83" s="74"/>
      <c r="BH83" s="74"/>
      <c r="BI83" s="74"/>
      <c r="BJ83" s="74"/>
      <c r="BK83" s="7">
        <f t="shared" ref="BK83:BK96" si="105">SUM(BC83:BJ83)</f>
        <v>0</v>
      </c>
      <c r="BL83" s="8">
        <f t="shared" si="84"/>
        <v>0</v>
      </c>
      <c r="BM83" s="51" t="str">
        <f>IFERROR(VLOOKUP(A83,NF!$M:$O,3,0),"")</f>
        <v>Carnes</v>
      </c>
      <c r="BN83" s="7">
        <f t="shared" si="85"/>
        <v>0</v>
      </c>
      <c r="BO83" s="8">
        <f t="array" ref="BO83">IFERROR(LARGE(IF(NF!$G$2:$G$3137='Mês atual'!A83,NF!$J$2:$J$3137),1),0)*BN83</f>
        <v>0</v>
      </c>
      <c r="BP83" s="50"/>
      <c r="BR83" s="147">
        <f t="array" ref="BR83">IFERROR(LARGE(IF(NF!$G$2:$G$3137='Mês atual'!A83,NF!$J$2:$J$3137),1),0)</f>
        <v>0</v>
      </c>
      <c r="BS83" s="143" t="str">
        <f>VLOOKUP(A83,NF!M:O,3,0)</f>
        <v>Carnes</v>
      </c>
    </row>
    <row r="84" spans="1:71" x14ac:dyDescent="0.25">
      <c r="A84" s="108" t="s">
        <v>143</v>
      </c>
      <c r="B84" s="12"/>
      <c r="C84" s="9"/>
      <c r="D84" s="25"/>
      <c r="E84" s="10" t="str">
        <f t="shared" si="70"/>
        <v>OutubroSEMANA 1Aves - Galeto</v>
      </c>
      <c r="F84" s="7">
        <f>SUMIF(NF!$A:$A,$E84,NF!$I:$I)</f>
        <v>0</v>
      </c>
      <c r="G84" s="6"/>
      <c r="H84" s="6"/>
      <c r="I84" s="6"/>
      <c r="J84" s="6"/>
      <c r="K84" s="6"/>
      <c r="L84" s="6"/>
      <c r="M84" s="6"/>
      <c r="N84" s="7">
        <f t="shared" si="101"/>
        <v>0</v>
      </c>
      <c r="O84" s="11">
        <f t="shared" si="72"/>
        <v>0</v>
      </c>
      <c r="P84" s="25"/>
      <c r="Q84" s="10" t="str">
        <f t="shared" si="73"/>
        <v>OutubroSEMANA 2Aves - Galeto</v>
      </c>
      <c r="R84" s="7">
        <f>SUMIF(NF!$A:$A,$Q84,NF!$I:$I)</f>
        <v>25.2</v>
      </c>
      <c r="S84" s="6"/>
      <c r="T84" s="6"/>
      <c r="U84" s="6">
        <v>25.2</v>
      </c>
      <c r="V84" s="6"/>
      <c r="W84" s="6"/>
      <c r="X84" s="6"/>
      <c r="Y84" s="6"/>
      <c r="Z84" s="7">
        <f t="shared" si="102"/>
        <v>25.2</v>
      </c>
      <c r="AA84" s="11">
        <f t="shared" si="75"/>
        <v>0</v>
      </c>
      <c r="AB84" s="25"/>
      <c r="AC84" s="10" t="str">
        <f t="shared" si="76"/>
        <v>OutubroSEMANA 3Aves - Galeto</v>
      </c>
      <c r="AD84" s="7">
        <f>SUMIF(NF!$A:$A,$AC84,NF!$I:$I)</f>
        <v>0</v>
      </c>
      <c r="AE84" s="6"/>
      <c r="AF84" s="6"/>
      <c r="AG84" s="6"/>
      <c r="AH84" s="6"/>
      <c r="AI84" s="6"/>
      <c r="AJ84" s="6"/>
      <c r="AK84" s="6"/>
      <c r="AL84" s="7">
        <f t="shared" si="103"/>
        <v>0</v>
      </c>
      <c r="AM84" s="11">
        <f t="shared" si="78"/>
        <v>0</v>
      </c>
      <c r="AN84" s="25"/>
      <c r="AO84" s="10" t="str">
        <f t="shared" si="79"/>
        <v>OutubroSEMANA 4Aves - Galeto</v>
      </c>
      <c r="AP84" s="7">
        <f>SUMIF(NF!$A:$A,$AO84,NF!$I:$I)</f>
        <v>0</v>
      </c>
      <c r="AQ84" s="6"/>
      <c r="AR84" s="6"/>
      <c r="AS84" s="6"/>
      <c r="AT84" s="6"/>
      <c r="AU84" s="6"/>
      <c r="AV84" s="6"/>
      <c r="AW84" s="6"/>
      <c r="AX84" s="7">
        <f t="shared" si="104"/>
        <v>0</v>
      </c>
      <c r="AY84" s="11">
        <f t="shared" si="81"/>
        <v>0</v>
      </c>
      <c r="AZ84" s="25"/>
      <c r="BA84" s="10" t="str">
        <f t="shared" si="82"/>
        <v>OutubroSEMANA 5Aves - Galeto</v>
      </c>
      <c r="BB84" s="7">
        <f>SUMIF(NF!$A:$A,$BA84,NF!$I:$I)</f>
        <v>0</v>
      </c>
      <c r="BC84" s="6"/>
      <c r="BD84" s="6"/>
      <c r="BE84" s="6"/>
      <c r="BF84" s="74"/>
      <c r="BG84" s="74"/>
      <c r="BH84" s="74"/>
      <c r="BI84" s="74"/>
      <c r="BJ84" s="74"/>
      <c r="BK84" s="7">
        <f t="shared" si="105"/>
        <v>0</v>
      </c>
      <c r="BL84" s="8">
        <f t="shared" si="84"/>
        <v>0</v>
      </c>
      <c r="BM84" s="51" t="str">
        <f>IFERROR(VLOOKUP(A84,NF!$M:$O,3,0),"")</f>
        <v>Carnes</v>
      </c>
      <c r="BN84" s="7">
        <f t="shared" si="85"/>
        <v>25.2</v>
      </c>
      <c r="BO84" s="8">
        <f t="array" ref="BO84">IFERROR(LARGE(IF(NF!$G$2:$G$3137='Mês atual'!A84,NF!$J$2:$J$3137),1),0)*BN84</f>
        <v>211.68</v>
      </c>
      <c r="BP84" s="50"/>
      <c r="BR84" s="147">
        <f t="array" ref="BR84">IFERROR(LARGE(IF(NF!$G$2:$G$3137='Mês atual'!A84,NF!$J$2:$J$3137),1),0)</f>
        <v>8.4</v>
      </c>
      <c r="BS84" s="143" t="str">
        <f>VLOOKUP(A84,NF!M:O,3,0)</f>
        <v>Carnes</v>
      </c>
    </row>
    <row r="85" spans="1:71" x14ac:dyDescent="0.25">
      <c r="A85" s="108" t="s">
        <v>144</v>
      </c>
      <c r="B85" s="12"/>
      <c r="C85" s="9"/>
      <c r="D85" s="25"/>
      <c r="E85" s="10" t="str">
        <f t="shared" si="70"/>
        <v>OutubroSEMANA 1Aves - Magret de Pato</v>
      </c>
      <c r="F85" s="7">
        <f>SUMIF(NF!$A:$A,$E85,NF!$I:$I)</f>
        <v>0</v>
      </c>
      <c r="G85" s="6"/>
      <c r="H85" s="6"/>
      <c r="I85" s="6"/>
      <c r="J85" s="6"/>
      <c r="K85" s="6"/>
      <c r="L85" s="6"/>
      <c r="M85" s="6"/>
      <c r="N85" s="7">
        <f t="shared" si="101"/>
        <v>0</v>
      </c>
      <c r="O85" s="11">
        <f t="shared" si="72"/>
        <v>0</v>
      </c>
      <c r="P85" s="25"/>
      <c r="Q85" s="10" t="str">
        <f t="shared" si="73"/>
        <v>OutubroSEMANA 2Aves - Magret de Pato</v>
      </c>
      <c r="R85" s="7">
        <f>SUMIF(NF!$A:$A,$Q85,NF!$I:$I)</f>
        <v>0</v>
      </c>
      <c r="S85" s="6"/>
      <c r="T85" s="6"/>
      <c r="U85" s="6"/>
      <c r="V85" s="6"/>
      <c r="W85" s="6"/>
      <c r="X85" s="6"/>
      <c r="Y85" s="6"/>
      <c r="Z85" s="7">
        <f t="shared" si="102"/>
        <v>0</v>
      </c>
      <c r="AA85" s="11">
        <f t="shared" si="75"/>
        <v>0</v>
      </c>
      <c r="AB85" s="25"/>
      <c r="AC85" s="10" t="str">
        <f t="shared" si="76"/>
        <v>OutubroSEMANA 3Aves - Magret de Pato</v>
      </c>
      <c r="AD85" s="7">
        <f>SUMIF(NF!$A:$A,$AC85,NF!$I:$I)</f>
        <v>0</v>
      </c>
      <c r="AE85" s="6"/>
      <c r="AF85" s="6"/>
      <c r="AG85" s="6"/>
      <c r="AH85" s="6"/>
      <c r="AI85" s="6"/>
      <c r="AJ85" s="6"/>
      <c r="AK85" s="6"/>
      <c r="AL85" s="7">
        <f t="shared" si="103"/>
        <v>0</v>
      </c>
      <c r="AM85" s="11">
        <f t="shared" si="78"/>
        <v>0</v>
      </c>
      <c r="AN85" s="25"/>
      <c r="AO85" s="10" t="str">
        <f t="shared" si="79"/>
        <v>OutubroSEMANA 4Aves - Magret de Pato</v>
      </c>
      <c r="AP85" s="7">
        <f>SUMIF(NF!$A:$A,$AO85,NF!$I:$I)</f>
        <v>0</v>
      </c>
      <c r="AQ85" s="6"/>
      <c r="AR85" s="6"/>
      <c r="AS85" s="6"/>
      <c r="AT85" s="6"/>
      <c r="AU85" s="6"/>
      <c r="AV85" s="6"/>
      <c r="AW85" s="6"/>
      <c r="AX85" s="7">
        <f t="shared" si="104"/>
        <v>0</v>
      </c>
      <c r="AY85" s="11">
        <f t="shared" si="81"/>
        <v>0</v>
      </c>
      <c r="AZ85" s="25"/>
      <c r="BA85" s="10" t="str">
        <f t="shared" si="82"/>
        <v>OutubroSEMANA 5Aves - Magret de Pato</v>
      </c>
      <c r="BB85" s="7">
        <f>SUMIF(NF!$A:$A,$BA85,NF!$I:$I)</f>
        <v>0</v>
      </c>
      <c r="BC85" s="6"/>
      <c r="BD85" s="6"/>
      <c r="BE85" s="6"/>
      <c r="BF85" s="74"/>
      <c r="BG85" s="74"/>
      <c r="BH85" s="74"/>
      <c r="BI85" s="74"/>
      <c r="BJ85" s="74"/>
      <c r="BK85" s="7">
        <f t="shared" si="105"/>
        <v>0</v>
      </c>
      <c r="BL85" s="8">
        <f t="shared" si="84"/>
        <v>0</v>
      </c>
      <c r="BM85" s="51" t="str">
        <f>IFERROR(VLOOKUP(A85,NF!$M:$O,3,0),"")</f>
        <v>Carnes</v>
      </c>
      <c r="BN85" s="7">
        <f t="shared" si="85"/>
        <v>0</v>
      </c>
      <c r="BO85" s="8">
        <f t="array" ref="BO85">IFERROR(LARGE(IF(NF!$G$2:$G$3137='Mês atual'!A85,NF!$J$2:$J$3137),1),0)*BN85</f>
        <v>0</v>
      </c>
      <c r="BP85" s="50"/>
      <c r="BR85" s="147">
        <f t="array" ref="BR85">IFERROR(LARGE(IF(NF!$G$2:$G$3137='Mês atual'!A85,NF!$J$2:$J$3137),1),0)</f>
        <v>0</v>
      </c>
      <c r="BS85" s="143" t="str">
        <f>VLOOKUP(A85,NF!M:O,3,0)</f>
        <v>Carnes</v>
      </c>
    </row>
    <row r="86" spans="1:71" x14ac:dyDescent="0.25">
      <c r="A86" s="108" t="s">
        <v>890</v>
      </c>
      <c r="B86" s="12"/>
      <c r="C86" s="9"/>
      <c r="D86" s="25"/>
      <c r="E86" s="10" t="str">
        <f t="shared" si="70"/>
        <v>OutubroSEMANA 1Aves - Medalhão de Frango</v>
      </c>
      <c r="F86" s="7">
        <f>SUMIF(NF!$A:$A,$E86,NF!$I:$I)</f>
        <v>0</v>
      </c>
      <c r="G86" s="6"/>
      <c r="H86" s="6"/>
      <c r="I86" s="6"/>
      <c r="J86" s="6"/>
      <c r="K86" s="6"/>
      <c r="L86" s="6"/>
      <c r="M86" s="6"/>
      <c r="N86" s="7">
        <f t="shared" si="101"/>
        <v>0</v>
      </c>
      <c r="O86" s="11">
        <f t="shared" si="72"/>
        <v>0</v>
      </c>
      <c r="P86" s="25"/>
      <c r="Q86" s="10" t="str">
        <f t="shared" si="73"/>
        <v>OutubroSEMANA 2Aves - Medalhão de Frango</v>
      </c>
      <c r="R86" s="7">
        <f>SUMIF(NF!$A:$A,$Q86,NF!$I:$I)</f>
        <v>0</v>
      </c>
      <c r="S86" s="6"/>
      <c r="T86" s="6"/>
      <c r="U86" s="6"/>
      <c r="V86" s="6"/>
      <c r="W86" s="6"/>
      <c r="X86" s="6"/>
      <c r="Y86" s="6"/>
      <c r="Z86" s="7">
        <f t="shared" si="102"/>
        <v>0</v>
      </c>
      <c r="AA86" s="11">
        <f t="shared" si="75"/>
        <v>0</v>
      </c>
      <c r="AB86" s="25"/>
      <c r="AC86" s="10" t="str">
        <f t="shared" si="76"/>
        <v>OutubroSEMANA 3Aves - Medalhão de Frango</v>
      </c>
      <c r="AD86" s="7">
        <f>SUMIF(NF!$A:$A,$AC86,NF!$I:$I)</f>
        <v>0</v>
      </c>
      <c r="AE86" s="6"/>
      <c r="AF86" s="6"/>
      <c r="AG86" s="6"/>
      <c r="AH86" s="6"/>
      <c r="AI86" s="6"/>
      <c r="AJ86" s="6"/>
      <c r="AK86" s="6"/>
      <c r="AL86" s="7">
        <f t="shared" si="103"/>
        <v>0</v>
      </c>
      <c r="AM86" s="11">
        <f t="shared" si="78"/>
        <v>0</v>
      </c>
      <c r="AN86" s="25"/>
      <c r="AO86" s="10" t="str">
        <f t="shared" si="79"/>
        <v>OutubroSEMANA 4Aves - Medalhão de Frango</v>
      </c>
      <c r="AP86" s="7">
        <f>SUMIF(NF!$A:$A,$AO86,NF!$I:$I)</f>
        <v>0</v>
      </c>
      <c r="AQ86" s="6"/>
      <c r="AR86" s="6"/>
      <c r="AS86" s="6"/>
      <c r="AT86" s="6"/>
      <c r="AU86" s="6"/>
      <c r="AV86" s="6"/>
      <c r="AW86" s="6"/>
      <c r="AX86" s="7">
        <f t="shared" si="104"/>
        <v>0</v>
      </c>
      <c r="AY86" s="11">
        <f t="shared" si="81"/>
        <v>0</v>
      </c>
      <c r="AZ86" s="25"/>
      <c r="BA86" s="10" t="str">
        <f t="shared" si="82"/>
        <v>OutubroSEMANA 5Aves - Medalhão de Frango</v>
      </c>
      <c r="BB86" s="7">
        <f>SUMIF(NF!$A:$A,$BA86,NF!$I:$I)</f>
        <v>0</v>
      </c>
      <c r="BC86" s="6"/>
      <c r="BD86" s="6"/>
      <c r="BE86" s="6"/>
      <c r="BF86" s="74"/>
      <c r="BG86" s="74"/>
      <c r="BH86" s="74"/>
      <c r="BI86" s="74"/>
      <c r="BJ86" s="74"/>
      <c r="BK86" s="7">
        <f t="shared" si="105"/>
        <v>0</v>
      </c>
      <c r="BL86" s="8">
        <f t="shared" si="84"/>
        <v>0</v>
      </c>
      <c r="BM86" s="51" t="str">
        <f>IFERROR(VLOOKUP(A86,NF!$M:$O,3,0),"")</f>
        <v>Carnes</v>
      </c>
      <c r="BN86" s="7">
        <f t="shared" si="85"/>
        <v>0</v>
      </c>
      <c r="BO86" s="8">
        <f t="array" ref="BO86">IFERROR(LARGE(IF(NF!$G$2:$G$3137='Mês atual'!A86,NF!$J$2:$J$3137),1),0)*BN86</f>
        <v>0</v>
      </c>
      <c r="BP86" s="50"/>
      <c r="BR86" s="147">
        <f t="array" ref="BR86">IFERROR(LARGE(IF(NF!$G$2:$G$3137='Mês atual'!A86,NF!$J$2:$J$3137),1),0)</f>
        <v>0</v>
      </c>
      <c r="BS86" s="143" t="str">
        <f>VLOOKUP(A86,NF!M:O,3,0)</f>
        <v>Carnes</v>
      </c>
    </row>
    <row r="87" spans="1:71" x14ac:dyDescent="0.25">
      <c r="A87" s="108" t="s">
        <v>145</v>
      </c>
      <c r="B87" s="12"/>
      <c r="C87" s="9"/>
      <c r="D87" s="25"/>
      <c r="E87" s="10" t="str">
        <f t="shared" si="70"/>
        <v>OutubroSEMANA 1Aves - Peito de Frango Defumado</v>
      </c>
      <c r="F87" s="7">
        <f>SUMIF(NF!$A:$A,$E87,NF!$I:$I)</f>
        <v>0</v>
      </c>
      <c r="G87" s="6"/>
      <c r="H87" s="6"/>
      <c r="I87" s="6"/>
      <c r="J87" s="6"/>
      <c r="K87" s="6"/>
      <c r="L87" s="6"/>
      <c r="M87" s="6"/>
      <c r="N87" s="7">
        <f t="shared" si="101"/>
        <v>0</v>
      </c>
      <c r="O87" s="11">
        <f t="shared" si="72"/>
        <v>0</v>
      </c>
      <c r="P87" s="25"/>
      <c r="Q87" s="10" t="str">
        <f t="shared" si="73"/>
        <v>OutubroSEMANA 2Aves - Peito de Frango Defumado</v>
      </c>
      <c r="R87" s="7">
        <f>SUMIF(NF!$A:$A,$Q87,NF!$I:$I)</f>
        <v>0</v>
      </c>
      <c r="S87" s="6"/>
      <c r="T87" s="6"/>
      <c r="U87" s="6"/>
      <c r="V87" s="6"/>
      <c r="W87" s="6"/>
      <c r="X87" s="6"/>
      <c r="Y87" s="6"/>
      <c r="Z87" s="7">
        <f t="shared" si="102"/>
        <v>0</v>
      </c>
      <c r="AA87" s="11">
        <f t="shared" si="75"/>
        <v>0</v>
      </c>
      <c r="AB87" s="25"/>
      <c r="AC87" s="10" t="str">
        <f t="shared" si="76"/>
        <v>OutubroSEMANA 3Aves - Peito de Frango Defumado</v>
      </c>
      <c r="AD87" s="7">
        <f>SUMIF(NF!$A:$A,$AC87,NF!$I:$I)</f>
        <v>0</v>
      </c>
      <c r="AE87" s="6"/>
      <c r="AF87" s="6"/>
      <c r="AG87" s="6"/>
      <c r="AH87" s="6"/>
      <c r="AI87" s="6"/>
      <c r="AJ87" s="6"/>
      <c r="AK87" s="6"/>
      <c r="AL87" s="7">
        <f t="shared" si="103"/>
        <v>0</v>
      </c>
      <c r="AM87" s="11">
        <f t="shared" si="78"/>
        <v>0</v>
      </c>
      <c r="AN87" s="25"/>
      <c r="AO87" s="10" t="str">
        <f t="shared" si="79"/>
        <v>OutubroSEMANA 4Aves - Peito de Frango Defumado</v>
      </c>
      <c r="AP87" s="7">
        <f>SUMIF(NF!$A:$A,$AO87,NF!$I:$I)</f>
        <v>0</v>
      </c>
      <c r="AQ87" s="6"/>
      <c r="AR87" s="6"/>
      <c r="AS87" s="6"/>
      <c r="AT87" s="6"/>
      <c r="AU87" s="6"/>
      <c r="AV87" s="6"/>
      <c r="AW87" s="6"/>
      <c r="AX87" s="7">
        <f t="shared" si="104"/>
        <v>0</v>
      </c>
      <c r="AY87" s="11">
        <f t="shared" si="81"/>
        <v>0</v>
      </c>
      <c r="AZ87" s="25"/>
      <c r="BA87" s="10" t="str">
        <f t="shared" si="82"/>
        <v>OutubroSEMANA 5Aves - Peito de Frango Defumado</v>
      </c>
      <c r="BB87" s="7">
        <f>SUMIF(NF!$A:$A,$BA87,NF!$I:$I)</f>
        <v>0</v>
      </c>
      <c r="BC87" s="6"/>
      <c r="BD87" s="6"/>
      <c r="BE87" s="6"/>
      <c r="BF87" s="74"/>
      <c r="BG87" s="74"/>
      <c r="BH87" s="74"/>
      <c r="BI87" s="74"/>
      <c r="BJ87" s="74"/>
      <c r="BK87" s="7">
        <f t="shared" si="105"/>
        <v>0</v>
      </c>
      <c r="BL87" s="8">
        <f t="shared" si="84"/>
        <v>0</v>
      </c>
      <c r="BM87" s="51" t="str">
        <f>IFERROR(VLOOKUP(A87,NF!$M:$O,3,0),"")</f>
        <v>Carnes</v>
      </c>
      <c r="BN87" s="7">
        <f t="shared" si="85"/>
        <v>0</v>
      </c>
      <c r="BO87" s="8">
        <f t="array" ref="BO87">IFERROR(LARGE(IF(NF!$G$2:$G$3137='Mês atual'!A87,NF!$J$2:$J$3137),1),0)*BN87</f>
        <v>0</v>
      </c>
      <c r="BP87" s="50"/>
      <c r="BR87" s="147">
        <f t="array" ref="BR87">IFERROR(LARGE(IF(NF!$G$2:$G$3137='Mês atual'!A87,NF!$J$2:$J$3137),1),0)</f>
        <v>0</v>
      </c>
      <c r="BS87" s="143" t="str">
        <f>VLOOKUP(A87,NF!M:O,3,0)</f>
        <v>Carnes</v>
      </c>
    </row>
    <row r="88" spans="1:71" x14ac:dyDescent="0.25">
      <c r="A88" s="108" t="s">
        <v>146</v>
      </c>
      <c r="B88" s="12"/>
      <c r="C88" s="9"/>
      <c r="D88" s="25"/>
      <c r="E88" s="10" t="str">
        <f t="shared" si="70"/>
        <v>OutubroSEMANA 1Aves - Peito de Peru Bolinha</v>
      </c>
      <c r="F88" s="7">
        <f>SUMIF(NF!$A:$A,$E88,NF!$I:$I)</f>
        <v>0</v>
      </c>
      <c r="G88" s="6"/>
      <c r="H88" s="6"/>
      <c r="I88" s="6"/>
      <c r="J88" s="6"/>
      <c r="K88" s="6"/>
      <c r="L88" s="6"/>
      <c r="M88" s="6"/>
      <c r="N88" s="7">
        <f t="shared" si="101"/>
        <v>0</v>
      </c>
      <c r="O88" s="11">
        <f t="shared" si="72"/>
        <v>0</v>
      </c>
      <c r="P88" s="25"/>
      <c r="Q88" s="10" t="str">
        <f t="shared" si="73"/>
        <v>OutubroSEMANA 2Aves - Peito de Peru Bolinha</v>
      </c>
      <c r="R88" s="7">
        <f>SUMIF(NF!$A:$A,$Q88,NF!$I:$I)</f>
        <v>0</v>
      </c>
      <c r="S88" s="6"/>
      <c r="T88" s="6"/>
      <c r="U88" s="6"/>
      <c r="V88" s="6"/>
      <c r="W88" s="6"/>
      <c r="X88" s="6"/>
      <c r="Y88" s="6"/>
      <c r="Z88" s="7">
        <f t="shared" si="102"/>
        <v>0</v>
      </c>
      <c r="AA88" s="11">
        <f t="shared" si="75"/>
        <v>0</v>
      </c>
      <c r="AB88" s="25"/>
      <c r="AC88" s="10" t="str">
        <f t="shared" si="76"/>
        <v>OutubroSEMANA 3Aves - Peito de Peru Bolinha</v>
      </c>
      <c r="AD88" s="7">
        <f>SUMIF(NF!$A:$A,$AC88,NF!$I:$I)</f>
        <v>0</v>
      </c>
      <c r="AE88" s="6"/>
      <c r="AF88" s="6"/>
      <c r="AG88" s="6"/>
      <c r="AH88" s="6"/>
      <c r="AI88" s="6"/>
      <c r="AJ88" s="6"/>
      <c r="AK88" s="6"/>
      <c r="AL88" s="7">
        <f t="shared" si="103"/>
        <v>0</v>
      </c>
      <c r="AM88" s="11">
        <f t="shared" si="78"/>
        <v>0</v>
      </c>
      <c r="AN88" s="25"/>
      <c r="AO88" s="10" t="str">
        <f t="shared" si="79"/>
        <v>OutubroSEMANA 4Aves - Peito de Peru Bolinha</v>
      </c>
      <c r="AP88" s="7">
        <f>SUMIF(NF!$A:$A,$AO88,NF!$I:$I)</f>
        <v>0</v>
      </c>
      <c r="AQ88" s="6"/>
      <c r="AR88" s="6"/>
      <c r="AS88" s="6"/>
      <c r="AT88" s="6"/>
      <c r="AU88" s="6"/>
      <c r="AV88" s="6"/>
      <c r="AW88" s="6"/>
      <c r="AX88" s="7">
        <f t="shared" si="104"/>
        <v>0</v>
      </c>
      <c r="AY88" s="11">
        <f t="shared" si="81"/>
        <v>0</v>
      </c>
      <c r="AZ88" s="25"/>
      <c r="BA88" s="10" t="str">
        <f t="shared" si="82"/>
        <v>OutubroSEMANA 5Aves - Peito de Peru Bolinha</v>
      </c>
      <c r="BB88" s="7">
        <f>SUMIF(NF!$A:$A,$BA88,NF!$I:$I)</f>
        <v>0</v>
      </c>
      <c r="BC88" s="6"/>
      <c r="BD88" s="6"/>
      <c r="BE88" s="6"/>
      <c r="BF88" s="74"/>
      <c r="BG88" s="74"/>
      <c r="BH88" s="74"/>
      <c r="BI88" s="74"/>
      <c r="BJ88" s="74"/>
      <c r="BK88" s="7">
        <f t="shared" si="105"/>
        <v>0</v>
      </c>
      <c r="BL88" s="8">
        <f t="shared" si="84"/>
        <v>0</v>
      </c>
      <c r="BM88" s="51" t="str">
        <f>IFERROR(VLOOKUP(A88,NF!$M:$O,3,0),"")</f>
        <v>Carnes</v>
      </c>
      <c r="BN88" s="7">
        <f t="shared" si="85"/>
        <v>0</v>
      </c>
      <c r="BO88" s="8">
        <f t="array" ref="BO88">IFERROR(LARGE(IF(NF!$G$2:$G$3137='Mês atual'!A88,NF!$J$2:$J$3137),1),0)*BN88</f>
        <v>0</v>
      </c>
      <c r="BP88" s="50"/>
      <c r="BR88" s="147">
        <f t="array" ref="BR88">IFERROR(LARGE(IF(NF!$G$2:$G$3137='Mês atual'!A88,NF!$J$2:$J$3137),1),0)</f>
        <v>0</v>
      </c>
      <c r="BS88" s="143" t="str">
        <f>VLOOKUP(A88,NF!M:O,3,0)</f>
        <v>Carnes</v>
      </c>
    </row>
    <row r="89" spans="1:71" x14ac:dyDescent="0.25">
      <c r="A89" s="108" t="s">
        <v>147</v>
      </c>
      <c r="B89" s="12"/>
      <c r="C89" s="9"/>
      <c r="D89" s="25"/>
      <c r="E89" s="10" t="str">
        <f t="shared" si="70"/>
        <v>OutubroSEMANA 1Aves - Peito de Peru Defumado Light</v>
      </c>
      <c r="F89" s="7">
        <f>SUMIF(NF!$A:$A,$E89,NF!$I:$I)</f>
        <v>0</v>
      </c>
      <c r="G89" s="6"/>
      <c r="H89" s="6"/>
      <c r="I89" s="6"/>
      <c r="J89" s="6"/>
      <c r="K89" s="6"/>
      <c r="L89" s="6"/>
      <c r="M89" s="6"/>
      <c r="N89" s="7">
        <f t="shared" si="101"/>
        <v>0</v>
      </c>
      <c r="O89" s="11">
        <f t="shared" si="72"/>
        <v>0</v>
      </c>
      <c r="P89" s="25"/>
      <c r="Q89" s="10" t="str">
        <f t="shared" si="73"/>
        <v>OutubroSEMANA 2Aves - Peito de Peru Defumado Light</v>
      </c>
      <c r="R89" s="7">
        <f>SUMIF(NF!$A:$A,$Q89,NF!$I:$I)</f>
        <v>0</v>
      </c>
      <c r="S89" s="6"/>
      <c r="T89" s="6"/>
      <c r="U89" s="6"/>
      <c r="V89" s="6"/>
      <c r="W89" s="6"/>
      <c r="X89" s="6"/>
      <c r="Y89" s="6"/>
      <c r="Z89" s="7">
        <f t="shared" si="102"/>
        <v>0</v>
      </c>
      <c r="AA89" s="11">
        <f t="shared" si="75"/>
        <v>0</v>
      </c>
      <c r="AB89" s="25"/>
      <c r="AC89" s="10" t="str">
        <f t="shared" si="76"/>
        <v>OutubroSEMANA 3Aves - Peito de Peru Defumado Light</v>
      </c>
      <c r="AD89" s="7">
        <f>SUMIF(NF!$A:$A,$AC89,NF!$I:$I)</f>
        <v>0</v>
      </c>
      <c r="AE89" s="6"/>
      <c r="AF89" s="6"/>
      <c r="AG89" s="6"/>
      <c r="AH89" s="6"/>
      <c r="AI89" s="6"/>
      <c r="AJ89" s="6"/>
      <c r="AK89" s="6"/>
      <c r="AL89" s="7">
        <f t="shared" si="103"/>
        <v>0</v>
      </c>
      <c r="AM89" s="11">
        <f t="shared" si="78"/>
        <v>0</v>
      </c>
      <c r="AN89" s="25"/>
      <c r="AO89" s="10" t="str">
        <f t="shared" si="79"/>
        <v>OutubroSEMANA 4Aves - Peito de Peru Defumado Light</v>
      </c>
      <c r="AP89" s="7">
        <f>SUMIF(NF!$A:$A,$AO89,NF!$I:$I)</f>
        <v>0</v>
      </c>
      <c r="AQ89" s="6"/>
      <c r="AR89" s="6"/>
      <c r="AS89" s="6"/>
      <c r="AT89" s="6"/>
      <c r="AU89" s="6"/>
      <c r="AV89" s="6"/>
      <c r="AW89" s="6"/>
      <c r="AX89" s="7">
        <f t="shared" si="104"/>
        <v>0</v>
      </c>
      <c r="AY89" s="11">
        <f t="shared" si="81"/>
        <v>0</v>
      </c>
      <c r="AZ89" s="25"/>
      <c r="BA89" s="10" t="str">
        <f t="shared" si="82"/>
        <v>OutubroSEMANA 5Aves - Peito de Peru Defumado Light</v>
      </c>
      <c r="BB89" s="7">
        <f>SUMIF(NF!$A:$A,$BA89,NF!$I:$I)</f>
        <v>0</v>
      </c>
      <c r="BC89" s="6"/>
      <c r="BD89" s="6"/>
      <c r="BE89" s="6"/>
      <c r="BF89" s="74"/>
      <c r="BG89" s="74"/>
      <c r="BH89" s="74"/>
      <c r="BI89" s="74"/>
      <c r="BJ89" s="74"/>
      <c r="BK89" s="7">
        <f t="shared" si="105"/>
        <v>0</v>
      </c>
      <c r="BL89" s="8">
        <f t="shared" si="84"/>
        <v>0</v>
      </c>
      <c r="BM89" s="51" t="str">
        <f>IFERROR(VLOOKUP(A89,NF!$M:$O,3,0),"")</f>
        <v>Carnes</v>
      </c>
      <c r="BN89" s="7">
        <f t="shared" si="85"/>
        <v>0</v>
      </c>
      <c r="BO89" s="8">
        <f t="array" ref="BO89">IFERROR(LARGE(IF(NF!$G$2:$G$3137='Mês atual'!A89,NF!$J$2:$J$3137),1),0)*BN89</f>
        <v>0</v>
      </c>
      <c r="BP89" s="50"/>
      <c r="BR89" s="147">
        <f t="array" ref="BR89">IFERROR(LARGE(IF(NF!$G$2:$G$3137='Mês atual'!A89,NF!$J$2:$J$3137),1),0)</f>
        <v>0</v>
      </c>
      <c r="BS89" s="143" t="str">
        <f>VLOOKUP(A89,NF!M:O,3,0)</f>
        <v>Carnes</v>
      </c>
    </row>
    <row r="90" spans="1:71" x14ac:dyDescent="0.25">
      <c r="A90" s="108" t="s">
        <v>148</v>
      </c>
      <c r="B90" s="12"/>
      <c r="C90" s="9"/>
      <c r="D90" s="25"/>
      <c r="E90" s="10" t="str">
        <f t="shared" si="70"/>
        <v>OutubroSEMANA 1Aves - Peito de Peru Fresco</v>
      </c>
      <c r="F90" s="7">
        <f>SUMIF(NF!$A:$A,$E90,NF!$I:$I)</f>
        <v>0</v>
      </c>
      <c r="G90" s="6"/>
      <c r="H90" s="6"/>
      <c r="I90" s="6"/>
      <c r="J90" s="6"/>
      <c r="K90" s="6"/>
      <c r="L90" s="6"/>
      <c r="M90" s="6"/>
      <c r="N90" s="7">
        <f t="shared" si="101"/>
        <v>0</v>
      </c>
      <c r="O90" s="11">
        <f t="shared" si="72"/>
        <v>0</v>
      </c>
      <c r="P90" s="25"/>
      <c r="Q90" s="10" t="str">
        <f t="shared" si="73"/>
        <v>OutubroSEMANA 2Aves - Peito de Peru Fresco</v>
      </c>
      <c r="R90" s="7">
        <f>SUMIF(NF!$A:$A,$Q90,NF!$I:$I)</f>
        <v>0</v>
      </c>
      <c r="S90" s="6"/>
      <c r="T90" s="6"/>
      <c r="U90" s="6"/>
      <c r="V90" s="6"/>
      <c r="W90" s="6"/>
      <c r="X90" s="6"/>
      <c r="Y90" s="6"/>
      <c r="Z90" s="7">
        <f t="shared" si="102"/>
        <v>0</v>
      </c>
      <c r="AA90" s="11">
        <f t="shared" si="75"/>
        <v>0</v>
      </c>
      <c r="AB90" s="25"/>
      <c r="AC90" s="10" t="str">
        <f t="shared" si="76"/>
        <v>OutubroSEMANA 3Aves - Peito de Peru Fresco</v>
      </c>
      <c r="AD90" s="7">
        <f>SUMIF(NF!$A:$A,$AC90,NF!$I:$I)</f>
        <v>0</v>
      </c>
      <c r="AE90" s="6"/>
      <c r="AF90" s="6"/>
      <c r="AG90" s="6"/>
      <c r="AH90" s="6"/>
      <c r="AI90" s="6"/>
      <c r="AJ90" s="6"/>
      <c r="AK90" s="6"/>
      <c r="AL90" s="7">
        <f t="shared" si="103"/>
        <v>0</v>
      </c>
      <c r="AM90" s="11">
        <f t="shared" si="78"/>
        <v>0</v>
      </c>
      <c r="AN90" s="25"/>
      <c r="AO90" s="10" t="str">
        <f t="shared" si="79"/>
        <v>OutubroSEMANA 4Aves - Peito de Peru Fresco</v>
      </c>
      <c r="AP90" s="7">
        <f>SUMIF(NF!$A:$A,$AO90,NF!$I:$I)</f>
        <v>0</v>
      </c>
      <c r="AQ90" s="6"/>
      <c r="AR90" s="6"/>
      <c r="AS90" s="6"/>
      <c r="AT90" s="6"/>
      <c r="AU90" s="6"/>
      <c r="AV90" s="6"/>
      <c r="AW90" s="6"/>
      <c r="AX90" s="7">
        <f t="shared" si="104"/>
        <v>0</v>
      </c>
      <c r="AY90" s="11">
        <f t="shared" si="81"/>
        <v>0</v>
      </c>
      <c r="AZ90" s="25"/>
      <c r="BA90" s="10" t="str">
        <f t="shared" si="82"/>
        <v>OutubroSEMANA 5Aves - Peito de Peru Fresco</v>
      </c>
      <c r="BB90" s="7">
        <f>SUMIF(NF!$A:$A,$BA90,NF!$I:$I)</f>
        <v>0</v>
      </c>
      <c r="BC90" s="6"/>
      <c r="BD90" s="6"/>
      <c r="BE90" s="6"/>
      <c r="BF90" s="74"/>
      <c r="BG90" s="74"/>
      <c r="BH90" s="74"/>
      <c r="BI90" s="74"/>
      <c r="BJ90" s="74"/>
      <c r="BK90" s="7">
        <f t="shared" si="105"/>
        <v>0</v>
      </c>
      <c r="BL90" s="8">
        <f t="shared" si="84"/>
        <v>0</v>
      </c>
      <c r="BM90" s="51" t="str">
        <f>IFERROR(VLOOKUP(A90,NF!$M:$O,3,0),"")</f>
        <v>Carnes</v>
      </c>
      <c r="BN90" s="7">
        <f t="shared" si="85"/>
        <v>0</v>
      </c>
      <c r="BO90" s="8">
        <f t="array" ref="BO90">IFERROR(LARGE(IF(NF!$G$2:$G$3137='Mês atual'!A90,NF!$J$2:$J$3137),1),0)*BN90</f>
        <v>0</v>
      </c>
      <c r="BP90" s="50"/>
      <c r="BR90" s="147">
        <f t="array" ref="BR90">IFERROR(LARGE(IF(NF!$G$2:$G$3137='Mês atual'!A90,NF!$J$2:$J$3137),1),0)</f>
        <v>0</v>
      </c>
      <c r="BS90" s="143" t="str">
        <f>VLOOKUP(A90,NF!M:O,3,0)</f>
        <v>Carnes</v>
      </c>
    </row>
    <row r="91" spans="1:71" x14ac:dyDescent="0.25">
      <c r="A91" s="108" t="s">
        <v>149</v>
      </c>
      <c r="B91" s="12"/>
      <c r="C91" s="9"/>
      <c r="D91" s="25"/>
      <c r="E91" s="10" t="str">
        <f t="shared" si="70"/>
        <v>OutubroSEMANA 1Aves - Peito s/ Osso</v>
      </c>
      <c r="F91" s="7">
        <f>SUMIF(NF!$A:$A,$E91,NF!$I:$I)</f>
        <v>0</v>
      </c>
      <c r="G91" s="6"/>
      <c r="H91" s="6"/>
      <c r="I91" s="6"/>
      <c r="J91" s="6"/>
      <c r="K91" s="6"/>
      <c r="L91" s="6"/>
      <c r="M91" s="6"/>
      <c r="N91" s="7">
        <f t="shared" si="101"/>
        <v>0</v>
      </c>
      <c r="O91" s="11">
        <f t="shared" si="72"/>
        <v>0</v>
      </c>
      <c r="P91" s="25"/>
      <c r="Q91" s="10" t="str">
        <f t="shared" si="73"/>
        <v>OutubroSEMANA 2Aves - Peito s/ Osso</v>
      </c>
      <c r="R91" s="7">
        <f>SUMIF(NF!$A:$A,$Q91,NF!$I:$I)</f>
        <v>0</v>
      </c>
      <c r="S91" s="6"/>
      <c r="T91" s="6"/>
      <c r="U91" s="6"/>
      <c r="V91" s="6"/>
      <c r="W91" s="6"/>
      <c r="X91" s="6"/>
      <c r="Y91" s="6"/>
      <c r="Z91" s="7">
        <f t="shared" si="102"/>
        <v>0</v>
      </c>
      <c r="AA91" s="11">
        <f t="shared" si="75"/>
        <v>0</v>
      </c>
      <c r="AB91" s="25"/>
      <c r="AC91" s="10" t="str">
        <f t="shared" si="76"/>
        <v>OutubroSEMANA 3Aves - Peito s/ Osso</v>
      </c>
      <c r="AD91" s="7">
        <f>SUMIF(NF!$A:$A,$AC91,NF!$I:$I)</f>
        <v>0</v>
      </c>
      <c r="AE91" s="6"/>
      <c r="AF91" s="6"/>
      <c r="AG91" s="6"/>
      <c r="AH91" s="6"/>
      <c r="AI91" s="6"/>
      <c r="AJ91" s="6"/>
      <c r="AK91" s="6"/>
      <c r="AL91" s="7">
        <f t="shared" si="103"/>
        <v>0</v>
      </c>
      <c r="AM91" s="11">
        <f t="shared" si="78"/>
        <v>0</v>
      </c>
      <c r="AN91" s="25"/>
      <c r="AO91" s="10" t="str">
        <f t="shared" si="79"/>
        <v>OutubroSEMANA 4Aves - Peito s/ Osso</v>
      </c>
      <c r="AP91" s="7">
        <f>SUMIF(NF!$A:$A,$AO91,NF!$I:$I)</f>
        <v>0</v>
      </c>
      <c r="AQ91" s="6"/>
      <c r="AR91" s="6"/>
      <c r="AS91" s="6"/>
      <c r="AT91" s="6"/>
      <c r="AU91" s="6"/>
      <c r="AV91" s="6"/>
      <c r="AW91" s="6"/>
      <c r="AX91" s="7">
        <f t="shared" si="104"/>
        <v>0</v>
      </c>
      <c r="AY91" s="11">
        <f t="shared" si="81"/>
        <v>0</v>
      </c>
      <c r="AZ91" s="25"/>
      <c r="BA91" s="10" t="str">
        <f t="shared" si="82"/>
        <v>OutubroSEMANA 5Aves - Peito s/ Osso</v>
      </c>
      <c r="BB91" s="7">
        <f>SUMIF(NF!$A:$A,$BA91,NF!$I:$I)</f>
        <v>0</v>
      </c>
      <c r="BC91" s="6"/>
      <c r="BD91" s="6"/>
      <c r="BE91" s="6"/>
      <c r="BF91" s="74"/>
      <c r="BG91" s="74"/>
      <c r="BH91" s="74"/>
      <c r="BI91" s="74"/>
      <c r="BJ91" s="74"/>
      <c r="BK91" s="7">
        <f t="shared" si="105"/>
        <v>0</v>
      </c>
      <c r="BL91" s="8">
        <f t="shared" si="84"/>
        <v>0</v>
      </c>
      <c r="BM91" s="51" t="str">
        <f>IFERROR(VLOOKUP(A91,NF!$M:$O,3,0),"")</f>
        <v>Carnes</v>
      </c>
      <c r="BN91" s="7">
        <f t="shared" si="85"/>
        <v>0</v>
      </c>
      <c r="BO91" s="8">
        <f t="array" ref="BO91">IFERROR(LARGE(IF(NF!$G$2:$G$3137='Mês atual'!A91,NF!$J$2:$J$3137),1),0)*BN91</f>
        <v>0</v>
      </c>
      <c r="BP91" s="50"/>
      <c r="BR91" s="147">
        <f t="array" ref="BR91">IFERROR(LARGE(IF(NF!$G$2:$G$3137='Mês atual'!A91,NF!$J$2:$J$3137),1),0)</f>
        <v>0</v>
      </c>
      <c r="BS91" s="143" t="str">
        <f>VLOOKUP(A91,NF!M:O,3,0)</f>
        <v>Carnes</v>
      </c>
    </row>
    <row r="92" spans="1:71" x14ac:dyDescent="0.25">
      <c r="A92" s="108" t="s">
        <v>150</v>
      </c>
      <c r="B92" s="12"/>
      <c r="C92" s="9"/>
      <c r="D92" s="25"/>
      <c r="E92" s="10" t="str">
        <f t="shared" si="70"/>
        <v>OutubroSEMANA 1Aves - Sobrecoxa</v>
      </c>
      <c r="F92" s="7">
        <f>SUMIF(NF!$A:$A,$E92,NF!$I:$I)</f>
        <v>18</v>
      </c>
      <c r="G92" s="6"/>
      <c r="H92" s="6"/>
      <c r="I92" s="6">
        <v>18</v>
      </c>
      <c r="J92" s="6"/>
      <c r="K92" s="6"/>
      <c r="L92" s="6"/>
      <c r="M92" s="6"/>
      <c r="N92" s="7">
        <f t="shared" si="101"/>
        <v>18</v>
      </c>
      <c r="O92" s="11">
        <f t="shared" si="72"/>
        <v>0</v>
      </c>
      <c r="P92" s="25"/>
      <c r="Q92" s="10" t="str">
        <f t="shared" si="73"/>
        <v>OutubroSEMANA 2Aves - Sobrecoxa</v>
      </c>
      <c r="R92" s="7">
        <f>SUMIF(NF!$A:$A,$Q92,NF!$I:$I)</f>
        <v>18</v>
      </c>
      <c r="S92" s="6"/>
      <c r="T92" s="6"/>
      <c r="U92" s="6"/>
      <c r="V92" s="6"/>
      <c r="W92" s="6"/>
      <c r="X92" s="6"/>
      <c r="Y92" s="6"/>
      <c r="Z92" s="7">
        <f t="shared" si="102"/>
        <v>0</v>
      </c>
      <c r="AA92" s="11">
        <f t="shared" si="75"/>
        <v>18</v>
      </c>
      <c r="AB92" s="25"/>
      <c r="AC92" s="10" t="str">
        <f t="shared" si="76"/>
        <v>OutubroSEMANA 3Aves - Sobrecoxa</v>
      </c>
      <c r="AD92" s="7">
        <f>SUMIF(NF!$A:$A,$AC92,NF!$I:$I)</f>
        <v>24</v>
      </c>
      <c r="AE92" s="6"/>
      <c r="AF92" s="6"/>
      <c r="AG92" s="6">
        <v>18</v>
      </c>
      <c r="AH92" s="6"/>
      <c r="AI92" s="6"/>
      <c r="AJ92" s="6"/>
      <c r="AK92" s="6"/>
      <c r="AL92" s="7">
        <f t="shared" si="103"/>
        <v>18</v>
      </c>
      <c r="AM92" s="11">
        <f t="shared" si="78"/>
        <v>24</v>
      </c>
      <c r="AN92" s="25"/>
      <c r="AO92" s="10" t="str">
        <f t="shared" si="79"/>
        <v>OutubroSEMANA 4Aves - Sobrecoxa</v>
      </c>
      <c r="AP92" s="7">
        <f>SUMIF(NF!$A:$A,$AO92,NF!$I:$I)</f>
        <v>18</v>
      </c>
      <c r="AQ92" s="6">
        <v>8.36</v>
      </c>
      <c r="AR92" s="6"/>
      <c r="AS92" s="6"/>
      <c r="AT92" s="6">
        <v>18</v>
      </c>
      <c r="AU92" s="6"/>
      <c r="AV92" s="6"/>
      <c r="AW92" s="6"/>
      <c r="AX92" s="7">
        <f t="shared" si="104"/>
        <v>26.36</v>
      </c>
      <c r="AY92" s="11">
        <f t="shared" si="81"/>
        <v>15.64</v>
      </c>
      <c r="AZ92" s="25"/>
      <c r="BA92" s="10" t="str">
        <f t="shared" si="82"/>
        <v>OutubroSEMANA 5Aves - Sobrecoxa</v>
      </c>
      <c r="BB92" s="7">
        <f>SUMIF(NF!$A:$A,$BA92,NF!$I:$I)</f>
        <v>0</v>
      </c>
      <c r="BC92" s="6"/>
      <c r="BD92" s="6">
        <v>15.64</v>
      </c>
      <c r="BE92" s="6"/>
      <c r="BF92" s="74"/>
      <c r="BG92" s="74"/>
      <c r="BH92" s="74"/>
      <c r="BI92" s="74"/>
      <c r="BJ92" s="74"/>
      <c r="BK92" s="7">
        <f t="shared" si="105"/>
        <v>15.64</v>
      </c>
      <c r="BL92" s="8">
        <f t="shared" si="84"/>
        <v>0</v>
      </c>
      <c r="BM92" s="51" t="str">
        <f>IFERROR(VLOOKUP(A92,NF!$M:$O,3,0),"")</f>
        <v>Carnes</v>
      </c>
      <c r="BN92" s="7">
        <f t="shared" si="85"/>
        <v>78</v>
      </c>
      <c r="BO92" s="8">
        <f t="array" ref="BO92">IFERROR(LARGE(IF(NF!$G$2:$G$3137='Mês atual'!A92,NF!$J$2:$J$3137),1),0)*BN92</f>
        <v>466.44000000000005</v>
      </c>
      <c r="BP92" s="50"/>
      <c r="BR92" s="147">
        <f t="array" ref="BR92">IFERROR(LARGE(IF(NF!$G$2:$G$3137='Mês atual'!A92,NF!$J$2:$J$3137),1),0)</f>
        <v>5.98</v>
      </c>
      <c r="BS92" s="143" t="str">
        <f>VLOOKUP(A92,NF!M:O,3,0)</f>
        <v>Carnes</v>
      </c>
    </row>
    <row r="93" spans="1:71" x14ac:dyDescent="0.25">
      <c r="A93" s="108" t="s">
        <v>215</v>
      </c>
      <c r="B93" s="12"/>
      <c r="C93" s="9"/>
      <c r="D93" s="25"/>
      <c r="E93" s="10" t="str">
        <f t="shared" si="70"/>
        <v>OutubroSEMANA 1Carne Bovina  - Contra-filé - (Filé Noix)</v>
      </c>
      <c r="F93" s="7">
        <f>SUMIF(NF!$A:$A,$E93,NF!$I:$I)</f>
        <v>0</v>
      </c>
      <c r="G93" s="6"/>
      <c r="H93" s="6"/>
      <c r="I93" s="6"/>
      <c r="J93" s="6"/>
      <c r="K93" s="6"/>
      <c r="L93" s="6"/>
      <c r="M93" s="6"/>
      <c r="N93" s="7">
        <f t="shared" si="101"/>
        <v>0</v>
      </c>
      <c r="O93" s="11">
        <f t="shared" si="72"/>
        <v>0</v>
      </c>
      <c r="P93" s="25"/>
      <c r="Q93" s="10" t="str">
        <f t="shared" si="73"/>
        <v>OutubroSEMANA 2Carne Bovina  - Contra-filé - (Filé Noix)</v>
      </c>
      <c r="R93" s="7">
        <f>SUMIF(NF!$A:$A,$Q93,NF!$I:$I)</f>
        <v>0</v>
      </c>
      <c r="S93" s="6"/>
      <c r="T93" s="6"/>
      <c r="U93" s="6"/>
      <c r="V93" s="6"/>
      <c r="W93" s="6"/>
      <c r="X93" s="6"/>
      <c r="Y93" s="6"/>
      <c r="Z93" s="7">
        <f t="shared" si="102"/>
        <v>0</v>
      </c>
      <c r="AA93" s="11">
        <f t="shared" si="75"/>
        <v>0</v>
      </c>
      <c r="AB93" s="25"/>
      <c r="AC93" s="10" t="str">
        <f t="shared" si="76"/>
        <v>OutubroSEMANA 3Carne Bovina  - Contra-filé - (Filé Noix)</v>
      </c>
      <c r="AD93" s="7">
        <f>SUMIF(NF!$A:$A,$AC93,NF!$I:$I)</f>
        <v>0</v>
      </c>
      <c r="AE93" s="6"/>
      <c r="AF93" s="6"/>
      <c r="AG93" s="6"/>
      <c r="AH93" s="6"/>
      <c r="AI93" s="6"/>
      <c r="AJ93" s="6"/>
      <c r="AK93" s="6"/>
      <c r="AL93" s="7">
        <f t="shared" si="103"/>
        <v>0</v>
      </c>
      <c r="AM93" s="11">
        <f t="shared" si="78"/>
        <v>0</v>
      </c>
      <c r="AN93" s="25"/>
      <c r="AO93" s="10" t="str">
        <f t="shared" si="79"/>
        <v>OutubroSEMANA 4Carne Bovina  - Contra-filé - (Filé Noix)</v>
      </c>
      <c r="AP93" s="7">
        <f>SUMIF(NF!$A:$A,$AO93,NF!$I:$I)</f>
        <v>0</v>
      </c>
      <c r="AQ93" s="6"/>
      <c r="AR93" s="6"/>
      <c r="AS93" s="6"/>
      <c r="AT93" s="6"/>
      <c r="AU93" s="6"/>
      <c r="AV93" s="6"/>
      <c r="AW93" s="6"/>
      <c r="AX93" s="7">
        <f t="shared" si="104"/>
        <v>0</v>
      </c>
      <c r="AY93" s="11">
        <f t="shared" si="81"/>
        <v>0</v>
      </c>
      <c r="AZ93" s="25"/>
      <c r="BA93" s="10" t="str">
        <f t="shared" si="82"/>
        <v>OutubroSEMANA 5Carne Bovina  - Contra-filé - (Filé Noix)</v>
      </c>
      <c r="BB93" s="7">
        <f>SUMIF(NF!$A:$A,$BA93,NF!$I:$I)</f>
        <v>0</v>
      </c>
      <c r="BC93" s="6"/>
      <c r="BD93" s="6"/>
      <c r="BE93" s="6"/>
      <c r="BF93" s="74"/>
      <c r="BG93" s="74"/>
      <c r="BH93" s="74"/>
      <c r="BI93" s="74"/>
      <c r="BJ93" s="74"/>
      <c r="BK93" s="7">
        <f t="shared" si="105"/>
        <v>0</v>
      </c>
      <c r="BL93" s="8">
        <f t="shared" si="84"/>
        <v>0</v>
      </c>
      <c r="BM93" s="51" t="str">
        <f>IFERROR(VLOOKUP(A93,NF!$M:$O,3,0),"")</f>
        <v>Carnes</v>
      </c>
      <c r="BN93" s="7">
        <f t="shared" si="85"/>
        <v>0</v>
      </c>
      <c r="BO93" s="8">
        <f t="array" ref="BO93">IFERROR(LARGE(IF(NF!$G$2:$G$3137='Mês atual'!A93,NF!$J$2:$J$3137),1),0)*BN93</f>
        <v>0</v>
      </c>
      <c r="BP93" s="50"/>
      <c r="BR93" s="147">
        <f t="array" ref="BR93">IFERROR(LARGE(IF(NF!$G$2:$G$3137='Mês atual'!A93,NF!$J$2:$J$3137),1),0)</f>
        <v>0</v>
      </c>
      <c r="BS93" s="143" t="str">
        <f>VLOOKUP(A93,NF!M:O,3,0)</f>
        <v>Carnes</v>
      </c>
    </row>
    <row r="94" spans="1:71" x14ac:dyDescent="0.25">
      <c r="A94" s="108" t="s">
        <v>216</v>
      </c>
      <c r="B94" s="12"/>
      <c r="C94" s="9">
        <v>12.46</v>
      </c>
      <c r="D94" s="25"/>
      <c r="E94" s="10" t="str">
        <f t="shared" si="70"/>
        <v>OutubroSEMANA 1Carne Bovina - Alcatra Miolo</v>
      </c>
      <c r="F94" s="7">
        <f>SUMIF(NF!$A:$A,$E94,NF!$I:$I)</f>
        <v>81.02000000000001</v>
      </c>
      <c r="G94" s="6">
        <v>4.2</v>
      </c>
      <c r="H94" s="6"/>
      <c r="I94" s="6"/>
      <c r="J94" s="6"/>
      <c r="K94" s="6">
        <v>19.12</v>
      </c>
      <c r="L94" s="6"/>
      <c r="M94" s="6"/>
      <c r="N94" s="7">
        <f t="shared" si="101"/>
        <v>23.32</v>
      </c>
      <c r="O94" s="11">
        <f t="shared" si="72"/>
        <v>70.160000000000025</v>
      </c>
      <c r="P94" s="25"/>
      <c r="Q94" s="10" t="str">
        <f t="shared" si="73"/>
        <v>OutubroSEMANA 2Carne Bovina - Alcatra Miolo</v>
      </c>
      <c r="R94" s="7">
        <f>SUMIF(NF!$A:$A,$Q94,NF!$I:$I)</f>
        <v>0</v>
      </c>
      <c r="S94" s="6"/>
      <c r="T94" s="6">
        <f>22.92</f>
        <v>22.92</v>
      </c>
      <c r="U94" s="6">
        <f>19.84+5.058</f>
        <v>24.898</v>
      </c>
      <c r="V94" s="6"/>
      <c r="W94" s="6"/>
      <c r="X94" s="6"/>
      <c r="Y94" s="6"/>
      <c r="Z94" s="7">
        <f t="shared" si="102"/>
        <v>47.817999999999998</v>
      </c>
      <c r="AA94" s="11">
        <f t="shared" si="75"/>
        <v>22.342000000000027</v>
      </c>
      <c r="AB94" s="25"/>
      <c r="AC94" s="10" t="str">
        <f t="shared" si="76"/>
        <v>OutubroSEMANA 3Carne Bovina - Alcatra Miolo</v>
      </c>
      <c r="AD94" s="7">
        <f>SUMIF(NF!$A:$A,$AC94,NF!$I:$I)</f>
        <v>21.45</v>
      </c>
      <c r="AE94" s="6"/>
      <c r="AF94" s="6"/>
      <c r="AG94" s="6"/>
      <c r="AH94" s="6"/>
      <c r="AI94" s="6">
        <f>21.84+0.5</f>
        <v>22.34</v>
      </c>
      <c r="AJ94" s="6">
        <v>21.45</v>
      </c>
      <c r="AK94" s="6"/>
      <c r="AL94" s="7">
        <f t="shared" si="103"/>
        <v>43.79</v>
      </c>
      <c r="AM94" s="11">
        <f t="shared" si="78"/>
        <v>2.000000000030866E-3</v>
      </c>
      <c r="AN94" s="25"/>
      <c r="AO94" s="10" t="str">
        <f t="shared" si="79"/>
        <v>OutubroSEMANA 4Carne Bovina - Alcatra Miolo</v>
      </c>
      <c r="AP94" s="7">
        <f>SUMIF(NF!$A:$A,$AO94,NF!$I:$I)</f>
        <v>26.84</v>
      </c>
      <c r="AQ94" s="6"/>
      <c r="AR94" s="6">
        <v>3.319</v>
      </c>
      <c r="AS94" s="6"/>
      <c r="AT94" s="6">
        <v>6.64</v>
      </c>
      <c r="AU94" s="6"/>
      <c r="AV94" s="6"/>
      <c r="AW94" s="6"/>
      <c r="AX94" s="7">
        <f t="shared" si="104"/>
        <v>9.9589999999999996</v>
      </c>
      <c r="AY94" s="11">
        <f t="shared" si="81"/>
        <v>16.883000000000031</v>
      </c>
      <c r="AZ94" s="25"/>
      <c r="BA94" s="10" t="str">
        <f t="shared" si="82"/>
        <v>OutubroSEMANA 5Carne Bovina - Alcatra Miolo</v>
      </c>
      <c r="BB94" s="7">
        <f>SUMIF(NF!$A:$A,$BA94,NF!$I:$I)</f>
        <v>0</v>
      </c>
      <c r="BC94" s="6"/>
      <c r="BD94" s="6"/>
      <c r="BE94" s="6"/>
      <c r="BF94" s="74"/>
      <c r="BG94" s="74"/>
      <c r="BH94" s="74"/>
      <c r="BI94" s="74"/>
      <c r="BJ94" s="74"/>
      <c r="BK94" s="7">
        <f t="shared" si="105"/>
        <v>0</v>
      </c>
      <c r="BL94" s="8">
        <f t="shared" si="84"/>
        <v>16.883000000000031</v>
      </c>
      <c r="BM94" s="51" t="str">
        <f>IFERROR(VLOOKUP(A94,NF!$M:$O,3,0),"")</f>
        <v>Carnes</v>
      </c>
      <c r="BN94" s="7">
        <f t="shared" si="85"/>
        <v>124.887</v>
      </c>
      <c r="BO94" s="8">
        <f t="array" ref="BO94">IFERROR(LARGE(IF(NF!$G$2:$G$3137='Mês atual'!A94,NF!$J$2:$J$3137),1),0)*BN94</f>
        <v>2745.0162599999999</v>
      </c>
      <c r="BP94" s="50"/>
      <c r="BR94" s="147">
        <f t="array" ref="BR94">IFERROR(LARGE(IF(NF!$G$2:$G$3137='Mês atual'!A94,NF!$J$2:$J$3137),1),0)</f>
        <v>21.98</v>
      </c>
      <c r="BS94" s="143" t="str">
        <f>VLOOKUP(A94,NF!M:O,3,0)</f>
        <v>Carnes</v>
      </c>
    </row>
    <row r="95" spans="1:71" x14ac:dyDescent="0.25">
      <c r="A95" s="108" t="s">
        <v>217</v>
      </c>
      <c r="B95" s="12"/>
      <c r="C95" s="9"/>
      <c r="D95" s="25"/>
      <c r="E95" s="10" t="str">
        <f t="shared" si="70"/>
        <v>OutubroSEMANA 1Carne Bovina - Bucho</v>
      </c>
      <c r="F95" s="7">
        <f>SUMIF(NF!$A:$A,$E95,NF!$I:$I)</f>
        <v>20.04</v>
      </c>
      <c r="G95" s="6"/>
      <c r="H95" s="6"/>
      <c r="I95" s="6"/>
      <c r="J95" s="6">
        <v>9.24</v>
      </c>
      <c r="K95" s="6"/>
      <c r="L95" s="6"/>
      <c r="M95" s="6"/>
      <c r="N95" s="7">
        <f t="shared" si="101"/>
        <v>9.24</v>
      </c>
      <c r="O95" s="11">
        <f t="shared" si="72"/>
        <v>10.799999999999999</v>
      </c>
      <c r="P95" s="25"/>
      <c r="Q95" s="10" t="str">
        <f t="shared" si="73"/>
        <v>OutubroSEMANA 2Carne Bovina - Bucho</v>
      </c>
      <c r="R95" s="7">
        <f>SUMIF(NF!$A:$A,$Q95,NF!$I:$I)</f>
        <v>0</v>
      </c>
      <c r="S95" s="6"/>
      <c r="T95" s="6"/>
      <c r="U95" s="6"/>
      <c r="V95" s="6"/>
      <c r="W95" s="6"/>
      <c r="X95" s="6"/>
      <c r="Y95" s="6"/>
      <c r="Z95" s="7">
        <f t="shared" si="102"/>
        <v>0</v>
      </c>
      <c r="AA95" s="11">
        <f t="shared" si="75"/>
        <v>10.799999999999999</v>
      </c>
      <c r="AB95" s="25"/>
      <c r="AC95" s="10" t="str">
        <f t="shared" si="76"/>
        <v>OutubroSEMANA 3Carne Bovina - Bucho</v>
      </c>
      <c r="AD95" s="7">
        <f>SUMIF(NF!$A:$A,$AC95,NF!$I:$I)</f>
        <v>0</v>
      </c>
      <c r="AE95" s="6"/>
      <c r="AF95" s="6"/>
      <c r="AG95" s="6"/>
      <c r="AH95" s="6"/>
      <c r="AI95" s="6"/>
      <c r="AJ95" s="6"/>
      <c r="AK95" s="6"/>
      <c r="AL95" s="7">
        <f t="shared" si="103"/>
        <v>0</v>
      </c>
      <c r="AM95" s="11">
        <f t="shared" si="78"/>
        <v>10.799999999999999</v>
      </c>
      <c r="AN95" s="25"/>
      <c r="AO95" s="10" t="str">
        <f t="shared" si="79"/>
        <v>OutubroSEMANA 4Carne Bovina - Bucho</v>
      </c>
      <c r="AP95" s="7">
        <f>SUMIF(NF!$A:$A,$AO95,NF!$I:$I)</f>
        <v>0</v>
      </c>
      <c r="AQ95" s="6"/>
      <c r="AR95" s="6"/>
      <c r="AS95" s="6"/>
      <c r="AT95" s="6"/>
      <c r="AU95" s="6"/>
      <c r="AV95" s="6"/>
      <c r="AW95" s="6"/>
      <c r="AX95" s="7">
        <f t="shared" si="104"/>
        <v>0</v>
      </c>
      <c r="AY95" s="11">
        <f t="shared" si="81"/>
        <v>10.799999999999999</v>
      </c>
      <c r="AZ95" s="25"/>
      <c r="BA95" s="10" t="str">
        <f t="shared" si="82"/>
        <v>OutubroSEMANA 5Carne Bovina - Bucho</v>
      </c>
      <c r="BB95" s="7">
        <f>SUMIF(NF!$A:$A,$BA95,NF!$I:$I)</f>
        <v>0</v>
      </c>
      <c r="BC95" s="6"/>
      <c r="BD95" s="6"/>
      <c r="BE95" s="6">
        <v>10.8</v>
      </c>
      <c r="BF95" s="74"/>
      <c r="BG95" s="74"/>
      <c r="BH95" s="74"/>
      <c r="BI95" s="74"/>
      <c r="BJ95" s="74"/>
      <c r="BK95" s="7">
        <f t="shared" si="105"/>
        <v>10.8</v>
      </c>
      <c r="BL95" s="8">
        <f t="shared" si="84"/>
        <v>0</v>
      </c>
      <c r="BM95" s="51" t="str">
        <f>IFERROR(VLOOKUP(A95,NF!$M:$O,3,0),"")</f>
        <v>Carnes</v>
      </c>
      <c r="BN95" s="7">
        <f t="shared" si="85"/>
        <v>20.04</v>
      </c>
      <c r="BO95" s="8">
        <f t="array" ref="BO95">IFERROR(LARGE(IF(NF!$G$2:$G$3137='Mês atual'!A95,NF!$J$2:$J$3137),1),0)*BN95</f>
        <v>180.15959999999998</v>
      </c>
      <c r="BP95" s="50"/>
      <c r="BR95" s="147">
        <f t="array" ref="BR95">IFERROR(LARGE(IF(NF!$G$2:$G$3137='Mês atual'!A95,NF!$J$2:$J$3137),1),0)</f>
        <v>8.99</v>
      </c>
      <c r="BS95" s="143" t="str">
        <f>VLOOKUP(A95,NF!M:O,3,0)</f>
        <v>Carnes</v>
      </c>
    </row>
    <row r="96" spans="1:71" x14ac:dyDescent="0.25">
      <c r="A96" s="108" t="s">
        <v>218</v>
      </c>
      <c r="B96" s="12"/>
      <c r="C96" s="9">
        <v>17.64</v>
      </c>
      <c r="D96" s="25"/>
      <c r="E96" s="10" t="str">
        <f t="shared" si="70"/>
        <v>OutubroSEMANA 1Carne Bovina - Carne Seca</v>
      </c>
      <c r="F96" s="7">
        <f>SUMIF(NF!$A:$A,$E96,NF!$I:$I)</f>
        <v>25</v>
      </c>
      <c r="G96" s="6"/>
      <c r="H96" s="6"/>
      <c r="I96" s="6"/>
      <c r="J96" s="6">
        <v>2.64</v>
      </c>
      <c r="K96" s="6">
        <v>2.2000000000000002</v>
      </c>
      <c r="L96" s="6">
        <v>27.26</v>
      </c>
      <c r="M96" s="6"/>
      <c r="N96" s="7">
        <f t="shared" si="101"/>
        <v>32.1</v>
      </c>
      <c r="O96" s="11">
        <f t="shared" si="72"/>
        <v>10.54</v>
      </c>
      <c r="P96" s="25"/>
      <c r="Q96" s="10" t="str">
        <f t="shared" si="73"/>
        <v>OutubroSEMANA 2Carne Bovina - Carne Seca</v>
      </c>
      <c r="R96" s="7">
        <f>SUMIF(NF!$A:$A,$Q96,NF!$I:$I)</f>
        <v>10</v>
      </c>
      <c r="S96" s="6"/>
      <c r="T96" s="6"/>
      <c r="U96" s="6"/>
      <c r="V96" s="6"/>
      <c r="W96" s="6"/>
      <c r="X96" s="6">
        <v>4.5</v>
      </c>
      <c r="Y96" s="6">
        <v>3.16</v>
      </c>
      <c r="Z96" s="7">
        <f t="shared" si="102"/>
        <v>7.66</v>
      </c>
      <c r="AA96" s="11">
        <f t="shared" si="75"/>
        <v>12.879999999999999</v>
      </c>
      <c r="AB96" s="25"/>
      <c r="AC96" s="10" t="str">
        <f t="shared" si="76"/>
        <v>OutubroSEMANA 3Carne Bovina - Carne Seca</v>
      </c>
      <c r="AD96" s="7">
        <f>SUMIF(NF!$A:$A,$AC96,NF!$I:$I)</f>
        <v>20</v>
      </c>
      <c r="AE96" s="6"/>
      <c r="AF96" s="6"/>
      <c r="AG96" s="6"/>
      <c r="AH96" s="6">
        <v>3.26</v>
      </c>
      <c r="AI96" s="6">
        <v>5</v>
      </c>
      <c r="AJ96" s="6">
        <v>10</v>
      </c>
      <c r="AK96" s="6"/>
      <c r="AL96" s="7">
        <f t="shared" si="103"/>
        <v>18.259999999999998</v>
      </c>
      <c r="AM96" s="11">
        <f t="shared" si="78"/>
        <v>14.619999999999997</v>
      </c>
      <c r="AN96" s="25"/>
      <c r="AO96" s="10" t="str">
        <f t="shared" si="79"/>
        <v>OutubroSEMANA 4Carne Bovina - Carne Seca</v>
      </c>
      <c r="AP96" s="7">
        <f>SUMIF(NF!$A:$A,$AO96,NF!$I:$I)</f>
        <v>30</v>
      </c>
      <c r="AQ96" s="6">
        <v>8</v>
      </c>
      <c r="AR96" s="6"/>
      <c r="AS96" s="6"/>
      <c r="AT96" s="6"/>
      <c r="AU96" s="6">
        <v>3</v>
      </c>
      <c r="AV96" s="6">
        <v>20</v>
      </c>
      <c r="AW96" s="6"/>
      <c r="AX96" s="7">
        <f t="shared" si="104"/>
        <v>31</v>
      </c>
      <c r="AY96" s="11">
        <f t="shared" si="81"/>
        <v>13.619999999999997</v>
      </c>
      <c r="AZ96" s="25"/>
      <c r="BA96" s="10" t="str">
        <f t="shared" si="82"/>
        <v>OutubroSEMANA 5Carne Bovina - Carne Seca</v>
      </c>
      <c r="BB96" s="7">
        <f>SUMIF(NF!$A:$A,$BA96,NF!$I:$I)</f>
        <v>5</v>
      </c>
      <c r="BC96" s="6"/>
      <c r="BD96" s="6"/>
      <c r="BE96" s="6">
        <f>2.72+0.9</f>
        <v>3.62</v>
      </c>
      <c r="BF96" s="74"/>
      <c r="BG96" s="74"/>
      <c r="BH96" s="74"/>
      <c r="BI96" s="74"/>
      <c r="BJ96" s="74"/>
      <c r="BK96" s="7">
        <f t="shared" si="105"/>
        <v>3.62</v>
      </c>
      <c r="BL96" s="8">
        <f t="shared" si="84"/>
        <v>14.999999999999996</v>
      </c>
      <c r="BM96" s="51" t="str">
        <f>IFERROR(VLOOKUP(A96,NF!$M:$O,3,0),"")</f>
        <v>Carnes</v>
      </c>
      <c r="BN96" s="7">
        <f t="shared" si="85"/>
        <v>92.640000000000015</v>
      </c>
      <c r="BO96" s="8">
        <f t="array" ref="BO96">IFERROR(LARGE(IF(NF!$G$2:$G$3137='Mês atual'!A96,NF!$J$2:$J$3137),1),0)*BN96</f>
        <v>1760.1600000000003</v>
      </c>
      <c r="BP96" s="50"/>
      <c r="BR96" s="147">
        <f t="array" ref="BR96">IFERROR(LARGE(IF(NF!$G$2:$G$3137='Mês atual'!A96,NF!$J$2:$J$3137),1),0)</f>
        <v>19</v>
      </c>
      <c r="BS96" s="143" t="str">
        <f>VLOOKUP(A96,NF!M:O,3,0)</f>
        <v>Carnes</v>
      </c>
    </row>
    <row r="97" spans="1:71" x14ac:dyDescent="0.25">
      <c r="A97" s="108" t="s">
        <v>975</v>
      </c>
      <c r="B97" s="12"/>
      <c r="C97" s="9"/>
      <c r="D97" s="25"/>
      <c r="E97" s="10" t="str">
        <f t="shared" si="70"/>
        <v>OutubroSEMANA 1Carne Bovina - Contra-filé (Chorizo)</v>
      </c>
      <c r="F97" s="7">
        <f>SUMIF(NF!$A:$A,$E97,NF!$I:$I)</f>
        <v>27.283999999999999</v>
      </c>
      <c r="G97" s="6"/>
      <c r="H97" s="6"/>
      <c r="I97" s="6"/>
      <c r="J97" s="6"/>
      <c r="K97" s="6"/>
      <c r="L97" s="6"/>
      <c r="M97" s="6"/>
      <c r="N97" s="7">
        <f t="shared" ref="N97" si="106">SUM(G97:M97)</f>
        <v>0</v>
      </c>
      <c r="O97" s="11">
        <f t="shared" si="72"/>
        <v>27.283999999999999</v>
      </c>
      <c r="P97" s="25"/>
      <c r="Q97" s="10" t="str">
        <f t="shared" si="73"/>
        <v>OutubroSEMANA 2Carne Bovina - Contra-filé (Chorizo)</v>
      </c>
      <c r="R97" s="7">
        <f>SUMIF(NF!$A:$A,$Q97,NF!$I:$I)</f>
        <v>0</v>
      </c>
      <c r="S97" s="6">
        <f>23.52-5.78</f>
        <v>17.739999999999998</v>
      </c>
      <c r="T97" s="6"/>
      <c r="U97" s="6"/>
      <c r="V97" s="6"/>
      <c r="W97" s="6"/>
      <c r="X97" s="6">
        <v>9.5399999999999991</v>
      </c>
      <c r="Y97" s="6"/>
      <c r="Z97" s="7">
        <f t="shared" ref="Z97" si="107">SUM(S97:Y97)</f>
        <v>27.279999999999998</v>
      </c>
      <c r="AA97" s="11">
        <f t="shared" si="75"/>
        <v>4.0000000000013358E-3</v>
      </c>
      <c r="AB97" s="25"/>
      <c r="AC97" s="10" t="str">
        <f t="shared" si="76"/>
        <v>OutubroSEMANA 3Carne Bovina - Contra-filé (Chorizo)</v>
      </c>
      <c r="AD97" s="7">
        <f>SUMIF(NF!$A:$A,$AC97,NF!$I:$I)</f>
        <v>0</v>
      </c>
      <c r="AE97" s="6"/>
      <c r="AF97" s="6"/>
      <c r="AG97" s="6"/>
      <c r="AH97" s="6"/>
      <c r="AI97" s="6"/>
      <c r="AJ97" s="6"/>
      <c r="AK97" s="6"/>
      <c r="AL97" s="7">
        <f t="shared" ref="AL97" si="108">SUM(AE97:AK97)</f>
        <v>0</v>
      </c>
      <c r="AM97" s="11">
        <f t="shared" si="78"/>
        <v>4.0000000000013358E-3</v>
      </c>
      <c r="AN97" s="25"/>
      <c r="AO97" s="10" t="str">
        <f t="shared" si="79"/>
        <v>OutubroSEMANA 4Carne Bovina - Contra-filé (Chorizo)</v>
      </c>
      <c r="AP97" s="7">
        <f>SUMIF(NF!$A:$A,$AO97,NF!$I:$I)</f>
        <v>0</v>
      </c>
      <c r="AQ97" s="6"/>
      <c r="AR97" s="6"/>
      <c r="AS97" s="6"/>
      <c r="AT97" s="6"/>
      <c r="AU97" s="6"/>
      <c r="AV97" s="6"/>
      <c r="AW97" s="6"/>
      <c r="AX97" s="7">
        <f t="shared" ref="AX97" si="109">SUM(AQ97:AW97)</f>
        <v>0</v>
      </c>
      <c r="AY97" s="11">
        <f t="shared" si="81"/>
        <v>4.0000000000013358E-3</v>
      </c>
      <c r="AZ97" s="25"/>
      <c r="BA97" s="10" t="str">
        <f t="shared" si="82"/>
        <v>OutubroSEMANA 5Carne Bovina - Contra-filé (Chorizo)</v>
      </c>
      <c r="BB97" s="7">
        <f>SUMIF(NF!$A:$A,$BA97,NF!$I:$I)</f>
        <v>0</v>
      </c>
      <c r="BC97" s="6"/>
      <c r="BD97" s="6"/>
      <c r="BE97" s="6"/>
      <c r="BF97" s="74"/>
      <c r="BG97" s="74"/>
      <c r="BH97" s="74"/>
      <c r="BI97" s="74"/>
      <c r="BJ97" s="74"/>
      <c r="BK97" s="7">
        <f t="shared" ref="BK97" si="110">SUM(BC97:BJ97)</f>
        <v>0</v>
      </c>
      <c r="BL97" s="8">
        <f t="shared" si="84"/>
        <v>4.0000000000013358E-3</v>
      </c>
      <c r="BM97" s="51" t="str">
        <f>IFERROR(VLOOKUP(A97,NF!$M:$O,3,0),"")</f>
        <v>Carnes</v>
      </c>
      <c r="BN97" s="7">
        <f t="shared" si="85"/>
        <v>27.279999999999998</v>
      </c>
      <c r="BO97" s="8">
        <f t="array" ref="BO97">IFERROR(LARGE(IF(NF!$G$2:$G$3137='Mês atual'!A97,NF!$J$2:$J$3137),1),0)*BN97</f>
        <v>671.42081599999995</v>
      </c>
      <c r="BP97" s="50"/>
      <c r="BR97" s="147">
        <f t="array" ref="BR97">IFERROR(LARGE(IF(NF!$G$2:$G$3137='Mês atual'!A97,NF!$J$2:$J$3137),1),0)</f>
        <v>24.612200000000001</v>
      </c>
      <c r="BS97" s="143" t="str">
        <f>VLOOKUP(A97,NF!M:O,3,0)</f>
        <v>Carnes</v>
      </c>
    </row>
    <row r="98" spans="1:71" x14ac:dyDescent="0.25">
      <c r="A98" s="108" t="s">
        <v>219</v>
      </c>
      <c r="B98" s="12"/>
      <c r="C98" s="9">
        <v>16.100000000000001</v>
      </c>
      <c r="D98" s="25"/>
      <c r="E98" s="10" t="str">
        <f t="shared" si="70"/>
        <v>OutubroSEMANA 1Carne Bovina - Coração Alcatra</v>
      </c>
      <c r="F98" s="7">
        <f>SUMIF(NF!$A:$A,$E98,NF!$I:$I)</f>
        <v>0</v>
      </c>
      <c r="G98" s="6">
        <v>16.100000000000001</v>
      </c>
      <c r="H98" s="6"/>
      <c r="I98" s="6"/>
      <c r="J98" s="6"/>
      <c r="K98" s="6"/>
      <c r="L98" s="6"/>
      <c r="M98" s="6"/>
      <c r="N98" s="7">
        <f t="shared" ref="N98:N110" si="111">SUM(G98:M98)</f>
        <v>16.100000000000001</v>
      </c>
      <c r="O98" s="11">
        <f t="shared" si="72"/>
        <v>0</v>
      </c>
      <c r="P98" s="25"/>
      <c r="Q98" s="10" t="str">
        <f t="shared" si="73"/>
        <v>OutubroSEMANA 2Carne Bovina - Coração Alcatra</v>
      </c>
      <c r="R98" s="7">
        <f>SUMIF(NF!$A:$A,$Q98,NF!$I:$I)</f>
        <v>41.281999999999996</v>
      </c>
      <c r="S98" s="6"/>
      <c r="T98" s="6"/>
      <c r="U98" s="6"/>
      <c r="V98" s="6"/>
      <c r="W98" s="6"/>
      <c r="X98" s="6"/>
      <c r="Y98" s="6"/>
      <c r="Z98" s="7">
        <f t="shared" ref="Z98:Z110" si="112">SUM(S98:Y98)</f>
        <v>0</v>
      </c>
      <c r="AA98" s="11">
        <f t="shared" si="75"/>
        <v>41.281999999999996</v>
      </c>
      <c r="AB98" s="25"/>
      <c r="AC98" s="10" t="str">
        <f t="shared" si="76"/>
        <v>OutubroSEMANA 3Carne Bovina - Coração Alcatra</v>
      </c>
      <c r="AD98" s="7">
        <f>SUMIF(NF!$A:$A,$AC98,NF!$I:$I)</f>
        <v>0</v>
      </c>
      <c r="AE98" s="6"/>
      <c r="AF98" s="6"/>
      <c r="AG98" s="6"/>
      <c r="AH98" s="6"/>
      <c r="AI98" s="6"/>
      <c r="AJ98" s="6">
        <f>4.05+2.8</f>
        <v>6.85</v>
      </c>
      <c r="AK98" s="6"/>
      <c r="AL98" s="7">
        <f t="shared" ref="AL98:AL110" si="113">SUM(AE98:AK98)</f>
        <v>6.85</v>
      </c>
      <c r="AM98" s="11">
        <f t="shared" si="78"/>
        <v>34.431999999999995</v>
      </c>
      <c r="AN98" s="25"/>
      <c r="AO98" s="10" t="str">
        <f t="shared" si="79"/>
        <v>OutubroSEMANA 4Carne Bovina - Coração Alcatra</v>
      </c>
      <c r="AP98" s="7">
        <f>SUMIF(NF!$A:$A,$AO98,NF!$I:$I)</f>
        <v>22.94</v>
      </c>
      <c r="AQ98" s="6"/>
      <c r="AR98" s="6">
        <v>21.45</v>
      </c>
      <c r="AS98" s="6"/>
      <c r="AT98" s="6">
        <v>6.8</v>
      </c>
      <c r="AU98" s="6"/>
      <c r="AV98" s="6"/>
      <c r="AW98" s="6">
        <f>3.234+12.978+6.788+3.1+3.019</f>
        <v>29.119</v>
      </c>
      <c r="AX98" s="7">
        <f t="shared" ref="AX98:AX110" si="114">SUM(AQ98:AW98)</f>
        <v>57.369</v>
      </c>
      <c r="AY98" s="11">
        <f t="shared" si="81"/>
        <v>3.0000000000001137E-3</v>
      </c>
      <c r="AZ98" s="25"/>
      <c r="BA98" s="10" t="str">
        <f t="shared" si="82"/>
        <v>OutubroSEMANA 5Carne Bovina - Coração Alcatra</v>
      </c>
      <c r="BB98" s="7">
        <f>SUMIF(NF!$A:$A,$BA98,NF!$I:$I)</f>
        <v>22.831</v>
      </c>
      <c r="BC98" s="6"/>
      <c r="BD98" s="6"/>
      <c r="BE98" s="6"/>
      <c r="BF98" s="74"/>
      <c r="BG98" s="74"/>
      <c r="BH98" s="74"/>
      <c r="BI98" s="74"/>
      <c r="BJ98" s="74"/>
      <c r="BK98" s="7">
        <f t="shared" ref="BK98:BK110" si="115">SUM(BC98:BJ98)</f>
        <v>0</v>
      </c>
      <c r="BL98" s="8">
        <f t="shared" si="84"/>
        <v>22.834</v>
      </c>
      <c r="BM98" s="51" t="str">
        <f>IFERROR(VLOOKUP(A98,NF!$M:$O,3,0),"")</f>
        <v>Carnes</v>
      </c>
      <c r="BN98" s="7">
        <f t="shared" si="85"/>
        <v>80.319000000000003</v>
      </c>
      <c r="BO98" s="8">
        <f t="array" ref="BO98">IFERROR(LARGE(IF(NF!$G$2:$G$3137='Mês atual'!A98,NF!$J$2:$J$3137),1),0)*BN98</f>
        <v>1629.6725099999999</v>
      </c>
      <c r="BP98" s="50"/>
      <c r="BR98" s="147">
        <f t="array" ref="BR98">IFERROR(LARGE(IF(NF!$G$2:$G$3137='Mês atual'!A98,NF!$J$2:$J$3137),1),0)</f>
        <v>20.29</v>
      </c>
      <c r="BS98" s="143" t="str">
        <f>VLOOKUP(A98,NF!M:O,3,0)</f>
        <v>Carnes</v>
      </c>
    </row>
    <row r="99" spans="1:71" x14ac:dyDescent="0.25">
      <c r="A99" s="108" t="s">
        <v>220</v>
      </c>
      <c r="B99" s="12"/>
      <c r="C99" s="9"/>
      <c r="D99" s="25"/>
      <c r="E99" s="10" t="str">
        <f t="shared" si="70"/>
        <v>OutubroSEMANA 1Carne Bovina - Costela</v>
      </c>
      <c r="F99" s="7">
        <f>SUMIF(NF!$A:$A,$E99,NF!$I:$I)</f>
        <v>0</v>
      </c>
      <c r="G99" s="6"/>
      <c r="H99" s="6"/>
      <c r="I99" s="6"/>
      <c r="J99" s="6"/>
      <c r="K99" s="6"/>
      <c r="L99" s="6"/>
      <c r="M99" s="6"/>
      <c r="N99" s="7">
        <f t="shared" si="111"/>
        <v>0</v>
      </c>
      <c r="O99" s="11">
        <f t="shared" si="72"/>
        <v>0</v>
      </c>
      <c r="P99" s="25"/>
      <c r="Q99" s="10" t="str">
        <f t="shared" si="73"/>
        <v>OutubroSEMANA 2Carne Bovina - Costela</v>
      </c>
      <c r="R99" s="7">
        <f>SUMIF(NF!$A:$A,$Q99,NF!$I:$I)</f>
        <v>0</v>
      </c>
      <c r="S99" s="6"/>
      <c r="T99" s="6"/>
      <c r="U99" s="6"/>
      <c r="V99" s="6"/>
      <c r="W99" s="6"/>
      <c r="X99" s="6"/>
      <c r="Y99" s="6"/>
      <c r="Z99" s="7">
        <f t="shared" si="112"/>
        <v>0</v>
      </c>
      <c r="AA99" s="11">
        <f t="shared" si="75"/>
        <v>0</v>
      </c>
      <c r="AB99" s="25"/>
      <c r="AC99" s="10" t="str">
        <f t="shared" si="76"/>
        <v>OutubroSEMANA 3Carne Bovina - Costela</v>
      </c>
      <c r="AD99" s="7">
        <f>SUMIF(NF!$A:$A,$AC99,NF!$I:$I)</f>
        <v>0</v>
      </c>
      <c r="AE99" s="6"/>
      <c r="AF99" s="6"/>
      <c r="AG99" s="6"/>
      <c r="AH99" s="6"/>
      <c r="AI99" s="6"/>
      <c r="AJ99" s="6"/>
      <c r="AK99" s="6"/>
      <c r="AL99" s="7">
        <f t="shared" si="113"/>
        <v>0</v>
      </c>
      <c r="AM99" s="11">
        <f t="shared" si="78"/>
        <v>0</v>
      </c>
      <c r="AN99" s="25"/>
      <c r="AO99" s="10" t="str">
        <f t="shared" si="79"/>
        <v>OutubroSEMANA 4Carne Bovina - Costela</v>
      </c>
      <c r="AP99" s="7">
        <f>SUMIF(NF!$A:$A,$AO99,NF!$I:$I)</f>
        <v>0</v>
      </c>
      <c r="AQ99" s="6"/>
      <c r="AR99" s="6"/>
      <c r="AS99" s="6"/>
      <c r="AT99" s="6"/>
      <c r="AU99" s="6"/>
      <c r="AV99" s="6"/>
      <c r="AW99" s="6"/>
      <c r="AX99" s="7">
        <f t="shared" si="114"/>
        <v>0</v>
      </c>
      <c r="AY99" s="11">
        <f t="shared" si="81"/>
        <v>0</v>
      </c>
      <c r="AZ99" s="25"/>
      <c r="BA99" s="10" t="str">
        <f t="shared" si="82"/>
        <v>OutubroSEMANA 5Carne Bovina - Costela</v>
      </c>
      <c r="BB99" s="7">
        <f>SUMIF(NF!$A:$A,$BA99,NF!$I:$I)</f>
        <v>0</v>
      </c>
      <c r="BC99" s="6"/>
      <c r="BD99" s="6"/>
      <c r="BE99" s="6"/>
      <c r="BF99" s="74"/>
      <c r="BG99" s="74"/>
      <c r="BH99" s="74"/>
      <c r="BI99" s="74"/>
      <c r="BJ99" s="74"/>
      <c r="BK99" s="7">
        <f t="shared" si="115"/>
        <v>0</v>
      </c>
      <c r="BL99" s="8">
        <f t="shared" si="84"/>
        <v>0</v>
      </c>
      <c r="BM99" s="51" t="str">
        <f>IFERROR(VLOOKUP(A99,NF!$M:$O,3,0),"")</f>
        <v>Carnes</v>
      </c>
      <c r="BN99" s="7">
        <f t="shared" si="85"/>
        <v>0</v>
      </c>
      <c r="BO99" s="8">
        <f t="array" ref="BO99">IFERROR(LARGE(IF(NF!$G$2:$G$3137='Mês atual'!A99,NF!$J$2:$J$3137),1),0)*BN99</f>
        <v>0</v>
      </c>
      <c r="BP99" s="50"/>
      <c r="BR99" s="147">
        <f t="array" ref="BR99">IFERROR(LARGE(IF(NF!$G$2:$G$3137='Mês atual'!A99,NF!$J$2:$J$3137),1),0)</f>
        <v>0</v>
      </c>
      <c r="BS99" s="143" t="str">
        <f>VLOOKUP(A99,NF!M:O,3,0)</f>
        <v>Carnes</v>
      </c>
    </row>
    <row r="100" spans="1:71" x14ac:dyDescent="0.25">
      <c r="A100" s="108" t="s">
        <v>221</v>
      </c>
      <c r="B100" s="12"/>
      <c r="C100" s="9"/>
      <c r="D100" s="25"/>
      <c r="E100" s="10" t="str">
        <f t="shared" si="70"/>
        <v>OutubroSEMANA 1Carne Bovina - Cupim</v>
      </c>
      <c r="F100" s="7">
        <f>SUMIF(NF!$A:$A,$E100,NF!$I:$I)</f>
        <v>0</v>
      </c>
      <c r="G100" s="6"/>
      <c r="H100" s="6"/>
      <c r="I100" s="6"/>
      <c r="J100" s="6"/>
      <c r="K100" s="6"/>
      <c r="L100" s="6"/>
      <c r="M100" s="6"/>
      <c r="N100" s="7">
        <f t="shared" si="111"/>
        <v>0</v>
      </c>
      <c r="O100" s="11">
        <f t="shared" si="72"/>
        <v>0</v>
      </c>
      <c r="P100" s="25"/>
      <c r="Q100" s="10" t="str">
        <f t="shared" si="73"/>
        <v>OutubroSEMANA 2Carne Bovina - Cupim</v>
      </c>
      <c r="R100" s="7">
        <f>SUMIF(NF!$A:$A,$Q100,NF!$I:$I)</f>
        <v>0</v>
      </c>
      <c r="S100" s="6"/>
      <c r="T100" s="6"/>
      <c r="U100" s="6"/>
      <c r="V100" s="6"/>
      <c r="W100" s="6"/>
      <c r="X100" s="6"/>
      <c r="Y100" s="6"/>
      <c r="Z100" s="7">
        <f t="shared" si="112"/>
        <v>0</v>
      </c>
      <c r="AA100" s="11">
        <f t="shared" si="75"/>
        <v>0</v>
      </c>
      <c r="AB100" s="25"/>
      <c r="AC100" s="10" t="str">
        <f t="shared" si="76"/>
        <v>OutubroSEMANA 3Carne Bovina - Cupim</v>
      </c>
      <c r="AD100" s="7">
        <f>SUMIF(NF!$A:$A,$AC100,NF!$I:$I)</f>
        <v>0</v>
      </c>
      <c r="AE100" s="6"/>
      <c r="AF100" s="6"/>
      <c r="AG100" s="6"/>
      <c r="AH100" s="6"/>
      <c r="AI100" s="6"/>
      <c r="AJ100" s="6"/>
      <c r="AK100" s="6"/>
      <c r="AL100" s="7">
        <f t="shared" si="113"/>
        <v>0</v>
      </c>
      <c r="AM100" s="11">
        <f t="shared" si="78"/>
        <v>0</v>
      </c>
      <c r="AN100" s="25"/>
      <c r="AO100" s="10" t="str">
        <f t="shared" si="79"/>
        <v>OutubroSEMANA 4Carne Bovina - Cupim</v>
      </c>
      <c r="AP100" s="7">
        <f>SUMIF(NF!$A:$A,$AO100,NF!$I:$I)</f>
        <v>0</v>
      </c>
      <c r="AQ100" s="6"/>
      <c r="AR100" s="6"/>
      <c r="AS100" s="6"/>
      <c r="AT100" s="6"/>
      <c r="AU100" s="6"/>
      <c r="AV100" s="6"/>
      <c r="AW100" s="6"/>
      <c r="AX100" s="7">
        <f t="shared" si="114"/>
        <v>0</v>
      </c>
      <c r="AY100" s="11">
        <f t="shared" si="81"/>
        <v>0</v>
      </c>
      <c r="AZ100" s="25"/>
      <c r="BA100" s="10" t="str">
        <f t="shared" si="82"/>
        <v>OutubroSEMANA 5Carne Bovina - Cupim</v>
      </c>
      <c r="BB100" s="7">
        <f>SUMIF(NF!$A:$A,$BA100,NF!$I:$I)</f>
        <v>0</v>
      </c>
      <c r="BC100" s="6"/>
      <c r="BD100" s="6"/>
      <c r="BE100" s="6"/>
      <c r="BF100" s="74"/>
      <c r="BG100" s="74"/>
      <c r="BH100" s="74"/>
      <c r="BI100" s="74"/>
      <c r="BJ100" s="74"/>
      <c r="BK100" s="7">
        <f t="shared" si="115"/>
        <v>0</v>
      </c>
      <c r="BL100" s="8">
        <f t="shared" si="84"/>
        <v>0</v>
      </c>
      <c r="BM100" s="51" t="str">
        <f>IFERROR(VLOOKUP(A100,NF!$M:$O,3,0),"")</f>
        <v>Carnes</v>
      </c>
      <c r="BN100" s="7">
        <f t="shared" si="85"/>
        <v>0</v>
      </c>
      <c r="BO100" s="8">
        <f t="array" ref="BO100">IFERROR(LARGE(IF(NF!$G$2:$G$3137='Mês atual'!A100,NF!$J$2:$J$3137),1),0)*BN100</f>
        <v>0</v>
      </c>
      <c r="BP100" s="50"/>
      <c r="BR100" s="147">
        <f t="array" ref="BR100">IFERROR(LARGE(IF(NF!$G$2:$G$3137='Mês atual'!A100,NF!$J$2:$J$3137),1),0)</f>
        <v>0</v>
      </c>
      <c r="BS100" s="143" t="str">
        <f>VLOOKUP(A100,NF!M:O,3,0)</f>
        <v>Carnes</v>
      </c>
    </row>
    <row r="101" spans="1:71" x14ac:dyDescent="0.25">
      <c r="A101" s="108" t="s">
        <v>222</v>
      </c>
      <c r="B101" s="12"/>
      <c r="C101" s="9"/>
      <c r="D101" s="25"/>
      <c r="E101" s="10" t="str">
        <f t="shared" si="70"/>
        <v>OutubroSEMANA 1Carne Bovina - Fígado</v>
      </c>
      <c r="F101" s="7">
        <f>SUMIF(NF!$A:$A,$E101,NF!$I:$I)</f>
        <v>0</v>
      </c>
      <c r="G101" s="6"/>
      <c r="H101" s="6"/>
      <c r="I101" s="6"/>
      <c r="J101" s="6"/>
      <c r="K101" s="6"/>
      <c r="L101" s="6"/>
      <c r="M101" s="6"/>
      <c r="N101" s="7">
        <f t="shared" si="111"/>
        <v>0</v>
      </c>
      <c r="O101" s="11">
        <f t="shared" si="72"/>
        <v>0</v>
      </c>
      <c r="P101" s="25"/>
      <c r="Q101" s="10" t="str">
        <f t="shared" si="73"/>
        <v>OutubroSEMANA 2Carne Bovina - Fígado</v>
      </c>
      <c r="R101" s="7">
        <f>SUMIF(NF!$A:$A,$Q101,NF!$I:$I)</f>
        <v>0</v>
      </c>
      <c r="S101" s="6"/>
      <c r="T101" s="6"/>
      <c r="U101" s="6"/>
      <c r="V101" s="6"/>
      <c r="W101" s="6"/>
      <c r="X101" s="6"/>
      <c r="Y101" s="6"/>
      <c r="Z101" s="7">
        <f t="shared" si="112"/>
        <v>0</v>
      </c>
      <c r="AA101" s="11">
        <f t="shared" si="75"/>
        <v>0</v>
      </c>
      <c r="AB101" s="25"/>
      <c r="AC101" s="10" t="str">
        <f t="shared" si="76"/>
        <v>OutubroSEMANA 3Carne Bovina - Fígado</v>
      </c>
      <c r="AD101" s="7">
        <f>SUMIF(NF!$A:$A,$AC101,NF!$I:$I)</f>
        <v>0</v>
      </c>
      <c r="AE101" s="6"/>
      <c r="AF101" s="6"/>
      <c r="AG101" s="6"/>
      <c r="AH101" s="6"/>
      <c r="AI101" s="6"/>
      <c r="AJ101" s="6"/>
      <c r="AK101" s="6"/>
      <c r="AL101" s="7">
        <f t="shared" si="113"/>
        <v>0</v>
      </c>
      <c r="AM101" s="11">
        <f t="shared" si="78"/>
        <v>0</v>
      </c>
      <c r="AN101" s="25"/>
      <c r="AO101" s="10" t="str">
        <f t="shared" si="79"/>
        <v>OutubroSEMANA 4Carne Bovina - Fígado</v>
      </c>
      <c r="AP101" s="7">
        <f>SUMIF(NF!$A:$A,$AO101,NF!$I:$I)</f>
        <v>0</v>
      </c>
      <c r="AQ101" s="6"/>
      <c r="AR101" s="6"/>
      <c r="AS101" s="6"/>
      <c r="AT101" s="6"/>
      <c r="AU101" s="6"/>
      <c r="AV101" s="6"/>
      <c r="AW101" s="6"/>
      <c r="AX101" s="7">
        <f t="shared" si="114"/>
        <v>0</v>
      </c>
      <c r="AY101" s="11">
        <f t="shared" si="81"/>
        <v>0</v>
      </c>
      <c r="AZ101" s="25"/>
      <c r="BA101" s="10" t="str">
        <f t="shared" si="82"/>
        <v>OutubroSEMANA 5Carne Bovina - Fígado</v>
      </c>
      <c r="BB101" s="7">
        <f>SUMIF(NF!$A:$A,$BA101,NF!$I:$I)</f>
        <v>0</v>
      </c>
      <c r="BC101" s="6"/>
      <c r="BD101" s="6"/>
      <c r="BE101" s="6"/>
      <c r="BF101" s="74"/>
      <c r="BG101" s="74"/>
      <c r="BH101" s="74"/>
      <c r="BI101" s="74"/>
      <c r="BJ101" s="74"/>
      <c r="BK101" s="7">
        <f t="shared" si="115"/>
        <v>0</v>
      </c>
      <c r="BL101" s="8">
        <f t="shared" si="84"/>
        <v>0</v>
      </c>
      <c r="BM101" s="51" t="str">
        <f>IFERROR(VLOOKUP(A101,NF!$M:$O,3,0),"")</f>
        <v>Carnes</v>
      </c>
      <c r="BN101" s="7">
        <f t="shared" si="85"/>
        <v>0</v>
      </c>
      <c r="BO101" s="8">
        <f t="array" ref="BO101">IFERROR(LARGE(IF(NF!$G$2:$G$3137='Mês atual'!A101,NF!$J$2:$J$3137),1),0)*BN101</f>
        <v>0</v>
      </c>
      <c r="BP101" s="50"/>
      <c r="BR101" s="147">
        <f t="array" ref="BR101">IFERROR(LARGE(IF(NF!$G$2:$G$3137='Mês atual'!A101,NF!$J$2:$J$3137),1),0)</f>
        <v>0</v>
      </c>
      <c r="BS101" s="143" t="str">
        <f>VLOOKUP(A101,NF!M:O,3,0)</f>
        <v>Carnes</v>
      </c>
    </row>
    <row r="102" spans="1:71" x14ac:dyDescent="0.25">
      <c r="A102" s="108" t="s">
        <v>223</v>
      </c>
      <c r="B102" s="12"/>
      <c r="C102" s="9">
        <v>49.112000000000002</v>
      </c>
      <c r="D102" s="25"/>
      <c r="E102" s="10" t="str">
        <f t="shared" si="70"/>
        <v>OutubroSEMANA 1Carne Bovina - Filé Mignon 3/4</v>
      </c>
      <c r="F102" s="7">
        <f>SUMIF(NF!$A:$A,$E102,NF!$I:$I)</f>
        <v>43.17</v>
      </c>
      <c r="G102" s="6"/>
      <c r="H102" s="6">
        <v>21.86</v>
      </c>
      <c r="I102" s="6"/>
      <c r="J102" s="6"/>
      <c r="K102" s="6"/>
      <c r="L102" s="6"/>
      <c r="M102" s="6">
        <v>18.04</v>
      </c>
      <c r="N102" s="7">
        <f t="shared" si="111"/>
        <v>39.9</v>
      </c>
      <c r="O102" s="11">
        <f t="shared" si="72"/>
        <v>52.382000000000012</v>
      </c>
      <c r="P102" s="25"/>
      <c r="Q102" s="10" t="str">
        <f t="shared" si="73"/>
        <v>OutubroSEMANA 2Carne Bovina - Filé Mignon 3/4</v>
      </c>
      <c r="R102" s="7">
        <f>SUMIF(NF!$A:$A,$Q102,NF!$I:$I)</f>
        <v>71.7</v>
      </c>
      <c r="S102" s="6"/>
      <c r="T102" s="6"/>
      <c r="U102" s="6"/>
      <c r="V102" s="6"/>
      <c r="W102" s="6">
        <v>16.62</v>
      </c>
      <c r="X102" s="6"/>
      <c r="Y102" s="6"/>
      <c r="Z102" s="7">
        <f t="shared" si="112"/>
        <v>16.62</v>
      </c>
      <c r="AA102" s="11">
        <f t="shared" si="75"/>
        <v>107.46200000000002</v>
      </c>
      <c r="AB102" s="25"/>
      <c r="AC102" s="10" t="str">
        <f t="shared" si="76"/>
        <v>OutubroSEMANA 3Carne Bovina - Filé Mignon 3/4</v>
      </c>
      <c r="AD102" s="7">
        <f>SUMIF(NF!$A:$A,$AC102,NF!$I:$I)</f>
        <v>0</v>
      </c>
      <c r="AE102" s="6">
        <v>21.66</v>
      </c>
      <c r="AF102" s="6">
        <v>21.7</v>
      </c>
      <c r="AG102" s="6"/>
      <c r="AH102" s="6"/>
      <c r="AI102" s="6"/>
      <c r="AJ102" s="6"/>
      <c r="AK102" s="6">
        <f>15.44+2.3</f>
        <v>17.739999999999998</v>
      </c>
      <c r="AL102" s="7">
        <f t="shared" si="113"/>
        <v>61.099999999999994</v>
      </c>
      <c r="AM102" s="11">
        <f t="shared" si="78"/>
        <v>46.362000000000023</v>
      </c>
      <c r="AN102" s="25"/>
      <c r="AO102" s="10" t="str">
        <f t="shared" si="79"/>
        <v>OutubroSEMANA 4Carne Bovina - Filé Mignon 3/4</v>
      </c>
      <c r="AP102" s="7">
        <f>SUMIF(NF!$A:$A,$AO102,NF!$I:$I)</f>
        <v>30.53</v>
      </c>
      <c r="AQ102" s="6"/>
      <c r="AR102" s="6"/>
      <c r="AS102" s="6"/>
      <c r="AT102" s="6"/>
      <c r="AU102" s="6"/>
      <c r="AV102" s="6">
        <v>18.86</v>
      </c>
      <c r="AW102" s="6"/>
      <c r="AX102" s="7">
        <f t="shared" si="114"/>
        <v>18.86</v>
      </c>
      <c r="AY102" s="11">
        <f t="shared" si="81"/>
        <v>58.032000000000025</v>
      </c>
      <c r="AZ102" s="25"/>
      <c r="BA102" s="10" t="str">
        <f t="shared" si="82"/>
        <v>OutubroSEMANA 5Carne Bovina - Filé Mignon 3/4</v>
      </c>
      <c r="BB102" s="7">
        <f>SUMIF(NF!$A:$A,$BA102,NF!$I:$I)</f>
        <v>0</v>
      </c>
      <c r="BC102" s="6">
        <v>23.32</v>
      </c>
      <c r="BD102" s="6">
        <f>20.82+6.78</f>
        <v>27.6</v>
      </c>
      <c r="BE102" s="6">
        <f>1.81+3.93</f>
        <v>5.74</v>
      </c>
      <c r="BF102" s="74"/>
      <c r="BG102" s="74"/>
      <c r="BH102" s="74"/>
      <c r="BI102" s="74"/>
      <c r="BJ102" s="74"/>
      <c r="BK102" s="7">
        <f t="shared" si="115"/>
        <v>56.660000000000004</v>
      </c>
      <c r="BL102" s="8">
        <f t="shared" si="84"/>
        <v>1.3720000000000212</v>
      </c>
      <c r="BM102" s="51" t="str">
        <f>IFERROR(VLOOKUP(A102,NF!$M:$O,3,0),"")</f>
        <v>Carnes</v>
      </c>
      <c r="BN102" s="7">
        <f t="shared" si="85"/>
        <v>193.14</v>
      </c>
      <c r="BO102" s="8">
        <f t="array" ref="BO102">IFERROR(LARGE(IF(NF!$G$2:$G$3137='Mês atual'!A102,NF!$J$2:$J$3137),1),0)*BN102</f>
        <v>7146.1799999999994</v>
      </c>
      <c r="BP102" s="50"/>
      <c r="BR102" s="147">
        <f t="array" ref="BR102">IFERROR(LARGE(IF(NF!$G$2:$G$3137='Mês atual'!A102,NF!$J$2:$J$3137),1),0)</f>
        <v>37</v>
      </c>
      <c r="BS102" s="143" t="str">
        <f>VLOOKUP(A102,NF!M:O,3,0)</f>
        <v>Carnes</v>
      </c>
    </row>
    <row r="103" spans="1:71" x14ac:dyDescent="0.25">
      <c r="A103" s="108" t="s">
        <v>224</v>
      </c>
      <c r="B103" s="12"/>
      <c r="C103" s="9"/>
      <c r="D103" s="25"/>
      <c r="E103" s="10" t="str">
        <f t="shared" si="70"/>
        <v>OutubroSEMANA 1Carne Bovina - Filé Mignon 4/5</v>
      </c>
      <c r="F103" s="7">
        <f>SUMIF(NF!$A:$A,$E103,NF!$I:$I)</f>
        <v>0</v>
      </c>
      <c r="G103" s="6"/>
      <c r="H103" s="6"/>
      <c r="I103" s="6"/>
      <c r="J103" s="6"/>
      <c r="K103" s="6"/>
      <c r="L103" s="6"/>
      <c r="M103" s="6"/>
      <c r="N103" s="7">
        <f t="shared" si="111"/>
        <v>0</v>
      </c>
      <c r="O103" s="11">
        <f t="shared" si="72"/>
        <v>0</v>
      </c>
      <c r="P103" s="25"/>
      <c r="Q103" s="10" t="str">
        <f t="shared" si="73"/>
        <v>OutubroSEMANA 2Carne Bovina - Filé Mignon 4/5</v>
      </c>
      <c r="R103" s="7">
        <f>SUMIF(NF!$A:$A,$Q103,NF!$I:$I)</f>
        <v>0</v>
      </c>
      <c r="S103" s="6"/>
      <c r="T103" s="6"/>
      <c r="U103" s="6"/>
      <c r="V103" s="6"/>
      <c r="W103" s="6"/>
      <c r="X103" s="6"/>
      <c r="Y103" s="6"/>
      <c r="Z103" s="7">
        <f t="shared" si="112"/>
        <v>0</v>
      </c>
      <c r="AA103" s="11">
        <f t="shared" si="75"/>
        <v>0</v>
      </c>
      <c r="AB103" s="25"/>
      <c r="AC103" s="10" t="str">
        <f t="shared" si="76"/>
        <v>OutubroSEMANA 3Carne Bovina - Filé Mignon 4/5</v>
      </c>
      <c r="AD103" s="7">
        <f>SUMIF(NF!$A:$A,$AC103,NF!$I:$I)</f>
        <v>0</v>
      </c>
      <c r="AE103" s="6"/>
      <c r="AF103" s="6"/>
      <c r="AG103" s="6"/>
      <c r="AH103" s="6"/>
      <c r="AI103" s="6"/>
      <c r="AJ103" s="6"/>
      <c r="AK103" s="6"/>
      <c r="AL103" s="7">
        <f t="shared" si="113"/>
        <v>0</v>
      </c>
      <c r="AM103" s="11">
        <f t="shared" si="78"/>
        <v>0</v>
      </c>
      <c r="AN103" s="25"/>
      <c r="AO103" s="10" t="str">
        <f t="shared" si="79"/>
        <v>OutubroSEMANA 4Carne Bovina - Filé Mignon 4/5</v>
      </c>
      <c r="AP103" s="7">
        <f>SUMIF(NF!$A:$A,$AO103,NF!$I:$I)</f>
        <v>0</v>
      </c>
      <c r="AQ103" s="6"/>
      <c r="AR103" s="6"/>
      <c r="AS103" s="6"/>
      <c r="AT103" s="6"/>
      <c r="AU103" s="6"/>
      <c r="AV103" s="6"/>
      <c r="AW103" s="6"/>
      <c r="AX103" s="7">
        <f t="shared" si="114"/>
        <v>0</v>
      </c>
      <c r="AY103" s="11">
        <f t="shared" si="81"/>
        <v>0</v>
      </c>
      <c r="AZ103" s="25"/>
      <c r="BA103" s="10" t="str">
        <f t="shared" si="82"/>
        <v>OutubroSEMANA 5Carne Bovina - Filé Mignon 4/5</v>
      </c>
      <c r="BB103" s="7">
        <f>SUMIF(NF!$A:$A,$BA103,NF!$I:$I)</f>
        <v>0</v>
      </c>
      <c r="BC103" s="6"/>
      <c r="BD103" s="6"/>
      <c r="BE103" s="6"/>
      <c r="BF103" s="74"/>
      <c r="BG103" s="74"/>
      <c r="BH103" s="74"/>
      <c r="BI103" s="74"/>
      <c r="BJ103" s="74"/>
      <c r="BK103" s="7">
        <f t="shared" si="115"/>
        <v>0</v>
      </c>
      <c r="BL103" s="8">
        <f t="shared" si="84"/>
        <v>0</v>
      </c>
      <c r="BM103" s="51" t="str">
        <f>IFERROR(VLOOKUP(A103,NF!$M:$O,3,0),"")</f>
        <v>Carnes</v>
      </c>
      <c r="BN103" s="7">
        <f t="shared" si="85"/>
        <v>0</v>
      </c>
      <c r="BO103" s="8">
        <f t="array" ref="BO103">IFERROR(LARGE(IF(NF!$G$2:$G$3137='Mês atual'!A103,NF!$J$2:$J$3137),1),0)*BN103</f>
        <v>0</v>
      </c>
      <c r="BP103" s="50"/>
      <c r="BR103" s="147">
        <f t="array" ref="BR103">IFERROR(LARGE(IF(NF!$G$2:$G$3137='Mês atual'!A103,NF!$J$2:$J$3137),1),0)</f>
        <v>0</v>
      </c>
      <c r="BS103" s="143" t="str">
        <f>VLOOKUP(A103,NF!M:O,3,0)</f>
        <v>Carnes</v>
      </c>
    </row>
    <row r="104" spans="1:71" x14ac:dyDescent="0.25">
      <c r="A104" s="108" t="s">
        <v>225</v>
      </c>
      <c r="B104" s="12"/>
      <c r="C104" s="9"/>
      <c r="D104" s="25"/>
      <c r="E104" s="10" t="str">
        <f t="shared" si="70"/>
        <v>OutubroSEMANA 1Carne Bovina - Lagarto Plano</v>
      </c>
      <c r="F104" s="7">
        <f>SUMIF(NF!$A:$A,$E104,NF!$I:$I)</f>
        <v>0</v>
      </c>
      <c r="G104" s="6"/>
      <c r="H104" s="6"/>
      <c r="I104" s="6"/>
      <c r="J104" s="6"/>
      <c r="K104" s="6"/>
      <c r="L104" s="6"/>
      <c r="M104" s="6"/>
      <c r="N104" s="7">
        <f t="shared" si="111"/>
        <v>0</v>
      </c>
      <c r="O104" s="11">
        <f t="shared" si="72"/>
        <v>0</v>
      </c>
      <c r="P104" s="25"/>
      <c r="Q104" s="10" t="str">
        <f t="shared" si="73"/>
        <v>OutubroSEMANA 2Carne Bovina - Lagarto Plano</v>
      </c>
      <c r="R104" s="7">
        <f>SUMIF(NF!$A:$A,$Q104,NF!$I:$I)</f>
        <v>0</v>
      </c>
      <c r="S104" s="6"/>
      <c r="T104" s="6"/>
      <c r="U104" s="6"/>
      <c r="V104" s="6"/>
      <c r="W104" s="6"/>
      <c r="X104" s="6"/>
      <c r="Y104" s="6"/>
      <c r="Z104" s="7">
        <f t="shared" si="112"/>
        <v>0</v>
      </c>
      <c r="AA104" s="11">
        <f t="shared" si="75"/>
        <v>0</v>
      </c>
      <c r="AB104" s="25"/>
      <c r="AC104" s="10" t="str">
        <f t="shared" si="76"/>
        <v>OutubroSEMANA 3Carne Bovina - Lagarto Plano</v>
      </c>
      <c r="AD104" s="7">
        <f>SUMIF(NF!$A:$A,$AC104,NF!$I:$I)</f>
        <v>0</v>
      </c>
      <c r="AE104" s="6"/>
      <c r="AF104" s="6"/>
      <c r="AG104" s="6"/>
      <c r="AH104" s="6"/>
      <c r="AI104" s="6"/>
      <c r="AJ104" s="6"/>
      <c r="AK104" s="6"/>
      <c r="AL104" s="7">
        <f t="shared" si="113"/>
        <v>0</v>
      </c>
      <c r="AM104" s="11">
        <f t="shared" si="78"/>
        <v>0</v>
      </c>
      <c r="AN104" s="25"/>
      <c r="AO104" s="10" t="str">
        <f t="shared" si="79"/>
        <v>OutubroSEMANA 4Carne Bovina - Lagarto Plano</v>
      </c>
      <c r="AP104" s="7">
        <f>SUMIF(NF!$A:$A,$AO104,NF!$I:$I)</f>
        <v>0</v>
      </c>
      <c r="AQ104" s="6"/>
      <c r="AR104" s="6"/>
      <c r="AS104" s="6"/>
      <c r="AT104" s="6"/>
      <c r="AU104" s="6"/>
      <c r="AV104" s="6"/>
      <c r="AW104" s="6"/>
      <c r="AX104" s="7">
        <f t="shared" si="114"/>
        <v>0</v>
      </c>
      <c r="AY104" s="11">
        <f t="shared" si="81"/>
        <v>0</v>
      </c>
      <c r="AZ104" s="25"/>
      <c r="BA104" s="10" t="str">
        <f t="shared" si="82"/>
        <v>OutubroSEMANA 5Carne Bovina - Lagarto Plano</v>
      </c>
      <c r="BB104" s="7">
        <f>SUMIF(NF!$A:$A,$BA104,NF!$I:$I)</f>
        <v>0</v>
      </c>
      <c r="BC104" s="6"/>
      <c r="BD104" s="6"/>
      <c r="BE104" s="6"/>
      <c r="BF104" s="74"/>
      <c r="BG104" s="74"/>
      <c r="BH104" s="74"/>
      <c r="BI104" s="74"/>
      <c r="BJ104" s="74"/>
      <c r="BK104" s="7">
        <f t="shared" si="115"/>
        <v>0</v>
      </c>
      <c r="BL104" s="8">
        <f t="shared" si="84"/>
        <v>0</v>
      </c>
      <c r="BM104" s="51" t="str">
        <f>IFERROR(VLOOKUP(A104,NF!$M:$O,3,0),"")</f>
        <v>Carnes</v>
      </c>
      <c r="BN104" s="7">
        <f t="shared" si="85"/>
        <v>0</v>
      </c>
      <c r="BO104" s="8">
        <f t="array" ref="BO104">IFERROR(LARGE(IF(NF!$G$2:$G$3137='Mês atual'!A104,NF!$J$2:$J$3137),1),0)*BN104</f>
        <v>0</v>
      </c>
      <c r="BP104" s="50"/>
      <c r="BR104" s="147">
        <f t="array" ref="BR104">IFERROR(LARGE(IF(NF!$G$2:$G$3137='Mês atual'!A104,NF!$J$2:$J$3137),1),0)</f>
        <v>0</v>
      </c>
      <c r="BS104" s="143" t="str">
        <f>VLOOKUP(A104,NF!M:O,3,0)</f>
        <v>Carnes</v>
      </c>
    </row>
    <row r="105" spans="1:71" x14ac:dyDescent="0.25">
      <c r="A105" s="108" t="s">
        <v>226</v>
      </c>
      <c r="B105" s="12"/>
      <c r="C105" s="9"/>
      <c r="D105" s="25"/>
      <c r="E105" s="10" t="str">
        <f t="shared" si="70"/>
        <v>OutubroSEMANA 1Carne Bovina - Lagarto Redondo</v>
      </c>
      <c r="F105" s="7">
        <f>SUMIF(NF!$A:$A,$E105,NF!$I:$I)</f>
        <v>0</v>
      </c>
      <c r="G105" s="6"/>
      <c r="H105" s="6"/>
      <c r="I105" s="6"/>
      <c r="J105" s="6"/>
      <c r="K105" s="6"/>
      <c r="L105" s="6"/>
      <c r="M105" s="6"/>
      <c r="N105" s="7">
        <f t="shared" si="111"/>
        <v>0</v>
      </c>
      <c r="O105" s="11">
        <f t="shared" si="72"/>
        <v>0</v>
      </c>
      <c r="P105" s="25"/>
      <c r="Q105" s="10" t="str">
        <f t="shared" si="73"/>
        <v>OutubroSEMANA 2Carne Bovina - Lagarto Redondo</v>
      </c>
      <c r="R105" s="7">
        <f>SUMIF(NF!$A:$A,$Q105,NF!$I:$I)</f>
        <v>0</v>
      </c>
      <c r="S105" s="6"/>
      <c r="T105" s="6"/>
      <c r="U105" s="6"/>
      <c r="V105" s="6"/>
      <c r="W105" s="6"/>
      <c r="X105" s="6"/>
      <c r="Y105" s="6"/>
      <c r="Z105" s="7">
        <f t="shared" si="112"/>
        <v>0</v>
      </c>
      <c r="AA105" s="11">
        <f t="shared" si="75"/>
        <v>0</v>
      </c>
      <c r="AB105" s="25"/>
      <c r="AC105" s="10" t="str">
        <f t="shared" si="76"/>
        <v>OutubroSEMANA 3Carne Bovina - Lagarto Redondo</v>
      </c>
      <c r="AD105" s="7">
        <f>SUMIF(NF!$A:$A,$AC105,NF!$I:$I)</f>
        <v>0</v>
      </c>
      <c r="AE105" s="6"/>
      <c r="AF105" s="6"/>
      <c r="AG105" s="6"/>
      <c r="AH105" s="6"/>
      <c r="AI105" s="6"/>
      <c r="AJ105" s="6"/>
      <c r="AK105" s="6"/>
      <c r="AL105" s="7">
        <f t="shared" si="113"/>
        <v>0</v>
      </c>
      <c r="AM105" s="11">
        <f t="shared" si="78"/>
        <v>0</v>
      </c>
      <c r="AN105" s="25"/>
      <c r="AO105" s="10" t="str">
        <f t="shared" si="79"/>
        <v>OutubroSEMANA 4Carne Bovina - Lagarto Redondo</v>
      </c>
      <c r="AP105" s="7">
        <f>SUMIF(NF!$A:$A,$AO105,NF!$I:$I)</f>
        <v>0</v>
      </c>
      <c r="AQ105" s="6"/>
      <c r="AR105" s="6"/>
      <c r="AS105" s="6"/>
      <c r="AT105" s="6"/>
      <c r="AU105" s="6"/>
      <c r="AV105" s="6"/>
      <c r="AW105" s="6"/>
      <c r="AX105" s="7">
        <f t="shared" si="114"/>
        <v>0</v>
      </c>
      <c r="AY105" s="11">
        <f t="shared" si="81"/>
        <v>0</v>
      </c>
      <c r="AZ105" s="25"/>
      <c r="BA105" s="10" t="str">
        <f t="shared" si="82"/>
        <v>OutubroSEMANA 5Carne Bovina - Lagarto Redondo</v>
      </c>
      <c r="BB105" s="7">
        <f>SUMIF(NF!$A:$A,$BA105,NF!$I:$I)</f>
        <v>0</v>
      </c>
      <c r="BC105" s="6"/>
      <c r="BD105" s="6"/>
      <c r="BE105" s="6"/>
      <c r="BF105" s="74"/>
      <c r="BG105" s="74"/>
      <c r="BH105" s="74"/>
      <c r="BI105" s="74"/>
      <c r="BJ105" s="74"/>
      <c r="BK105" s="7">
        <f t="shared" si="115"/>
        <v>0</v>
      </c>
      <c r="BL105" s="8">
        <f t="shared" si="84"/>
        <v>0</v>
      </c>
      <c r="BM105" s="51" t="str">
        <f>IFERROR(VLOOKUP(A105,NF!$M:$O,3,0),"")</f>
        <v>Carnes</v>
      </c>
      <c r="BN105" s="7">
        <f t="shared" si="85"/>
        <v>0</v>
      </c>
      <c r="BO105" s="8">
        <f t="array" ref="BO105">IFERROR(LARGE(IF(NF!$G$2:$G$3137='Mês atual'!A105,NF!$J$2:$J$3137),1),0)*BN105</f>
        <v>0</v>
      </c>
      <c r="BP105" s="50"/>
      <c r="BR105" s="147">
        <f t="array" ref="BR105">IFERROR(LARGE(IF(NF!$G$2:$G$3137='Mês atual'!A105,NF!$J$2:$J$3137),1),0)</f>
        <v>0</v>
      </c>
      <c r="BS105" s="143" t="str">
        <f>VLOOKUP(A105,NF!M:O,3,0)</f>
        <v>Carnes</v>
      </c>
    </row>
    <row r="106" spans="1:71" x14ac:dyDescent="0.25">
      <c r="A106" s="108" t="s">
        <v>227</v>
      </c>
      <c r="B106" s="12"/>
      <c r="C106" s="9"/>
      <c r="D106" s="25"/>
      <c r="E106" s="10" t="str">
        <f t="shared" si="70"/>
        <v>OutubroSEMANA 1Carne Bovina - Língua</v>
      </c>
      <c r="F106" s="7">
        <f>SUMIF(NF!$A:$A,$E106,NF!$I:$I)</f>
        <v>0</v>
      </c>
      <c r="G106" s="6"/>
      <c r="H106" s="6"/>
      <c r="I106" s="6"/>
      <c r="J106" s="6"/>
      <c r="K106" s="6"/>
      <c r="L106" s="6"/>
      <c r="M106" s="6"/>
      <c r="N106" s="7">
        <f t="shared" si="111"/>
        <v>0</v>
      </c>
      <c r="O106" s="11">
        <f t="shared" si="72"/>
        <v>0</v>
      </c>
      <c r="P106" s="25"/>
      <c r="Q106" s="10" t="str">
        <f t="shared" si="73"/>
        <v>OutubroSEMANA 2Carne Bovina - Língua</v>
      </c>
      <c r="R106" s="7">
        <f>SUMIF(NF!$A:$A,$Q106,NF!$I:$I)</f>
        <v>0</v>
      </c>
      <c r="S106" s="6"/>
      <c r="T106" s="6"/>
      <c r="U106" s="6"/>
      <c r="V106" s="6"/>
      <c r="W106" s="6"/>
      <c r="X106" s="6"/>
      <c r="Y106" s="6"/>
      <c r="Z106" s="7">
        <f t="shared" si="112"/>
        <v>0</v>
      </c>
      <c r="AA106" s="11">
        <f t="shared" si="75"/>
        <v>0</v>
      </c>
      <c r="AB106" s="25"/>
      <c r="AC106" s="10" t="str">
        <f t="shared" si="76"/>
        <v>OutubroSEMANA 3Carne Bovina - Língua</v>
      </c>
      <c r="AD106" s="7">
        <f>SUMIF(NF!$A:$A,$AC106,NF!$I:$I)</f>
        <v>0</v>
      </c>
      <c r="AE106" s="6"/>
      <c r="AF106" s="6"/>
      <c r="AG106" s="6"/>
      <c r="AH106" s="6"/>
      <c r="AI106" s="6"/>
      <c r="AJ106" s="6"/>
      <c r="AK106" s="6"/>
      <c r="AL106" s="7">
        <f t="shared" si="113"/>
        <v>0</v>
      </c>
      <c r="AM106" s="11">
        <f t="shared" si="78"/>
        <v>0</v>
      </c>
      <c r="AN106" s="25"/>
      <c r="AO106" s="10" t="str">
        <f t="shared" si="79"/>
        <v>OutubroSEMANA 4Carne Bovina - Língua</v>
      </c>
      <c r="AP106" s="7">
        <f>SUMIF(NF!$A:$A,$AO106,NF!$I:$I)</f>
        <v>0</v>
      </c>
      <c r="AQ106" s="6"/>
      <c r="AR106" s="6"/>
      <c r="AS106" s="6"/>
      <c r="AT106" s="6"/>
      <c r="AU106" s="6"/>
      <c r="AV106" s="6"/>
      <c r="AW106" s="6"/>
      <c r="AX106" s="7">
        <f t="shared" si="114"/>
        <v>0</v>
      </c>
      <c r="AY106" s="11">
        <f t="shared" si="81"/>
        <v>0</v>
      </c>
      <c r="AZ106" s="25"/>
      <c r="BA106" s="10" t="str">
        <f t="shared" si="82"/>
        <v>OutubroSEMANA 5Carne Bovina - Língua</v>
      </c>
      <c r="BB106" s="7">
        <f>SUMIF(NF!$A:$A,$BA106,NF!$I:$I)</f>
        <v>0</v>
      </c>
      <c r="BC106" s="6"/>
      <c r="BD106" s="6"/>
      <c r="BE106" s="6"/>
      <c r="BF106" s="74"/>
      <c r="BG106" s="74"/>
      <c r="BH106" s="74"/>
      <c r="BI106" s="74"/>
      <c r="BJ106" s="74"/>
      <c r="BK106" s="7">
        <f t="shared" si="115"/>
        <v>0</v>
      </c>
      <c r="BL106" s="8">
        <f t="shared" si="84"/>
        <v>0</v>
      </c>
      <c r="BM106" s="51" t="str">
        <f>IFERROR(VLOOKUP(A106,NF!$M:$O,3,0),"")</f>
        <v>Carnes</v>
      </c>
      <c r="BN106" s="7">
        <f t="shared" si="85"/>
        <v>0</v>
      </c>
      <c r="BO106" s="8">
        <f t="array" ref="BO106">IFERROR(LARGE(IF(NF!$G$2:$G$3137='Mês atual'!A106,NF!$J$2:$J$3137),1),0)*BN106</f>
        <v>0</v>
      </c>
      <c r="BP106" s="50"/>
      <c r="BR106" s="147">
        <f t="array" ref="BR106">IFERROR(LARGE(IF(NF!$G$2:$G$3137='Mês atual'!A106,NF!$J$2:$J$3137),1),0)</f>
        <v>0</v>
      </c>
      <c r="BS106" s="143" t="str">
        <f>VLOOKUP(A106,NF!M:O,3,0)</f>
        <v>Carnes</v>
      </c>
    </row>
    <row r="107" spans="1:71" x14ac:dyDescent="0.25">
      <c r="A107" s="108" t="s">
        <v>228</v>
      </c>
      <c r="B107" s="12"/>
      <c r="C107" s="9">
        <v>29.38</v>
      </c>
      <c r="D107" s="25"/>
      <c r="E107" s="10" t="str">
        <f t="shared" si="70"/>
        <v>OutubroSEMANA 1Carne Bovina - Maminha</v>
      </c>
      <c r="F107" s="7">
        <f>SUMIF(NF!$A:$A,$E107,NF!$I:$I)</f>
        <v>0</v>
      </c>
      <c r="G107" s="6"/>
      <c r="H107" s="6"/>
      <c r="I107" s="6">
        <v>12.94</v>
      </c>
      <c r="J107" s="6"/>
      <c r="K107" s="6"/>
      <c r="L107" s="6"/>
      <c r="M107" s="6"/>
      <c r="N107" s="7">
        <f t="shared" si="111"/>
        <v>12.94</v>
      </c>
      <c r="O107" s="11">
        <f t="shared" si="72"/>
        <v>16.439999999999998</v>
      </c>
      <c r="P107" s="25"/>
      <c r="Q107" s="10" t="str">
        <f t="shared" si="73"/>
        <v>OutubroSEMANA 2Carne Bovina - Maminha</v>
      </c>
      <c r="R107" s="7">
        <f>SUMIF(NF!$A:$A,$Q107,NF!$I:$I)</f>
        <v>0</v>
      </c>
      <c r="S107" s="6"/>
      <c r="T107" s="6"/>
      <c r="U107" s="6"/>
      <c r="V107" s="6"/>
      <c r="W107" s="6"/>
      <c r="X107" s="6">
        <v>10.28</v>
      </c>
      <c r="Y107" s="6"/>
      <c r="Z107" s="7">
        <f t="shared" si="112"/>
        <v>10.28</v>
      </c>
      <c r="AA107" s="11">
        <f t="shared" si="75"/>
        <v>6.1599999999999984</v>
      </c>
      <c r="AB107" s="25"/>
      <c r="AC107" s="10" t="str">
        <f t="shared" si="76"/>
        <v>OutubroSEMANA 3Carne Bovina - Maminha</v>
      </c>
      <c r="AD107" s="7">
        <f>SUMIF(NF!$A:$A,$AC107,NF!$I:$I)</f>
        <v>25.03</v>
      </c>
      <c r="AE107" s="6"/>
      <c r="AF107" s="6"/>
      <c r="AG107" s="6"/>
      <c r="AH107" s="6"/>
      <c r="AI107" s="6"/>
      <c r="AJ107" s="6"/>
      <c r="AK107" s="6"/>
      <c r="AL107" s="7">
        <f t="shared" si="113"/>
        <v>0</v>
      </c>
      <c r="AM107" s="11">
        <f t="shared" si="78"/>
        <v>31.189999999999998</v>
      </c>
      <c r="AN107" s="25"/>
      <c r="AO107" s="10" t="str">
        <f t="shared" si="79"/>
        <v>OutubroSEMANA 4Carne Bovina - Maminha</v>
      </c>
      <c r="AP107" s="7">
        <f>SUMIF(NF!$A:$A,$AO107,NF!$I:$I)</f>
        <v>0</v>
      </c>
      <c r="AQ107" s="6"/>
      <c r="AR107" s="6"/>
      <c r="AS107" s="6"/>
      <c r="AT107" s="6">
        <f>16.26+5</f>
        <v>21.26</v>
      </c>
      <c r="AU107" s="6"/>
      <c r="AV107" s="6"/>
      <c r="AW107" s="6"/>
      <c r="AX107" s="7">
        <f t="shared" si="114"/>
        <v>21.26</v>
      </c>
      <c r="AY107" s="11">
        <f t="shared" si="81"/>
        <v>9.9299999999999962</v>
      </c>
      <c r="AZ107" s="25"/>
      <c r="BA107" s="10" t="str">
        <f t="shared" si="82"/>
        <v>OutubroSEMANA 5Carne Bovina - Maminha</v>
      </c>
      <c r="BB107" s="7">
        <f>SUMIF(NF!$A:$A,$BA107,NF!$I:$I)</f>
        <v>0</v>
      </c>
      <c r="BC107" s="6"/>
      <c r="BD107" s="6"/>
      <c r="BE107" s="6">
        <v>9.93</v>
      </c>
      <c r="BF107" s="74"/>
      <c r="BG107" s="74"/>
      <c r="BH107" s="74"/>
      <c r="BI107" s="74"/>
      <c r="BJ107" s="74"/>
      <c r="BK107" s="7">
        <f t="shared" si="115"/>
        <v>9.93</v>
      </c>
      <c r="BL107" s="8">
        <f t="shared" si="84"/>
        <v>0</v>
      </c>
      <c r="BM107" s="51" t="str">
        <f>IFERROR(VLOOKUP(A107,NF!$M:$O,3,0),"")</f>
        <v>Carnes</v>
      </c>
      <c r="BN107" s="7">
        <f t="shared" si="85"/>
        <v>54.410000000000004</v>
      </c>
      <c r="BO107" s="8">
        <f t="array" ref="BO107">IFERROR(LARGE(IF(NF!$G$2:$G$3137='Mês atual'!A107,NF!$J$2:$J$3137),1),0)*BN107</f>
        <v>1080.0385000000001</v>
      </c>
      <c r="BP107" s="50"/>
      <c r="BR107" s="147">
        <f t="array" ref="BR107">IFERROR(LARGE(IF(NF!$G$2:$G$3137='Mês atual'!A107,NF!$J$2:$J$3137),1),0)</f>
        <v>19.850000000000001</v>
      </c>
      <c r="BS107" s="143" t="str">
        <f>VLOOKUP(A107,NF!M:O,3,0)</f>
        <v>Carnes</v>
      </c>
    </row>
    <row r="108" spans="1:71" x14ac:dyDescent="0.25">
      <c r="A108" s="108" t="s">
        <v>229</v>
      </c>
      <c r="B108" s="12"/>
      <c r="C108" s="9"/>
      <c r="D108" s="25"/>
      <c r="E108" s="10" t="str">
        <f t="shared" si="70"/>
        <v>OutubroSEMANA 1Carne Bovina - Músculo</v>
      </c>
      <c r="F108" s="7">
        <f>SUMIF(NF!$A:$A,$E108,NF!$I:$I)</f>
        <v>0</v>
      </c>
      <c r="G108" s="6"/>
      <c r="H108" s="6"/>
      <c r="I108" s="6"/>
      <c r="J108" s="6"/>
      <c r="K108" s="6"/>
      <c r="L108" s="6"/>
      <c r="M108" s="6"/>
      <c r="N108" s="7">
        <f t="shared" si="111"/>
        <v>0</v>
      </c>
      <c r="O108" s="11">
        <f t="shared" si="72"/>
        <v>0</v>
      </c>
      <c r="P108" s="25"/>
      <c r="Q108" s="10" t="str">
        <f t="shared" si="73"/>
        <v>OutubroSEMANA 2Carne Bovina - Músculo</v>
      </c>
      <c r="R108" s="7">
        <f>SUMIF(NF!$A:$A,$Q108,NF!$I:$I)</f>
        <v>0</v>
      </c>
      <c r="S108" s="6"/>
      <c r="T108" s="6"/>
      <c r="U108" s="6"/>
      <c r="V108" s="6"/>
      <c r="W108" s="6"/>
      <c r="X108" s="6"/>
      <c r="Y108" s="6"/>
      <c r="Z108" s="7">
        <f t="shared" si="112"/>
        <v>0</v>
      </c>
      <c r="AA108" s="11">
        <f t="shared" si="75"/>
        <v>0</v>
      </c>
      <c r="AB108" s="25"/>
      <c r="AC108" s="10" t="str">
        <f t="shared" si="76"/>
        <v>OutubroSEMANA 3Carne Bovina - Músculo</v>
      </c>
      <c r="AD108" s="7">
        <f>SUMIF(NF!$A:$A,$AC108,NF!$I:$I)</f>
        <v>0</v>
      </c>
      <c r="AE108" s="6"/>
      <c r="AF108" s="6"/>
      <c r="AG108" s="6"/>
      <c r="AH108" s="6"/>
      <c r="AI108" s="6"/>
      <c r="AJ108" s="6"/>
      <c r="AK108" s="6"/>
      <c r="AL108" s="7">
        <f t="shared" si="113"/>
        <v>0</v>
      </c>
      <c r="AM108" s="11">
        <f t="shared" si="78"/>
        <v>0</v>
      </c>
      <c r="AN108" s="25"/>
      <c r="AO108" s="10" t="str">
        <f t="shared" si="79"/>
        <v>OutubroSEMANA 4Carne Bovina - Músculo</v>
      </c>
      <c r="AP108" s="7">
        <f>SUMIF(NF!$A:$A,$AO108,NF!$I:$I)</f>
        <v>0</v>
      </c>
      <c r="AQ108" s="6"/>
      <c r="AR108" s="6"/>
      <c r="AS108" s="6"/>
      <c r="AT108" s="6"/>
      <c r="AU108" s="6"/>
      <c r="AV108" s="6"/>
      <c r="AW108" s="6"/>
      <c r="AX108" s="7">
        <f t="shared" si="114"/>
        <v>0</v>
      </c>
      <c r="AY108" s="11">
        <f t="shared" si="81"/>
        <v>0</v>
      </c>
      <c r="AZ108" s="25"/>
      <c r="BA108" s="10" t="str">
        <f t="shared" si="82"/>
        <v>OutubroSEMANA 5Carne Bovina - Músculo</v>
      </c>
      <c r="BB108" s="7">
        <f>SUMIF(NF!$A:$A,$BA108,NF!$I:$I)</f>
        <v>0</v>
      </c>
      <c r="BC108" s="6"/>
      <c r="BD108" s="6"/>
      <c r="BE108" s="6"/>
      <c r="BF108" s="74"/>
      <c r="BG108" s="74"/>
      <c r="BH108" s="74"/>
      <c r="BI108" s="74"/>
      <c r="BJ108" s="74"/>
      <c r="BK108" s="7">
        <f t="shared" si="115"/>
        <v>0</v>
      </c>
      <c r="BL108" s="8">
        <f t="shared" si="84"/>
        <v>0</v>
      </c>
      <c r="BM108" s="51" t="str">
        <f>IFERROR(VLOOKUP(A108,NF!$M:$O,3,0),"")</f>
        <v>Carnes</v>
      </c>
      <c r="BN108" s="7">
        <f t="shared" si="85"/>
        <v>0</v>
      </c>
      <c r="BO108" s="8">
        <f t="array" ref="BO108">IFERROR(LARGE(IF(NF!$G$2:$G$3137='Mês atual'!A108,NF!$J$2:$J$3137),1),0)*BN108</f>
        <v>0</v>
      </c>
      <c r="BP108" s="50"/>
      <c r="BR108" s="147">
        <f t="array" ref="BR108">IFERROR(LARGE(IF(NF!$G$2:$G$3137='Mês atual'!A108,NF!$J$2:$J$3137),1),0)</f>
        <v>0</v>
      </c>
      <c r="BS108" s="143" t="str">
        <f>VLOOKUP(A108,NF!M:O,3,0)</f>
        <v>Carnes</v>
      </c>
    </row>
    <row r="109" spans="1:71" x14ac:dyDescent="0.25">
      <c r="A109" s="108" t="s">
        <v>230</v>
      </c>
      <c r="B109" s="12"/>
      <c r="C109" s="9">
        <v>16.7</v>
      </c>
      <c r="D109" s="25"/>
      <c r="E109" s="10" t="str">
        <f t="shared" si="70"/>
        <v>OutubroSEMANA 1Carne Bovina - Patinho</v>
      </c>
      <c r="F109" s="7">
        <f>SUMIF(NF!$A:$A,$E109,NF!$I:$I)</f>
        <v>0</v>
      </c>
      <c r="G109" s="6"/>
      <c r="H109" s="6"/>
      <c r="I109" s="6"/>
      <c r="J109" s="6"/>
      <c r="K109" s="6"/>
      <c r="L109" s="6"/>
      <c r="M109" s="6"/>
      <c r="N109" s="7">
        <f t="shared" si="111"/>
        <v>0</v>
      </c>
      <c r="O109" s="11">
        <f t="shared" si="72"/>
        <v>16.7</v>
      </c>
      <c r="P109" s="25"/>
      <c r="Q109" s="10" t="str">
        <f t="shared" si="73"/>
        <v>OutubroSEMANA 2Carne Bovina - Patinho</v>
      </c>
      <c r="R109" s="7">
        <f>SUMIF(NF!$A:$A,$Q109,NF!$I:$I)</f>
        <v>0</v>
      </c>
      <c r="S109" s="6"/>
      <c r="T109" s="6"/>
      <c r="U109" s="6">
        <v>4.46</v>
      </c>
      <c r="V109" s="6"/>
      <c r="W109" s="6"/>
      <c r="X109" s="6"/>
      <c r="Y109" s="6"/>
      <c r="Z109" s="7">
        <f t="shared" si="112"/>
        <v>4.46</v>
      </c>
      <c r="AA109" s="11">
        <f t="shared" si="75"/>
        <v>12.239999999999998</v>
      </c>
      <c r="AB109" s="25"/>
      <c r="AC109" s="10" t="str">
        <f t="shared" si="76"/>
        <v>OutubroSEMANA 3Carne Bovina - Patinho</v>
      </c>
      <c r="AD109" s="7">
        <f>SUMIF(NF!$A:$A,$AC109,NF!$I:$I)</f>
        <v>20.77</v>
      </c>
      <c r="AE109" s="6"/>
      <c r="AF109" s="6">
        <v>10.46</v>
      </c>
      <c r="AG109" s="6"/>
      <c r="AH109" s="6"/>
      <c r="AI109" s="6"/>
      <c r="AJ109" s="6"/>
      <c r="AK109" s="6"/>
      <c r="AL109" s="7">
        <f t="shared" si="113"/>
        <v>10.46</v>
      </c>
      <c r="AM109" s="11">
        <f t="shared" si="78"/>
        <v>22.549999999999997</v>
      </c>
      <c r="AN109" s="25"/>
      <c r="AO109" s="10" t="str">
        <f t="shared" si="79"/>
        <v>OutubroSEMANA 4Carne Bovina - Patinho</v>
      </c>
      <c r="AP109" s="7">
        <f>SUMIF(NF!$A:$A,$AO109,NF!$I:$I)</f>
        <v>0</v>
      </c>
      <c r="AQ109" s="6"/>
      <c r="AR109" s="6">
        <f>15.64-4.59</f>
        <v>11.05</v>
      </c>
      <c r="AS109" s="6"/>
      <c r="AT109" s="6"/>
      <c r="AU109" s="6">
        <v>11.5</v>
      </c>
      <c r="AV109" s="6"/>
      <c r="AW109" s="6"/>
      <c r="AX109" s="7">
        <f t="shared" si="114"/>
        <v>22.55</v>
      </c>
      <c r="AY109" s="11">
        <f t="shared" si="81"/>
        <v>0</v>
      </c>
      <c r="AZ109" s="25"/>
      <c r="BA109" s="10" t="str">
        <f t="shared" si="82"/>
        <v>OutubroSEMANA 5Carne Bovina - Patinho</v>
      </c>
      <c r="BB109" s="7">
        <f>SUMIF(NF!$A:$A,$BA109,NF!$I:$I)</f>
        <v>0</v>
      </c>
      <c r="BC109" s="6"/>
      <c r="BD109" s="6"/>
      <c r="BE109" s="6"/>
      <c r="BF109" s="74"/>
      <c r="BG109" s="74"/>
      <c r="BH109" s="74"/>
      <c r="BI109" s="74"/>
      <c r="BJ109" s="74"/>
      <c r="BK109" s="7">
        <f t="shared" si="115"/>
        <v>0</v>
      </c>
      <c r="BL109" s="8">
        <f t="shared" si="84"/>
        <v>0</v>
      </c>
      <c r="BM109" s="51" t="str">
        <f>IFERROR(VLOOKUP(A109,NF!$M:$O,3,0),"")</f>
        <v>Carnes</v>
      </c>
      <c r="BN109" s="7">
        <f t="shared" si="85"/>
        <v>37.47</v>
      </c>
      <c r="BO109" s="8">
        <f t="array" ref="BO109">IFERROR(LARGE(IF(NF!$G$2:$G$3137='Mês atual'!A109,NF!$J$2:$J$3137),1),0)*BN109</f>
        <v>547.06200000000001</v>
      </c>
      <c r="BP109" s="50"/>
      <c r="BR109" s="147">
        <f t="array" ref="BR109">IFERROR(LARGE(IF(NF!$G$2:$G$3137='Mês atual'!A109,NF!$J$2:$J$3137),1),0)</f>
        <v>14.6</v>
      </c>
      <c r="BS109" s="143" t="str">
        <f>VLOOKUP(A109,NF!M:O,3,0)</f>
        <v>Carnes</v>
      </c>
    </row>
    <row r="110" spans="1:71" x14ac:dyDescent="0.25">
      <c r="A110" s="108" t="s">
        <v>231</v>
      </c>
      <c r="B110" s="12"/>
      <c r="C110" s="9">
        <v>6</v>
      </c>
      <c r="D110" s="25"/>
      <c r="E110" s="10" t="str">
        <f t="shared" si="70"/>
        <v>OutubroSEMANA 1Carne Bovina - Peito</v>
      </c>
      <c r="F110" s="7">
        <f>SUMIF(NF!$A:$A,$E110,NF!$I:$I)</f>
        <v>23.576000000000001</v>
      </c>
      <c r="G110" s="6"/>
      <c r="H110" s="6"/>
      <c r="I110" s="6">
        <v>20</v>
      </c>
      <c r="J110" s="6"/>
      <c r="K110" s="6"/>
      <c r="L110" s="6"/>
      <c r="M110" s="6"/>
      <c r="N110" s="7">
        <f t="shared" si="111"/>
        <v>20</v>
      </c>
      <c r="O110" s="11">
        <f t="shared" si="72"/>
        <v>9.5760000000000005</v>
      </c>
      <c r="P110" s="25"/>
      <c r="Q110" s="10" t="str">
        <f t="shared" si="73"/>
        <v>OutubroSEMANA 2Carne Bovina - Peito</v>
      </c>
      <c r="R110" s="7">
        <f>SUMIF(NF!$A:$A,$Q110,NF!$I:$I)</f>
        <v>14.8</v>
      </c>
      <c r="S110" s="6"/>
      <c r="T110" s="6"/>
      <c r="U110" s="6"/>
      <c r="V110" s="6"/>
      <c r="W110" s="6"/>
      <c r="X110" s="6"/>
      <c r="Y110" s="6"/>
      <c r="Z110" s="7">
        <f t="shared" si="112"/>
        <v>0</v>
      </c>
      <c r="AA110" s="11">
        <f t="shared" si="75"/>
        <v>24.376000000000001</v>
      </c>
      <c r="AB110" s="25"/>
      <c r="AC110" s="10" t="str">
        <f t="shared" si="76"/>
        <v>OutubroSEMANA 3Carne Bovina - Peito</v>
      </c>
      <c r="AD110" s="7">
        <f>SUMIF(NF!$A:$A,$AC110,NF!$I:$I)</f>
        <v>0</v>
      </c>
      <c r="AE110" s="6"/>
      <c r="AF110" s="6"/>
      <c r="AG110" s="6"/>
      <c r="AH110" s="6">
        <f>14.8+9.575</f>
        <v>24.375</v>
      </c>
      <c r="AI110" s="6"/>
      <c r="AJ110" s="6"/>
      <c r="AK110" s="6"/>
      <c r="AL110" s="7">
        <f t="shared" si="113"/>
        <v>24.375</v>
      </c>
      <c r="AM110" s="11">
        <f t="shared" si="78"/>
        <v>1.0000000000012221E-3</v>
      </c>
      <c r="AN110" s="25"/>
      <c r="AO110" s="10" t="str">
        <f t="shared" si="79"/>
        <v>OutubroSEMANA 4Carne Bovina - Peito</v>
      </c>
      <c r="AP110" s="7">
        <f>SUMIF(NF!$A:$A,$AO110,NF!$I:$I)</f>
        <v>9.4</v>
      </c>
      <c r="AQ110" s="6"/>
      <c r="AR110" s="6"/>
      <c r="AS110" s="6"/>
      <c r="AT110" s="6"/>
      <c r="AU110" s="6"/>
      <c r="AV110" s="6"/>
      <c r="AW110" s="6"/>
      <c r="AX110" s="7">
        <f t="shared" si="114"/>
        <v>0</v>
      </c>
      <c r="AY110" s="11">
        <f t="shared" si="81"/>
        <v>9.4010000000000016</v>
      </c>
      <c r="AZ110" s="25"/>
      <c r="BA110" s="10" t="str">
        <f t="shared" si="82"/>
        <v>OutubroSEMANA 5Carne Bovina - Peito</v>
      </c>
      <c r="BB110" s="7">
        <f>SUMIF(NF!$A:$A,$BA110,NF!$I:$I)</f>
        <v>0</v>
      </c>
      <c r="BC110" s="6">
        <v>9.4</v>
      </c>
      <c r="BD110" s="6"/>
      <c r="BE110" s="6"/>
      <c r="BF110" s="74"/>
      <c r="BG110" s="74"/>
      <c r="BH110" s="74"/>
      <c r="BI110" s="74"/>
      <c r="BJ110" s="74"/>
      <c r="BK110" s="7">
        <f t="shared" si="115"/>
        <v>9.4</v>
      </c>
      <c r="BL110" s="8">
        <f t="shared" si="84"/>
        <v>1.0000000000012221E-3</v>
      </c>
      <c r="BM110" s="51" t="str">
        <f>IFERROR(VLOOKUP(A110,NF!$M:$O,3,0),"")</f>
        <v>Carnes</v>
      </c>
      <c r="BN110" s="7">
        <f t="shared" si="85"/>
        <v>53.774999999999999</v>
      </c>
      <c r="BO110" s="8">
        <f t="array" ref="BO110">IFERROR(LARGE(IF(NF!$G$2:$G$3137='Mês atual'!A110,NF!$J$2:$J$3137),1),0)*BN110</f>
        <v>644.22450000000003</v>
      </c>
      <c r="BP110" s="50"/>
      <c r="BR110" s="147">
        <f t="array" ref="BR110">IFERROR(LARGE(IF(NF!$G$2:$G$3137='Mês atual'!A110,NF!$J$2:$J$3137),1),0)</f>
        <v>11.98</v>
      </c>
      <c r="BS110" s="143" t="str">
        <f>VLOOKUP(A110,NF!M:O,3,0)</f>
        <v>Carnes</v>
      </c>
    </row>
    <row r="111" spans="1:71" x14ac:dyDescent="0.25">
      <c r="A111" s="108" t="s">
        <v>976</v>
      </c>
      <c r="B111" s="12"/>
      <c r="C111" s="9">
        <v>14.77</v>
      </c>
      <c r="D111" s="25"/>
      <c r="E111" s="10" t="str">
        <f t="shared" si="70"/>
        <v>OutubroSEMANA 1Carne Bovina - Perinha da Chã</v>
      </c>
      <c r="F111" s="7">
        <f>SUMIF(NF!$A:$A,$E111,NF!$I:$I)</f>
        <v>0</v>
      </c>
      <c r="G111" s="6"/>
      <c r="H111" s="6"/>
      <c r="I111" s="6"/>
      <c r="J111" s="6"/>
      <c r="K111" s="6">
        <f>10.54+4.229</f>
        <v>14.768999999999998</v>
      </c>
      <c r="L111" s="6"/>
      <c r="M111" s="6"/>
      <c r="N111" s="7">
        <f t="shared" ref="N111" si="116">SUM(G111:M111)</f>
        <v>14.768999999999998</v>
      </c>
      <c r="O111" s="11">
        <f t="shared" si="72"/>
        <v>1.0000000000012221E-3</v>
      </c>
      <c r="P111" s="25"/>
      <c r="Q111" s="10" t="str">
        <f t="shared" si="73"/>
        <v>OutubroSEMANA 2Carne Bovina - Perinha da Chã</v>
      </c>
      <c r="R111" s="7">
        <f>SUMIF(NF!$A:$A,$Q111,NF!$I:$I)</f>
        <v>22.32</v>
      </c>
      <c r="S111" s="6"/>
      <c r="T111" s="6"/>
      <c r="U111" s="6"/>
      <c r="V111" s="6"/>
      <c r="W111" s="6"/>
      <c r="X111" s="6"/>
      <c r="Y111" s="6"/>
      <c r="Z111" s="7">
        <f t="shared" ref="Z111" si="117">SUM(S111:Y111)</f>
        <v>0</v>
      </c>
      <c r="AA111" s="11">
        <f t="shared" si="75"/>
        <v>22.321000000000002</v>
      </c>
      <c r="AB111" s="25"/>
      <c r="AC111" s="10" t="str">
        <f t="shared" si="76"/>
        <v>OutubroSEMANA 3Carne Bovina - Perinha da Chã</v>
      </c>
      <c r="AD111" s="7">
        <f>SUMIF(NF!$A:$A,$AC111,NF!$I:$I)</f>
        <v>0</v>
      </c>
      <c r="AE111" s="6"/>
      <c r="AF111" s="6"/>
      <c r="AG111" s="6"/>
      <c r="AH111" s="6">
        <v>15.78</v>
      </c>
      <c r="AI111" s="6"/>
      <c r="AJ111" s="6"/>
      <c r="AK111" s="6"/>
      <c r="AL111" s="7">
        <f t="shared" ref="AL111" si="118">SUM(AE111:AK111)</f>
        <v>15.78</v>
      </c>
      <c r="AM111" s="11">
        <f t="shared" si="78"/>
        <v>6.5410000000000021</v>
      </c>
      <c r="AN111" s="25"/>
      <c r="AO111" s="10" t="str">
        <f t="shared" si="79"/>
        <v>OutubroSEMANA 4Carne Bovina - Perinha da Chã</v>
      </c>
      <c r="AP111" s="7">
        <f>SUMIF(NF!$A:$A,$AO111,NF!$I:$I)</f>
        <v>0</v>
      </c>
      <c r="AQ111" s="6"/>
      <c r="AR111" s="6"/>
      <c r="AS111" s="6"/>
      <c r="AT111" s="6">
        <v>6.54</v>
      </c>
      <c r="AU111" s="6"/>
      <c r="AV111" s="6"/>
      <c r="AW111" s="6"/>
      <c r="AX111" s="7">
        <f t="shared" ref="AX111" si="119">SUM(AQ111:AW111)</f>
        <v>6.54</v>
      </c>
      <c r="AY111" s="11">
        <f t="shared" si="81"/>
        <v>1.0000000000021103E-3</v>
      </c>
      <c r="AZ111" s="25"/>
      <c r="BA111" s="10" t="str">
        <f t="shared" si="82"/>
        <v>OutubroSEMANA 5Carne Bovina - Perinha da Chã</v>
      </c>
      <c r="BB111" s="7">
        <f>SUMIF(NF!$A:$A,$BA111,NF!$I:$I)</f>
        <v>0</v>
      </c>
      <c r="BC111" s="6"/>
      <c r="BD111" s="6"/>
      <c r="BE111" s="6"/>
      <c r="BF111" s="74"/>
      <c r="BG111" s="74"/>
      <c r="BH111" s="74"/>
      <c r="BI111" s="74"/>
      <c r="BJ111" s="74"/>
      <c r="BK111" s="7">
        <f t="shared" ref="BK111" si="120">SUM(BC111:BJ111)</f>
        <v>0</v>
      </c>
      <c r="BL111" s="8">
        <f t="shared" si="84"/>
        <v>1.0000000000021103E-3</v>
      </c>
      <c r="BM111" s="51" t="str">
        <f>IFERROR(VLOOKUP(A111,NF!$M:$O,3,0),"")</f>
        <v>Carnes</v>
      </c>
      <c r="BN111" s="7">
        <f t="shared" si="85"/>
        <v>37.088999999999999</v>
      </c>
      <c r="BO111" s="8">
        <f t="array" ref="BO111">IFERROR(LARGE(IF(NF!$G$2:$G$3137='Mês atual'!A111,NF!$J$2:$J$3137),1),0)*BN111</f>
        <v>511.82819999999998</v>
      </c>
      <c r="BP111" s="50"/>
      <c r="BR111" s="147">
        <f t="array" ref="BR111">IFERROR(LARGE(IF(NF!$G$2:$G$3137='Mês atual'!A111,NF!$J$2:$J$3137),1),0)</f>
        <v>13.8</v>
      </c>
      <c r="BS111" s="143" t="str">
        <f>VLOOKUP(A111,NF!M:O,3,0)</f>
        <v>Carnes</v>
      </c>
    </row>
    <row r="112" spans="1:71" x14ac:dyDescent="0.25">
      <c r="A112" s="108" t="s">
        <v>232</v>
      </c>
      <c r="B112" s="12"/>
      <c r="C112" s="9"/>
      <c r="D112" s="25"/>
      <c r="E112" s="10" t="str">
        <f t="shared" si="70"/>
        <v>OutubroSEMANA 1Carne Bovina - Picanha A</v>
      </c>
      <c r="F112" s="7">
        <f>SUMIF(NF!$A:$A,$E112,NF!$I:$I)</f>
        <v>0</v>
      </c>
      <c r="G112" s="6"/>
      <c r="H112" s="6"/>
      <c r="I112" s="6"/>
      <c r="J112" s="6"/>
      <c r="K112" s="6"/>
      <c r="L112" s="6"/>
      <c r="M112" s="6"/>
      <c r="N112" s="7">
        <f t="shared" ref="N112:N114" si="121">SUM(G112:M112)</f>
        <v>0</v>
      </c>
      <c r="O112" s="11">
        <f t="shared" si="72"/>
        <v>0</v>
      </c>
      <c r="P112" s="25"/>
      <c r="Q112" s="10" t="str">
        <f t="shared" si="73"/>
        <v>OutubroSEMANA 2Carne Bovina - Picanha A</v>
      </c>
      <c r="R112" s="7">
        <f>SUMIF(NF!$A:$A,$Q112,NF!$I:$I)</f>
        <v>0</v>
      </c>
      <c r="S112" s="6"/>
      <c r="T112" s="6"/>
      <c r="U112" s="6"/>
      <c r="V112" s="6"/>
      <c r="W112" s="6"/>
      <c r="X112" s="6"/>
      <c r="Y112" s="6"/>
      <c r="Z112" s="7">
        <f t="shared" ref="Z112:Z114" si="122">SUM(S112:Y112)</f>
        <v>0</v>
      </c>
      <c r="AA112" s="11">
        <f t="shared" si="75"/>
        <v>0</v>
      </c>
      <c r="AB112" s="25"/>
      <c r="AC112" s="10" t="str">
        <f t="shared" si="76"/>
        <v>OutubroSEMANA 3Carne Bovina - Picanha A</v>
      </c>
      <c r="AD112" s="7">
        <f>SUMIF(NF!$A:$A,$AC112,NF!$I:$I)</f>
        <v>0</v>
      </c>
      <c r="AE112" s="6"/>
      <c r="AF112" s="6"/>
      <c r="AG112" s="6"/>
      <c r="AH112" s="6"/>
      <c r="AI112" s="6"/>
      <c r="AJ112" s="6"/>
      <c r="AK112" s="6"/>
      <c r="AL112" s="7">
        <f t="shared" ref="AL112:AL114" si="123">SUM(AE112:AK112)</f>
        <v>0</v>
      </c>
      <c r="AM112" s="11">
        <f t="shared" si="78"/>
        <v>0</v>
      </c>
      <c r="AN112" s="25"/>
      <c r="AO112" s="10" t="str">
        <f t="shared" si="79"/>
        <v>OutubroSEMANA 4Carne Bovina - Picanha A</v>
      </c>
      <c r="AP112" s="7">
        <f>SUMIF(NF!$A:$A,$AO112,NF!$I:$I)</f>
        <v>0</v>
      </c>
      <c r="AQ112" s="6"/>
      <c r="AR112" s="6"/>
      <c r="AS112" s="6"/>
      <c r="AT112" s="6"/>
      <c r="AU112" s="6"/>
      <c r="AV112" s="6"/>
      <c r="AW112" s="6"/>
      <c r="AX112" s="7">
        <f t="shared" ref="AX112:AX114" si="124">SUM(AQ112:AW112)</f>
        <v>0</v>
      </c>
      <c r="AY112" s="11">
        <f t="shared" si="81"/>
        <v>0</v>
      </c>
      <c r="AZ112" s="25"/>
      <c r="BA112" s="10" t="str">
        <f t="shared" si="82"/>
        <v>OutubroSEMANA 5Carne Bovina - Picanha A</v>
      </c>
      <c r="BB112" s="7">
        <f>SUMIF(NF!$A:$A,$BA112,NF!$I:$I)</f>
        <v>0</v>
      </c>
      <c r="BC112" s="6"/>
      <c r="BD112" s="6"/>
      <c r="BE112" s="6"/>
      <c r="BF112" s="74"/>
      <c r="BG112" s="74"/>
      <c r="BH112" s="74"/>
      <c r="BI112" s="74"/>
      <c r="BJ112" s="74"/>
      <c r="BK112" s="7">
        <f t="shared" ref="BK112:BK114" si="125">SUM(BC112:BJ112)</f>
        <v>0</v>
      </c>
      <c r="BL112" s="8">
        <f t="shared" si="84"/>
        <v>0</v>
      </c>
      <c r="BM112" s="51" t="str">
        <f>IFERROR(VLOOKUP(A112,NF!$M:$O,3,0),"")</f>
        <v>Carnes</v>
      </c>
      <c r="BN112" s="7">
        <f t="shared" si="85"/>
        <v>0</v>
      </c>
      <c r="BO112" s="8">
        <f t="array" ref="BO112">IFERROR(LARGE(IF(NF!$G$2:$G$3137='Mês atual'!A112,NF!$J$2:$J$3137),1),0)*BN112</f>
        <v>0</v>
      </c>
      <c r="BP112" s="50"/>
      <c r="BR112" s="147">
        <f t="array" ref="BR112">IFERROR(LARGE(IF(NF!$G$2:$G$3137='Mês atual'!A112,NF!$J$2:$J$3137),1),0)</f>
        <v>0</v>
      </c>
      <c r="BS112" s="143" t="str">
        <f>VLOOKUP(A112,NF!M:O,3,0)</f>
        <v>Carnes</v>
      </c>
    </row>
    <row r="113" spans="1:71" x14ac:dyDescent="0.25">
      <c r="A113" s="108" t="s">
        <v>233</v>
      </c>
      <c r="B113" s="12"/>
      <c r="C113" s="9">
        <v>42.503999999999998</v>
      </c>
      <c r="D113" s="25"/>
      <c r="E113" s="10" t="str">
        <f t="shared" si="70"/>
        <v>OutubroSEMANA 1Carne Bovina - Picanha Grill/Churrascaria</v>
      </c>
      <c r="F113" s="7">
        <f>SUMIF(NF!$A:$A,$E113,NF!$I:$I)</f>
        <v>35.53</v>
      </c>
      <c r="G113" s="6"/>
      <c r="H113" s="6"/>
      <c r="I113" s="6"/>
      <c r="J113" s="6">
        <f>22.402+1.462</f>
        <v>23.864000000000001</v>
      </c>
      <c r="K113" s="6"/>
      <c r="L113" s="6">
        <f>17.34+2.92+2.792</f>
        <v>23.052</v>
      </c>
      <c r="M113" s="6">
        <v>1.2</v>
      </c>
      <c r="N113" s="7">
        <f t="shared" si="121"/>
        <v>48.116</v>
      </c>
      <c r="O113" s="11">
        <f t="shared" si="72"/>
        <v>29.917999999999992</v>
      </c>
      <c r="P113" s="25"/>
      <c r="Q113" s="10" t="str">
        <f t="shared" si="73"/>
        <v>OutubroSEMANA 2Carne Bovina - Picanha Grill/Churrascaria</v>
      </c>
      <c r="R113" s="7">
        <f>SUMIF(NF!$A:$A,$Q113,NF!$I:$I)</f>
        <v>60.989999999999995</v>
      </c>
      <c r="S113" s="6"/>
      <c r="T113" s="6"/>
      <c r="U113" s="6"/>
      <c r="V113" s="6">
        <f>16.704+8.92</f>
        <v>25.624000000000002</v>
      </c>
      <c r="W113" s="6"/>
      <c r="X113" s="6"/>
      <c r="Y113" s="6">
        <f>6.856+5.264+9.29</f>
        <v>21.41</v>
      </c>
      <c r="Z113" s="7">
        <f t="shared" si="122"/>
        <v>47.034000000000006</v>
      </c>
      <c r="AA113" s="11">
        <f t="shared" si="75"/>
        <v>43.873999999999981</v>
      </c>
      <c r="AB113" s="25"/>
      <c r="AC113" s="10" t="str">
        <f t="shared" si="76"/>
        <v>OutubroSEMANA 3Carne Bovina - Picanha Grill/Churrascaria</v>
      </c>
      <c r="AD113" s="7">
        <f>SUMIF(NF!$A:$A,$AC113,NF!$I:$I)</f>
        <v>32.1</v>
      </c>
      <c r="AE113" s="6"/>
      <c r="AF113" s="6"/>
      <c r="AG113" s="6">
        <f>16.4+4.928</f>
        <v>21.327999999999999</v>
      </c>
      <c r="AH113" s="6"/>
      <c r="AI113" s="6"/>
      <c r="AJ113" s="6"/>
      <c r="AK113" s="6"/>
      <c r="AL113" s="7">
        <f t="shared" si="123"/>
        <v>21.327999999999999</v>
      </c>
      <c r="AM113" s="11">
        <f t="shared" si="78"/>
        <v>54.645999999999987</v>
      </c>
      <c r="AN113" s="25"/>
      <c r="AO113" s="10" t="str">
        <f t="shared" si="79"/>
        <v>OutubroSEMANA 4Carne Bovina - Picanha Grill/Churrascaria</v>
      </c>
      <c r="AP113" s="7">
        <f>SUMIF(NF!$A:$A,$AO113,NF!$I:$I)</f>
        <v>41.08</v>
      </c>
      <c r="AQ113" s="6">
        <f>16.9+3</f>
        <v>19.899999999999999</v>
      </c>
      <c r="AR113" s="6"/>
      <c r="AS113" s="6">
        <v>20.94</v>
      </c>
      <c r="AT113" s="6"/>
      <c r="AU113" s="6"/>
      <c r="AV113" s="6"/>
      <c r="AW113" s="6"/>
      <c r="AX113" s="7">
        <f t="shared" si="124"/>
        <v>40.840000000000003</v>
      </c>
      <c r="AY113" s="11">
        <f t="shared" si="81"/>
        <v>54.885999999999981</v>
      </c>
      <c r="AZ113" s="25"/>
      <c r="BA113" s="10" t="str">
        <f t="shared" si="82"/>
        <v>OutubroSEMANA 5Carne Bovina - Picanha Grill/Churrascaria</v>
      </c>
      <c r="BB113" s="7">
        <f>SUMIF(NF!$A:$A,$BA113,NF!$I:$I)</f>
        <v>0</v>
      </c>
      <c r="BC113" s="6"/>
      <c r="BD113" s="6"/>
      <c r="BE113" s="6"/>
      <c r="BF113" s="74"/>
      <c r="BG113" s="74"/>
      <c r="BH113" s="74"/>
      <c r="BI113" s="74"/>
      <c r="BJ113" s="74"/>
      <c r="BK113" s="7">
        <f t="shared" si="125"/>
        <v>0</v>
      </c>
      <c r="BL113" s="8">
        <f t="shared" si="84"/>
        <v>54.885999999999981</v>
      </c>
      <c r="BM113" s="51" t="str">
        <f>IFERROR(VLOOKUP(A113,NF!$M:$O,3,0),"")</f>
        <v>Carnes</v>
      </c>
      <c r="BN113" s="7">
        <f t="shared" si="85"/>
        <v>157.31800000000001</v>
      </c>
      <c r="BO113" s="8">
        <f t="array" ref="BO113">IFERROR(LARGE(IF(NF!$G$2:$G$3137='Mês atual'!A113,NF!$J$2:$J$3137),1),0)*BN113</f>
        <v>6132.2556400000003</v>
      </c>
      <c r="BP113" s="50"/>
      <c r="BR113" s="147">
        <f t="array" ref="BR113">IFERROR(LARGE(IF(NF!$G$2:$G$3137='Mês atual'!A113,NF!$J$2:$J$3137),1),0)</f>
        <v>38.979999999999997</v>
      </c>
      <c r="BS113" s="143" t="str">
        <f>VLOOKUP(A113,NF!M:O,3,0)</f>
        <v>Carnes</v>
      </c>
    </row>
    <row r="114" spans="1:71" x14ac:dyDescent="0.25">
      <c r="A114" s="108" t="s">
        <v>234</v>
      </c>
      <c r="B114" s="12"/>
      <c r="C114" s="9"/>
      <c r="D114" s="25"/>
      <c r="E114" s="10" t="str">
        <f t="shared" si="70"/>
        <v>OutubroSEMANA 1Carne Bovina - Rabada cortada</v>
      </c>
      <c r="F114" s="7">
        <f>SUMIF(NF!$A:$A,$E114,NF!$I:$I)</f>
        <v>0</v>
      </c>
      <c r="G114" s="6"/>
      <c r="H114" s="6"/>
      <c r="I114" s="6"/>
      <c r="J114" s="6"/>
      <c r="K114" s="6"/>
      <c r="L114" s="6"/>
      <c r="M114" s="6"/>
      <c r="N114" s="7">
        <f t="shared" si="121"/>
        <v>0</v>
      </c>
      <c r="O114" s="11">
        <f t="shared" si="72"/>
        <v>0</v>
      </c>
      <c r="P114" s="25"/>
      <c r="Q114" s="10" t="str">
        <f t="shared" si="73"/>
        <v>OutubroSEMANA 2Carne Bovina - Rabada cortada</v>
      </c>
      <c r="R114" s="7">
        <f>SUMIF(NF!$A:$A,$Q114,NF!$I:$I)</f>
        <v>0</v>
      </c>
      <c r="S114" s="6"/>
      <c r="T114" s="6"/>
      <c r="U114" s="6"/>
      <c r="V114" s="6"/>
      <c r="W114" s="6"/>
      <c r="X114" s="6"/>
      <c r="Y114" s="6"/>
      <c r="Z114" s="7">
        <f t="shared" si="122"/>
        <v>0</v>
      </c>
      <c r="AA114" s="11">
        <f t="shared" si="75"/>
        <v>0</v>
      </c>
      <c r="AB114" s="25"/>
      <c r="AC114" s="10" t="str">
        <f t="shared" si="76"/>
        <v>OutubroSEMANA 3Carne Bovina - Rabada cortada</v>
      </c>
      <c r="AD114" s="7">
        <f>SUMIF(NF!$A:$A,$AC114,NF!$I:$I)</f>
        <v>0</v>
      </c>
      <c r="AE114" s="6"/>
      <c r="AF114" s="6"/>
      <c r="AG114" s="6"/>
      <c r="AH114" s="6"/>
      <c r="AI114" s="6"/>
      <c r="AJ114" s="6"/>
      <c r="AK114" s="6"/>
      <c r="AL114" s="7">
        <f t="shared" si="123"/>
        <v>0</v>
      </c>
      <c r="AM114" s="11">
        <f t="shared" si="78"/>
        <v>0</v>
      </c>
      <c r="AN114" s="25"/>
      <c r="AO114" s="10" t="str">
        <f t="shared" si="79"/>
        <v>OutubroSEMANA 4Carne Bovina - Rabada cortada</v>
      </c>
      <c r="AP114" s="7">
        <f>SUMIF(NF!$A:$A,$AO114,NF!$I:$I)</f>
        <v>0</v>
      </c>
      <c r="AQ114" s="6"/>
      <c r="AR114" s="6"/>
      <c r="AS114" s="6"/>
      <c r="AT114" s="6"/>
      <c r="AU114" s="6"/>
      <c r="AV114" s="6"/>
      <c r="AW114" s="6"/>
      <c r="AX114" s="7">
        <f t="shared" si="124"/>
        <v>0</v>
      </c>
      <c r="AY114" s="11">
        <f t="shared" si="81"/>
        <v>0</v>
      </c>
      <c r="AZ114" s="25"/>
      <c r="BA114" s="10" t="str">
        <f t="shared" si="82"/>
        <v>OutubroSEMANA 5Carne Bovina - Rabada cortada</v>
      </c>
      <c r="BB114" s="7">
        <f>SUMIF(NF!$A:$A,$BA114,NF!$I:$I)</f>
        <v>0</v>
      </c>
      <c r="BC114" s="6"/>
      <c r="BD114" s="6"/>
      <c r="BE114" s="6"/>
      <c r="BF114" s="74"/>
      <c r="BG114" s="74"/>
      <c r="BH114" s="74"/>
      <c r="BI114" s="74"/>
      <c r="BJ114" s="74"/>
      <c r="BK114" s="7">
        <f t="shared" si="125"/>
        <v>0</v>
      </c>
      <c r="BL114" s="8">
        <f t="shared" si="84"/>
        <v>0</v>
      </c>
      <c r="BM114" s="51" t="str">
        <f>IFERROR(VLOOKUP(A114,NF!$M:$O,3,0),"")</f>
        <v>Carnes</v>
      </c>
      <c r="BN114" s="7">
        <f t="shared" si="85"/>
        <v>0</v>
      </c>
      <c r="BO114" s="8">
        <f t="array" ref="BO114">IFERROR(LARGE(IF(NF!$G$2:$G$3137='Mês atual'!A114,NF!$J$2:$J$3137),1),0)*BN114</f>
        <v>0</v>
      </c>
      <c r="BP114" s="50"/>
      <c r="BR114" s="147">
        <f t="array" ref="BR114">IFERROR(LARGE(IF(NF!$G$2:$G$3137='Mês atual'!A114,NF!$J$2:$J$3137),1),0)</f>
        <v>0</v>
      </c>
      <c r="BS114" s="143" t="str">
        <f>VLOOKUP(A114,NF!M:O,3,0)</f>
        <v>Carnes</v>
      </c>
    </row>
    <row r="115" spans="1:71" x14ac:dyDescent="0.25">
      <c r="A115" s="108" t="s">
        <v>942</v>
      </c>
      <c r="B115" s="12"/>
      <c r="C115" s="9"/>
      <c r="D115" s="25"/>
      <c r="E115" s="10" t="str">
        <f t="shared" si="70"/>
        <v>OutubroSEMANA 1Carnes - File de Costela (Noix)</v>
      </c>
      <c r="F115" s="7">
        <f>SUMIF(NF!$A:$A,$E115,NF!$I:$I)</f>
        <v>0</v>
      </c>
      <c r="G115" s="6"/>
      <c r="H115" s="6"/>
      <c r="I115" s="6"/>
      <c r="J115" s="6"/>
      <c r="K115" s="6"/>
      <c r="L115" s="6"/>
      <c r="M115" s="6"/>
      <c r="N115" s="7">
        <f t="shared" ref="N115" si="126">SUM(G115:M115)</f>
        <v>0</v>
      </c>
      <c r="O115" s="11">
        <f t="shared" si="72"/>
        <v>0</v>
      </c>
      <c r="P115" s="25"/>
      <c r="Q115" s="10" t="str">
        <f t="shared" si="73"/>
        <v>OutubroSEMANA 2Carnes - File de Costela (Noix)</v>
      </c>
      <c r="R115" s="7">
        <f>SUMIF(NF!$A:$A,$Q115,NF!$I:$I)</f>
        <v>0</v>
      </c>
      <c r="S115" s="6"/>
      <c r="T115" s="6"/>
      <c r="U115" s="6"/>
      <c r="V115" s="6"/>
      <c r="W115" s="6"/>
      <c r="X115" s="6"/>
      <c r="Y115" s="6"/>
      <c r="Z115" s="7">
        <f t="shared" ref="Z115" si="127">SUM(S115:Y115)</f>
        <v>0</v>
      </c>
      <c r="AA115" s="11">
        <f t="shared" si="75"/>
        <v>0</v>
      </c>
      <c r="AB115" s="25"/>
      <c r="AC115" s="10" t="str">
        <f t="shared" si="76"/>
        <v>OutubroSEMANA 3Carnes - File de Costela (Noix)</v>
      </c>
      <c r="AD115" s="7">
        <f>SUMIF(NF!$A:$A,$AC115,NF!$I:$I)</f>
        <v>0</v>
      </c>
      <c r="AE115" s="6"/>
      <c r="AF115" s="6"/>
      <c r="AG115" s="6"/>
      <c r="AH115" s="6"/>
      <c r="AI115" s="6"/>
      <c r="AJ115" s="6"/>
      <c r="AK115" s="6"/>
      <c r="AL115" s="7">
        <f t="shared" ref="AL115" si="128">SUM(AE115:AK115)</f>
        <v>0</v>
      </c>
      <c r="AM115" s="11">
        <f t="shared" si="78"/>
        <v>0</v>
      </c>
      <c r="AN115" s="25"/>
      <c r="AO115" s="10" t="str">
        <f t="shared" si="79"/>
        <v>OutubroSEMANA 4Carnes - File de Costela (Noix)</v>
      </c>
      <c r="AP115" s="7">
        <f>SUMIF(NF!$A:$A,$AO115,NF!$I:$I)</f>
        <v>0</v>
      </c>
      <c r="AQ115" s="6"/>
      <c r="AR115" s="6"/>
      <c r="AS115" s="6"/>
      <c r="AT115" s="6"/>
      <c r="AU115" s="6"/>
      <c r="AV115" s="6"/>
      <c r="AW115" s="6"/>
      <c r="AX115" s="7">
        <f t="shared" ref="AX115" si="129">SUM(AQ115:AW115)</f>
        <v>0</v>
      </c>
      <c r="AY115" s="11">
        <f t="shared" si="81"/>
        <v>0</v>
      </c>
      <c r="AZ115" s="25"/>
      <c r="BA115" s="10" t="str">
        <f t="shared" si="82"/>
        <v>OutubroSEMANA 5Carnes - File de Costela (Noix)</v>
      </c>
      <c r="BB115" s="7">
        <f>SUMIF(NF!$A:$A,$BA115,NF!$I:$I)</f>
        <v>0</v>
      </c>
      <c r="BC115" s="6"/>
      <c r="BD115" s="6"/>
      <c r="BE115" s="6"/>
      <c r="BF115" s="74"/>
      <c r="BG115" s="74"/>
      <c r="BH115" s="74"/>
      <c r="BI115" s="74"/>
      <c r="BJ115" s="74"/>
      <c r="BK115" s="7">
        <f t="shared" ref="BK115" si="130">SUM(BC115:BJ115)</f>
        <v>0</v>
      </c>
      <c r="BL115" s="8">
        <f t="shared" si="84"/>
        <v>0</v>
      </c>
      <c r="BM115" s="51" t="str">
        <f>IFERROR(VLOOKUP(A115,NF!$M:$O,3,0),"")</f>
        <v>Carnes</v>
      </c>
      <c r="BN115" s="7">
        <f t="shared" si="85"/>
        <v>0</v>
      </c>
      <c r="BO115" s="8">
        <f t="array" ref="BO115">IFERROR(LARGE(IF(NF!$G$2:$G$3137='Mês atual'!A115,NF!$J$2:$J$3137),1),0)*BN115</f>
        <v>0</v>
      </c>
      <c r="BP115" s="50"/>
      <c r="BR115" s="147">
        <f t="array" ref="BR115">IFERROR(LARGE(IF(NF!$G$2:$G$3137='Mês atual'!A115,NF!$J$2:$J$3137),1),0)</f>
        <v>0</v>
      </c>
      <c r="BS115" s="143" t="str">
        <f>VLOOKUP(A115,NF!M:O,3,0)</f>
        <v>Carnes</v>
      </c>
    </row>
    <row r="116" spans="1:71" x14ac:dyDescent="0.25">
      <c r="A116" s="108" t="s">
        <v>302</v>
      </c>
      <c r="B116" s="12"/>
      <c r="C116" s="9"/>
      <c r="D116" s="25"/>
      <c r="E116" s="10" t="str">
        <f t="shared" si="70"/>
        <v>OutubroSEMANA 1Cordeiro - Paleta s/ Osso</v>
      </c>
      <c r="F116" s="7">
        <f>SUMIF(NF!$A:$A,$E116,NF!$I:$I)</f>
        <v>0</v>
      </c>
      <c r="G116" s="6"/>
      <c r="H116" s="6"/>
      <c r="I116" s="6"/>
      <c r="J116" s="6"/>
      <c r="K116" s="6"/>
      <c r="L116" s="6"/>
      <c r="M116" s="6"/>
      <c r="N116" s="7">
        <f t="shared" ref="N116:N142" si="131">SUM(G116:M116)</f>
        <v>0</v>
      </c>
      <c r="O116" s="11">
        <f t="shared" si="72"/>
        <v>0</v>
      </c>
      <c r="P116" s="25"/>
      <c r="Q116" s="10" t="str">
        <f t="shared" si="73"/>
        <v>OutubroSEMANA 2Cordeiro - Paleta s/ Osso</v>
      </c>
      <c r="R116" s="7">
        <f>SUMIF(NF!$A:$A,$Q116,NF!$I:$I)</f>
        <v>0</v>
      </c>
      <c r="S116" s="6"/>
      <c r="T116" s="6"/>
      <c r="U116" s="6"/>
      <c r="V116" s="6"/>
      <c r="W116" s="6"/>
      <c r="X116" s="6"/>
      <c r="Y116" s="6"/>
      <c r="Z116" s="7">
        <f t="shared" ref="Z116:Z142" si="132">SUM(S116:Y116)</f>
        <v>0</v>
      </c>
      <c r="AA116" s="11">
        <f t="shared" si="75"/>
        <v>0</v>
      </c>
      <c r="AB116" s="25"/>
      <c r="AC116" s="10" t="str">
        <f t="shared" si="76"/>
        <v>OutubroSEMANA 3Cordeiro - Paleta s/ Osso</v>
      </c>
      <c r="AD116" s="7">
        <f>SUMIF(NF!$A:$A,$AC116,NF!$I:$I)</f>
        <v>0</v>
      </c>
      <c r="AE116" s="6"/>
      <c r="AF116" s="6"/>
      <c r="AG116" s="6"/>
      <c r="AH116" s="6"/>
      <c r="AI116" s="6"/>
      <c r="AJ116" s="6"/>
      <c r="AK116" s="6"/>
      <c r="AL116" s="7">
        <f t="shared" ref="AL116:AL142" si="133">SUM(AE116:AK116)</f>
        <v>0</v>
      </c>
      <c r="AM116" s="11">
        <f t="shared" si="78"/>
        <v>0</v>
      </c>
      <c r="AN116" s="25"/>
      <c r="AO116" s="10" t="str">
        <f t="shared" si="79"/>
        <v>OutubroSEMANA 4Cordeiro - Paleta s/ Osso</v>
      </c>
      <c r="AP116" s="7">
        <f>SUMIF(NF!$A:$A,$AO116,NF!$I:$I)</f>
        <v>0</v>
      </c>
      <c r="AQ116" s="6"/>
      <c r="AR116" s="6"/>
      <c r="AS116" s="6"/>
      <c r="AT116" s="6"/>
      <c r="AU116" s="6"/>
      <c r="AV116" s="6"/>
      <c r="AW116" s="6"/>
      <c r="AX116" s="7">
        <f t="shared" ref="AX116:AX142" si="134">SUM(AQ116:AW116)</f>
        <v>0</v>
      </c>
      <c r="AY116" s="11">
        <f t="shared" si="81"/>
        <v>0</v>
      </c>
      <c r="AZ116" s="25"/>
      <c r="BA116" s="10" t="str">
        <f t="shared" si="82"/>
        <v>OutubroSEMANA 5Cordeiro - Paleta s/ Osso</v>
      </c>
      <c r="BB116" s="7">
        <f>SUMIF(NF!$A:$A,$BA116,NF!$I:$I)</f>
        <v>0</v>
      </c>
      <c r="BC116" s="6"/>
      <c r="BD116" s="6"/>
      <c r="BE116" s="6"/>
      <c r="BF116" s="74"/>
      <c r="BG116" s="74"/>
      <c r="BH116" s="74"/>
      <c r="BI116" s="74"/>
      <c r="BJ116" s="74"/>
      <c r="BK116" s="7">
        <f t="shared" ref="BK116:BK142" si="135">SUM(BC116:BJ116)</f>
        <v>0</v>
      </c>
      <c r="BL116" s="8">
        <f t="shared" si="84"/>
        <v>0</v>
      </c>
      <c r="BM116" s="51" t="str">
        <f>IFERROR(VLOOKUP(A116,NF!$M:$O,3,0),"")</f>
        <v>Carnes</v>
      </c>
      <c r="BN116" s="7">
        <f t="shared" si="85"/>
        <v>0</v>
      </c>
      <c r="BO116" s="8">
        <f t="array" ref="BO116">IFERROR(LARGE(IF(NF!$G$2:$G$3137='Mês atual'!A116,NF!$J$2:$J$3137),1),0)*BN116</f>
        <v>0</v>
      </c>
      <c r="BP116" s="50"/>
      <c r="BR116" s="147">
        <f t="array" ref="BR116">IFERROR(LARGE(IF(NF!$G$2:$G$3137='Mês atual'!A116,NF!$J$2:$J$3137),1),0)</f>
        <v>0</v>
      </c>
      <c r="BS116" s="143" t="str">
        <f>VLOOKUP(A116,NF!M:O,3,0)</f>
        <v>Carnes</v>
      </c>
    </row>
    <row r="117" spans="1:71" x14ac:dyDescent="0.25">
      <c r="A117" s="108" t="s">
        <v>303</v>
      </c>
      <c r="B117" s="12"/>
      <c r="C117" s="9"/>
      <c r="D117" s="25"/>
      <c r="E117" s="10" t="str">
        <f t="shared" si="70"/>
        <v>OutubroSEMANA 1Cordeiro - Pernil s/ Osso</v>
      </c>
      <c r="F117" s="7">
        <f>SUMIF(NF!$A:$A,$E117,NF!$I:$I)</f>
        <v>0</v>
      </c>
      <c r="G117" s="6"/>
      <c r="H117" s="6"/>
      <c r="I117" s="6"/>
      <c r="J117" s="6"/>
      <c r="K117" s="6"/>
      <c r="L117" s="6"/>
      <c r="M117" s="6"/>
      <c r="N117" s="7">
        <f t="shared" si="131"/>
        <v>0</v>
      </c>
      <c r="O117" s="11">
        <f t="shared" si="72"/>
        <v>0</v>
      </c>
      <c r="P117" s="25"/>
      <c r="Q117" s="10" t="str">
        <f t="shared" si="73"/>
        <v>OutubroSEMANA 2Cordeiro - Pernil s/ Osso</v>
      </c>
      <c r="R117" s="7">
        <f>SUMIF(NF!$A:$A,$Q117,NF!$I:$I)</f>
        <v>0</v>
      </c>
      <c r="S117" s="6"/>
      <c r="T117" s="6"/>
      <c r="U117" s="6"/>
      <c r="V117" s="6"/>
      <c r="W117" s="6"/>
      <c r="X117" s="6"/>
      <c r="Y117" s="6"/>
      <c r="Z117" s="7">
        <f t="shared" si="132"/>
        <v>0</v>
      </c>
      <c r="AA117" s="11">
        <f t="shared" si="75"/>
        <v>0</v>
      </c>
      <c r="AB117" s="25"/>
      <c r="AC117" s="10" t="str">
        <f t="shared" si="76"/>
        <v>OutubroSEMANA 3Cordeiro - Pernil s/ Osso</v>
      </c>
      <c r="AD117" s="7">
        <f>SUMIF(NF!$A:$A,$AC117,NF!$I:$I)</f>
        <v>0</v>
      </c>
      <c r="AE117" s="6"/>
      <c r="AF117" s="6"/>
      <c r="AG117" s="6"/>
      <c r="AH117" s="6"/>
      <c r="AI117" s="6"/>
      <c r="AJ117" s="6"/>
      <c r="AK117" s="6"/>
      <c r="AL117" s="7">
        <f t="shared" si="133"/>
        <v>0</v>
      </c>
      <c r="AM117" s="11">
        <f t="shared" si="78"/>
        <v>0</v>
      </c>
      <c r="AN117" s="25"/>
      <c r="AO117" s="10" t="str">
        <f t="shared" si="79"/>
        <v>OutubroSEMANA 4Cordeiro - Pernil s/ Osso</v>
      </c>
      <c r="AP117" s="7">
        <f>SUMIF(NF!$A:$A,$AO117,NF!$I:$I)</f>
        <v>0</v>
      </c>
      <c r="AQ117" s="6"/>
      <c r="AR117" s="6"/>
      <c r="AS117" s="6"/>
      <c r="AT117" s="6"/>
      <c r="AU117" s="6"/>
      <c r="AV117" s="6"/>
      <c r="AW117" s="6"/>
      <c r="AX117" s="7">
        <f t="shared" si="134"/>
        <v>0</v>
      </c>
      <c r="AY117" s="11">
        <f t="shared" si="81"/>
        <v>0</v>
      </c>
      <c r="AZ117" s="25"/>
      <c r="BA117" s="10" t="str">
        <f t="shared" si="82"/>
        <v>OutubroSEMANA 5Cordeiro - Pernil s/ Osso</v>
      </c>
      <c r="BB117" s="7">
        <f>SUMIF(NF!$A:$A,$BA117,NF!$I:$I)</f>
        <v>0</v>
      </c>
      <c r="BC117" s="6"/>
      <c r="BD117" s="6"/>
      <c r="BE117" s="6"/>
      <c r="BF117" s="74"/>
      <c r="BG117" s="74"/>
      <c r="BH117" s="74"/>
      <c r="BI117" s="74"/>
      <c r="BJ117" s="74"/>
      <c r="BK117" s="7">
        <f t="shared" si="135"/>
        <v>0</v>
      </c>
      <c r="BL117" s="8">
        <f t="shared" si="84"/>
        <v>0</v>
      </c>
      <c r="BM117" s="51" t="str">
        <f>IFERROR(VLOOKUP(A117,NF!$M:$O,3,0),"")</f>
        <v>Carnes</v>
      </c>
      <c r="BN117" s="7">
        <f t="shared" si="85"/>
        <v>0</v>
      </c>
      <c r="BO117" s="8">
        <f t="array" ref="BO117">IFERROR(LARGE(IF(NF!$G$2:$G$3137='Mês atual'!A117,NF!$J$2:$J$3137),1),0)*BN117</f>
        <v>0</v>
      </c>
      <c r="BP117" s="50"/>
      <c r="BR117" s="147">
        <f t="array" ref="BR117">IFERROR(LARGE(IF(NF!$G$2:$G$3137='Mês atual'!A117,NF!$J$2:$J$3137),1),0)</f>
        <v>0</v>
      </c>
      <c r="BS117" s="143" t="str">
        <f>VLOOKUP(A117,NF!M:O,3,0)</f>
        <v>Carnes</v>
      </c>
    </row>
    <row r="118" spans="1:71" x14ac:dyDescent="0.25">
      <c r="A118" s="108" t="s">
        <v>584</v>
      </c>
      <c r="B118" s="12"/>
      <c r="C118" s="9"/>
      <c r="D118" s="25"/>
      <c r="E118" s="10" t="str">
        <f t="shared" si="70"/>
        <v>OutubroSEMANA 1Pescados  - Filé de Badejo</v>
      </c>
      <c r="F118" s="7">
        <f>SUMIF(NF!$A:$A,$E118,NF!$I:$I)</f>
        <v>0</v>
      </c>
      <c r="G118" s="6"/>
      <c r="H118" s="6"/>
      <c r="I118" s="6"/>
      <c r="J118" s="6"/>
      <c r="K118" s="6"/>
      <c r="L118" s="6"/>
      <c r="M118" s="6"/>
      <c r="N118" s="7">
        <f t="shared" si="131"/>
        <v>0</v>
      </c>
      <c r="O118" s="11">
        <f t="shared" si="72"/>
        <v>0</v>
      </c>
      <c r="P118" s="25"/>
      <c r="Q118" s="10" t="str">
        <f t="shared" si="73"/>
        <v>OutubroSEMANA 2Pescados  - Filé de Badejo</v>
      </c>
      <c r="R118" s="7">
        <f>SUMIF(NF!$A:$A,$Q118,NF!$I:$I)</f>
        <v>0</v>
      </c>
      <c r="S118" s="6"/>
      <c r="T118" s="6"/>
      <c r="U118" s="6"/>
      <c r="V118" s="6"/>
      <c r="W118" s="6"/>
      <c r="X118" s="6"/>
      <c r="Y118" s="6"/>
      <c r="Z118" s="7">
        <f t="shared" si="132"/>
        <v>0</v>
      </c>
      <c r="AA118" s="11">
        <f t="shared" si="75"/>
        <v>0</v>
      </c>
      <c r="AB118" s="25"/>
      <c r="AC118" s="10" t="str">
        <f t="shared" si="76"/>
        <v>OutubroSEMANA 3Pescados  - Filé de Badejo</v>
      </c>
      <c r="AD118" s="7">
        <f>SUMIF(NF!$A:$A,$AC118,NF!$I:$I)</f>
        <v>0</v>
      </c>
      <c r="AE118" s="6"/>
      <c r="AF118" s="6"/>
      <c r="AG118" s="6"/>
      <c r="AH118" s="6"/>
      <c r="AI118" s="6"/>
      <c r="AJ118" s="6"/>
      <c r="AK118" s="6"/>
      <c r="AL118" s="7">
        <f t="shared" si="133"/>
        <v>0</v>
      </c>
      <c r="AM118" s="11">
        <f t="shared" si="78"/>
        <v>0</v>
      </c>
      <c r="AN118" s="25"/>
      <c r="AO118" s="10" t="str">
        <f t="shared" si="79"/>
        <v>OutubroSEMANA 4Pescados  - Filé de Badejo</v>
      </c>
      <c r="AP118" s="7">
        <f>SUMIF(NF!$A:$A,$AO118,NF!$I:$I)</f>
        <v>0</v>
      </c>
      <c r="AQ118" s="6"/>
      <c r="AR118" s="6"/>
      <c r="AS118" s="6"/>
      <c r="AT118" s="6"/>
      <c r="AU118" s="6"/>
      <c r="AV118" s="6"/>
      <c r="AW118" s="6"/>
      <c r="AX118" s="7">
        <f t="shared" si="134"/>
        <v>0</v>
      </c>
      <c r="AY118" s="11">
        <f t="shared" si="81"/>
        <v>0</v>
      </c>
      <c r="AZ118" s="25"/>
      <c r="BA118" s="10" t="str">
        <f t="shared" si="82"/>
        <v>OutubroSEMANA 5Pescados  - Filé de Badejo</v>
      </c>
      <c r="BB118" s="7">
        <f>SUMIF(NF!$A:$A,$BA118,NF!$I:$I)</f>
        <v>0</v>
      </c>
      <c r="BC118" s="6"/>
      <c r="BD118" s="6"/>
      <c r="BE118" s="6"/>
      <c r="BF118" s="74"/>
      <c r="BG118" s="74"/>
      <c r="BH118" s="74"/>
      <c r="BI118" s="74"/>
      <c r="BJ118" s="74"/>
      <c r="BK118" s="7">
        <f t="shared" si="135"/>
        <v>0</v>
      </c>
      <c r="BL118" s="8">
        <f t="shared" si="84"/>
        <v>0</v>
      </c>
      <c r="BM118" s="51" t="str">
        <f>IFERROR(VLOOKUP(A118,NF!$M:$O,3,0),"")</f>
        <v>Carnes</v>
      </c>
      <c r="BN118" s="7">
        <f t="shared" si="85"/>
        <v>0</v>
      </c>
      <c r="BO118" s="8">
        <f t="array" ref="BO118">IFERROR(LARGE(IF(NF!$G$2:$G$3137='Mês atual'!A118,NF!$J$2:$J$3137),1),0)*BN118</f>
        <v>0</v>
      </c>
      <c r="BP118" s="50"/>
      <c r="BR118" s="147">
        <f t="array" ref="BR118">IFERROR(LARGE(IF(NF!$G$2:$G$3137='Mês atual'!A118,NF!$J$2:$J$3137),1),0)</f>
        <v>0</v>
      </c>
      <c r="BS118" s="143" t="str">
        <f>VLOOKUP(A118,NF!M:O,3,0)</f>
        <v>Carnes</v>
      </c>
    </row>
    <row r="119" spans="1:71" x14ac:dyDescent="0.25">
      <c r="A119" s="108" t="s">
        <v>585</v>
      </c>
      <c r="B119" s="12"/>
      <c r="C119" s="9"/>
      <c r="D119" s="25"/>
      <c r="E119" s="10" t="str">
        <f t="shared" si="70"/>
        <v>OutubroSEMANA 1Pescados - Anchova</v>
      </c>
      <c r="F119" s="7">
        <f>SUMIF(NF!$A:$A,$E119,NF!$I:$I)</f>
        <v>0</v>
      </c>
      <c r="G119" s="6"/>
      <c r="H119" s="6"/>
      <c r="I119" s="6"/>
      <c r="J119" s="6"/>
      <c r="K119" s="6"/>
      <c r="L119" s="6"/>
      <c r="M119" s="6"/>
      <c r="N119" s="7">
        <f t="shared" si="131"/>
        <v>0</v>
      </c>
      <c r="O119" s="11">
        <f t="shared" si="72"/>
        <v>0</v>
      </c>
      <c r="P119" s="25"/>
      <c r="Q119" s="10" t="str">
        <f t="shared" si="73"/>
        <v>OutubroSEMANA 2Pescados - Anchova</v>
      </c>
      <c r="R119" s="7">
        <f>SUMIF(NF!$A:$A,$Q119,NF!$I:$I)</f>
        <v>0</v>
      </c>
      <c r="S119" s="6"/>
      <c r="T119" s="6"/>
      <c r="U119" s="6"/>
      <c r="V119" s="6"/>
      <c r="W119" s="6"/>
      <c r="X119" s="6"/>
      <c r="Y119" s="6"/>
      <c r="Z119" s="7">
        <f t="shared" si="132"/>
        <v>0</v>
      </c>
      <c r="AA119" s="11">
        <f t="shared" si="75"/>
        <v>0</v>
      </c>
      <c r="AB119" s="25"/>
      <c r="AC119" s="10" t="str">
        <f t="shared" si="76"/>
        <v>OutubroSEMANA 3Pescados - Anchova</v>
      </c>
      <c r="AD119" s="7">
        <f>SUMIF(NF!$A:$A,$AC119,NF!$I:$I)</f>
        <v>0</v>
      </c>
      <c r="AE119" s="6"/>
      <c r="AF119" s="6"/>
      <c r="AG119" s="6"/>
      <c r="AH119" s="6"/>
      <c r="AI119" s="6"/>
      <c r="AJ119" s="6"/>
      <c r="AK119" s="6"/>
      <c r="AL119" s="7">
        <f t="shared" si="133"/>
        <v>0</v>
      </c>
      <c r="AM119" s="11">
        <f t="shared" si="78"/>
        <v>0</v>
      </c>
      <c r="AN119" s="25"/>
      <c r="AO119" s="10" t="str">
        <f t="shared" si="79"/>
        <v>OutubroSEMANA 4Pescados - Anchova</v>
      </c>
      <c r="AP119" s="7">
        <f>SUMIF(NF!$A:$A,$AO119,NF!$I:$I)</f>
        <v>0</v>
      </c>
      <c r="AQ119" s="6"/>
      <c r="AR119" s="6"/>
      <c r="AS119" s="6"/>
      <c r="AT119" s="6"/>
      <c r="AU119" s="6"/>
      <c r="AV119" s="6"/>
      <c r="AW119" s="6"/>
      <c r="AX119" s="7">
        <f t="shared" si="134"/>
        <v>0</v>
      </c>
      <c r="AY119" s="11">
        <f t="shared" si="81"/>
        <v>0</v>
      </c>
      <c r="AZ119" s="25"/>
      <c r="BA119" s="10" t="str">
        <f t="shared" si="82"/>
        <v>OutubroSEMANA 5Pescados - Anchova</v>
      </c>
      <c r="BB119" s="7">
        <f>SUMIF(NF!$A:$A,$BA119,NF!$I:$I)</f>
        <v>0</v>
      </c>
      <c r="BC119" s="6"/>
      <c r="BD119" s="6"/>
      <c r="BE119" s="6"/>
      <c r="BF119" s="74"/>
      <c r="BG119" s="74"/>
      <c r="BH119" s="74"/>
      <c r="BI119" s="74"/>
      <c r="BJ119" s="74"/>
      <c r="BK119" s="7">
        <f t="shared" si="135"/>
        <v>0</v>
      </c>
      <c r="BL119" s="8">
        <f t="shared" si="84"/>
        <v>0</v>
      </c>
      <c r="BM119" s="51" t="str">
        <f>IFERROR(VLOOKUP(A119,NF!$M:$O,3,0),"")</f>
        <v>Carnes</v>
      </c>
      <c r="BN119" s="7">
        <f t="shared" si="85"/>
        <v>0</v>
      </c>
      <c r="BO119" s="8">
        <f t="array" ref="BO119">IFERROR(LARGE(IF(NF!$G$2:$G$3137='Mês atual'!A119,NF!$J$2:$J$3137),1),0)*BN119</f>
        <v>0</v>
      </c>
      <c r="BP119" s="50"/>
      <c r="BR119" s="147">
        <f t="array" ref="BR119">IFERROR(LARGE(IF(NF!$G$2:$G$3137='Mês atual'!A119,NF!$J$2:$J$3137),1),0)</f>
        <v>0</v>
      </c>
      <c r="BS119" s="143" t="str">
        <f>VLOOKUP(A119,NF!M:O,3,0)</f>
        <v>Carnes</v>
      </c>
    </row>
    <row r="120" spans="1:71" x14ac:dyDescent="0.25">
      <c r="A120" s="108" t="s">
        <v>586</v>
      </c>
      <c r="B120" s="12"/>
      <c r="C120" s="9"/>
      <c r="D120" s="25"/>
      <c r="E120" s="10" t="str">
        <f t="shared" si="70"/>
        <v>OutubroSEMANA 1Pescados - Atum Fresco</v>
      </c>
      <c r="F120" s="7">
        <f>SUMIF(NF!$A:$A,$E120,NF!$I:$I)</f>
        <v>0</v>
      </c>
      <c r="G120" s="6"/>
      <c r="H120" s="6"/>
      <c r="I120" s="6"/>
      <c r="J120" s="6"/>
      <c r="K120" s="6"/>
      <c r="L120" s="6"/>
      <c r="M120" s="6"/>
      <c r="N120" s="7">
        <f t="shared" si="131"/>
        <v>0</v>
      </c>
      <c r="O120" s="11">
        <f t="shared" si="72"/>
        <v>0</v>
      </c>
      <c r="P120" s="25"/>
      <c r="Q120" s="10" t="str">
        <f t="shared" si="73"/>
        <v>OutubroSEMANA 2Pescados - Atum Fresco</v>
      </c>
      <c r="R120" s="7">
        <f>SUMIF(NF!$A:$A,$Q120,NF!$I:$I)</f>
        <v>0</v>
      </c>
      <c r="S120" s="6"/>
      <c r="T120" s="6"/>
      <c r="U120" s="6"/>
      <c r="V120" s="6"/>
      <c r="W120" s="6"/>
      <c r="X120" s="6"/>
      <c r="Y120" s="6"/>
      <c r="Z120" s="7">
        <f t="shared" si="132"/>
        <v>0</v>
      </c>
      <c r="AA120" s="11">
        <f t="shared" si="75"/>
        <v>0</v>
      </c>
      <c r="AB120" s="25"/>
      <c r="AC120" s="10" t="str">
        <f t="shared" si="76"/>
        <v>OutubroSEMANA 3Pescados - Atum Fresco</v>
      </c>
      <c r="AD120" s="7">
        <f>SUMIF(NF!$A:$A,$AC120,NF!$I:$I)</f>
        <v>41.08</v>
      </c>
      <c r="AE120" s="6"/>
      <c r="AF120" s="6"/>
      <c r="AG120" s="6"/>
      <c r="AH120" s="6"/>
      <c r="AI120" s="6"/>
      <c r="AJ120" s="6">
        <f>41.08-7</f>
        <v>34.08</v>
      </c>
      <c r="AK120" s="6"/>
      <c r="AL120" s="7">
        <f t="shared" si="133"/>
        <v>34.08</v>
      </c>
      <c r="AM120" s="11">
        <f t="shared" si="78"/>
        <v>7</v>
      </c>
      <c r="AN120" s="25"/>
      <c r="AO120" s="10" t="str">
        <f t="shared" si="79"/>
        <v>OutubroSEMANA 4Pescados - Atum Fresco</v>
      </c>
      <c r="AP120" s="7">
        <f>SUMIF(NF!$A:$A,$AO120,NF!$I:$I)</f>
        <v>40</v>
      </c>
      <c r="AQ120" s="6"/>
      <c r="AR120" s="6"/>
      <c r="AS120" s="6"/>
      <c r="AT120" s="6"/>
      <c r="AU120" s="6">
        <v>7</v>
      </c>
      <c r="AV120" s="6"/>
      <c r="AW120" s="6">
        <v>40</v>
      </c>
      <c r="AX120" s="7">
        <f t="shared" si="134"/>
        <v>47</v>
      </c>
      <c r="AY120" s="11">
        <f t="shared" si="81"/>
        <v>0</v>
      </c>
      <c r="AZ120" s="25"/>
      <c r="BA120" s="10" t="str">
        <f t="shared" si="82"/>
        <v>OutubroSEMANA 5Pescados - Atum Fresco</v>
      </c>
      <c r="BB120" s="7">
        <f>SUMIF(NF!$A:$A,$BA120,NF!$I:$I)</f>
        <v>0</v>
      </c>
      <c r="BC120" s="6"/>
      <c r="BD120" s="6"/>
      <c r="BE120" s="6"/>
      <c r="BF120" s="74"/>
      <c r="BG120" s="74"/>
      <c r="BH120" s="74"/>
      <c r="BI120" s="74"/>
      <c r="BJ120" s="74"/>
      <c r="BK120" s="7">
        <f t="shared" si="135"/>
        <v>0</v>
      </c>
      <c r="BL120" s="8">
        <f t="shared" si="84"/>
        <v>0</v>
      </c>
      <c r="BM120" s="51" t="str">
        <f>IFERROR(VLOOKUP(A120,NF!$M:$O,3,0),"")</f>
        <v>Carnes</v>
      </c>
      <c r="BN120" s="7">
        <f t="shared" si="85"/>
        <v>81.08</v>
      </c>
      <c r="BO120" s="8">
        <f t="array" ref="BO120">IFERROR(LARGE(IF(NF!$G$2:$G$3137='Mês atual'!A120,NF!$J$2:$J$3137),1),0)*BN120</f>
        <v>1216.2</v>
      </c>
      <c r="BP120" s="50"/>
      <c r="BR120" s="147">
        <f t="array" ref="BR120">IFERROR(LARGE(IF(NF!$G$2:$G$3137='Mês atual'!A120,NF!$J$2:$J$3137),1),0)</f>
        <v>15</v>
      </c>
      <c r="BS120" s="143" t="str">
        <f>VLOOKUP(A120,NF!M:O,3,0)</f>
        <v>Carnes</v>
      </c>
    </row>
    <row r="121" spans="1:71" x14ac:dyDescent="0.25">
      <c r="A121" s="108" t="s">
        <v>588</v>
      </c>
      <c r="B121" s="12"/>
      <c r="C121" s="9"/>
      <c r="D121" s="25"/>
      <c r="E121" s="10" t="str">
        <f t="shared" si="70"/>
        <v>OutubroSEMANA 1Pescados - Bacalhau Dessalgado</v>
      </c>
      <c r="F121" s="7">
        <f>SUMIF(NF!$A:$A,$E121,NF!$I:$I)</f>
        <v>0</v>
      </c>
      <c r="G121" s="6"/>
      <c r="H121" s="6"/>
      <c r="I121" s="6"/>
      <c r="J121" s="6"/>
      <c r="K121" s="6"/>
      <c r="L121" s="6"/>
      <c r="M121" s="6"/>
      <c r="N121" s="7">
        <f t="shared" si="131"/>
        <v>0</v>
      </c>
      <c r="O121" s="11">
        <f t="shared" si="72"/>
        <v>0</v>
      </c>
      <c r="P121" s="25"/>
      <c r="Q121" s="10" t="str">
        <f t="shared" si="73"/>
        <v>OutubroSEMANA 2Pescados - Bacalhau Dessalgado</v>
      </c>
      <c r="R121" s="7">
        <f>SUMIF(NF!$A:$A,$Q121,NF!$I:$I)</f>
        <v>0</v>
      </c>
      <c r="S121" s="6"/>
      <c r="T121" s="6"/>
      <c r="U121" s="6"/>
      <c r="V121" s="6"/>
      <c r="W121" s="6"/>
      <c r="X121" s="6"/>
      <c r="Y121" s="6"/>
      <c r="Z121" s="7">
        <f t="shared" si="132"/>
        <v>0</v>
      </c>
      <c r="AA121" s="11">
        <f t="shared" si="75"/>
        <v>0</v>
      </c>
      <c r="AB121" s="25"/>
      <c r="AC121" s="10" t="str">
        <f t="shared" si="76"/>
        <v>OutubroSEMANA 3Pescados - Bacalhau Dessalgado</v>
      </c>
      <c r="AD121" s="7">
        <f>SUMIF(NF!$A:$A,$AC121,NF!$I:$I)</f>
        <v>0</v>
      </c>
      <c r="AE121" s="6"/>
      <c r="AF121" s="6"/>
      <c r="AG121" s="6"/>
      <c r="AH121" s="6"/>
      <c r="AI121" s="6"/>
      <c r="AJ121" s="6"/>
      <c r="AK121" s="6"/>
      <c r="AL121" s="7">
        <f t="shared" si="133"/>
        <v>0</v>
      </c>
      <c r="AM121" s="11">
        <f t="shared" si="78"/>
        <v>0</v>
      </c>
      <c r="AN121" s="25"/>
      <c r="AO121" s="10" t="str">
        <f t="shared" si="79"/>
        <v>OutubroSEMANA 4Pescados - Bacalhau Dessalgado</v>
      </c>
      <c r="AP121" s="7">
        <f>SUMIF(NF!$A:$A,$AO121,NF!$I:$I)</f>
        <v>0</v>
      </c>
      <c r="AQ121" s="6"/>
      <c r="AR121" s="6"/>
      <c r="AS121" s="6"/>
      <c r="AT121" s="6"/>
      <c r="AU121" s="6"/>
      <c r="AV121" s="6"/>
      <c r="AW121" s="6"/>
      <c r="AX121" s="7">
        <f t="shared" si="134"/>
        <v>0</v>
      </c>
      <c r="AY121" s="11">
        <f t="shared" si="81"/>
        <v>0</v>
      </c>
      <c r="AZ121" s="25"/>
      <c r="BA121" s="10" t="str">
        <f t="shared" si="82"/>
        <v>OutubroSEMANA 5Pescados - Bacalhau Dessalgado</v>
      </c>
      <c r="BB121" s="7">
        <f>SUMIF(NF!$A:$A,$BA121,NF!$I:$I)</f>
        <v>0</v>
      </c>
      <c r="BC121" s="6"/>
      <c r="BD121" s="6"/>
      <c r="BE121" s="6"/>
      <c r="BF121" s="74"/>
      <c r="BG121" s="74"/>
      <c r="BH121" s="74"/>
      <c r="BI121" s="74"/>
      <c r="BJ121" s="74"/>
      <c r="BK121" s="7">
        <f t="shared" si="135"/>
        <v>0</v>
      </c>
      <c r="BL121" s="8">
        <f t="shared" si="84"/>
        <v>0</v>
      </c>
      <c r="BM121" s="51" t="str">
        <f>IFERROR(VLOOKUP(A121,NF!$M:$O,3,0),"")</f>
        <v>Carnes</v>
      </c>
      <c r="BN121" s="7">
        <f t="shared" si="85"/>
        <v>0</v>
      </c>
      <c r="BO121" s="8">
        <f t="array" ref="BO121">IFERROR(LARGE(IF(NF!$G$2:$G$3137='Mês atual'!A121,NF!$J$2:$J$3137),1),0)*BN121</f>
        <v>0</v>
      </c>
      <c r="BP121" s="50"/>
      <c r="BR121" s="147">
        <f t="array" ref="BR121">IFERROR(LARGE(IF(NF!$G$2:$G$3137='Mês atual'!A121,NF!$J$2:$J$3137),1),0)</f>
        <v>0</v>
      </c>
      <c r="BS121" s="143" t="str">
        <f>VLOOKUP(A121,NF!M:O,3,0)</f>
        <v>Carnes</v>
      </c>
    </row>
    <row r="122" spans="1:71" x14ac:dyDescent="0.25">
      <c r="A122" s="108" t="s">
        <v>589</v>
      </c>
      <c r="B122" s="12"/>
      <c r="C122" s="9">
        <v>25</v>
      </c>
      <c r="D122" s="25"/>
      <c r="E122" s="10" t="str">
        <f t="shared" si="70"/>
        <v>OutubroSEMANA 1Pescados - Bacalhau Salgado</v>
      </c>
      <c r="F122" s="7">
        <f>SUMIF(NF!$A:$A,$E122,NF!$I:$I)</f>
        <v>25</v>
      </c>
      <c r="G122" s="6">
        <v>12.5</v>
      </c>
      <c r="H122" s="6"/>
      <c r="I122" s="6">
        <v>12.5</v>
      </c>
      <c r="J122" s="6"/>
      <c r="K122" s="6"/>
      <c r="L122" s="6"/>
      <c r="M122" s="6"/>
      <c r="N122" s="7">
        <f t="shared" si="131"/>
        <v>25</v>
      </c>
      <c r="O122" s="11">
        <f t="shared" si="72"/>
        <v>25</v>
      </c>
      <c r="P122" s="25"/>
      <c r="Q122" s="10" t="str">
        <f t="shared" si="73"/>
        <v>OutubroSEMANA 2Pescados - Bacalhau Salgado</v>
      </c>
      <c r="R122" s="7">
        <f>SUMIF(NF!$A:$A,$Q122,NF!$I:$I)</f>
        <v>50</v>
      </c>
      <c r="S122" s="6"/>
      <c r="T122" s="6"/>
      <c r="U122" s="6">
        <v>15</v>
      </c>
      <c r="V122" s="6">
        <v>10</v>
      </c>
      <c r="W122" s="6">
        <v>12.5</v>
      </c>
      <c r="X122" s="6"/>
      <c r="Y122" s="6"/>
      <c r="Z122" s="7">
        <f t="shared" si="132"/>
        <v>37.5</v>
      </c>
      <c r="AA122" s="11">
        <f t="shared" si="75"/>
        <v>37.5</v>
      </c>
      <c r="AB122" s="25"/>
      <c r="AC122" s="10" t="str">
        <f t="shared" si="76"/>
        <v>OutubroSEMANA 3Pescados - Bacalhau Salgado</v>
      </c>
      <c r="AD122" s="7">
        <f>SUMIF(NF!$A:$A,$AC122,NF!$I:$I)</f>
        <v>25</v>
      </c>
      <c r="AE122" s="6">
        <v>12.5</v>
      </c>
      <c r="AF122" s="6"/>
      <c r="AG122" s="6"/>
      <c r="AH122" s="6"/>
      <c r="AI122" s="6">
        <v>25</v>
      </c>
      <c r="AJ122" s="6"/>
      <c r="AK122" s="6"/>
      <c r="AL122" s="7">
        <f t="shared" si="133"/>
        <v>37.5</v>
      </c>
      <c r="AM122" s="11">
        <f t="shared" si="78"/>
        <v>25</v>
      </c>
      <c r="AN122" s="25"/>
      <c r="AO122" s="10" t="str">
        <f t="shared" si="79"/>
        <v>OutubroSEMANA 4Pescados - Bacalhau Salgado</v>
      </c>
      <c r="AP122" s="7">
        <f>SUMIF(NF!$A:$A,$AO122,NF!$I:$I)</f>
        <v>25</v>
      </c>
      <c r="AQ122" s="6"/>
      <c r="AR122" s="6">
        <v>25</v>
      </c>
      <c r="AS122" s="6"/>
      <c r="AT122" s="6"/>
      <c r="AU122" s="6"/>
      <c r="AV122" s="6"/>
      <c r="AW122" s="6"/>
      <c r="AX122" s="7">
        <f t="shared" si="134"/>
        <v>25</v>
      </c>
      <c r="AY122" s="11">
        <f t="shared" si="81"/>
        <v>25</v>
      </c>
      <c r="AZ122" s="25"/>
      <c r="BA122" s="10" t="str">
        <f t="shared" si="82"/>
        <v>OutubroSEMANA 5Pescados - Bacalhau Salgado</v>
      </c>
      <c r="BB122" s="7">
        <f>SUMIF(NF!$A:$A,$BA122,NF!$I:$I)</f>
        <v>25</v>
      </c>
      <c r="BC122" s="6">
        <v>25</v>
      </c>
      <c r="BD122" s="6"/>
      <c r="BE122" s="6"/>
      <c r="BF122" s="74"/>
      <c r="BG122" s="74"/>
      <c r="BH122" s="74"/>
      <c r="BI122" s="74"/>
      <c r="BJ122" s="74"/>
      <c r="BK122" s="7">
        <f t="shared" si="135"/>
        <v>25</v>
      </c>
      <c r="BL122" s="8">
        <f t="shared" si="84"/>
        <v>25</v>
      </c>
      <c r="BM122" s="51" t="str">
        <f>IFERROR(VLOOKUP(A122,NF!$M:$O,3,0),"")</f>
        <v>Carnes</v>
      </c>
      <c r="BN122" s="7">
        <f t="shared" si="85"/>
        <v>150</v>
      </c>
      <c r="BO122" s="8">
        <f t="array" ref="BO122">IFERROR(LARGE(IF(NF!$G$2:$G$3137='Mês atual'!A122,NF!$J$2:$J$3137),1),0)*BN122</f>
        <v>6588.24</v>
      </c>
      <c r="BP122" s="50"/>
      <c r="BR122" s="147">
        <f t="array" ref="BR122">IFERROR(LARGE(IF(NF!$G$2:$G$3137='Mês atual'!A122,NF!$J$2:$J$3137),1),0)</f>
        <v>43.921599999999998</v>
      </c>
      <c r="BS122" s="143" t="str">
        <f>VLOOKUP(A122,NF!M:O,3,0)</f>
        <v>Carnes</v>
      </c>
    </row>
    <row r="123" spans="1:71" x14ac:dyDescent="0.25">
      <c r="A123" s="108" t="s">
        <v>590</v>
      </c>
      <c r="B123" s="12"/>
      <c r="C123" s="9"/>
      <c r="D123" s="25"/>
      <c r="E123" s="10" t="str">
        <f t="shared" si="70"/>
        <v>OutubroSEMANA 1Pescados - Camarão Desc. Evisc. 36/40 (Drenado)</v>
      </c>
      <c r="F123" s="7">
        <f>SUMIF(NF!$A:$A,$E123,NF!$I:$I)</f>
        <v>0</v>
      </c>
      <c r="G123" s="6"/>
      <c r="H123" s="6"/>
      <c r="I123" s="6"/>
      <c r="J123" s="6"/>
      <c r="K123" s="6"/>
      <c r="L123" s="6"/>
      <c r="M123" s="6"/>
      <c r="N123" s="7">
        <f t="shared" si="131"/>
        <v>0</v>
      </c>
      <c r="O123" s="11">
        <f t="shared" si="72"/>
        <v>0</v>
      </c>
      <c r="P123" s="25"/>
      <c r="Q123" s="10" t="str">
        <f t="shared" si="73"/>
        <v>OutubroSEMANA 2Pescados - Camarão Desc. Evisc. 36/40 (Drenado)</v>
      </c>
      <c r="R123" s="7">
        <f>SUMIF(NF!$A:$A,$Q123,NF!$I:$I)</f>
        <v>0</v>
      </c>
      <c r="S123" s="6"/>
      <c r="T123" s="6"/>
      <c r="U123" s="6"/>
      <c r="V123" s="6"/>
      <c r="W123" s="6"/>
      <c r="X123" s="6"/>
      <c r="Y123" s="6"/>
      <c r="Z123" s="7">
        <f t="shared" si="132"/>
        <v>0</v>
      </c>
      <c r="AA123" s="11">
        <f t="shared" si="75"/>
        <v>0</v>
      </c>
      <c r="AB123" s="25"/>
      <c r="AC123" s="10" t="str">
        <f t="shared" si="76"/>
        <v>OutubroSEMANA 3Pescados - Camarão Desc. Evisc. 36/40 (Drenado)</v>
      </c>
      <c r="AD123" s="7">
        <f>SUMIF(NF!$A:$A,$AC123,NF!$I:$I)</f>
        <v>0</v>
      </c>
      <c r="AE123" s="6"/>
      <c r="AF123" s="6"/>
      <c r="AG123" s="6"/>
      <c r="AH123" s="6"/>
      <c r="AI123" s="6"/>
      <c r="AJ123" s="6"/>
      <c r="AK123" s="6"/>
      <c r="AL123" s="7">
        <f t="shared" si="133"/>
        <v>0</v>
      </c>
      <c r="AM123" s="11">
        <f t="shared" si="78"/>
        <v>0</v>
      </c>
      <c r="AN123" s="25"/>
      <c r="AO123" s="10" t="str">
        <f t="shared" si="79"/>
        <v>OutubroSEMANA 4Pescados - Camarão Desc. Evisc. 36/40 (Drenado)</v>
      </c>
      <c r="AP123" s="7">
        <f>SUMIF(NF!$A:$A,$AO123,NF!$I:$I)</f>
        <v>0</v>
      </c>
      <c r="AQ123" s="6"/>
      <c r="AR123" s="6"/>
      <c r="AS123" s="6"/>
      <c r="AT123" s="6"/>
      <c r="AU123" s="6"/>
      <c r="AV123" s="6"/>
      <c r="AW123" s="6"/>
      <c r="AX123" s="7">
        <f t="shared" si="134"/>
        <v>0</v>
      </c>
      <c r="AY123" s="11">
        <f t="shared" si="81"/>
        <v>0</v>
      </c>
      <c r="AZ123" s="25"/>
      <c r="BA123" s="10" t="str">
        <f t="shared" si="82"/>
        <v>OutubroSEMANA 5Pescados - Camarão Desc. Evisc. 36/40 (Drenado)</v>
      </c>
      <c r="BB123" s="7">
        <f>SUMIF(NF!$A:$A,$BA123,NF!$I:$I)</f>
        <v>0</v>
      </c>
      <c r="BC123" s="6"/>
      <c r="BD123" s="6"/>
      <c r="BE123" s="6"/>
      <c r="BF123" s="74"/>
      <c r="BG123" s="74"/>
      <c r="BH123" s="74"/>
      <c r="BI123" s="74"/>
      <c r="BJ123" s="74"/>
      <c r="BK123" s="7">
        <f t="shared" si="135"/>
        <v>0</v>
      </c>
      <c r="BL123" s="8">
        <f t="shared" si="84"/>
        <v>0</v>
      </c>
      <c r="BM123" s="51" t="str">
        <f>IFERROR(VLOOKUP(A123,NF!$M:$O,3,0),"")</f>
        <v>Carnes</v>
      </c>
      <c r="BN123" s="7">
        <f t="shared" si="85"/>
        <v>0</v>
      </c>
      <c r="BO123" s="8">
        <f t="array" ref="BO123">IFERROR(LARGE(IF(NF!$G$2:$G$3137='Mês atual'!A123,NF!$J$2:$J$3137),1),0)*BN123</f>
        <v>0</v>
      </c>
      <c r="BP123" s="50"/>
      <c r="BR123" s="147">
        <f t="array" ref="BR123">IFERROR(LARGE(IF(NF!$G$2:$G$3137='Mês atual'!A123,NF!$J$2:$J$3137),1),0)</f>
        <v>0</v>
      </c>
      <c r="BS123" s="143" t="str">
        <f>VLOOKUP(A123,NF!M:O,3,0)</f>
        <v>Carnes</v>
      </c>
    </row>
    <row r="124" spans="1:71" x14ac:dyDescent="0.25">
      <c r="A124" s="108" t="s">
        <v>591</v>
      </c>
      <c r="B124" s="12"/>
      <c r="C124" s="9"/>
      <c r="D124" s="25"/>
      <c r="E124" s="10" t="str">
        <f t="shared" si="70"/>
        <v>OutubroSEMANA 1Pescados - Camarão Desc. Evisc. 41/50 (Drenado)</v>
      </c>
      <c r="F124" s="7">
        <f>SUMIF(NF!$A:$A,$E124,NF!$I:$I)</f>
        <v>0</v>
      </c>
      <c r="G124" s="6"/>
      <c r="H124" s="6"/>
      <c r="I124" s="6"/>
      <c r="J124" s="6"/>
      <c r="K124" s="6"/>
      <c r="L124" s="6"/>
      <c r="M124" s="6"/>
      <c r="N124" s="7">
        <f t="shared" si="131"/>
        <v>0</v>
      </c>
      <c r="O124" s="11">
        <f t="shared" si="72"/>
        <v>0</v>
      </c>
      <c r="P124" s="25"/>
      <c r="Q124" s="10" t="str">
        <f t="shared" si="73"/>
        <v>OutubroSEMANA 2Pescados - Camarão Desc. Evisc. 41/50 (Drenado)</v>
      </c>
      <c r="R124" s="7">
        <f>SUMIF(NF!$A:$A,$Q124,NF!$I:$I)</f>
        <v>0</v>
      </c>
      <c r="S124" s="6"/>
      <c r="T124" s="6"/>
      <c r="U124" s="6"/>
      <c r="V124" s="6"/>
      <c r="W124" s="6"/>
      <c r="X124" s="6"/>
      <c r="Y124" s="6"/>
      <c r="Z124" s="7">
        <f t="shared" si="132"/>
        <v>0</v>
      </c>
      <c r="AA124" s="11">
        <f t="shared" si="75"/>
        <v>0</v>
      </c>
      <c r="AB124" s="25"/>
      <c r="AC124" s="10" t="str">
        <f t="shared" si="76"/>
        <v>OutubroSEMANA 3Pescados - Camarão Desc. Evisc. 41/50 (Drenado)</v>
      </c>
      <c r="AD124" s="7">
        <f>SUMIF(NF!$A:$A,$AC124,NF!$I:$I)</f>
        <v>0</v>
      </c>
      <c r="AE124" s="6"/>
      <c r="AF124" s="6"/>
      <c r="AG124" s="6"/>
      <c r="AH124" s="6"/>
      <c r="AI124" s="6"/>
      <c r="AJ124" s="6"/>
      <c r="AK124" s="6"/>
      <c r="AL124" s="7">
        <f t="shared" si="133"/>
        <v>0</v>
      </c>
      <c r="AM124" s="11">
        <f t="shared" si="78"/>
        <v>0</v>
      </c>
      <c r="AN124" s="25"/>
      <c r="AO124" s="10" t="str">
        <f t="shared" si="79"/>
        <v>OutubroSEMANA 4Pescados - Camarão Desc. Evisc. 41/50 (Drenado)</v>
      </c>
      <c r="AP124" s="7">
        <f>SUMIF(NF!$A:$A,$AO124,NF!$I:$I)</f>
        <v>0</v>
      </c>
      <c r="AQ124" s="6"/>
      <c r="AR124" s="6"/>
      <c r="AS124" s="6"/>
      <c r="AT124" s="6"/>
      <c r="AU124" s="6"/>
      <c r="AV124" s="6"/>
      <c r="AW124" s="6"/>
      <c r="AX124" s="7">
        <f t="shared" si="134"/>
        <v>0</v>
      </c>
      <c r="AY124" s="11">
        <f t="shared" si="81"/>
        <v>0</v>
      </c>
      <c r="AZ124" s="25"/>
      <c r="BA124" s="10" t="str">
        <f t="shared" si="82"/>
        <v>OutubroSEMANA 5Pescados - Camarão Desc. Evisc. 41/50 (Drenado)</v>
      </c>
      <c r="BB124" s="7">
        <f>SUMIF(NF!$A:$A,$BA124,NF!$I:$I)</f>
        <v>0</v>
      </c>
      <c r="BC124" s="6"/>
      <c r="BD124" s="6"/>
      <c r="BE124" s="6"/>
      <c r="BF124" s="74"/>
      <c r="BG124" s="74"/>
      <c r="BH124" s="74"/>
      <c r="BI124" s="74"/>
      <c r="BJ124" s="74"/>
      <c r="BK124" s="7">
        <f t="shared" si="135"/>
        <v>0</v>
      </c>
      <c r="BL124" s="8">
        <f t="shared" si="84"/>
        <v>0</v>
      </c>
      <c r="BM124" s="51" t="str">
        <f>IFERROR(VLOOKUP(A124,NF!$M:$O,3,0),"")</f>
        <v>Carnes</v>
      </c>
      <c r="BN124" s="7">
        <f t="shared" si="85"/>
        <v>0</v>
      </c>
      <c r="BO124" s="8">
        <f t="array" ref="BO124">IFERROR(LARGE(IF(NF!$G$2:$G$3137='Mês atual'!A124,NF!$J$2:$J$3137),1),0)*BN124</f>
        <v>0</v>
      </c>
      <c r="BP124" s="50"/>
      <c r="BR124" s="147">
        <f t="array" ref="BR124">IFERROR(LARGE(IF(NF!$G$2:$G$3137='Mês atual'!A124,NF!$J$2:$J$3137),1),0)</f>
        <v>0</v>
      </c>
      <c r="BS124" s="143" t="str">
        <f>VLOOKUP(A124,NF!M:O,3,0)</f>
        <v>Carnes</v>
      </c>
    </row>
    <row r="125" spans="1:71" x14ac:dyDescent="0.25">
      <c r="A125" s="108" t="s">
        <v>592</v>
      </c>
      <c r="B125" s="12"/>
      <c r="C125" s="9"/>
      <c r="D125" s="25"/>
      <c r="E125" s="10" t="str">
        <f t="shared" si="70"/>
        <v>OutubroSEMANA 1Pescados - Camarão Desc. Evisc. 51/60 (Drenado)</v>
      </c>
      <c r="F125" s="7">
        <f>SUMIF(NF!$A:$A,$E125,NF!$I:$I)</f>
        <v>0</v>
      </c>
      <c r="G125" s="6"/>
      <c r="H125" s="6"/>
      <c r="I125" s="6"/>
      <c r="J125" s="6"/>
      <c r="K125" s="6"/>
      <c r="L125" s="6"/>
      <c r="M125" s="6"/>
      <c r="N125" s="7">
        <f t="shared" si="131"/>
        <v>0</v>
      </c>
      <c r="O125" s="11">
        <f t="shared" si="72"/>
        <v>0</v>
      </c>
      <c r="P125" s="25"/>
      <c r="Q125" s="10" t="str">
        <f t="shared" si="73"/>
        <v>OutubroSEMANA 2Pescados - Camarão Desc. Evisc. 51/60 (Drenado)</v>
      </c>
      <c r="R125" s="7">
        <f>SUMIF(NF!$A:$A,$Q125,NF!$I:$I)</f>
        <v>0</v>
      </c>
      <c r="S125" s="6"/>
      <c r="T125" s="6"/>
      <c r="U125" s="6"/>
      <c r="V125" s="6"/>
      <c r="W125" s="6"/>
      <c r="X125" s="6"/>
      <c r="Y125" s="6"/>
      <c r="Z125" s="7">
        <f t="shared" si="132"/>
        <v>0</v>
      </c>
      <c r="AA125" s="11">
        <f t="shared" si="75"/>
        <v>0</v>
      </c>
      <c r="AB125" s="25"/>
      <c r="AC125" s="10" t="str">
        <f t="shared" si="76"/>
        <v>OutubroSEMANA 3Pescados - Camarão Desc. Evisc. 51/60 (Drenado)</v>
      </c>
      <c r="AD125" s="7">
        <f>SUMIF(NF!$A:$A,$AC125,NF!$I:$I)</f>
        <v>0</v>
      </c>
      <c r="AE125" s="6"/>
      <c r="AF125" s="6"/>
      <c r="AG125" s="6"/>
      <c r="AH125" s="6"/>
      <c r="AI125" s="6"/>
      <c r="AJ125" s="6"/>
      <c r="AK125" s="6"/>
      <c r="AL125" s="7">
        <f t="shared" si="133"/>
        <v>0</v>
      </c>
      <c r="AM125" s="11">
        <f t="shared" si="78"/>
        <v>0</v>
      </c>
      <c r="AN125" s="25"/>
      <c r="AO125" s="10" t="str">
        <f t="shared" si="79"/>
        <v>OutubroSEMANA 4Pescados - Camarão Desc. Evisc. 51/60 (Drenado)</v>
      </c>
      <c r="AP125" s="7">
        <f>SUMIF(NF!$A:$A,$AO125,NF!$I:$I)</f>
        <v>0</v>
      </c>
      <c r="AQ125" s="6"/>
      <c r="AR125" s="6"/>
      <c r="AS125" s="6"/>
      <c r="AT125" s="6"/>
      <c r="AU125" s="6"/>
      <c r="AV125" s="6"/>
      <c r="AW125" s="6"/>
      <c r="AX125" s="7">
        <f t="shared" si="134"/>
        <v>0</v>
      </c>
      <c r="AY125" s="11">
        <f t="shared" si="81"/>
        <v>0</v>
      </c>
      <c r="AZ125" s="25"/>
      <c r="BA125" s="10" t="str">
        <f t="shared" si="82"/>
        <v>OutubroSEMANA 5Pescados - Camarão Desc. Evisc. 51/60 (Drenado)</v>
      </c>
      <c r="BB125" s="7">
        <f>SUMIF(NF!$A:$A,$BA125,NF!$I:$I)</f>
        <v>0</v>
      </c>
      <c r="BC125" s="6"/>
      <c r="BD125" s="6"/>
      <c r="BE125" s="6"/>
      <c r="BF125" s="74"/>
      <c r="BG125" s="74"/>
      <c r="BH125" s="74"/>
      <c r="BI125" s="74"/>
      <c r="BJ125" s="74"/>
      <c r="BK125" s="7">
        <f t="shared" si="135"/>
        <v>0</v>
      </c>
      <c r="BL125" s="8">
        <f t="shared" si="84"/>
        <v>0</v>
      </c>
      <c r="BM125" s="51" t="str">
        <f>IFERROR(VLOOKUP(A125,NF!$M:$O,3,0),"")</f>
        <v>Carnes</v>
      </c>
      <c r="BN125" s="7">
        <f t="shared" si="85"/>
        <v>0</v>
      </c>
      <c r="BO125" s="8">
        <f t="array" ref="BO125">IFERROR(LARGE(IF(NF!$G$2:$G$3137='Mês atual'!A125,NF!$J$2:$J$3137),1),0)*BN125</f>
        <v>0</v>
      </c>
      <c r="BP125" s="50"/>
      <c r="BR125" s="147">
        <f t="array" ref="BR125">IFERROR(LARGE(IF(NF!$G$2:$G$3137='Mês atual'!A125,NF!$J$2:$J$3137),1),0)</f>
        <v>0</v>
      </c>
      <c r="BS125" s="143" t="str">
        <f>VLOOKUP(A125,NF!M:O,3,0)</f>
        <v>Carnes</v>
      </c>
    </row>
    <row r="126" spans="1:71" x14ac:dyDescent="0.25">
      <c r="A126" s="108" t="s">
        <v>593</v>
      </c>
      <c r="B126" s="12"/>
      <c r="C126" s="9"/>
      <c r="D126" s="25"/>
      <c r="E126" s="10" t="str">
        <f t="shared" si="70"/>
        <v>OutubroSEMANA 1Pescados - Camarão IQF Evisc. 41/50</v>
      </c>
      <c r="F126" s="7">
        <f>SUMIF(NF!$A:$A,$E126,NF!$I:$I)</f>
        <v>0</v>
      </c>
      <c r="G126" s="6"/>
      <c r="H126" s="6"/>
      <c r="I126" s="6"/>
      <c r="J126" s="6"/>
      <c r="K126" s="6"/>
      <c r="L126" s="6"/>
      <c r="M126" s="6"/>
      <c r="N126" s="7">
        <f t="shared" si="131"/>
        <v>0</v>
      </c>
      <c r="O126" s="11">
        <f t="shared" si="72"/>
        <v>0</v>
      </c>
      <c r="P126" s="25"/>
      <c r="Q126" s="10" t="str">
        <f t="shared" si="73"/>
        <v>OutubroSEMANA 2Pescados - Camarão IQF Evisc. 41/50</v>
      </c>
      <c r="R126" s="7">
        <f>SUMIF(NF!$A:$A,$Q126,NF!$I:$I)</f>
        <v>0</v>
      </c>
      <c r="S126" s="6"/>
      <c r="T126" s="6"/>
      <c r="U126" s="6"/>
      <c r="V126" s="6"/>
      <c r="W126" s="6"/>
      <c r="X126" s="6"/>
      <c r="Y126" s="6"/>
      <c r="Z126" s="7">
        <f t="shared" si="132"/>
        <v>0</v>
      </c>
      <c r="AA126" s="11">
        <f t="shared" si="75"/>
        <v>0</v>
      </c>
      <c r="AB126" s="25"/>
      <c r="AC126" s="10" t="str">
        <f t="shared" si="76"/>
        <v>OutubroSEMANA 3Pescados - Camarão IQF Evisc. 41/50</v>
      </c>
      <c r="AD126" s="7">
        <f>SUMIF(NF!$A:$A,$AC126,NF!$I:$I)</f>
        <v>0</v>
      </c>
      <c r="AE126" s="6"/>
      <c r="AF126" s="6"/>
      <c r="AG126" s="6"/>
      <c r="AH126" s="6"/>
      <c r="AI126" s="6"/>
      <c r="AJ126" s="6"/>
      <c r="AK126" s="6"/>
      <c r="AL126" s="7">
        <f t="shared" si="133"/>
        <v>0</v>
      </c>
      <c r="AM126" s="11">
        <f t="shared" si="78"/>
        <v>0</v>
      </c>
      <c r="AN126" s="25"/>
      <c r="AO126" s="10" t="str">
        <f t="shared" si="79"/>
        <v>OutubroSEMANA 4Pescados - Camarão IQF Evisc. 41/50</v>
      </c>
      <c r="AP126" s="7">
        <f>SUMIF(NF!$A:$A,$AO126,NF!$I:$I)</f>
        <v>0</v>
      </c>
      <c r="AQ126" s="6"/>
      <c r="AR126" s="6"/>
      <c r="AS126" s="6"/>
      <c r="AT126" s="6"/>
      <c r="AU126" s="6"/>
      <c r="AV126" s="6"/>
      <c r="AW126" s="6"/>
      <c r="AX126" s="7">
        <f t="shared" si="134"/>
        <v>0</v>
      </c>
      <c r="AY126" s="11">
        <f t="shared" si="81"/>
        <v>0</v>
      </c>
      <c r="AZ126" s="25"/>
      <c r="BA126" s="10" t="str">
        <f t="shared" si="82"/>
        <v>OutubroSEMANA 5Pescados - Camarão IQF Evisc. 41/50</v>
      </c>
      <c r="BB126" s="7">
        <f>SUMIF(NF!$A:$A,$BA126,NF!$I:$I)</f>
        <v>0</v>
      </c>
      <c r="BC126" s="6"/>
      <c r="BD126" s="6"/>
      <c r="BE126" s="6"/>
      <c r="BF126" s="74"/>
      <c r="BG126" s="74"/>
      <c r="BH126" s="74"/>
      <c r="BI126" s="74"/>
      <c r="BJ126" s="74"/>
      <c r="BK126" s="7">
        <f t="shared" si="135"/>
        <v>0</v>
      </c>
      <c r="BL126" s="8">
        <f t="shared" si="84"/>
        <v>0</v>
      </c>
      <c r="BM126" s="51" t="str">
        <f>IFERROR(VLOOKUP(A126,NF!$M:$O,3,0),"")</f>
        <v>Carnes</v>
      </c>
      <c r="BN126" s="7">
        <f t="shared" si="85"/>
        <v>0</v>
      </c>
      <c r="BO126" s="8">
        <f t="array" ref="BO126">IFERROR(LARGE(IF(NF!$G$2:$G$3137='Mês atual'!A126,NF!$J$2:$J$3137),1),0)*BN126</f>
        <v>0</v>
      </c>
      <c r="BP126" s="50"/>
      <c r="BR126" s="147">
        <f t="array" ref="BR126">IFERROR(LARGE(IF(NF!$G$2:$G$3137='Mês atual'!A126,NF!$J$2:$J$3137),1),0)</f>
        <v>0</v>
      </c>
      <c r="BS126" s="143" t="str">
        <f>VLOOKUP(A126,NF!M:O,3,0)</f>
        <v>Carnes</v>
      </c>
    </row>
    <row r="127" spans="1:71" x14ac:dyDescent="0.25">
      <c r="A127" s="108" t="s">
        <v>594</v>
      </c>
      <c r="B127" s="12"/>
      <c r="C127" s="9">
        <v>10</v>
      </c>
      <c r="D127" s="25"/>
      <c r="E127" s="10" t="str">
        <f t="shared" si="70"/>
        <v>OutubroSEMANA 1Pescados - Camarão IQF Evisc. 51/60</v>
      </c>
      <c r="F127" s="7">
        <f>SUMIF(NF!$A:$A,$E127,NF!$I:$I)</f>
        <v>26</v>
      </c>
      <c r="G127" s="6">
        <v>4</v>
      </c>
      <c r="H127" s="6"/>
      <c r="I127" s="6"/>
      <c r="J127" s="6"/>
      <c r="K127" s="6">
        <v>8</v>
      </c>
      <c r="L127" s="6"/>
      <c r="M127" s="6"/>
      <c r="N127" s="7">
        <f t="shared" si="131"/>
        <v>12</v>
      </c>
      <c r="O127" s="11">
        <f t="shared" si="72"/>
        <v>24</v>
      </c>
      <c r="P127" s="25"/>
      <c r="Q127" s="10" t="str">
        <f t="shared" si="73"/>
        <v>OutubroSEMANA 2Pescados - Camarão IQF Evisc. 51/60</v>
      </c>
      <c r="R127" s="7">
        <f>SUMIF(NF!$A:$A,$Q127,NF!$I:$I)</f>
        <v>40</v>
      </c>
      <c r="S127" s="6">
        <v>14</v>
      </c>
      <c r="T127" s="6"/>
      <c r="U127" s="6"/>
      <c r="V127" s="6"/>
      <c r="W127" s="6">
        <v>8</v>
      </c>
      <c r="X127" s="6">
        <v>8</v>
      </c>
      <c r="Y127" s="6">
        <v>8</v>
      </c>
      <c r="Z127" s="7">
        <f t="shared" si="132"/>
        <v>38</v>
      </c>
      <c r="AA127" s="11">
        <f t="shared" si="75"/>
        <v>26</v>
      </c>
      <c r="AB127" s="25"/>
      <c r="AC127" s="10" t="str">
        <f t="shared" si="76"/>
        <v>OutubroSEMANA 3Pescados - Camarão IQF Evisc. 51/60</v>
      </c>
      <c r="AD127" s="7">
        <f>SUMIF(NF!$A:$A,$AC127,NF!$I:$I)</f>
        <v>12</v>
      </c>
      <c r="AE127" s="6">
        <v>8</v>
      </c>
      <c r="AF127" s="6"/>
      <c r="AG127" s="6"/>
      <c r="AH127" s="6">
        <v>4</v>
      </c>
      <c r="AI127" s="6">
        <v>6</v>
      </c>
      <c r="AJ127" s="6"/>
      <c r="AK127" s="6"/>
      <c r="AL127" s="7">
        <f t="shared" si="133"/>
        <v>18</v>
      </c>
      <c r="AM127" s="11">
        <f t="shared" si="78"/>
        <v>20</v>
      </c>
      <c r="AN127" s="25"/>
      <c r="AO127" s="10" t="str">
        <f t="shared" si="79"/>
        <v>OutubroSEMANA 4Pescados - Camarão IQF Evisc. 51/60</v>
      </c>
      <c r="AP127" s="7">
        <f>SUMIF(NF!$A:$A,$AO127,NF!$I:$I)</f>
        <v>18</v>
      </c>
      <c r="AQ127" s="6">
        <f>10+2</f>
        <v>12</v>
      </c>
      <c r="AR127" s="6"/>
      <c r="AS127" s="6"/>
      <c r="AT127" s="6">
        <v>10</v>
      </c>
      <c r="AU127" s="6">
        <f>6+2</f>
        <v>8</v>
      </c>
      <c r="AV127" s="6"/>
      <c r="AW127" s="6"/>
      <c r="AX127" s="7">
        <f t="shared" si="134"/>
        <v>30</v>
      </c>
      <c r="AY127" s="11">
        <f t="shared" si="81"/>
        <v>8</v>
      </c>
      <c r="AZ127" s="25"/>
      <c r="BA127" s="10" t="str">
        <f t="shared" si="82"/>
        <v>OutubroSEMANA 5Pescados - Camarão IQF Evisc. 51/60</v>
      </c>
      <c r="BB127" s="7">
        <f>SUMIF(NF!$A:$A,$BA127,NF!$I:$I)</f>
        <v>6</v>
      </c>
      <c r="BC127" s="6">
        <f>6+2</f>
        <v>8</v>
      </c>
      <c r="BD127" s="6"/>
      <c r="BE127" s="6"/>
      <c r="BF127" s="74"/>
      <c r="BG127" s="74"/>
      <c r="BH127" s="74"/>
      <c r="BI127" s="74"/>
      <c r="BJ127" s="74"/>
      <c r="BK127" s="7">
        <f t="shared" si="135"/>
        <v>8</v>
      </c>
      <c r="BL127" s="8">
        <f t="shared" si="84"/>
        <v>6</v>
      </c>
      <c r="BM127" s="51" t="str">
        <f>IFERROR(VLOOKUP(A127,NF!$M:$O,3,0),"")</f>
        <v>Carnes</v>
      </c>
      <c r="BN127" s="7">
        <f t="shared" si="85"/>
        <v>106</v>
      </c>
      <c r="BO127" s="8">
        <f t="array" ref="BO127">IFERROR(LARGE(IF(NF!$G$2:$G$3137='Mês atual'!A127,NF!$J$2:$J$3137),1),0)*BN127</f>
        <v>7409.4000000000005</v>
      </c>
      <c r="BP127" s="50"/>
      <c r="BR127" s="147">
        <f t="array" ref="BR127">IFERROR(LARGE(IF(NF!$G$2:$G$3137='Mês atual'!A127,NF!$J$2:$J$3137),1),0)</f>
        <v>69.900000000000006</v>
      </c>
      <c r="BS127" s="143" t="str">
        <f>VLOOKUP(A127,NF!M:O,3,0)</f>
        <v>Carnes</v>
      </c>
    </row>
    <row r="128" spans="1:71" x14ac:dyDescent="0.25">
      <c r="A128" s="108" t="s">
        <v>595</v>
      </c>
      <c r="B128" s="12"/>
      <c r="C128" s="9"/>
      <c r="D128" s="25"/>
      <c r="E128" s="10" t="str">
        <f t="shared" si="70"/>
        <v>OutubroSEMANA 1Pescados - Camarão Seco</v>
      </c>
      <c r="F128" s="7">
        <f>SUMIF(NF!$A:$A,$E128,NF!$I:$I)</f>
        <v>0</v>
      </c>
      <c r="G128" s="6"/>
      <c r="H128" s="6"/>
      <c r="I128" s="6"/>
      <c r="J128" s="6"/>
      <c r="K128" s="6"/>
      <c r="L128" s="6"/>
      <c r="M128" s="6"/>
      <c r="N128" s="7">
        <f t="shared" si="131"/>
        <v>0</v>
      </c>
      <c r="O128" s="11">
        <f t="shared" si="72"/>
        <v>0</v>
      </c>
      <c r="P128" s="25"/>
      <c r="Q128" s="10" t="str">
        <f t="shared" si="73"/>
        <v>OutubroSEMANA 2Pescados - Camarão Seco</v>
      </c>
      <c r="R128" s="7">
        <f>SUMIF(NF!$A:$A,$Q128,NF!$I:$I)</f>
        <v>0</v>
      </c>
      <c r="S128" s="6"/>
      <c r="T128" s="6"/>
      <c r="U128" s="6"/>
      <c r="V128" s="6"/>
      <c r="W128" s="6"/>
      <c r="X128" s="6"/>
      <c r="Y128" s="6"/>
      <c r="Z128" s="7">
        <f t="shared" si="132"/>
        <v>0</v>
      </c>
      <c r="AA128" s="11">
        <f t="shared" si="75"/>
        <v>0</v>
      </c>
      <c r="AB128" s="25"/>
      <c r="AC128" s="10" t="str">
        <f t="shared" si="76"/>
        <v>OutubroSEMANA 3Pescados - Camarão Seco</v>
      </c>
      <c r="AD128" s="7">
        <f>SUMIF(NF!$A:$A,$AC128,NF!$I:$I)</f>
        <v>0</v>
      </c>
      <c r="AE128" s="6"/>
      <c r="AF128" s="6"/>
      <c r="AG128" s="6"/>
      <c r="AH128" s="6"/>
      <c r="AI128" s="6"/>
      <c r="AJ128" s="6"/>
      <c r="AK128" s="6"/>
      <c r="AL128" s="7">
        <f t="shared" si="133"/>
        <v>0</v>
      </c>
      <c r="AM128" s="11">
        <f t="shared" si="78"/>
        <v>0</v>
      </c>
      <c r="AN128" s="25"/>
      <c r="AO128" s="10" t="str">
        <f t="shared" si="79"/>
        <v>OutubroSEMANA 4Pescados - Camarão Seco</v>
      </c>
      <c r="AP128" s="7">
        <f>SUMIF(NF!$A:$A,$AO128,NF!$I:$I)</f>
        <v>1</v>
      </c>
      <c r="AQ128" s="6"/>
      <c r="AR128" s="6"/>
      <c r="AS128" s="6"/>
      <c r="AT128" s="6">
        <v>1</v>
      </c>
      <c r="AU128" s="6"/>
      <c r="AV128" s="6"/>
      <c r="AW128" s="6"/>
      <c r="AX128" s="7">
        <f t="shared" si="134"/>
        <v>1</v>
      </c>
      <c r="AY128" s="11">
        <f t="shared" si="81"/>
        <v>0</v>
      </c>
      <c r="AZ128" s="25"/>
      <c r="BA128" s="10" t="str">
        <f t="shared" si="82"/>
        <v>OutubroSEMANA 5Pescados - Camarão Seco</v>
      </c>
      <c r="BB128" s="7">
        <f>SUMIF(NF!$A:$A,$BA128,NF!$I:$I)</f>
        <v>0</v>
      </c>
      <c r="BC128" s="6"/>
      <c r="BD128" s="6"/>
      <c r="BE128" s="6"/>
      <c r="BF128" s="74"/>
      <c r="BG128" s="74"/>
      <c r="BH128" s="74"/>
      <c r="BI128" s="74"/>
      <c r="BJ128" s="74"/>
      <c r="BK128" s="7">
        <f t="shared" si="135"/>
        <v>0</v>
      </c>
      <c r="BL128" s="8">
        <f t="shared" si="84"/>
        <v>0</v>
      </c>
      <c r="BM128" s="51" t="str">
        <f>IFERROR(VLOOKUP(A128,NF!$M:$O,3,0),"")</f>
        <v>Carnes</v>
      </c>
      <c r="BN128" s="7">
        <f t="shared" si="85"/>
        <v>1</v>
      </c>
      <c r="BO128" s="8">
        <f t="array" ref="BO128">IFERROR(LARGE(IF(NF!$G$2:$G$3137='Mês atual'!A128,NF!$J$2:$J$3137),1),0)*BN128</f>
        <v>110</v>
      </c>
      <c r="BP128" s="50"/>
      <c r="BR128" s="147">
        <f t="array" ref="BR128">IFERROR(LARGE(IF(NF!$G$2:$G$3137='Mês atual'!A128,NF!$J$2:$J$3137),1),0)</f>
        <v>110</v>
      </c>
      <c r="BS128" s="143" t="str">
        <f>VLOOKUP(A128,NF!M:O,3,0)</f>
        <v>Carnes</v>
      </c>
    </row>
    <row r="129" spans="1:71" x14ac:dyDescent="0.25">
      <c r="A129" s="108" t="s">
        <v>596</v>
      </c>
      <c r="B129" s="12"/>
      <c r="C129" s="9"/>
      <c r="D129" s="25"/>
      <c r="E129" s="10" t="str">
        <f t="shared" si="70"/>
        <v>OutubroSEMANA 1Pescados - Camarão Sujo 41/50</v>
      </c>
      <c r="F129" s="7">
        <f>SUMIF(NF!$A:$A,$E129,NF!$I:$I)</f>
        <v>0</v>
      </c>
      <c r="G129" s="6"/>
      <c r="H129" s="6"/>
      <c r="I129" s="6"/>
      <c r="J129" s="6"/>
      <c r="K129" s="6"/>
      <c r="L129" s="6"/>
      <c r="M129" s="6"/>
      <c r="N129" s="7">
        <f t="shared" si="131"/>
        <v>0</v>
      </c>
      <c r="O129" s="11">
        <f t="shared" si="72"/>
        <v>0</v>
      </c>
      <c r="P129" s="25"/>
      <c r="Q129" s="10" t="str">
        <f t="shared" si="73"/>
        <v>OutubroSEMANA 2Pescados - Camarão Sujo 41/50</v>
      </c>
      <c r="R129" s="7">
        <f>SUMIF(NF!$A:$A,$Q129,NF!$I:$I)</f>
        <v>0</v>
      </c>
      <c r="S129" s="6"/>
      <c r="T129" s="6"/>
      <c r="U129" s="6"/>
      <c r="V129" s="6"/>
      <c r="W129" s="6"/>
      <c r="X129" s="6"/>
      <c r="Y129" s="6"/>
      <c r="Z129" s="7">
        <f t="shared" si="132"/>
        <v>0</v>
      </c>
      <c r="AA129" s="11">
        <f t="shared" si="75"/>
        <v>0</v>
      </c>
      <c r="AB129" s="25"/>
      <c r="AC129" s="10" t="str">
        <f t="shared" si="76"/>
        <v>OutubroSEMANA 3Pescados - Camarão Sujo 41/50</v>
      </c>
      <c r="AD129" s="7">
        <f>SUMIF(NF!$A:$A,$AC129,NF!$I:$I)</f>
        <v>0</v>
      </c>
      <c r="AE129" s="6"/>
      <c r="AF129" s="6"/>
      <c r="AG129" s="6"/>
      <c r="AH129" s="6"/>
      <c r="AI129" s="6"/>
      <c r="AJ129" s="6"/>
      <c r="AK129" s="6"/>
      <c r="AL129" s="7">
        <f t="shared" si="133"/>
        <v>0</v>
      </c>
      <c r="AM129" s="11">
        <f t="shared" si="78"/>
        <v>0</v>
      </c>
      <c r="AN129" s="25"/>
      <c r="AO129" s="10" t="str">
        <f t="shared" si="79"/>
        <v>OutubroSEMANA 4Pescados - Camarão Sujo 41/50</v>
      </c>
      <c r="AP129" s="7">
        <f>SUMIF(NF!$A:$A,$AO129,NF!$I:$I)</f>
        <v>0</v>
      </c>
      <c r="AQ129" s="6"/>
      <c r="AR129" s="6"/>
      <c r="AS129" s="6"/>
      <c r="AT129" s="6"/>
      <c r="AU129" s="6"/>
      <c r="AV129" s="6"/>
      <c r="AW129" s="6"/>
      <c r="AX129" s="7">
        <f t="shared" si="134"/>
        <v>0</v>
      </c>
      <c r="AY129" s="11">
        <f t="shared" si="81"/>
        <v>0</v>
      </c>
      <c r="AZ129" s="25"/>
      <c r="BA129" s="10" t="str">
        <f t="shared" si="82"/>
        <v>OutubroSEMANA 5Pescados - Camarão Sujo 41/50</v>
      </c>
      <c r="BB129" s="7">
        <f>SUMIF(NF!$A:$A,$BA129,NF!$I:$I)</f>
        <v>0</v>
      </c>
      <c r="BC129" s="6"/>
      <c r="BD129" s="6"/>
      <c r="BE129" s="6"/>
      <c r="BF129" s="74"/>
      <c r="BG129" s="74"/>
      <c r="BH129" s="74"/>
      <c r="BI129" s="74"/>
      <c r="BJ129" s="74"/>
      <c r="BK129" s="7">
        <f t="shared" si="135"/>
        <v>0</v>
      </c>
      <c r="BL129" s="8">
        <f t="shared" si="84"/>
        <v>0</v>
      </c>
      <c r="BM129" s="51" t="str">
        <f>IFERROR(VLOOKUP(A129,NF!$M:$O,3,0),"")</f>
        <v>Carnes</v>
      </c>
      <c r="BN129" s="7">
        <f t="shared" si="85"/>
        <v>0</v>
      </c>
      <c r="BO129" s="8">
        <f t="array" ref="BO129">IFERROR(LARGE(IF(NF!$G$2:$G$3137='Mês atual'!A129,NF!$J$2:$J$3137),1),0)*BN129</f>
        <v>0</v>
      </c>
      <c r="BP129" s="50"/>
      <c r="BR129" s="147">
        <f t="array" ref="BR129">IFERROR(LARGE(IF(NF!$G$2:$G$3137='Mês atual'!A129,NF!$J$2:$J$3137),1),0)</f>
        <v>0</v>
      </c>
      <c r="BS129" s="143" t="str">
        <f>VLOOKUP(A129,NF!M:O,3,0)</f>
        <v>Carnes</v>
      </c>
    </row>
    <row r="130" spans="1:71" x14ac:dyDescent="0.25">
      <c r="A130" s="108" t="s">
        <v>597</v>
      </c>
      <c r="B130" s="12"/>
      <c r="C130" s="9"/>
      <c r="D130" s="25"/>
      <c r="E130" s="10" t="str">
        <f t="shared" si="70"/>
        <v>OutubroSEMANA 1Pescados - Camarão Sujo 51/60</v>
      </c>
      <c r="F130" s="7">
        <f>SUMIF(NF!$A:$A,$E130,NF!$I:$I)</f>
        <v>0</v>
      </c>
      <c r="G130" s="6"/>
      <c r="H130" s="6"/>
      <c r="I130" s="6"/>
      <c r="J130" s="6"/>
      <c r="K130" s="6"/>
      <c r="L130" s="6"/>
      <c r="M130" s="6"/>
      <c r="N130" s="7">
        <f t="shared" si="131"/>
        <v>0</v>
      </c>
      <c r="O130" s="11">
        <f t="shared" si="72"/>
        <v>0</v>
      </c>
      <c r="P130" s="25"/>
      <c r="Q130" s="10" t="str">
        <f t="shared" si="73"/>
        <v>OutubroSEMANA 2Pescados - Camarão Sujo 51/60</v>
      </c>
      <c r="R130" s="7">
        <f>SUMIF(NF!$A:$A,$Q130,NF!$I:$I)</f>
        <v>0</v>
      </c>
      <c r="S130" s="6"/>
      <c r="T130" s="6"/>
      <c r="U130" s="6"/>
      <c r="V130" s="6"/>
      <c r="W130" s="6"/>
      <c r="X130" s="6"/>
      <c r="Y130" s="6"/>
      <c r="Z130" s="7">
        <f t="shared" si="132"/>
        <v>0</v>
      </c>
      <c r="AA130" s="11">
        <f t="shared" si="75"/>
        <v>0</v>
      </c>
      <c r="AB130" s="25"/>
      <c r="AC130" s="10" t="str">
        <f t="shared" si="76"/>
        <v>OutubroSEMANA 3Pescados - Camarão Sujo 51/60</v>
      </c>
      <c r="AD130" s="7">
        <f>SUMIF(NF!$A:$A,$AC130,NF!$I:$I)</f>
        <v>0</v>
      </c>
      <c r="AE130" s="6"/>
      <c r="AF130" s="6"/>
      <c r="AG130" s="6"/>
      <c r="AH130" s="6"/>
      <c r="AI130" s="6"/>
      <c r="AJ130" s="6"/>
      <c r="AK130" s="6"/>
      <c r="AL130" s="7">
        <f t="shared" si="133"/>
        <v>0</v>
      </c>
      <c r="AM130" s="11">
        <f t="shared" si="78"/>
        <v>0</v>
      </c>
      <c r="AN130" s="25"/>
      <c r="AO130" s="10" t="str">
        <f t="shared" si="79"/>
        <v>OutubroSEMANA 4Pescados - Camarão Sujo 51/60</v>
      </c>
      <c r="AP130" s="7">
        <f>SUMIF(NF!$A:$A,$AO130,NF!$I:$I)</f>
        <v>0</v>
      </c>
      <c r="AQ130" s="6"/>
      <c r="AR130" s="6"/>
      <c r="AS130" s="6"/>
      <c r="AT130" s="6"/>
      <c r="AU130" s="6"/>
      <c r="AV130" s="6"/>
      <c r="AW130" s="6"/>
      <c r="AX130" s="7">
        <f t="shared" si="134"/>
        <v>0</v>
      </c>
      <c r="AY130" s="11">
        <f t="shared" si="81"/>
        <v>0</v>
      </c>
      <c r="AZ130" s="25"/>
      <c r="BA130" s="10" t="str">
        <f t="shared" si="82"/>
        <v>OutubroSEMANA 5Pescados - Camarão Sujo 51/60</v>
      </c>
      <c r="BB130" s="7">
        <f>SUMIF(NF!$A:$A,$BA130,NF!$I:$I)</f>
        <v>0</v>
      </c>
      <c r="BC130" s="6"/>
      <c r="BD130" s="6"/>
      <c r="BE130" s="6"/>
      <c r="BF130" s="74"/>
      <c r="BG130" s="74"/>
      <c r="BH130" s="74"/>
      <c r="BI130" s="74"/>
      <c r="BJ130" s="74"/>
      <c r="BK130" s="7">
        <f t="shared" si="135"/>
        <v>0</v>
      </c>
      <c r="BL130" s="8">
        <f t="shared" si="84"/>
        <v>0</v>
      </c>
      <c r="BM130" s="51" t="str">
        <f>IFERROR(VLOOKUP(A130,NF!$M:$O,3,0),"")</f>
        <v>Carnes</v>
      </c>
      <c r="BN130" s="7">
        <f t="shared" si="85"/>
        <v>0</v>
      </c>
      <c r="BO130" s="8">
        <f t="array" ref="BO130">IFERROR(LARGE(IF(NF!$G$2:$G$3137='Mês atual'!A130,NF!$J$2:$J$3137),1),0)*BN130</f>
        <v>0</v>
      </c>
      <c r="BP130" s="50"/>
      <c r="BR130" s="147">
        <f t="array" ref="BR130">IFERROR(LARGE(IF(NF!$G$2:$G$3137='Mês atual'!A130,NF!$J$2:$J$3137),1),0)</f>
        <v>0</v>
      </c>
      <c r="BS130" s="143" t="str">
        <f>VLOOKUP(A130,NF!M:O,3,0)</f>
        <v>Carnes</v>
      </c>
    </row>
    <row r="131" spans="1:71" x14ac:dyDescent="0.25">
      <c r="A131" s="108" t="s">
        <v>598</v>
      </c>
      <c r="B131" s="12"/>
      <c r="C131" s="9"/>
      <c r="D131" s="25"/>
      <c r="E131" s="10" t="str">
        <f t="shared" si="70"/>
        <v>OutubroSEMANA 1Pescados - Camarão VG</v>
      </c>
      <c r="F131" s="7">
        <f>SUMIF(NF!$A:$A,$E131,NF!$I:$I)</f>
        <v>0</v>
      </c>
      <c r="G131" s="6"/>
      <c r="H131" s="6"/>
      <c r="I131" s="6"/>
      <c r="J131" s="6"/>
      <c r="K131" s="6"/>
      <c r="L131" s="6"/>
      <c r="M131" s="6"/>
      <c r="N131" s="7">
        <f t="shared" si="131"/>
        <v>0</v>
      </c>
      <c r="O131" s="11">
        <f t="shared" si="72"/>
        <v>0</v>
      </c>
      <c r="P131" s="25"/>
      <c r="Q131" s="10" t="str">
        <f t="shared" si="73"/>
        <v>OutubroSEMANA 2Pescados - Camarão VG</v>
      </c>
      <c r="R131" s="7">
        <f>SUMIF(NF!$A:$A,$Q131,NF!$I:$I)</f>
        <v>0</v>
      </c>
      <c r="S131" s="6"/>
      <c r="T131" s="6"/>
      <c r="U131" s="6"/>
      <c r="V131" s="6"/>
      <c r="W131" s="6"/>
      <c r="X131" s="6"/>
      <c r="Y131" s="6"/>
      <c r="Z131" s="7">
        <f t="shared" si="132"/>
        <v>0</v>
      </c>
      <c r="AA131" s="11">
        <f t="shared" si="75"/>
        <v>0</v>
      </c>
      <c r="AB131" s="25"/>
      <c r="AC131" s="10" t="str">
        <f t="shared" si="76"/>
        <v>OutubroSEMANA 3Pescados - Camarão VG</v>
      </c>
      <c r="AD131" s="7">
        <f>SUMIF(NF!$A:$A,$AC131,NF!$I:$I)</f>
        <v>0</v>
      </c>
      <c r="AE131" s="6"/>
      <c r="AF131" s="6"/>
      <c r="AG131" s="6"/>
      <c r="AH131" s="6"/>
      <c r="AI131" s="6"/>
      <c r="AJ131" s="6"/>
      <c r="AK131" s="6"/>
      <c r="AL131" s="7">
        <f t="shared" si="133"/>
        <v>0</v>
      </c>
      <c r="AM131" s="11">
        <f t="shared" si="78"/>
        <v>0</v>
      </c>
      <c r="AN131" s="25"/>
      <c r="AO131" s="10" t="str">
        <f t="shared" si="79"/>
        <v>OutubroSEMANA 4Pescados - Camarão VG</v>
      </c>
      <c r="AP131" s="7">
        <f>SUMIF(NF!$A:$A,$AO131,NF!$I:$I)</f>
        <v>0</v>
      </c>
      <c r="AQ131" s="6"/>
      <c r="AR131" s="6"/>
      <c r="AS131" s="6"/>
      <c r="AT131" s="6"/>
      <c r="AU131" s="6"/>
      <c r="AV131" s="6"/>
      <c r="AW131" s="6"/>
      <c r="AX131" s="7">
        <f t="shared" si="134"/>
        <v>0</v>
      </c>
      <c r="AY131" s="11">
        <f t="shared" si="81"/>
        <v>0</v>
      </c>
      <c r="AZ131" s="25"/>
      <c r="BA131" s="10" t="str">
        <f t="shared" si="82"/>
        <v>OutubroSEMANA 5Pescados - Camarão VG</v>
      </c>
      <c r="BB131" s="7">
        <f>SUMIF(NF!$A:$A,$BA131,NF!$I:$I)</f>
        <v>0</v>
      </c>
      <c r="BC131" s="6"/>
      <c r="BD131" s="6"/>
      <c r="BE131" s="6"/>
      <c r="BF131" s="74"/>
      <c r="BG131" s="74"/>
      <c r="BH131" s="74"/>
      <c r="BI131" s="74"/>
      <c r="BJ131" s="74"/>
      <c r="BK131" s="7">
        <f t="shared" si="135"/>
        <v>0</v>
      </c>
      <c r="BL131" s="8">
        <f t="shared" si="84"/>
        <v>0</v>
      </c>
      <c r="BM131" s="51" t="str">
        <f>IFERROR(VLOOKUP(A131,NF!$M:$O,3,0),"")</f>
        <v>Carnes</v>
      </c>
      <c r="BN131" s="7">
        <f t="shared" si="85"/>
        <v>0</v>
      </c>
      <c r="BO131" s="8">
        <f t="array" ref="BO131">IFERROR(LARGE(IF(NF!$G$2:$G$3137='Mês atual'!A131,NF!$J$2:$J$3137),1),0)*BN131</f>
        <v>0</v>
      </c>
      <c r="BP131" s="50"/>
      <c r="BR131" s="147">
        <f t="array" ref="BR131">IFERROR(LARGE(IF(NF!$G$2:$G$3137='Mês atual'!A131,NF!$J$2:$J$3137),1),0)</f>
        <v>0</v>
      </c>
      <c r="BS131" s="143" t="str">
        <f>VLOOKUP(A131,NF!M:O,3,0)</f>
        <v>Carnes</v>
      </c>
    </row>
    <row r="132" spans="1:71" x14ac:dyDescent="0.25">
      <c r="A132" s="108" t="s">
        <v>599</v>
      </c>
      <c r="B132" s="12"/>
      <c r="C132" s="9"/>
      <c r="D132" s="25"/>
      <c r="E132" s="10" t="str">
        <f t="shared" si="70"/>
        <v>OutubroSEMANA 1Pescados - Camarão VM</v>
      </c>
      <c r="F132" s="7">
        <f>SUMIF(NF!$A:$A,$E132,NF!$I:$I)</f>
        <v>0</v>
      </c>
      <c r="G132" s="6"/>
      <c r="H132" s="6"/>
      <c r="I132" s="6"/>
      <c r="J132" s="6"/>
      <c r="K132" s="6"/>
      <c r="L132" s="6"/>
      <c r="M132" s="6"/>
      <c r="N132" s="7">
        <f t="shared" si="131"/>
        <v>0</v>
      </c>
      <c r="O132" s="11">
        <f t="shared" si="72"/>
        <v>0</v>
      </c>
      <c r="P132" s="25"/>
      <c r="Q132" s="10" t="str">
        <f t="shared" si="73"/>
        <v>OutubroSEMANA 2Pescados - Camarão VM</v>
      </c>
      <c r="R132" s="7">
        <f>SUMIF(NF!$A:$A,$Q132,NF!$I:$I)</f>
        <v>0</v>
      </c>
      <c r="S132" s="6"/>
      <c r="T132" s="6"/>
      <c r="U132" s="6"/>
      <c r="V132" s="6"/>
      <c r="W132" s="6"/>
      <c r="X132" s="6"/>
      <c r="Y132" s="6"/>
      <c r="Z132" s="7">
        <f t="shared" si="132"/>
        <v>0</v>
      </c>
      <c r="AA132" s="11">
        <f t="shared" si="75"/>
        <v>0</v>
      </c>
      <c r="AB132" s="25"/>
      <c r="AC132" s="10" t="str">
        <f t="shared" si="76"/>
        <v>OutubroSEMANA 3Pescados - Camarão VM</v>
      </c>
      <c r="AD132" s="7">
        <f>SUMIF(NF!$A:$A,$AC132,NF!$I:$I)</f>
        <v>0</v>
      </c>
      <c r="AE132" s="6"/>
      <c r="AF132" s="6"/>
      <c r="AG132" s="6"/>
      <c r="AH132" s="6"/>
      <c r="AI132" s="6"/>
      <c r="AJ132" s="6"/>
      <c r="AK132" s="6"/>
      <c r="AL132" s="7">
        <f t="shared" si="133"/>
        <v>0</v>
      </c>
      <c r="AM132" s="11">
        <f t="shared" si="78"/>
        <v>0</v>
      </c>
      <c r="AN132" s="25"/>
      <c r="AO132" s="10" t="str">
        <f t="shared" si="79"/>
        <v>OutubroSEMANA 4Pescados - Camarão VM</v>
      </c>
      <c r="AP132" s="7">
        <f>SUMIF(NF!$A:$A,$AO132,NF!$I:$I)</f>
        <v>0</v>
      </c>
      <c r="AQ132" s="6"/>
      <c r="AR132" s="6"/>
      <c r="AS132" s="6"/>
      <c r="AT132" s="6"/>
      <c r="AU132" s="6"/>
      <c r="AV132" s="6"/>
      <c r="AW132" s="6"/>
      <c r="AX132" s="7">
        <f t="shared" si="134"/>
        <v>0</v>
      </c>
      <c r="AY132" s="11">
        <f t="shared" si="81"/>
        <v>0</v>
      </c>
      <c r="AZ132" s="25"/>
      <c r="BA132" s="10" t="str">
        <f t="shared" si="82"/>
        <v>OutubroSEMANA 5Pescados - Camarão VM</v>
      </c>
      <c r="BB132" s="7">
        <f>SUMIF(NF!$A:$A,$BA132,NF!$I:$I)</f>
        <v>0</v>
      </c>
      <c r="BC132" s="6"/>
      <c r="BD132" s="6"/>
      <c r="BE132" s="6"/>
      <c r="BF132" s="74"/>
      <c r="BG132" s="74"/>
      <c r="BH132" s="74"/>
      <c r="BI132" s="74"/>
      <c r="BJ132" s="74"/>
      <c r="BK132" s="7">
        <f t="shared" si="135"/>
        <v>0</v>
      </c>
      <c r="BL132" s="8">
        <f t="shared" si="84"/>
        <v>0</v>
      </c>
      <c r="BM132" s="51" t="str">
        <f>IFERROR(VLOOKUP(A132,NF!$M:$O,3,0),"")</f>
        <v>Carnes</v>
      </c>
      <c r="BN132" s="7">
        <f t="shared" si="85"/>
        <v>0</v>
      </c>
      <c r="BO132" s="8">
        <f t="array" ref="BO132">IFERROR(LARGE(IF(NF!$G$2:$G$3137='Mês atual'!A132,NF!$J$2:$J$3137),1),0)*BN132</f>
        <v>0</v>
      </c>
      <c r="BP132" s="50"/>
      <c r="BR132" s="147">
        <f t="array" ref="BR132">IFERROR(LARGE(IF(NF!$G$2:$G$3137='Mês atual'!A132,NF!$J$2:$J$3137),1),0)</f>
        <v>0</v>
      </c>
      <c r="BS132" s="143" t="str">
        <f>VLOOKUP(A132,NF!M:O,3,0)</f>
        <v>Carnes</v>
      </c>
    </row>
    <row r="133" spans="1:71" x14ac:dyDescent="0.25">
      <c r="A133" s="108" t="s">
        <v>600</v>
      </c>
      <c r="B133" s="12"/>
      <c r="C133" s="9">
        <v>3</v>
      </c>
      <c r="D133" s="25"/>
      <c r="E133" s="10" t="str">
        <f t="shared" si="70"/>
        <v>OutubroSEMANA 1Pescados - Carne de siri</v>
      </c>
      <c r="F133" s="7">
        <f>SUMIF(NF!$A:$A,$E133,NF!$I:$I)</f>
        <v>0</v>
      </c>
      <c r="G133" s="6">
        <v>2</v>
      </c>
      <c r="H133" s="6"/>
      <c r="I133" s="6"/>
      <c r="J133" s="6"/>
      <c r="K133" s="6"/>
      <c r="L133" s="6"/>
      <c r="M133" s="6"/>
      <c r="N133" s="7">
        <f t="shared" si="131"/>
        <v>2</v>
      </c>
      <c r="O133" s="11">
        <f t="shared" si="72"/>
        <v>1</v>
      </c>
      <c r="P133" s="25"/>
      <c r="Q133" s="10" t="str">
        <f t="shared" si="73"/>
        <v>OutubroSEMANA 2Pescados - Carne de siri</v>
      </c>
      <c r="R133" s="7">
        <f>SUMIF(NF!$A:$A,$Q133,NF!$I:$I)</f>
        <v>0</v>
      </c>
      <c r="S133" s="6"/>
      <c r="T133" s="6"/>
      <c r="U133" s="6"/>
      <c r="V133" s="6"/>
      <c r="W133" s="6"/>
      <c r="X133" s="6"/>
      <c r="Y133" s="6"/>
      <c r="Z133" s="7">
        <f t="shared" si="132"/>
        <v>0</v>
      </c>
      <c r="AA133" s="11">
        <f t="shared" si="75"/>
        <v>1</v>
      </c>
      <c r="AB133" s="25"/>
      <c r="AC133" s="10" t="str">
        <f t="shared" si="76"/>
        <v>OutubroSEMANA 3Pescados - Carne de siri</v>
      </c>
      <c r="AD133" s="7">
        <f>SUMIF(NF!$A:$A,$AC133,NF!$I:$I)</f>
        <v>10</v>
      </c>
      <c r="AE133" s="6"/>
      <c r="AF133" s="6"/>
      <c r="AG133" s="6"/>
      <c r="AH133" s="6"/>
      <c r="AI133" s="6"/>
      <c r="AJ133" s="6">
        <v>11</v>
      </c>
      <c r="AK133" s="6"/>
      <c r="AL133" s="7">
        <f t="shared" si="133"/>
        <v>11</v>
      </c>
      <c r="AM133" s="11">
        <f t="shared" si="78"/>
        <v>0</v>
      </c>
      <c r="AN133" s="25"/>
      <c r="AO133" s="10" t="str">
        <f t="shared" si="79"/>
        <v>OutubroSEMANA 4Pescados - Carne de siri</v>
      </c>
      <c r="AP133" s="7">
        <f>SUMIF(NF!$A:$A,$AO133,NF!$I:$I)</f>
        <v>0</v>
      </c>
      <c r="AQ133" s="6"/>
      <c r="AR133" s="6"/>
      <c r="AS133" s="6"/>
      <c r="AT133" s="6"/>
      <c r="AU133" s="6"/>
      <c r="AV133" s="6"/>
      <c r="AW133" s="6"/>
      <c r="AX133" s="7">
        <f t="shared" si="134"/>
        <v>0</v>
      </c>
      <c r="AY133" s="11">
        <f t="shared" si="81"/>
        <v>0</v>
      </c>
      <c r="AZ133" s="25"/>
      <c r="BA133" s="10" t="str">
        <f t="shared" si="82"/>
        <v>OutubroSEMANA 5Pescados - Carne de siri</v>
      </c>
      <c r="BB133" s="7">
        <f>SUMIF(NF!$A:$A,$BA133,NF!$I:$I)</f>
        <v>0</v>
      </c>
      <c r="BC133" s="6"/>
      <c r="BD133" s="6"/>
      <c r="BE133" s="6"/>
      <c r="BF133" s="74"/>
      <c r="BG133" s="74"/>
      <c r="BH133" s="74"/>
      <c r="BI133" s="74"/>
      <c r="BJ133" s="74"/>
      <c r="BK133" s="7">
        <f t="shared" si="135"/>
        <v>0</v>
      </c>
      <c r="BL133" s="8">
        <f t="shared" si="84"/>
        <v>0</v>
      </c>
      <c r="BM133" s="51" t="str">
        <f>IFERROR(VLOOKUP(A133,NF!$M:$O,3,0),"")</f>
        <v>Carnes</v>
      </c>
      <c r="BN133" s="7">
        <f t="shared" si="85"/>
        <v>13</v>
      </c>
      <c r="BO133" s="8">
        <f t="array" ref="BO133">IFERROR(LARGE(IF(NF!$G$2:$G$3137='Mês atual'!A133,NF!$J$2:$J$3137),1),0)*BN133</f>
        <v>297.7</v>
      </c>
      <c r="BP133" s="50"/>
      <c r="BR133" s="147">
        <f t="array" ref="BR133">IFERROR(LARGE(IF(NF!$G$2:$G$3137='Mês atual'!A133,NF!$J$2:$J$3137),1),0)</f>
        <v>22.9</v>
      </c>
      <c r="BS133" s="143" t="str">
        <f>VLOOKUP(A133,NF!M:O,3,0)</f>
        <v>Carnes</v>
      </c>
    </row>
    <row r="134" spans="1:71" x14ac:dyDescent="0.25">
      <c r="A134" s="108" t="s">
        <v>601</v>
      </c>
      <c r="B134" s="12"/>
      <c r="C134" s="9"/>
      <c r="D134" s="25"/>
      <c r="E134" s="10" t="str">
        <f t="shared" si="70"/>
        <v>OutubroSEMANA 1Pescados - Cherne Fresco</v>
      </c>
      <c r="F134" s="7">
        <f>SUMIF(NF!$A:$A,$E134,NF!$I:$I)</f>
        <v>0</v>
      </c>
      <c r="G134" s="6"/>
      <c r="H134" s="6"/>
      <c r="I134" s="6"/>
      <c r="J134" s="6"/>
      <c r="K134" s="6"/>
      <c r="L134" s="6"/>
      <c r="M134" s="6"/>
      <c r="N134" s="7">
        <f t="shared" si="131"/>
        <v>0</v>
      </c>
      <c r="O134" s="11">
        <f t="shared" si="72"/>
        <v>0</v>
      </c>
      <c r="P134" s="25"/>
      <c r="Q134" s="10" t="str">
        <f t="shared" si="73"/>
        <v>OutubroSEMANA 2Pescados - Cherne Fresco</v>
      </c>
      <c r="R134" s="7">
        <f>SUMIF(NF!$A:$A,$Q134,NF!$I:$I)</f>
        <v>0</v>
      </c>
      <c r="S134" s="6"/>
      <c r="T134" s="6"/>
      <c r="U134" s="6"/>
      <c r="V134" s="6"/>
      <c r="W134" s="6"/>
      <c r="X134" s="6"/>
      <c r="Y134" s="6"/>
      <c r="Z134" s="7">
        <f t="shared" si="132"/>
        <v>0</v>
      </c>
      <c r="AA134" s="11">
        <f t="shared" si="75"/>
        <v>0</v>
      </c>
      <c r="AB134" s="25"/>
      <c r="AC134" s="10" t="str">
        <f t="shared" si="76"/>
        <v>OutubroSEMANA 3Pescados - Cherne Fresco</v>
      </c>
      <c r="AD134" s="7">
        <f>SUMIF(NF!$A:$A,$AC134,NF!$I:$I)</f>
        <v>0</v>
      </c>
      <c r="AE134" s="6"/>
      <c r="AF134" s="6"/>
      <c r="AG134" s="6"/>
      <c r="AH134" s="6"/>
      <c r="AI134" s="6"/>
      <c r="AJ134" s="6"/>
      <c r="AK134" s="6"/>
      <c r="AL134" s="7">
        <f t="shared" si="133"/>
        <v>0</v>
      </c>
      <c r="AM134" s="11">
        <f t="shared" si="78"/>
        <v>0</v>
      </c>
      <c r="AN134" s="25"/>
      <c r="AO134" s="10" t="str">
        <f t="shared" si="79"/>
        <v>OutubroSEMANA 4Pescados - Cherne Fresco</v>
      </c>
      <c r="AP134" s="7">
        <f>SUMIF(NF!$A:$A,$AO134,NF!$I:$I)</f>
        <v>0</v>
      </c>
      <c r="AQ134" s="6"/>
      <c r="AR134" s="6"/>
      <c r="AS134" s="6"/>
      <c r="AT134" s="6"/>
      <c r="AU134" s="6"/>
      <c r="AV134" s="6"/>
      <c r="AW134" s="6"/>
      <c r="AX134" s="7">
        <f t="shared" si="134"/>
        <v>0</v>
      </c>
      <c r="AY134" s="11">
        <f t="shared" si="81"/>
        <v>0</v>
      </c>
      <c r="AZ134" s="25"/>
      <c r="BA134" s="10" t="str">
        <f t="shared" si="82"/>
        <v>OutubroSEMANA 5Pescados - Cherne Fresco</v>
      </c>
      <c r="BB134" s="7">
        <f>SUMIF(NF!$A:$A,$BA134,NF!$I:$I)</f>
        <v>0</v>
      </c>
      <c r="BC134" s="6"/>
      <c r="BD134" s="6"/>
      <c r="BE134" s="6"/>
      <c r="BF134" s="74"/>
      <c r="BG134" s="74"/>
      <c r="BH134" s="74"/>
      <c r="BI134" s="74"/>
      <c r="BJ134" s="74"/>
      <c r="BK134" s="7">
        <f t="shared" si="135"/>
        <v>0</v>
      </c>
      <c r="BL134" s="8">
        <f t="shared" si="84"/>
        <v>0</v>
      </c>
      <c r="BM134" s="51" t="str">
        <f>IFERROR(VLOOKUP(A134,NF!$M:$O,3,0),"")</f>
        <v>Carnes</v>
      </c>
      <c r="BN134" s="7">
        <f t="shared" si="85"/>
        <v>0</v>
      </c>
      <c r="BO134" s="8">
        <f t="array" ref="BO134">IFERROR(LARGE(IF(NF!$G$2:$G$3137='Mês atual'!A134,NF!$J$2:$J$3137),1),0)*BN134</f>
        <v>0</v>
      </c>
      <c r="BP134" s="50"/>
      <c r="BR134" s="147">
        <f t="array" ref="BR134">IFERROR(LARGE(IF(NF!$G$2:$G$3137='Mês atual'!A134,NF!$J$2:$J$3137),1),0)</f>
        <v>0</v>
      </c>
      <c r="BS134" s="143" t="str">
        <f>VLOOKUP(A134,NF!M:O,3,0)</f>
        <v>Carnes</v>
      </c>
    </row>
    <row r="135" spans="1:71" x14ac:dyDescent="0.25">
      <c r="A135" s="108" t="s">
        <v>602</v>
      </c>
      <c r="B135" s="12"/>
      <c r="C135" s="9"/>
      <c r="D135" s="25"/>
      <c r="E135" s="10" t="str">
        <f t="shared" si="70"/>
        <v>OutubroSEMANA 1Pescados - Congro Rosa Fresco</v>
      </c>
      <c r="F135" s="7">
        <f>SUMIF(NF!$A:$A,$E135,NF!$I:$I)</f>
        <v>0</v>
      </c>
      <c r="G135" s="6"/>
      <c r="H135" s="6"/>
      <c r="I135" s="6"/>
      <c r="J135" s="6"/>
      <c r="K135" s="6"/>
      <c r="L135" s="6"/>
      <c r="M135" s="6"/>
      <c r="N135" s="7">
        <f t="shared" si="131"/>
        <v>0</v>
      </c>
      <c r="O135" s="11">
        <f t="shared" si="72"/>
        <v>0</v>
      </c>
      <c r="P135" s="25"/>
      <c r="Q135" s="10" t="str">
        <f t="shared" si="73"/>
        <v>OutubroSEMANA 2Pescados - Congro Rosa Fresco</v>
      </c>
      <c r="R135" s="7">
        <f>SUMIF(NF!$A:$A,$Q135,NF!$I:$I)</f>
        <v>0</v>
      </c>
      <c r="S135" s="6"/>
      <c r="T135" s="6"/>
      <c r="U135" s="6"/>
      <c r="V135" s="6"/>
      <c r="W135" s="6"/>
      <c r="X135" s="6"/>
      <c r="Y135" s="6"/>
      <c r="Z135" s="7">
        <f t="shared" si="132"/>
        <v>0</v>
      </c>
      <c r="AA135" s="11">
        <f t="shared" si="75"/>
        <v>0</v>
      </c>
      <c r="AB135" s="25"/>
      <c r="AC135" s="10" t="str">
        <f t="shared" si="76"/>
        <v>OutubroSEMANA 3Pescados - Congro Rosa Fresco</v>
      </c>
      <c r="AD135" s="7">
        <f>SUMIF(NF!$A:$A,$AC135,NF!$I:$I)</f>
        <v>0</v>
      </c>
      <c r="AE135" s="6"/>
      <c r="AF135" s="6"/>
      <c r="AG135" s="6"/>
      <c r="AH135" s="6"/>
      <c r="AI135" s="6"/>
      <c r="AJ135" s="6"/>
      <c r="AK135" s="6"/>
      <c r="AL135" s="7">
        <f t="shared" si="133"/>
        <v>0</v>
      </c>
      <c r="AM135" s="11">
        <f t="shared" si="78"/>
        <v>0</v>
      </c>
      <c r="AN135" s="25"/>
      <c r="AO135" s="10" t="str">
        <f t="shared" si="79"/>
        <v>OutubroSEMANA 4Pescados - Congro Rosa Fresco</v>
      </c>
      <c r="AP135" s="7">
        <f>SUMIF(NF!$A:$A,$AO135,NF!$I:$I)</f>
        <v>0</v>
      </c>
      <c r="AQ135" s="6"/>
      <c r="AR135" s="6"/>
      <c r="AS135" s="6"/>
      <c r="AT135" s="6"/>
      <c r="AU135" s="6"/>
      <c r="AV135" s="6"/>
      <c r="AW135" s="6"/>
      <c r="AX135" s="7">
        <f t="shared" si="134"/>
        <v>0</v>
      </c>
      <c r="AY135" s="11">
        <f t="shared" si="81"/>
        <v>0</v>
      </c>
      <c r="AZ135" s="25"/>
      <c r="BA135" s="10" t="str">
        <f t="shared" si="82"/>
        <v>OutubroSEMANA 5Pescados - Congro Rosa Fresco</v>
      </c>
      <c r="BB135" s="7">
        <f>SUMIF(NF!$A:$A,$BA135,NF!$I:$I)</f>
        <v>0</v>
      </c>
      <c r="BC135" s="6"/>
      <c r="BD135" s="6"/>
      <c r="BE135" s="6"/>
      <c r="BF135" s="74"/>
      <c r="BG135" s="74"/>
      <c r="BH135" s="74"/>
      <c r="BI135" s="74"/>
      <c r="BJ135" s="74"/>
      <c r="BK135" s="7">
        <f t="shared" si="135"/>
        <v>0</v>
      </c>
      <c r="BL135" s="8">
        <f t="shared" si="84"/>
        <v>0</v>
      </c>
      <c r="BM135" s="51" t="str">
        <f>IFERROR(VLOOKUP(A135,NF!$M:$O,3,0),"")</f>
        <v>Carnes</v>
      </c>
      <c r="BN135" s="7">
        <f t="shared" si="85"/>
        <v>0</v>
      </c>
      <c r="BO135" s="8">
        <f t="array" ref="BO135">IFERROR(LARGE(IF(NF!$G$2:$G$3137='Mês atual'!A135,NF!$J$2:$J$3137),1),0)*BN135</f>
        <v>0</v>
      </c>
      <c r="BP135" s="50"/>
      <c r="BR135" s="147">
        <f t="array" ref="BR135">IFERROR(LARGE(IF(NF!$G$2:$G$3137='Mês atual'!A135,NF!$J$2:$J$3137),1),0)</f>
        <v>0</v>
      </c>
      <c r="BS135" s="143" t="str">
        <f>VLOOKUP(A135,NF!M:O,3,0)</f>
        <v>Carnes</v>
      </c>
    </row>
    <row r="136" spans="1:71" x14ac:dyDescent="0.25">
      <c r="A136" s="108" t="s">
        <v>603</v>
      </c>
      <c r="B136" s="12"/>
      <c r="C136" s="9"/>
      <c r="D136" s="25"/>
      <c r="E136" s="10" t="str">
        <f t="shared" si="70"/>
        <v>OutubroSEMANA 1Pescados - Costela de Tambaqui</v>
      </c>
      <c r="F136" s="7">
        <f>SUMIF(NF!$A:$A,$E136,NF!$I:$I)</f>
        <v>0</v>
      </c>
      <c r="G136" s="6"/>
      <c r="H136" s="6"/>
      <c r="I136" s="6"/>
      <c r="J136" s="6"/>
      <c r="K136" s="6"/>
      <c r="L136" s="6"/>
      <c r="M136" s="6"/>
      <c r="N136" s="7">
        <f t="shared" si="131"/>
        <v>0</v>
      </c>
      <c r="O136" s="11">
        <f t="shared" si="72"/>
        <v>0</v>
      </c>
      <c r="P136" s="25"/>
      <c r="Q136" s="10" t="str">
        <f t="shared" si="73"/>
        <v>OutubroSEMANA 2Pescados - Costela de Tambaqui</v>
      </c>
      <c r="R136" s="7">
        <f>SUMIF(NF!$A:$A,$Q136,NF!$I:$I)</f>
        <v>0</v>
      </c>
      <c r="S136" s="6"/>
      <c r="T136" s="6"/>
      <c r="U136" s="6"/>
      <c r="V136" s="6"/>
      <c r="W136" s="6"/>
      <c r="X136" s="6"/>
      <c r="Y136" s="6"/>
      <c r="Z136" s="7">
        <f t="shared" si="132"/>
        <v>0</v>
      </c>
      <c r="AA136" s="11">
        <f t="shared" si="75"/>
        <v>0</v>
      </c>
      <c r="AB136" s="25"/>
      <c r="AC136" s="10" t="str">
        <f t="shared" si="76"/>
        <v>OutubroSEMANA 3Pescados - Costela de Tambaqui</v>
      </c>
      <c r="AD136" s="7">
        <f>SUMIF(NF!$A:$A,$AC136,NF!$I:$I)</f>
        <v>0</v>
      </c>
      <c r="AE136" s="6"/>
      <c r="AF136" s="6"/>
      <c r="AG136" s="6"/>
      <c r="AH136" s="6"/>
      <c r="AI136" s="6"/>
      <c r="AJ136" s="6"/>
      <c r="AK136" s="6"/>
      <c r="AL136" s="7">
        <f t="shared" si="133"/>
        <v>0</v>
      </c>
      <c r="AM136" s="11">
        <f t="shared" si="78"/>
        <v>0</v>
      </c>
      <c r="AN136" s="25"/>
      <c r="AO136" s="10" t="str">
        <f t="shared" si="79"/>
        <v>OutubroSEMANA 4Pescados - Costela de Tambaqui</v>
      </c>
      <c r="AP136" s="7">
        <f>SUMIF(NF!$A:$A,$AO136,NF!$I:$I)</f>
        <v>0</v>
      </c>
      <c r="AQ136" s="6"/>
      <c r="AR136" s="6"/>
      <c r="AS136" s="6"/>
      <c r="AT136" s="6"/>
      <c r="AU136" s="6"/>
      <c r="AV136" s="6"/>
      <c r="AW136" s="6"/>
      <c r="AX136" s="7">
        <f t="shared" si="134"/>
        <v>0</v>
      </c>
      <c r="AY136" s="11">
        <f t="shared" si="81"/>
        <v>0</v>
      </c>
      <c r="AZ136" s="25"/>
      <c r="BA136" s="10" t="str">
        <f t="shared" si="82"/>
        <v>OutubroSEMANA 5Pescados - Costela de Tambaqui</v>
      </c>
      <c r="BB136" s="7">
        <f>SUMIF(NF!$A:$A,$BA136,NF!$I:$I)</f>
        <v>0</v>
      </c>
      <c r="BC136" s="6"/>
      <c r="BD136" s="6"/>
      <c r="BE136" s="6"/>
      <c r="BF136" s="74"/>
      <c r="BG136" s="74"/>
      <c r="BH136" s="74"/>
      <c r="BI136" s="74"/>
      <c r="BJ136" s="74"/>
      <c r="BK136" s="7">
        <f t="shared" si="135"/>
        <v>0</v>
      </c>
      <c r="BL136" s="8">
        <f t="shared" si="84"/>
        <v>0</v>
      </c>
      <c r="BM136" s="51" t="str">
        <f>IFERROR(VLOOKUP(A136,NF!$M:$O,3,0),"")</f>
        <v>Carnes</v>
      </c>
      <c r="BN136" s="7">
        <f t="shared" si="85"/>
        <v>0</v>
      </c>
      <c r="BO136" s="8">
        <f t="array" ref="BO136">IFERROR(LARGE(IF(NF!$G$2:$G$3137='Mês atual'!A136,NF!$J$2:$J$3137),1),0)*BN136</f>
        <v>0</v>
      </c>
      <c r="BP136" s="50"/>
      <c r="BR136" s="147">
        <f t="array" ref="BR136">IFERROR(LARGE(IF(NF!$G$2:$G$3137='Mês atual'!A136,NF!$J$2:$J$3137),1),0)</f>
        <v>0</v>
      </c>
      <c r="BS136" s="143" t="str">
        <f>VLOOKUP(A136,NF!M:O,3,0)</f>
        <v>Carnes</v>
      </c>
    </row>
    <row r="137" spans="1:71" x14ac:dyDescent="0.25">
      <c r="A137" s="108" t="s">
        <v>604</v>
      </c>
      <c r="B137" s="12"/>
      <c r="C137" s="9">
        <v>23.5</v>
      </c>
      <c r="D137" s="25"/>
      <c r="E137" s="10" t="str">
        <f t="shared" si="70"/>
        <v>OutubroSEMANA 1Pescados - Dourado Fresco</v>
      </c>
      <c r="F137" s="7">
        <f>SUMIF(NF!$A:$A,$E137,NF!$I:$I)</f>
        <v>0</v>
      </c>
      <c r="G137" s="6">
        <v>23.5</v>
      </c>
      <c r="H137" s="6"/>
      <c r="I137" s="6"/>
      <c r="J137" s="6"/>
      <c r="K137" s="6"/>
      <c r="L137" s="6"/>
      <c r="M137" s="6"/>
      <c r="N137" s="7">
        <f t="shared" si="131"/>
        <v>23.5</v>
      </c>
      <c r="O137" s="11">
        <f t="shared" ref="O137:O194" si="136">F137+C137-N137</f>
        <v>0</v>
      </c>
      <c r="P137" s="25"/>
      <c r="Q137" s="10" t="str">
        <f t="shared" si="73"/>
        <v>OutubroSEMANA 2Pescados - Dourado Fresco</v>
      </c>
      <c r="R137" s="7">
        <f>SUMIF(NF!$A:$A,$Q137,NF!$I:$I)</f>
        <v>0</v>
      </c>
      <c r="S137" s="6"/>
      <c r="T137" s="6"/>
      <c r="U137" s="6"/>
      <c r="V137" s="6"/>
      <c r="W137" s="6"/>
      <c r="X137" s="6"/>
      <c r="Y137" s="6"/>
      <c r="Z137" s="7">
        <f t="shared" si="132"/>
        <v>0</v>
      </c>
      <c r="AA137" s="11">
        <f t="shared" ref="AA137:AA194" si="137">R137+O137-Z137</f>
        <v>0</v>
      </c>
      <c r="AB137" s="25"/>
      <c r="AC137" s="10" t="str">
        <f t="shared" si="76"/>
        <v>OutubroSEMANA 3Pescados - Dourado Fresco</v>
      </c>
      <c r="AD137" s="7">
        <f>SUMIF(NF!$A:$A,$AC137,NF!$I:$I)</f>
        <v>0</v>
      </c>
      <c r="AE137" s="6"/>
      <c r="AF137" s="6"/>
      <c r="AG137" s="6"/>
      <c r="AH137" s="6"/>
      <c r="AI137" s="6"/>
      <c r="AJ137" s="6"/>
      <c r="AK137" s="6"/>
      <c r="AL137" s="7">
        <f t="shared" si="133"/>
        <v>0</v>
      </c>
      <c r="AM137" s="11">
        <f t="shared" ref="AM137:AM194" si="138">AD137+AA137-AL137</f>
        <v>0</v>
      </c>
      <c r="AN137" s="25"/>
      <c r="AO137" s="10" t="str">
        <f t="shared" si="79"/>
        <v>OutubroSEMANA 4Pescados - Dourado Fresco</v>
      </c>
      <c r="AP137" s="7">
        <f>SUMIF(NF!$A:$A,$AO137,NF!$I:$I)</f>
        <v>0</v>
      </c>
      <c r="AQ137" s="6"/>
      <c r="AR137" s="6"/>
      <c r="AS137" s="6"/>
      <c r="AT137" s="6"/>
      <c r="AU137" s="6"/>
      <c r="AV137" s="6"/>
      <c r="AW137" s="6"/>
      <c r="AX137" s="7">
        <f t="shared" si="134"/>
        <v>0</v>
      </c>
      <c r="AY137" s="11">
        <f t="shared" ref="AY137:AY194" si="139">AP137+AM137-AX137</f>
        <v>0</v>
      </c>
      <c r="AZ137" s="25"/>
      <c r="BA137" s="10" t="str">
        <f t="shared" si="82"/>
        <v>OutubroSEMANA 5Pescados - Dourado Fresco</v>
      </c>
      <c r="BB137" s="7">
        <f>SUMIF(NF!$A:$A,$BA137,NF!$I:$I)</f>
        <v>0</v>
      </c>
      <c r="BC137" s="6"/>
      <c r="BD137" s="6"/>
      <c r="BE137" s="6"/>
      <c r="BF137" s="74"/>
      <c r="BG137" s="74"/>
      <c r="BH137" s="74"/>
      <c r="BI137" s="74"/>
      <c r="BJ137" s="74"/>
      <c r="BK137" s="7">
        <f t="shared" si="135"/>
        <v>0</v>
      </c>
      <c r="BL137" s="8">
        <f t="shared" ref="BL137:BL194" si="140">BB137+AY137-BK137</f>
        <v>0</v>
      </c>
      <c r="BM137" s="51" t="str">
        <f>IFERROR(VLOOKUP(A137,NF!$M:$O,3,0),"")</f>
        <v>Carnes</v>
      </c>
      <c r="BN137" s="7">
        <f t="shared" ref="BN137:BN194" si="141">SUM(N137,Z137,AL137,AX137,BK137)</f>
        <v>23.5</v>
      </c>
      <c r="BO137" s="8">
        <f t="array" ref="BO137">IFERROR(LARGE(IF(NF!$G$2:$G$3137='Mês atual'!A137,NF!$J$2:$J$3137),1),0)*BN137</f>
        <v>0</v>
      </c>
      <c r="BP137" s="50"/>
      <c r="BR137" s="147">
        <f t="array" ref="BR137">IFERROR(LARGE(IF(NF!$G$2:$G$3137='Mês atual'!A137,NF!$J$2:$J$3137),1),0)</f>
        <v>0</v>
      </c>
      <c r="BS137" s="143" t="str">
        <f>VLOOKUP(A137,NF!M:O,3,0)</f>
        <v>Carnes</v>
      </c>
    </row>
    <row r="138" spans="1:71" x14ac:dyDescent="0.25">
      <c r="A138" s="108" t="s">
        <v>606</v>
      </c>
      <c r="B138" s="12"/>
      <c r="C138" s="9"/>
      <c r="D138" s="25"/>
      <c r="E138" s="10" t="str">
        <f t="shared" si="70"/>
        <v>OutubroSEMANA 1Pescados - Filé de Pescada</v>
      </c>
      <c r="F138" s="7">
        <f>SUMIF(NF!$A:$A,$E138,NF!$I:$I)</f>
        <v>0</v>
      </c>
      <c r="G138" s="6"/>
      <c r="H138" s="6"/>
      <c r="I138" s="6"/>
      <c r="J138" s="6"/>
      <c r="K138" s="6"/>
      <c r="L138" s="6"/>
      <c r="M138" s="6"/>
      <c r="N138" s="7">
        <f t="shared" si="131"/>
        <v>0</v>
      </c>
      <c r="O138" s="11">
        <f t="shared" si="136"/>
        <v>0</v>
      </c>
      <c r="P138" s="25"/>
      <c r="Q138" s="10" t="str">
        <f t="shared" si="73"/>
        <v>OutubroSEMANA 2Pescados - Filé de Pescada</v>
      </c>
      <c r="R138" s="7">
        <f>SUMIF(NF!$A:$A,$Q138,NF!$I:$I)</f>
        <v>0</v>
      </c>
      <c r="S138" s="6"/>
      <c r="T138" s="6"/>
      <c r="U138" s="6"/>
      <c r="V138" s="6"/>
      <c r="W138" s="6"/>
      <c r="X138" s="6"/>
      <c r="Y138" s="6"/>
      <c r="Z138" s="7">
        <f t="shared" si="132"/>
        <v>0</v>
      </c>
      <c r="AA138" s="11">
        <f t="shared" si="137"/>
        <v>0</v>
      </c>
      <c r="AB138" s="25"/>
      <c r="AC138" s="10" t="str">
        <f t="shared" si="76"/>
        <v>OutubroSEMANA 3Pescados - Filé de Pescada</v>
      </c>
      <c r="AD138" s="7">
        <f>SUMIF(NF!$A:$A,$AC138,NF!$I:$I)</f>
        <v>0</v>
      </c>
      <c r="AE138" s="6"/>
      <c r="AF138" s="6"/>
      <c r="AG138" s="6"/>
      <c r="AH138" s="6"/>
      <c r="AI138" s="6"/>
      <c r="AJ138" s="6"/>
      <c r="AK138" s="6"/>
      <c r="AL138" s="7">
        <f t="shared" si="133"/>
        <v>0</v>
      </c>
      <c r="AM138" s="11">
        <f t="shared" si="138"/>
        <v>0</v>
      </c>
      <c r="AN138" s="25"/>
      <c r="AO138" s="10" t="str">
        <f t="shared" si="79"/>
        <v>OutubroSEMANA 4Pescados - Filé de Pescada</v>
      </c>
      <c r="AP138" s="7">
        <f>SUMIF(NF!$A:$A,$AO138,NF!$I:$I)</f>
        <v>0</v>
      </c>
      <c r="AQ138" s="6"/>
      <c r="AR138" s="6"/>
      <c r="AS138" s="6"/>
      <c r="AT138" s="6"/>
      <c r="AU138" s="6"/>
      <c r="AV138" s="6"/>
      <c r="AW138" s="6"/>
      <c r="AX138" s="7">
        <f t="shared" si="134"/>
        <v>0</v>
      </c>
      <c r="AY138" s="11">
        <f t="shared" si="139"/>
        <v>0</v>
      </c>
      <c r="AZ138" s="25"/>
      <c r="BA138" s="10" t="str">
        <f t="shared" si="82"/>
        <v>OutubroSEMANA 5Pescados - Filé de Pescada</v>
      </c>
      <c r="BB138" s="7">
        <f>SUMIF(NF!$A:$A,$BA138,NF!$I:$I)</f>
        <v>0</v>
      </c>
      <c r="BC138" s="6"/>
      <c r="BD138" s="6"/>
      <c r="BE138" s="6"/>
      <c r="BF138" s="74"/>
      <c r="BG138" s="74"/>
      <c r="BH138" s="74"/>
      <c r="BI138" s="74"/>
      <c r="BJ138" s="74"/>
      <c r="BK138" s="7">
        <f t="shared" si="135"/>
        <v>0</v>
      </c>
      <c r="BL138" s="8">
        <f t="shared" si="140"/>
        <v>0</v>
      </c>
      <c r="BM138" s="51" t="str">
        <f>IFERROR(VLOOKUP(A138,NF!$M:$O,3,0),"")</f>
        <v>Carnes</v>
      </c>
      <c r="BN138" s="7">
        <f t="shared" si="141"/>
        <v>0</v>
      </c>
      <c r="BO138" s="8">
        <f t="array" ref="BO138">IFERROR(LARGE(IF(NF!$G$2:$G$3137='Mês atual'!A138,NF!$J$2:$J$3137),1),0)*BN138</f>
        <v>0</v>
      </c>
      <c r="BP138" s="50"/>
      <c r="BR138" s="147">
        <f t="array" ref="BR138">IFERROR(LARGE(IF(NF!$G$2:$G$3137='Mês atual'!A138,NF!$J$2:$J$3137),1),0)</f>
        <v>0</v>
      </c>
      <c r="BS138" s="143" t="str">
        <f>VLOOKUP(A138,NF!M:O,3,0)</f>
        <v>Carnes</v>
      </c>
    </row>
    <row r="139" spans="1:71" x14ac:dyDescent="0.25">
      <c r="A139" s="108" t="s">
        <v>607</v>
      </c>
      <c r="B139" s="12"/>
      <c r="C139" s="9">
        <v>8</v>
      </c>
      <c r="D139" s="25"/>
      <c r="E139" s="10" t="str">
        <f t="shared" si="70"/>
        <v>OutubroSEMANA 1Pescados - Filé Linguado Cong. G</v>
      </c>
      <c r="F139" s="7">
        <f>SUMIF(NF!$A:$A,$E139,NF!$I:$I)</f>
        <v>40</v>
      </c>
      <c r="G139" s="6"/>
      <c r="H139" s="6"/>
      <c r="I139" s="6">
        <v>30</v>
      </c>
      <c r="J139" s="6"/>
      <c r="K139" s="6"/>
      <c r="L139" s="6"/>
      <c r="M139" s="6"/>
      <c r="N139" s="7">
        <f t="shared" si="131"/>
        <v>30</v>
      </c>
      <c r="O139" s="11">
        <f t="shared" si="136"/>
        <v>18</v>
      </c>
      <c r="P139" s="25"/>
      <c r="Q139" s="10" t="str">
        <f t="shared" si="73"/>
        <v>OutubroSEMANA 2Pescados - Filé Linguado Cong. G</v>
      </c>
      <c r="R139" s="7">
        <f>SUMIF(NF!$A:$A,$Q139,NF!$I:$I)</f>
        <v>90</v>
      </c>
      <c r="S139" s="6"/>
      <c r="T139" s="6"/>
      <c r="U139" s="6">
        <f>30+8</f>
        <v>38</v>
      </c>
      <c r="V139" s="6"/>
      <c r="W139" s="6"/>
      <c r="X139" s="6"/>
      <c r="Y139" s="6">
        <v>24</v>
      </c>
      <c r="Z139" s="7">
        <f t="shared" si="132"/>
        <v>62</v>
      </c>
      <c r="AA139" s="11">
        <f t="shared" si="137"/>
        <v>46</v>
      </c>
      <c r="AB139" s="25"/>
      <c r="AC139" s="10" t="str">
        <f t="shared" si="76"/>
        <v>OutubroSEMANA 3Pescados - Filé Linguado Cong. G</v>
      </c>
      <c r="AD139" s="7">
        <f>SUMIF(NF!$A:$A,$AC139,NF!$I:$I)</f>
        <v>0</v>
      </c>
      <c r="AE139" s="6"/>
      <c r="AF139" s="6"/>
      <c r="AG139" s="6">
        <v>32</v>
      </c>
      <c r="AH139" s="6"/>
      <c r="AI139" s="6"/>
      <c r="AJ139" s="6"/>
      <c r="AK139" s="6"/>
      <c r="AL139" s="7">
        <f t="shared" si="133"/>
        <v>32</v>
      </c>
      <c r="AM139" s="11">
        <f t="shared" si="138"/>
        <v>14</v>
      </c>
      <c r="AN139" s="25"/>
      <c r="AO139" s="10" t="str">
        <f t="shared" si="79"/>
        <v>OutubroSEMANA 4Pescados - Filé Linguado Cong. G</v>
      </c>
      <c r="AP139" s="7">
        <f>SUMIF(NF!$A:$A,$AO139,NF!$I:$I)</f>
        <v>30</v>
      </c>
      <c r="AQ139" s="6"/>
      <c r="AR139" s="6"/>
      <c r="AS139" s="6"/>
      <c r="AT139" s="6"/>
      <c r="AU139" s="6">
        <v>32</v>
      </c>
      <c r="AV139" s="6"/>
      <c r="AW139" s="6"/>
      <c r="AX139" s="7">
        <f t="shared" si="134"/>
        <v>32</v>
      </c>
      <c r="AY139" s="11">
        <f t="shared" si="139"/>
        <v>12</v>
      </c>
      <c r="AZ139" s="25"/>
      <c r="BA139" s="10" t="str">
        <f t="shared" si="82"/>
        <v>OutubroSEMANA 5Pescados - Filé Linguado Cong. G</v>
      </c>
      <c r="BB139" s="7">
        <f>SUMIF(NF!$A:$A,$BA139,NF!$I:$I)</f>
        <v>0</v>
      </c>
      <c r="BC139" s="6"/>
      <c r="BD139" s="6"/>
      <c r="BE139" s="6"/>
      <c r="BF139" s="74"/>
      <c r="BG139" s="74"/>
      <c r="BH139" s="74"/>
      <c r="BI139" s="74"/>
      <c r="BJ139" s="74"/>
      <c r="BK139" s="7">
        <f t="shared" si="135"/>
        <v>0</v>
      </c>
      <c r="BL139" s="8">
        <f t="shared" si="140"/>
        <v>12</v>
      </c>
      <c r="BM139" s="51" t="str">
        <f>IFERROR(VLOOKUP(A139,NF!$M:$O,3,0),"")</f>
        <v>Carnes</v>
      </c>
      <c r="BN139" s="7">
        <f t="shared" si="141"/>
        <v>156</v>
      </c>
      <c r="BO139" s="8">
        <f t="array" ref="BO139">IFERROR(LARGE(IF(NF!$G$2:$G$3137='Mês atual'!A139,NF!$J$2:$J$3137),1),0)*BN139</f>
        <v>6552</v>
      </c>
      <c r="BP139" s="50"/>
      <c r="BR139" s="147">
        <f t="array" ref="BR139">IFERROR(LARGE(IF(NF!$G$2:$G$3137='Mês atual'!A139,NF!$J$2:$J$3137),1),0)</f>
        <v>42</v>
      </c>
      <c r="BS139" s="143" t="str">
        <f>VLOOKUP(A139,NF!M:O,3,0)</f>
        <v>Carnes</v>
      </c>
    </row>
    <row r="140" spans="1:71" x14ac:dyDescent="0.25">
      <c r="A140" s="108" t="s">
        <v>608</v>
      </c>
      <c r="B140" s="12"/>
      <c r="C140" s="9">
        <v>24</v>
      </c>
      <c r="D140" s="25"/>
      <c r="E140" s="10" t="str">
        <f t="shared" si="70"/>
        <v>OutubroSEMANA 1Pescados - Filé Linguado Cong. M</v>
      </c>
      <c r="F140" s="7">
        <f>SUMIF(NF!$A:$A,$E140,NF!$I:$I)</f>
        <v>0</v>
      </c>
      <c r="G140" s="6"/>
      <c r="H140" s="6">
        <v>24</v>
      </c>
      <c r="I140" s="6"/>
      <c r="J140" s="6"/>
      <c r="K140" s="6"/>
      <c r="L140" s="6"/>
      <c r="M140" s="6"/>
      <c r="N140" s="7">
        <f t="shared" si="131"/>
        <v>24</v>
      </c>
      <c r="O140" s="11">
        <f t="shared" si="136"/>
        <v>0</v>
      </c>
      <c r="P140" s="25"/>
      <c r="Q140" s="10" t="str">
        <f t="shared" si="73"/>
        <v>OutubroSEMANA 2Pescados - Filé Linguado Cong. M</v>
      </c>
      <c r="R140" s="7">
        <f>SUMIF(NF!$A:$A,$Q140,NF!$I:$I)</f>
        <v>20</v>
      </c>
      <c r="S140" s="6"/>
      <c r="T140" s="6"/>
      <c r="U140" s="6"/>
      <c r="V140" s="6"/>
      <c r="W140" s="6"/>
      <c r="X140" s="6"/>
      <c r="Y140" s="6"/>
      <c r="Z140" s="7">
        <f t="shared" si="132"/>
        <v>0</v>
      </c>
      <c r="AA140" s="11">
        <f t="shared" si="137"/>
        <v>20</v>
      </c>
      <c r="AB140" s="25"/>
      <c r="AC140" s="10" t="str">
        <f t="shared" si="76"/>
        <v>OutubroSEMANA 3Pescados - Filé Linguado Cong. M</v>
      </c>
      <c r="AD140" s="7">
        <f>SUMIF(NF!$A:$A,$AC140,NF!$I:$I)</f>
        <v>0</v>
      </c>
      <c r="AE140" s="6"/>
      <c r="AF140" s="6">
        <v>14</v>
      </c>
      <c r="AG140" s="6"/>
      <c r="AH140" s="6"/>
      <c r="AI140" s="6"/>
      <c r="AJ140" s="6"/>
      <c r="AK140" s="6"/>
      <c r="AL140" s="7">
        <f t="shared" si="133"/>
        <v>14</v>
      </c>
      <c r="AM140" s="11">
        <f t="shared" si="138"/>
        <v>6</v>
      </c>
      <c r="AN140" s="25"/>
      <c r="AO140" s="10" t="str">
        <f t="shared" si="79"/>
        <v>OutubroSEMANA 4Pescados - Filé Linguado Cong. M</v>
      </c>
      <c r="AP140" s="7">
        <f>SUMIF(NF!$A:$A,$AO140,NF!$I:$I)</f>
        <v>30</v>
      </c>
      <c r="AQ140" s="6"/>
      <c r="AR140" s="6"/>
      <c r="AS140" s="6">
        <v>16</v>
      </c>
      <c r="AT140" s="6"/>
      <c r="AU140" s="6"/>
      <c r="AV140" s="6"/>
      <c r="AW140" s="6"/>
      <c r="AX140" s="7">
        <f t="shared" si="134"/>
        <v>16</v>
      </c>
      <c r="AY140" s="11">
        <f t="shared" si="139"/>
        <v>20</v>
      </c>
      <c r="AZ140" s="25"/>
      <c r="BA140" s="10" t="str">
        <f t="shared" si="82"/>
        <v>OutubroSEMANA 5Pescados - Filé Linguado Cong. M</v>
      </c>
      <c r="BB140" s="7">
        <f>SUMIF(NF!$A:$A,$BA140,NF!$I:$I)</f>
        <v>0</v>
      </c>
      <c r="BC140" s="6"/>
      <c r="BD140" s="6">
        <v>20</v>
      </c>
      <c r="BE140" s="6"/>
      <c r="BF140" s="74"/>
      <c r="BG140" s="74"/>
      <c r="BH140" s="74"/>
      <c r="BI140" s="74"/>
      <c r="BJ140" s="74"/>
      <c r="BK140" s="7">
        <f t="shared" si="135"/>
        <v>20</v>
      </c>
      <c r="BL140" s="8">
        <f t="shared" si="140"/>
        <v>0</v>
      </c>
      <c r="BM140" s="51" t="str">
        <f>IFERROR(VLOOKUP(A140,NF!$M:$O,3,0),"")</f>
        <v>Carnes</v>
      </c>
      <c r="BN140" s="7">
        <f t="shared" si="141"/>
        <v>74</v>
      </c>
      <c r="BO140" s="8">
        <f t="array" ref="BO140">IFERROR(LARGE(IF(NF!$G$2:$G$3137='Mês atual'!A140,NF!$J$2:$J$3137),1),0)*BN140</f>
        <v>2146</v>
      </c>
      <c r="BP140" s="50"/>
      <c r="BR140" s="147">
        <f t="array" ref="BR140">IFERROR(LARGE(IF(NF!$G$2:$G$3137='Mês atual'!A140,NF!$J$2:$J$3137),1),0)</f>
        <v>29</v>
      </c>
      <c r="BS140" s="143" t="str">
        <f>VLOOKUP(A140,NF!M:O,3,0)</f>
        <v>Carnes</v>
      </c>
    </row>
    <row r="141" spans="1:71" x14ac:dyDescent="0.25">
      <c r="A141" s="108" t="s">
        <v>609</v>
      </c>
      <c r="B141" s="12"/>
      <c r="C141" s="9"/>
      <c r="D141" s="25"/>
      <c r="E141" s="10" t="str">
        <f t="shared" si="70"/>
        <v>OutubroSEMANA 1Pescados - Filé Pescada Branca Cong.</v>
      </c>
      <c r="F141" s="7">
        <f>SUMIF(NF!$A:$A,$E141,NF!$I:$I)</f>
        <v>0</v>
      </c>
      <c r="G141" s="6"/>
      <c r="H141" s="6"/>
      <c r="I141" s="6"/>
      <c r="J141" s="6"/>
      <c r="K141" s="6"/>
      <c r="L141" s="6"/>
      <c r="M141" s="6"/>
      <c r="N141" s="7">
        <f t="shared" si="131"/>
        <v>0</v>
      </c>
      <c r="O141" s="11">
        <f t="shared" si="136"/>
        <v>0</v>
      </c>
      <c r="P141" s="25"/>
      <c r="Q141" s="10" t="str">
        <f t="shared" si="73"/>
        <v>OutubroSEMANA 2Pescados - Filé Pescada Branca Cong.</v>
      </c>
      <c r="R141" s="7">
        <f>SUMIF(NF!$A:$A,$Q141,NF!$I:$I)</f>
        <v>0</v>
      </c>
      <c r="S141" s="6"/>
      <c r="T141" s="6"/>
      <c r="U141" s="6"/>
      <c r="V141" s="6"/>
      <c r="W141" s="6"/>
      <c r="X141" s="6"/>
      <c r="Y141" s="6"/>
      <c r="Z141" s="7">
        <f t="shared" si="132"/>
        <v>0</v>
      </c>
      <c r="AA141" s="11">
        <f t="shared" si="137"/>
        <v>0</v>
      </c>
      <c r="AB141" s="25"/>
      <c r="AC141" s="10" t="str">
        <f t="shared" si="76"/>
        <v>OutubroSEMANA 3Pescados - Filé Pescada Branca Cong.</v>
      </c>
      <c r="AD141" s="7">
        <f>SUMIF(NF!$A:$A,$AC141,NF!$I:$I)</f>
        <v>0</v>
      </c>
      <c r="AE141" s="6"/>
      <c r="AF141" s="6"/>
      <c r="AG141" s="6"/>
      <c r="AH141" s="6"/>
      <c r="AI141" s="6"/>
      <c r="AJ141" s="6"/>
      <c r="AK141" s="6"/>
      <c r="AL141" s="7">
        <f t="shared" si="133"/>
        <v>0</v>
      </c>
      <c r="AM141" s="11">
        <f t="shared" si="138"/>
        <v>0</v>
      </c>
      <c r="AN141" s="25"/>
      <c r="AO141" s="10" t="str">
        <f t="shared" si="79"/>
        <v>OutubroSEMANA 4Pescados - Filé Pescada Branca Cong.</v>
      </c>
      <c r="AP141" s="7">
        <f>SUMIF(NF!$A:$A,$AO141,NF!$I:$I)</f>
        <v>0</v>
      </c>
      <c r="AQ141" s="6"/>
      <c r="AR141" s="6"/>
      <c r="AS141" s="6"/>
      <c r="AT141" s="6"/>
      <c r="AU141" s="6"/>
      <c r="AV141" s="6"/>
      <c r="AW141" s="6"/>
      <c r="AX141" s="7">
        <f t="shared" si="134"/>
        <v>0</v>
      </c>
      <c r="AY141" s="11">
        <f t="shared" si="139"/>
        <v>0</v>
      </c>
      <c r="AZ141" s="25"/>
      <c r="BA141" s="10" t="str">
        <f t="shared" si="82"/>
        <v>OutubroSEMANA 5Pescados - Filé Pescada Branca Cong.</v>
      </c>
      <c r="BB141" s="7">
        <f>SUMIF(NF!$A:$A,$BA141,NF!$I:$I)</f>
        <v>0</v>
      </c>
      <c r="BC141" s="6"/>
      <c r="BD141" s="6"/>
      <c r="BE141" s="6"/>
      <c r="BF141" s="74"/>
      <c r="BG141" s="74"/>
      <c r="BH141" s="74"/>
      <c r="BI141" s="74"/>
      <c r="BJ141" s="74"/>
      <c r="BK141" s="7">
        <f t="shared" si="135"/>
        <v>0</v>
      </c>
      <c r="BL141" s="8">
        <f t="shared" si="140"/>
        <v>0</v>
      </c>
      <c r="BM141" s="51" t="str">
        <f>IFERROR(VLOOKUP(A141,NF!$M:$O,3,0),"")</f>
        <v>Carnes</v>
      </c>
      <c r="BN141" s="7">
        <f t="shared" si="141"/>
        <v>0</v>
      </c>
      <c r="BO141" s="8">
        <f t="array" ref="BO141">IFERROR(LARGE(IF(NF!$G$2:$G$3137='Mês atual'!A141,NF!$J$2:$J$3137),1),0)*BN141</f>
        <v>0</v>
      </c>
      <c r="BP141" s="50"/>
      <c r="BR141" s="147">
        <f t="array" ref="BR141">IFERROR(LARGE(IF(NF!$G$2:$G$3137='Mês atual'!A141,NF!$J$2:$J$3137),1),0)</f>
        <v>0</v>
      </c>
      <c r="BS141" s="143" t="str">
        <f>VLOOKUP(A141,NF!M:O,3,0)</f>
        <v>Carnes</v>
      </c>
    </row>
    <row r="142" spans="1:71" x14ac:dyDescent="0.25">
      <c r="A142" s="108" t="s">
        <v>610</v>
      </c>
      <c r="B142" s="12"/>
      <c r="C142" s="9"/>
      <c r="D142" s="25"/>
      <c r="E142" s="10" t="str">
        <f t="shared" si="70"/>
        <v>OutubroSEMANA 1Pescados - Filé Pintado</v>
      </c>
      <c r="F142" s="7">
        <f>SUMIF(NF!$A:$A,$E142,NF!$I:$I)</f>
        <v>0</v>
      </c>
      <c r="G142" s="6"/>
      <c r="H142" s="6"/>
      <c r="I142" s="6"/>
      <c r="J142" s="6"/>
      <c r="K142" s="6"/>
      <c r="L142" s="6"/>
      <c r="M142" s="6"/>
      <c r="N142" s="7">
        <f t="shared" si="131"/>
        <v>0</v>
      </c>
      <c r="O142" s="11">
        <f t="shared" si="136"/>
        <v>0</v>
      </c>
      <c r="P142" s="25"/>
      <c r="Q142" s="10" t="str">
        <f t="shared" si="73"/>
        <v>OutubroSEMANA 2Pescados - Filé Pintado</v>
      </c>
      <c r="R142" s="7">
        <f>SUMIF(NF!$A:$A,$Q142,NF!$I:$I)</f>
        <v>0</v>
      </c>
      <c r="S142" s="6"/>
      <c r="T142" s="6"/>
      <c r="U142" s="6"/>
      <c r="V142" s="6"/>
      <c r="W142" s="6"/>
      <c r="X142" s="6"/>
      <c r="Y142" s="6"/>
      <c r="Z142" s="7">
        <f t="shared" si="132"/>
        <v>0</v>
      </c>
      <c r="AA142" s="11">
        <f t="shared" si="137"/>
        <v>0</v>
      </c>
      <c r="AB142" s="25"/>
      <c r="AC142" s="10" t="str">
        <f t="shared" si="76"/>
        <v>OutubroSEMANA 3Pescados - Filé Pintado</v>
      </c>
      <c r="AD142" s="7">
        <f>SUMIF(NF!$A:$A,$AC142,NF!$I:$I)</f>
        <v>0</v>
      </c>
      <c r="AE142" s="6"/>
      <c r="AF142" s="6"/>
      <c r="AG142" s="6"/>
      <c r="AH142" s="6"/>
      <c r="AI142" s="6"/>
      <c r="AJ142" s="6"/>
      <c r="AK142" s="6"/>
      <c r="AL142" s="7">
        <f t="shared" si="133"/>
        <v>0</v>
      </c>
      <c r="AM142" s="11">
        <f t="shared" si="138"/>
        <v>0</v>
      </c>
      <c r="AN142" s="25"/>
      <c r="AO142" s="10" t="str">
        <f t="shared" si="79"/>
        <v>OutubroSEMANA 4Pescados - Filé Pintado</v>
      </c>
      <c r="AP142" s="7">
        <f>SUMIF(NF!$A:$A,$AO142,NF!$I:$I)</f>
        <v>0</v>
      </c>
      <c r="AQ142" s="6"/>
      <c r="AR142" s="6"/>
      <c r="AS142" s="6"/>
      <c r="AT142" s="6"/>
      <c r="AU142" s="6"/>
      <c r="AV142" s="6"/>
      <c r="AW142" s="6"/>
      <c r="AX142" s="7">
        <f t="shared" si="134"/>
        <v>0</v>
      </c>
      <c r="AY142" s="11">
        <f t="shared" si="139"/>
        <v>0</v>
      </c>
      <c r="AZ142" s="25"/>
      <c r="BA142" s="10" t="str">
        <f t="shared" si="82"/>
        <v>OutubroSEMANA 5Pescados - Filé Pintado</v>
      </c>
      <c r="BB142" s="7">
        <f>SUMIF(NF!$A:$A,$BA142,NF!$I:$I)</f>
        <v>0</v>
      </c>
      <c r="BC142" s="6"/>
      <c r="BD142" s="6"/>
      <c r="BE142" s="6"/>
      <c r="BF142" s="74"/>
      <c r="BG142" s="74"/>
      <c r="BH142" s="74"/>
      <c r="BI142" s="74"/>
      <c r="BJ142" s="74"/>
      <c r="BK142" s="7">
        <f t="shared" si="135"/>
        <v>0</v>
      </c>
      <c r="BL142" s="8">
        <f t="shared" si="140"/>
        <v>0</v>
      </c>
      <c r="BM142" s="51" t="str">
        <f>IFERROR(VLOOKUP(A142,NF!$M:$O,3,0),"")</f>
        <v>Carnes</v>
      </c>
      <c r="BN142" s="7">
        <f t="shared" si="141"/>
        <v>0</v>
      </c>
      <c r="BO142" s="8">
        <f t="array" ref="BO142">IFERROR(LARGE(IF(NF!$G$2:$G$3137='Mês atual'!A142,NF!$J$2:$J$3137),1),0)*BN142</f>
        <v>0</v>
      </c>
      <c r="BP142" s="50"/>
      <c r="BR142" s="147">
        <f t="array" ref="BR142">IFERROR(LARGE(IF(NF!$G$2:$G$3137='Mês atual'!A142,NF!$J$2:$J$3137),1),0)</f>
        <v>0</v>
      </c>
      <c r="BS142" s="143" t="str">
        <f>VLOOKUP(A142,NF!M:O,3,0)</f>
        <v>Carnes</v>
      </c>
    </row>
    <row r="143" spans="1:71" x14ac:dyDescent="0.25">
      <c r="A143" s="108" t="s">
        <v>611</v>
      </c>
      <c r="B143" s="12"/>
      <c r="C143" s="9"/>
      <c r="D143" s="25"/>
      <c r="E143" s="10" t="str">
        <f t="shared" si="70"/>
        <v>OutubroSEMANA 1Pescados - Filé Pirarucu Cong.</v>
      </c>
      <c r="F143" s="7">
        <f>SUMIF(NF!$A:$A,$E143,NF!$I:$I)</f>
        <v>0</v>
      </c>
      <c r="G143" s="6"/>
      <c r="H143" s="6"/>
      <c r="I143" s="6"/>
      <c r="J143" s="6"/>
      <c r="K143" s="6"/>
      <c r="L143" s="6"/>
      <c r="M143" s="6"/>
      <c r="N143" s="7">
        <f t="shared" ref="N143:N154" si="142">SUM(G143:M143)</f>
        <v>0</v>
      </c>
      <c r="O143" s="11">
        <f t="shared" si="136"/>
        <v>0</v>
      </c>
      <c r="P143" s="25"/>
      <c r="Q143" s="10" t="str">
        <f t="shared" si="73"/>
        <v>OutubroSEMANA 2Pescados - Filé Pirarucu Cong.</v>
      </c>
      <c r="R143" s="7">
        <f>SUMIF(NF!$A:$A,$Q143,NF!$I:$I)</f>
        <v>0</v>
      </c>
      <c r="S143" s="6"/>
      <c r="T143" s="6"/>
      <c r="U143" s="6"/>
      <c r="V143" s="6"/>
      <c r="W143" s="6"/>
      <c r="X143" s="6"/>
      <c r="Y143" s="6"/>
      <c r="Z143" s="7">
        <f t="shared" ref="Z143:Z154" si="143">SUM(S143:Y143)</f>
        <v>0</v>
      </c>
      <c r="AA143" s="11">
        <f t="shared" si="137"/>
        <v>0</v>
      </c>
      <c r="AB143" s="25"/>
      <c r="AC143" s="10" t="str">
        <f t="shared" si="76"/>
        <v>OutubroSEMANA 3Pescados - Filé Pirarucu Cong.</v>
      </c>
      <c r="AD143" s="7">
        <f>SUMIF(NF!$A:$A,$AC143,NF!$I:$I)</f>
        <v>0</v>
      </c>
      <c r="AE143" s="6"/>
      <c r="AF143" s="6"/>
      <c r="AG143" s="6"/>
      <c r="AH143" s="6"/>
      <c r="AI143" s="6"/>
      <c r="AJ143" s="6"/>
      <c r="AK143" s="6"/>
      <c r="AL143" s="7">
        <f t="shared" ref="AL143:AL154" si="144">SUM(AE143:AK143)</f>
        <v>0</v>
      </c>
      <c r="AM143" s="11">
        <f t="shared" si="138"/>
        <v>0</v>
      </c>
      <c r="AN143" s="25"/>
      <c r="AO143" s="10" t="str">
        <f t="shared" si="79"/>
        <v>OutubroSEMANA 4Pescados - Filé Pirarucu Cong.</v>
      </c>
      <c r="AP143" s="7">
        <f>SUMIF(NF!$A:$A,$AO143,NF!$I:$I)</f>
        <v>0</v>
      </c>
      <c r="AQ143" s="6"/>
      <c r="AR143" s="6"/>
      <c r="AS143" s="6"/>
      <c r="AT143" s="6"/>
      <c r="AU143" s="6"/>
      <c r="AV143" s="6"/>
      <c r="AW143" s="6"/>
      <c r="AX143" s="7">
        <f t="shared" ref="AX143:AX154" si="145">SUM(AQ143:AW143)</f>
        <v>0</v>
      </c>
      <c r="AY143" s="11">
        <f t="shared" si="139"/>
        <v>0</v>
      </c>
      <c r="AZ143" s="25"/>
      <c r="BA143" s="10" t="str">
        <f t="shared" si="82"/>
        <v>OutubroSEMANA 5Pescados - Filé Pirarucu Cong.</v>
      </c>
      <c r="BB143" s="7">
        <f>SUMIF(NF!$A:$A,$BA143,NF!$I:$I)</f>
        <v>0</v>
      </c>
      <c r="BC143" s="6"/>
      <c r="BD143" s="6"/>
      <c r="BE143" s="6"/>
      <c r="BF143" s="74"/>
      <c r="BG143" s="74"/>
      <c r="BH143" s="74"/>
      <c r="BI143" s="74"/>
      <c r="BJ143" s="74"/>
      <c r="BK143" s="7">
        <f t="shared" ref="BK143:BK154" si="146">SUM(BC143:BJ143)</f>
        <v>0</v>
      </c>
      <c r="BL143" s="8">
        <f t="shared" si="140"/>
        <v>0</v>
      </c>
      <c r="BM143" s="51" t="str">
        <f>IFERROR(VLOOKUP(A143,NF!$M:$O,3,0),"")</f>
        <v>Carnes</v>
      </c>
      <c r="BN143" s="7">
        <f t="shared" si="141"/>
        <v>0</v>
      </c>
      <c r="BO143" s="8">
        <f t="array" ref="BO143">IFERROR(LARGE(IF(NF!$G$2:$G$3137='Mês atual'!A143,NF!$J$2:$J$3137),1),0)*BN143</f>
        <v>0</v>
      </c>
      <c r="BP143" s="50"/>
      <c r="BR143" s="147">
        <f t="array" ref="BR143">IFERROR(LARGE(IF(NF!$G$2:$G$3137='Mês atual'!A143,NF!$J$2:$J$3137),1),0)</f>
        <v>0</v>
      </c>
      <c r="BS143" s="143" t="str">
        <f>VLOOKUP(A143,NF!M:O,3,0)</f>
        <v>Carnes</v>
      </c>
    </row>
    <row r="144" spans="1:71" x14ac:dyDescent="0.25">
      <c r="A144" s="108" t="s">
        <v>613</v>
      </c>
      <c r="B144" s="12"/>
      <c r="C144" s="9"/>
      <c r="D144" s="25"/>
      <c r="E144" s="10" t="str">
        <f t="shared" si="70"/>
        <v>OutubroSEMANA 1Pescados - Filé Surubim</v>
      </c>
      <c r="F144" s="7">
        <f>SUMIF(NF!$A:$A,$E144,NF!$I:$I)</f>
        <v>0</v>
      </c>
      <c r="G144" s="6"/>
      <c r="H144" s="6"/>
      <c r="I144" s="6"/>
      <c r="J144" s="6"/>
      <c r="K144" s="6"/>
      <c r="L144" s="6"/>
      <c r="M144" s="6"/>
      <c r="N144" s="7">
        <f t="shared" si="142"/>
        <v>0</v>
      </c>
      <c r="O144" s="11">
        <f t="shared" si="136"/>
        <v>0</v>
      </c>
      <c r="P144" s="25"/>
      <c r="Q144" s="10" t="str">
        <f t="shared" si="73"/>
        <v>OutubroSEMANA 2Pescados - Filé Surubim</v>
      </c>
      <c r="R144" s="7">
        <f>SUMIF(NF!$A:$A,$Q144,NF!$I:$I)</f>
        <v>0</v>
      </c>
      <c r="S144" s="6"/>
      <c r="T144" s="6"/>
      <c r="U144" s="6"/>
      <c r="V144" s="6"/>
      <c r="W144" s="6"/>
      <c r="X144" s="6"/>
      <c r="Y144" s="6"/>
      <c r="Z144" s="7">
        <f t="shared" si="143"/>
        <v>0</v>
      </c>
      <c r="AA144" s="11">
        <f t="shared" si="137"/>
        <v>0</v>
      </c>
      <c r="AB144" s="25"/>
      <c r="AC144" s="10" t="str">
        <f t="shared" si="76"/>
        <v>OutubroSEMANA 3Pescados - Filé Surubim</v>
      </c>
      <c r="AD144" s="7">
        <f>SUMIF(NF!$A:$A,$AC144,NF!$I:$I)</f>
        <v>0</v>
      </c>
      <c r="AE144" s="6"/>
      <c r="AF144" s="6"/>
      <c r="AG144" s="6"/>
      <c r="AH144" s="6"/>
      <c r="AI144" s="6"/>
      <c r="AJ144" s="6"/>
      <c r="AK144" s="6"/>
      <c r="AL144" s="7">
        <f t="shared" si="144"/>
        <v>0</v>
      </c>
      <c r="AM144" s="11">
        <f t="shared" si="138"/>
        <v>0</v>
      </c>
      <c r="AN144" s="25"/>
      <c r="AO144" s="10" t="str">
        <f t="shared" si="79"/>
        <v>OutubroSEMANA 4Pescados - Filé Surubim</v>
      </c>
      <c r="AP144" s="7">
        <f>SUMIF(NF!$A:$A,$AO144,NF!$I:$I)</f>
        <v>0</v>
      </c>
      <c r="AQ144" s="6"/>
      <c r="AR144" s="6"/>
      <c r="AS144" s="6"/>
      <c r="AT144" s="6"/>
      <c r="AU144" s="6"/>
      <c r="AV144" s="6"/>
      <c r="AW144" s="6"/>
      <c r="AX144" s="7">
        <f t="shared" si="145"/>
        <v>0</v>
      </c>
      <c r="AY144" s="11">
        <f t="shared" si="139"/>
        <v>0</v>
      </c>
      <c r="AZ144" s="25"/>
      <c r="BA144" s="10" t="str">
        <f t="shared" si="82"/>
        <v>OutubroSEMANA 5Pescados - Filé Surubim</v>
      </c>
      <c r="BB144" s="7">
        <f>SUMIF(NF!$A:$A,$BA144,NF!$I:$I)</f>
        <v>0</v>
      </c>
      <c r="BC144" s="6"/>
      <c r="BD144" s="6"/>
      <c r="BE144" s="6"/>
      <c r="BF144" s="74"/>
      <c r="BG144" s="74"/>
      <c r="BH144" s="74"/>
      <c r="BI144" s="74"/>
      <c r="BJ144" s="74"/>
      <c r="BK144" s="7">
        <f t="shared" si="146"/>
        <v>0</v>
      </c>
      <c r="BL144" s="8">
        <f t="shared" si="140"/>
        <v>0</v>
      </c>
      <c r="BM144" s="51" t="str">
        <f>IFERROR(VLOOKUP(A144,NF!$M:$O,3,0),"")</f>
        <v>Carnes</v>
      </c>
      <c r="BN144" s="7">
        <f t="shared" si="141"/>
        <v>0</v>
      </c>
      <c r="BO144" s="8">
        <f t="array" ref="BO144">IFERROR(LARGE(IF(NF!$G$2:$G$3137='Mês atual'!A144,NF!$J$2:$J$3137),1),0)*BN144</f>
        <v>0</v>
      </c>
      <c r="BP144" s="50"/>
      <c r="BR144" s="147">
        <f t="array" ref="BR144">IFERROR(LARGE(IF(NF!$G$2:$G$3137='Mês atual'!A144,NF!$J$2:$J$3137),1),0)</f>
        <v>0</v>
      </c>
      <c r="BS144" s="143" t="str">
        <f>VLOOKUP(A144,NF!M:O,3,0)</f>
        <v>Carnes</v>
      </c>
    </row>
    <row r="145" spans="1:71" x14ac:dyDescent="0.25">
      <c r="A145" s="108" t="s">
        <v>614</v>
      </c>
      <c r="B145" s="12"/>
      <c r="C145" s="9"/>
      <c r="D145" s="25"/>
      <c r="E145" s="10" t="str">
        <f t="shared" si="70"/>
        <v>OutubroSEMANA 1Pescados - Filé Tilápia Cong.</v>
      </c>
      <c r="F145" s="7">
        <f>SUMIF(NF!$A:$A,$E145,NF!$I:$I)</f>
        <v>40</v>
      </c>
      <c r="G145" s="6"/>
      <c r="H145" s="6"/>
      <c r="I145" s="6"/>
      <c r="J145" s="6">
        <f>20+1.102</f>
        <v>21.102</v>
      </c>
      <c r="K145" s="6"/>
      <c r="L145" s="6"/>
      <c r="M145" s="6">
        <f>1.096+16.465</f>
        <v>17.561</v>
      </c>
      <c r="N145" s="7">
        <f t="shared" si="142"/>
        <v>38.662999999999997</v>
      </c>
      <c r="O145" s="11">
        <f t="shared" si="136"/>
        <v>1.3370000000000033</v>
      </c>
      <c r="P145" s="25"/>
      <c r="Q145" s="10" t="str">
        <f t="shared" si="73"/>
        <v>OutubroSEMANA 2Pescados - Filé Tilápia Cong.</v>
      </c>
      <c r="R145" s="7">
        <f>SUMIF(NF!$A:$A,$Q145,NF!$I:$I)</f>
        <v>48</v>
      </c>
      <c r="S145" s="6"/>
      <c r="T145" s="6"/>
      <c r="U145" s="6"/>
      <c r="V145" s="6">
        <f>12+4</f>
        <v>16</v>
      </c>
      <c r="W145" s="6"/>
      <c r="X145" s="6">
        <v>16</v>
      </c>
      <c r="Y145" s="6"/>
      <c r="Z145" s="7">
        <f t="shared" si="143"/>
        <v>32</v>
      </c>
      <c r="AA145" s="11">
        <f t="shared" si="137"/>
        <v>17.337000000000003</v>
      </c>
      <c r="AB145" s="25"/>
      <c r="AC145" s="10" t="str">
        <f t="shared" si="76"/>
        <v>OutubroSEMANA 3Pescados - Filé Tilápia Cong.</v>
      </c>
      <c r="AD145" s="7">
        <f>SUMIF(NF!$A:$A,$AC145,NF!$I:$I)</f>
        <v>40</v>
      </c>
      <c r="AE145" s="6"/>
      <c r="AF145" s="6"/>
      <c r="AG145" s="6"/>
      <c r="AH145" s="6"/>
      <c r="AI145" s="6">
        <f>20+4</f>
        <v>24</v>
      </c>
      <c r="AJ145" s="6"/>
      <c r="AK145" s="6"/>
      <c r="AL145" s="7">
        <f t="shared" si="144"/>
        <v>24</v>
      </c>
      <c r="AM145" s="11">
        <f t="shared" si="138"/>
        <v>33.337000000000003</v>
      </c>
      <c r="AN145" s="25"/>
      <c r="AO145" s="10" t="str">
        <f t="shared" si="79"/>
        <v>OutubroSEMANA 4Pescados - Filé Tilápia Cong.</v>
      </c>
      <c r="AP145" s="7">
        <f>SUMIF(NF!$A:$A,$AO145,NF!$I:$I)</f>
        <v>40</v>
      </c>
      <c r="AQ145" s="6"/>
      <c r="AR145" s="6">
        <v>15</v>
      </c>
      <c r="AS145" s="6"/>
      <c r="AT145" s="6"/>
      <c r="AU145" s="6"/>
      <c r="AV145" s="6">
        <v>15</v>
      </c>
      <c r="AW145" s="6"/>
      <c r="AX145" s="7">
        <f t="shared" si="145"/>
        <v>30</v>
      </c>
      <c r="AY145" s="11">
        <f t="shared" si="139"/>
        <v>43.337000000000003</v>
      </c>
      <c r="AZ145" s="25"/>
      <c r="BA145" s="10" t="str">
        <f t="shared" si="82"/>
        <v>OutubroSEMANA 5Pescados - Filé Tilápia Cong.</v>
      </c>
      <c r="BB145" s="7">
        <f>SUMIF(NF!$A:$A,$BA145,NF!$I:$I)</f>
        <v>0</v>
      </c>
      <c r="BC145" s="6"/>
      <c r="BD145" s="6">
        <f>20-0.66</f>
        <v>19.34</v>
      </c>
      <c r="BE145" s="6"/>
      <c r="BF145" s="74"/>
      <c r="BG145" s="74"/>
      <c r="BH145" s="74"/>
      <c r="BI145" s="74"/>
      <c r="BJ145" s="74"/>
      <c r="BK145" s="7">
        <f t="shared" si="146"/>
        <v>19.34</v>
      </c>
      <c r="BL145" s="8">
        <f t="shared" si="140"/>
        <v>23.997000000000003</v>
      </c>
      <c r="BM145" s="51" t="str">
        <f>IFERROR(VLOOKUP(A145,NF!$M:$O,3,0),"")</f>
        <v>Carnes</v>
      </c>
      <c r="BN145" s="7">
        <f t="shared" si="141"/>
        <v>144.00299999999999</v>
      </c>
      <c r="BO145" s="8">
        <f t="array" ref="BO145">IFERROR(LARGE(IF(NF!$G$2:$G$3137='Mês atual'!A145,NF!$J$2:$J$3137),1),0)*BN145</f>
        <v>3787.2788999999998</v>
      </c>
      <c r="BP145" s="50"/>
      <c r="BR145" s="147">
        <f t="array" ref="BR145">IFERROR(LARGE(IF(NF!$G$2:$G$3137='Mês atual'!A145,NF!$J$2:$J$3137),1),0)</f>
        <v>26.3</v>
      </c>
      <c r="BS145" s="143" t="str">
        <f>VLOOKUP(A145,NF!M:O,3,0)</f>
        <v>Carnes</v>
      </c>
    </row>
    <row r="146" spans="1:71" x14ac:dyDescent="0.25">
      <c r="A146" s="108" t="s">
        <v>615</v>
      </c>
      <c r="B146" s="12"/>
      <c r="C146" s="9">
        <v>10</v>
      </c>
      <c r="D146" s="25"/>
      <c r="E146" s="10" t="str">
        <f t="shared" si="70"/>
        <v>OutubroSEMANA 1Pescados - Filé Tilápia Fresco</v>
      </c>
      <c r="F146" s="7">
        <f>SUMIF(NF!$A:$A,$E146,NF!$I:$I)</f>
        <v>0</v>
      </c>
      <c r="G146" s="6">
        <v>10</v>
      </c>
      <c r="H146" s="6"/>
      <c r="I146" s="6"/>
      <c r="J146" s="6"/>
      <c r="K146" s="6"/>
      <c r="L146" s="6"/>
      <c r="M146" s="6"/>
      <c r="N146" s="7">
        <f t="shared" si="142"/>
        <v>10</v>
      </c>
      <c r="O146" s="11">
        <f t="shared" si="136"/>
        <v>0</v>
      </c>
      <c r="P146" s="25"/>
      <c r="Q146" s="10" t="str">
        <f t="shared" si="73"/>
        <v>OutubroSEMANA 2Pescados - Filé Tilápia Fresco</v>
      </c>
      <c r="R146" s="7">
        <f>SUMIF(NF!$A:$A,$Q146,NF!$I:$I)</f>
        <v>0</v>
      </c>
      <c r="S146" s="6"/>
      <c r="T146" s="6"/>
      <c r="U146" s="6"/>
      <c r="V146" s="6"/>
      <c r="W146" s="6"/>
      <c r="X146" s="6"/>
      <c r="Y146" s="6"/>
      <c r="Z146" s="7">
        <f t="shared" si="143"/>
        <v>0</v>
      </c>
      <c r="AA146" s="11">
        <f t="shared" si="137"/>
        <v>0</v>
      </c>
      <c r="AB146" s="25"/>
      <c r="AC146" s="10" t="str">
        <f t="shared" si="76"/>
        <v>OutubroSEMANA 3Pescados - Filé Tilápia Fresco</v>
      </c>
      <c r="AD146" s="7">
        <f>SUMIF(NF!$A:$A,$AC146,NF!$I:$I)</f>
        <v>0</v>
      </c>
      <c r="AE146" s="6"/>
      <c r="AF146" s="6"/>
      <c r="AG146" s="6"/>
      <c r="AH146" s="6"/>
      <c r="AI146" s="6"/>
      <c r="AJ146" s="6"/>
      <c r="AK146" s="6"/>
      <c r="AL146" s="7">
        <f t="shared" si="144"/>
        <v>0</v>
      </c>
      <c r="AM146" s="11">
        <f t="shared" si="138"/>
        <v>0</v>
      </c>
      <c r="AN146" s="25"/>
      <c r="AO146" s="10" t="str">
        <f t="shared" si="79"/>
        <v>OutubroSEMANA 4Pescados - Filé Tilápia Fresco</v>
      </c>
      <c r="AP146" s="7">
        <f>SUMIF(NF!$A:$A,$AO146,NF!$I:$I)</f>
        <v>0</v>
      </c>
      <c r="AQ146" s="6"/>
      <c r="AR146" s="6"/>
      <c r="AS146" s="6"/>
      <c r="AT146" s="6"/>
      <c r="AU146" s="6"/>
      <c r="AV146" s="6"/>
      <c r="AW146" s="6"/>
      <c r="AX146" s="7">
        <f t="shared" si="145"/>
        <v>0</v>
      </c>
      <c r="AY146" s="11">
        <f t="shared" si="139"/>
        <v>0</v>
      </c>
      <c r="AZ146" s="25"/>
      <c r="BA146" s="10" t="str">
        <f t="shared" si="82"/>
        <v>OutubroSEMANA 5Pescados - Filé Tilápia Fresco</v>
      </c>
      <c r="BB146" s="7">
        <f>SUMIF(NF!$A:$A,$BA146,NF!$I:$I)</f>
        <v>0</v>
      </c>
      <c r="BC146" s="6"/>
      <c r="BD146" s="6"/>
      <c r="BE146" s="6"/>
      <c r="BF146" s="74"/>
      <c r="BG146" s="74"/>
      <c r="BH146" s="74"/>
      <c r="BI146" s="74"/>
      <c r="BJ146" s="74"/>
      <c r="BK146" s="7">
        <f t="shared" si="146"/>
        <v>0</v>
      </c>
      <c r="BL146" s="8">
        <f t="shared" si="140"/>
        <v>0</v>
      </c>
      <c r="BM146" s="51" t="str">
        <f>IFERROR(VLOOKUP(A146,NF!$M:$O,3,0),"")</f>
        <v>Carnes</v>
      </c>
      <c r="BN146" s="7">
        <f t="shared" si="141"/>
        <v>10</v>
      </c>
      <c r="BO146" s="8">
        <f t="array" ref="BO146">IFERROR(LARGE(IF(NF!$G$2:$G$3137='Mês atual'!A146,NF!$J$2:$J$3137),1),0)*BN146</f>
        <v>0</v>
      </c>
      <c r="BP146" s="50"/>
      <c r="BR146" s="147">
        <f t="array" ref="BR146">IFERROR(LARGE(IF(NF!$G$2:$G$3137='Mês atual'!A146,NF!$J$2:$J$3137),1),0)</f>
        <v>0</v>
      </c>
      <c r="BS146" s="143" t="str">
        <f>VLOOKUP(A146,NF!M:O,3,0)</f>
        <v>Carnes</v>
      </c>
    </row>
    <row r="147" spans="1:71" x14ac:dyDescent="0.25">
      <c r="A147" s="108" t="s">
        <v>617</v>
      </c>
      <c r="B147" s="12"/>
      <c r="C147" s="9">
        <v>24</v>
      </c>
      <c r="D147" s="25"/>
      <c r="E147" s="10" t="str">
        <f t="shared" si="70"/>
        <v>OutubroSEMANA 1Pescados - Filé Truta Cong.</v>
      </c>
      <c r="F147" s="7">
        <f>SUMIF(NF!$A:$A,$E147,NF!$I:$I)</f>
        <v>48</v>
      </c>
      <c r="G147" s="6"/>
      <c r="H147" s="6">
        <v>24</v>
      </c>
      <c r="I147" s="6"/>
      <c r="J147" s="6"/>
      <c r="K147" s="6"/>
      <c r="L147" s="6">
        <v>20</v>
      </c>
      <c r="M147" s="6"/>
      <c r="N147" s="7">
        <f t="shared" si="142"/>
        <v>44</v>
      </c>
      <c r="O147" s="11">
        <f t="shared" si="136"/>
        <v>28</v>
      </c>
      <c r="P147" s="25"/>
      <c r="Q147" s="10" t="str">
        <f t="shared" si="73"/>
        <v>OutubroSEMANA 2Pescados - Filé Truta Cong.</v>
      </c>
      <c r="R147" s="7">
        <f>SUMIF(NF!$A:$A,$Q147,NF!$I:$I)</f>
        <v>36</v>
      </c>
      <c r="S147" s="6"/>
      <c r="T147" s="6">
        <v>20.207000000000001</v>
      </c>
      <c r="U147" s="6"/>
      <c r="V147" s="6"/>
      <c r="W147" s="6"/>
      <c r="X147" s="6"/>
      <c r="Y147" s="6"/>
      <c r="Z147" s="7">
        <f t="shared" si="143"/>
        <v>20.207000000000001</v>
      </c>
      <c r="AA147" s="11">
        <f t="shared" si="137"/>
        <v>43.792999999999999</v>
      </c>
      <c r="AB147" s="25"/>
      <c r="AC147" s="10" t="str">
        <f t="shared" si="76"/>
        <v>OutubroSEMANA 3Pescados - Filé Truta Cong.</v>
      </c>
      <c r="AD147" s="7">
        <f>SUMIF(NF!$A:$A,$AC147,NF!$I:$I)</f>
        <v>24</v>
      </c>
      <c r="AE147" s="6"/>
      <c r="AF147" s="6">
        <v>19.62</v>
      </c>
      <c r="AG147" s="6"/>
      <c r="AH147" s="6"/>
      <c r="AI147" s="6"/>
      <c r="AJ147" s="6"/>
      <c r="AK147" s="6">
        <f>15.3-6.24</f>
        <v>9.06</v>
      </c>
      <c r="AL147" s="7">
        <f t="shared" si="144"/>
        <v>28.68</v>
      </c>
      <c r="AM147" s="11">
        <f t="shared" si="138"/>
        <v>39.113000000000007</v>
      </c>
      <c r="AN147" s="25"/>
      <c r="AO147" s="10" t="str">
        <f t="shared" si="79"/>
        <v>OutubroSEMANA 4Pescados - Filé Truta Cong.</v>
      </c>
      <c r="AP147" s="7">
        <f>SUMIF(NF!$A:$A,$AO147,NF!$I:$I)</f>
        <v>24</v>
      </c>
      <c r="AQ147" s="6"/>
      <c r="AR147" s="6"/>
      <c r="AS147" s="6">
        <f>21.64-3.17</f>
        <v>18.47</v>
      </c>
      <c r="AT147" s="6"/>
      <c r="AU147" s="6"/>
      <c r="AV147" s="6"/>
      <c r="AW147" s="6"/>
      <c r="AX147" s="7">
        <f t="shared" si="145"/>
        <v>18.47</v>
      </c>
      <c r="AY147" s="11">
        <f t="shared" si="139"/>
        <v>44.643000000000008</v>
      </c>
      <c r="AZ147" s="25"/>
      <c r="BA147" s="10" t="str">
        <f t="shared" si="82"/>
        <v>OutubroSEMANA 5Pescados - Filé Truta Cong.</v>
      </c>
      <c r="BB147" s="7">
        <f>SUMIF(NF!$A:$A,$BA147,NF!$I:$I)</f>
        <v>24</v>
      </c>
      <c r="BC147" s="6"/>
      <c r="BD147" s="6"/>
      <c r="BE147" s="6">
        <f>20.64+3.38</f>
        <v>24.02</v>
      </c>
      <c r="BF147" s="74"/>
      <c r="BG147" s="74"/>
      <c r="BH147" s="74"/>
      <c r="BI147" s="74"/>
      <c r="BJ147" s="74"/>
      <c r="BK147" s="7">
        <f t="shared" si="146"/>
        <v>24.02</v>
      </c>
      <c r="BL147" s="8">
        <f t="shared" si="140"/>
        <v>44.623000000000005</v>
      </c>
      <c r="BM147" s="51" t="str">
        <f>IFERROR(VLOOKUP(A147,NF!$M:$O,3,0),"")</f>
        <v>Carnes</v>
      </c>
      <c r="BN147" s="7">
        <f t="shared" si="141"/>
        <v>135.37700000000001</v>
      </c>
      <c r="BO147" s="8">
        <f t="array" ref="BO147">IFERROR(LARGE(IF(NF!$G$2:$G$3137='Mês atual'!A147,NF!$J$2:$J$3137),1),0)*BN147</f>
        <v>3519.8020000000001</v>
      </c>
      <c r="BP147" s="50"/>
      <c r="BR147" s="147">
        <f t="array" ref="BR147">IFERROR(LARGE(IF(NF!$G$2:$G$3137='Mês atual'!A147,NF!$J$2:$J$3137),1),0)</f>
        <v>26</v>
      </c>
      <c r="BS147" s="143" t="str">
        <f>VLOOKUP(A147,NF!M:O,3,0)</f>
        <v>Carnes</v>
      </c>
    </row>
    <row r="148" spans="1:71" x14ac:dyDescent="0.25">
      <c r="A148" s="108" t="s">
        <v>618</v>
      </c>
      <c r="B148" s="12"/>
      <c r="C148" s="9"/>
      <c r="D148" s="25"/>
      <c r="E148" s="10" t="str">
        <f t="shared" si="70"/>
        <v>OutubroSEMANA 1Pescados - Garoupa Fresca</v>
      </c>
      <c r="F148" s="7">
        <f>SUMIF(NF!$A:$A,$E148,NF!$I:$I)</f>
        <v>0</v>
      </c>
      <c r="G148" s="6"/>
      <c r="H148" s="6"/>
      <c r="I148" s="6"/>
      <c r="J148" s="6"/>
      <c r="K148" s="6"/>
      <c r="L148" s="6"/>
      <c r="M148" s="6"/>
      <c r="N148" s="7">
        <f t="shared" si="142"/>
        <v>0</v>
      </c>
      <c r="O148" s="11">
        <f t="shared" si="136"/>
        <v>0</v>
      </c>
      <c r="P148" s="25"/>
      <c r="Q148" s="10" t="str">
        <f t="shared" si="73"/>
        <v>OutubroSEMANA 2Pescados - Garoupa Fresca</v>
      </c>
      <c r="R148" s="7">
        <f>SUMIF(NF!$A:$A,$Q148,NF!$I:$I)</f>
        <v>0</v>
      </c>
      <c r="S148" s="6"/>
      <c r="T148" s="6"/>
      <c r="U148" s="6"/>
      <c r="V148" s="6"/>
      <c r="W148" s="6"/>
      <c r="X148" s="6"/>
      <c r="Y148" s="6"/>
      <c r="Z148" s="7">
        <f t="shared" si="143"/>
        <v>0</v>
      </c>
      <c r="AA148" s="11">
        <f t="shared" si="137"/>
        <v>0</v>
      </c>
      <c r="AB148" s="25"/>
      <c r="AC148" s="10" t="str">
        <f t="shared" si="76"/>
        <v>OutubroSEMANA 3Pescados - Garoupa Fresca</v>
      </c>
      <c r="AD148" s="7">
        <f>SUMIF(NF!$A:$A,$AC148,NF!$I:$I)</f>
        <v>0</v>
      </c>
      <c r="AE148" s="6"/>
      <c r="AF148" s="6"/>
      <c r="AG148" s="6"/>
      <c r="AH148" s="6"/>
      <c r="AI148" s="6"/>
      <c r="AJ148" s="6"/>
      <c r="AK148" s="6"/>
      <c r="AL148" s="7">
        <f t="shared" si="144"/>
        <v>0</v>
      </c>
      <c r="AM148" s="11">
        <f t="shared" si="138"/>
        <v>0</v>
      </c>
      <c r="AN148" s="25"/>
      <c r="AO148" s="10" t="str">
        <f t="shared" si="79"/>
        <v>OutubroSEMANA 4Pescados - Garoupa Fresca</v>
      </c>
      <c r="AP148" s="7">
        <f>SUMIF(NF!$A:$A,$AO148,NF!$I:$I)</f>
        <v>0</v>
      </c>
      <c r="AQ148" s="6"/>
      <c r="AR148" s="6"/>
      <c r="AS148" s="6"/>
      <c r="AT148" s="6"/>
      <c r="AU148" s="6"/>
      <c r="AV148" s="6"/>
      <c r="AW148" s="6"/>
      <c r="AX148" s="7">
        <f t="shared" si="145"/>
        <v>0</v>
      </c>
      <c r="AY148" s="11">
        <f t="shared" si="139"/>
        <v>0</v>
      </c>
      <c r="AZ148" s="25"/>
      <c r="BA148" s="10" t="str">
        <f t="shared" si="82"/>
        <v>OutubroSEMANA 5Pescados - Garoupa Fresca</v>
      </c>
      <c r="BB148" s="7">
        <f>SUMIF(NF!$A:$A,$BA148,NF!$I:$I)</f>
        <v>0</v>
      </c>
      <c r="BC148" s="6"/>
      <c r="BD148" s="6"/>
      <c r="BE148" s="6"/>
      <c r="BF148" s="74"/>
      <c r="BG148" s="74"/>
      <c r="BH148" s="74"/>
      <c r="BI148" s="74"/>
      <c r="BJ148" s="74"/>
      <c r="BK148" s="7">
        <f t="shared" si="146"/>
        <v>0</v>
      </c>
      <c r="BL148" s="8">
        <f t="shared" si="140"/>
        <v>0</v>
      </c>
      <c r="BM148" s="51" t="str">
        <f>IFERROR(VLOOKUP(A148,NF!$M:$O,3,0),"")</f>
        <v>Carnes</v>
      </c>
      <c r="BN148" s="7">
        <f t="shared" si="141"/>
        <v>0</v>
      </c>
      <c r="BO148" s="8">
        <f t="array" ref="BO148">IFERROR(LARGE(IF(NF!$G$2:$G$3137='Mês atual'!A148,NF!$J$2:$J$3137),1),0)*BN148</f>
        <v>0</v>
      </c>
      <c r="BP148" s="50"/>
      <c r="BR148" s="147">
        <f t="array" ref="BR148">IFERROR(LARGE(IF(NF!$G$2:$G$3137='Mês atual'!A148,NF!$J$2:$J$3137),1),0)</f>
        <v>0</v>
      </c>
      <c r="BS148" s="143" t="str">
        <f>VLOOKUP(A148,NF!M:O,3,0)</f>
        <v>Carnes</v>
      </c>
    </row>
    <row r="149" spans="1:71" x14ac:dyDescent="0.25">
      <c r="A149" s="108" t="s">
        <v>619</v>
      </c>
      <c r="B149" s="12"/>
      <c r="C149" s="9">
        <v>2.5</v>
      </c>
      <c r="D149" s="25"/>
      <c r="E149" s="10" t="str">
        <f t="shared" si="70"/>
        <v>OutubroSEMANA 1Pescados - Kani</v>
      </c>
      <c r="F149" s="7">
        <f>SUMIF(NF!$A:$A,$E149,NF!$I:$I)</f>
        <v>0</v>
      </c>
      <c r="G149" s="6"/>
      <c r="H149" s="6">
        <v>0.5</v>
      </c>
      <c r="I149" s="6"/>
      <c r="J149" s="6"/>
      <c r="K149" s="6"/>
      <c r="L149" s="6"/>
      <c r="M149" s="6"/>
      <c r="N149" s="7">
        <f t="shared" si="142"/>
        <v>0.5</v>
      </c>
      <c r="O149" s="11">
        <f t="shared" si="136"/>
        <v>2</v>
      </c>
      <c r="P149" s="25"/>
      <c r="Q149" s="10" t="str">
        <f t="shared" si="73"/>
        <v>OutubroSEMANA 2Pescados - Kani</v>
      </c>
      <c r="R149" s="7">
        <f>SUMIF(NF!$A:$A,$Q149,NF!$I:$I)</f>
        <v>8</v>
      </c>
      <c r="S149" s="6"/>
      <c r="T149" s="6"/>
      <c r="U149" s="6"/>
      <c r="V149" s="6">
        <v>0.5</v>
      </c>
      <c r="W149" s="6">
        <v>0.5</v>
      </c>
      <c r="X149" s="6"/>
      <c r="Y149" s="6"/>
      <c r="Z149" s="7">
        <f t="shared" si="143"/>
        <v>1</v>
      </c>
      <c r="AA149" s="11">
        <f t="shared" si="137"/>
        <v>9</v>
      </c>
      <c r="AB149" s="25"/>
      <c r="AC149" s="10" t="str">
        <f t="shared" si="76"/>
        <v>OutubroSEMANA 3Pescados - Kani</v>
      </c>
      <c r="AD149" s="7">
        <f>SUMIF(NF!$A:$A,$AC149,NF!$I:$I)</f>
        <v>0</v>
      </c>
      <c r="AE149" s="6"/>
      <c r="AF149" s="6">
        <v>0.5</v>
      </c>
      <c r="AG149" s="6"/>
      <c r="AH149" s="6"/>
      <c r="AI149" s="6"/>
      <c r="AJ149" s="6"/>
      <c r="AK149" s="6">
        <v>0.5</v>
      </c>
      <c r="AL149" s="7">
        <f t="shared" si="144"/>
        <v>1</v>
      </c>
      <c r="AM149" s="11">
        <f t="shared" si="138"/>
        <v>8</v>
      </c>
      <c r="AN149" s="25"/>
      <c r="AO149" s="10" t="str">
        <f t="shared" si="79"/>
        <v>OutubroSEMANA 4Pescados - Kani</v>
      </c>
      <c r="AP149" s="7">
        <f>SUMIF(NF!$A:$A,$AO149,NF!$I:$I)</f>
        <v>0</v>
      </c>
      <c r="AQ149" s="6"/>
      <c r="AR149" s="6"/>
      <c r="AS149" s="6"/>
      <c r="AT149" s="6"/>
      <c r="AU149" s="6"/>
      <c r="AV149" s="6">
        <v>2.25</v>
      </c>
      <c r="AW149" s="6"/>
      <c r="AX149" s="7">
        <f t="shared" si="145"/>
        <v>2.25</v>
      </c>
      <c r="AY149" s="11">
        <f t="shared" si="139"/>
        <v>5.75</v>
      </c>
      <c r="AZ149" s="25"/>
      <c r="BA149" s="10" t="str">
        <f t="shared" si="82"/>
        <v>OutubroSEMANA 5Pescados - Kani</v>
      </c>
      <c r="BB149" s="7">
        <f>SUMIF(NF!$A:$A,$BA149,NF!$I:$I)</f>
        <v>0</v>
      </c>
      <c r="BC149" s="6"/>
      <c r="BD149" s="6">
        <v>0.75</v>
      </c>
      <c r="BE149" s="6"/>
      <c r="BF149" s="74"/>
      <c r="BG149" s="74"/>
      <c r="BH149" s="74"/>
      <c r="BI149" s="74"/>
      <c r="BJ149" s="74"/>
      <c r="BK149" s="7">
        <f t="shared" si="146"/>
        <v>0.75</v>
      </c>
      <c r="BL149" s="8">
        <f t="shared" si="140"/>
        <v>5</v>
      </c>
      <c r="BM149" s="51" t="str">
        <f>IFERROR(VLOOKUP(A149,NF!$M:$O,3,0),"")</f>
        <v>Carnes</v>
      </c>
      <c r="BN149" s="7">
        <f t="shared" si="141"/>
        <v>5.5</v>
      </c>
      <c r="BO149" s="8">
        <f t="array" ref="BO149">IFERROR(LARGE(IF(NF!$G$2:$G$3137='Mês atual'!A149,NF!$J$2:$J$3137),1),0)*BN149</f>
        <v>120.94499999999999</v>
      </c>
      <c r="BP149" s="50"/>
      <c r="BR149" s="147">
        <f t="array" ref="BR149">IFERROR(LARGE(IF(NF!$G$2:$G$3137='Mês atual'!A149,NF!$J$2:$J$3137),1),0)</f>
        <v>21.99</v>
      </c>
      <c r="BS149" s="143" t="str">
        <f>VLOOKUP(A149,NF!M:O,3,0)</f>
        <v>Carnes</v>
      </c>
    </row>
    <row r="150" spans="1:71" x14ac:dyDescent="0.25">
      <c r="A150" s="108" t="s">
        <v>621</v>
      </c>
      <c r="B150" s="12"/>
      <c r="C150" s="9">
        <v>20</v>
      </c>
      <c r="D150" s="25"/>
      <c r="E150" s="10" t="str">
        <f t="shared" si="70"/>
        <v>OutubroSEMANA 1Pescados - Lula Calamares</v>
      </c>
      <c r="F150" s="7">
        <f>SUMIF(NF!$A:$A,$E150,NF!$I:$I)</f>
        <v>10</v>
      </c>
      <c r="G150" s="6"/>
      <c r="H150" s="6">
        <v>10</v>
      </c>
      <c r="I150" s="6"/>
      <c r="J150" s="6">
        <v>15</v>
      </c>
      <c r="K150" s="6"/>
      <c r="L150" s="6"/>
      <c r="M150" s="6"/>
      <c r="N150" s="7">
        <f t="shared" si="142"/>
        <v>25</v>
      </c>
      <c r="O150" s="11">
        <f t="shared" si="136"/>
        <v>5</v>
      </c>
      <c r="P150" s="25"/>
      <c r="Q150" s="10" t="str">
        <f t="shared" si="73"/>
        <v>OutubroSEMANA 2Pescados - Lula Calamares</v>
      </c>
      <c r="R150" s="7">
        <f>SUMIF(NF!$A:$A,$Q150,NF!$I:$I)</f>
        <v>30</v>
      </c>
      <c r="S150" s="6"/>
      <c r="T150" s="6"/>
      <c r="U150" s="6"/>
      <c r="V150" s="6">
        <v>10</v>
      </c>
      <c r="W150" s="6"/>
      <c r="X150" s="6"/>
      <c r="Y150" s="6"/>
      <c r="Z150" s="7">
        <f t="shared" si="143"/>
        <v>10</v>
      </c>
      <c r="AA150" s="11">
        <f t="shared" si="137"/>
        <v>25</v>
      </c>
      <c r="AB150" s="25"/>
      <c r="AC150" s="10" t="str">
        <f t="shared" si="76"/>
        <v>OutubroSEMANA 3Pescados - Lula Calamares</v>
      </c>
      <c r="AD150" s="7">
        <f>SUMIF(NF!$A:$A,$AC150,NF!$I:$I)</f>
        <v>0</v>
      </c>
      <c r="AE150" s="6"/>
      <c r="AF150" s="6"/>
      <c r="AG150" s="6">
        <f>20-4.7</f>
        <v>15.3</v>
      </c>
      <c r="AH150" s="6"/>
      <c r="AI150" s="6"/>
      <c r="AJ150" s="6"/>
      <c r="AK150" s="6">
        <v>1.1599999999999999</v>
      </c>
      <c r="AL150" s="7">
        <f t="shared" si="144"/>
        <v>16.46</v>
      </c>
      <c r="AM150" s="11">
        <f t="shared" si="138"/>
        <v>8.5399999999999991</v>
      </c>
      <c r="AN150" s="25"/>
      <c r="AO150" s="10" t="str">
        <f t="shared" si="79"/>
        <v>OutubroSEMANA 4Pescados - Lula Calamares</v>
      </c>
      <c r="AP150" s="7">
        <f>SUMIF(NF!$A:$A,$AO150,NF!$I:$I)</f>
        <v>10</v>
      </c>
      <c r="AQ150" s="6"/>
      <c r="AR150" s="6"/>
      <c r="AS150" s="6"/>
      <c r="AT150" s="6"/>
      <c r="AU150" s="6"/>
      <c r="AV150" s="6"/>
      <c r="AW150" s="6">
        <f>8.04+0.5</f>
        <v>8.5399999999999991</v>
      </c>
      <c r="AX150" s="7">
        <f t="shared" si="145"/>
        <v>8.5399999999999991</v>
      </c>
      <c r="AY150" s="11">
        <f t="shared" si="139"/>
        <v>10</v>
      </c>
      <c r="AZ150" s="25"/>
      <c r="BA150" s="10" t="str">
        <f t="shared" si="82"/>
        <v>OutubroSEMANA 5Pescados - Lula Calamares</v>
      </c>
      <c r="BB150" s="7">
        <f>SUMIF(NF!$A:$A,$BA150,NF!$I:$I)</f>
        <v>14</v>
      </c>
      <c r="BC150" s="6"/>
      <c r="BD150" s="6"/>
      <c r="BE150" s="6"/>
      <c r="BF150" s="74"/>
      <c r="BG150" s="74"/>
      <c r="BH150" s="74"/>
      <c r="BI150" s="74"/>
      <c r="BJ150" s="74"/>
      <c r="BK150" s="7">
        <f t="shared" si="146"/>
        <v>0</v>
      </c>
      <c r="BL150" s="8">
        <f t="shared" si="140"/>
        <v>24</v>
      </c>
      <c r="BM150" s="51" t="str">
        <f>IFERROR(VLOOKUP(A150,NF!$M:$O,3,0),"")</f>
        <v>Carnes</v>
      </c>
      <c r="BN150" s="7">
        <f t="shared" si="141"/>
        <v>60</v>
      </c>
      <c r="BO150" s="8">
        <f t="array" ref="BO150">IFERROR(LARGE(IF(NF!$G$2:$G$3137='Mês atual'!A150,NF!$J$2:$J$3137),1),0)*BN150</f>
        <v>1680</v>
      </c>
      <c r="BP150" s="50"/>
      <c r="BR150" s="147">
        <f t="array" ref="BR150">IFERROR(LARGE(IF(NF!$G$2:$G$3137='Mês atual'!A150,NF!$J$2:$J$3137),1),0)</f>
        <v>28</v>
      </c>
      <c r="BS150" s="143" t="str">
        <f>VLOOKUP(A150,NF!M:O,3,0)</f>
        <v>Carnes</v>
      </c>
    </row>
    <row r="151" spans="1:71" x14ac:dyDescent="0.25">
      <c r="A151" s="108" t="s">
        <v>623</v>
      </c>
      <c r="B151" s="12"/>
      <c r="C151" s="9"/>
      <c r="D151" s="25"/>
      <c r="E151" s="10" t="str">
        <f t="shared" si="70"/>
        <v>OutubroSEMANA 1Pescados - Lula Natubras M</v>
      </c>
      <c r="F151" s="7">
        <f>SUMIF(NF!$A:$A,$E151,NF!$I:$I)</f>
        <v>0</v>
      </c>
      <c r="G151" s="6"/>
      <c r="H151" s="6"/>
      <c r="I151" s="6"/>
      <c r="J151" s="6"/>
      <c r="K151" s="6"/>
      <c r="L151" s="6"/>
      <c r="M151" s="6"/>
      <c r="N151" s="7">
        <f t="shared" si="142"/>
        <v>0</v>
      </c>
      <c r="O151" s="11">
        <f t="shared" si="136"/>
        <v>0</v>
      </c>
      <c r="P151" s="25"/>
      <c r="Q151" s="10" t="str">
        <f t="shared" si="73"/>
        <v>OutubroSEMANA 2Pescados - Lula Natubras M</v>
      </c>
      <c r="R151" s="7">
        <f>SUMIF(NF!$A:$A,$Q151,NF!$I:$I)</f>
        <v>0</v>
      </c>
      <c r="S151" s="6"/>
      <c r="T151" s="6"/>
      <c r="U151" s="6"/>
      <c r="V151" s="6"/>
      <c r="W151" s="6"/>
      <c r="X151" s="6"/>
      <c r="Y151" s="6"/>
      <c r="Z151" s="7">
        <f t="shared" si="143"/>
        <v>0</v>
      </c>
      <c r="AA151" s="11">
        <f t="shared" si="137"/>
        <v>0</v>
      </c>
      <c r="AB151" s="25"/>
      <c r="AC151" s="10" t="str">
        <f t="shared" si="76"/>
        <v>OutubroSEMANA 3Pescados - Lula Natubras M</v>
      </c>
      <c r="AD151" s="7">
        <f>SUMIF(NF!$A:$A,$AC151,NF!$I:$I)</f>
        <v>0</v>
      </c>
      <c r="AE151" s="6"/>
      <c r="AF151" s="6"/>
      <c r="AG151" s="6"/>
      <c r="AH151" s="6"/>
      <c r="AI151" s="6"/>
      <c r="AJ151" s="6"/>
      <c r="AK151" s="6"/>
      <c r="AL151" s="7">
        <f t="shared" si="144"/>
        <v>0</v>
      </c>
      <c r="AM151" s="11">
        <f t="shared" si="138"/>
        <v>0</v>
      </c>
      <c r="AN151" s="25"/>
      <c r="AO151" s="10" t="str">
        <f t="shared" si="79"/>
        <v>OutubroSEMANA 4Pescados - Lula Natubras M</v>
      </c>
      <c r="AP151" s="7">
        <f>SUMIF(NF!$A:$A,$AO151,NF!$I:$I)</f>
        <v>0</v>
      </c>
      <c r="AQ151" s="6"/>
      <c r="AR151" s="6"/>
      <c r="AS151" s="6"/>
      <c r="AT151" s="6"/>
      <c r="AU151" s="6"/>
      <c r="AV151" s="6"/>
      <c r="AW151" s="6"/>
      <c r="AX151" s="7">
        <f t="shared" si="145"/>
        <v>0</v>
      </c>
      <c r="AY151" s="11">
        <f t="shared" si="139"/>
        <v>0</v>
      </c>
      <c r="AZ151" s="25"/>
      <c r="BA151" s="10" t="str">
        <f t="shared" si="82"/>
        <v>OutubroSEMANA 5Pescados - Lula Natubras M</v>
      </c>
      <c r="BB151" s="7">
        <f>SUMIF(NF!$A:$A,$BA151,NF!$I:$I)</f>
        <v>0</v>
      </c>
      <c r="BC151" s="6"/>
      <c r="BD151" s="6"/>
      <c r="BE151" s="6"/>
      <c r="BF151" s="74"/>
      <c r="BG151" s="74"/>
      <c r="BH151" s="74"/>
      <c r="BI151" s="74"/>
      <c r="BJ151" s="74"/>
      <c r="BK151" s="7">
        <f t="shared" si="146"/>
        <v>0</v>
      </c>
      <c r="BL151" s="8">
        <f t="shared" si="140"/>
        <v>0</v>
      </c>
      <c r="BM151" s="51" t="str">
        <f>IFERROR(VLOOKUP(A151,NF!$M:$O,3,0),"")</f>
        <v>Carnes</v>
      </c>
      <c r="BN151" s="7">
        <f t="shared" si="141"/>
        <v>0</v>
      </c>
      <c r="BO151" s="8">
        <f t="array" ref="BO151">IFERROR(LARGE(IF(NF!$G$2:$G$3137='Mês atual'!A151,NF!$J$2:$J$3137),1),0)*BN151</f>
        <v>0</v>
      </c>
      <c r="BP151" s="50"/>
      <c r="BR151" s="147">
        <f t="array" ref="BR151">IFERROR(LARGE(IF(NF!$G$2:$G$3137='Mês atual'!A151,NF!$J$2:$J$3137),1),0)</f>
        <v>0</v>
      </c>
      <c r="BS151" s="143" t="str">
        <f>VLOOKUP(A151,NF!M:O,3,0)</f>
        <v>Carnes</v>
      </c>
    </row>
    <row r="152" spans="1:71" x14ac:dyDescent="0.25">
      <c r="A152" s="108" t="s">
        <v>624</v>
      </c>
      <c r="B152" s="12"/>
      <c r="C152" s="9"/>
      <c r="D152" s="25"/>
      <c r="E152" s="10" t="str">
        <f t="shared" si="70"/>
        <v>OutubroSEMANA 1Pescados - Lula Natubras P</v>
      </c>
      <c r="F152" s="7">
        <f>SUMIF(NF!$A:$A,$E152,NF!$I:$I)</f>
        <v>0</v>
      </c>
      <c r="G152" s="6"/>
      <c r="H152" s="6"/>
      <c r="I152" s="6"/>
      <c r="J152" s="6"/>
      <c r="K152" s="6"/>
      <c r="L152" s="6"/>
      <c r="M152" s="6"/>
      <c r="N152" s="7">
        <f t="shared" si="142"/>
        <v>0</v>
      </c>
      <c r="O152" s="11">
        <f t="shared" si="136"/>
        <v>0</v>
      </c>
      <c r="P152" s="25"/>
      <c r="Q152" s="10" t="str">
        <f t="shared" si="73"/>
        <v>OutubroSEMANA 2Pescados - Lula Natubras P</v>
      </c>
      <c r="R152" s="7">
        <f>SUMIF(NF!$A:$A,$Q152,NF!$I:$I)</f>
        <v>0</v>
      </c>
      <c r="S152" s="6"/>
      <c r="T152" s="6"/>
      <c r="U152" s="6"/>
      <c r="V152" s="6"/>
      <c r="W152" s="6"/>
      <c r="X152" s="6"/>
      <c r="Y152" s="6"/>
      <c r="Z152" s="7">
        <f t="shared" si="143"/>
        <v>0</v>
      </c>
      <c r="AA152" s="11">
        <f t="shared" si="137"/>
        <v>0</v>
      </c>
      <c r="AB152" s="25"/>
      <c r="AC152" s="10" t="str">
        <f t="shared" si="76"/>
        <v>OutubroSEMANA 3Pescados - Lula Natubras P</v>
      </c>
      <c r="AD152" s="7">
        <f>SUMIF(NF!$A:$A,$AC152,NF!$I:$I)</f>
        <v>0</v>
      </c>
      <c r="AE152" s="6"/>
      <c r="AF152" s="6"/>
      <c r="AG152" s="6"/>
      <c r="AH152" s="6"/>
      <c r="AI152" s="6"/>
      <c r="AJ152" s="6"/>
      <c r="AK152" s="6"/>
      <c r="AL152" s="7">
        <f t="shared" si="144"/>
        <v>0</v>
      </c>
      <c r="AM152" s="11">
        <f t="shared" si="138"/>
        <v>0</v>
      </c>
      <c r="AN152" s="25"/>
      <c r="AO152" s="10" t="str">
        <f t="shared" si="79"/>
        <v>OutubroSEMANA 4Pescados - Lula Natubras P</v>
      </c>
      <c r="AP152" s="7">
        <f>SUMIF(NF!$A:$A,$AO152,NF!$I:$I)</f>
        <v>0</v>
      </c>
      <c r="AQ152" s="6"/>
      <c r="AR152" s="6"/>
      <c r="AS152" s="6"/>
      <c r="AT152" s="6"/>
      <c r="AU152" s="6"/>
      <c r="AV152" s="6"/>
      <c r="AW152" s="6"/>
      <c r="AX152" s="7">
        <f t="shared" si="145"/>
        <v>0</v>
      </c>
      <c r="AY152" s="11">
        <f t="shared" si="139"/>
        <v>0</v>
      </c>
      <c r="AZ152" s="25"/>
      <c r="BA152" s="10" t="str">
        <f t="shared" si="82"/>
        <v>OutubroSEMANA 5Pescados - Lula Natubras P</v>
      </c>
      <c r="BB152" s="7">
        <f>SUMIF(NF!$A:$A,$BA152,NF!$I:$I)</f>
        <v>0</v>
      </c>
      <c r="BC152" s="6"/>
      <c r="BD152" s="6"/>
      <c r="BE152" s="6"/>
      <c r="BF152" s="74"/>
      <c r="BG152" s="74"/>
      <c r="BH152" s="74"/>
      <c r="BI152" s="74"/>
      <c r="BJ152" s="74"/>
      <c r="BK152" s="7">
        <f t="shared" si="146"/>
        <v>0</v>
      </c>
      <c r="BL152" s="8">
        <f t="shared" si="140"/>
        <v>0</v>
      </c>
      <c r="BM152" s="51" t="str">
        <f>IFERROR(VLOOKUP(A152,NF!$M:$O,3,0),"")</f>
        <v>Carnes</v>
      </c>
      <c r="BN152" s="7">
        <f t="shared" si="141"/>
        <v>0</v>
      </c>
      <c r="BO152" s="8">
        <f t="array" ref="BO152">IFERROR(LARGE(IF(NF!$G$2:$G$3137='Mês atual'!A152,NF!$J$2:$J$3137),1),0)*BN152</f>
        <v>0</v>
      </c>
      <c r="BP152" s="50"/>
      <c r="BR152" s="147">
        <f t="array" ref="BR152">IFERROR(LARGE(IF(NF!$G$2:$G$3137='Mês atual'!A152,NF!$J$2:$J$3137),1),0)</f>
        <v>0</v>
      </c>
      <c r="BS152" s="143" t="str">
        <f>VLOOKUP(A152,NF!M:O,3,0)</f>
        <v>Carnes</v>
      </c>
    </row>
    <row r="153" spans="1:71" x14ac:dyDescent="0.25">
      <c r="A153" s="108" t="s">
        <v>625</v>
      </c>
      <c r="B153" s="12"/>
      <c r="C153" s="9"/>
      <c r="D153" s="25"/>
      <c r="E153" s="10" t="str">
        <f t="shared" si="70"/>
        <v>OutubroSEMANA 1Pescados - Marisco</v>
      </c>
      <c r="F153" s="7">
        <f>SUMIF(NF!$A:$A,$E153,NF!$I:$I)</f>
        <v>0</v>
      </c>
      <c r="G153" s="6"/>
      <c r="H153" s="6"/>
      <c r="I153" s="6"/>
      <c r="J153" s="6"/>
      <c r="K153" s="6"/>
      <c r="L153" s="6"/>
      <c r="M153" s="6"/>
      <c r="N153" s="7">
        <f t="shared" si="142"/>
        <v>0</v>
      </c>
      <c r="O153" s="11">
        <f t="shared" si="136"/>
        <v>0</v>
      </c>
      <c r="P153" s="25"/>
      <c r="Q153" s="10" t="str">
        <f t="shared" si="73"/>
        <v>OutubroSEMANA 2Pescados - Marisco</v>
      </c>
      <c r="R153" s="7">
        <f>SUMIF(NF!$A:$A,$Q153,NF!$I:$I)</f>
        <v>0</v>
      </c>
      <c r="S153" s="6"/>
      <c r="T153" s="6"/>
      <c r="U153" s="6"/>
      <c r="V153" s="6"/>
      <c r="W153" s="6"/>
      <c r="X153" s="6"/>
      <c r="Y153" s="6"/>
      <c r="Z153" s="7">
        <f t="shared" si="143"/>
        <v>0</v>
      </c>
      <c r="AA153" s="11">
        <f t="shared" si="137"/>
        <v>0</v>
      </c>
      <c r="AB153" s="25"/>
      <c r="AC153" s="10" t="str">
        <f t="shared" si="76"/>
        <v>OutubroSEMANA 3Pescados - Marisco</v>
      </c>
      <c r="AD153" s="7">
        <f>SUMIF(NF!$A:$A,$AC153,NF!$I:$I)</f>
        <v>0</v>
      </c>
      <c r="AE153" s="6"/>
      <c r="AF153" s="6"/>
      <c r="AG153" s="6"/>
      <c r="AH153" s="6"/>
      <c r="AI153" s="6"/>
      <c r="AJ153" s="6"/>
      <c r="AK153" s="6"/>
      <c r="AL153" s="7">
        <f t="shared" si="144"/>
        <v>0</v>
      </c>
      <c r="AM153" s="11">
        <f t="shared" si="138"/>
        <v>0</v>
      </c>
      <c r="AN153" s="25"/>
      <c r="AO153" s="10" t="str">
        <f t="shared" si="79"/>
        <v>OutubroSEMANA 4Pescados - Marisco</v>
      </c>
      <c r="AP153" s="7">
        <f>SUMIF(NF!$A:$A,$AO153,NF!$I:$I)</f>
        <v>0</v>
      </c>
      <c r="AQ153" s="6"/>
      <c r="AR153" s="6"/>
      <c r="AS153" s="6"/>
      <c r="AT153" s="6"/>
      <c r="AU153" s="6"/>
      <c r="AV153" s="6"/>
      <c r="AW153" s="6"/>
      <c r="AX153" s="7">
        <f t="shared" si="145"/>
        <v>0</v>
      </c>
      <c r="AY153" s="11">
        <f t="shared" si="139"/>
        <v>0</v>
      </c>
      <c r="AZ153" s="25"/>
      <c r="BA153" s="10" t="str">
        <f t="shared" si="82"/>
        <v>OutubroSEMANA 5Pescados - Marisco</v>
      </c>
      <c r="BB153" s="7">
        <f>SUMIF(NF!$A:$A,$BA153,NF!$I:$I)</f>
        <v>0</v>
      </c>
      <c r="BC153" s="6"/>
      <c r="BD153" s="6"/>
      <c r="BE153" s="6"/>
      <c r="BF153" s="74"/>
      <c r="BG153" s="74"/>
      <c r="BH153" s="74"/>
      <c r="BI153" s="74"/>
      <c r="BJ153" s="74"/>
      <c r="BK153" s="7">
        <f t="shared" si="146"/>
        <v>0</v>
      </c>
      <c r="BL153" s="8">
        <f t="shared" si="140"/>
        <v>0</v>
      </c>
      <c r="BM153" s="51" t="str">
        <f>IFERROR(VLOOKUP(A153,NF!$M:$O,3,0),"")</f>
        <v>Carnes</v>
      </c>
      <c r="BN153" s="7">
        <f t="shared" si="141"/>
        <v>0</v>
      </c>
      <c r="BO153" s="8">
        <f t="array" ref="BO153">IFERROR(LARGE(IF(NF!$G$2:$G$3137='Mês atual'!A153,NF!$J$2:$J$3137),1),0)*BN153</f>
        <v>0</v>
      </c>
      <c r="BP153" s="50"/>
      <c r="BR153" s="147">
        <f t="array" ref="BR153">IFERROR(LARGE(IF(NF!$G$2:$G$3137='Mês atual'!A153,NF!$J$2:$J$3137),1),0)</f>
        <v>0</v>
      </c>
      <c r="BS153" s="143" t="str">
        <f>VLOOKUP(A153,NF!M:O,3,0)</f>
        <v>Carnes</v>
      </c>
    </row>
    <row r="154" spans="1:71" x14ac:dyDescent="0.25">
      <c r="A154" s="108" t="s">
        <v>626</v>
      </c>
      <c r="B154" s="12"/>
      <c r="C154" s="9"/>
      <c r="D154" s="25"/>
      <c r="E154" s="10" t="str">
        <f t="shared" si="70"/>
        <v>OutubroSEMANA 1Pescados - Namorado</v>
      </c>
      <c r="F154" s="7">
        <f>SUMIF(NF!$A:$A,$E154,NF!$I:$I)</f>
        <v>0</v>
      </c>
      <c r="G154" s="6"/>
      <c r="H154" s="6"/>
      <c r="I154" s="6"/>
      <c r="J154" s="6"/>
      <c r="K154" s="6"/>
      <c r="L154" s="6"/>
      <c r="M154" s="6"/>
      <c r="N154" s="7">
        <f t="shared" si="142"/>
        <v>0</v>
      </c>
      <c r="O154" s="11">
        <f t="shared" si="136"/>
        <v>0</v>
      </c>
      <c r="P154" s="25"/>
      <c r="Q154" s="10" t="str">
        <f t="shared" si="73"/>
        <v>OutubroSEMANA 2Pescados - Namorado</v>
      </c>
      <c r="R154" s="7">
        <f>SUMIF(NF!$A:$A,$Q154,NF!$I:$I)</f>
        <v>0</v>
      </c>
      <c r="S154" s="6"/>
      <c r="T154" s="6"/>
      <c r="U154" s="6"/>
      <c r="V154" s="6"/>
      <c r="W154" s="6"/>
      <c r="X154" s="6"/>
      <c r="Y154" s="6"/>
      <c r="Z154" s="7">
        <f t="shared" si="143"/>
        <v>0</v>
      </c>
      <c r="AA154" s="11">
        <f t="shared" si="137"/>
        <v>0</v>
      </c>
      <c r="AB154" s="25"/>
      <c r="AC154" s="10" t="str">
        <f t="shared" si="76"/>
        <v>OutubroSEMANA 3Pescados - Namorado</v>
      </c>
      <c r="AD154" s="7">
        <f>SUMIF(NF!$A:$A,$AC154,NF!$I:$I)</f>
        <v>0</v>
      </c>
      <c r="AE154" s="6"/>
      <c r="AF154" s="6"/>
      <c r="AG154" s="6"/>
      <c r="AH154" s="6"/>
      <c r="AI154" s="6"/>
      <c r="AJ154" s="6"/>
      <c r="AK154" s="6"/>
      <c r="AL154" s="7">
        <f t="shared" si="144"/>
        <v>0</v>
      </c>
      <c r="AM154" s="11">
        <f t="shared" si="138"/>
        <v>0</v>
      </c>
      <c r="AN154" s="25"/>
      <c r="AO154" s="10" t="str">
        <f t="shared" si="79"/>
        <v>OutubroSEMANA 4Pescados - Namorado</v>
      </c>
      <c r="AP154" s="7">
        <f>SUMIF(NF!$A:$A,$AO154,NF!$I:$I)</f>
        <v>0</v>
      </c>
      <c r="AQ154" s="6"/>
      <c r="AR154" s="6"/>
      <c r="AS154" s="6"/>
      <c r="AT154" s="6"/>
      <c r="AU154" s="6"/>
      <c r="AV154" s="6"/>
      <c r="AW154" s="6"/>
      <c r="AX154" s="7">
        <f t="shared" si="145"/>
        <v>0</v>
      </c>
      <c r="AY154" s="11">
        <f t="shared" si="139"/>
        <v>0</v>
      </c>
      <c r="AZ154" s="25"/>
      <c r="BA154" s="10" t="str">
        <f t="shared" si="82"/>
        <v>OutubroSEMANA 5Pescados - Namorado</v>
      </c>
      <c r="BB154" s="7">
        <f>SUMIF(NF!$A:$A,$BA154,NF!$I:$I)</f>
        <v>0</v>
      </c>
      <c r="BC154" s="6"/>
      <c r="BD154" s="6"/>
      <c r="BE154" s="6"/>
      <c r="BF154" s="74"/>
      <c r="BG154" s="74"/>
      <c r="BH154" s="74"/>
      <c r="BI154" s="74"/>
      <c r="BJ154" s="74"/>
      <c r="BK154" s="7">
        <f t="shared" si="146"/>
        <v>0</v>
      </c>
      <c r="BL154" s="8">
        <f t="shared" si="140"/>
        <v>0</v>
      </c>
      <c r="BM154" s="51" t="str">
        <f>IFERROR(VLOOKUP(A154,NF!$M:$O,3,0),"")</f>
        <v>Carnes</v>
      </c>
      <c r="BN154" s="7">
        <f t="shared" si="141"/>
        <v>0</v>
      </c>
      <c r="BO154" s="8">
        <f t="array" ref="BO154">IFERROR(LARGE(IF(NF!$G$2:$G$3137='Mês atual'!A154,NF!$J$2:$J$3137),1),0)*BN154</f>
        <v>0</v>
      </c>
      <c r="BP154" s="50"/>
      <c r="BR154" s="147">
        <f t="array" ref="BR154">IFERROR(LARGE(IF(NF!$G$2:$G$3137='Mês atual'!A154,NF!$J$2:$J$3137),1),0)</f>
        <v>0</v>
      </c>
      <c r="BS154" s="143" t="str">
        <f>VLOOKUP(A154,NF!M:O,3,0)</f>
        <v>Carnes</v>
      </c>
    </row>
    <row r="155" spans="1:71" x14ac:dyDescent="0.25">
      <c r="A155" s="108" t="s">
        <v>628</v>
      </c>
      <c r="B155" s="12"/>
      <c r="C155" s="9"/>
      <c r="D155" s="25"/>
      <c r="E155" s="10" t="str">
        <f t="shared" si="70"/>
        <v>OutubroSEMANA 1Pescados - Olhete Fresco</v>
      </c>
      <c r="F155" s="7">
        <f>SUMIF(NF!$A:$A,$E155,NF!$I:$I)</f>
        <v>0</v>
      </c>
      <c r="G155" s="6"/>
      <c r="H155" s="6"/>
      <c r="I155" s="6"/>
      <c r="J155" s="6"/>
      <c r="K155" s="6"/>
      <c r="L155" s="6"/>
      <c r="M155" s="6"/>
      <c r="N155" s="7">
        <f t="shared" ref="N155:N158" si="147">SUM(G155:M155)</f>
        <v>0</v>
      </c>
      <c r="O155" s="11">
        <f t="shared" si="136"/>
        <v>0</v>
      </c>
      <c r="P155" s="25"/>
      <c r="Q155" s="10" t="str">
        <f t="shared" si="73"/>
        <v>OutubroSEMANA 2Pescados - Olhete Fresco</v>
      </c>
      <c r="R155" s="7">
        <f>SUMIF(NF!$A:$A,$Q155,NF!$I:$I)</f>
        <v>0</v>
      </c>
      <c r="S155" s="6"/>
      <c r="T155" s="6"/>
      <c r="U155" s="6"/>
      <c r="V155" s="6"/>
      <c r="W155" s="6"/>
      <c r="X155" s="6"/>
      <c r="Y155" s="6"/>
      <c r="Z155" s="7">
        <f t="shared" ref="Z155:Z158" si="148">SUM(S155:Y155)</f>
        <v>0</v>
      </c>
      <c r="AA155" s="11">
        <f t="shared" si="137"/>
        <v>0</v>
      </c>
      <c r="AB155" s="25"/>
      <c r="AC155" s="10" t="str">
        <f t="shared" si="76"/>
        <v>OutubroSEMANA 3Pescados - Olhete Fresco</v>
      </c>
      <c r="AD155" s="7">
        <f>SUMIF(NF!$A:$A,$AC155,NF!$I:$I)</f>
        <v>0</v>
      </c>
      <c r="AE155" s="6"/>
      <c r="AF155" s="6"/>
      <c r="AG155" s="6"/>
      <c r="AH155" s="6"/>
      <c r="AI155" s="6"/>
      <c r="AJ155" s="6"/>
      <c r="AK155" s="6"/>
      <c r="AL155" s="7">
        <f t="shared" ref="AL155:AL158" si="149">SUM(AE155:AK155)</f>
        <v>0</v>
      </c>
      <c r="AM155" s="11">
        <f t="shared" si="138"/>
        <v>0</v>
      </c>
      <c r="AN155" s="25"/>
      <c r="AO155" s="10" t="str">
        <f t="shared" si="79"/>
        <v>OutubroSEMANA 4Pescados - Olhete Fresco</v>
      </c>
      <c r="AP155" s="7">
        <f>SUMIF(NF!$A:$A,$AO155,NF!$I:$I)</f>
        <v>0</v>
      </c>
      <c r="AQ155" s="6"/>
      <c r="AR155" s="6"/>
      <c r="AS155" s="6"/>
      <c r="AT155" s="6"/>
      <c r="AU155" s="6"/>
      <c r="AV155" s="6"/>
      <c r="AW155" s="6"/>
      <c r="AX155" s="7">
        <f t="shared" ref="AX155:AX158" si="150">SUM(AQ155:AW155)</f>
        <v>0</v>
      </c>
      <c r="AY155" s="11">
        <f t="shared" si="139"/>
        <v>0</v>
      </c>
      <c r="AZ155" s="25"/>
      <c r="BA155" s="10" t="str">
        <f t="shared" si="82"/>
        <v>OutubroSEMANA 5Pescados - Olhete Fresco</v>
      </c>
      <c r="BB155" s="7">
        <f>SUMIF(NF!$A:$A,$BA155,NF!$I:$I)</f>
        <v>0</v>
      </c>
      <c r="BC155" s="6"/>
      <c r="BD155" s="6"/>
      <c r="BE155" s="6"/>
      <c r="BF155" s="74"/>
      <c r="BG155" s="74"/>
      <c r="BH155" s="74"/>
      <c r="BI155" s="74"/>
      <c r="BJ155" s="74"/>
      <c r="BK155" s="7">
        <f t="shared" ref="BK155:BK158" si="151">SUM(BC155:BJ155)</f>
        <v>0</v>
      </c>
      <c r="BL155" s="8">
        <f t="shared" si="140"/>
        <v>0</v>
      </c>
      <c r="BM155" s="51" t="str">
        <f>IFERROR(VLOOKUP(A155,NF!$M:$O,3,0),"")</f>
        <v>Carnes</v>
      </c>
      <c r="BN155" s="7">
        <f t="shared" si="141"/>
        <v>0</v>
      </c>
      <c r="BO155" s="8">
        <f t="array" ref="BO155">IFERROR(LARGE(IF(NF!$G$2:$G$3137='Mês atual'!A155,NF!$J$2:$J$3137),1),0)*BN155</f>
        <v>0</v>
      </c>
      <c r="BP155" s="50"/>
      <c r="BR155" s="147">
        <f t="array" ref="BR155">IFERROR(LARGE(IF(NF!$G$2:$G$3137='Mês atual'!A155,NF!$J$2:$J$3137),1),0)</f>
        <v>0</v>
      </c>
      <c r="BS155" s="143" t="str">
        <f>VLOOKUP(A155,NF!M:O,3,0)</f>
        <v>Carnes</v>
      </c>
    </row>
    <row r="156" spans="1:71" x14ac:dyDescent="0.25">
      <c r="A156" s="108" t="s">
        <v>630</v>
      </c>
      <c r="B156" s="12"/>
      <c r="C156" s="9"/>
      <c r="D156" s="25"/>
      <c r="E156" s="10" t="str">
        <f t="shared" si="70"/>
        <v>OutubroSEMANA 1Pescados - Olho de Boi</v>
      </c>
      <c r="F156" s="7">
        <f>SUMIF(NF!$A:$A,$E156,NF!$I:$I)</f>
        <v>0</v>
      </c>
      <c r="G156" s="6"/>
      <c r="H156" s="6"/>
      <c r="I156" s="6"/>
      <c r="J156" s="6"/>
      <c r="K156" s="6"/>
      <c r="L156" s="6"/>
      <c r="M156" s="6"/>
      <c r="N156" s="7">
        <f t="shared" si="147"/>
        <v>0</v>
      </c>
      <c r="O156" s="11">
        <f t="shared" si="136"/>
        <v>0</v>
      </c>
      <c r="P156" s="25"/>
      <c r="Q156" s="10" t="str">
        <f t="shared" si="73"/>
        <v>OutubroSEMANA 2Pescados - Olho de Boi</v>
      </c>
      <c r="R156" s="7">
        <f>SUMIF(NF!$A:$A,$Q156,NF!$I:$I)</f>
        <v>0</v>
      </c>
      <c r="S156" s="6"/>
      <c r="T156" s="6"/>
      <c r="U156" s="6"/>
      <c r="V156" s="6"/>
      <c r="W156" s="6"/>
      <c r="X156" s="6"/>
      <c r="Y156" s="6"/>
      <c r="Z156" s="7">
        <f t="shared" si="148"/>
        <v>0</v>
      </c>
      <c r="AA156" s="11">
        <f t="shared" si="137"/>
        <v>0</v>
      </c>
      <c r="AB156" s="25"/>
      <c r="AC156" s="10" t="str">
        <f t="shared" si="76"/>
        <v>OutubroSEMANA 3Pescados - Olho de Boi</v>
      </c>
      <c r="AD156" s="7">
        <f>SUMIF(NF!$A:$A,$AC156,NF!$I:$I)</f>
        <v>0</v>
      </c>
      <c r="AE156" s="6"/>
      <c r="AF156" s="6"/>
      <c r="AG156" s="6"/>
      <c r="AH156" s="6"/>
      <c r="AI156" s="6"/>
      <c r="AJ156" s="6"/>
      <c r="AK156" s="6"/>
      <c r="AL156" s="7">
        <f t="shared" si="149"/>
        <v>0</v>
      </c>
      <c r="AM156" s="11">
        <f t="shared" si="138"/>
        <v>0</v>
      </c>
      <c r="AN156" s="25"/>
      <c r="AO156" s="10" t="str">
        <f t="shared" si="79"/>
        <v>OutubroSEMANA 4Pescados - Olho de Boi</v>
      </c>
      <c r="AP156" s="7">
        <f>SUMIF(NF!$A:$A,$AO156,NF!$I:$I)</f>
        <v>0</v>
      </c>
      <c r="AQ156" s="6"/>
      <c r="AR156" s="6"/>
      <c r="AS156" s="6"/>
      <c r="AT156" s="6"/>
      <c r="AU156" s="6"/>
      <c r="AV156" s="6"/>
      <c r="AW156" s="6"/>
      <c r="AX156" s="7">
        <f t="shared" si="150"/>
        <v>0</v>
      </c>
      <c r="AY156" s="11">
        <f t="shared" si="139"/>
        <v>0</v>
      </c>
      <c r="AZ156" s="25"/>
      <c r="BA156" s="10" t="str">
        <f t="shared" si="82"/>
        <v>OutubroSEMANA 5Pescados - Olho de Boi</v>
      </c>
      <c r="BB156" s="7">
        <f>SUMIF(NF!$A:$A,$BA156,NF!$I:$I)</f>
        <v>0</v>
      </c>
      <c r="BC156" s="6"/>
      <c r="BD156" s="6"/>
      <c r="BE156" s="6"/>
      <c r="BF156" s="74"/>
      <c r="BG156" s="74"/>
      <c r="BH156" s="74"/>
      <c r="BI156" s="74"/>
      <c r="BJ156" s="74"/>
      <c r="BK156" s="7">
        <f t="shared" si="151"/>
        <v>0</v>
      </c>
      <c r="BL156" s="8">
        <f t="shared" si="140"/>
        <v>0</v>
      </c>
      <c r="BM156" s="51" t="str">
        <f>IFERROR(VLOOKUP(A156,NF!$M:$O,3,0),"")</f>
        <v>Carnes</v>
      </c>
      <c r="BN156" s="7">
        <f t="shared" si="141"/>
        <v>0</v>
      </c>
      <c r="BO156" s="8">
        <f t="array" ref="BO156">IFERROR(LARGE(IF(NF!$G$2:$G$3137='Mês atual'!A156,NF!$J$2:$J$3137),1),0)*BN156</f>
        <v>0</v>
      </c>
      <c r="BP156" s="50"/>
      <c r="BR156" s="147">
        <f t="array" ref="BR156">IFERROR(LARGE(IF(NF!$G$2:$G$3137='Mês atual'!A156,NF!$J$2:$J$3137),1),0)</f>
        <v>0</v>
      </c>
      <c r="BS156" s="143" t="str">
        <f>VLOOKUP(A156,NF!M:O,3,0)</f>
        <v>Carnes</v>
      </c>
    </row>
    <row r="157" spans="1:71" x14ac:dyDescent="0.25">
      <c r="A157" s="108" t="s">
        <v>632</v>
      </c>
      <c r="B157" s="12"/>
      <c r="C157" s="9"/>
      <c r="D157" s="25"/>
      <c r="E157" s="10" t="str">
        <f t="shared" si="70"/>
        <v>OutubroSEMANA 1Pescados - Ostras Frescas</v>
      </c>
      <c r="F157" s="7">
        <f>SUMIF(NF!$A:$A,$E157,NF!$I:$I)</f>
        <v>0</v>
      </c>
      <c r="G157" s="6"/>
      <c r="H157" s="6"/>
      <c r="I157" s="6"/>
      <c r="J157" s="6"/>
      <c r="K157" s="6"/>
      <c r="L157" s="6"/>
      <c r="M157" s="6"/>
      <c r="N157" s="7">
        <f t="shared" si="147"/>
        <v>0</v>
      </c>
      <c r="O157" s="11">
        <f t="shared" si="136"/>
        <v>0</v>
      </c>
      <c r="P157" s="25"/>
      <c r="Q157" s="10" t="str">
        <f t="shared" si="73"/>
        <v>OutubroSEMANA 2Pescados - Ostras Frescas</v>
      </c>
      <c r="R157" s="7">
        <f>SUMIF(NF!$A:$A,$Q157,NF!$I:$I)</f>
        <v>0</v>
      </c>
      <c r="S157" s="6"/>
      <c r="T157" s="6"/>
      <c r="U157" s="6"/>
      <c r="V157" s="6"/>
      <c r="W157" s="6"/>
      <c r="X157" s="6"/>
      <c r="Y157" s="6"/>
      <c r="Z157" s="7">
        <f t="shared" si="148"/>
        <v>0</v>
      </c>
      <c r="AA157" s="11">
        <f t="shared" si="137"/>
        <v>0</v>
      </c>
      <c r="AB157" s="25"/>
      <c r="AC157" s="10" t="str">
        <f t="shared" si="76"/>
        <v>OutubroSEMANA 3Pescados - Ostras Frescas</v>
      </c>
      <c r="AD157" s="7">
        <f>SUMIF(NF!$A:$A,$AC157,NF!$I:$I)</f>
        <v>0</v>
      </c>
      <c r="AE157" s="6"/>
      <c r="AF157" s="6"/>
      <c r="AG157" s="6"/>
      <c r="AH157" s="6"/>
      <c r="AI157" s="6"/>
      <c r="AJ157" s="6"/>
      <c r="AK157" s="6"/>
      <c r="AL157" s="7">
        <f t="shared" si="149"/>
        <v>0</v>
      </c>
      <c r="AM157" s="11">
        <f t="shared" si="138"/>
        <v>0</v>
      </c>
      <c r="AN157" s="25"/>
      <c r="AO157" s="10" t="str">
        <f t="shared" si="79"/>
        <v>OutubroSEMANA 4Pescados - Ostras Frescas</v>
      </c>
      <c r="AP157" s="7">
        <f>SUMIF(NF!$A:$A,$AO157,NF!$I:$I)</f>
        <v>0</v>
      </c>
      <c r="AQ157" s="6"/>
      <c r="AR157" s="6"/>
      <c r="AS157" s="6"/>
      <c r="AT157" s="6"/>
      <c r="AU157" s="6"/>
      <c r="AV157" s="6"/>
      <c r="AW157" s="6"/>
      <c r="AX157" s="7">
        <f t="shared" si="150"/>
        <v>0</v>
      </c>
      <c r="AY157" s="11">
        <f t="shared" si="139"/>
        <v>0</v>
      </c>
      <c r="AZ157" s="25"/>
      <c r="BA157" s="10" t="str">
        <f t="shared" si="82"/>
        <v>OutubroSEMANA 5Pescados - Ostras Frescas</v>
      </c>
      <c r="BB157" s="7">
        <f>SUMIF(NF!$A:$A,$BA157,NF!$I:$I)</f>
        <v>0</v>
      </c>
      <c r="BC157" s="6"/>
      <c r="BD157" s="6"/>
      <c r="BE157" s="6"/>
      <c r="BF157" s="74"/>
      <c r="BG157" s="74"/>
      <c r="BH157" s="74"/>
      <c r="BI157" s="74"/>
      <c r="BJ157" s="74"/>
      <c r="BK157" s="7">
        <f t="shared" si="151"/>
        <v>0</v>
      </c>
      <c r="BL157" s="8">
        <f t="shared" si="140"/>
        <v>0</v>
      </c>
      <c r="BM157" s="51" t="str">
        <f>IFERROR(VLOOKUP(A157,NF!$M:$O,3,0),"")</f>
        <v>Carnes</v>
      </c>
      <c r="BN157" s="7">
        <f t="shared" si="141"/>
        <v>0</v>
      </c>
      <c r="BO157" s="8">
        <f t="array" ref="BO157">IFERROR(LARGE(IF(NF!$G$2:$G$3137='Mês atual'!A157,NF!$J$2:$J$3137),1),0)*BN157</f>
        <v>0</v>
      </c>
      <c r="BP157" s="50"/>
      <c r="BR157" s="147">
        <f t="array" ref="BR157">IFERROR(LARGE(IF(NF!$G$2:$G$3137='Mês atual'!A157,NF!$J$2:$J$3137),1),0)</f>
        <v>0</v>
      </c>
      <c r="BS157" s="143" t="str">
        <f>VLOOKUP(A157,NF!M:O,3,0)</f>
        <v>Carnes</v>
      </c>
    </row>
    <row r="158" spans="1:71" x14ac:dyDescent="0.25">
      <c r="A158" s="108" t="s">
        <v>634</v>
      </c>
      <c r="B158" s="12"/>
      <c r="C158" s="9"/>
      <c r="D158" s="25"/>
      <c r="E158" s="10" t="str">
        <f t="shared" si="70"/>
        <v>OutubroSEMANA 1Pescados - Pescada Amarela Fresca</v>
      </c>
      <c r="F158" s="7">
        <f>SUMIF(NF!$A:$A,$E158,NF!$I:$I)</f>
        <v>0</v>
      </c>
      <c r="G158" s="6"/>
      <c r="H158" s="6"/>
      <c r="I158" s="6"/>
      <c r="J158" s="6"/>
      <c r="K158" s="6"/>
      <c r="L158" s="6"/>
      <c r="M158" s="6"/>
      <c r="N158" s="7">
        <f t="shared" si="147"/>
        <v>0</v>
      </c>
      <c r="O158" s="11">
        <f t="shared" si="136"/>
        <v>0</v>
      </c>
      <c r="P158" s="25"/>
      <c r="Q158" s="10" t="str">
        <f t="shared" si="73"/>
        <v>OutubroSEMANA 2Pescados - Pescada Amarela Fresca</v>
      </c>
      <c r="R158" s="7">
        <f>SUMIF(NF!$A:$A,$Q158,NF!$I:$I)</f>
        <v>0</v>
      </c>
      <c r="S158" s="6"/>
      <c r="T158" s="6"/>
      <c r="U158" s="6"/>
      <c r="V158" s="6"/>
      <c r="W158" s="6"/>
      <c r="X158" s="6"/>
      <c r="Y158" s="6"/>
      <c r="Z158" s="7">
        <f t="shared" si="148"/>
        <v>0</v>
      </c>
      <c r="AA158" s="11">
        <f t="shared" si="137"/>
        <v>0</v>
      </c>
      <c r="AB158" s="25"/>
      <c r="AC158" s="10" t="str">
        <f t="shared" si="76"/>
        <v>OutubroSEMANA 3Pescados - Pescada Amarela Fresca</v>
      </c>
      <c r="AD158" s="7">
        <f>SUMIF(NF!$A:$A,$AC158,NF!$I:$I)</f>
        <v>0</v>
      </c>
      <c r="AE158" s="6"/>
      <c r="AF158" s="6"/>
      <c r="AG158" s="6"/>
      <c r="AH158" s="6"/>
      <c r="AI158" s="6"/>
      <c r="AJ158" s="6"/>
      <c r="AK158" s="6"/>
      <c r="AL158" s="7">
        <f t="shared" si="149"/>
        <v>0</v>
      </c>
      <c r="AM158" s="11">
        <f t="shared" si="138"/>
        <v>0</v>
      </c>
      <c r="AN158" s="25"/>
      <c r="AO158" s="10" t="str">
        <f t="shared" si="79"/>
        <v>OutubroSEMANA 4Pescados - Pescada Amarela Fresca</v>
      </c>
      <c r="AP158" s="7">
        <f>SUMIF(NF!$A:$A,$AO158,NF!$I:$I)</f>
        <v>0</v>
      </c>
      <c r="AQ158" s="6"/>
      <c r="AR158" s="6"/>
      <c r="AS158" s="6"/>
      <c r="AT158" s="6"/>
      <c r="AU158" s="6"/>
      <c r="AV158" s="6"/>
      <c r="AW158" s="6"/>
      <c r="AX158" s="7">
        <f t="shared" si="150"/>
        <v>0</v>
      </c>
      <c r="AY158" s="11">
        <f t="shared" si="139"/>
        <v>0</v>
      </c>
      <c r="AZ158" s="25"/>
      <c r="BA158" s="10" t="str">
        <f t="shared" si="82"/>
        <v>OutubroSEMANA 5Pescados - Pescada Amarela Fresca</v>
      </c>
      <c r="BB158" s="7">
        <f>SUMIF(NF!$A:$A,$BA158,NF!$I:$I)</f>
        <v>0</v>
      </c>
      <c r="BC158" s="6"/>
      <c r="BD158" s="6"/>
      <c r="BE158" s="6"/>
      <c r="BF158" s="74"/>
      <c r="BG158" s="74"/>
      <c r="BH158" s="74"/>
      <c r="BI158" s="74"/>
      <c r="BJ158" s="74"/>
      <c r="BK158" s="7">
        <f t="shared" si="151"/>
        <v>0</v>
      </c>
      <c r="BL158" s="8">
        <f t="shared" si="140"/>
        <v>0</v>
      </c>
      <c r="BM158" s="51" t="str">
        <f>IFERROR(VLOOKUP(A158,NF!$M:$O,3,0),"")</f>
        <v>Carnes</v>
      </c>
      <c r="BN158" s="7">
        <f t="shared" si="141"/>
        <v>0</v>
      </c>
      <c r="BO158" s="8">
        <f t="array" ref="BO158">IFERROR(LARGE(IF(NF!$G$2:$G$3137='Mês atual'!A158,NF!$J$2:$J$3137),1),0)*BN158</f>
        <v>0</v>
      </c>
      <c r="BP158" s="50"/>
      <c r="BR158" s="147">
        <f t="array" ref="BR158">IFERROR(LARGE(IF(NF!$G$2:$G$3137='Mês atual'!A158,NF!$J$2:$J$3137),1),0)</f>
        <v>0</v>
      </c>
      <c r="BS158" s="143" t="str">
        <f>VLOOKUP(A158,NF!M:O,3,0)</f>
        <v>Carnes</v>
      </c>
    </row>
    <row r="159" spans="1:71" x14ac:dyDescent="0.25">
      <c r="A159" s="108" t="s">
        <v>635</v>
      </c>
      <c r="B159" s="12"/>
      <c r="C159" s="9"/>
      <c r="D159" s="25"/>
      <c r="E159" s="10" t="str">
        <f t="shared" si="70"/>
        <v>OutubroSEMANA 1Pescados - Pintado Cong.</v>
      </c>
      <c r="F159" s="7">
        <f>SUMIF(NF!$A:$A,$E159,NF!$I:$I)</f>
        <v>0</v>
      </c>
      <c r="G159" s="6"/>
      <c r="H159" s="6"/>
      <c r="I159" s="6"/>
      <c r="J159" s="6"/>
      <c r="K159" s="6"/>
      <c r="L159" s="6"/>
      <c r="M159" s="6"/>
      <c r="N159" s="7">
        <f t="shared" ref="N159:N178" si="152">SUM(G159:M159)</f>
        <v>0</v>
      </c>
      <c r="O159" s="11">
        <f t="shared" si="136"/>
        <v>0</v>
      </c>
      <c r="P159" s="25"/>
      <c r="Q159" s="10" t="str">
        <f t="shared" si="73"/>
        <v>OutubroSEMANA 2Pescados - Pintado Cong.</v>
      </c>
      <c r="R159" s="7">
        <f>SUMIF(NF!$A:$A,$Q159,NF!$I:$I)</f>
        <v>0</v>
      </c>
      <c r="S159" s="6"/>
      <c r="T159" s="6"/>
      <c r="U159" s="6"/>
      <c r="V159" s="6"/>
      <c r="W159" s="6"/>
      <c r="X159" s="6"/>
      <c r="Y159" s="6"/>
      <c r="Z159" s="7">
        <f t="shared" ref="Z159:Z178" si="153">SUM(S159:Y159)</f>
        <v>0</v>
      </c>
      <c r="AA159" s="11">
        <f t="shared" si="137"/>
        <v>0</v>
      </c>
      <c r="AB159" s="25"/>
      <c r="AC159" s="10" t="str">
        <f t="shared" si="76"/>
        <v>OutubroSEMANA 3Pescados - Pintado Cong.</v>
      </c>
      <c r="AD159" s="7">
        <f>SUMIF(NF!$A:$A,$AC159,NF!$I:$I)</f>
        <v>0</v>
      </c>
      <c r="AE159" s="6"/>
      <c r="AF159" s="6"/>
      <c r="AG159" s="6"/>
      <c r="AH159" s="6"/>
      <c r="AI159" s="6"/>
      <c r="AJ159" s="6"/>
      <c r="AK159" s="6"/>
      <c r="AL159" s="7">
        <f t="shared" ref="AL159:AL178" si="154">SUM(AE159:AK159)</f>
        <v>0</v>
      </c>
      <c r="AM159" s="11">
        <f t="shared" si="138"/>
        <v>0</v>
      </c>
      <c r="AN159" s="25"/>
      <c r="AO159" s="10" t="str">
        <f t="shared" si="79"/>
        <v>OutubroSEMANA 4Pescados - Pintado Cong.</v>
      </c>
      <c r="AP159" s="7">
        <f>SUMIF(NF!$A:$A,$AO159,NF!$I:$I)</f>
        <v>0</v>
      </c>
      <c r="AQ159" s="6"/>
      <c r="AR159" s="6"/>
      <c r="AS159" s="6"/>
      <c r="AT159" s="6"/>
      <c r="AU159" s="6"/>
      <c r="AV159" s="6"/>
      <c r="AW159" s="6"/>
      <c r="AX159" s="7">
        <f t="shared" ref="AX159:AX178" si="155">SUM(AQ159:AW159)</f>
        <v>0</v>
      </c>
      <c r="AY159" s="11">
        <f t="shared" si="139"/>
        <v>0</v>
      </c>
      <c r="AZ159" s="25"/>
      <c r="BA159" s="10" t="str">
        <f t="shared" si="82"/>
        <v>OutubroSEMANA 5Pescados - Pintado Cong.</v>
      </c>
      <c r="BB159" s="7">
        <f>SUMIF(NF!$A:$A,$BA159,NF!$I:$I)</f>
        <v>0</v>
      </c>
      <c r="BC159" s="6"/>
      <c r="BD159" s="6"/>
      <c r="BE159" s="6"/>
      <c r="BF159" s="74"/>
      <c r="BG159" s="74"/>
      <c r="BH159" s="74"/>
      <c r="BI159" s="74"/>
      <c r="BJ159" s="74"/>
      <c r="BK159" s="7">
        <f t="shared" ref="BK159:BK178" si="156">SUM(BC159:BJ159)</f>
        <v>0</v>
      </c>
      <c r="BL159" s="8">
        <f t="shared" si="140"/>
        <v>0</v>
      </c>
      <c r="BM159" s="51" t="str">
        <f>IFERROR(VLOOKUP(A159,NF!$M:$O,3,0),"")</f>
        <v>Carnes</v>
      </c>
      <c r="BN159" s="7">
        <f t="shared" si="141"/>
        <v>0</v>
      </c>
      <c r="BO159" s="8">
        <f t="array" ref="BO159">IFERROR(LARGE(IF(NF!$G$2:$G$3137='Mês atual'!A159,NF!$J$2:$J$3137),1),0)*BN159</f>
        <v>0</v>
      </c>
      <c r="BP159" s="50"/>
      <c r="BR159" s="147">
        <f t="array" ref="BR159">IFERROR(LARGE(IF(NF!$G$2:$G$3137='Mês atual'!A159,NF!$J$2:$J$3137),1),0)</f>
        <v>0</v>
      </c>
      <c r="BS159" s="143" t="str">
        <f>VLOOKUP(A159,NF!M:O,3,0)</f>
        <v>Carnes</v>
      </c>
    </row>
    <row r="160" spans="1:71" x14ac:dyDescent="0.25">
      <c r="A160" s="108" t="s">
        <v>636</v>
      </c>
      <c r="B160" s="12"/>
      <c r="C160" s="9"/>
      <c r="D160" s="25"/>
      <c r="E160" s="10" t="str">
        <f t="shared" si="70"/>
        <v>OutubroSEMANA 1Pescados - Polvo Fresco G</v>
      </c>
      <c r="F160" s="7">
        <f>SUMIF(NF!$A:$A,$E160,NF!$I:$I)</f>
        <v>0</v>
      </c>
      <c r="G160" s="6"/>
      <c r="H160" s="6"/>
      <c r="I160" s="6"/>
      <c r="J160" s="6"/>
      <c r="K160" s="6"/>
      <c r="L160" s="6"/>
      <c r="M160" s="6"/>
      <c r="N160" s="7">
        <f t="shared" si="152"/>
        <v>0</v>
      </c>
      <c r="O160" s="11">
        <f t="shared" si="136"/>
        <v>0</v>
      </c>
      <c r="P160" s="25"/>
      <c r="Q160" s="10" t="str">
        <f t="shared" si="73"/>
        <v>OutubroSEMANA 2Pescados - Polvo Fresco G</v>
      </c>
      <c r="R160" s="7">
        <f>SUMIF(NF!$A:$A,$Q160,NF!$I:$I)</f>
        <v>0</v>
      </c>
      <c r="S160" s="6"/>
      <c r="T160" s="6"/>
      <c r="U160" s="6"/>
      <c r="V160" s="6"/>
      <c r="W160" s="6"/>
      <c r="X160" s="6"/>
      <c r="Y160" s="6"/>
      <c r="Z160" s="7">
        <f t="shared" si="153"/>
        <v>0</v>
      </c>
      <c r="AA160" s="11">
        <f t="shared" si="137"/>
        <v>0</v>
      </c>
      <c r="AB160" s="25"/>
      <c r="AC160" s="10" t="str">
        <f t="shared" si="76"/>
        <v>OutubroSEMANA 3Pescados - Polvo Fresco G</v>
      </c>
      <c r="AD160" s="7">
        <f>SUMIF(NF!$A:$A,$AC160,NF!$I:$I)</f>
        <v>0</v>
      </c>
      <c r="AE160" s="6"/>
      <c r="AF160" s="6"/>
      <c r="AG160" s="6"/>
      <c r="AH160" s="6"/>
      <c r="AI160" s="6"/>
      <c r="AJ160" s="6"/>
      <c r="AK160" s="6"/>
      <c r="AL160" s="7">
        <f t="shared" si="154"/>
        <v>0</v>
      </c>
      <c r="AM160" s="11">
        <f t="shared" si="138"/>
        <v>0</v>
      </c>
      <c r="AN160" s="25"/>
      <c r="AO160" s="10" t="str">
        <f t="shared" si="79"/>
        <v>OutubroSEMANA 4Pescados - Polvo Fresco G</v>
      </c>
      <c r="AP160" s="7">
        <f>SUMIF(NF!$A:$A,$AO160,NF!$I:$I)</f>
        <v>0</v>
      </c>
      <c r="AQ160" s="6"/>
      <c r="AR160" s="6"/>
      <c r="AS160" s="6"/>
      <c r="AT160" s="6"/>
      <c r="AU160" s="6"/>
      <c r="AV160" s="6"/>
      <c r="AW160" s="6"/>
      <c r="AX160" s="7">
        <f t="shared" si="155"/>
        <v>0</v>
      </c>
      <c r="AY160" s="11">
        <f t="shared" si="139"/>
        <v>0</v>
      </c>
      <c r="AZ160" s="25"/>
      <c r="BA160" s="10" t="str">
        <f t="shared" si="82"/>
        <v>OutubroSEMANA 5Pescados - Polvo Fresco G</v>
      </c>
      <c r="BB160" s="7">
        <f>SUMIF(NF!$A:$A,$BA160,NF!$I:$I)</f>
        <v>0</v>
      </c>
      <c r="BC160" s="6"/>
      <c r="BD160" s="6"/>
      <c r="BE160" s="6"/>
      <c r="BF160" s="74"/>
      <c r="BG160" s="74"/>
      <c r="BH160" s="74"/>
      <c r="BI160" s="74"/>
      <c r="BJ160" s="74"/>
      <c r="BK160" s="7">
        <f t="shared" si="156"/>
        <v>0</v>
      </c>
      <c r="BL160" s="8">
        <f t="shared" si="140"/>
        <v>0</v>
      </c>
      <c r="BM160" s="51" t="str">
        <f>IFERROR(VLOOKUP(A160,NF!$M:$O,3,0),"")</f>
        <v>Carnes</v>
      </c>
      <c r="BN160" s="7">
        <f t="shared" si="141"/>
        <v>0</v>
      </c>
      <c r="BO160" s="8">
        <f t="array" ref="BO160">IFERROR(LARGE(IF(NF!$G$2:$G$3137='Mês atual'!A160,NF!$J$2:$J$3137),1),0)*BN160</f>
        <v>0</v>
      </c>
      <c r="BP160" s="50"/>
      <c r="BR160" s="147">
        <f t="array" ref="BR160">IFERROR(LARGE(IF(NF!$G$2:$G$3137='Mês atual'!A160,NF!$J$2:$J$3137),1),0)</f>
        <v>0</v>
      </c>
      <c r="BS160" s="143" t="str">
        <f>VLOOKUP(A160,NF!M:O,3,0)</f>
        <v>Carnes</v>
      </c>
    </row>
    <row r="161" spans="1:71" x14ac:dyDescent="0.25">
      <c r="A161" s="108" t="s">
        <v>638</v>
      </c>
      <c r="B161" s="12"/>
      <c r="C161" s="9"/>
      <c r="D161" s="25"/>
      <c r="E161" s="10" t="str">
        <f t="shared" si="70"/>
        <v>OutubroSEMANA 1Pescados - Polvo Fresco M</v>
      </c>
      <c r="F161" s="7">
        <f>SUMIF(NF!$A:$A,$E161,NF!$I:$I)</f>
        <v>0</v>
      </c>
      <c r="G161" s="6"/>
      <c r="H161" s="6"/>
      <c r="I161" s="6"/>
      <c r="J161" s="6"/>
      <c r="K161" s="6"/>
      <c r="L161" s="6"/>
      <c r="M161" s="6"/>
      <c r="N161" s="7">
        <f t="shared" si="152"/>
        <v>0</v>
      </c>
      <c r="O161" s="11">
        <f t="shared" si="136"/>
        <v>0</v>
      </c>
      <c r="P161" s="25"/>
      <c r="Q161" s="10" t="str">
        <f t="shared" si="73"/>
        <v>OutubroSEMANA 2Pescados - Polvo Fresco M</v>
      </c>
      <c r="R161" s="7">
        <f>SUMIF(NF!$A:$A,$Q161,NF!$I:$I)</f>
        <v>0</v>
      </c>
      <c r="S161" s="6"/>
      <c r="T161" s="6"/>
      <c r="U161" s="6"/>
      <c r="V161" s="6"/>
      <c r="W161" s="6"/>
      <c r="X161" s="6"/>
      <c r="Y161" s="6"/>
      <c r="Z161" s="7">
        <f t="shared" si="153"/>
        <v>0</v>
      </c>
      <c r="AA161" s="11">
        <f t="shared" si="137"/>
        <v>0</v>
      </c>
      <c r="AB161" s="25"/>
      <c r="AC161" s="10" t="str">
        <f t="shared" si="76"/>
        <v>OutubroSEMANA 3Pescados - Polvo Fresco M</v>
      </c>
      <c r="AD161" s="7">
        <f>SUMIF(NF!$A:$A,$AC161,NF!$I:$I)</f>
        <v>0</v>
      </c>
      <c r="AE161" s="6"/>
      <c r="AF161" s="6"/>
      <c r="AG161" s="6"/>
      <c r="AH161" s="6"/>
      <c r="AI161" s="6"/>
      <c r="AJ161" s="6"/>
      <c r="AK161" s="6"/>
      <c r="AL161" s="7">
        <f t="shared" si="154"/>
        <v>0</v>
      </c>
      <c r="AM161" s="11">
        <f t="shared" si="138"/>
        <v>0</v>
      </c>
      <c r="AN161" s="25"/>
      <c r="AO161" s="10" t="str">
        <f t="shared" si="79"/>
        <v>OutubroSEMANA 4Pescados - Polvo Fresco M</v>
      </c>
      <c r="AP161" s="7">
        <f>SUMIF(NF!$A:$A,$AO161,NF!$I:$I)</f>
        <v>0</v>
      </c>
      <c r="AQ161" s="6"/>
      <c r="AR161" s="6"/>
      <c r="AS161" s="6"/>
      <c r="AT161" s="6"/>
      <c r="AU161" s="6"/>
      <c r="AV161" s="6"/>
      <c r="AW161" s="6"/>
      <c r="AX161" s="7">
        <f t="shared" si="155"/>
        <v>0</v>
      </c>
      <c r="AY161" s="11">
        <f t="shared" si="139"/>
        <v>0</v>
      </c>
      <c r="AZ161" s="25"/>
      <c r="BA161" s="10" t="str">
        <f t="shared" si="82"/>
        <v>OutubroSEMANA 5Pescados - Polvo Fresco M</v>
      </c>
      <c r="BB161" s="7">
        <f>SUMIF(NF!$A:$A,$BA161,NF!$I:$I)</f>
        <v>0</v>
      </c>
      <c r="BC161" s="6"/>
      <c r="BD161" s="6"/>
      <c r="BE161" s="6"/>
      <c r="BF161" s="74"/>
      <c r="BG161" s="74"/>
      <c r="BH161" s="74"/>
      <c r="BI161" s="74"/>
      <c r="BJ161" s="74"/>
      <c r="BK161" s="7">
        <f t="shared" si="156"/>
        <v>0</v>
      </c>
      <c r="BL161" s="8">
        <f t="shared" si="140"/>
        <v>0</v>
      </c>
      <c r="BM161" s="51" t="str">
        <f>IFERROR(VLOOKUP(A161,NF!$M:$O,3,0),"")</f>
        <v>Carnes</v>
      </c>
      <c r="BN161" s="7">
        <f t="shared" si="141"/>
        <v>0</v>
      </c>
      <c r="BO161" s="8">
        <f t="array" ref="BO161">IFERROR(LARGE(IF(NF!$G$2:$G$3137='Mês atual'!A161,NF!$J$2:$J$3137),1),0)*BN161</f>
        <v>0</v>
      </c>
      <c r="BP161" s="50"/>
      <c r="BR161" s="147">
        <f t="array" ref="BR161">IFERROR(LARGE(IF(NF!$G$2:$G$3137='Mês atual'!A161,NF!$J$2:$J$3137),1),0)</f>
        <v>0</v>
      </c>
      <c r="BS161" s="143" t="str">
        <f>VLOOKUP(A161,NF!M:O,3,0)</f>
        <v>Carnes</v>
      </c>
    </row>
    <row r="162" spans="1:71" x14ac:dyDescent="0.25">
      <c r="A162" s="108" t="s">
        <v>640</v>
      </c>
      <c r="B162" s="12"/>
      <c r="C162" s="9"/>
      <c r="D162" s="25"/>
      <c r="E162" s="10" t="str">
        <f t="shared" si="70"/>
        <v>OutubroSEMANA 1Pescados - Polvo Tentáculos Cong. G</v>
      </c>
      <c r="F162" s="7">
        <f>SUMIF(NF!$A:$A,$E162,NF!$I:$I)</f>
        <v>0</v>
      </c>
      <c r="G162" s="6"/>
      <c r="H162" s="6"/>
      <c r="I162" s="6"/>
      <c r="J162" s="6"/>
      <c r="K162" s="6"/>
      <c r="L162" s="6"/>
      <c r="M162" s="6"/>
      <c r="N162" s="7">
        <f t="shared" si="152"/>
        <v>0</v>
      </c>
      <c r="O162" s="11">
        <f t="shared" si="136"/>
        <v>0</v>
      </c>
      <c r="P162" s="25"/>
      <c r="Q162" s="10" t="str">
        <f t="shared" si="73"/>
        <v>OutubroSEMANA 2Pescados - Polvo Tentáculos Cong. G</v>
      </c>
      <c r="R162" s="7">
        <f>SUMIF(NF!$A:$A,$Q162,NF!$I:$I)</f>
        <v>0</v>
      </c>
      <c r="S162" s="6"/>
      <c r="T162" s="6"/>
      <c r="U162" s="6"/>
      <c r="V162" s="6"/>
      <c r="W162" s="6"/>
      <c r="X162" s="6"/>
      <c r="Y162" s="6"/>
      <c r="Z162" s="7">
        <f t="shared" si="153"/>
        <v>0</v>
      </c>
      <c r="AA162" s="11">
        <f t="shared" si="137"/>
        <v>0</v>
      </c>
      <c r="AB162" s="25"/>
      <c r="AC162" s="10" t="str">
        <f t="shared" si="76"/>
        <v>OutubroSEMANA 3Pescados - Polvo Tentáculos Cong. G</v>
      </c>
      <c r="AD162" s="7">
        <f>SUMIF(NF!$A:$A,$AC162,NF!$I:$I)</f>
        <v>0</v>
      </c>
      <c r="AE162" s="6"/>
      <c r="AF162" s="6"/>
      <c r="AG162" s="6"/>
      <c r="AH162" s="6"/>
      <c r="AI162" s="6"/>
      <c r="AJ162" s="6"/>
      <c r="AK162" s="6"/>
      <c r="AL162" s="7">
        <f t="shared" si="154"/>
        <v>0</v>
      </c>
      <c r="AM162" s="11">
        <f t="shared" si="138"/>
        <v>0</v>
      </c>
      <c r="AN162" s="25"/>
      <c r="AO162" s="10" t="str">
        <f t="shared" si="79"/>
        <v>OutubroSEMANA 4Pescados - Polvo Tentáculos Cong. G</v>
      </c>
      <c r="AP162" s="7">
        <f>SUMIF(NF!$A:$A,$AO162,NF!$I:$I)</f>
        <v>0</v>
      </c>
      <c r="AQ162" s="6"/>
      <c r="AR162" s="6"/>
      <c r="AS162" s="6"/>
      <c r="AT162" s="6"/>
      <c r="AU162" s="6"/>
      <c r="AV162" s="6"/>
      <c r="AW162" s="6"/>
      <c r="AX162" s="7">
        <f t="shared" si="155"/>
        <v>0</v>
      </c>
      <c r="AY162" s="11">
        <f t="shared" si="139"/>
        <v>0</v>
      </c>
      <c r="AZ162" s="25"/>
      <c r="BA162" s="10" t="str">
        <f t="shared" si="82"/>
        <v>OutubroSEMANA 5Pescados - Polvo Tentáculos Cong. G</v>
      </c>
      <c r="BB162" s="7">
        <f>SUMIF(NF!$A:$A,$BA162,NF!$I:$I)</f>
        <v>0</v>
      </c>
      <c r="BC162" s="6"/>
      <c r="BD162" s="6"/>
      <c r="BE162" s="6"/>
      <c r="BF162" s="74"/>
      <c r="BG162" s="74"/>
      <c r="BH162" s="74"/>
      <c r="BI162" s="74"/>
      <c r="BJ162" s="74"/>
      <c r="BK162" s="7">
        <f t="shared" si="156"/>
        <v>0</v>
      </c>
      <c r="BL162" s="8">
        <f t="shared" si="140"/>
        <v>0</v>
      </c>
      <c r="BM162" s="51" t="str">
        <f>IFERROR(VLOOKUP(A162,NF!$M:$O,3,0),"")</f>
        <v>Carnes</v>
      </c>
      <c r="BN162" s="7">
        <f t="shared" si="141"/>
        <v>0</v>
      </c>
      <c r="BO162" s="8">
        <f t="array" ref="BO162">IFERROR(LARGE(IF(NF!$G$2:$G$3137='Mês atual'!A162,NF!$J$2:$J$3137),1),0)*BN162</f>
        <v>0</v>
      </c>
      <c r="BP162" s="50"/>
      <c r="BR162" s="147">
        <f t="array" ref="BR162">IFERROR(LARGE(IF(NF!$G$2:$G$3137='Mês atual'!A162,NF!$J$2:$J$3137),1),0)</f>
        <v>0</v>
      </c>
      <c r="BS162" s="143" t="str">
        <f>VLOOKUP(A162,NF!M:O,3,0)</f>
        <v>Carnes</v>
      </c>
    </row>
    <row r="163" spans="1:71" x14ac:dyDescent="0.25">
      <c r="A163" s="108" t="s">
        <v>641</v>
      </c>
      <c r="B163" s="12"/>
      <c r="C163" s="9"/>
      <c r="D163" s="25"/>
      <c r="E163" s="10" t="str">
        <f t="shared" si="70"/>
        <v>OutubroSEMANA 1Pescados - Polvo Tentáculos Cong. GG</v>
      </c>
      <c r="F163" s="7">
        <f>SUMIF(NF!$A:$A,$E163,NF!$I:$I)</f>
        <v>0</v>
      </c>
      <c r="G163" s="6"/>
      <c r="H163" s="6"/>
      <c r="I163" s="6"/>
      <c r="J163" s="6"/>
      <c r="K163" s="6"/>
      <c r="L163" s="6"/>
      <c r="M163" s="6"/>
      <c r="N163" s="7">
        <f t="shared" si="152"/>
        <v>0</v>
      </c>
      <c r="O163" s="11">
        <f t="shared" si="136"/>
        <v>0</v>
      </c>
      <c r="P163" s="25"/>
      <c r="Q163" s="10" t="str">
        <f t="shared" si="73"/>
        <v>OutubroSEMANA 2Pescados - Polvo Tentáculos Cong. GG</v>
      </c>
      <c r="R163" s="7">
        <f>SUMIF(NF!$A:$A,$Q163,NF!$I:$I)</f>
        <v>0</v>
      </c>
      <c r="S163" s="6"/>
      <c r="T163" s="6"/>
      <c r="U163" s="6"/>
      <c r="V163" s="6"/>
      <c r="W163" s="6"/>
      <c r="X163" s="6"/>
      <c r="Y163" s="6"/>
      <c r="Z163" s="7">
        <f t="shared" si="153"/>
        <v>0</v>
      </c>
      <c r="AA163" s="11">
        <f t="shared" si="137"/>
        <v>0</v>
      </c>
      <c r="AB163" s="25"/>
      <c r="AC163" s="10" t="str">
        <f t="shared" si="76"/>
        <v>OutubroSEMANA 3Pescados - Polvo Tentáculos Cong. GG</v>
      </c>
      <c r="AD163" s="7">
        <f>SUMIF(NF!$A:$A,$AC163,NF!$I:$I)</f>
        <v>0</v>
      </c>
      <c r="AE163" s="6"/>
      <c r="AF163" s="6"/>
      <c r="AG163" s="6"/>
      <c r="AH163" s="6"/>
      <c r="AI163" s="6"/>
      <c r="AJ163" s="6"/>
      <c r="AK163" s="6"/>
      <c r="AL163" s="7">
        <f t="shared" si="154"/>
        <v>0</v>
      </c>
      <c r="AM163" s="11">
        <f t="shared" si="138"/>
        <v>0</v>
      </c>
      <c r="AN163" s="25"/>
      <c r="AO163" s="10" t="str">
        <f t="shared" si="79"/>
        <v>OutubroSEMANA 4Pescados - Polvo Tentáculos Cong. GG</v>
      </c>
      <c r="AP163" s="7">
        <f>SUMIF(NF!$A:$A,$AO163,NF!$I:$I)</f>
        <v>0</v>
      </c>
      <c r="AQ163" s="6"/>
      <c r="AR163" s="6"/>
      <c r="AS163" s="6"/>
      <c r="AT163" s="6"/>
      <c r="AU163" s="6"/>
      <c r="AV163" s="6"/>
      <c r="AW163" s="6"/>
      <c r="AX163" s="7">
        <f t="shared" si="155"/>
        <v>0</v>
      </c>
      <c r="AY163" s="11">
        <f t="shared" si="139"/>
        <v>0</v>
      </c>
      <c r="AZ163" s="25"/>
      <c r="BA163" s="10" t="str">
        <f t="shared" si="82"/>
        <v>OutubroSEMANA 5Pescados - Polvo Tentáculos Cong. GG</v>
      </c>
      <c r="BB163" s="7">
        <f>SUMIF(NF!$A:$A,$BA163,NF!$I:$I)</f>
        <v>0</v>
      </c>
      <c r="BC163" s="6"/>
      <c r="BD163" s="6"/>
      <c r="BE163" s="6"/>
      <c r="BF163" s="74"/>
      <c r="BG163" s="74"/>
      <c r="BH163" s="74"/>
      <c r="BI163" s="74"/>
      <c r="BJ163" s="74"/>
      <c r="BK163" s="7">
        <f t="shared" si="156"/>
        <v>0</v>
      </c>
      <c r="BL163" s="8">
        <f t="shared" si="140"/>
        <v>0</v>
      </c>
      <c r="BM163" s="51" t="str">
        <f>IFERROR(VLOOKUP(A163,NF!$M:$O,3,0),"")</f>
        <v>Carnes</v>
      </c>
      <c r="BN163" s="7">
        <f t="shared" si="141"/>
        <v>0</v>
      </c>
      <c r="BO163" s="8">
        <f t="array" ref="BO163">IFERROR(LARGE(IF(NF!$G$2:$G$3137='Mês atual'!A163,NF!$J$2:$J$3137),1),0)*BN163</f>
        <v>0</v>
      </c>
      <c r="BP163" s="50"/>
      <c r="BR163" s="147">
        <f t="array" ref="BR163">IFERROR(LARGE(IF(NF!$G$2:$G$3137='Mês atual'!A163,NF!$J$2:$J$3137),1),0)</f>
        <v>0</v>
      </c>
      <c r="BS163" s="143" t="str">
        <f>VLOOKUP(A163,NF!M:O,3,0)</f>
        <v>Carnes</v>
      </c>
    </row>
    <row r="164" spans="1:71" x14ac:dyDescent="0.25">
      <c r="A164" s="108" t="s">
        <v>642</v>
      </c>
      <c r="B164" s="12"/>
      <c r="C164" s="9"/>
      <c r="D164" s="25"/>
      <c r="E164" s="10" t="str">
        <f t="shared" si="70"/>
        <v>OutubroSEMANA 1Pescados - Polvo Tentáculos Cong. M</v>
      </c>
      <c r="F164" s="7">
        <f>SUMIF(NF!$A:$A,$E164,NF!$I:$I)</f>
        <v>0</v>
      </c>
      <c r="G164" s="6"/>
      <c r="H164" s="6"/>
      <c r="I164" s="6"/>
      <c r="J164" s="6"/>
      <c r="K164" s="6"/>
      <c r="L164" s="6"/>
      <c r="M164" s="6"/>
      <c r="N164" s="7">
        <f t="shared" si="152"/>
        <v>0</v>
      </c>
      <c r="O164" s="11">
        <f t="shared" si="136"/>
        <v>0</v>
      </c>
      <c r="P164" s="25"/>
      <c r="Q164" s="10" t="str">
        <f t="shared" si="73"/>
        <v>OutubroSEMANA 2Pescados - Polvo Tentáculos Cong. M</v>
      </c>
      <c r="R164" s="7">
        <f>SUMIF(NF!$A:$A,$Q164,NF!$I:$I)</f>
        <v>0</v>
      </c>
      <c r="S164" s="6"/>
      <c r="T164" s="6"/>
      <c r="U164" s="6"/>
      <c r="V164" s="6"/>
      <c r="W164" s="6"/>
      <c r="X164" s="6"/>
      <c r="Y164" s="6"/>
      <c r="Z164" s="7">
        <f t="shared" si="153"/>
        <v>0</v>
      </c>
      <c r="AA164" s="11">
        <f t="shared" si="137"/>
        <v>0</v>
      </c>
      <c r="AB164" s="25"/>
      <c r="AC164" s="10" t="str">
        <f t="shared" si="76"/>
        <v>OutubroSEMANA 3Pescados - Polvo Tentáculos Cong. M</v>
      </c>
      <c r="AD164" s="7">
        <f>SUMIF(NF!$A:$A,$AC164,NF!$I:$I)</f>
        <v>0</v>
      </c>
      <c r="AE164" s="6"/>
      <c r="AF164" s="6"/>
      <c r="AG164" s="6"/>
      <c r="AH164" s="6"/>
      <c r="AI164" s="6"/>
      <c r="AJ164" s="6"/>
      <c r="AK164" s="6"/>
      <c r="AL164" s="7">
        <f t="shared" si="154"/>
        <v>0</v>
      </c>
      <c r="AM164" s="11">
        <f t="shared" si="138"/>
        <v>0</v>
      </c>
      <c r="AN164" s="25"/>
      <c r="AO164" s="10" t="str">
        <f t="shared" si="79"/>
        <v>OutubroSEMANA 4Pescados - Polvo Tentáculos Cong. M</v>
      </c>
      <c r="AP164" s="7">
        <f>SUMIF(NF!$A:$A,$AO164,NF!$I:$I)</f>
        <v>0</v>
      </c>
      <c r="AQ164" s="6"/>
      <c r="AR164" s="6"/>
      <c r="AS164" s="6"/>
      <c r="AT164" s="6"/>
      <c r="AU164" s="6"/>
      <c r="AV164" s="6"/>
      <c r="AW164" s="6"/>
      <c r="AX164" s="7">
        <f t="shared" si="155"/>
        <v>0</v>
      </c>
      <c r="AY164" s="11">
        <f t="shared" si="139"/>
        <v>0</v>
      </c>
      <c r="AZ164" s="25"/>
      <c r="BA164" s="10" t="str">
        <f t="shared" si="82"/>
        <v>OutubroSEMANA 5Pescados - Polvo Tentáculos Cong. M</v>
      </c>
      <c r="BB164" s="7">
        <f>SUMIF(NF!$A:$A,$BA164,NF!$I:$I)</f>
        <v>0</v>
      </c>
      <c r="BC164" s="6"/>
      <c r="BD164" s="6"/>
      <c r="BE164" s="6"/>
      <c r="BF164" s="74"/>
      <c r="BG164" s="74"/>
      <c r="BH164" s="74"/>
      <c r="BI164" s="74"/>
      <c r="BJ164" s="74"/>
      <c r="BK164" s="7">
        <f t="shared" si="156"/>
        <v>0</v>
      </c>
      <c r="BL164" s="8">
        <f t="shared" si="140"/>
        <v>0</v>
      </c>
      <c r="BM164" s="51" t="str">
        <f>IFERROR(VLOOKUP(A164,NF!$M:$O,3,0),"")</f>
        <v>Carnes</v>
      </c>
      <c r="BN164" s="7">
        <f t="shared" si="141"/>
        <v>0</v>
      </c>
      <c r="BO164" s="8">
        <f t="array" ref="BO164">IFERROR(LARGE(IF(NF!$G$2:$G$3137='Mês atual'!A164,NF!$J$2:$J$3137),1),0)*BN164</f>
        <v>0</v>
      </c>
      <c r="BP164" s="50"/>
      <c r="BR164" s="147">
        <f t="array" ref="BR164">IFERROR(LARGE(IF(NF!$G$2:$G$3137='Mês atual'!A164,NF!$J$2:$J$3137),1),0)</f>
        <v>0</v>
      </c>
      <c r="BS164" s="143" t="str">
        <f>VLOOKUP(A164,NF!M:O,3,0)</f>
        <v>Carnes</v>
      </c>
    </row>
    <row r="165" spans="1:71" x14ac:dyDescent="0.25">
      <c r="A165" s="108" t="s">
        <v>643</v>
      </c>
      <c r="B165" s="12"/>
      <c r="C165" s="9"/>
      <c r="D165" s="25"/>
      <c r="E165" s="10" t="str">
        <f t="shared" si="70"/>
        <v>OutubroSEMANA 1Pescados - Robalo Fresco</v>
      </c>
      <c r="F165" s="7">
        <f>SUMIF(NF!$A:$A,$E165,NF!$I:$I)</f>
        <v>0</v>
      </c>
      <c r="G165" s="6"/>
      <c r="H165" s="6"/>
      <c r="I165" s="6"/>
      <c r="J165" s="6"/>
      <c r="K165" s="6"/>
      <c r="L165" s="6"/>
      <c r="M165" s="6"/>
      <c r="N165" s="7">
        <f t="shared" si="152"/>
        <v>0</v>
      </c>
      <c r="O165" s="11">
        <f t="shared" si="136"/>
        <v>0</v>
      </c>
      <c r="P165" s="25"/>
      <c r="Q165" s="10" t="str">
        <f t="shared" si="73"/>
        <v>OutubroSEMANA 2Pescados - Robalo Fresco</v>
      </c>
      <c r="R165" s="7">
        <f>SUMIF(NF!$A:$A,$Q165,NF!$I:$I)</f>
        <v>0</v>
      </c>
      <c r="S165" s="6"/>
      <c r="T165" s="6"/>
      <c r="U165" s="6"/>
      <c r="V165" s="6"/>
      <c r="W165" s="6"/>
      <c r="X165" s="6"/>
      <c r="Y165" s="6"/>
      <c r="Z165" s="7">
        <f t="shared" si="153"/>
        <v>0</v>
      </c>
      <c r="AA165" s="11">
        <f t="shared" si="137"/>
        <v>0</v>
      </c>
      <c r="AB165" s="25"/>
      <c r="AC165" s="10" t="str">
        <f t="shared" si="76"/>
        <v>OutubroSEMANA 3Pescados - Robalo Fresco</v>
      </c>
      <c r="AD165" s="7">
        <f>SUMIF(NF!$A:$A,$AC165,NF!$I:$I)</f>
        <v>0</v>
      </c>
      <c r="AE165" s="6"/>
      <c r="AF165" s="6"/>
      <c r="AG165" s="6"/>
      <c r="AH165" s="6"/>
      <c r="AI165" s="6"/>
      <c r="AJ165" s="6"/>
      <c r="AK165" s="6"/>
      <c r="AL165" s="7">
        <f t="shared" si="154"/>
        <v>0</v>
      </c>
      <c r="AM165" s="11">
        <f t="shared" si="138"/>
        <v>0</v>
      </c>
      <c r="AN165" s="25"/>
      <c r="AO165" s="10" t="str">
        <f t="shared" si="79"/>
        <v>OutubroSEMANA 4Pescados - Robalo Fresco</v>
      </c>
      <c r="AP165" s="7">
        <f>SUMIF(NF!$A:$A,$AO165,NF!$I:$I)</f>
        <v>0</v>
      </c>
      <c r="AQ165" s="6"/>
      <c r="AR165" s="6"/>
      <c r="AS165" s="6"/>
      <c r="AT165" s="6"/>
      <c r="AU165" s="6"/>
      <c r="AV165" s="6"/>
      <c r="AW165" s="6"/>
      <c r="AX165" s="7">
        <f t="shared" si="155"/>
        <v>0</v>
      </c>
      <c r="AY165" s="11">
        <f t="shared" si="139"/>
        <v>0</v>
      </c>
      <c r="AZ165" s="25"/>
      <c r="BA165" s="10" t="str">
        <f t="shared" si="82"/>
        <v>OutubroSEMANA 5Pescados - Robalo Fresco</v>
      </c>
      <c r="BB165" s="7">
        <f>SUMIF(NF!$A:$A,$BA165,NF!$I:$I)</f>
        <v>0</v>
      </c>
      <c r="BC165" s="6"/>
      <c r="BD165" s="6"/>
      <c r="BE165" s="6"/>
      <c r="BF165" s="74"/>
      <c r="BG165" s="74"/>
      <c r="BH165" s="74"/>
      <c r="BI165" s="74"/>
      <c r="BJ165" s="74"/>
      <c r="BK165" s="7">
        <f t="shared" si="156"/>
        <v>0</v>
      </c>
      <c r="BL165" s="8">
        <f t="shared" si="140"/>
        <v>0</v>
      </c>
      <c r="BM165" s="51" t="str">
        <f>IFERROR(VLOOKUP(A165,NF!$M:$O,3,0),"")</f>
        <v>Carnes</v>
      </c>
      <c r="BN165" s="7">
        <f t="shared" si="141"/>
        <v>0</v>
      </c>
      <c r="BO165" s="8">
        <f t="array" ref="BO165">IFERROR(LARGE(IF(NF!$G$2:$G$3137='Mês atual'!A165,NF!$J$2:$J$3137),1),0)*BN165</f>
        <v>0</v>
      </c>
      <c r="BP165" s="50"/>
      <c r="BR165" s="147">
        <f t="array" ref="BR165">IFERROR(LARGE(IF(NF!$G$2:$G$3137='Mês atual'!A165,NF!$J$2:$J$3137),1),0)</f>
        <v>0</v>
      </c>
      <c r="BS165" s="143" t="str">
        <f>VLOOKUP(A165,NF!M:O,3,0)</f>
        <v>Carnes</v>
      </c>
    </row>
    <row r="166" spans="1:71" x14ac:dyDescent="0.25">
      <c r="A166" s="108" t="s">
        <v>644</v>
      </c>
      <c r="B166" s="12"/>
      <c r="C166" s="9"/>
      <c r="D166" s="25"/>
      <c r="E166" s="10" t="str">
        <f t="shared" si="70"/>
        <v>OutubroSEMANA 1Pescados - Salmão Inteiro</v>
      </c>
      <c r="F166" s="7">
        <f>SUMIF(NF!$A:$A,$E166,NF!$I:$I)</f>
        <v>56.03</v>
      </c>
      <c r="G166" s="6"/>
      <c r="H166" s="6"/>
      <c r="I166" s="6"/>
      <c r="J166" s="6"/>
      <c r="K166" s="6">
        <v>28.28</v>
      </c>
      <c r="L166" s="6"/>
      <c r="M166" s="6"/>
      <c r="N166" s="7">
        <f t="shared" si="152"/>
        <v>28.28</v>
      </c>
      <c r="O166" s="11">
        <f t="shared" si="136"/>
        <v>27.75</v>
      </c>
      <c r="P166" s="25"/>
      <c r="Q166" s="10" t="str">
        <f t="shared" si="73"/>
        <v>OutubroSEMANA 2Pescados - Salmão Inteiro</v>
      </c>
      <c r="R166" s="7">
        <f>SUMIF(NF!$A:$A,$Q166,NF!$I:$I)</f>
        <v>54.97</v>
      </c>
      <c r="S166" s="6">
        <v>27.75</v>
      </c>
      <c r="T166" s="6"/>
      <c r="U166" s="6"/>
      <c r="V166" s="6"/>
      <c r="W166" s="6">
        <v>28.49</v>
      </c>
      <c r="X166" s="6"/>
      <c r="Y166" s="6"/>
      <c r="Z166" s="7">
        <f t="shared" si="153"/>
        <v>56.239999999999995</v>
      </c>
      <c r="AA166" s="11">
        <f t="shared" si="137"/>
        <v>26.480000000000004</v>
      </c>
      <c r="AB166" s="25"/>
      <c r="AC166" s="10" t="str">
        <f t="shared" si="76"/>
        <v>OutubroSEMANA 3Pescados - Salmão Inteiro</v>
      </c>
      <c r="AD166" s="7">
        <f>SUMIF(NF!$A:$A,$AC166,NF!$I:$I)</f>
        <v>62.66</v>
      </c>
      <c r="AE166" s="6">
        <v>26.48</v>
      </c>
      <c r="AF166" s="6"/>
      <c r="AG166" s="6"/>
      <c r="AH166" s="6">
        <v>30.38</v>
      </c>
      <c r="AI166" s="6"/>
      <c r="AJ166" s="6"/>
      <c r="AK166" s="6"/>
      <c r="AL166" s="7">
        <f t="shared" si="154"/>
        <v>56.86</v>
      </c>
      <c r="AM166" s="11">
        <f t="shared" si="138"/>
        <v>32.28</v>
      </c>
      <c r="AN166" s="25"/>
      <c r="AO166" s="10" t="str">
        <f t="shared" si="79"/>
        <v>OutubroSEMANA 4Pescados - Salmão Inteiro</v>
      </c>
      <c r="AP166" s="7">
        <f>SUMIF(NF!$A:$A,$AO166,NF!$I:$I)</f>
        <v>62.86</v>
      </c>
      <c r="AQ166" s="6">
        <v>32.28</v>
      </c>
      <c r="AR166" s="6"/>
      <c r="AS166" s="6"/>
      <c r="AT166" s="6">
        <v>33.74</v>
      </c>
      <c r="AU166" s="6"/>
      <c r="AV166" s="6"/>
      <c r="AW166" s="6"/>
      <c r="AX166" s="7">
        <f t="shared" si="155"/>
        <v>66.02000000000001</v>
      </c>
      <c r="AY166" s="11">
        <f t="shared" si="139"/>
        <v>29.11999999999999</v>
      </c>
      <c r="AZ166" s="25"/>
      <c r="BA166" s="10" t="str">
        <f t="shared" si="82"/>
        <v>OutubroSEMANA 5Pescados - Salmão Inteiro</v>
      </c>
      <c r="BB166" s="7">
        <f>SUMIF(NF!$A:$A,$BA166,NF!$I:$I)</f>
        <v>0</v>
      </c>
      <c r="BC166" s="6">
        <v>29.12</v>
      </c>
      <c r="BD166" s="6"/>
      <c r="BE166" s="6"/>
      <c r="BF166" s="74"/>
      <c r="BG166" s="74"/>
      <c r="BH166" s="74"/>
      <c r="BI166" s="74"/>
      <c r="BJ166" s="74"/>
      <c r="BK166" s="7">
        <f t="shared" si="156"/>
        <v>29.12</v>
      </c>
      <c r="BL166" s="8">
        <f t="shared" si="140"/>
        <v>0</v>
      </c>
      <c r="BM166" s="51" t="str">
        <f>IFERROR(VLOOKUP(A166,NF!$M:$O,3,0),"")</f>
        <v>Carnes</v>
      </c>
      <c r="BN166" s="7">
        <f t="shared" si="141"/>
        <v>236.52</v>
      </c>
      <c r="BO166" s="8">
        <f t="array" ref="BO166">IFERROR(LARGE(IF(NF!$G$2:$G$3137='Mês atual'!A166,NF!$J$2:$J$3137),1),0)*BN166</f>
        <v>6267.7800000000007</v>
      </c>
      <c r="BP166" s="50"/>
      <c r="BR166" s="147">
        <f t="array" ref="BR166">IFERROR(LARGE(IF(NF!$G$2:$G$3137='Mês atual'!A166,NF!$J$2:$J$3137),1),0)</f>
        <v>26.5</v>
      </c>
      <c r="BS166" s="143" t="str">
        <f>VLOOKUP(A166,NF!M:O,3,0)</f>
        <v>Carnes</v>
      </c>
    </row>
    <row r="167" spans="1:71" x14ac:dyDescent="0.25">
      <c r="A167" s="108" t="s">
        <v>646</v>
      </c>
      <c r="B167" s="12"/>
      <c r="C167" s="9"/>
      <c r="D167" s="25"/>
      <c r="E167" s="10" t="str">
        <f t="shared" si="70"/>
        <v>OutubroSEMANA 1Pescados - Sardinha Fresca</v>
      </c>
      <c r="F167" s="7">
        <f>SUMIF(NF!$A:$A,$E167,NF!$I:$I)</f>
        <v>0</v>
      </c>
      <c r="G167" s="6"/>
      <c r="H167" s="6"/>
      <c r="I167" s="6"/>
      <c r="J167" s="6"/>
      <c r="K167" s="6"/>
      <c r="L167" s="6"/>
      <c r="M167" s="6"/>
      <c r="N167" s="7">
        <f t="shared" si="152"/>
        <v>0</v>
      </c>
      <c r="O167" s="11">
        <f t="shared" si="136"/>
        <v>0</v>
      </c>
      <c r="P167" s="25"/>
      <c r="Q167" s="10" t="str">
        <f t="shared" si="73"/>
        <v>OutubroSEMANA 2Pescados - Sardinha Fresca</v>
      </c>
      <c r="R167" s="7">
        <f>SUMIF(NF!$A:$A,$Q167,NF!$I:$I)</f>
        <v>0</v>
      </c>
      <c r="S167" s="6"/>
      <c r="T167" s="6"/>
      <c r="U167" s="6"/>
      <c r="V167" s="6"/>
      <c r="W167" s="6"/>
      <c r="X167" s="6"/>
      <c r="Y167" s="6"/>
      <c r="Z167" s="7">
        <f t="shared" si="153"/>
        <v>0</v>
      </c>
      <c r="AA167" s="11">
        <f t="shared" si="137"/>
        <v>0</v>
      </c>
      <c r="AB167" s="25"/>
      <c r="AC167" s="10" t="str">
        <f t="shared" si="76"/>
        <v>OutubroSEMANA 3Pescados - Sardinha Fresca</v>
      </c>
      <c r="AD167" s="7">
        <f>SUMIF(NF!$A:$A,$AC167,NF!$I:$I)</f>
        <v>0</v>
      </c>
      <c r="AE167" s="6"/>
      <c r="AF167" s="6"/>
      <c r="AG167" s="6"/>
      <c r="AH167" s="6"/>
      <c r="AI167" s="6"/>
      <c r="AJ167" s="6"/>
      <c r="AK167" s="6"/>
      <c r="AL167" s="7">
        <f t="shared" si="154"/>
        <v>0</v>
      </c>
      <c r="AM167" s="11">
        <f t="shared" si="138"/>
        <v>0</v>
      </c>
      <c r="AN167" s="25"/>
      <c r="AO167" s="10" t="str">
        <f t="shared" si="79"/>
        <v>OutubroSEMANA 4Pescados - Sardinha Fresca</v>
      </c>
      <c r="AP167" s="7">
        <f>SUMIF(NF!$A:$A,$AO167,NF!$I:$I)</f>
        <v>0</v>
      </c>
      <c r="AQ167" s="6"/>
      <c r="AR167" s="6"/>
      <c r="AS167" s="6"/>
      <c r="AT167" s="6"/>
      <c r="AU167" s="6"/>
      <c r="AV167" s="6"/>
      <c r="AW167" s="6"/>
      <c r="AX167" s="7">
        <f t="shared" si="155"/>
        <v>0</v>
      </c>
      <c r="AY167" s="11">
        <f t="shared" si="139"/>
        <v>0</v>
      </c>
      <c r="AZ167" s="25"/>
      <c r="BA167" s="10" t="str">
        <f t="shared" si="82"/>
        <v>OutubroSEMANA 5Pescados - Sardinha Fresca</v>
      </c>
      <c r="BB167" s="7">
        <f>SUMIF(NF!$A:$A,$BA167,NF!$I:$I)</f>
        <v>0</v>
      </c>
      <c r="BC167" s="6"/>
      <c r="BD167" s="6"/>
      <c r="BE167" s="6"/>
      <c r="BF167" s="74"/>
      <c r="BG167" s="74"/>
      <c r="BH167" s="74"/>
      <c r="BI167" s="74"/>
      <c r="BJ167" s="74"/>
      <c r="BK167" s="7">
        <f t="shared" si="156"/>
        <v>0</v>
      </c>
      <c r="BL167" s="8">
        <f t="shared" si="140"/>
        <v>0</v>
      </c>
      <c r="BM167" s="51" t="str">
        <f>IFERROR(VLOOKUP(A167,NF!$M:$O,3,0),"")</f>
        <v>Carnes</v>
      </c>
      <c r="BN167" s="7">
        <f t="shared" si="141"/>
        <v>0</v>
      </c>
      <c r="BO167" s="8">
        <f t="array" ref="BO167">IFERROR(LARGE(IF(NF!$G$2:$G$3137='Mês atual'!A167,NF!$J$2:$J$3137),1),0)*BN167</f>
        <v>0</v>
      </c>
      <c r="BP167" s="50"/>
      <c r="BR167" s="147">
        <f t="array" ref="BR167">IFERROR(LARGE(IF(NF!$G$2:$G$3137='Mês atual'!A167,NF!$J$2:$J$3137),1),0)</f>
        <v>0</v>
      </c>
      <c r="BS167" s="143" t="str">
        <f>VLOOKUP(A167,NF!M:O,3,0)</f>
        <v>Carnes</v>
      </c>
    </row>
    <row r="168" spans="1:71" x14ac:dyDescent="0.25">
      <c r="A168" s="108" t="s">
        <v>648</v>
      </c>
      <c r="B168" s="12"/>
      <c r="C168" s="9"/>
      <c r="D168" s="25"/>
      <c r="E168" s="10" t="str">
        <f t="shared" si="70"/>
        <v>OutubroSEMANA 1Pescados - Tainha Fresca</v>
      </c>
      <c r="F168" s="7">
        <f>SUMIF(NF!$A:$A,$E168,NF!$I:$I)</f>
        <v>0</v>
      </c>
      <c r="G168" s="6"/>
      <c r="H168" s="6"/>
      <c r="I168" s="6"/>
      <c r="J168" s="6"/>
      <c r="K168" s="6"/>
      <c r="L168" s="6"/>
      <c r="M168" s="6"/>
      <c r="N168" s="7">
        <f t="shared" si="152"/>
        <v>0</v>
      </c>
      <c r="O168" s="11">
        <f t="shared" si="136"/>
        <v>0</v>
      </c>
      <c r="P168" s="25"/>
      <c r="Q168" s="10" t="str">
        <f t="shared" si="73"/>
        <v>OutubroSEMANA 2Pescados - Tainha Fresca</v>
      </c>
      <c r="R168" s="7">
        <f>SUMIF(NF!$A:$A,$Q168,NF!$I:$I)</f>
        <v>0</v>
      </c>
      <c r="S168" s="6"/>
      <c r="T168" s="6"/>
      <c r="U168" s="6"/>
      <c r="V168" s="6"/>
      <c r="W168" s="6"/>
      <c r="X168" s="6"/>
      <c r="Y168" s="6"/>
      <c r="Z168" s="7">
        <f t="shared" si="153"/>
        <v>0</v>
      </c>
      <c r="AA168" s="11">
        <f t="shared" si="137"/>
        <v>0</v>
      </c>
      <c r="AB168" s="25"/>
      <c r="AC168" s="10" t="str">
        <f t="shared" si="76"/>
        <v>OutubroSEMANA 3Pescados - Tainha Fresca</v>
      </c>
      <c r="AD168" s="7">
        <f>SUMIF(NF!$A:$A,$AC168,NF!$I:$I)</f>
        <v>0</v>
      </c>
      <c r="AE168" s="6"/>
      <c r="AF168" s="6"/>
      <c r="AG168" s="6"/>
      <c r="AH168" s="6"/>
      <c r="AI168" s="6"/>
      <c r="AJ168" s="6"/>
      <c r="AK168" s="6"/>
      <c r="AL168" s="7">
        <f t="shared" si="154"/>
        <v>0</v>
      </c>
      <c r="AM168" s="11">
        <f t="shared" si="138"/>
        <v>0</v>
      </c>
      <c r="AN168" s="25"/>
      <c r="AO168" s="10" t="str">
        <f t="shared" si="79"/>
        <v>OutubroSEMANA 4Pescados - Tainha Fresca</v>
      </c>
      <c r="AP168" s="7">
        <f>SUMIF(NF!$A:$A,$AO168,NF!$I:$I)</f>
        <v>0</v>
      </c>
      <c r="AQ168" s="6"/>
      <c r="AR168" s="6"/>
      <c r="AS168" s="6"/>
      <c r="AT168" s="6"/>
      <c r="AU168" s="6"/>
      <c r="AV168" s="6"/>
      <c r="AW168" s="6"/>
      <c r="AX168" s="7">
        <f t="shared" si="155"/>
        <v>0</v>
      </c>
      <c r="AY168" s="11">
        <f t="shared" si="139"/>
        <v>0</v>
      </c>
      <c r="AZ168" s="25"/>
      <c r="BA168" s="10" t="str">
        <f t="shared" si="82"/>
        <v>OutubroSEMANA 5Pescados - Tainha Fresca</v>
      </c>
      <c r="BB168" s="7">
        <f>SUMIF(NF!$A:$A,$BA168,NF!$I:$I)</f>
        <v>0</v>
      </c>
      <c r="BC168" s="6"/>
      <c r="BD168" s="6"/>
      <c r="BE168" s="6"/>
      <c r="BF168" s="74"/>
      <c r="BG168" s="74"/>
      <c r="BH168" s="74"/>
      <c r="BI168" s="74"/>
      <c r="BJ168" s="74"/>
      <c r="BK168" s="7">
        <f t="shared" si="156"/>
        <v>0</v>
      </c>
      <c r="BL168" s="8">
        <f t="shared" si="140"/>
        <v>0</v>
      </c>
      <c r="BM168" s="51" t="str">
        <f>IFERROR(VLOOKUP(A168,NF!$M:$O,3,0),"")</f>
        <v>Carnes</v>
      </c>
      <c r="BN168" s="7">
        <f t="shared" si="141"/>
        <v>0</v>
      </c>
      <c r="BO168" s="8">
        <f t="array" ref="BO168">IFERROR(LARGE(IF(NF!$G$2:$G$3137='Mês atual'!A168,NF!$J$2:$J$3137),1),0)*BN168</f>
        <v>0</v>
      </c>
      <c r="BP168" s="50"/>
      <c r="BR168" s="147">
        <f t="array" ref="BR168">IFERROR(LARGE(IF(NF!$G$2:$G$3137='Mês atual'!A168,NF!$J$2:$J$3137),1),0)</f>
        <v>0</v>
      </c>
      <c r="BS168" s="143" t="str">
        <f>VLOOKUP(A168,NF!M:O,3,0)</f>
        <v>Carnes</v>
      </c>
    </row>
    <row r="169" spans="1:71" x14ac:dyDescent="0.25">
      <c r="A169" s="108" t="s">
        <v>670</v>
      </c>
      <c r="B169" s="12"/>
      <c r="C169" s="9">
        <v>3.44</v>
      </c>
      <c r="D169" s="25"/>
      <c r="E169" s="10" t="str">
        <f t="shared" si="70"/>
        <v>OutubroSEMANA 1Presunto Cozido</v>
      </c>
      <c r="F169" s="7">
        <f>SUMIF(NF!$A:$A,$E169,NF!$I:$I)</f>
        <v>0</v>
      </c>
      <c r="G169" s="6"/>
      <c r="H169" s="6"/>
      <c r="I169" s="6"/>
      <c r="J169" s="6"/>
      <c r="K169" s="6"/>
      <c r="L169" s="6"/>
      <c r="M169" s="6"/>
      <c r="N169" s="7">
        <f t="shared" si="152"/>
        <v>0</v>
      </c>
      <c r="O169" s="11">
        <f t="shared" si="136"/>
        <v>3.44</v>
      </c>
      <c r="P169" s="25"/>
      <c r="Q169" s="10" t="str">
        <f t="shared" si="73"/>
        <v>OutubroSEMANA 2Presunto Cozido</v>
      </c>
      <c r="R169" s="7">
        <f>SUMIF(NF!$A:$A,$Q169,NF!$I:$I)</f>
        <v>6.8</v>
      </c>
      <c r="S169" s="6"/>
      <c r="T169" s="6"/>
      <c r="U169" s="6"/>
      <c r="V169" s="6">
        <v>3.44</v>
      </c>
      <c r="W169" s="6"/>
      <c r="X169" s="6"/>
      <c r="Y169" s="6"/>
      <c r="Z169" s="7">
        <f t="shared" si="153"/>
        <v>3.44</v>
      </c>
      <c r="AA169" s="11">
        <f t="shared" si="137"/>
        <v>6.8000000000000007</v>
      </c>
      <c r="AB169" s="25"/>
      <c r="AC169" s="10" t="str">
        <f t="shared" si="76"/>
        <v>OutubroSEMANA 3Presunto Cozido</v>
      </c>
      <c r="AD169" s="7">
        <f>SUMIF(NF!$A:$A,$AC169,NF!$I:$I)</f>
        <v>0</v>
      </c>
      <c r="AE169" s="6">
        <v>3.3959999999999999</v>
      </c>
      <c r="AF169" s="6"/>
      <c r="AG169" s="6"/>
      <c r="AH169" s="6"/>
      <c r="AI169" s="6"/>
      <c r="AJ169" s="6"/>
      <c r="AK169" s="6"/>
      <c r="AL169" s="7">
        <f t="shared" si="154"/>
        <v>3.3959999999999999</v>
      </c>
      <c r="AM169" s="11">
        <f t="shared" si="138"/>
        <v>3.4040000000000008</v>
      </c>
      <c r="AN169" s="25"/>
      <c r="AO169" s="10" t="str">
        <f t="shared" si="79"/>
        <v>OutubroSEMANA 4Presunto Cozido</v>
      </c>
      <c r="AP169" s="7">
        <f>SUMIF(NF!$A:$A,$AO169,NF!$I:$I)</f>
        <v>0</v>
      </c>
      <c r="AQ169" s="6"/>
      <c r="AR169" s="6"/>
      <c r="AS169" s="6"/>
      <c r="AT169" s="6"/>
      <c r="AU169" s="6"/>
      <c r="AV169" s="6"/>
      <c r="AW169" s="6"/>
      <c r="AX169" s="7">
        <f t="shared" si="155"/>
        <v>0</v>
      </c>
      <c r="AY169" s="11">
        <f t="shared" si="139"/>
        <v>3.4040000000000008</v>
      </c>
      <c r="AZ169" s="25"/>
      <c r="BA169" s="10" t="str">
        <f t="shared" si="82"/>
        <v>OutubroSEMANA 5Presunto Cozido</v>
      </c>
      <c r="BB169" s="7">
        <f>SUMIF(NF!$A:$A,$BA169,NF!$I:$I)</f>
        <v>0</v>
      </c>
      <c r="BC169" s="6"/>
      <c r="BD169" s="6"/>
      <c r="BE169" s="6"/>
      <c r="BF169" s="74"/>
      <c r="BG169" s="74"/>
      <c r="BH169" s="74"/>
      <c r="BI169" s="74"/>
      <c r="BJ169" s="74"/>
      <c r="BK169" s="7">
        <f t="shared" si="156"/>
        <v>0</v>
      </c>
      <c r="BL169" s="8">
        <f t="shared" si="140"/>
        <v>3.4040000000000008</v>
      </c>
      <c r="BM169" s="51" t="str">
        <f>IFERROR(VLOOKUP(A169,NF!$M:$O,3,0),"")</f>
        <v>Carnes</v>
      </c>
      <c r="BN169" s="7">
        <f t="shared" si="141"/>
        <v>6.8360000000000003</v>
      </c>
      <c r="BO169" s="8">
        <f t="array" ref="BO169">IFERROR(LARGE(IF(NF!$G$2:$G$3137='Mês atual'!A169,NF!$J$2:$J$3137),1),0)*BN169</f>
        <v>95.090770588235316</v>
      </c>
      <c r="BP169" s="50"/>
      <c r="BR169" s="147">
        <f t="array" ref="BR169">IFERROR(LARGE(IF(NF!$G$2:$G$3137='Mês atual'!A169,NF!$J$2:$J$3137),1),0)</f>
        <v>13.91029411764706</v>
      </c>
      <c r="BS169" s="143" t="str">
        <f>VLOOKUP(A169,NF!M:O,3,0)</f>
        <v>Carnes</v>
      </c>
    </row>
    <row r="170" spans="1:71" x14ac:dyDescent="0.25">
      <c r="A170" s="108" t="s">
        <v>671</v>
      </c>
      <c r="B170" s="12"/>
      <c r="C170" s="9"/>
      <c r="D170" s="25"/>
      <c r="E170" s="10" t="str">
        <f t="shared" si="70"/>
        <v>OutubroSEMANA 1Presunto Parma</v>
      </c>
      <c r="F170" s="7">
        <f>SUMIF(NF!$A:$A,$E170,NF!$I:$I)</f>
        <v>0</v>
      </c>
      <c r="G170" s="6"/>
      <c r="H170" s="6"/>
      <c r="I170" s="6"/>
      <c r="J170" s="6"/>
      <c r="K170" s="6"/>
      <c r="L170" s="6"/>
      <c r="M170" s="6"/>
      <c r="N170" s="7">
        <f t="shared" si="152"/>
        <v>0</v>
      </c>
      <c r="O170" s="11">
        <f t="shared" si="136"/>
        <v>0</v>
      </c>
      <c r="P170" s="25"/>
      <c r="Q170" s="10" t="str">
        <f t="shared" si="73"/>
        <v>OutubroSEMANA 2Presunto Parma</v>
      </c>
      <c r="R170" s="7">
        <f>SUMIF(NF!$A:$A,$Q170,NF!$I:$I)</f>
        <v>0</v>
      </c>
      <c r="S170" s="6"/>
      <c r="T170" s="6"/>
      <c r="U170" s="6"/>
      <c r="V170" s="6"/>
      <c r="W170" s="6"/>
      <c r="X170" s="6"/>
      <c r="Y170" s="6"/>
      <c r="Z170" s="7">
        <f t="shared" si="153"/>
        <v>0</v>
      </c>
      <c r="AA170" s="11">
        <f t="shared" si="137"/>
        <v>0</v>
      </c>
      <c r="AB170" s="25"/>
      <c r="AC170" s="10" t="str">
        <f t="shared" si="76"/>
        <v>OutubroSEMANA 3Presunto Parma</v>
      </c>
      <c r="AD170" s="7">
        <f>SUMIF(NF!$A:$A,$AC170,NF!$I:$I)</f>
        <v>0</v>
      </c>
      <c r="AE170" s="6"/>
      <c r="AF170" s="6"/>
      <c r="AG170" s="6"/>
      <c r="AH170" s="6"/>
      <c r="AI170" s="6"/>
      <c r="AJ170" s="6"/>
      <c r="AK170" s="6"/>
      <c r="AL170" s="7">
        <f t="shared" si="154"/>
        <v>0</v>
      </c>
      <c r="AM170" s="11">
        <f t="shared" si="138"/>
        <v>0</v>
      </c>
      <c r="AN170" s="25"/>
      <c r="AO170" s="10" t="str">
        <f t="shared" si="79"/>
        <v>OutubroSEMANA 4Presunto Parma</v>
      </c>
      <c r="AP170" s="7">
        <f>SUMIF(NF!$A:$A,$AO170,NF!$I:$I)</f>
        <v>0</v>
      </c>
      <c r="AQ170" s="6"/>
      <c r="AR170" s="6"/>
      <c r="AS170" s="6"/>
      <c r="AT170" s="6"/>
      <c r="AU170" s="6"/>
      <c r="AV170" s="6"/>
      <c r="AW170" s="6"/>
      <c r="AX170" s="7">
        <f t="shared" si="155"/>
        <v>0</v>
      </c>
      <c r="AY170" s="11">
        <f t="shared" si="139"/>
        <v>0</v>
      </c>
      <c r="AZ170" s="25"/>
      <c r="BA170" s="10" t="str">
        <f t="shared" si="82"/>
        <v>OutubroSEMANA 5Presunto Parma</v>
      </c>
      <c r="BB170" s="7">
        <f>SUMIF(NF!$A:$A,$BA170,NF!$I:$I)</f>
        <v>0</v>
      </c>
      <c r="BC170" s="6"/>
      <c r="BD170" s="6"/>
      <c r="BE170" s="6"/>
      <c r="BF170" s="74"/>
      <c r="BG170" s="74"/>
      <c r="BH170" s="74"/>
      <c r="BI170" s="74"/>
      <c r="BJ170" s="74"/>
      <c r="BK170" s="7">
        <f t="shared" si="156"/>
        <v>0</v>
      </c>
      <c r="BL170" s="8">
        <f t="shared" si="140"/>
        <v>0</v>
      </c>
      <c r="BM170" s="51" t="str">
        <f>IFERROR(VLOOKUP(A170,NF!$M:$O,3,0),"")</f>
        <v>Carnes</v>
      </c>
      <c r="BN170" s="7">
        <f t="shared" si="141"/>
        <v>0</v>
      </c>
      <c r="BO170" s="8">
        <f t="array" ref="BO170">IFERROR(LARGE(IF(NF!$G$2:$G$3137='Mês atual'!A170,NF!$J$2:$J$3137),1),0)*BN170</f>
        <v>0</v>
      </c>
      <c r="BP170" s="50"/>
      <c r="BR170" s="147">
        <f t="array" ref="BR170">IFERROR(LARGE(IF(NF!$G$2:$G$3137='Mês atual'!A170,NF!$J$2:$J$3137),1),0)</f>
        <v>0</v>
      </c>
      <c r="BS170" s="143" t="str">
        <f>VLOOKUP(A170,NF!M:O,3,0)</f>
        <v>Carnes</v>
      </c>
    </row>
    <row r="171" spans="1:71" x14ac:dyDescent="0.25">
      <c r="A171" s="108" t="s">
        <v>755</v>
      </c>
      <c r="B171" s="12"/>
      <c r="C171" s="9"/>
      <c r="D171" s="25"/>
      <c r="E171" s="10" t="str">
        <f t="shared" si="70"/>
        <v>OutubroSEMANA 1Suíno - Bacon</v>
      </c>
      <c r="F171" s="7">
        <f>SUMIF(NF!$A:$A,$E171,NF!$I:$I)</f>
        <v>10</v>
      </c>
      <c r="G171" s="6"/>
      <c r="H171" s="6"/>
      <c r="I171" s="6"/>
      <c r="J171" s="6"/>
      <c r="K171" s="6"/>
      <c r="L171" s="6"/>
      <c r="M171" s="6"/>
      <c r="N171" s="7">
        <f t="shared" si="152"/>
        <v>0</v>
      </c>
      <c r="O171" s="11">
        <f t="shared" si="136"/>
        <v>10</v>
      </c>
      <c r="P171" s="25"/>
      <c r="Q171" s="10" t="str">
        <f t="shared" si="73"/>
        <v>OutubroSEMANA 2Suíno - Bacon</v>
      </c>
      <c r="R171" s="7">
        <f>SUMIF(NF!$A:$A,$Q171,NF!$I:$I)</f>
        <v>0</v>
      </c>
      <c r="S171" s="6"/>
      <c r="T171" s="6"/>
      <c r="U171" s="6"/>
      <c r="V171" s="6"/>
      <c r="W171" s="6"/>
      <c r="X171" s="6"/>
      <c r="Y171" s="6"/>
      <c r="Z171" s="7">
        <f t="shared" si="153"/>
        <v>0</v>
      </c>
      <c r="AA171" s="11">
        <f t="shared" si="137"/>
        <v>10</v>
      </c>
      <c r="AB171" s="25"/>
      <c r="AC171" s="10" t="str">
        <f t="shared" si="76"/>
        <v>OutubroSEMANA 3Suíno - Bacon</v>
      </c>
      <c r="AD171" s="7">
        <f>SUMIF(NF!$A:$A,$AC171,NF!$I:$I)</f>
        <v>10</v>
      </c>
      <c r="AE171" s="6"/>
      <c r="AF171" s="6"/>
      <c r="AG171" s="6"/>
      <c r="AH171" s="6">
        <f>5.58+1.43</f>
        <v>7.01</v>
      </c>
      <c r="AI171" s="6"/>
      <c r="AJ171" s="6"/>
      <c r="AK171" s="6"/>
      <c r="AL171" s="7">
        <f t="shared" si="154"/>
        <v>7.01</v>
      </c>
      <c r="AM171" s="11">
        <f t="shared" si="138"/>
        <v>12.99</v>
      </c>
      <c r="AN171" s="25"/>
      <c r="AO171" s="10" t="str">
        <f t="shared" si="79"/>
        <v>OutubroSEMANA 4Suíno - Bacon</v>
      </c>
      <c r="AP171" s="7">
        <f>SUMIF(NF!$A:$A,$AO171,NF!$I:$I)</f>
        <v>0</v>
      </c>
      <c r="AQ171" s="6"/>
      <c r="AR171" s="6"/>
      <c r="AS171" s="6"/>
      <c r="AT171" s="6">
        <f>3.15+1</f>
        <v>4.1500000000000004</v>
      </c>
      <c r="AU171" s="6"/>
      <c r="AV171" s="6"/>
      <c r="AW171" s="6"/>
      <c r="AX171" s="7">
        <f t="shared" si="155"/>
        <v>4.1500000000000004</v>
      </c>
      <c r="AY171" s="11">
        <f t="shared" si="139"/>
        <v>8.84</v>
      </c>
      <c r="AZ171" s="25"/>
      <c r="BA171" s="10" t="str">
        <f t="shared" si="82"/>
        <v>OutubroSEMANA 5Suíno - Bacon</v>
      </c>
      <c r="BB171" s="7">
        <f>SUMIF(NF!$A:$A,$BA171,NF!$I:$I)</f>
        <v>0</v>
      </c>
      <c r="BC171" s="6"/>
      <c r="BD171" s="6"/>
      <c r="BE171" s="6"/>
      <c r="BF171" s="74"/>
      <c r="BG171" s="74"/>
      <c r="BH171" s="74"/>
      <c r="BI171" s="74"/>
      <c r="BJ171" s="74"/>
      <c r="BK171" s="7">
        <f t="shared" si="156"/>
        <v>0</v>
      </c>
      <c r="BL171" s="8">
        <f t="shared" si="140"/>
        <v>8.84</v>
      </c>
      <c r="BM171" s="51" t="str">
        <f>IFERROR(VLOOKUP(A171,NF!$M:$O,3,0),"")</f>
        <v>Carnes</v>
      </c>
      <c r="BN171" s="7">
        <f t="shared" si="141"/>
        <v>11.16</v>
      </c>
      <c r="BO171" s="8">
        <f t="array" ref="BO171">IFERROR(LARGE(IF(NF!$G$2:$G$3137='Mês atual'!A171,NF!$J$2:$J$3137),1),0)*BN171</f>
        <v>162.2664</v>
      </c>
      <c r="BP171" s="50"/>
      <c r="BR171" s="147">
        <f t="array" ref="BR171">IFERROR(LARGE(IF(NF!$G$2:$G$3137='Mês atual'!A171,NF!$J$2:$J$3137),1),0)</f>
        <v>14.54</v>
      </c>
      <c r="BS171" s="143" t="str">
        <f>VLOOKUP(A171,NF!M:O,3,0)</f>
        <v>Carnes</v>
      </c>
    </row>
    <row r="172" spans="1:71" x14ac:dyDescent="0.25">
      <c r="A172" s="108" t="s">
        <v>756</v>
      </c>
      <c r="B172" s="12"/>
      <c r="C172" s="9">
        <v>2</v>
      </c>
      <c r="D172" s="25"/>
      <c r="E172" s="10" t="str">
        <f t="shared" si="70"/>
        <v>OutubroSEMANA 1Suíno - Bacon Fatiado</v>
      </c>
      <c r="F172" s="7">
        <f>SUMIF(NF!$A:$A,$E172,NF!$I:$I)</f>
        <v>0</v>
      </c>
      <c r="G172" s="6">
        <v>2</v>
      </c>
      <c r="H172" s="6"/>
      <c r="I172" s="6"/>
      <c r="J172" s="6"/>
      <c r="K172" s="6"/>
      <c r="L172" s="6"/>
      <c r="M172" s="6"/>
      <c r="N172" s="7">
        <f t="shared" si="152"/>
        <v>2</v>
      </c>
      <c r="O172" s="11">
        <f t="shared" si="136"/>
        <v>0</v>
      </c>
      <c r="P172" s="25"/>
      <c r="Q172" s="10" t="str">
        <f t="shared" si="73"/>
        <v>OutubroSEMANA 2Suíno - Bacon Fatiado</v>
      </c>
      <c r="R172" s="7">
        <f>SUMIF(NF!$A:$A,$Q172,NF!$I:$I)</f>
        <v>0</v>
      </c>
      <c r="S172" s="6"/>
      <c r="T172" s="6"/>
      <c r="U172" s="6"/>
      <c r="V172" s="6"/>
      <c r="W172" s="6"/>
      <c r="X172" s="6"/>
      <c r="Y172" s="6"/>
      <c r="Z172" s="7">
        <f t="shared" si="153"/>
        <v>0</v>
      </c>
      <c r="AA172" s="11">
        <f t="shared" si="137"/>
        <v>0</v>
      </c>
      <c r="AB172" s="25"/>
      <c r="AC172" s="10" t="str">
        <f t="shared" si="76"/>
        <v>OutubroSEMANA 3Suíno - Bacon Fatiado</v>
      </c>
      <c r="AD172" s="7">
        <f>SUMIF(NF!$A:$A,$AC172,NF!$I:$I)</f>
        <v>0</v>
      </c>
      <c r="AE172" s="6"/>
      <c r="AF172" s="6"/>
      <c r="AG172" s="6"/>
      <c r="AH172" s="6"/>
      <c r="AI172" s="6"/>
      <c r="AJ172" s="6"/>
      <c r="AK172" s="6"/>
      <c r="AL172" s="7">
        <f t="shared" si="154"/>
        <v>0</v>
      </c>
      <c r="AM172" s="11">
        <f t="shared" si="138"/>
        <v>0</v>
      </c>
      <c r="AN172" s="25"/>
      <c r="AO172" s="10" t="str">
        <f t="shared" si="79"/>
        <v>OutubroSEMANA 4Suíno - Bacon Fatiado</v>
      </c>
      <c r="AP172" s="7">
        <f>SUMIF(NF!$A:$A,$AO172,NF!$I:$I)</f>
        <v>5</v>
      </c>
      <c r="AQ172" s="6"/>
      <c r="AR172" s="6"/>
      <c r="AS172" s="6"/>
      <c r="AT172" s="6"/>
      <c r="AU172" s="6"/>
      <c r="AV172" s="6"/>
      <c r="AW172" s="6">
        <f>3+0.25</f>
        <v>3.25</v>
      </c>
      <c r="AX172" s="7">
        <f t="shared" si="155"/>
        <v>3.25</v>
      </c>
      <c r="AY172" s="11">
        <f t="shared" si="139"/>
        <v>1.75</v>
      </c>
      <c r="AZ172" s="25"/>
      <c r="BA172" s="10" t="str">
        <f t="shared" si="82"/>
        <v>OutubroSEMANA 5Suíno - Bacon Fatiado</v>
      </c>
      <c r="BB172" s="7">
        <f>SUMIF(NF!$A:$A,$BA172,NF!$I:$I)</f>
        <v>0</v>
      </c>
      <c r="BC172" s="6"/>
      <c r="BD172" s="6"/>
      <c r="BE172" s="6"/>
      <c r="BF172" s="74"/>
      <c r="BG172" s="74"/>
      <c r="BH172" s="74"/>
      <c r="BI172" s="74"/>
      <c r="BJ172" s="74"/>
      <c r="BK172" s="7">
        <f t="shared" si="156"/>
        <v>0</v>
      </c>
      <c r="BL172" s="8">
        <f t="shared" si="140"/>
        <v>1.75</v>
      </c>
      <c r="BM172" s="51" t="str">
        <f>IFERROR(VLOOKUP(A172,NF!$M:$O,3,0),"")</f>
        <v>Carnes</v>
      </c>
      <c r="BN172" s="7">
        <f t="shared" si="141"/>
        <v>5.25</v>
      </c>
      <c r="BO172" s="8">
        <f t="array" ref="BO172">IFERROR(LARGE(IF(NF!$G$2:$G$3137='Mês atual'!A172,NF!$J$2:$J$3137),1),0)*BN172</f>
        <v>142.48500000000001</v>
      </c>
      <c r="BP172" s="50"/>
      <c r="BR172" s="147">
        <f t="array" ref="BR172">IFERROR(LARGE(IF(NF!$G$2:$G$3137='Mês atual'!A172,NF!$J$2:$J$3137),1),0)</f>
        <v>27.14</v>
      </c>
      <c r="BS172" s="143" t="str">
        <f>VLOOKUP(A172,NF!M:O,3,0)</f>
        <v>Carnes</v>
      </c>
    </row>
    <row r="173" spans="1:71" x14ac:dyDescent="0.25">
      <c r="A173" s="108" t="s">
        <v>757</v>
      </c>
      <c r="B173" s="12"/>
      <c r="C173" s="9">
        <v>20</v>
      </c>
      <c r="D173" s="25"/>
      <c r="E173" s="10" t="str">
        <f t="shared" si="70"/>
        <v>OutubroSEMANA 1Suíno - Barriga Suína</v>
      </c>
      <c r="F173" s="7">
        <f>SUMIF(NF!$A:$A,$E173,NF!$I:$I)</f>
        <v>0</v>
      </c>
      <c r="G173" s="6"/>
      <c r="H173" s="6"/>
      <c r="I173" s="6"/>
      <c r="J173" s="6"/>
      <c r="K173" s="6"/>
      <c r="L173" s="6">
        <v>4.8</v>
      </c>
      <c r="M173" s="6">
        <v>3.24</v>
      </c>
      <c r="N173" s="7">
        <f t="shared" si="152"/>
        <v>8.0399999999999991</v>
      </c>
      <c r="O173" s="11">
        <f t="shared" si="136"/>
        <v>11.96</v>
      </c>
      <c r="P173" s="25"/>
      <c r="Q173" s="10" t="str">
        <f t="shared" si="73"/>
        <v>OutubroSEMANA 2Suíno - Barriga Suína</v>
      </c>
      <c r="R173" s="7">
        <f>SUMIF(NF!$A:$A,$Q173,NF!$I:$I)</f>
        <v>0</v>
      </c>
      <c r="S173" s="6"/>
      <c r="T173" s="6"/>
      <c r="U173" s="6"/>
      <c r="V173" s="6"/>
      <c r="W173" s="6"/>
      <c r="X173" s="6">
        <v>3.7</v>
      </c>
      <c r="Y173" s="6">
        <v>2.58</v>
      </c>
      <c r="Z173" s="7">
        <f t="shared" si="153"/>
        <v>6.28</v>
      </c>
      <c r="AA173" s="11">
        <f t="shared" si="137"/>
        <v>5.6800000000000006</v>
      </c>
      <c r="AB173" s="25"/>
      <c r="AC173" s="10" t="str">
        <f t="shared" si="76"/>
        <v>OutubroSEMANA 3Suíno - Barriga Suína</v>
      </c>
      <c r="AD173" s="7">
        <f>SUMIF(NF!$A:$A,$AC173,NF!$I:$I)</f>
        <v>20</v>
      </c>
      <c r="AE173" s="6"/>
      <c r="AF173" s="6"/>
      <c r="AG173" s="6"/>
      <c r="AH173" s="6"/>
      <c r="AI173" s="6"/>
      <c r="AJ173" s="6">
        <v>5.66</v>
      </c>
      <c r="AK173" s="6">
        <v>3.89</v>
      </c>
      <c r="AL173" s="7">
        <f t="shared" si="154"/>
        <v>9.5500000000000007</v>
      </c>
      <c r="AM173" s="11">
        <f t="shared" si="138"/>
        <v>16.13</v>
      </c>
      <c r="AN173" s="25"/>
      <c r="AO173" s="10" t="str">
        <f t="shared" si="79"/>
        <v>OutubroSEMANA 4Suíno - Barriga Suína</v>
      </c>
      <c r="AP173" s="7">
        <f>SUMIF(NF!$A:$A,$AO173,NF!$I:$I)</f>
        <v>0</v>
      </c>
      <c r="AQ173" s="6"/>
      <c r="AR173" s="6"/>
      <c r="AS173" s="6"/>
      <c r="AT173" s="6"/>
      <c r="AU173" s="6"/>
      <c r="AV173" s="6">
        <f>3.2+0.855</f>
        <v>4.0549999999999997</v>
      </c>
      <c r="AW173" s="6">
        <f>2.2+0.855</f>
        <v>3.0550000000000002</v>
      </c>
      <c r="AX173" s="7">
        <f t="shared" si="155"/>
        <v>7.1099999999999994</v>
      </c>
      <c r="AY173" s="11">
        <f t="shared" si="139"/>
        <v>9.02</v>
      </c>
      <c r="AZ173" s="25"/>
      <c r="BA173" s="10" t="str">
        <f t="shared" si="82"/>
        <v>OutubroSEMANA 5Suíno - Barriga Suína</v>
      </c>
      <c r="BB173" s="7">
        <f>SUMIF(NF!$A:$A,$BA173,NF!$I:$I)</f>
        <v>0</v>
      </c>
      <c r="BC173" s="6"/>
      <c r="BD173" s="6"/>
      <c r="BE173" s="6"/>
      <c r="BF173" s="74"/>
      <c r="BG173" s="74"/>
      <c r="BH173" s="74"/>
      <c r="BI173" s="74"/>
      <c r="BJ173" s="74"/>
      <c r="BK173" s="7">
        <f t="shared" si="156"/>
        <v>0</v>
      </c>
      <c r="BL173" s="8">
        <f t="shared" si="140"/>
        <v>9.02</v>
      </c>
      <c r="BM173" s="51" t="str">
        <f>IFERROR(VLOOKUP(A173,NF!$M:$O,3,0),"")</f>
        <v>Carnes</v>
      </c>
      <c r="BN173" s="7">
        <f t="shared" si="141"/>
        <v>30.98</v>
      </c>
      <c r="BO173" s="8">
        <f t="array" ref="BO173">IFERROR(LARGE(IF(NF!$G$2:$G$3137='Mês atual'!A173,NF!$J$2:$J$3137),1),0)*BN173</f>
        <v>315.06659999999999</v>
      </c>
      <c r="BP173" s="50"/>
      <c r="BR173" s="147">
        <f t="array" ref="BR173">IFERROR(LARGE(IF(NF!$G$2:$G$3137='Mês atual'!A173,NF!$J$2:$J$3137),1),0)</f>
        <v>10.17</v>
      </c>
      <c r="BS173" s="143" t="str">
        <f>VLOOKUP(A173,NF!M:O,3,0)</f>
        <v>Carnes</v>
      </c>
    </row>
    <row r="174" spans="1:71" x14ac:dyDescent="0.25">
      <c r="A174" s="108" t="s">
        <v>758</v>
      </c>
      <c r="B174" s="12"/>
      <c r="C174" s="9"/>
      <c r="D174" s="25"/>
      <c r="E174" s="10" t="str">
        <f t="shared" si="70"/>
        <v>OutubroSEMANA 1Suíno - Carre Defumado (Kassler)</v>
      </c>
      <c r="F174" s="7">
        <f>SUMIF(NF!$A:$A,$E174,NF!$I:$I)</f>
        <v>0</v>
      </c>
      <c r="G174" s="6"/>
      <c r="H174" s="6"/>
      <c r="I174" s="6"/>
      <c r="J174" s="6"/>
      <c r="K174" s="6"/>
      <c r="L174" s="6"/>
      <c r="M174" s="6"/>
      <c r="N174" s="7">
        <f t="shared" si="152"/>
        <v>0</v>
      </c>
      <c r="O174" s="11">
        <f t="shared" si="136"/>
        <v>0</v>
      </c>
      <c r="P174" s="25"/>
      <c r="Q174" s="10" t="str">
        <f t="shared" si="73"/>
        <v>OutubroSEMANA 2Suíno - Carre Defumado (Kassler)</v>
      </c>
      <c r="R174" s="7">
        <f>SUMIF(NF!$A:$A,$Q174,NF!$I:$I)</f>
        <v>0</v>
      </c>
      <c r="S174" s="6"/>
      <c r="T174" s="6"/>
      <c r="U174" s="6"/>
      <c r="V174" s="6"/>
      <c r="W174" s="6"/>
      <c r="X174" s="6"/>
      <c r="Y174" s="6"/>
      <c r="Z174" s="7">
        <f t="shared" si="153"/>
        <v>0</v>
      </c>
      <c r="AA174" s="11">
        <f t="shared" si="137"/>
        <v>0</v>
      </c>
      <c r="AB174" s="25"/>
      <c r="AC174" s="10" t="str">
        <f t="shared" si="76"/>
        <v>OutubroSEMANA 3Suíno - Carre Defumado (Kassler)</v>
      </c>
      <c r="AD174" s="7">
        <f>SUMIF(NF!$A:$A,$AC174,NF!$I:$I)</f>
        <v>0</v>
      </c>
      <c r="AE174" s="6"/>
      <c r="AF174" s="6"/>
      <c r="AG174" s="6"/>
      <c r="AH174" s="6"/>
      <c r="AI174" s="6"/>
      <c r="AJ174" s="6"/>
      <c r="AK174" s="6"/>
      <c r="AL174" s="7">
        <f t="shared" si="154"/>
        <v>0</v>
      </c>
      <c r="AM174" s="11">
        <f t="shared" si="138"/>
        <v>0</v>
      </c>
      <c r="AN174" s="25"/>
      <c r="AO174" s="10" t="str">
        <f t="shared" si="79"/>
        <v>OutubroSEMANA 4Suíno - Carre Defumado (Kassler)</v>
      </c>
      <c r="AP174" s="7">
        <f>SUMIF(NF!$A:$A,$AO174,NF!$I:$I)</f>
        <v>0</v>
      </c>
      <c r="AQ174" s="6"/>
      <c r="AR174" s="6"/>
      <c r="AS174" s="6"/>
      <c r="AT174" s="6"/>
      <c r="AU174" s="6"/>
      <c r="AV174" s="6"/>
      <c r="AW174" s="6"/>
      <c r="AX174" s="7">
        <f t="shared" si="155"/>
        <v>0</v>
      </c>
      <c r="AY174" s="11">
        <f t="shared" si="139"/>
        <v>0</v>
      </c>
      <c r="AZ174" s="25"/>
      <c r="BA174" s="10" t="str">
        <f t="shared" si="82"/>
        <v>OutubroSEMANA 5Suíno - Carre Defumado (Kassler)</v>
      </c>
      <c r="BB174" s="7">
        <f>SUMIF(NF!$A:$A,$BA174,NF!$I:$I)</f>
        <v>0</v>
      </c>
      <c r="BC174" s="6"/>
      <c r="BD174" s="6"/>
      <c r="BE174" s="6"/>
      <c r="BF174" s="74"/>
      <c r="BG174" s="74"/>
      <c r="BH174" s="74"/>
      <c r="BI174" s="74"/>
      <c r="BJ174" s="74"/>
      <c r="BK174" s="7">
        <f t="shared" si="156"/>
        <v>0</v>
      </c>
      <c r="BL174" s="8">
        <f t="shared" si="140"/>
        <v>0</v>
      </c>
      <c r="BM174" s="51" t="str">
        <f>IFERROR(VLOOKUP(A174,NF!$M:$O,3,0),"")</f>
        <v>Carnes</v>
      </c>
      <c r="BN174" s="7">
        <f t="shared" si="141"/>
        <v>0</v>
      </c>
      <c r="BO174" s="8">
        <f t="array" ref="BO174">IFERROR(LARGE(IF(NF!$G$2:$G$3137='Mês atual'!A174,NF!$J$2:$J$3137),1),0)*BN174</f>
        <v>0</v>
      </c>
      <c r="BP174" s="50"/>
      <c r="BR174" s="147">
        <f t="array" ref="BR174">IFERROR(LARGE(IF(NF!$G$2:$G$3137='Mês atual'!A174,NF!$J$2:$J$3137),1),0)</f>
        <v>0</v>
      </c>
      <c r="BS174" s="143" t="str">
        <f>VLOOKUP(A174,NF!M:O,3,0)</f>
        <v>Carnes</v>
      </c>
    </row>
    <row r="175" spans="1:71" x14ac:dyDescent="0.25">
      <c r="A175" s="108" t="s">
        <v>1005</v>
      </c>
      <c r="B175" s="12"/>
      <c r="C175" s="9"/>
      <c r="D175" s="25"/>
      <c r="E175" s="10" t="str">
        <f t="shared" si="70"/>
        <v>OutubroSEMANA 1Suino - Copa Lombo</v>
      </c>
      <c r="F175" s="7">
        <f>SUMIF(NF!$A:$A,$E175,NF!$I:$I)</f>
        <v>0</v>
      </c>
      <c r="G175" s="6"/>
      <c r="H175" s="6"/>
      <c r="I175" s="6"/>
      <c r="J175" s="6"/>
      <c r="K175" s="6"/>
      <c r="L175" s="6"/>
      <c r="M175" s="6"/>
      <c r="N175" s="7">
        <f t="shared" ref="N175" si="157">SUM(G175:M175)</f>
        <v>0</v>
      </c>
      <c r="O175" s="11">
        <f t="shared" ref="O175" si="158">F175+C175-N175</f>
        <v>0</v>
      </c>
      <c r="P175" s="25"/>
      <c r="Q175" s="10" t="str">
        <f t="shared" si="73"/>
        <v>OutubroSEMANA 2Suino - Copa Lombo</v>
      </c>
      <c r="R175" s="7">
        <f>SUMIF(NF!$A:$A,$Q175,NF!$I:$I)</f>
        <v>0</v>
      </c>
      <c r="S175" s="6"/>
      <c r="T175" s="6"/>
      <c r="U175" s="6"/>
      <c r="V175" s="6"/>
      <c r="W175" s="6"/>
      <c r="X175" s="6"/>
      <c r="Y175" s="6"/>
      <c r="Z175" s="7">
        <f t="shared" ref="Z175" si="159">SUM(S175:Y175)</f>
        <v>0</v>
      </c>
      <c r="AA175" s="11">
        <f t="shared" ref="AA175" si="160">R175+O175-Z175</f>
        <v>0</v>
      </c>
      <c r="AB175" s="25"/>
      <c r="AC175" s="10" t="str">
        <f t="shared" si="76"/>
        <v>OutubroSEMANA 3Suino - Copa Lombo</v>
      </c>
      <c r="AD175" s="7">
        <f>SUMIF(NF!$A:$A,$AC175,NF!$I:$I)</f>
        <v>0</v>
      </c>
      <c r="AE175" s="6"/>
      <c r="AF175" s="6"/>
      <c r="AG175" s="6"/>
      <c r="AH175" s="6"/>
      <c r="AI175" s="6"/>
      <c r="AJ175" s="6"/>
      <c r="AK175" s="6"/>
      <c r="AL175" s="7">
        <f t="shared" ref="AL175" si="161">SUM(AE175:AK175)</f>
        <v>0</v>
      </c>
      <c r="AM175" s="11">
        <f t="shared" ref="AM175" si="162">AD175+AA175-AL175</f>
        <v>0</v>
      </c>
      <c r="AN175" s="25"/>
      <c r="AO175" s="10" t="str">
        <f t="shared" si="79"/>
        <v>OutubroSEMANA 4Suino - Copa Lombo</v>
      </c>
      <c r="AP175" s="7">
        <f>SUMIF(NF!$A:$A,$AO175,NF!$I:$I)</f>
        <v>0</v>
      </c>
      <c r="AQ175" s="6"/>
      <c r="AR175" s="6"/>
      <c r="AS175" s="6"/>
      <c r="AT175" s="6"/>
      <c r="AU175" s="6"/>
      <c r="AV175" s="6"/>
      <c r="AW175" s="6"/>
      <c r="AX175" s="7">
        <f t="shared" ref="AX175" si="163">SUM(AQ175:AW175)</f>
        <v>0</v>
      </c>
      <c r="AY175" s="11">
        <f t="shared" ref="AY175" si="164">AP175+AM175-AX175</f>
        <v>0</v>
      </c>
      <c r="AZ175" s="25"/>
      <c r="BA175" s="10" t="str">
        <f t="shared" si="82"/>
        <v>OutubroSEMANA 5Suino - Copa Lombo</v>
      </c>
      <c r="BB175" s="7">
        <f>SUMIF(NF!$A:$A,$BA175,NF!$I:$I)</f>
        <v>0</v>
      </c>
      <c r="BC175" s="6"/>
      <c r="BD175" s="6"/>
      <c r="BE175" s="6"/>
      <c r="BF175" s="74"/>
      <c r="BG175" s="74"/>
      <c r="BH175" s="74"/>
      <c r="BI175" s="74"/>
      <c r="BJ175" s="74"/>
      <c r="BK175" s="7">
        <f t="shared" ref="BK175" si="165">SUM(BC175:BJ175)</f>
        <v>0</v>
      </c>
      <c r="BL175" s="8">
        <f t="shared" ref="BL175" si="166">BB175+AY175-BK175</f>
        <v>0</v>
      </c>
      <c r="BM175" s="51" t="str">
        <f>IFERROR(VLOOKUP(A175,NF!$M:$O,3,0),"")</f>
        <v>Carnes</v>
      </c>
      <c r="BN175" s="7">
        <f t="shared" ref="BN175" si="167">SUM(N175,Z175,AL175,AX175,BK175)</f>
        <v>0</v>
      </c>
      <c r="BO175" s="8">
        <f t="array" ref="BO175">IFERROR(LARGE(IF(NF!$G$2:$G$3137='Mês atual'!A175,NF!$J$2:$J$3137),1),0)*BN175</f>
        <v>0</v>
      </c>
      <c r="BP175" s="50"/>
      <c r="BR175" s="147">
        <f t="array" ref="BR175">IFERROR(LARGE(IF(NF!$G$2:$G$3137='Mês atual'!A175,NF!$J$2:$J$3137),1),0)</f>
        <v>0</v>
      </c>
      <c r="BS175" s="143" t="str">
        <f>VLOOKUP(A175,NF!M:O,3,0)</f>
        <v>Carnes</v>
      </c>
    </row>
    <row r="176" spans="1:71" x14ac:dyDescent="0.25">
      <c r="A176" s="108" t="s">
        <v>759</v>
      </c>
      <c r="B176" s="12"/>
      <c r="C176" s="9"/>
      <c r="D176" s="25"/>
      <c r="E176" s="10" t="str">
        <f t="shared" si="70"/>
        <v>OutubroSEMANA 1Suíno - Costelinha Fresca</v>
      </c>
      <c r="F176" s="7">
        <f>SUMIF(NF!$A:$A,$E176,NF!$I:$I)</f>
        <v>15</v>
      </c>
      <c r="G176" s="6"/>
      <c r="H176" s="6"/>
      <c r="I176" s="6"/>
      <c r="J176" s="6"/>
      <c r="K176" s="6"/>
      <c r="L176" s="6"/>
      <c r="M176" s="6"/>
      <c r="N176" s="7">
        <f t="shared" si="152"/>
        <v>0</v>
      </c>
      <c r="O176" s="11">
        <f t="shared" si="136"/>
        <v>15</v>
      </c>
      <c r="P176" s="25"/>
      <c r="Q176" s="10" t="str">
        <f t="shared" si="73"/>
        <v>OutubroSEMANA 2Suíno - Costelinha Fresca</v>
      </c>
      <c r="R176" s="7">
        <f>SUMIF(NF!$A:$A,$Q176,NF!$I:$I)</f>
        <v>0</v>
      </c>
      <c r="S176" s="6">
        <v>15</v>
      </c>
      <c r="T176" s="6"/>
      <c r="U176" s="6"/>
      <c r="V176" s="6"/>
      <c r="W176" s="6"/>
      <c r="X176" s="6"/>
      <c r="Y176" s="6"/>
      <c r="Z176" s="7">
        <f t="shared" si="153"/>
        <v>15</v>
      </c>
      <c r="AA176" s="11">
        <f t="shared" si="137"/>
        <v>0</v>
      </c>
      <c r="AB176" s="25"/>
      <c r="AC176" s="10" t="str">
        <f t="shared" si="76"/>
        <v>OutubroSEMANA 3Suíno - Costelinha Fresca</v>
      </c>
      <c r="AD176" s="7">
        <f>SUMIF(NF!$A:$A,$AC176,NF!$I:$I)</f>
        <v>0</v>
      </c>
      <c r="AE176" s="6"/>
      <c r="AF176" s="6"/>
      <c r="AG176" s="6"/>
      <c r="AH176" s="6"/>
      <c r="AI176" s="6"/>
      <c r="AJ176" s="6"/>
      <c r="AK176" s="6"/>
      <c r="AL176" s="7">
        <f t="shared" si="154"/>
        <v>0</v>
      </c>
      <c r="AM176" s="11">
        <f t="shared" si="138"/>
        <v>0</v>
      </c>
      <c r="AN176" s="25"/>
      <c r="AO176" s="10" t="str">
        <f t="shared" si="79"/>
        <v>OutubroSEMANA 4Suíno - Costelinha Fresca</v>
      </c>
      <c r="AP176" s="7">
        <f>SUMIF(NF!$A:$A,$AO176,NF!$I:$I)</f>
        <v>0</v>
      </c>
      <c r="AQ176" s="6"/>
      <c r="AR176" s="6"/>
      <c r="AS176" s="6"/>
      <c r="AT176" s="6"/>
      <c r="AU176" s="6"/>
      <c r="AV176" s="6"/>
      <c r="AW176" s="6"/>
      <c r="AX176" s="7">
        <f t="shared" si="155"/>
        <v>0</v>
      </c>
      <c r="AY176" s="11">
        <f t="shared" si="139"/>
        <v>0</v>
      </c>
      <c r="AZ176" s="25"/>
      <c r="BA176" s="10" t="str">
        <f t="shared" si="82"/>
        <v>OutubroSEMANA 5Suíno - Costelinha Fresca</v>
      </c>
      <c r="BB176" s="7">
        <f>SUMIF(NF!$A:$A,$BA176,NF!$I:$I)</f>
        <v>0</v>
      </c>
      <c r="BC176" s="6"/>
      <c r="BD176" s="6"/>
      <c r="BE176" s="6"/>
      <c r="BF176" s="74"/>
      <c r="BG176" s="74"/>
      <c r="BH176" s="74"/>
      <c r="BI176" s="74"/>
      <c r="BJ176" s="74"/>
      <c r="BK176" s="7">
        <f t="shared" si="156"/>
        <v>0</v>
      </c>
      <c r="BL176" s="8">
        <f t="shared" si="140"/>
        <v>0</v>
      </c>
      <c r="BM176" s="51" t="str">
        <f>IFERROR(VLOOKUP(A176,NF!$M:$O,3,0),"")</f>
        <v>Carnes</v>
      </c>
      <c r="BN176" s="7">
        <f t="shared" si="141"/>
        <v>15</v>
      </c>
      <c r="BO176" s="8">
        <f t="array" ref="BO176">IFERROR(LARGE(IF(NF!$G$2:$G$3137='Mês atual'!A176,NF!$J$2:$J$3137),1),0)*BN176</f>
        <v>236.1</v>
      </c>
      <c r="BP176" s="50"/>
      <c r="BR176" s="147">
        <f t="array" ref="BR176">IFERROR(LARGE(IF(NF!$G$2:$G$3137='Mês atual'!A176,NF!$J$2:$J$3137),1),0)</f>
        <v>15.74</v>
      </c>
      <c r="BS176" s="143" t="str">
        <f>VLOOKUP(A176,NF!M:O,3,0)</f>
        <v>Carnes</v>
      </c>
    </row>
    <row r="177" spans="1:71" x14ac:dyDescent="0.25">
      <c r="A177" s="108" t="s">
        <v>760</v>
      </c>
      <c r="B177" s="12"/>
      <c r="C177" s="9">
        <v>21.96</v>
      </c>
      <c r="D177" s="25"/>
      <c r="E177" s="10" t="str">
        <f t="shared" si="70"/>
        <v>OutubroSEMANA 1Suíno - Costelinha Salgada</v>
      </c>
      <c r="F177" s="7">
        <f>SUMIF(NF!$A:$A,$E177,NF!$I:$I)</f>
        <v>10</v>
      </c>
      <c r="G177" s="6"/>
      <c r="H177" s="6"/>
      <c r="I177" s="6"/>
      <c r="J177" s="6">
        <v>2.56</v>
      </c>
      <c r="K177" s="6">
        <v>2</v>
      </c>
      <c r="L177" s="6">
        <v>7.8</v>
      </c>
      <c r="M177" s="6">
        <v>5.18</v>
      </c>
      <c r="N177" s="7">
        <f t="shared" si="152"/>
        <v>17.54</v>
      </c>
      <c r="O177" s="11">
        <f t="shared" si="136"/>
        <v>14.420000000000002</v>
      </c>
      <c r="P177" s="25"/>
      <c r="Q177" s="10" t="str">
        <f t="shared" si="73"/>
        <v>OutubroSEMANA 2Suíno - Costelinha Salgada</v>
      </c>
      <c r="R177" s="7">
        <f>SUMIF(NF!$A:$A,$Q177,NF!$I:$I)</f>
        <v>0</v>
      </c>
      <c r="S177" s="6"/>
      <c r="T177" s="6"/>
      <c r="U177" s="6"/>
      <c r="V177" s="6"/>
      <c r="W177" s="6"/>
      <c r="X177" s="6">
        <v>2.7</v>
      </c>
      <c r="Y177" s="6">
        <v>1.92</v>
      </c>
      <c r="Z177" s="7">
        <f t="shared" si="153"/>
        <v>4.62</v>
      </c>
      <c r="AA177" s="11">
        <f t="shared" si="137"/>
        <v>9.8000000000000007</v>
      </c>
      <c r="AB177" s="25"/>
      <c r="AC177" s="10" t="str">
        <f t="shared" si="76"/>
        <v>OutubroSEMANA 3Suíno - Costelinha Salgada</v>
      </c>
      <c r="AD177" s="7">
        <f>SUMIF(NF!$A:$A,$AC177,NF!$I:$I)</f>
        <v>20</v>
      </c>
      <c r="AE177" s="6"/>
      <c r="AF177" s="6"/>
      <c r="AG177" s="6"/>
      <c r="AH177" s="6">
        <v>3.06</v>
      </c>
      <c r="AI177" s="6"/>
      <c r="AJ177" s="6">
        <v>7</v>
      </c>
      <c r="AK177" s="6">
        <v>4.9000000000000004</v>
      </c>
      <c r="AL177" s="7">
        <f t="shared" si="154"/>
        <v>14.96</v>
      </c>
      <c r="AM177" s="11">
        <f t="shared" si="138"/>
        <v>14.84</v>
      </c>
      <c r="AN177" s="25"/>
      <c r="AO177" s="10" t="str">
        <f t="shared" si="79"/>
        <v>OutubroSEMANA 4Suíno - Costelinha Salgada</v>
      </c>
      <c r="AP177" s="7">
        <f>SUMIF(NF!$A:$A,$AO177,NF!$I:$I)</f>
        <v>9</v>
      </c>
      <c r="AQ177" s="6"/>
      <c r="AR177" s="6"/>
      <c r="AS177" s="6"/>
      <c r="AT177" s="6"/>
      <c r="AU177" s="6">
        <v>2.3199999999999998</v>
      </c>
      <c r="AV177" s="6">
        <f>6.5+1.33</f>
        <v>7.83</v>
      </c>
      <c r="AW177" s="6">
        <f>4.54+1.33</f>
        <v>5.87</v>
      </c>
      <c r="AX177" s="7">
        <f t="shared" si="155"/>
        <v>16.02</v>
      </c>
      <c r="AY177" s="11">
        <f t="shared" si="139"/>
        <v>7.82</v>
      </c>
      <c r="AZ177" s="25"/>
      <c r="BA177" s="10" t="str">
        <f t="shared" si="82"/>
        <v>OutubroSEMANA 5Suíno - Costelinha Salgada</v>
      </c>
      <c r="BB177" s="7">
        <f>SUMIF(NF!$A:$A,$BA177,NF!$I:$I)</f>
        <v>9</v>
      </c>
      <c r="BC177" s="6"/>
      <c r="BD177" s="6"/>
      <c r="BE177" s="6">
        <f>2.58+1</f>
        <v>3.58</v>
      </c>
      <c r="BF177" s="74"/>
      <c r="BG177" s="74"/>
      <c r="BH177" s="74"/>
      <c r="BI177" s="74"/>
      <c r="BJ177" s="74"/>
      <c r="BK177" s="7">
        <f t="shared" si="156"/>
        <v>3.58</v>
      </c>
      <c r="BL177" s="8">
        <f t="shared" si="140"/>
        <v>13.24</v>
      </c>
      <c r="BM177" s="51" t="str">
        <f>IFERROR(VLOOKUP(A177,NF!$M:$O,3,0),"")</f>
        <v>Carnes</v>
      </c>
      <c r="BN177" s="7">
        <f t="shared" si="141"/>
        <v>56.72</v>
      </c>
      <c r="BO177" s="8">
        <f t="array" ref="BO177">IFERROR(LARGE(IF(NF!$G$2:$G$3137='Mês atual'!A177,NF!$J$2:$J$3137),1),0)*BN177</f>
        <v>622.21839999999997</v>
      </c>
      <c r="BP177" s="50"/>
      <c r="BR177" s="147">
        <f t="array" ref="BR177">IFERROR(LARGE(IF(NF!$G$2:$G$3137='Mês atual'!A177,NF!$J$2:$J$3137),1),0)</f>
        <v>10.97</v>
      </c>
      <c r="BS177" s="143" t="str">
        <f>VLOOKUP(A177,NF!M:O,3,0)</f>
        <v>Carnes</v>
      </c>
    </row>
    <row r="178" spans="1:71" x14ac:dyDescent="0.25">
      <c r="A178" s="108" t="s">
        <v>761</v>
      </c>
      <c r="B178" s="12"/>
      <c r="C178" s="9">
        <v>18</v>
      </c>
      <c r="D178" s="25"/>
      <c r="E178" s="10" t="str">
        <f t="shared" si="70"/>
        <v>OutubroSEMANA 1Suino - File Mignon c/Barriga (Medalhão)</v>
      </c>
      <c r="F178" s="7">
        <f>SUMIF(NF!$A:$A,$E178,NF!$I:$I)</f>
        <v>0</v>
      </c>
      <c r="G178" s="6"/>
      <c r="H178" s="6"/>
      <c r="I178" s="6"/>
      <c r="J178" s="6"/>
      <c r="K178" s="6"/>
      <c r="L178" s="6"/>
      <c r="M178" s="6"/>
      <c r="N178" s="7">
        <f t="shared" si="152"/>
        <v>0</v>
      </c>
      <c r="O178" s="11">
        <f t="shared" si="136"/>
        <v>18</v>
      </c>
      <c r="P178" s="25"/>
      <c r="Q178" s="10" t="str">
        <f t="shared" si="73"/>
        <v>OutubroSEMANA 2Suino - File Mignon c/Barriga (Medalhão)</v>
      </c>
      <c r="R178" s="7">
        <f>SUMIF(NF!$A:$A,$Q178,NF!$I:$I)</f>
        <v>0</v>
      </c>
      <c r="S178" s="6"/>
      <c r="T178" s="6">
        <f>9+3.5</f>
        <v>12.5</v>
      </c>
      <c r="U178" s="6"/>
      <c r="V178" s="6"/>
      <c r="W178" s="6"/>
      <c r="X178" s="6"/>
      <c r="Y178" s="6"/>
      <c r="Z178" s="7">
        <f t="shared" si="153"/>
        <v>12.5</v>
      </c>
      <c r="AA178" s="11">
        <f t="shared" si="137"/>
        <v>5.5</v>
      </c>
      <c r="AB178" s="25"/>
      <c r="AC178" s="10" t="str">
        <f t="shared" si="76"/>
        <v>OutubroSEMANA 3Suino - File Mignon c/Barriga (Medalhão)</v>
      </c>
      <c r="AD178" s="7">
        <f>SUMIF(NF!$A:$A,$AC178,NF!$I:$I)</f>
        <v>0</v>
      </c>
      <c r="AE178" s="6">
        <v>5.5</v>
      </c>
      <c r="AF178" s="6"/>
      <c r="AG178" s="6"/>
      <c r="AH178" s="6"/>
      <c r="AI178" s="6"/>
      <c r="AJ178" s="6"/>
      <c r="AK178" s="6"/>
      <c r="AL178" s="7">
        <f t="shared" si="154"/>
        <v>5.5</v>
      </c>
      <c r="AM178" s="11">
        <f t="shared" si="138"/>
        <v>0</v>
      </c>
      <c r="AN178" s="25"/>
      <c r="AO178" s="10" t="str">
        <f t="shared" si="79"/>
        <v>OutubroSEMANA 4Suino - File Mignon c/Barriga (Medalhão)</v>
      </c>
      <c r="AP178" s="7">
        <f>SUMIF(NF!$A:$A,$AO178,NF!$I:$I)</f>
        <v>0</v>
      </c>
      <c r="AQ178" s="6"/>
      <c r="AR178" s="6"/>
      <c r="AS178" s="6"/>
      <c r="AT178" s="6"/>
      <c r="AU178" s="6"/>
      <c r="AV178" s="6"/>
      <c r="AW178" s="6"/>
      <c r="AX178" s="7">
        <f t="shared" si="155"/>
        <v>0</v>
      </c>
      <c r="AY178" s="11">
        <f t="shared" si="139"/>
        <v>0</v>
      </c>
      <c r="AZ178" s="25"/>
      <c r="BA178" s="10" t="str">
        <f t="shared" si="82"/>
        <v>OutubroSEMANA 5Suino - File Mignon c/Barriga (Medalhão)</v>
      </c>
      <c r="BB178" s="7">
        <f>SUMIF(NF!$A:$A,$BA178,NF!$I:$I)</f>
        <v>0</v>
      </c>
      <c r="BC178" s="6"/>
      <c r="BD178" s="6"/>
      <c r="BE178" s="6"/>
      <c r="BF178" s="74"/>
      <c r="BG178" s="74"/>
      <c r="BH178" s="74"/>
      <c r="BI178" s="74"/>
      <c r="BJ178" s="74"/>
      <c r="BK178" s="7">
        <f t="shared" si="156"/>
        <v>0</v>
      </c>
      <c r="BL178" s="8">
        <f t="shared" si="140"/>
        <v>0</v>
      </c>
      <c r="BM178" s="51" t="str">
        <f>IFERROR(VLOOKUP(A178,NF!$M:$O,3,0),"")</f>
        <v>Carnes</v>
      </c>
      <c r="BN178" s="7">
        <f t="shared" si="141"/>
        <v>18</v>
      </c>
      <c r="BO178" s="8">
        <f t="array" ref="BO178">IFERROR(LARGE(IF(NF!$G$2:$G$3137='Mês atual'!A178,NF!$J$2:$J$3137),1),0)*BN178</f>
        <v>0</v>
      </c>
      <c r="BP178" s="50"/>
      <c r="BR178" s="147">
        <f t="array" ref="BR178">IFERROR(LARGE(IF(NF!$G$2:$G$3137='Mês atual'!A178,NF!$J$2:$J$3137),1),0)</f>
        <v>0</v>
      </c>
      <c r="BS178" s="143" t="str">
        <f>VLOOKUP(A178,NF!M:O,3,0)</f>
        <v>Carnes</v>
      </c>
    </row>
    <row r="179" spans="1:71" x14ac:dyDescent="0.25">
      <c r="A179" s="108" t="s">
        <v>977</v>
      </c>
      <c r="B179" s="12"/>
      <c r="C179" s="9"/>
      <c r="D179" s="25"/>
      <c r="E179" s="10" t="str">
        <f t="shared" si="70"/>
        <v>OutubroSEMANA 1Suíno - Filezinho Suíno</v>
      </c>
      <c r="F179" s="7">
        <f>SUMIF(NF!$A:$A,$E179,NF!$I:$I)</f>
        <v>0</v>
      </c>
      <c r="G179" s="6"/>
      <c r="H179" s="6"/>
      <c r="I179" s="6"/>
      <c r="J179" s="6"/>
      <c r="K179" s="6"/>
      <c r="L179" s="6"/>
      <c r="M179" s="6"/>
      <c r="N179" s="7">
        <f t="shared" ref="N179" si="168">SUM(G179:M179)</f>
        <v>0</v>
      </c>
      <c r="O179" s="11">
        <f t="shared" si="136"/>
        <v>0</v>
      </c>
      <c r="P179" s="25"/>
      <c r="Q179" s="10" t="str">
        <f t="shared" si="73"/>
        <v>OutubroSEMANA 2Suíno - Filezinho Suíno</v>
      </c>
      <c r="R179" s="7">
        <f>SUMIF(NF!$A:$A,$Q179,NF!$I:$I)</f>
        <v>0</v>
      </c>
      <c r="S179" s="6"/>
      <c r="T179" s="6"/>
      <c r="U179" s="6"/>
      <c r="V179" s="6"/>
      <c r="W179" s="6"/>
      <c r="X179" s="6"/>
      <c r="Y179" s="6"/>
      <c r="Z179" s="7">
        <f t="shared" ref="Z179" si="169">SUM(S179:Y179)</f>
        <v>0</v>
      </c>
      <c r="AA179" s="11">
        <f t="shared" si="137"/>
        <v>0</v>
      </c>
      <c r="AB179" s="25"/>
      <c r="AC179" s="10" t="str">
        <f t="shared" si="76"/>
        <v>OutubroSEMANA 3Suíno - Filezinho Suíno</v>
      </c>
      <c r="AD179" s="7">
        <f>SUMIF(NF!$A:$A,$AC179,NF!$I:$I)</f>
        <v>0</v>
      </c>
      <c r="AE179" s="6"/>
      <c r="AF179" s="6"/>
      <c r="AG179" s="6"/>
      <c r="AH179" s="6"/>
      <c r="AI179" s="6"/>
      <c r="AJ179" s="6"/>
      <c r="AK179" s="6"/>
      <c r="AL179" s="7">
        <f t="shared" ref="AL179" si="170">SUM(AE179:AK179)</f>
        <v>0</v>
      </c>
      <c r="AM179" s="11">
        <f t="shared" si="138"/>
        <v>0</v>
      </c>
      <c r="AN179" s="25"/>
      <c r="AO179" s="10" t="str">
        <f t="shared" si="79"/>
        <v>OutubroSEMANA 4Suíno - Filezinho Suíno</v>
      </c>
      <c r="AP179" s="7">
        <f>SUMIF(NF!$A:$A,$AO179,NF!$I:$I)</f>
        <v>0</v>
      </c>
      <c r="AQ179" s="6"/>
      <c r="AR179" s="6"/>
      <c r="AS179" s="6"/>
      <c r="AT179" s="6"/>
      <c r="AU179" s="6"/>
      <c r="AV179" s="6"/>
      <c r="AW179" s="6"/>
      <c r="AX179" s="7">
        <f t="shared" ref="AX179" si="171">SUM(AQ179:AW179)</f>
        <v>0</v>
      </c>
      <c r="AY179" s="11">
        <f t="shared" si="139"/>
        <v>0</v>
      </c>
      <c r="AZ179" s="25"/>
      <c r="BA179" s="10" t="str">
        <f t="shared" si="82"/>
        <v>OutubroSEMANA 5Suíno - Filezinho Suíno</v>
      </c>
      <c r="BB179" s="7">
        <f>SUMIF(NF!$A:$A,$BA179,NF!$I:$I)</f>
        <v>20</v>
      </c>
      <c r="BC179" s="6"/>
      <c r="BD179" s="6"/>
      <c r="BE179" s="6"/>
      <c r="BF179" s="74"/>
      <c r="BG179" s="74"/>
      <c r="BH179" s="74"/>
      <c r="BI179" s="74"/>
      <c r="BJ179" s="74"/>
      <c r="BK179" s="7">
        <f t="shared" ref="BK179" si="172">SUM(BC179:BJ179)</f>
        <v>0</v>
      </c>
      <c r="BL179" s="8">
        <f t="shared" si="140"/>
        <v>20</v>
      </c>
      <c r="BM179" s="51" t="str">
        <f>IFERROR(VLOOKUP(A179,NF!$M:$O,3,0),"")</f>
        <v>Carnes</v>
      </c>
      <c r="BN179" s="7">
        <f t="shared" si="141"/>
        <v>0</v>
      </c>
      <c r="BO179" s="8">
        <f t="array" ref="BO179">IFERROR(LARGE(IF(NF!$G$2:$G$3137='Mês atual'!A179,NF!$J$2:$J$3137),1),0)*BN179</f>
        <v>0</v>
      </c>
      <c r="BP179" s="50"/>
      <c r="BR179" s="147">
        <f t="array" ref="BR179">IFERROR(LARGE(IF(NF!$G$2:$G$3137='Mês atual'!A179,NF!$J$2:$J$3137),1),0)</f>
        <v>9.98</v>
      </c>
      <c r="BS179" s="143" t="str">
        <f>VLOOKUP(A179,NF!M:O,3,0)</f>
        <v>Carnes</v>
      </c>
    </row>
    <row r="180" spans="1:71" x14ac:dyDescent="0.25">
      <c r="A180" s="108" t="s">
        <v>762</v>
      </c>
      <c r="B180" s="12"/>
      <c r="C180" s="9"/>
      <c r="D180" s="25"/>
      <c r="E180" s="10" t="str">
        <f t="shared" si="70"/>
        <v>OutubroSEMANA 1Suíno - Linguiça Calabresa</v>
      </c>
      <c r="F180" s="7">
        <f>SUMIF(NF!$A:$A,$E180,NF!$I:$I)</f>
        <v>2.5</v>
      </c>
      <c r="G180" s="6"/>
      <c r="H180" s="6"/>
      <c r="I180" s="6"/>
      <c r="J180" s="6">
        <v>2.5</v>
      </c>
      <c r="K180" s="6"/>
      <c r="L180" s="6"/>
      <c r="M180" s="6"/>
      <c r="N180" s="7">
        <f t="shared" ref="N180:N194" si="173">SUM(G180:M180)</f>
        <v>2.5</v>
      </c>
      <c r="O180" s="11">
        <f t="shared" si="136"/>
        <v>0</v>
      </c>
      <c r="P180" s="25"/>
      <c r="Q180" s="10" t="str">
        <f t="shared" si="73"/>
        <v>OutubroSEMANA 2Suíno - Linguiça Calabresa</v>
      </c>
      <c r="R180" s="7">
        <f>SUMIF(NF!$A:$A,$Q180,NF!$I:$I)</f>
        <v>2.5</v>
      </c>
      <c r="S180" s="6"/>
      <c r="T180" s="6"/>
      <c r="U180" s="6"/>
      <c r="V180" s="6"/>
      <c r="W180" s="6"/>
      <c r="X180" s="6"/>
      <c r="Y180" s="6"/>
      <c r="Z180" s="7">
        <f t="shared" ref="Z180:Z194" si="174">SUM(S180:Y180)</f>
        <v>0</v>
      </c>
      <c r="AA180" s="11">
        <f t="shared" si="137"/>
        <v>2.5</v>
      </c>
      <c r="AB180" s="25"/>
      <c r="AC180" s="10" t="str">
        <f t="shared" si="76"/>
        <v>OutubroSEMANA 3Suíno - Linguiça Calabresa</v>
      </c>
      <c r="AD180" s="7">
        <f>SUMIF(NF!$A:$A,$AC180,NF!$I:$I)</f>
        <v>0</v>
      </c>
      <c r="AE180" s="6"/>
      <c r="AF180" s="6"/>
      <c r="AG180" s="6">
        <v>2.5</v>
      </c>
      <c r="AH180" s="6"/>
      <c r="AI180" s="6"/>
      <c r="AJ180" s="6"/>
      <c r="AK180" s="6"/>
      <c r="AL180" s="7">
        <f t="shared" ref="AL180:AL194" si="175">SUM(AE180:AK180)</f>
        <v>2.5</v>
      </c>
      <c r="AM180" s="11">
        <f t="shared" si="138"/>
        <v>0</v>
      </c>
      <c r="AN180" s="25"/>
      <c r="AO180" s="10" t="str">
        <f t="shared" si="79"/>
        <v>OutubroSEMANA 4Suíno - Linguiça Calabresa</v>
      </c>
      <c r="AP180" s="7">
        <f>SUMIF(NF!$A:$A,$AO180,NF!$I:$I)</f>
        <v>2.5</v>
      </c>
      <c r="AQ180" s="6"/>
      <c r="AR180" s="6"/>
      <c r="AS180" s="6"/>
      <c r="AT180" s="6"/>
      <c r="AU180" s="6"/>
      <c r="AV180" s="6"/>
      <c r="AW180" s="6"/>
      <c r="AX180" s="7">
        <f t="shared" ref="AX180:AX194" si="176">SUM(AQ180:AW180)</f>
        <v>0</v>
      </c>
      <c r="AY180" s="11">
        <f t="shared" si="139"/>
        <v>2.5</v>
      </c>
      <c r="AZ180" s="25"/>
      <c r="BA180" s="10" t="str">
        <f t="shared" si="82"/>
        <v>OutubroSEMANA 5Suíno - Linguiça Calabresa</v>
      </c>
      <c r="BB180" s="7">
        <f>SUMIF(NF!$A:$A,$BA180,NF!$I:$I)</f>
        <v>0</v>
      </c>
      <c r="BC180" s="6"/>
      <c r="BD180" s="6"/>
      <c r="BE180" s="6">
        <v>2.5</v>
      </c>
      <c r="BF180" s="74"/>
      <c r="BG180" s="74"/>
      <c r="BH180" s="74"/>
      <c r="BI180" s="74"/>
      <c r="BJ180" s="74"/>
      <c r="BK180" s="7">
        <f t="shared" ref="BK180:BK194" si="177">SUM(BC180:BJ180)</f>
        <v>2.5</v>
      </c>
      <c r="BL180" s="8">
        <f t="shared" si="140"/>
        <v>0</v>
      </c>
      <c r="BM180" s="51" t="str">
        <f>IFERROR(VLOOKUP(A180,NF!$M:$O,3,0),"")</f>
        <v>Carnes</v>
      </c>
      <c r="BN180" s="7">
        <f t="shared" si="141"/>
        <v>7.5</v>
      </c>
      <c r="BO180" s="8">
        <f t="array" ref="BO180">IFERROR(LARGE(IF(NF!$G$2:$G$3137='Mês atual'!A180,NF!$J$2:$J$3137),1),0)*BN180</f>
        <v>78.600000000000009</v>
      </c>
      <c r="BP180" s="50"/>
      <c r="BR180" s="147">
        <f t="array" ref="BR180">IFERROR(LARGE(IF(NF!$G$2:$G$3137='Mês atual'!A180,NF!$J$2:$J$3137),1),0)</f>
        <v>10.48</v>
      </c>
      <c r="BS180" s="143" t="str">
        <f>VLOOKUP(A180,NF!M:O,3,0)</f>
        <v>Carnes</v>
      </c>
    </row>
    <row r="181" spans="1:71" x14ac:dyDescent="0.25">
      <c r="A181" s="108" t="s">
        <v>763</v>
      </c>
      <c r="B181" s="12"/>
      <c r="C181" s="9">
        <v>5</v>
      </c>
      <c r="D181" s="25"/>
      <c r="E181" s="10" t="str">
        <f t="shared" si="70"/>
        <v>OutubroSEMANA 1Suíno - Linguiça de Pernil</v>
      </c>
      <c r="F181" s="7">
        <f>SUMIF(NF!$A:$A,$E181,NF!$I:$I)</f>
        <v>5</v>
      </c>
      <c r="G181" s="6"/>
      <c r="H181" s="6"/>
      <c r="I181" s="6"/>
      <c r="J181" s="6"/>
      <c r="K181" s="6"/>
      <c r="L181" s="6">
        <v>3</v>
      </c>
      <c r="M181" s="6">
        <v>2</v>
      </c>
      <c r="N181" s="7">
        <f t="shared" si="173"/>
        <v>5</v>
      </c>
      <c r="O181" s="11">
        <f t="shared" si="136"/>
        <v>5</v>
      </c>
      <c r="P181" s="25"/>
      <c r="Q181" s="10" t="str">
        <f t="shared" si="73"/>
        <v>OutubroSEMANA 2Suíno - Linguiça de Pernil</v>
      </c>
      <c r="R181" s="7">
        <f>SUMIF(NF!$A:$A,$Q181,NF!$I:$I)</f>
        <v>0</v>
      </c>
      <c r="S181" s="6"/>
      <c r="T181" s="6"/>
      <c r="U181" s="6"/>
      <c r="V181" s="6"/>
      <c r="W181" s="6"/>
      <c r="X181" s="6">
        <v>1.8</v>
      </c>
      <c r="Y181" s="6">
        <v>1.2</v>
      </c>
      <c r="Z181" s="7">
        <f t="shared" si="174"/>
        <v>3</v>
      </c>
      <c r="AA181" s="11">
        <f t="shared" si="137"/>
        <v>2</v>
      </c>
      <c r="AB181" s="25"/>
      <c r="AC181" s="10" t="str">
        <f t="shared" si="76"/>
        <v>OutubroSEMANA 3Suíno - Linguiça de Pernil</v>
      </c>
      <c r="AD181" s="7">
        <f>SUMIF(NF!$A:$A,$AC181,NF!$I:$I)</f>
        <v>10</v>
      </c>
      <c r="AE181" s="6"/>
      <c r="AF181" s="6"/>
      <c r="AG181" s="6"/>
      <c r="AH181" s="6">
        <v>2</v>
      </c>
      <c r="AI181" s="6"/>
      <c r="AJ181" s="6">
        <v>3.6</v>
      </c>
      <c r="AK181" s="6">
        <v>2.4</v>
      </c>
      <c r="AL181" s="7">
        <f t="shared" si="175"/>
        <v>8</v>
      </c>
      <c r="AM181" s="11">
        <f t="shared" si="138"/>
        <v>4</v>
      </c>
      <c r="AN181" s="25"/>
      <c r="AO181" s="10" t="str">
        <f t="shared" si="79"/>
        <v>OutubroSEMANA 4Suíno - Linguiça de Pernil</v>
      </c>
      <c r="AP181" s="7">
        <f>SUMIF(NF!$A:$A,$AO181,NF!$I:$I)</f>
        <v>5</v>
      </c>
      <c r="AQ181" s="6"/>
      <c r="AR181" s="6"/>
      <c r="AS181" s="6"/>
      <c r="AT181" s="6"/>
      <c r="AU181" s="6"/>
      <c r="AV181" s="6">
        <v>2.5</v>
      </c>
      <c r="AW181" s="6">
        <f>1.52+0.52</f>
        <v>2.04</v>
      </c>
      <c r="AX181" s="7">
        <f t="shared" si="176"/>
        <v>4.54</v>
      </c>
      <c r="AY181" s="11">
        <f t="shared" si="139"/>
        <v>4.46</v>
      </c>
      <c r="AZ181" s="25"/>
      <c r="BA181" s="10" t="str">
        <f t="shared" si="82"/>
        <v>OutubroSEMANA 5Suíno - Linguiça de Pernil</v>
      </c>
      <c r="BB181" s="7">
        <f>SUMIF(NF!$A:$A,$BA181,NF!$I:$I)</f>
        <v>5</v>
      </c>
      <c r="BC181" s="6"/>
      <c r="BD181" s="6"/>
      <c r="BE181" s="6"/>
      <c r="BF181" s="74"/>
      <c r="BG181" s="74"/>
      <c r="BH181" s="74"/>
      <c r="BI181" s="74"/>
      <c r="BJ181" s="74"/>
      <c r="BK181" s="7">
        <f t="shared" si="177"/>
        <v>0</v>
      </c>
      <c r="BL181" s="8">
        <f t="shared" si="140"/>
        <v>9.4600000000000009</v>
      </c>
      <c r="BM181" s="51" t="str">
        <f>IFERROR(VLOOKUP(A181,NF!$M:$O,3,0),"")</f>
        <v>Carnes</v>
      </c>
      <c r="BN181" s="7">
        <f t="shared" si="141"/>
        <v>20.54</v>
      </c>
      <c r="BO181" s="8">
        <f t="array" ref="BO181">IFERROR(LARGE(IF(NF!$G$2:$G$3137='Mês atual'!A181,NF!$J$2:$J$3137),1),0)*BN181</f>
        <v>208.2756</v>
      </c>
      <c r="BP181" s="50"/>
      <c r="BR181" s="147">
        <f t="array" ref="BR181">IFERROR(LARGE(IF(NF!$G$2:$G$3137='Mês atual'!A181,NF!$J$2:$J$3137),1),0)</f>
        <v>10.14</v>
      </c>
      <c r="BS181" s="143" t="str">
        <f>VLOOKUP(A181,NF!M:O,3,0)</f>
        <v>Carnes</v>
      </c>
    </row>
    <row r="182" spans="1:71" x14ac:dyDescent="0.25">
      <c r="A182" s="108" t="s">
        <v>764</v>
      </c>
      <c r="B182" s="12"/>
      <c r="C182" s="9">
        <v>2.5</v>
      </c>
      <c r="D182" s="25"/>
      <c r="E182" s="10" t="str">
        <f t="shared" si="70"/>
        <v>OutubroSEMANA 1Suíno - Linguiça Fina Defumada</v>
      </c>
      <c r="F182" s="7">
        <f>SUMIF(NF!$A:$A,$E182,NF!$I:$I)</f>
        <v>0</v>
      </c>
      <c r="G182" s="6"/>
      <c r="H182" s="6"/>
      <c r="I182" s="6"/>
      <c r="J182" s="6"/>
      <c r="K182" s="6">
        <v>1.1060000000000001</v>
      </c>
      <c r="L182" s="6"/>
      <c r="M182" s="6"/>
      <c r="N182" s="7">
        <f t="shared" si="173"/>
        <v>1.1060000000000001</v>
      </c>
      <c r="O182" s="11">
        <f t="shared" si="136"/>
        <v>1.3939999999999999</v>
      </c>
      <c r="P182" s="25"/>
      <c r="Q182" s="10" t="str">
        <f t="shared" si="73"/>
        <v>OutubroSEMANA 2Suíno - Linguiça Fina Defumada</v>
      </c>
      <c r="R182" s="7">
        <f>SUMIF(NF!$A:$A,$Q182,NF!$I:$I)</f>
        <v>0</v>
      </c>
      <c r="S182" s="6"/>
      <c r="T182" s="6"/>
      <c r="U182" s="6"/>
      <c r="V182" s="6"/>
      <c r="W182" s="6"/>
      <c r="X182" s="6"/>
      <c r="Y182" s="6"/>
      <c r="Z182" s="7">
        <f t="shared" si="174"/>
        <v>0</v>
      </c>
      <c r="AA182" s="11">
        <f t="shared" si="137"/>
        <v>1.3939999999999999</v>
      </c>
      <c r="AB182" s="25"/>
      <c r="AC182" s="10" t="str">
        <f t="shared" si="76"/>
        <v>OutubroSEMANA 3Suíno - Linguiça Fina Defumada</v>
      </c>
      <c r="AD182" s="7">
        <f>SUMIF(NF!$A:$A,$AC182,NF!$I:$I)</f>
        <v>0</v>
      </c>
      <c r="AE182" s="6"/>
      <c r="AF182" s="6"/>
      <c r="AG182" s="6"/>
      <c r="AH182" s="6"/>
      <c r="AI182" s="6"/>
      <c r="AJ182" s="6"/>
      <c r="AK182" s="6"/>
      <c r="AL182" s="7">
        <f t="shared" si="175"/>
        <v>0</v>
      </c>
      <c r="AM182" s="11">
        <f t="shared" si="138"/>
        <v>1.3939999999999999</v>
      </c>
      <c r="AN182" s="25"/>
      <c r="AO182" s="10" t="str">
        <f t="shared" si="79"/>
        <v>OutubroSEMANA 4Suíno - Linguiça Fina Defumada</v>
      </c>
      <c r="AP182" s="7">
        <f>SUMIF(NF!$A:$A,$AO182,NF!$I:$I)</f>
        <v>7.5</v>
      </c>
      <c r="AQ182" s="6"/>
      <c r="AR182" s="6"/>
      <c r="AS182" s="6">
        <v>2.5</v>
      </c>
      <c r="AT182" s="6"/>
      <c r="AU182" s="6">
        <v>2.5</v>
      </c>
      <c r="AV182" s="6"/>
      <c r="AW182" s="6"/>
      <c r="AX182" s="7">
        <f t="shared" si="176"/>
        <v>5</v>
      </c>
      <c r="AY182" s="11">
        <f t="shared" si="139"/>
        <v>3.8940000000000001</v>
      </c>
      <c r="AZ182" s="25"/>
      <c r="BA182" s="10" t="str">
        <f t="shared" si="82"/>
        <v>OutubroSEMANA 5Suíno - Linguiça Fina Defumada</v>
      </c>
      <c r="BB182" s="7">
        <f>SUMIF(NF!$A:$A,$BA182,NF!$I:$I)</f>
        <v>0</v>
      </c>
      <c r="BC182" s="6"/>
      <c r="BD182" s="6">
        <v>3.89</v>
      </c>
      <c r="BE182" s="6"/>
      <c r="BF182" s="74"/>
      <c r="BG182" s="74"/>
      <c r="BH182" s="74"/>
      <c r="BI182" s="74"/>
      <c r="BJ182" s="74"/>
      <c r="BK182" s="7">
        <f t="shared" si="177"/>
        <v>3.89</v>
      </c>
      <c r="BL182" s="8">
        <f t="shared" si="140"/>
        <v>4.0000000000000036E-3</v>
      </c>
      <c r="BM182" s="51" t="str">
        <f>IFERROR(VLOOKUP(A182,NF!$M:$O,3,0),"")</f>
        <v>Carnes</v>
      </c>
      <c r="BN182" s="7">
        <f t="shared" si="141"/>
        <v>9.9960000000000004</v>
      </c>
      <c r="BO182" s="8">
        <f t="array" ref="BO182">IFERROR(LARGE(IF(NF!$G$2:$G$3137='Mês atual'!A182,NF!$J$2:$J$3137),1),0)*BN182</f>
        <v>106.45740000000001</v>
      </c>
      <c r="BP182" s="50"/>
      <c r="BR182" s="147">
        <f t="array" ref="BR182">IFERROR(LARGE(IF(NF!$G$2:$G$3137='Mês atual'!A182,NF!$J$2:$J$3137),1),0)</f>
        <v>10.65</v>
      </c>
      <c r="BS182" s="143" t="str">
        <f>VLOOKUP(A182,NF!M:O,3,0)</f>
        <v>Carnes</v>
      </c>
    </row>
    <row r="183" spans="1:71" x14ac:dyDescent="0.25">
      <c r="A183" s="108" t="s">
        <v>765</v>
      </c>
      <c r="B183" s="12"/>
      <c r="C183" s="9">
        <v>3.5</v>
      </c>
      <c r="D183" s="25"/>
      <c r="E183" s="10" t="str">
        <f t="shared" si="70"/>
        <v>OutubroSEMANA 1Suíno - Linguiça Paio</v>
      </c>
      <c r="F183" s="7">
        <f>SUMIF(NF!$A:$A,$E183,NF!$I:$I)</f>
        <v>10</v>
      </c>
      <c r="G183" s="6"/>
      <c r="H183" s="6"/>
      <c r="I183" s="6"/>
      <c r="J183" s="6"/>
      <c r="K183" s="6"/>
      <c r="L183" s="6">
        <v>2</v>
      </c>
      <c r="M183" s="6">
        <v>1.5</v>
      </c>
      <c r="N183" s="7">
        <f t="shared" si="173"/>
        <v>3.5</v>
      </c>
      <c r="O183" s="11">
        <f t="shared" si="136"/>
        <v>10</v>
      </c>
      <c r="P183" s="25"/>
      <c r="Q183" s="10" t="str">
        <f t="shared" si="73"/>
        <v>OutubroSEMANA 2Suíno - Linguiça Paio</v>
      </c>
      <c r="R183" s="7">
        <f>SUMIF(NF!$A:$A,$Q183,NF!$I:$I)</f>
        <v>0</v>
      </c>
      <c r="S183" s="6"/>
      <c r="T183" s="6"/>
      <c r="U183" s="6"/>
      <c r="V183" s="6"/>
      <c r="W183" s="6"/>
      <c r="X183" s="6">
        <v>1.8</v>
      </c>
      <c r="Y183" s="6">
        <v>1.32</v>
      </c>
      <c r="Z183" s="7">
        <f t="shared" si="174"/>
        <v>3.12</v>
      </c>
      <c r="AA183" s="11">
        <f t="shared" si="137"/>
        <v>6.88</v>
      </c>
      <c r="AB183" s="25"/>
      <c r="AC183" s="10" t="str">
        <f t="shared" si="76"/>
        <v>OutubroSEMANA 3Suíno - Linguiça Paio</v>
      </c>
      <c r="AD183" s="7">
        <f>SUMIF(NF!$A:$A,$AC183,NF!$I:$I)</f>
        <v>5</v>
      </c>
      <c r="AE183" s="6"/>
      <c r="AF183" s="6"/>
      <c r="AG183" s="6"/>
      <c r="AH183" s="6">
        <v>2.5</v>
      </c>
      <c r="AI183" s="6"/>
      <c r="AJ183" s="6">
        <v>3.6</v>
      </c>
      <c r="AK183" s="6">
        <v>2.4</v>
      </c>
      <c r="AL183" s="7">
        <f t="shared" si="175"/>
        <v>8.5</v>
      </c>
      <c r="AM183" s="11">
        <f t="shared" si="138"/>
        <v>3.379999999999999</v>
      </c>
      <c r="AN183" s="25"/>
      <c r="AO183" s="10" t="str">
        <f t="shared" si="79"/>
        <v>OutubroSEMANA 4Suíno - Linguiça Paio</v>
      </c>
      <c r="AP183" s="7">
        <f>SUMIF(NF!$A:$A,$AO183,NF!$I:$I)</f>
        <v>7.5</v>
      </c>
      <c r="AQ183" s="6"/>
      <c r="AR183" s="6"/>
      <c r="AS183" s="6"/>
      <c r="AT183" s="6"/>
      <c r="AU183" s="6"/>
      <c r="AV183" s="6">
        <v>2</v>
      </c>
      <c r="AW183" s="6">
        <f>1.5-0.12</f>
        <v>1.38</v>
      </c>
      <c r="AX183" s="7">
        <f t="shared" si="176"/>
        <v>3.38</v>
      </c>
      <c r="AY183" s="11">
        <f t="shared" si="139"/>
        <v>7.4999999999999991</v>
      </c>
      <c r="AZ183" s="25"/>
      <c r="BA183" s="10" t="str">
        <f t="shared" si="82"/>
        <v>OutubroSEMANA 5Suíno - Linguiça Paio</v>
      </c>
      <c r="BB183" s="7">
        <f>SUMIF(NF!$A:$A,$BA183,NF!$I:$I)</f>
        <v>0</v>
      </c>
      <c r="BC183" s="6"/>
      <c r="BD183" s="6"/>
      <c r="BE183" s="6"/>
      <c r="BF183" s="74"/>
      <c r="BG183" s="74"/>
      <c r="BH183" s="74"/>
      <c r="BI183" s="74"/>
      <c r="BJ183" s="74"/>
      <c r="BK183" s="7">
        <f t="shared" si="177"/>
        <v>0</v>
      </c>
      <c r="BL183" s="8">
        <f t="shared" si="140"/>
        <v>7.4999999999999991</v>
      </c>
      <c r="BM183" s="51" t="str">
        <f>IFERROR(VLOOKUP(A183,NF!$M:$O,3,0),"")</f>
        <v>Carnes</v>
      </c>
      <c r="BN183" s="7">
        <f t="shared" si="141"/>
        <v>18.5</v>
      </c>
      <c r="BO183" s="8">
        <f t="array" ref="BO183">IFERROR(LARGE(IF(NF!$G$2:$G$3137='Mês atual'!A183,NF!$J$2:$J$3137),1),0)*BN183</f>
        <v>271.58</v>
      </c>
      <c r="BP183" s="50"/>
      <c r="BR183" s="147">
        <f t="array" ref="BR183">IFERROR(LARGE(IF(NF!$G$2:$G$3137='Mês atual'!A183,NF!$J$2:$J$3137),1),0)</f>
        <v>14.68</v>
      </c>
      <c r="BS183" s="143" t="str">
        <f>VLOOKUP(A183,NF!M:O,3,0)</f>
        <v>Carnes</v>
      </c>
    </row>
    <row r="184" spans="1:71" x14ac:dyDescent="0.25">
      <c r="A184" s="108" t="s">
        <v>766</v>
      </c>
      <c r="B184" s="12"/>
      <c r="C184" s="9"/>
      <c r="D184" s="25"/>
      <c r="E184" s="10" t="str">
        <f t="shared" si="70"/>
        <v>OutubroSEMANA 1Suíno - Linguiça Toscana</v>
      </c>
      <c r="F184" s="7">
        <f>SUMIF(NF!$A:$A,$E184,NF!$I:$I)</f>
        <v>0</v>
      </c>
      <c r="G184" s="6"/>
      <c r="H184" s="6"/>
      <c r="I184" s="6"/>
      <c r="J184" s="6"/>
      <c r="K184" s="6"/>
      <c r="L184" s="6"/>
      <c r="M184" s="6"/>
      <c r="N184" s="7">
        <f t="shared" si="173"/>
        <v>0</v>
      </c>
      <c r="O184" s="11">
        <f t="shared" si="136"/>
        <v>0</v>
      </c>
      <c r="P184" s="25"/>
      <c r="Q184" s="10" t="str">
        <f t="shared" si="73"/>
        <v>OutubroSEMANA 2Suíno - Linguiça Toscana</v>
      </c>
      <c r="R184" s="7">
        <f>SUMIF(NF!$A:$A,$Q184,NF!$I:$I)</f>
        <v>0</v>
      </c>
      <c r="S184" s="6"/>
      <c r="T184" s="6"/>
      <c r="U184" s="6"/>
      <c r="V184" s="6"/>
      <c r="W184" s="6"/>
      <c r="X184" s="6"/>
      <c r="Y184" s="6"/>
      <c r="Z184" s="7">
        <f t="shared" si="174"/>
        <v>0</v>
      </c>
      <c r="AA184" s="11">
        <f t="shared" si="137"/>
        <v>0</v>
      </c>
      <c r="AB184" s="25"/>
      <c r="AC184" s="10" t="str">
        <f t="shared" si="76"/>
        <v>OutubroSEMANA 3Suíno - Linguiça Toscana</v>
      </c>
      <c r="AD184" s="7">
        <f>SUMIF(NF!$A:$A,$AC184,NF!$I:$I)</f>
        <v>0</v>
      </c>
      <c r="AE184" s="6"/>
      <c r="AF184" s="6"/>
      <c r="AG184" s="6"/>
      <c r="AH184" s="6"/>
      <c r="AI184" s="6"/>
      <c r="AJ184" s="6"/>
      <c r="AK184" s="6"/>
      <c r="AL184" s="7">
        <f t="shared" si="175"/>
        <v>0</v>
      </c>
      <c r="AM184" s="11">
        <f t="shared" si="138"/>
        <v>0</v>
      </c>
      <c r="AN184" s="25"/>
      <c r="AO184" s="10" t="str">
        <f t="shared" si="79"/>
        <v>OutubroSEMANA 4Suíno - Linguiça Toscana</v>
      </c>
      <c r="AP184" s="7">
        <f>SUMIF(NF!$A:$A,$AO184,NF!$I:$I)</f>
        <v>0</v>
      </c>
      <c r="AQ184" s="6"/>
      <c r="AR184" s="6"/>
      <c r="AS184" s="6"/>
      <c r="AT184" s="6"/>
      <c r="AU184" s="6"/>
      <c r="AV184" s="6"/>
      <c r="AW184" s="6"/>
      <c r="AX184" s="7">
        <f t="shared" si="176"/>
        <v>0</v>
      </c>
      <c r="AY184" s="11">
        <f t="shared" si="139"/>
        <v>0</v>
      </c>
      <c r="AZ184" s="25"/>
      <c r="BA184" s="10" t="str">
        <f t="shared" si="82"/>
        <v>OutubroSEMANA 5Suíno - Linguiça Toscana</v>
      </c>
      <c r="BB184" s="7">
        <f>SUMIF(NF!$A:$A,$BA184,NF!$I:$I)</f>
        <v>0</v>
      </c>
      <c r="BC184" s="6"/>
      <c r="BD184" s="6"/>
      <c r="BE184" s="6"/>
      <c r="BF184" s="74"/>
      <c r="BG184" s="74"/>
      <c r="BH184" s="74"/>
      <c r="BI184" s="74"/>
      <c r="BJ184" s="74"/>
      <c r="BK184" s="7">
        <f t="shared" si="177"/>
        <v>0</v>
      </c>
      <c r="BL184" s="8">
        <f t="shared" si="140"/>
        <v>0</v>
      </c>
      <c r="BM184" s="51" t="str">
        <f>IFERROR(VLOOKUP(A184,NF!$M:$O,3,0),"")</f>
        <v>Carnes</v>
      </c>
      <c r="BN184" s="7">
        <f t="shared" si="141"/>
        <v>0</v>
      </c>
      <c r="BO184" s="8">
        <f t="array" ref="BO184">IFERROR(LARGE(IF(NF!$G$2:$G$3137='Mês atual'!A184,NF!$J$2:$J$3137),1),0)*BN184</f>
        <v>0</v>
      </c>
      <c r="BP184" s="50"/>
      <c r="BR184" s="147">
        <f t="array" ref="BR184">IFERROR(LARGE(IF(NF!$G$2:$G$3137='Mês atual'!A184,NF!$J$2:$J$3137),1),0)</f>
        <v>0</v>
      </c>
      <c r="BS184" s="143" t="str">
        <f>VLOOKUP(A184,NF!M:O,3,0)</f>
        <v>Carnes</v>
      </c>
    </row>
    <row r="185" spans="1:71" x14ac:dyDescent="0.25">
      <c r="A185" s="108" t="s">
        <v>767</v>
      </c>
      <c r="B185" s="12"/>
      <c r="C185" s="9"/>
      <c r="D185" s="25"/>
      <c r="E185" s="10" t="str">
        <f t="shared" si="70"/>
        <v>OutubroSEMANA 1Suíno - Lombinho Fresco</v>
      </c>
      <c r="F185" s="7">
        <f>SUMIF(NF!$A:$A,$E185,NF!$I:$I)</f>
        <v>0</v>
      </c>
      <c r="G185" s="6"/>
      <c r="H185" s="6"/>
      <c r="I185" s="6"/>
      <c r="J185" s="6"/>
      <c r="K185" s="6"/>
      <c r="L185" s="6"/>
      <c r="M185" s="6"/>
      <c r="N185" s="7">
        <f t="shared" si="173"/>
        <v>0</v>
      </c>
      <c r="O185" s="11">
        <f t="shared" si="136"/>
        <v>0</v>
      </c>
      <c r="P185" s="25"/>
      <c r="Q185" s="10" t="str">
        <f t="shared" si="73"/>
        <v>OutubroSEMANA 2Suíno - Lombinho Fresco</v>
      </c>
      <c r="R185" s="7">
        <f>SUMIF(NF!$A:$A,$Q185,NF!$I:$I)</f>
        <v>0</v>
      </c>
      <c r="S185" s="6"/>
      <c r="T185" s="6"/>
      <c r="U185" s="6"/>
      <c r="V185" s="6"/>
      <c r="W185" s="6"/>
      <c r="X185" s="6"/>
      <c r="Y185" s="6"/>
      <c r="Z185" s="7">
        <f t="shared" si="174"/>
        <v>0</v>
      </c>
      <c r="AA185" s="11">
        <f t="shared" si="137"/>
        <v>0</v>
      </c>
      <c r="AB185" s="25"/>
      <c r="AC185" s="10" t="str">
        <f t="shared" si="76"/>
        <v>OutubroSEMANA 3Suíno - Lombinho Fresco</v>
      </c>
      <c r="AD185" s="7">
        <f>SUMIF(NF!$A:$A,$AC185,NF!$I:$I)</f>
        <v>0</v>
      </c>
      <c r="AE185" s="6"/>
      <c r="AF185" s="6"/>
      <c r="AG185" s="6"/>
      <c r="AH185" s="6"/>
      <c r="AI185" s="6"/>
      <c r="AJ185" s="6"/>
      <c r="AK185" s="6"/>
      <c r="AL185" s="7">
        <f t="shared" si="175"/>
        <v>0</v>
      </c>
      <c r="AM185" s="11">
        <f t="shared" si="138"/>
        <v>0</v>
      </c>
      <c r="AN185" s="25"/>
      <c r="AO185" s="10" t="str">
        <f t="shared" si="79"/>
        <v>OutubroSEMANA 4Suíno - Lombinho Fresco</v>
      </c>
      <c r="AP185" s="7">
        <f>SUMIF(NF!$A:$A,$AO185,NF!$I:$I)</f>
        <v>0</v>
      </c>
      <c r="AQ185" s="6"/>
      <c r="AR185" s="6"/>
      <c r="AS185" s="6"/>
      <c r="AT185" s="6"/>
      <c r="AU185" s="6"/>
      <c r="AV185" s="6"/>
      <c r="AW185" s="6"/>
      <c r="AX185" s="7">
        <f t="shared" si="176"/>
        <v>0</v>
      </c>
      <c r="AY185" s="11">
        <f t="shared" si="139"/>
        <v>0</v>
      </c>
      <c r="AZ185" s="25"/>
      <c r="BA185" s="10" t="str">
        <f t="shared" si="82"/>
        <v>OutubroSEMANA 5Suíno - Lombinho Fresco</v>
      </c>
      <c r="BB185" s="7">
        <f>SUMIF(NF!$A:$A,$BA185,NF!$I:$I)</f>
        <v>0</v>
      </c>
      <c r="BC185" s="6"/>
      <c r="BD185" s="6"/>
      <c r="BE185" s="6"/>
      <c r="BF185" s="74"/>
      <c r="BG185" s="74"/>
      <c r="BH185" s="74"/>
      <c r="BI185" s="74"/>
      <c r="BJ185" s="74"/>
      <c r="BK185" s="7">
        <f t="shared" si="177"/>
        <v>0</v>
      </c>
      <c r="BL185" s="8">
        <f t="shared" si="140"/>
        <v>0</v>
      </c>
      <c r="BM185" s="51" t="str">
        <f>IFERROR(VLOOKUP(A185,NF!$M:$O,3,0),"")</f>
        <v>Carnes</v>
      </c>
      <c r="BN185" s="7">
        <f t="shared" si="141"/>
        <v>0</v>
      </c>
      <c r="BO185" s="8">
        <f t="array" ref="BO185">IFERROR(LARGE(IF(NF!$G$2:$G$3137='Mês atual'!A185,NF!$J$2:$J$3137),1),0)*BN185</f>
        <v>0</v>
      </c>
      <c r="BP185" s="50"/>
      <c r="BR185" s="147">
        <f t="array" ref="BR185">IFERROR(LARGE(IF(NF!$G$2:$G$3137='Mês atual'!A185,NF!$J$2:$J$3137),1),0)</f>
        <v>0</v>
      </c>
      <c r="BS185" s="143" t="str">
        <f>VLOOKUP(A185,NF!M:O,3,0)</f>
        <v>Carnes</v>
      </c>
    </row>
    <row r="186" spans="1:71" x14ac:dyDescent="0.25">
      <c r="A186" s="108" t="s">
        <v>768</v>
      </c>
      <c r="B186" s="12"/>
      <c r="C186" s="9">
        <v>10.9</v>
      </c>
      <c r="D186" s="25"/>
      <c r="E186" s="10" t="str">
        <f t="shared" si="70"/>
        <v>OutubroSEMANA 1Suíno - Lombo Salgado</v>
      </c>
      <c r="F186" s="7">
        <f>SUMIF(NF!$A:$A,$E186,NF!$I:$I)</f>
        <v>20</v>
      </c>
      <c r="G186" s="6"/>
      <c r="H186" s="6"/>
      <c r="I186" s="6"/>
      <c r="J186" s="6">
        <f>2.3+0.5</f>
        <v>2.8</v>
      </c>
      <c r="K186" s="6">
        <f>2.1+0.42</f>
        <v>2.52</v>
      </c>
      <c r="L186" s="6">
        <f>6.5+1</f>
        <v>7.5</v>
      </c>
      <c r="M186" s="6">
        <f>4.26+1</f>
        <v>5.26</v>
      </c>
      <c r="N186" s="7">
        <f t="shared" si="173"/>
        <v>18.079999999999998</v>
      </c>
      <c r="O186" s="11">
        <f t="shared" si="136"/>
        <v>12.82</v>
      </c>
      <c r="P186" s="25"/>
      <c r="Q186" s="10" t="str">
        <f t="shared" si="73"/>
        <v>OutubroSEMANA 2Suíno - Lombo Salgado</v>
      </c>
      <c r="R186" s="7">
        <f>SUMIF(NF!$A:$A,$Q186,NF!$I:$I)</f>
        <v>0</v>
      </c>
      <c r="S186" s="6"/>
      <c r="T186" s="6"/>
      <c r="U186" s="6"/>
      <c r="V186" s="6"/>
      <c r="W186" s="6"/>
      <c r="X186" s="6">
        <f>3.3+1</f>
        <v>4.3</v>
      </c>
      <c r="Y186" s="6">
        <f>2.22+1</f>
        <v>3.22</v>
      </c>
      <c r="Z186" s="7">
        <f t="shared" si="174"/>
        <v>7.52</v>
      </c>
      <c r="AA186" s="11">
        <f t="shared" si="137"/>
        <v>5.3000000000000007</v>
      </c>
      <c r="AB186" s="25"/>
      <c r="AC186" s="10" t="str">
        <f t="shared" si="76"/>
        <v>OutubroSEMANA 3Suíno - Lombo Salgado</v>
      </c>
      <c r="AD186" s="7">
        <f>SUMIF(NF!$A:$A,$AC186,NF!$I:$I)</f>
        <v>20</v>
      </c>
      <c r="AE186" s="6"/>
      <c r="AF186" s="6"/>
      <c r="AG186" s="6"/>
      <c r="AH186" s="6">
        <v>3.12</v>
      </c>
      <c r="AI186" s="6"/>
      <c r="AJ186" s="6">
        <f>7.6+1</f>
        <v>8.6</v>
      </c>
      <c r="AK186" s="6">
        <f>5.18+1</f>
        <v>6.18</v>
      </c>
      <c r="AL186" s="7">
        <f t="shared" si="175"/>
        <v>17.899999999999999</v>
      </c>
      <c r="AM186" s="11">
        <f t="shared" si="138"/>
        <v>7.4000000000000021</v>
      </c>
      <c r="AN186" s="25"/>
      <c r="AO186" s="10" t="str">
        <f t="shared" si="79"/>
        <v>OutubroSEMANA 4Suíno - Lombo Salgado</v>
      </c>
      <c r="AP186" s="7">
        <f>SUMIF(NF!$A:$A,$AO186,NF!$I:$I)</f>
        <v>10</v>
      </c>
      <c r="AQ186" s="6"/>
      <c r="AR186" s="6"/>
      <c r="AS186" s="6"/>
      <c r="AT186" s="6"/>
      <c r="AU186" s="6">
        <v>2.2599999999999998</v>
      </c>
      <c r="AV186" s="6">
        <f>6+0.5</f>
        <v>6.5</v>
      </c>
      <c r="AW186" s="6">
        <f>4.12+0.5</f>
        <v>4.62</v>
      </c>
      <c r="AX186" s="7">
        <f t="shared" si="176"/>
        <v>13.379999999999999</v>
      </c>
      <c r="AY186" s="11">
        <f t="shared" si="139"/>
        <v>4.0200000000000031</v>
      </c>
      <c r="AZ186" s="25"/>
      <c r="BA186" s="10" t="str">
        <f t="shared" si="82"/>
        <v>OutubroSEMANA 5Suíno - Lombo Salgado</v>
      </c>
      <c r="BB186" s="7">
        <f>SUMIF(NF!$A:$A,$BA186,NF!$I:$I)</f>
        <v>20</v>
      </c>
      <c r="BC186" s="6"/>
      <c r="BD186" s="6"/>
      <c r="BE186" s="6">
        <f>2.42</f>
        <v>2.42</v>
      </c>
      <c r="BF186" s="74"/>
      <c r="BG186" s="74"/>
      <c r="BH186" s="74"/>
      <c r="BI186" s="74"/>
      <c r="BJ186" s="74"/>
      <c r="BK186" s="7">
        <f t="shared" si="177"/>
        <v>2.42</v>
      </c>
      <c r="BL186" s="8">
        <f t="shared" si="140"/>
        <v>21.6</v>
      </c>
      <c r="BM186" s="51" t="str">
        <f>IFERROR(VLOOKUP(A186,NF!$M:$O,3,0),"")</f>
        <v>Carnes</v>
      </c>
      <c r="BN186" s="7">
        <f t="shared" si="141"/>
        <v>59.3</v>
      </c>
      <c r="BO186" s="8">
        <f t="array" ref="BO186">IFERROR(LARGE(IF(NF!$G$2:$G$3137='Mês atual'!A186,NF!$J$2:$J$3137),1),0)*BN186</f>
        <v>650.52099999999996</v>
      </c>
      <c r="BP186" s="50"/>
      <c r="BR186" s="147">
        <f t="array" ref="BR186">IFERROR(LARGE(IF(NF!$G$2:$G$3137='Mês atual'!A186,NF!$J$2:$J$3137),1),0)</f>
        <v>10.97</v>
      </c>
      <c r="BS186" s="143" t="str">
        <f>VLOOKUP(A186,NF!M:O,3,0)</f>
        <v>Carnes</v>
      </c>
    </row>
    <row r="187" spans="1:71" x14ac:dyDescent="0.25">
      <c r="A187" s="108" t="s">
        <v>769</v>
      </c>
      <c r="B187" s="12"/>
      <c r="C187" s="9"/>
      <c r="D187" s="25"/>
      <c r="E187" s="10" t="str">
        <f t="shared" si="70"/>
        <v>OutubroSEMANA 1Suíno - Pernil s/ Osso</v>
      </c>
      <c r="F187" s="7">
        <f>SUMIF(NF!$A:$A,$E187,NF!$I:$I)</f>
        <v>20</v>
      </c>
      <c r="G187" s="6"/>
      <c r="H187" s="6"/>
      <c r="I187" s="6"/>
      <c r="J187" s="6"/>
      <c r="K187" s="6">
        <v>20</v>
      </c>
      <c r="L187" s="6"/>
      <c r="M187" s="6"/>
      <c r="N187" s="7">
        <f t="shared" si="173"/>
        <v>20</v>
      </c>
      <c r="O187" s="11">
        <f t="shared" si="136"/>
        <v>0</v>
      </c>
      <c r="P187" s="25"/>
      <c r="Q187" s="10" t="str">
        <f t="shared" si="73"/>
        <v>OutubroSEMANA 2Suíno - Pernil s/ Osso</v>
      </c>
      <c r="R187" s="7">
        <f>SUMIF(NF!$A:$A,$Q187,NF!$I:$I)</f>
        <v>0</v>
      </c>
      <c r="S187" s="6"/>
      <c r="T187" s="6"/>
      <c r="U187" s="6"/>
      <c r="V187" s="6"/>
      <c r="W187" s="6"/>
      <c r="X187" s="6"/>
      <c r="Y187" s="6"/>
      <c r="Z187" s="7">
        <f t="shared" si="174"/>
        <v>0</v>
      </c>
      <c r="AA187" s="11">
        <f t="shared" si="137"/>
        <v>0</v>
      </c>
      <c r="AB187" s="25"/>
      <c r="AC187" s="10" t="str">
        <f t="shared" si="76"/>
        <v>OutubroSEMANA 3Suíno - Pernil s/ Osso</v>
      </c>
      <c r="AD187" s="7">
        <f>SUMIF(NF!$A:$A,$AC187,NF!$I:$I)</f>
        <v>0</v>
      </c>
      <c r="AE187" s="6"/>
      <c r="AF187" s="6"/>
      <c r="AG187" s="6"/>
      <c r="AH187" s="6"/>
      <c r="AI187" s="6"/>
      <c r="AJ187" s="6"/>
      <c r="AK187" s="6"/>
      <c r="AL187" s="7">
        <f t="shared" si="175"/>
        <v>0</v>
      </c>
      <c r="AM187" s="11">
        <f t="shared" si="138"/>
        <v>0</v>
      </c>
      <c r="AN187" s="25"/>
      <c r="AO187" s="10" t="str">
        <f t="shared" si="79"/>
        <v>OutubroSEMANA 4Suíno - Pernil s/ Osso</v>
      </c>
      <c r="AP187" s="7">
        <f>SUMIF(NF!$A:$A,$AO187,NF!$I:$I)</f>
        <v>21.89</v>
      </c>
      <c r="AQ187" s="6"/>
      <c r="AR187" s="6"/>
      <c r="AS187" s="6"/>
      <c r="AT187" s="6"/>
      <c r="AU187" s="6">
        <v>21.89</v>
      </c>
      <c r="AV187" s="6"/>
      <c r="AW187" s="6"/>
      <c r="AX187" s="7">
        <f t="shared" si="176"/>
        <v>21.89</v>
      </c>
      <c r="AY187" s="11">
        <f t="shared" si="139"/>
        <v>0</v>
      </c>
      <c r="AZ187" s="25"/>
      <c r="BA187" s="10" t="str">
        <f t="shared" si="82"/>
        <v>OutubroSEMANA 5Suíno - Pernil s/ Osso</v>
      </c>
      <c r="BB187" s="7">
        <f>SUMIF(NF!$A:$A,$BA187,NF!$I:$I)</f>
        <v>0</v>
      </c>
      <c r="BC187" s="6"/>
      <c r="BD187" s="6"/>
      <c r="BE187" s="6"/>
      <c r="BF187" s="74"/>
      <c r="BG187" s="74"/>
      <c r="BH187" s="74"/>
      <c r="BI187" s="74"/>
      <c r="BJ187" s="74"/>
      <c r="BK187" s="7">
        <f t="shared" si="177"/>
        <v>0</v>
      </c>
      <c r="BL187" s="8">
        <f t="shared" si="140"/>
        <v>0</v>
      </c>
      <c r="BM187" s="51" t="str">
        <f>IFERROR(VLOOKUP(A187,NF!$M:$O,3,0),"")</f>
        <v>Carnes</v>
      </c>
      <c r="BN187" s="7">
        <f t="shared" si="141"/>
        <v>41.89</v>
      </c>
      <c r="BO187" s="8">
        <f t="array" ref="BO187">IFERROR(LARGE(IF(NF!$G$2:$G$3137='Mês atual'!A187,NF!$J$2:$J$3137),1),0)*BN187</f>
        <v>372.40210000000002</v>
      </c>
      <c r="BP187" s="50"/>
      <c r="BR187" s="147">
        <f t="array" ref="BR187">IFERROR(LARGE(IF(NF!$G$2:$G$3137='Mês atual'!A187,NF!$J$2:$J$3137),1),0)</f>
        <v>8.89</v>
      </c>
      <c r="BS187" s="143" t="str">
        <f>VLOOKUP(A187,NF!M:O,3,0)</f>
        <v>Carnes</v>
      </c>
    </row>
    <row r="188" spans="1:71" x14ac:dyDescent="0.25">
      <c r="A188" s="108" t="s">
        <v>770</v>
      </c>
      <c r="B188" s="12"/>
      <c r="C188" s="9"/>
      <c r="D188" s="25"/>
      <c r="E188" s="10" t="str">
        <f t="shared" si="70"/>
        <v>OutubroSEMANA 1Suíno - Picanha Suína</v>
      </c>
      <c r="F188" s="7">
        <f>SUMIF(NF!$A:$A,$E188,NF!$I:$I)</f>
        <v>0</v>
      </c>
      <c r="G188" s="6"/>
      <c r="H188" s="6"/>
      <c r="I188" s="6"/>
      <c r="J188" s="6"/>
      <c r="K188" s="6"/>
      <c r="L188" s="6"/>
      <c r="M188" s="6"/>
      <c r="N188" s="7">
        <f t="shared" si="173"/>
        <v>0</v>
      </c>
      <c r="O188" s="11">
        <f t="shared" si="136"/>
        <v>0</v>
      </c>
      <c r="P188" s="25"/>
      <c r="Q188" s="10" t="str">
        <f t="shared" si="73"/>
        <v>OutubroSEMANA 2Suíno - Picanha Suína</v>
      </c>
      <c r="R188" s="7">
        <f>SUMIF(NF!$A:$A,$Q188,NF!$I:$I)</f>
        <v>0</v>
      </c>
      <c r="S188" s="6"/>
      <c r="T188" s="6"/>
      <c r="U188" s="6"/>
      <c r="V188" s="6"/>
      <c r="W188" s="6"/>
      <c r="X188" s="6"/>
      <c r="Y188" s="6"/>
      <c r="Z188" s="7">
        <f t="shared" si="174"/>
        <v>0</v>
      </c>
      <c r="AA188" s="11">
        <f t="shared" si="137"/>
        <v>0</v>
      </c>
      <c r="AB188" s="25"/>
      <c r="AC188" s="10" t="str">
        <f t="shared" si="76"/>
        <v>OutubroSEMANA 3Suíno - Picanha Suína</v>
      </c>
      <c r="AD188" s="7">
        <f>SUMIF(NF!$A:$A,$AC188,NF!$I:$I)</f>
        <v>0</v>
      </c>
      <c r="AE188" s="6"/>
      <c r="AF188" s="6"/>
      <c r="AG188" s="6"/>
      <c r="AH188" s="6"/>
      <c r="AI188" s="6"/>
      <c r="AJ188" s="6"/>
      <c r="AK188" s="6"/>
      <c r="AL188" s="7">
        <f t="shared" si="175"/>
        <v>0</v>
      </c>
      <c r="AM188" s="11">
        <f t="shared" si="138"/>
        <v>0</v>
      </c>
      <c r="AN188" s="25"/>
      <c r="AO188" s="10" t="str">
        <f t="shared" si="79"/>
        <v>OutubroSEMANA 4Suíno - Picanha Suína</v>
      </c>
      <c r="AP188" s="7">
        <f>SUMIF(NF!$A:$A,$AO188,NF!$I:$I)</f>
        <v>0</v>
      </c>
      <c r="AQ188" s="6"/>
      <c r="AR188" s="6"/>
      <c r="AS188" s="6"/>
      <c r="AT188" s="6"/>
      <c r="AU188" s="6"/>
      <c r="AV188" s="6"/>
      <c r="AW188" s="6"/>
      <c r="AX188" s="7">
        <f t="shared" si="176"/>
        <v>0</v>
      </c>
      <c r="AY188" s="11">
        <f t="shared" si="139"/>
        <v>0</v>
      </c>
      <c r="AZ188" s="25"/>
      <c r="BA188" s="10" t="str">
        <f t="shared" si="82"/>
        <v>OutubroSEMANA 5Suíno - Picanha Suína</v>
      </c>
      <c r="BB188" s="7">
        <f>SUMIF(NF!$A:$A,$BA188,NF!$I:$I)</f>
        <v>0</v>
      </c>
      <c r="BC188" s="6"/>
      <c r="BD188" s="6"/>
      <c r="BE188" s="6"/>
      <c r="BF188" s="74"/>
      <c r="BG188" s="74"/>
      <c r="BH188" s="74"/>
      <c r="BI188" s="74"/>
      <c r="BJ188" s="74"/>
      <c r="BK188" s="7">
        <f t="shared" si="177"/>
        <v>0</v>
      </c>
      <c r="BL188" s="8">
        <f t="shared" si="140"/>
        <v>0</v>
      </c>
      <c r="BM188" s="51" t="str">
        <f>IFERROR(VLOOKUP(A188,NF!$M:$O,3,0),"")</f>
        <v>Carnes</v>
      </c>
      <c r="BN188" s="7">
        <f t="shared" si="141"/>
        <v>0</v>
      </c>
      <c r="BO188" s="8">
        <f t="array" ref="BO188">IFERROR(LARGE(IF(NF!$G$2:$G$3137='Mês atual'!A188,NF!$J$2:$J$3137),1),0)*BN188</f>
        <v>0</v>
      </c>
      <c r="BP188" s="50"/>
      <c r="BR188" s="147">
        <f t="array" ref="BR188">IFERROR(LARGE(IF(NF!$G$2:$G$3137='Mês atual'!A188,NF!$J$2:$J$3137),1),0)</f>
        <v>0</v>
      </c>
      <c r="BS188" s="143" t="str">
        <f>VLOOKUP(A188,NF!M:O,3,0)</f>
        <v>Carnes</v>
      </c>
    </row>
    <row r="189" spans="1:71" x14ac:dyDescent="0.25">
      <c r="A189" s="108" t="s">
        <v>771</v>
      </c>
      <c r="B189" s="12"/>
      <c r="C189" s="9"/>
      <c r="D189" s="25"/>
      <c r="E189" s="10" t="str">
        <f t="shared" si="70"/>
        <v>OutubroSEMANA 1Suíno - Salsichão Branco com Ervas</v>
      </c>
      <c r="F189" s="7">
        <f>SUMIF(NF!$A:$A,$E189,NF!$I:$I)</f>
        <v>0</v>
      </c>
      <c r="G189" s="6"/>
      <c r="H189" s="6"/>
      <c r="I189" s="6"/>
      <c r="J189" s="6"/>
      <c r="K189" s="6"/>
      <c r="L189" s="6"/>
      <c r="M189" s="6"/>
      <c r="N189" s="7">
        <f t="shared" si="173"/>
        <v>0</v>
      </c>
      <c r="O189" s="11">
        <f t="shared" si="136"/>
        <v>0</v>
      </c>
      <c r="P189" s="25"/>
      <c r="Q189" s="10" t="str">
        <f t="shared" si="73"/>
        <v>OutubroSEMANA 2Suíno - Salsichão Branco com Ervas</v>
      </c>
      <c r="R189" s="7">
        <f>SUMIF(NF!$A:$A,$Q189,NF!$I:$I)</f>
        <v>0</v>
      </c>
      <c r="S189" s="6"/>
      <c r="T189" s="6"/>
      <c r="U189" s="6"/>
      <c r="V189" s="6"/>
      <c r="W189" s="6"/>
      <c r="X189" s="6"/>
      <c r="Y189" s="6"/>
      <c r="Z189" s="7">
        <f t="shared" si="174"/>
        <v>0</v>
      </c>
      <c r="AA189" s="11">
        <f t="shared" si="137"/>
        <v>0</v>
      </c>
      <c r="AB189" s="25"/>
      <c r="AC189" s="10" t="str">
        <f t="shared" si="76"/>
        <v>OutubroSEMANA 3Suíno - Salsichão Branco com Ervas</v>
      </c>
      <c r="AD189" s="7">
        <f>SUMIF(NF!$A:$A,$AC189,NF!$I:$I)</f>
        <v>0</v>
      </c>
      <c r="AE189" s="6"/>
      <c r="AF189" s="6"/>
      <c r="AG189" s="6"/>
      <c r="AH189" s="6"/>
      <c r="AI189" s="6"/>
      <c r="AJ189" s="6"/>
      <c r="AK189" s="6"/>
      <c r="AL189" s="7">
        <f t="shared" si="175"/>
        <v>0</v>
      </c>
      <c r="AM189" s="11">
        <f t="shared" si="138"/>
        <v>0</v>
      </c>
      <c r="AN189" s="25"/>
      <c r="AO189" s="10" t="str">
        <f t="shared" si="79"/>
        <v>OutubroSEMANA 4Suíno - Salsichão Branco com Ervas</v>
      </c>
      <c r="AP189" s="7">
        <f>SUMIF(NF!$A:$A,$AO189,NF!$I:$I)</f>
        <v>0</v>
      </c>
      <c r="AQ189" s="6"/>
      <c r="AR189" s="6"/>
      <c r="AS189" s="6"/>
      <c r="AT189" s="6"/>
      <c r="AU189" s="6"/>
      <c r="AV189" s="6"/>
      <c r="AW189" s="6"/>
      <c r="AX189" s="7">
        <f t="shared" si="176"/>
        <v>0</v>
      </c>
      <c r="AY189" s="11">
        <f t="shared" si="139"/>
        <v>0</v>
      </c>
      <c r="AZ189" s="25"/>
      <c r="BA189" s="10" t="str">
        <f t="shared" si="82"/>
        <v>OutubroSEMANA 5Suíno - Salsichão Branco com Ervas</v>
      </c>
      <c r="BB189" s="7">
        <f>SUMIF(NF!$A:$A,$BA189,NF!$I:$I)</f>
        <v>0</v>
      </c>
      <c r="BC189" s="6"/>
      <c r="BD189" s="6"/>
      <c r="BE189" s="6"/>
      <c r="BF189" s="74"/>
      <c r="BG189" s="74"/>
      <c r="BH189" s="74"/>
      <c r="BI189" s="74"/>
      <c r="BJ189" s="74"/>
      <c r="BK189" s="7">
        <f t="shared" si="177"/>
        <v>0</v>
      </c>
      <c r="BL189" s="8">
        <f t="shared" si="140"/>
        <v>0</v>
      </c>
      <c r="BM189" s="51" t="str">
        <f>IFERROR(VLOOKUP(A189,NF!$M:$O,3,0),"")</f>
        <v>Carnes</v>
      </c>
      <c r="BN189" s="7">
        <f t="shared" si="141"/>
        <v>0</v>
      </c>
      <c r="BO189" s="8">
        <f t="array" ref="BO189">IFERROR(LARGE(IF(NF!$G$2:$G$3137='Mês atual'!A189,NF!$J$2:$J$3137),1),0)*BN189</f>
        <v>0</v>
      </c>
      <c r="BP189" s="50"/>
      <c r="BR189" s="147">
        <f t="array" ref="BR189">IFERROR(LARGE(IF(NF!$G$2:$G$3137='Mês atual'!A189,NF!$J$2:$J$3137),1),0)</f>
        <v>0</v>
      </c>
      <c r="BS189" s="143" t="str">
        <f>VLOOKUP(A189,NF!M:O,3,0)</f>
        <v>Carnes</v>
      </c>
    </row>
    <row r="190" spans="1:71" x14ac:dyDescent="0.25">
      <c r="A190" s="108" t="s">
        <v>772</v>
      </c>
      <c r="B190" s="12"/>
      <c r="C190" s="9"/>
      <c r="D190" s="25"/>
      <c r="E190" s="10" t="str">
        <f t="shared" si="70"/>
        <v>OutubroSEMANA 1Suíno - Salsichão de Vitela</v>
      </c>
      <c r="F190" s="7">
        <f>SUMIF(NF!$A:$A,$E190,NF!$I:$I)</f>
        <v>0</v>
      </c>
      <c r="G190" s="6"/>
      <c r="H190" s="6"/>
      <c r="I190" s="6"/>
      <c r="J190" s="6"/>
      <c r="K190" s="6"/>
      <c r="L190" s="6"/>
      <c r="M190" s="6"/>
      <c r="N190" s="7">
        <f t="shared" si="173"/>
        <v>0</v>
      </c>
      <c r="O190" s="11">
        <f t="shared" si="136"/>
        <v>0</v>
      </c>
      <c r="P190" s="25"/>
      <c r="Q190" s="10" t="str">
        <f t="shared" si="73"/>
        <v>OutubroSEMANA 2Suíno - Salsichão de Vitela</v>
      </c>
      <c r="R190" s="7">
        <f>SUMIF(NF!$A:$A,$Q190,NF!$I:$I)</f>
        <v>0</v>
      </c>
      <c r="S190" s="6"/>
      <c r="T190" s="6"/>
      <c r="U190" s="6"/>
      <c r="V190" s="6"/>
      <c r="W190" s="6"/>
      <c r="X190" s="6"/>
      <c r="Y190" s="6"/>
      <c r="Z190" s="7">
        <f t="shared" si="174"/>
        <v>0</v>
      </c>
      <c r="AA190" s="11">
        <f t="shared" si="137"/>
        <v>0</v>
      </c>
      <c r="AB190" s="25"/>
      <c r="AC190" s="10" t="str">
        <f t="shared" si="76"/>
        <v>OutubroSEMANA 3Suíno - Salsichão de Vitela</v>
      </c>
      <c r="AD190" s="7">
        <f>SUMIF(NF!$A:$A,$AC190,NF!$I:$I)</f>
        <v>0</v>
      </c>
      <c r="AE190" s="6"/>
      <c r="AF190" s="6"/>
      <c r="AG190" s="6"/>
      <c r="AH190" s="6"/>
      <c r="AI190" s="6"/>
      <c r="AJ190" s="6"/>
      <c r="AK190" s="6"/>
      <c r="AL190" s="7">
        <f t="shared" si="175"/>
        <v>0</v>
      </c>
      <c r="AM190" s="11">
        <f t="shared" si="138"/>
        <v>0</v>
      </c>
      <c r="AN190" s="25"/>
      <c r="AO190" s="10" t="str">
        <f t="shared" si="79"/>
        <v>OutubroSEMANA 4Suíno - Salsichão de Vitela</v>
      </c>
      <c r="AP190" s="7">
        <f>SUMIF(NF!$A:$A,$AO190,NF!$I:$I)</f>
        <v>0</v>
      </c>
      <c r="AQ190" s="6"/>
      <c r="AR190" s="6"/>
      <c r="AS190" s="6"/>
      <c r="AT190" s="6"/>
      <c r="AU190" s="6"/>
      <c r="AV190" s="6"/>
      <c r="AW190" s="6"/>
      <c r="AX190" s="7">
        <f t="shared" si="176"/>
        <v>0</v>
      </c>
      <c r="AY190" s="11">
        <f t="shared" si="139"/>
        <v>0</v>
      </c>
      <c r="AZ190" s="25"/>
      <c r="BA190" s="10" t="str">
        <f t="shared" si="82"/>
        <v>OutubroSEMANA 5Suíno - Salsichão de Vitela</v>
      </c>
      <c r="BB190" s="7">
        <f>SUMIF(NF!$A:$A,$BA190,NF!$I:$I)</f>
        <v>0</v>
      </c>
      <c r="BC190" s="6"/>
      <c r="BD190" s="6"/>
      <c r="BE190" s="6"/>
      <c r="BF190" s="74"/>
      <c r="BG190" s="74"/>
      <c r="BH190" s="74"/>
      <c r="BI190" s="74"/>
      <c r="BJ190" s="74"/>
      <c r="BK190" s="7">
        <f t="shared" si="177"/>
        <v>0</v>
      </c>
      <c r="BL190" s="8">
        <f t="shared" si="140"/>
        <v>0</v>
      </c>
      <c r="BM190" s="51" t="str">
        <f>IFERROR(VLOOKUP(A190,NF!$M:$O,3,0),"")</f>
        <v>Carnes</v>
      </c>
      <c r="BN190" s="7">
        <f t="shared" si="141"/>
        <v>0</v>
      </c>
      <c r="BO190" s="8">
        <f t="array" ref="BO190">IFERROR(LARGE(IF(NF!$G$2:$G$3137='Mês atual'!A190,NF!$J$2:$J$3137),1),0)*BN190</f>
        <v>0</v>
      </c>
      <c r="BP190" s="50"/>
      <c r="BR190" s="147">
        <f t="array" ref="BR190">IFERROR(LARGE(IF(NF!$G$2:$G$3137='Mês atual'!A190,NF!$J$2:$J$3137),1),0)</f>
        <v>0</v>
      </c>
      <c r="BS190" s="143" t="str">
        <f>VLOOKUP(A190,NF!M:O,3,0)</f>
        <v>Carnes</v>
      </c>
    </row>
    <row r="191" spans="1:71" x14ac:dyDescent="0.25">
      <c r="A191" s="108" t="s">
        <v>773</v>
      </c>
      <c r="B191" s="12"/>
      <c r="C191" s="9"/>
      <c r="D191" s="25"/>
      <c r="E191" s="10" t="str">
        <f t="shared" si="70"/>
        <v>OutubroSEMANA 1Suíno - Salsichão Defumado c/ Ervas</v>
      </c>
      <c r="F191" s="7">
        <f>SUMIF(NF!$A:$A,$E191,NF!$I:$I)</f>
        <v>0</v>
      </c>
      <c r="G191" s="6"/>
      <c r="H191" s="6"/>
      <c r="I191" s="6"/>
      <c r="J191" s="6"/>
      <c r="K191" s="6"/>
      <c r="L191" s="6"/>
      <c r="M191" s="6"/>
      <c r="N191" s="7">
        <f t="shared" si="173"/>
        <v>0</v>
      </c>
      <c r="O191" s="11">
        <f t="shared" si="136"/>
        <v>0</v>
      </c>
      <c r="P191" s="25"/>
      <c r="Q191" s="10" t="str">
        <f t="shared" si="73"/>
        <v>OutubroSEMANA 2Suíno - Salsichão Defumado c/ Ervas</v>
      </c>
      <c r="R191" s="7">
        <f>SUMIF(NF!$A:$A,$Q191,NF!$I:$I)</f>
        <v>0</v>
      </c>
      <c r="S191" s="6"/>
      <c r="T191" s="6"/>
      <c r="U191" s="6"/>
      <c r="V191" s="6"/>
      <c r="W191" s="6"/>
      <c r="X191" s="6"/>
      <c r="Y191" s="6"/>
      <c r="Z191" s="7">
        <f t="shared" si="174"/>
        <v>0</v>
      </c>
      <c r="AA191" s="11">
        <f t="shared" si="137"/>
        <v>0</v>
      </c>
      <c r="AB191" s="25"/>
      <c r="AC191" s="10" t="str">
        <f t="shared" si="76"/>
        <v>OutubroSEMANA 3Suíno - Salsichão Defumado c/ Ervas</v>
      </c>
      <c r="AD191" s="7">
        <f>SUMIF(NF!$A:$A,$AC191,NF!$I:$I)</f>
        <v>0</v>
      </c>
      <c r="AE191" s="6"/>
      <c r="AF191" s="6"/>
      <c r="AG191" s="6"/>
      <c r="AH191" s="6"/>
      <c r="AI191" s="6"/>
      <c r="AJ191" s="6"/>
      <c r="AK191" s="6"/>
      <c r="AL191" s="7">
        <f t="shared" si="175"/>
        <v>0</v>
      </c>
      <c r="AM191" s="11">
        <f t="shared" si="138"/>
        <v>0</v>
      </c>
      <c r="AN191" s="25"/>
      <c r="AO191" s="10" t="str">
        <f t="shared" si="79"/>
        <v>OutubroSEMANA 4Suíno - Salsichão Defumado c/ Ervas</v>
      </c>
      <c r="AP191" s="7">
        <f>SUMIF(NF!$A:$A,$AO191,NF!$I:$I)</f>
        <v>0</v>
      </c>
      <c r="AQ191" s="6"/>
      <c r="AR191" s="6"/>
      <c r="AS191" s="6"/>
      <c r="AT191" s="6"/>
      <c r="AU191" s="6"/>
      <c r="AV191" s="6"/>
      <c r="AW191" s="6"/>
      <c r="AX191" s="7">
        <f t="shared" si="176"/>
        <v>0</v>
      </c>
      <c r="AY191" s="11">
        <f t="shared" si="139"/>
        <v>0</v>
      </c>
      <c r="AZ191" s="25"/>
      <c r="BA191" s="10" t="str">
        <f t="shared" si="82"/>
        <v>OutubroSEMANA 5Suíno - Salsichão Defumado c/ Ervas</v>
      </c>
      <c r="BB191" s="7">
        <f>SUMIF(NF!$A:$A,$BA191,NF!$I:$I)</f>
        <v>0</v>
      </c>
      <c r="BC191" s="6"/>
      <c r="BD191" s="6"/>
      <c r="BE191" s="6"/>
      <c r="BF191" s="74"/>
      <c r="BG191" s="74"/>
      <c r="BH191" s="74"/>
      <c r="BI191" s="74"/>
      <c r="BJ191" s="74"/>
      <c r="BK191" s="7">
        <f t="shared" si="177"/>
        <v>0</v>
      </c>
      <c r="BL191" s="8">
        <f t="shared" si="140"/>
        <v>0</v>
      </c>
      <c r="BM191" s="51" t="str">
        <f>IFERROR(VLOOKUP(A191,NF!$M:$O,3,0),"")</f>
        <v>Carnes</v>
      </c>
      <c r="BN191" s="7">
        <f t="shared" si="141"/>
        <v>0</v>
      </c>
      <c r="BO191" s="8">
        <f t="array" ref="BO191">IFERROR(LARGE(IF(NF!$G$2:$G$3137='Mês atual'!A191,NF!$J$2:$J$3137),1),0)*BN191</f>
        <v>0</v>
      </c>
      <c r="BP191" s="50"/>
      <c r="BR191" s="147">
        <f t="array" ref="BR191">IFERROR(LARGE(IF(NF!$G$2:$G$3137='Mês atual'!A191,NF!$J$2:$J$3137),1),0)</f>
        <v>0</v>
      </c>
      <c r="BS191" s="143" t="str">
        <f>VLOOKUP(A191,NF!M:O,3,0)</f>
        <v>Carnes</v>
      </c>
    </row>
    <row r="192" spans="1:71" x14ac:dyDescent="0.25">
      <c r="A192" s="108" t="s">
        <v>774</v>
      </c>
      <c r="B192" s="12"/>
      <c r="C192" s="9"/>
      <c r="D192" s="25"/>
      <c r="E192" s="10" t="str">
        <f t="shared" si="70"/>
        <v>OutubroSEMANA 1Suíno - Salsichão Rica</v>
      </c>
      <c r="F192" s="7">
        <f>SUMIF(NF!$A:$A,$E192,NF!$I:$I)</f>
        <v>0</v>
      </c>
      <c r="G192" s="6"/>
      <c r="H192" s="6"/>
      <c r="I192" s="6"/>
      <c r="J192" s="6"/>
      <c r="K192" s="6"/>
      <c r="L192" s="6"/>
      <c r="M192" s="6"/>
      <c r="N192" s="7">
        <f t="shared" si="173"/>
        <v>0</v>
      </c>
      <c r="O192" s="11">
        <f t="shared" si="136"/>
        <v>0</v>
      </c>
      <c r="P192" s="25"/>
      <c r="Q192" s="10" t="str">
        <f t="shared" si="73"/>
        <v>OutubroSEMANA 2Suíno - Salsichão Rica</v>
      </c>
      <c r="R192" s="7">
        <f>SUMIF(NF!$A:$A,$Q192,NF!$I:$I)</f>
        <v>0</v>
      </c>
      <c r="S192" s="6"/>
      <c r="T192" s="6"/>
      <c r="U192" s="6"/>
      <c r="V192" s="6"/>
      <c r="W192" s="6"/>
      <c r="X192" s="6"/>
      <c r="Y192" s="6"/>
      <c r="Z192" s="7">
        <f t="shared" si="174"/>
        <v>0</v>
      </c>
      <c r="AA192" s="11">
        <f t="shared" si="137"/>
        <v>0</v>
      </c>
      <c r="AB192" s="25"/>
      <c r="AC192" s="10" t="str">
        <f t="shared" si="76"/>
        <v>OutubroSEMANA 3Suíno - Salsichão Rica</v>
      </c>
      <c r="AD192" s="7">
        <f>SUMIF(NF!$A:$A,$AC192,NF!$I:$I)</f>
        <v>0</v>
      </c>
      <c r="AE192" s="6"/>
      <c r="AF192" s="6"/>
      <c r="AG192" s="6"/>
      <c r="AH192" s="6"/>
      <c r="AI192" s="6"/>
      <c r="AJ192" s="6"/>
      <c r="AK192" s="6"/>
      <c r="AL192" s="7">
        <f t="shared" si="175"/>
        <v>0</v>
      </c>
      <c r="AM192" s="11">
        <f t="shared" si="138"/>
        <v>0</v>
      </c>
      <c r="AN192" s="25"/>
      <c r="AO192" s="10" t="str">
        <f t="shared" si="79"/>
        <v>OutubroSEMANA 4Suíno - Salsichão Rica</v>
      </c>
      <c r="AP192" s="7">
        <f>SUMIF(NF!$A:$A,$AO192,NF!$I:$I)</f>
        <v>0</v>
      </c>
      <c r="AQ192" s="6"/>
      <c r="AR192" s="6"/>
      <c r="AS192" s="6"/>
      <c r="AT192" s="6"/>
      <c r="AU192" s="6"/>
      <c r="AV192" s="6"/>
      <c r="AW192" s="6"/>
      <c r="AX192" s="7">
        <f t="shared" si="176"/>
        <v>0</v>
      </c>
      <c r="AY192" s="11">
        <f t="shared" si="139"/>
        <v>0</v>
      </c>
      <c r="AZ192" s="25"/>
      <c r="BA192" s="10" t="str">
        <f t="shared" si="82"/>
        <v>OutubroSEMANA 5Suíno - Salsichão Rica</v>
      </c>
      <c r="BB192" s="7">
        <f>SUMIF(NF!$A:$A,$BA192,NF!$I:$I)</f>
        <v>0</v>
      </c>
      <c r="BC192" s="6"/>
      <c r="BD192" s="6"/>
      <c r="BE192" s="6"/>
      <c r="BF192" s="74"/>
      <c r="BG192" s="74"/>
      <c r="BH192" s="74"/>
      <c r="BI192" s="74"/>
      <c r="BJ192" s="74"/>
      <c r="BK192" s="7">
        <f t="shared" si="177"/>
        <v>0</v>
      </c>
      <c r="BL192" s="8">
        <f t="shared" si="140"/>
        <v>0</v>
      </c>
      <c r="BM192" s="51" t="str">
        <f>IFERROR(VLOOKUP(A192,NF!$M:$O,3,0),"")</f>
        <v>Carnes</v>
      </c>
      <c r="BN192" s="7">
        <f t="shared" si="141"/>
        <v>0</v>
      </c>
      <c r="BO192" s="8">
        <f t="array" ref="BO192">IFERROR(LARGE(IF(NF!$G$2:$G$3137='Mês atual'!A192,NF!$J$2:$J$3137),1),0)*BN192</f>
        <v>0</v>
      </c>
      <c r="BP192" s="50"/>
      <c r="BR192" s="147">
        <f t="array" ref="BR192">IFERROR(LARGE(IF(NF!$G$2:$G$3137='Mês atual'!A192,NF!$J$2:$J$3137),1),0)</f>
        <v>0</v>
      </c>
      <c r="BS192" s="143" t="str">
        <f>VLOOKUP(A192,NF!M:O,3,0)</f>
        <v>Carnes</v>
      </c>
    </row>
    <row r="193" spans="1:74" x14ac:dyDescent="0.25">
      <c r="A193" s="108" t="s">
        <v>775</v>
      </c>
      <c r="B193" s="12"/>
      <c r="C193" s="9"/>
      <c r="D193" s="25"/>
      <c r="E193" s="10" t="str">
        <f t="shared" si="70"/>
        <v>OutubroSEMANA 1Suino - Tender Bolinha</v>
      </c>
      <c r="F193" s="7">
        <f>SUMIF(NF!$A:$A,$E193,NF!$I:$I)</f>
        <v>0</v>
      </c>
      <c r="G193" s="6"/>
      <c r="H193" s="6"/>
      <c r="I193" s="6"/>
      <c r="J193" s="6"/>
      <c r="K193" s="6"/>
      <c r="L193" s="6"/>
      <c r="M193" s="6"/>
      <c r="N193" s="7">
        <f t="shared" si="173"/>
        <v>0</v>
      </c>
      <c r="O193" s="11">
        <f t="shared" si="136"/>
        <v>0</v>
      </c>
      <c r="P193" s="25"/>
      <c r="Q193" s="10" t="str">
        <f t="shared" si="73"/>
        <v>OutubroSEMANA 2Suino - Tender Bolinha</v>
      </c>
      <c r="R193" s="7">
        <f>SUMIF(NF!$A:$A,$Q193,NF!$I:$I)</f>
        <v>0</v>
      </c>
      <c r="S193" s="6"/>
      <c r="T193" s="6"/>
      <c r="U193" s="6"/>
      <c r="V193" s="6"/>
      <c r="W193" s="6"/>
      <c r="X193" s="6"/>
      <c r="Y193" s="6"/>
      <c r="Z193" s="7">
        <f t="shared" si="174"/>
        <v>0</v>
      </c>
      <c r="AA193" s="11">
        <f t="shared" si="137"/>
        <v>0</v>
      </c>
      <c r="AB193" s="25"/>
      <c r="AC193" s="10" t="str">
        <f t="shared" si="76"/>
        <v>OutubroSEMANA 3Suino - Tender Bolinha</v>
      </c>
      <c r="AD193" s="7">
        <f>SUMIF(NF!$A:$A,$AC193,NF!$I:$I)</f>
        <v>0</v>
      </c>
      <c r="AE193" s="6"/>
      <c r="AF193" s="6"/>
      <c r="AG193" s="6"/>
      <c r="AH193" s="6"/>
      <c r="AI193" s="6"/>
      <c r="AJ193" s="6"/>
      <c r="AK193" s="6"/>
      <c r="AL193" s="7">
        <f t="shared" si="175"/>
        <v>0</v>
      </c>
      <c r="AM193" s="11">
        <f t="shared" si="138"/>
        <v>0</v>
      </c>
      <c r="AN193" s="25"/>
      <c r="AO193" s="10" t="str">
        <f t="shared" si="79"/>
        <v>OutubroSEMANA 4Suino - Tender Bolinha</v>
      </c>
      <c r="AP193" s="7">
        <f>SUMIF(NF!$A:$A,$AO193,NF!$I:$I)</f>
        <v>0</v>
      </c>
      <c r="AQ193" s="6"/>
      <c r="AR193" s="6"/>
      <c r="AS193" s="6"/>
      <c r="AT193" s="6"/>
      <c r="AU193" s="6"/>
      <c r="AV193" s="6"/>
      <c r="AW193" s="6"/>
      <c r="AX193" s="7">
        <f t="shared" si="176"/>
        <v>0</v>
      </c>
      <c r="AY193" s="11">
        <f t="shared" si="139"/>
        <v>0</v>
      </c>
      <c r="AZ193" s="25"/>
      <c r="BA193" s="10" t="str">
        <f t="shared" si="82"/>
        <v>OutubroSEMANA 5Suino - Tender Bolinha</v>
      </c>
      <c r="BB193" s="7">
        <f>SUMIF(NF!$A:$A,$BA193,NF!$I:$I)</f>
        <v>0</v>
      </c>
      <c r="BC193" s="6"/>
      <c r="BD193" s="6"/>
      <c r="BE193" s="6"/>
      <c r="BF193" s="74"/>
      <c r="BG193" s="74"/>
      <c r="BH193" s="74"/>
      <c r="BI193" s="74"/>
      <c r="BJ193" s="74"/>
      <c r="BK193" s="7">
        <f t="shared" si="177"/>
        <v>0</v>
      </c>
      <c r="BL193" s="8">
        <f t="shared" si="140"/>
        <v>0</v>
      </c>
      <c r="BM193" s="51" t="str">
        <f>IFERROR(VLOOKUP(A193,NF!$M:$O,3,0),"")</f>
        <v>Carnes</v>
      </c>
      <c r="BN193" s="7">
        <f t="shared" si="141"/>
        <v>0</v>
      </c>
      <c r="BO193" s="8">
        <f t="array" ref="BO193">IFERROR(LARGE(IF(NF!$G$2:$G$3137='Mês atual'!A193,NF!$J$2:$J$3137),1),0)*BN193</f>
        <v>0</v>
      </c>
      <c r="BP193" s="50"/>
      <c r="BR193" s="147">
        <f t="array" ref="BR193">IFERROR(LARGE(IF(NF!$G$2:$G$3137='Mês atual'!A193,NF!$J$2:$J$3137),1),0)</f>
        <v>0</v>
      </c>
      <c r="BS193" s="143" t="str">
        <f>VLOOKUP(A193,NF!M:O,3,0)</f>
        <v>Carnes</v>
      </c>
    </row>
    <row r="194" spans="1:74" ht="15.75" thickBot="1" x14ac:dyDescent="0.3">
      <c r="A194" s="108" t="s">
        <v>776</v>
      </c>
      <c r="B194" s="12"/>
      <c r="C194" s="9"/>
      <c r="D194" s="25"/>
      <c r="E194" s="10" t="str">
        <f t="shared" si="70"/>
        <v>OutubroSEMANA 1Suino - Toucinho</v>
      </c>
      <c r="F194" s="7">
        <f>SUMIF(NF!$A:$A,$E194,NF!$I:$I)</f>
        <v>0</v>
      </c>
      <c r="G194" s="6"/>
      <c r="H194" s="6"/>
      <c r="I194" s="6"/>
      <c r="J194" s="6"/>
      <c r="K194" s="6"/>
      <c r="L194" s="6"/>
      <c r="M194" s="6"/>
      <c r="N194" s="7">
        <f t="shared" si="173"/>
        <v>0</v>
      </c>
      <c r="O194" s="11">
        <f t="shared" si="136"/>
        <v>0</v>
      </c>
      <c r="P194" s="25"/>
      <c r="Q194" s="10" t="str">
        <f t="shared" si="73"/>
        <v>OutubroSEMANA 2Suino - Toucinho</v>
      </c>
      <c r="R194" s="7">
        <f>SUMIF(NF!$A:$A,$Q194,NF!$I:$I)</f>
        <v>0</v>
      </c>
      <c r="S194" s="6"/>
      <c r="T194" s="6"/>
      <c r="U194" s="6"/>
      <c r="V194" s="6"/>
      <c r="W194" s="6"/>
      <c r="X194" s="6"/>
      <c r="Y194" s="6"/>
      <c r="Z194" s="7">
        <f t="shared" si="174"/>
        <v>0</v>
      </c>
      <c r="AA194" s="11">
        <f t="shared" si="137"/>
        <v>0</v>
      </c>
      <c r="AB194" s="25"/>
      <c r="AC194" s="10" t="str">
        <f t="shared" si="76"/>
        <v>OutubroSEMANA 3Suino - Toucinho</v>
      </c>
      <c r="AD194" s="7">
        <f>SUMIF(NF!$A:$A,$AC194,NF!$I:$I)</f>
        <v>0</v>
      </c>
      <c r="AE194" s="6"/>
      <c r="AF194" s="6"/>
      <c r="AG194" s="6"/>
      <c r="AH194" s="6"/>
      <c r="AI194" s="6"/>
      <c r="AJ194" s="6"/>
      <c r="AK194" s="6"/>
      <c r="AL194" s="7">
        <f t="shared" si="175"/>
        <v>0</v>
      </c>
      <c r="AM194" s="11">
        <f t="shared" si="138"/>
        <v>0</v>
      </c>
      <c r="AN194" s="25"/>
      <c r="AO194" s="10" t="str">
        <f t="shared" si="79"/>
        <v>OutubroSEMANA 4Suino - Toucinho</v>
      </c>
      <c r="AP194" s="7">
        <f>SUMIF(NF!$A:$A,$AO194,NF!$I:$I)</f>
        <v>0</v>
      </c>
      <c r="AQ194" s="6"/>
      <c r="AR194" s="6"/>
      <c r="AS194" s="6"/>
      <c r="AT194" s="6"/>
      <c r="AU194" s="6"/>
      <c r="AV194" s="6"/>
      <c r="AW194" s="6"/>
      <c r="AX194" s="7">
        <f t="shared" si="176"/>
        <v>0</v>
      </c>
      <c r="AY194" s="11">
        <f t="shared" si="139"/>
        <v>0</v>
      </c>
      <c r="AZ194" s="25"/>
      <c r="BA194" s="10" t="str">
        <f t="shared" si="82"/>
        <v>OutubroSEMANA 5Suino - Toucinho</v>
      </c>
      <c r="BB194" s="7">
        <f>SUMIF(NF!$A:$A,$BA194,NF!$I:$I)</f>
        <v>0</v>
      </c>
      <c r="BC194" s="6"/>
      <c r="BD194" s="6"/>
      <c r="BE194" s="6"/>
      <c r="BF194" s="74"/>
      <c r="BG194" s="74"/>
      <c r="BH194" s="74"/>
      <c r="BI194" s="74"/>
      <c r="BJ194" s="74"/>
      <c r="BK194" s="7">
        <f t="shared" si="177"/>
        <v>0</v>
      </c>
      <c r="BL194" s="8">
        <f t="shared" si="140"/>
        <v>0</v>
      </c>
      <c r="BM194" s="51" t="str">
        <f>IFERROR(VLOOKUP(A194,NF!$M:$O,3,0),"")</f>
        <v>Carnes</v>
      </c>
      <c r="BN194" s="7">
        <f t="shared" si="141"/>
        <v>0</v>
      </c>
      <c r="BO194" s="8">
        <f t="array" ref="BO194">IFERROR(LARGE(IF(NF!$G$2:$G$3137='Mês atual'!A194,NF!$J$2:$J$3137),1),0)*BN194</f>
        <v>0</v>
      </c>
      <c r="BP194" s="50"/>
      <c r="BR194" s="147">
        <f t="array" ref="BR194">IFERROR(LARGE(IF(NF!$G$2:$G$3137='Mês atual'!A194,NF!$J$2:$J$3137),1),0)</f>
        <v>0</v>
      </c>
      <c r="BS194" s="143" t="str">
        <f>VLOOKUP(A194,NF!M:O,3,0)</f>
        <v>Carnes</v>
      </c>
    </row>
    <row r="195" spans="1:74" s="16" customFormat="1" ht="30" customHeight="1" thickBot="1" x14ac:dyDescent="0.3">
      <c r="A195" s="139" t="s">
        <v>921</v>
      </c>
      <c r="B195" s="130"/>
      <c r="C195" s="131"/>
      <c r="D195" s="132"/>
      <c r="E195" s="133"/>
      <c r="F195" s="134"/>
      <c r="G195" s="133"/>
      <c r="H195" s="133"/>
      <c r="I195" s="133"/>
      <c r="J195" s="133"/>
      <c r="K195" s="133"/>
      <c r="L195" s="133"/>
      <c r="M195" s="133"/>
      <c r="N195" s="134"/>
      <c r="O195" s="134"/>
      <c r="P195" s="132"/>
      <c r="Q195" s="133"/>
      <c r="R195" s="134"/>
      <c r="S195" s="133"/>
      <c r="T195" s="133"/>
      <c r="U195" s="133"/>
      <c r="V195" s="133"/>
      <c r="W195" s="133"/>
      <c r="X195" s="133"/>
      <c r="Y195" s="133"/>
      <c r="Z195" s="134"/>
      <c r="AA195" s="134"/>
      <c r="AB195" s="132"/>
      <c r="AC195" s="133"/>
      <c r="AD195" s="134"/>
      <c r="AE195" s="133"/>
      <c r="AF195" s="133"/>
      <c r="AG195" s="133"/>
      <c r="AH195" s="133"/>
      <c r="AI195" s="133"/>
      <c r="AJ195" s="133"/>
      <c r="AK195" s="133"/>
      <c r="AL195" s="134"/>
      <c r="AM195" s="134"/>
      <c r="AN195" s="132"/>
      <c r="AO195" s="133"/>
      <c r="AP195" s="134"/>
      <c r="AQ195" s="133"/>
      <c r="AR195" s="133"/>
      <c r="AS195" s="133"/>
      <c r="AT195" s="133"/>
      <c r="AU195" s="133"/>
      <c r="AV195" s="133"/>
      <c r="AW195" s="133"/>
      <c r="AX195" s="134"/>
      <c r="AY195" s="134"/>
      <c r="AZ195" s="132"/>
      <c r="BA195" s="133"/>
      <c r="BB195" s="134"/>
      <c r="BC195" s="133"/>
      <c r="BD195" s="133"/>
      <c r="BE195" s="133"/>
      <c r="BF195" s="135"/>
      <c r="BG195" s="135"/>
      <c r="BH195" s="135"/>
      <c r="BI195" s="135"/>
      <c r="BJ195" s="135"/>
      <c r="BK195" s="134"/>
      <c r="BL195" s="134"/>
      <c r="BM195" s="136"/>
      <c r="BN195" s="137"/>
      <c r="BO195" s="137"/>
      <c r="BP195" s="138"/>
      <c r="BQ195" s="145"/>
      <c r="BR195" s="145"/>
      <c r="BS195" s="145"/>
      <c r="BT195" s="146"/>
      <c r="BU195" s="146"/>
      <c r="BV195" s="146"/>
    </row>
    <row r="196" spans="1:74" x14ac:dyDescent="0.25">
      <c r="A196" s="108" t="s">
        <v>165</v>
      </c>
      <c r="B196" s="12"/>
      <c r="C196" s="9">
        <v>375</v>
      </c>
      <c r="D196" s="25"/>
      <c r="E196" s="10" t="str">
        <f t="shared" ref="E196:E257" si="178">CONCATENATE($C$2,$F$1,$A196)</f>
        <v>OutubroSEMANA 1Bandeja 3 Div. Delivery Cx 150</v>
      </c>
      <c r="F196" s="7">
        <f>SUMIF(NF!$A:$A,$E196,NF!$I:$I)</f>
        <v>0</v>
      </c>
      <c r="G196" s="6"/>
      <c r="H196" s="6"/>
      <c r="I196" s="6"/>
      <c r="J196" s="6"/>
      <c r="K196" s="6">
        <v>75</v>
      </c>
      <c r="L196" s="6"/>
      <c r="M196" s="6"/>
      <c r="N196" s="7">
        <f t="shared" ref="N196:N226" si="179">SUM(G196:M196)</f>
        <v>75</v>
      </c>
      <c r="O196" s="11">
        <f t="shared" ref="O196:O257" si="180">F196+C196-N196</f>
        <v>300</v>
      </c>
      <c r="P196" s="25"/>
      <c r="Q196" s="10" t="str">
        <f t="shared" ref="Q196:Q257" si="181">CONCATENATE($C$2,$R$1,$A196)</f>
        <v>OutubroSEMANA 2Bandeja 3 Div. Delivery Cx 150</v>
      </c>
      <c r="R196" s="7">
        <f>SUMIF(NF!$A:$A,$Q196,NF!$I:$I)</f>
        <v>0</v>
      </c>
      <c r="S196" s="6"/>
      <c r="T196" s="6"/>
      <c r="U196" s="6">
        <v>75</v>
      </c>
      <c r="V196" s="6"/>
      <c r="W196" s="6"/>
      <c r="X196" s="6"/>
      <c r="Y196" s="6"/>
      <c r="Z196" s="7">
        <f t="shared" ref="Z196:Z224" si="182">SUM(S196:Y196)</f>
        <v>75</v>
      </c>
      <c r="AA196" s="11">
        <f t="shared" ref="AA196:AA257" si="183">R196+O196-Z196</f>
        <v>225</v>
      </c>
      <c r="AB196" s="25"/>
      <c r="AC196" s="10" t="str">
        <f t="shared" ref="AC196:AC257" si="184">CONCATENATE($C$2,$AD$1,$A196)</f>
        <v>OutubroSEMANA 3Bandeja 3 Div. Delivery Cx 150</v>
      </c>
      <c r="AD196" s="7">
        <f>SUMIF(NF!$A:$A,$AC196,NF!$I:$I)</f>
        <v>0</v>
      </c>
      <c r="AE196" s="6">
        <v>75</v>
      </c>
      <c r="AF196" s="6"/>
      <c r="AG196" s="6"/>
      <c r="AH196" s="6"/>
      <c r="AI196" s="6"/>
      <c r="AJ196" s="6"/>
      <c r="AK196" s="6">
        <v>75</v>
      </c>
      <c r="AL196" s="7">
        <f t="shared" ref="AL196:AL224" si="185">SUM(AE196:AK196)</f>
        <v>150</v>
      </c>
      <c r="AM196" s="11">
        <f t="shared" ref="AM196:AM257" si="186">AD196+AA196-AL196</f>
        <v>75</v>
      </c>
      <c r="AN196" s="25"/>
      <c r="AO196" s="10" t="str">
        <f t="shared" ref="AO196:AO257" si="187">CONCATENATE($C$2,$AP$1,$A196)</f>
        <v>OutubroSEMANA 4Bandeja 3 Div. Delivery Cx 150</v>
      </c>
      <c r="AP196" s="7">
        <f>SUMIF(NF!$A:$A,$AO196,NF!$I:$I)</f>
        <v>450</v>
      </c>
      <c r="AQ196" s="6"/>
      <c r="AR196" s="6"/>
      <c r="AS196" s="6"/>
      <c r="AT196" s="6"/>
      <c r="AU196" s="6">
        <v>75</v>
      </c>
      <c r="AV196" s="6"/>
      <c r="AW196" s="6"/>
      <c r="AX196" s="7">
        <f t="shared" ref="AX196:AX224" si="188">SUM(AQ196:AW196)</f>
        <v>75</v>
      </c>
      <c r="AY196" s="11">
        <f t="shared" ref="AY196:AY257" si="189">AP196+AM196-AX196</f>
        <v>450</v>
      </c>
      <c r="AZ196" s="25"/>
      <c r="BA196" s="10" t="str">
        <f t="shared" ref="BA196:BA257" si="190">CONCATENATE($C$2,$BB$1,$A196)</f>
        <v>OutubroSEMANA 5Bandeja 3 Div. Delivery Cx 150</v>
      </c>
      <c r="BB196" s="7">
        <f>SUMIF(NF!$A:$A,$BA196,NF!$I:$I)</f>
        <v>0</v>
      </c>
      <c r="BC196" s="6"/>
      <c r="BD196" s="6"/>
      <c r="BE196" s="6">
        <v>75</v>
      </c>
      <c r="BF196" s="74"/>
      <c r="BG196" s="74"/>
      <c r="BH196" s="74"/>
      <c r="BI196" s="74"/>
      <c r="BJ196" s="74"/>
      <c r="BK196" s="7">
        <f t="shared" ref="BK196:BK224" si="191">SUM(BC196:BJ196)</f>
        <v>75</v>
      </c>
      <c r="BL196" s="8">
        <f t="shared" ref="BL196:BL257" si="192">BB196+AY196-BK196</f>
        <v>375</v>
      </c>
      <c r="BM196" s="51" t="str">
        <f>IFERROR(VLOOKUP(A196,NF!$M:$O,3,0),"")</f>
        <v>Descartável</v>
      </c>
      <c r="BN196" s="7">
        <f t="shared" ref="BN196:BN257" si="193">SUM(N196,Z196,AL196,AX196,BK196)</f>
        <v>450</v>
      </c>
      <c r="BO196" s="8">
        <f t="array" ref="BO196">IFERROR(LARGE(IF(NF!$G$2:$G$3137='Mês atual'!A196,NF!$J$2:$J$3137),1),0)*BN196</f>
        <v>970.91</v>
      </c>
      <c r="BP196" s="50"/>
      <c r="BR196" s="147">
        <f t="array" ref="BR196">IFERROR(LARGE(IF(NF!$G$2:$G$3137='Mês atual'!A196,NF!$J$2:$J$3137),1),0)</f>
        <v>2.1575777777777776</v>
      </c>
      <c r="BS196" s="143" t="str">
        <f>VLOOKUP(A196,NF!M:O,3,0)</f>
        <v>Descartável</v>
      </c>
    </row>
    <row r="197" spans="1:74" x14ac:dyDescent="0.25">
      <c r="A197" s="108" t="s">
        <v>166</v>
      </c>
      <c r="B197" s="12"/>
      <c r="C197" s="9">
        <v>200</v>
      </c>
      <c r="D197" s="25"/>
      <c r="E197" s="10" t="str">
        <f t="shared" si="178"/>
        <v>OutubroSEMANA 1Bandeja Alumínio 220 ml cx 200 (Bolo)</v>
      </c>
      <c r="F197" s="7">
        <f>SUMIF(NF!$A:$A,$E197,NF!$I:$I)</f>
        <v>0</v>
      </c>
      <c r="G197" s="6"/>
      <c r="H197" s="6"/>
      <c r="I197" s="6"/>
      <c r="J197" s="6"/>
      <c r="K197" s="6"/>
      <c r="L197" s="6"/>
      <c r="M197" s="6"/>
      <c r="N197" s="7">
        <f t="shared" si="179"/>
        <v>0</v>
      </c>
      <c r="O197" s="11">
        <f t="shared" si="180"/>
        <v>200</v>
      </c>
      <c r="P197" s="25"/>
      <c r="Q197" s="10" t="str">
        <f t="shared" si="181"/>
        <v>OutubroSEMANA 2Bandeja Alumínio 220 ml cx 200 (Bolo)</v>
      </c>
      <c r="R197" s="7">
        <f>SUMIF(NF!$A:$A,$Q197,NF!$I:$I)</f>
        <v>0</v>
      </c>
      <c r="S197" s="6"/>
      <c r="T197" s="6"/>
      <c r="U197" s="6"/>
      <c r="V197" s="6"/>
      <c r="W197" s="6"/>
      <c r="X197" s="6"/>
      <c r="Y197" s="6"/>
      <c r="Z197" s="7">
        <f t="shared" si="182"/>
        <v>0</v>
      </c>
      <c r="AA197" s="11">
        <f t="shared" si="183"/>
        <v>200</v>
      </c>
      <c r="AB197" s="25"/>
      <c r="AC197" s="10" t="str">
        <f t="shared" si="184"/>
        <v>OutubroSEMANA 3Bandeja Alumínio 220 ml cx 200 (Bolo)</v>
      </c>
      <c r="AD197" s="7">
        <f>SUMIF(NF!$A:$A,$AC197,NF!$I:$I)</f>
        <v>200</v>
      </c>
      <c r="AE197" s="6"/>
      <c r="AF197" s="6"/>
      <c r="AG197" s="6"/>
      <c r="AH197" s="6"/>
      <c r="AI197" s="6"/>
      <c r="AJ197" s="6"/>
      <c r="AK197" s="6"/>
      <c r="AL197" s="7">
        <f t="shared" si="185"/>
        <v>0</v>
      </c>
      <c r="AM197" s="11">
        <f t="shared" si="186"/>
        <v>400</v>
      </c>
      <c r="AN197" s="25"/>
      <c r="AO197" s="10" t="str">
        <f t="shared" si="187"/>
        <v>OutubroSEMANA 4Bandeja Alumínio 220 ml cx 200 (Bolo)</v>
      </c>
      <c r="AP197" s="7">
        <f>SUMIF(NF!$A:$A,$AO197,NF!$I:$I)</f>
        <v>0</v>
      </c>
      <c r="AQ197" s="6"/>
      <c r="AR197" s="6"/>
      <c r="AS197" s="6"/>
      <c r="AT197" s="6"/>
      <c r="AU197" s="6"/>
      <c r="AV197" s="6"/>
      <c r="AW197" s="6"/>
      <c r="AX197" s="7">
        <f t="shared" si="188"/>
        <v>0</v>
      </c>
      <c r="AY197" s="11">
        <f t="shared" si="189"/>
        <v>400</v>
      </c>
      <c r="AZ197" s="25"/>
      <c r="BA197" s="10" t="str">
        <f t="shared" si="190"/>
        <v>OutubroSEMANA 5Bandeja Alumínio 220 ml cx 200 (Bolo)</v>
      </c>
      <c r="BB197" s="7">
        <f>SUMIF(NF!$A:$A,$BA197,NF!$I:$I)</f>
        <v>0</v>
      </c>
      <c r="BC197" s="6"/>
      <c r="BD197" s="6"/>
      <c r="BE197" s="6"/>
      <c r="BF197" s="74"/>
      <c r="BG197" s="74"/>
      <c r="BH197" s="74"/>
      <c r="BI197" s="74"/>
      <c r="BJ197" s="74"/>
      <c r="BK197" s="7">
        <f t="shared" si="191"/>
        <v>0</v>
      </c>
      <c r="BL197" s="8">
        <f t="shared" si="192"/>
        <v>400</v>
      </c>
      <c r="BM197" s="51" t="str">
        <f>IFERROR(VLOOKUP(A197,NF!$M:$O,3,0),"")</f>
        <v>Descartável</v>
      </c>
      <c r="BN197" s="7">
        <f t="shared" si="193"/>
        <v>0</v>
      </c>
      <c r="BO197" s="8">
        <f t="array" ref="BO197">IFERROR(LARGE(IF(NF!$G$2:$G$3137='Mês atual'!A197,NF!$J$2:$J$3137),1),0)*BN197</f>
        <v>0</v>
      </c>
      <c r="BP197" s="50"/>
      <c r="BR197" s="147">
        <f t="array" ref="BR197">IFERROR(LARGE(IF(NF!$G$2:$G$3137='Mês atual'!A197,NF!$J$2:$J$3137),1),0)</f>
        <v>0.1981</v>
      </c>
      <c r="BS197" s="143" t="str">
        <f>VLOOKUP(A197,NF!M:O,3,0)</f>
        <v>Descartável</v>
      </c>
    </row>
    <row r="198" spans="1:74" x14ac:dyDescent="0.25">
      <c r="A198" s="108" t="s">
        <v>167</v>
      </c>
      <c r="B198" s="12"/>
      <c r="C198" s="9">
        <v>100</v>
      </c>
      <c r="D198" s="25"/>
      <c r="E198" s="10" t="str">
        <f t="shared" si="178"/>
        <v>OutubroSEMANA 1Bandeja Alumínio 3 Div. Cx 100</v>
      </c>
      <c r="F198" s="7">
        <f>SUMIF(NF!$A:$A,$E198,NF!$I:$I)</f>
        <v>0</v>
      </c>
      <c r="G198" s="6"/>
      <c r="H198" s="6"/>
      <c r="I198" s="6"/>
      <c r="J198" s="6"/>
      <c r="K198" s="6"/>
      <c r="L198" s="6"/>
      <c r="M198" s="6"/>
      <c r="N198" s="7">
        <f t="shared" si="179"/>
        <v>0</v>
      </c>
      <c r="O198" s="11">
        <f t="shared" si="180"/>
        <v>100</v>
      </c>
      <c r="P198" s="25"/>
      <c r="Q198" s="10" t="str">
        <f t="shared" si="181"/>
        <v>OutubroSEMANA 2Bandeja Alumínio 3 Div. Cx 100</v>
      </c>
      <c r="R198" s="7">
        <f>SUMIF(NF!$A:$A,$Q198,NF!$I:$I)</f>
        <v>0</v>
      </c>
      <c r="S198" s="6"/>
      <c r="T198" s="6"/>
      <c r="U198" s="6"/>
      <c r="V198" s="6"/>
      <c r="W198" s="6">
        <v>100</v>
      </c>
      <c r="X198" s="6"/>
      <c r="Y198" s="6"/>
      <c r="Z198" s="7">
        <f t="shared" si="182"/>
        <v>100</v>
      </c>
      <c r="AA198" s="11">
        <f t="shared" si="183"/>
        <v>0</v>
      </c>
      <c r="AB198" s="25"/>
      <c r="AC198" s="10" t="str">
        <f t="shared" si="184"/>
        <v>OutubroSEMANA 3Bandeja Alumínio 3 Div. Cx 100</v>
      </c>
      <c r="AD198" s="7">
        <f>SUMIF(NF!$A:$A,$AC198,NF!$I:$I)</f>
        <v>100</v>
      </c>
      <c r="AE198" s="6"/>
      <c r="AF198" s="6"/>
      <c r="AG198" s="6"/>
      <c r="AH198" s="6"/>
      <c r="AI198" s="6"/>
      <c r="AJ198" s="6"/>
      <c r="AK198" s="6"/>
      <c r="AL198" s="7">
        <f t="shared" si="185"/>
        <v>0</v>
      </c>
      <c r="AM198" s="11">
        <f t="shared" si="186"/>
        <v>100</v>
      </c>
      <c r="AN198" s="25"/>
      <c r="AO198" s="10" t="str">
        <f t="shared" si="187"/>
        <v>OutubroSEMANA 4Bandeja Alumínio 3 Div. Cx 100</v>
      </c>
      <c r="AP198" s="7">
        <f>SUMIF(NF!$A:$A,$AO198,NF!$I:$I)</f>
        <v>0</v>
      </c>
      <c r="AQ198" s="6"/>
      <c r="AR198" s="6"/>
      <c r="AS198" s="6"/>
      <c r="AT198" s="6"/>
      <c r="AU198" s="6"/>
      <c r="AV198" s="6"/>
      <c r="AW198" s="6"/>
      <c r="AX198" s="7">
        <f t="shared" si="188"/>
        <v>0</v>
      </c>
      <c r="AY198" s="11">
        <f t="shared" si="189"/>
        <v>100</v>
      </c>
      <c r="AZ198" s="25"/>
      <c r="BA198" s="10" t="str">
        <f t="shared" si="190"/>
        <v>OutubroSEMANA 5Bandeja Alumínio 3 Div. Cx 100</v>
      </c>
      <c r="BB198" s="7">
        <f>SUMIF(NF!$A:$A,$BA198,NF!$I:$I)</f>
        <v>0</v>
      </c>
      <c r="BC198" s="6"/>
      <c r="BD198" s="6"/>
      <c r="BE198" s="6"/>
      <c r="BF198" s="74"/>
      <c r="BG198" s="74"/>
      <c r="BH198" s="74"/>
      <c r="BI198" s="74"/>
      <c r="BJ198" s="74"/>
      <c r="BK198" s="7">
        <f t="shared" si="191"/>
        <v>0</v>
      </c>
      <c r="BL198" s="8">
        <f t="shared" si="192"/>
        <v>100</v>
      </c>
      <c r="BM198" s="51" t="str">
        <f>IFERROR(VLOOKUP(A198,NF!$M:$O,3,0),"")</f>
        <v>Descartável</v>
      </c>
      <c r="BN198" s="7">
        <f t="shared" si="193"/>
        <v>100</v>
      </c>
      <c r="BO198" s="8">
        <f t="array" ref="BO198">IFERROR(LARGE(IF(NF!$G$2:$G$3137='Mês atual'!A198,NF!$J$2:$J$3137),1),0)*BN198</f>
        <v>62.1</v>
      </c>
      <c r="BP198" s="50"/>
      <c r="BR198" s="147">
        <f t="array" ref="BR198">IFERROR(LARGE(IF(NF!$G$2:$G$3137='Mês atual'!A198,NF!$J$2:$J$3137),1),0)</f>
        <v>0.621</v>
      </c>
      <c r="BS198" s="143" t="str">
        <f>VLOOKUP(A198,NF!M:O,3,0)</f>
        <v>Descartável</v>
      </c>
    </row>
    <row r="199" spans="1:74" x14ac:dyDescent="0.25">
      <c r="A199" s="108" t="s">
        <v>187</v>
      </c>
      <c r="B199" s="12"/>
      <c r="C199" s="9">
        <v>4</v>
      </c>
      <c r="D199" s="25"/>
      <c r="E199" s="10" t="str">
        <f t="shared" si="178"/>
        <v>OutubroSEMANA 1Bobina Picotada 25X35</v>
      </c>
      <c r="F199" s="7">
        <f>SUMIF(NF!$A:$A,$E199,NF!$I:$I)</f>
        <v>1</v>
      </c>
      <c r="G199" s="6"/>
      <c r="H199" s="6"/>
      <c r="I199" s="6"/>
      <c r="J199" s="6"/>
      <c r="K199" s="6"/>
      <c r="L199" s="6"/>
      <c r="M199" s="6"/>
      <c r="N199" s="7">
        <f t="shared" si="179"/>
        <v>0</v>
      </c>
      <c r="O199" s="11">
        <f t="shared" si="180"/>
        <v>5</v>
      </c>
      <c r="P199" s="25"/>
      <c r="Q199" s="10" t="str">
        <f t="shared" si="181"/>
        <v>OutubroSEMANA 2Bobina Picotada 25X35</v>
      </c>
      <c r="R199" s="7">
        <f>SUMIF(NF!$A:$A,$Q199,NF!$I:$I)</f>
        <v>0</v>
      </c>
      <c r="S199" s="6"/>
      <c r="T199" s="6"/>
      <c r="U199" s="6"/>
      <c r="V199" s="6"/>
      <c r="W199" s="6"/>
      <c r="X199" s="6"/>
      <c r="Y199" s="6"/>
      <c r="Z199" s="7">
        <f t="shared" si="182"/>
        <v>0</v>
      </c>
      <c r="AA199" s="11">
        <f t="shared" si="183"/>
        <v>5</v>
      </c>
      <c r="AB199" s="25"/>
      <c r="AC199" s="10" t="str">
        <f t="shared" si="184"/>
        <v>OutubroSEMANA 3Bobina Picotada 25X35</v>
      </c>
      <c r="AD199" s="7">
        <f>SUMIF(NF!$A:$A,$AC199,NF!$I:$I)</f>
        <v>0</v>
      </c>
      <c r="AE199" s="6"/>
      <c r="AF199" s="6"/>
      <c r="AG199" s="6"/>
      <c r="AH199" s="6"/>
      <c r="AI199" s="6"/>
      <c r="AJ199" s="6"/>
      <c r="AK199" s="6"/>
      <c r="AL199" s="7">
        <f t="shared" si="185"/>
        <v>0</v>
      </c>
      <c r="AM199" s="11">
        <f t="shared" si="186"/>
        <v>5</v>
      </c>
      <c r="AN199" s="25"/>
      <c r="AO199" s="10" t="str">
        <f t="shared" si="187"/>
        <v>OutubroSEMANA 4Bobina Picotada 25X35</v>
      </c>
      <c r="AP199" s="7">
        <f>SUMIF(NF!$A:$A,$AO199,NF!$I:$I)</f>
        <v>0</v>
      </c>
      <c r="AQ199" s="6"/>
      <c r="AR199" s="6"/>
      <c r="AS199" s="6"/>
      <c r="AT199" s="6"/>
      <c r="AU199" s="6"/>
      <c r="AV199" s="6"/>
      <c r="AW199" s="6"/>
      <c r="AX199" s="7">
        <f t="shared" si="188"/>
        <v>0</v>
      </c>
      <c r="AY199" s="11">
        <f t="shared" si="189"/>
        <v>5</v>
      </c>
      <c r="AZ199" s="25"/>
      <c r="BA199" s="10" t="str">
        <f t="shared" si="190"/>
        <v>OutubroSEMANA 5Bobina Picotada 25X35</v>
      </c>
      <c r="BB199" s="7">
        <f>SUMIF(NF!$A:$A,$BA199,NF!$I:$I)</f>
        <v>0</v>
      </c>
      <c r="BC199" s="6"/>
      <c r="BD199" s="6">
        <v>1</v>
      </c>
      <c r="BE199" s="6"/>
      <c r="BF199" s="74"/>
      <c r="BG199" s="74"/>
      <c r="BH199" s="74"/>
      <c r="BI199" s="74"/>
      <c r="BJ199" s="74"/>
      <c r="BK199" s="7">
        <f t="shared" si="191"/>
        <v>1</v>
      </c>
      <c r="BL199" s="8">
        <f t="shared" si="192"/>
        <v>4</v>
      </c>
      <c r="BM199" s="51" t="str">
        <f>IFERROR(VLOOKUP(A199,NF!$M:$O,3,0),"")</f>
        <v>Descartável</v>
      </c>
      <c r="BN199" s="7">
        <f t="shared" si="193"/>
        <v>1</v>
      </c>
      <c r="BO199" s="8">
        <f t="array" ref="BO199">IFERROR(LARGE(IF(NF!$G$2:$G$3137='Mês atual'!A199,NF!$J$2:$J$3137),1),0)*BN199</f>
        <v>9.42</v>
      </c>
      <c r="BP199" s="50"/>
      <c r="BR199" s="147">
        <f t="array" ref="BR199">IFERROR(LARGE(IF(NF!$G$2:$G$3137='Mês atual'!A199,NF!$J$2:$J$3137),1),0)</f>
        <v>9.42</v>
      </c>
      <c r="BS199" s="143" t="str">
        <f>VLOOKUP(A199,NF!M:O,3,0)</f>
        <v>Descartável</v>
      </c>
    </row>
    <row r="200" spans="1:74" x14ac:dyDescent="0.25">
      <c r="A200" s="108" t="s">
        <v>188</v>
      </c>
      <c r="B200" s="12"/>
      <c r="C200" s="9">
        <v>3</v>
      </c>
      <c r="D200" s="25"/>
      <c r="E200" s="10" t="str">
        <f t="shared" si="178"/>
        <v>OutubroSEMANA 1Bobina Picotada 30X40</v>
      </c>
      <c r="F200" s="7">
        <f>SUMIF(NF!$A:$A,$E200,NF!$I:$I)</f>
        <v>0</v>
      </c>
      <c r="G200" s="6"/>
      <c r="H200" s="6"/>
      <c r="I200" s="6"/>
      <c r="J200" s="6"/>
      <c r="K200" s="6"/>
      <c r="L200" s="6"/>
      <c r="M200" s="6">
        <v>1</v>
      </c>
      <c r="N200" s="7">
        <f t="shared" si="179"/>
        <v>1</v>
      </c>
      <c r="O200" s="11">
        <f t="shared" si="180"/>
        <v>2</v>
      </c>
      <c r="P200" s="25"/>
      <c r="Q200" s="10" t="str">
        <f t="shared" si="181"/>
        <v>OutubroSEMANA 2Bobina Picotada 30X40</v>
      </c>
      <c r="R200" s="7">
        <f>SUMIF(NF!$A:$A,$Q200,NF!$I:$I)</f>
        <v>0</v>
      </c>
      <c r="S200" s="6"/>
      <c r="T200" s="6"/>
      <c r="U200" s="6"/>
      <c r="V200" s="6"/>
      <c r="W200" s="6"/>
      <c r="X200" s="6"/>
      <c r="Y200" s="6"/>
      <c r="Z200" s="7">
        <f t="shared" si="182"/>
        <v>0</v>
      </c>
      <c r="AA200" s="11">
        <f t="shared" si="183"/>
        <v>2</v>
      </c>
      <c r="AB200" s="25"/>
      <c r="AC200" s="10" t="str">
        <f t="shared" si="184"/>
        <v>OutubroSEMANA 3Bobina Picotada 30X40</v>
      </c>
      <c r="AD200" s="7">
        <f>SUMIF(NF!$A:$A,$AC200,NF!$I:$I)</f>
        <v>3</v>
      </c>
      <c r="AE200" s="6"/>
      <c r="AF200" s="6"/>
      <c r="AG200" s="6">
        <v>1</v>
      </c>
      <c r="AH200" s="6"/>
      <c r="AI200" s="6"/>
      <c r="AJ200" s="6"/>
      <c r="AK200" s="6"/>
      <c r="AL200" s="7">
        <f t="shared" si="185"/>
        <v>1</v>
      </c>
      <c r="AM200" s="11">
        <f t="shared" si="186"/>
        <v>4</v>
      </c>
      <c r="AN200" s="25"/>
      <c r="AO200" s="10" t="str">
        <f t="shared" si="187"/>
        <v>OutubroSEMANA 4Bobina Picotada 30X40</v>
      </c>
      <c r="AP200" s="7">
        <f>SUMIF(NF!$A:$A,$AO200,NF!$I:$I)</f>
        <v>0</v>
      </c>
      <c r="AQ200" s="6"/>
      <c r="AR200" s="6"/>
      <c r="AS200" s="6"/>
      <c r="AT200" s="6"/>
      <c r="AU200" s="6"/>
      <c r="AV200" s="6"/>
      <c r="AW200" s="6"/>
      <c r="AX200" s="7">
        <f t="shared" si="188"/>
        <v>0</v>
      </c>
      <c r="AY200" s="11">
        <f t="shared" si="189"/>
        <v>4</v>
      </c>
      <c r="AZ200" s="25"/>
      <c r="BA200" s="10" t="str">
        <f t="shared" si="190"/>
        <v>OutubroSEMANA 5Bobina Picotada 30X40</v>
      </c>
      <c r="BB200" s="7">
        <f>SUMIF(NF!$A:$A,$BA200,NF!$I:$I)</f>
        <v>0</v>
      </c>
      <c r="BC200" s="6"/>
      <c r="BD200" s="6"/>
      <c r="BE200" s="6"/>
      <c r="BF200" s="74"/>
      <c r="BG200" s="74"/>
      <c r="BH200" s="74"/>
      <c r="BI200" s="74"/>
      <c r="BJ200" s="74"/>
      <c r="BK200" s="7">
        <f t="shared" si="191"/>
        <v>0</v>
      </c>
      <c r="BL200" s="8">
        <f t="shared" si="192"/>
        <v>4</v>
      </c>
      <c r="BM200" s="51" t="str">
        <f>IFERROR(VLOOKUP(A200,NF!$M:$O,3,0),"")</f>
        <v>Descartável</v>
      </c>
      <c r="BN200" s="7">
        <f t="shared" si="193"/>
        <v>2</v>
      </c>
      <c r="BO200" s="8">
        <f t="array" ref="BO200">IFERROR(LARGE(IF(NF!$G$2:$G$3137='Mês atual'!A200,NF!$J$2:$J$3137),1),0)*BN200</f>
        <v>23.88</v>
      </c>
      <c r="BP200" s="50"/>
      <c r="BR200" s="147">
        <f t="array" ref="BR200">IFERROR(LARGE(IF(NF!$G$2:$G$3137='Mês atual'!A200,NF!$J$2:$J$3137),1),0)</f>
        <v>11.94</v>
      </c>
      <c r="BS200" s="143" t="str">
        <f>VLOOKUP(A200,NF!M:O,3,0)</f>
        <v>Descartável</v>
      </c>
    </row>
    <row r="201" spans="1:74" x14ac:dyDescent="0.25">
      <c r="A201" s="108" t="s">
        <v>189</v>
      </c>
      <c r="B201" s="12"/>
      <c r="C201" s="9">
        <v>3</v>
      </c>
      <c r="D201" s="25"/>
      <c r="E201" s="10" t="str">
        <f t="shared" si="178"/>
        <v>OutubroSEMANA 1Bobina Picotada 40X50</v>
      </c>
      <c r="F201" s="7">
        <f>SUMIF(NF!$A:$A,$E201,NF!$I:$I)</f>
        <v>1</v>
      </c>
      <c r="G201" s="6">
        <v>1</v>
      </c>
      <c r="H201" s="6"/>
      <c r="I201" s="6"/>
      <c r="J201" s="6"/>
      <c r="K201" s="6"/>
      <c r="L201" s="6"/>
      <c r="M201" s="6">
        <v>1</v>
      </c>
      <c r="N201" s="7">
        <f t="shared" si="179"/>
        <v>2</v>
      </c>
      <c r="O201" s="11">
        <f t="shared" si="180"/>
        <v>2</v>
      </c>
      <c r="P201" s="25"/>
      <c r="Q201" s="10" t="str">
        <f t="shared" si="181"/>
        <v>OutubroSEMANA 2Bobina Picotada 40X50</v>
      </c>
      <c r="R201" s="7">
        <f>SUMIF(NF!$A:$A,$Q201,NF!$I:$I)</f>
        <v>0</v>
      </c>
      <c r="S201" s="6"/>
      <c r="T201" s="6"/>
      <c r="U201" s="6"/>
      <c r="V201" s="6"/>
      <c r="W201" s="6">
        <v>1</v>
      </c>
      <c r="X201" s="6"/>
      <c r="Y201" s="6"/>
      <c r="Z201" s="7">
        <f t="shared" si="182"/>
        <v>1</v>
      </c>
      <c r="AA201" s="11">
        <f t="shared" si="183"/>
        <v>1</v>
      </c>
      <c r="AB201" s="25"/>
      <c r="AC201" s="10" t="str">
        <f t="shared" si="184"/>
        <v>OutubroSEMANA 3Bobina Picotada 40X50</v>
      </c>
      <c r="AD201" s="7">
        <f>SUMIF(NF!$A:$A,$AC201,NF!$I:$I)</f>
        <v>4</v>
      </c>
      <c r="AE201" s="6"/>
      <c r="AF201" s="6"/>
      <c r="AG201" s="6">
        <v>1</v>
      </c>
      <c r="AH201" s="6"/>
      <c r="AI201" s="6"/>
      <c r="AJ201" s="6"/>
      <c r="AK201" s="6"/>
      <c r="AL201" s="7">
        <f t="shared" si="185"/>
        <v>1</v>
      </c>
      <c r="AM201" s="11">
        <f t="shared" si="186"/>
        <v>4</v>
      </c>
      <c r="AN201" s="25"/>
      <c r="AO201" s="10" t="str">
        <f t="shared" si="187"/>
        <v>OutubroSEMANA 4Bobina Picotada 40X50</v>
      </c>
      <c r="AP201" s="7">
        <f>SUMIF(NF!$A:$A,$AO201,NF!$I:$I)</f>
        <v>0</v>
      </c>
      <c r="AQ201" s="6">
        <v>1</v>
      </c>
      <c r="AR201" s="6"/>
      <c r="AS201" s="6"/>
      <c r="AT201" s="6"/>
      <c r="AU201" s="6"/>
      <c r="AV201" s="6">
        <v>1</v>
      </c>
      <c r="AW201" s="6"/>
      <c r="AX201" s="7">
        <f t="shared" si="188"/>
        <v>2</v>
      </c>
      <c r="AY201" s="11">
        <f t="shared" si="189"/>
        <v>2</v>
      </c>
      <c r="AZ201" s="25"/>
      <c r="BA201" s="10" t="str">
        <f t="shared" si="190"/>
        <v>OutubroSEMANA 5Bobina Picotada 40X50</v>
      </c>
      <c r="BB201" s="7">
        <f>SUMIF(NF!$A:$A,$BA201,NF!$I:$I)</f>
        <v>0</v>
      </c>
      <c r="BC201" s="6"/>
      <c r="BD201" s="6"/>
      <c r="BE201" s="6">
        <v>1</v>
      </c>
      <c r="BF201" s="74"/>
      <c r="BG201" s="74"/>
      <c r="BH201" s="74"/>
      <c r="BI201" s="74"/>
      <c r="BJ201" s="74"/>
      <c r="BK201" s="7">
        <f t="shared" si="191"/>
        <v>1</v>
      </c>
      <c r="BL201" s="8">
        <f t="shared" si="192"/>
        <v>1</v>
      </c>
      <c r="BM201" s="51" t="str">
        <f>IFERROR(VLOOKUP(A201,NF!$M:$O,3,0),"")</f>
        <v>Descartável</v>
      </c>
      <c r="BN201" s="7">
        <f t="shared" si="193"/>
        <v>7</v>
      </c>
      <c r="BO201" s="8">
        <f t="array" ref="BO201">IFERROR(LARGE(IF(NF!$G$2:$G$3137='Mês atual'!A201,NF!$J$2:$J$3137),1),0)*BN201</f>
        <v>135.66</v>
      </c>
      <c r="BP201" s="50"/>
      <c r="BR201" s="147">
        <f t="array" ref="BR201">IFERROR(LARGE(IF(NF!$G$2:$G$3137='Mês atual'!A201,NF!$J$2:$J$3137),1),0)</f>
        <v>19.38</v>
      </c>
      <c r="BS201" s="143" t="str">
        <f>VLOOKUP(A201,NF!M:O,3,0)</f>
        <v>Descartável</v>
      </c>
    </row>
    <row r="202" spans="1:74" x14ac:dyDescent="0.25">
      <c r="A202" s="108" t="s">
        <v>190</v>
      </c>
      <c r="B202" s="12"/>
      <c r="C202" s="9"/>
      <c r="D202" s="25"/>
      <c r="E202" s="10" t="str">
        <f t="shared" si="178"/>
        <v>OutubroSEMANA 1Bobina Picotada 40X60</v>
      </c>
      <c r="F202" s="7">
        <f>SUMIF(NF!$A:$A,$E202,NF!$I:$I)</f>
        <v>0</v>
      </c>
      <c r="G202" s="6"/>
      <c r="H202" s="6"/>
      <c r="I202" s="6"/>
      <c r="J202" s="6"/>
      <c r="K202" s="6"/>
      <c r="L202" s="6"/>
      <c r="M202" s="6"/>
      <c r="N202" s="7">
        <f t="shared" si="179"/>
        <v>0</v>
      </c>
      <c r="O202" s="11">
        <f t="shared" si="180"/>
        <v>0</v>
      </c>
      <c r="P202" s="25"/>
      <c r="Q202" s="10" t="str">
        <f t="shared" si="181"/>
        <v>OutubroSEMANA 2Bobina Picotada 40X60</v>
      </c>
      <c r="R202" s="7">
        <f>SUMIF(NF!$A:$A,$Q202,NF!$I:$I)</f>
        <v>0</v>
      </c>
      <c r="S202" s="6"/>
      <c r="T202" s="6"/>
      <c r="U202" s="6"/>
      <c r="V202" s="6"/>
      <c r="W202" s="6"/>
      <c r="X202" s="6"/>
      <c r="Y202" s="6"/>
      <c r="Z202" s="7">
        <f t="shared" si="182"/>
        <v>0</v>
      </c>
      <c r="AA202" s="11">
        <f t="shared" si="183"/>
        <v>0</v>
      </c>
      <c r="AB202" s="25"/>
      <c r="AC202" s="10" t="str">
        <f t="shared" si="184"/>
        <v>OutubroSEMANA 3Bobina Picotada 40X60</v>
      </c>
      <c r="AD202" s="7">
        <f>SUMIF(NF!$A:$A,$AC202,NF!$I:$I)</f>
        <v>0</v>
      </c>
      <c r="AE202" s="6"/>
      <c r="AF202" s="6"/>
      <c r="AG202" s="6"/>
      <c r="AH202" s="6"/>
      <c r="AI202" s="6"/>
      <c r="AJ202" s="6"/>
      <c r="AK202" s="6"/>
      <c r="AL202" s="7">
        <f t="shared" si="185"/>
        <v>0</v>
      </c>
      <c r="AM202" s="11">
        <f t="shared" si="186"/>
        <v>0</v>
      </c>
      <c r="AN202" s="25"/>
      <c r="AO202" s="10" t="str">
        <f t="shared" si="187"/>
        <v>OutubroSEMANA 4Bobina Picotada 40X60</v>
      </c>
      <c r="AP202" s="7">
        <f>SUMIF(NF!$A:$A,$AO202,NF!$I:$I)</f>
        <v>0</v>
      </c>
      <c r="AQ202" s="6"/>
      <c r="AR202" s="6"/>
      <c r="AS202" s="6"/>
      <c r="AT202" s="6"/>
      <c r="AU202" s="6"/>
      <c r="AV202" s="6"/>
      <c r="AW202" s="6"/>
      <c r="AX202" s="7">
        <f t="shared" si="188"/>
        <v>0</v>
      </c>
      <c r="AY202" s="11">
        <f t="shared" si="189"/>
        <v>0</v>
      </c>
      <c r="AZ202" s="25"/>
      <c r="BA202" s="10" t="str">
        <f t="shared" si="190"/>
        <v>OutubroSEMANA 5Bobina Picotada 40X60</v>
      </c>
      <c r="BB202" s="7">
        <f>SUMIF(NF!$A:$A,$BA202,NF!$I:$I)</f>
        <v>0</v>
      </c>
      <c r="BC202" s="6"/>
      <c r="BD202" s="6"/>
      <c r="BE202" s="6"/>
      <c r="BF202" s="74"/>
      <c r="BG202" s="74"/>
      <c r="BH202" s="74"/>
      <c r="BI202" s="74"/>
      <c r="BJ202" s="74"/>
      <c r="BK202" s="7">
        <f t="shared" si="191"/>
        <v>0</v>
      </c>
      <c r="BL202" s="8">
        <f t="shared" si="192"/>
        <v>0</v>
      </c>
      <c r="BM202" s="51" t="str">
        <f>IFERROR(VLOOKUP(A202,NF!$M:$O,3,0),"")</f>
        <v>Descartável</v>
      </c>
      <c r="BN202" s="7">
        <f t="shared" si="193"/>
        <v>0</v>
      </c>
      <c r="BO202" s="8">
        <f t="array" ref="BO202">IFERROR(LARGE(IF(NF!$G$2:$G$3137='Mês atual'!A202,NF!$J$2:$J$3137),1),0)*BN202</f>
        <v>0</v>
      </c>
      <c r="BP202" s="50"/>
      <c r="BR202" s="147">
        <f t="array" ref="BR202">IFERROR(LARGE(IF(NF!$G$2:$G$3137='Mês atual'!A202,NF!$J$2:$J$3137),1),0)</f>
        <v>0</v>
      </c>
      <c r="BS202" s="143" t="str">
        <f>VLOOKUP(A202,NF!M:O,3,0)</f>
        <v>Descartável</v>
      </c>
    </row>
    <row r="203" spans="1:74" x14ac:dyDescent="0.25">
      <c r="A203" s="108" t="s">
        <v>1009</v>
      </c>
      <c r="B203" s="12"/>
      <c r="C203" s="9"/>
      <c r="D203" s="25"/>
      <c r="E203" s="10" t="str">
        <f t="shared" si="178"/>
        <v>OutubroSEMANA 1Caixa Parda p/ Quiche</v>
      </c>
      <c r="F203" s="7">
        <f>SUMIF(NF!$A:$A,$E203,NF!$I:$I)</f>
        <v>0</v>
      </c>
      <c r="G203" s="6"/>
      <c r="H203" s="6"/>
      <c r="I203" s="6"/>
      <c r="J203" s="6"/>
      <c r="K203" s="6"/>
      <c r="L203" s="6"/>
      <c r="M203" s="6"/>
      <c r="N203" s="7">
        <f t="shared" ref="N203" si="194">SUM(G203:M203)</f>
        <v>0</v>
      </c>
      <c r="O203" s="11">
        <f t="shared" ref="O203" si="195">F203+C203-N203</f>
        <v>0</v>
      </c>
      <c r="P203" s="25"/>
      <c r="Q203" s="10" t="str">
        <f t="shared" si="181"/>
        <v>OutubroSEMANA 2Caixa Parda p/ Quiche</v>
      </c>
      <c r="R203" s="7">
        <f>SUMIF(NF!$A:$A,$Q203,NF!$I:$I)</f>
        <v>0</v>
      </c>
      <c r="S203" s="6"/>
      <c r="T203" s="6"/>
      <c r="U203" s="6"/>
      <c r="V203" s="6"/>
      <c r="W203" s="6"/>
      <c r="X203" s="6"/>
      <c r="Y203" s="6"/>
      <c r="Z203" s="7">
        <f t="shared" ref="Z203" si="196">SUM(S203:Y203)</f>
        <v>0</v>
      </c>
      <c r="AA203" s="11">
        <f t="shared" ref="AA203" si="197">R203+O203-Z203</f>
        <v>0</v>
      </c>
      <c r="AB203" s="25"/>
      <c r="AC203" s="10" t="str">
        <f t="shared" si="184"/>
        <v>OutubroSEMANA 3Caixa Parda p/ Quiche</v>
      </c>
      <c r="AD203" s="7">
        <f>SUMIF(NF!$A:$A,$AC203,NF!$I:$I)</f>
        <v>0</v>
      </c>
      <c r="AE203" s="6"/>
      <c r="AF203" s="6"/>
      <c r="AG203" s="6"/>
      <c r="AH203" s="6"/>
      <c r="AI203" s="6"/>
      <c r="AJ203" s="6"/>
      <c r="AK203" s="6"/>
      <c r="AL203" s="7">
        <f t="shared" ref="AL203" si="198">SUM(AE203:AK203)</f>
        <v>0</v>
      </c>
      <c r="AM203" s="11">
        <f t="shared" ref="AM203" si="199">AD203+AA203-AL203</f>
        <v>0</v>
      </c>
      <c r="AN203" s="25"/>
      <c r="AO203" s="10" t="str">
        <f t="shared" si="187"/>
        <v>OutubroSEMANA 4Caixa Parda p/ Quiche</v>
      </c>
      <c r="AP203" s="7">
        <f>SUMIF(NF!$A:$A,$AO203,NF!$I:$I)</f>
        <v>0</v>
      </c>
      <c r="AQ203" s="6"/>
      <c r="AR203" s="6"/>
      <c r="AS203" s="6"/>
      <c r="AT203" s="6"/>
      <c r="AU203" s="6"/>
      <c r="AV203" s="6"/>
      <c r="AW203" s="6"/>
      <c r="AX203" s="7">
        <f t="shared" ref="AX203" si="200">SUM(AQ203:AW203)</f>
        <v>0</v>
      </c>
      <c r="AY203" s="11">
        <f t="shared" ref="AY203" si="201">AP203+AM203-AX203</f>
        <v>0</v>
      </c>
      <c r="AZ203" s="25"/>
      <c r="BA203" s="10" t="str">
        <f t="shared" si="190"/>
        <v>OutubroSEMANA 5Caixa Parda p/ Quiche</v>
      </c>
      <c r="BB203" s="7">
        <f>SUMIF(NF!$A:$A,$BA203,NF!$I:$I)</f>
        <v>0</v>
      </c>
      <c r="BC203" s="6"/>
      <c r="BD203" s="6"/>
      <c r="BE203" s="6"/>
      <c r="BF203" s="74"/>
      <c r="BG203" s="74"/>
      <c r="BH203" s="74"/>
      <c r="BI203" s="74"/>
      <c r="BJ203" s="74"/>
      <c r="BK203" s="7">
        <f t="shared" ref="BK203" si="202">SUM(BC203:BJ203)</f>
        <v>0</v>
      </c>
      <c r="BL203" s="8">
        <f t="shared" ref="BL203" si="203">BB203+AY203-BK203</f>
        <v>0</v>
      </c>
      <c r="BM203" s="51" t="str">
        <f>IFERROR(VLOOKUP(A203,NF!$M:$O,3,0),"")</f>
        <v>Descartável</v>
      </c>
      <c r="BN203" s="7">
        <f t="shared" ref="BN203" si="204">SUM(N203,Z203,AL203,AX203,BK203)</f>
        <v>0</v>
      </c>
      <c r="BO203" s="8">
        <f t="array" ref="BO203">IFERROR(LARGE(IF(NF!$G$2:$G$3137='Mês atual'!A203,NF!$J$2:$J$3137),1),0)*BN203</f>
        <v>0</v>
      </c>
      <c r="BP203" s="50"/>
      <c r="BR203" s="147">
        <f t="array" ref="BR203">IFERROR(LARGE(IF(NF!$G$2:$G$3137='Mês atual'!A203,NF!$J$2:$J$3137),1),0)</f>
        <v>0</v>
      </c>
      <c r="BS203" s="143" t="str">
        <f>VLOOKUP(A203,NF!M:O,3,0)</f>
        <v>Descartável</v>
      </c>
    </row>
    <row r="204" spans="1:74" x14ac:dyDescent="0.25">
      <c r="A204" s="108" t="s">
        <v>209</v>
      </c>
      <c r="B204" s="12"/>
      <c r="C204" s="9">
        <v>2300</v>
      </c>
      <c r="D204" s="25"/>
      <c r="E204" s="10" t="str">
        <f t="shared" si="178"/>
        <v>OutubroSEMANA 1Canudo Embalado</v>
      </c>
      <c r="F204" s="7">
        <f>SUMIF(NF!$A:$A,$E204,NF!$I:$I)</f>
        <v>0</v>
      </c>
      <c r="G204" s="6"/>
      <c r="H204" s="6"/>
      <c r="I204" s="6">
        <v>200</v>
      </c>
      <c r="J204" s="6"/>
      <c r="K204" s="6"/>
      <c r="L204" s="6"/>
      <c r="M204" s="6"/>
      <c r="N204" s="7">
        <f t="shared" si="179"/>
        <v>200</v>
      </c>
      <c r="O204" s="11">
        <f t="shared" si="180"/>
        <v>2100</v>
      </c>
      <c r="P204" s="25"/>
      <c r="Q204" s="10" t="str">
        <f t="shared" si="181"/>
        <v>OutubroSEMANA 2Canudo Embalado</v>
      </c>
      <c r="R204" s="7">
        <f>SUMIF(NF!$A:$A,$Q204,NF!$I:$I)</f>
        <v>0</v>
      </c>
      <c r="S204" s="6">
        <v>300</v>
      </c>
      <c r="T204" s="6"/>
      <c r="U204" s="6"/>
      <c r="V204" s="6"/>
      <c r="W204" s="6"/>
      <c r="X204" s="6">
        <v>200</v>
      </c>
      <c r="Y204" s="6"/>
      <c r="Z204" s="7">
        <f t="shared" si="182"/>
        <v>500</v>
      </c>
      <c r="AA204" s="11">
        <f t="shared" si="183"/>
        <v>1600</v>
      </c>
      <c r="AB204" s="25"/>
      <c r="AC204" s="10" t="str">
        <f t="shared" si="184"/>
        <v>OutubroSEMANA 3Canudo Embalado</v>
      </c>
      <c r="AD204" s="7">
        <f>SUMIF(NF!$A:$A,$AC204,NF!$I:$I)</f>
        <v>0</v>
      </c>
      <c r="AE204" s="6"/>
      <c r="AF204" s="6">
        <v>200</v>
      </c>
      <c r="AG204" s="6"/>
      <c r="AH204" s="6"/>
      <c r="AI204" s="6">
        <v>200</v>
      </c>
      <c r="AJ204" s="6"/>
      <c r="AK204" s="6"/>
      <c r="AL204" s="7">
        <f t="shared" si="185"/>
        <v>400</v>
      </c>
      <c r="AM204" s="11">
        <f t="shared" si="186"/>
        <v>1200</v>
      </c>
      <c r="AN204" s="25"/>
      <c r="AO204" s="10" t="str">
        <f t="shared" si="187"/>
        <v>OutubroSEMANA 4Canudo Embalado</v>
      </c>
      <c r="AP204" s="7">
        <f>SUMIF(NF!$A:$A,$AO204,NF!$I:$I)</f>
        <v>0</v>
      </c>
      <c r="AQ204" s="6">
        <v>200</v>
      </c>
      <c r="AR204" s="6"/>
      <c r="AS204" s="6"/>
      <c r="AT204" s="6"/>
      <c r="AU204" s="6"/>
      <c r="AV204" s="6"/>
      <c r="AW204" s="6">
        <v>200</v>
      </c>
      <c r="AX204" s="7">
        <f t="shared" si="188"/>
        <v>400</v>
      </c>
      <c r="AY204" s="11">
        <f t="shared" si="189"/>
        <v>800</v>
      </c>
      <c r="AZ204" s="25"/>
      <c r="BA204" s="10" t="str">
        <f t="shared" si="190"/>
        <v>OutubroSEMANA 5Canudo Embalado</v>
      </c>
      <c r="BB204" s="7">
        <f>SUMIF(NF!$A:$A,$BA204,NF!$I:$I)</f>
        <v>0</v>
      </c>
      <c r="BC204" s="6">
        <v>100</v>
      </c>
      <c r="BD204" s="6"/>
      <c r="BE204" s="6"/>
      <c r="BF204" s="74"/>
      <c r="BG204" s="74"/>
      <c r="BH204" s="74"/>
      <c r="BI204" s="74"/>
      <c r="BJ204" s="74"/>
      <c r="BK204" s="7">
        <f t="shared" si="191"/>
        <v>100</v>
      </c>
      <c r="BL204" s="8">
        <f t="shared" si="192"/>
        <v>700</v>
      </c>
      <c r="BM204" s="51" t="str">
        <f>IFERROR(VLOOKUP(A204,NF!$M:$O,3,0),"")</f>
        <v>Descartável</v>
      </c>
      <c r="BN204" s="7">
        <f t="shared" si="193"/>
        <v>1600</v>
      </c>
      <c r="BO204" s="8">
        <f t="array" ref="BO204">IFERROR(LARGE(IF(NF!$G$2:$G$3137='Mês atual'!A204,NF!$J$2:$J$3137),1),0)*BN204</f>
        <v>0</v>
      </c>
      <c r="BP204" s="50"/>
      <c r="BR204" s="147">
        <f t="array" ref="BR204">IFERROR(LARGE(IF(NF!$G$2:$G$3137='Mês atual'!A204,NF!$J$2:$J$3137),1),0)</f>
        <v>0</v>
      </c>
      <c r="BS204" s="143" t="str">
        <f>VLOOKUP(A204,NF!M:O,3,0)</f>
        <v>Descartável</v>
      </c>
    </row>
    <row r="205" spans="1:74" x14ac:dyDescent="0.25">
      <c r="A205" s="108" t="s">
        <v>888</v>
      </c>
      <c r="B205" s="12"/>
      <c r="C205" s="9">
        <v>4</v>
      </c>
      <c r="D205" s="25"/>
      <c r="E205" s="10" t="str">
        <f t="shared" si="178"/>
        <v>OutubroSEMANA 1Coador Chá Verde</v>
      </c>
      <c r="F205" s="7">
        <f>SUMIF(NF!$A:$A,$E205,NF!$I:$I)</f>
        <v>0</v>
      </c>
      <c r="G205" s="6"/>
      <c r="H205" s="6"/>
      <c r="I205" s="6"/>
      <c r="J205" s="6"/>
      <c r="K205" s="6"/>
      <c r="L205" s="6"/>
      <c r="M205" s="6"/>
      <c r="N205" s="7">
        <f t="shared" si="179"/>
        <v>0</v>
      </c>
      <c r="O205" s="11">
        <f t="shared" si="180"/>
        <v>4</v>
      </c>
      <c r="P205" s="25"/>
      <c r="Q205" s="10" t="str">
        <f t="shared" si="181"/>
        <v>OutubroSEMANA 2Coador Chá Verde</v>
      </c>
      <c r="R205" s="7">
        <f>SUMIF(NF!$A:$A,$Q205,NF!$I:$I)</f>
        <v>0</v>
      </c>
      <c r="S205" s="6"/>
      <c r="T205" s="6"/>
      <c r="U205" s="6"/>
      <c r="V205" s="6"/>
      <c r="W205" s="6"/>
      <c r="X205" s="6"/>
      <c r="Y205" s="6"/>
      <c r="Z205" s="7">
        <f t="shared" si="182"/>
        <v>0</v>
      </c>
      <c r="AA205" s="11">
        <f t="shared" si="183"/>
        <v>4</v>
      </c>
      <c r="AB205" s="25"/>
      <c r="AC205" s="10" t="str">
        <f t="shared" si="184"/>
        <v>OutubroSEMANA 3Coador Chá Verde</v>
      </c>
      <c r="AD205" s="7">
        <f>SUMIF(NF!$A:$A,$AC205,NF!$I:$I)</f>
        <v>0</v>
      </c>
      <c r="AE205" s="6"/>
      <c r="AF205" s="6"/>
      <c r="AG205" s="6"/>
      <c r="AH205" s="6"/>
      <c r="AI205" s="6"/>
      <c r="AJ205" s="6"/>
      <c r="AK205" s="6"/>
      <c r="AL205" s="7">
        <f t="shared" si="185"/>
        <v>0</v>
      </c>
      <c r="AM205" s="11">
        <f t="shared" si="186"/>
        <v>4</v>
      </c>
      <c r="AN205" s="25"/>
      <c r="AO205" s="10" t="str">
        <f t="shared" si="187"/>
        <v>OutubroSEMANA 4Coador Chá Verde</v>
      </c>
      <c r="AP205" s="7">
        <f>SUMIF(NF!$A:$A,$AO205,NF!$I:$I)</f>
        <v>0</v>
      </c>
      <c r="AQ205" s="6"/>
      <c r="AR205" s="6"/>
      <c r="AS205" s="6"/>
      <c r="AT205" s="6"/>
      <c r="AU205" s="6"/>
      <c r="AV205" s="6"/>
      <c r="AW205" s="6"/>
      <c r="AX205" s="7">
        <f t="shared" si="188"/>
        <v>0</v>
      </c>
      <c r="AY205" s="11">
        <f t="shared" si="189"/>
        <v>4</v>
      </c>
      <c r="AZ205" s="25"/>
      <c r="BA205" s="10" t="str">
        <f t="shared" si="190"/>
        <v>OutubroSEMANA 5Coador Chá Verde</v>
      </c>
      <c r="BB205" s="7">
        <f>SUMIF(NF!$A:$A,$BA205,NF!$I:$I)</f>
        <v>0</v>
      </c>
      <c r="BC205" s="6"/>
      <c r="BD205" s="6"/>
      <c r="BE205" s="6"/>
      <c r="BF205" s="74"/>
      <c r="BG205" s="74"/>
      <c r="BH205" s="74"/>
      <c r="BI205" s="74"/>
      <c r="BJ205" s="74"/>
      <c r="BK205" s="7">
        <f t="shared" si="191"/>
        <v>0</v>
      </c>
      <c r="BL205" s="8">
        <f t="shared" si="192"/>
        <v>4</v>
      </c>
      <c r="BM205" s="51" t="str">
        <f>IFERROR(VLOOKUP(A205,NF!$M:$O,3,0),"")</f>
        <v>Descartável</v>
      </c>
      <c r="BN205" s="7">
        <f t="shared" si="193"/>
        <v>0</v>
      </c>
      <c r="BO205" s="8">
        <f t="array" ref="BO205">IFERROR(LARGE(IF(NF!$G$2:$G$3137='Mês atual'!A205,NF!$J$2:$J$3137),1),0)*BN205</f>
        <v>0</v>
      </c>
      <c r="BP205" s="50"/>
      <c r="BR205" s="147">
        <f t="array" ref="BR205">IFERROR(LARGE(IF(NF!$G$2:$G$3137='Mês atual'!A205,NF!$J$2:$J$3137),1),0)</f>
        <v>0</v>
      </c>
      <c r="BS205" s="143" t="str">
        <f>VLOOKUP(A205,NF!M:O,3,0)</f>
        <v>Descartável</v>
      </c>
    </row>
    <row r="206" spans="1:74" x14ac:dyDescent="0.25">
      <c r="A206" s="108" t="s">
        <v>294</v>
      </c>
      <c r="B206" s="12"/>
      <c r="C206" s="9">
        <v>2000</v>
      </c>
      <c r="D206" s="25"/>
      <c r="E206" s="10" t="str">
        <f t="shared" si="178"/>
        <v>OutubroSEMANA 1Colher Descartável Nobre Cristal</v>
      </c>
      <c r="F206" s="7">
        <f>SUMIF(NF!$A:$A,$E206,NF!$I:$I)</f>
        <v>0</v>
      </c>
      <c r="G206" s="6"/>
      <c r="H206" s="6"/>
      <c r="I206" s="6">
        <v>40</v>
      </c>
      <c r="J206" s="6"/>
      <c r="K206" s="6">
        <v>80</v>
      </c>
      <c r="L206" s="6"/>
      <c r="M206" s="6"/>
      <c r="N206" s="7">
        <f t="shared" si="179"/>
        <v>120</v>
      </c>
      <c r="O206" s="11">
        <f t="shared" si="180"/>
        <v>1880</v>
      </c>
      <c r="P206" s="25"/>
      <c r="Q206" s="10" t="str">
        <f t="shared" si="181"/>
        <v>OutubroSEMANA 2Colher Descartável Nobre Cristal</v>
      </c>
      <c r="R206" s="7">
        <f>SUMIF(NF!$A:$A,$Q206,NF!$I:$I)</f>
        <v>0</v>
      </c>
      <c r="S206" s="6">
        <v>80</v>
      </c>
      <c r="T206" s="6"/>
      <c r="U206" s="6">
        <v>80</v>
      </c>
      <c r="V206" s="6"/>
      <c r="W206" s="6">
        <v>40</v>
      </c>
      <c r="X206" s="6">
        <v>80</v>
      </c>
      <c r="Y206" s="6">
        <v>40</v>
      </c>
      <c r="Z206" s="7">
        <f t="shared" si="182"/>
        <v>320</v>
      </c>
      <c r="AA206" s="11">
        <f t="shared" si="183"/>
        <v>1560</v>
      </c>
      <c r="AB206" s="25"/>
      <c r="AC206" s="10" t="str">
        <f t="shared" si="184"/>
        <v>OutubroSEMANA 3Colher Descartável Nobre Cristal</v>
      </c>
      <c r="AD206" s="7">
        <f>SUMIF(NF!$A:$A,$AC206,NF!$I:$I)</f>
        <v>0</v>
      </c>
      <c r="AE206" s="6">
        <v>80</v>
      </c>
      <c r="AF206" s="6"/>
      <c r="AG206" s="6"/>
      <c r="AH206" s="6">
        <v>40</v>
      </c>
      <c r="AI206" s="6">
        <v>40</v>
      </c>
      <c r="AJ206" s="6"/>
      <c r="AK206" s="6">
        <v>80</v>
      </c>
      <c r="AL206" s="7">
        <f t="shared" si="185"/>
        <v>240</v>
      </c>
      <c r="AM206" s="11">
        <f t="shared" si="186"/>
        <v>1320</v>
      </c>
      <c r="AN206" s="25"/>
      <c r="AO206" s="10" t="str">
        <f t="shared" si="187"/>
        <v>OutubroSEMANA 4Colher Descartável Nobre Cristal</v>
      </c>
      <c r="AP206" s="7">
        <f>SUMIF(NF!$A:$A,$AO206,NF!$I:$I)</f>
        <v>0</v>
      </c>
      <c r="AQ206" s="6">
        <v>80</v>
      </c>
      <c r="AR206" s="6"/>
      <c r="AS206" s="6">
        <v>80</v>
      </c>
      <c r="AT206" s="6"/>
      <c r="AU206" s="6">
        <v>40</v>
      </c>
      <c r="AV206" s="6">
        <v>40</v>
      </c>
      <c r="AW206" s="6">
        <v>80</v>
      </c>
      <c r="AX206" s="7">
        <f t="shared" si="188"/>
        <v>320</v>
      </c>
      <c r="AY206" s="11">
        <f t="shared" si="189"/>
        <v>1000</v>
      </c>
      <c r="AZ206" s="25"/>
      <c r="BA206" s="10" t="str">
        <f t="shared" si="190"/>
        <v>OutubroSEMANA 5Colher Descartável Nobre Cristal</v>
      </c>
      <c r="BB206" s="7">
        <f>SUMIF(NF!$A:$A,$BA206,NF!$I:$I)</f>
        <v>0</v>
      </c>
      <c r="BC206" s="6">
        <v>40</v>
      </c>
      <c r="BD206" s="6">
        <v>80</v>
      </c>
      <c r="BE206" s="6">
        <v>80</v>
      </c>
      <c r="BF206" s="74"/>
      <c r="BG206" s="74"/>
      <c r="BH206" s="74"/>
      <c r="BI206" s="74"/>
      <c r="BJ206" s="74"/>
      <c r="BK206" s="7">
        <f t="shared" si="191"/>
        <v>200</v>
      </c>
      <c r="BL206" s="8">
        <f t="shared" si="192"/>
        <v>800</v>
      </c>
      <c r="BM206" s="51" t="str">
        <f>IFERROR(VLOOKUP(A206,NF!$M:$O,3,0),"")</f>
        <v>Descartável</v>
      </c>
      <c r="BN206" s="7">
        <f t="shared" si="193"/>
        <v>1200</v>
      </c>
      <c r="BO206" s="8">
        <f t="array" ref="BO206">IFERROR(LARGE(IF(NF!$G$2:$G$3137='Mês atual'!A206,NF!$J$2:$J$3137),1),0)*BN206</f>
        <v>0</v>
      </c>
      <c r="BP206" s="50"/>
      <c r="BR206" s="147">
        <f t="array" ref="BR206">IFERROR(LARGE(IF(NF!$G$2:$G$3137='Mês atual'!A206,NF!$J$2:$J$3137),1),0)</f>
        <v>0</v>
      </c>
      <c r="BS206" s="143" t="str">
        <f>VLOOKUP(A206,NF!M:O,3,0)</f>
        <v>Descartável</v>
      </c>
    </row>
    <row r="207" spans="1:74" x14ac:dyDescent="0.25">
      <c r="A207" s="108" t="s">
        <v>297</v>
      </c>
      <c r="B207" s="12"/>
      <c r="C207" s="9">
        <v>1200</v>
      </c>
      <c r="D207" s="25"/>
      <c r="E207" s="10" t="str">
        <f t="shared" si="178"/>
        <v>OutubroSEMANA 1Copo de Sobremesa Cristal 180 ml</v>
      </c>
      <c r="F207" s="7">
        <f>SUMIF(NF!$A:$A,$E207,NF!$I:$I)</f>
        <v>0</v>
      </c>
      <c r="G207" s="6"/>
      <c r="H207" s="6"/>
      <c r="I207" s="6"/>
      <c r="J207" s="6"/>
      <c r="K207" s="6">
        <v>50</v>
      </c>
      <c r="L207" s="6"/>
      <c r="M207" s="6"/>
      <c r="N207" s="7">
        <f t="shared" si="179"/>
        <v>50</v>
      </c>
      <c r="O207" s="11">
        <f t="shared" si="180"/>
        <v>1150</v>
      </c>
      <c r="P207" s="25"/>
      <c r="Q207" s="10" t="str">
        <f t="shared" si="181"/>
        <v>OutubroSEMANA 2Copo de Sobremesa Cristal 180 ml</v>
      </c>
      <c r="R207" s="7">
        <f>SUMIF(NF!$A:$A,$Q207,NF!$I:$I)</f>
        <v>0</v>
      </c>
      <c r="S207" s="6">
        <v>50</v>
      </c>
      <c r="T207" s="6"/>
      <c r="U207" s="6">
        <v>50</v>
      </c>
      <c r="V207" s="6">
        <v>50</v>
      </c>
      <c r="W207" s="6"/>
      <c r="X207" s="6">
        <v>50</v>
      </c>
      <c r="Y207" s="6"/>
      <c r="Z207" s="7">
        <f t="shared" si="182"/>
        <v>200</v>
      </c>
      <c r="AA207" s="11">
        <f t="shared" si="183"/>
        <v>950</v>
      </c>
      <c r="AB207" s="25"/>
      <c r="AC207" s="10" t="str">
        <f t="shared" si="184"/>
        <v>OutubroSEMANA 3Copo de Sobremesa Cristal 180 ml</v>
      </c>
      <c r="AD207" s="7">
        <f>SUMIF(NF!$A:$A,$AC207,NF!$I:$I)</f>
        <v>1000</v>
      </c>
      <c r="AE207" s="6">
        <v>50</v>
      </c>
      <c r="AF207" s="6"/>
      <c r="AG207" s="6"/>
      <c r="AH207" s="6"/>
      <c r="AI207" s="6">
        <v>50</v>
      </c>
      <c r="AJ207" s="6"/>
      <c r="AK207" s="6"/>
      <c r="AL207" s="7">
        <f t="shared" si="185"/>
        <v>100</v>
      </c>
      <c r="AM207" s="11">
        <f t="shared" si="186"/>
        <v>1850</v>
      </c>
      <c r="AN207" s="25"/>
      <c r="AO207" s="10" t="str">
        <f t="shared" si="187"/>
        <v>OutubroSEMANA 4Copo de Sobremesa Cristal 180 ml</v>
      </c>
      <c r="AP207" s="7">
        <f>SUMIF(NF!$A:$A,$AO207,NF!$I:$I)</f>
        <v>0</v>
      </c>
      <c r="AQ207" s="6"/>
      <c r="AR207" s="6"/>
      <c r="AS207" s="6">
        <v>50</v>
      </c>
      <c r="AT207" s="6"/>
      <c r="AU207" s="6"/>
      <c r="AV207" s="6">
        <v>50</v>
      </c>
      <c r="AW207" s="6"/>
      <c r="AX207" s="7">
        <f t="shared" si="188"/>
        <v>100</v>
      </c>
      <c r="AY207" s="11">
        <f t="shared" si="189"/>
        <v>1750</v>
      </c>
      <c r="AZ207" s="25"/>
      <c r="BA207" s="10" t="str">
        <f t="shared" si="190"/>
        <v>OutubroSEMANA 5Copo de Sobremesa Cristal 180 ml</v>
      </c>
      <c r="BB207" s="7">
        <f>SUMIF(NF!$A:$A,$BA207,NF!$I:$I)</f>
        <v>0</v>
      </c>
      <c r="BC207" s="6">
        <v>50</v>
      </c>
      <c r="BD207" s="6"/>
      <c r="BE207" s="6"/>
      <c r="BF207" s="74"/>
      <c r="BG207" s="74"/>
      <c r="BH207" s="74"/>
      <c r="BI207" s="74"/>
      <c r="BJ207" s="74"/>
      <c r="BK207" s="7">
        <f t="shared" si="191"/>
        <v>50</v>
      </c>
      <c r="BL207" s="8">
        <f t="shared" si="192"/>
        <v>1700</v>
      </c>
      <c r="BM207" s="51" t="str">
        <f>IFERROR(VLOOKUP(A207,NF!$M:$O,3,0),"")</f>
        <v>Descartável</v>
      </c>
      <c r="BN207" s="7">
        <f t="shared" si="193"/>
        <v>500</v>
      </c>
      <c r="BO207" s="8">
        <f t="array" ref="BO207">IFERROR(LARGE(IF(NF!$G$2:$G$3137='Mês atual'!A207,NF!$J$2:$J$3137),1),0)*BN207</f>
        <v>153.44999999999999</v>
      </c>
      <c r="BP207" s="50"/>
      <c r="BR207" s="147">
        <f t="array" ref="BR207">IFERROR(LARGE(IF(NF!$G$2:$G$3137='Mês atual'!A207,NF!$J$2:$J$3137),1),0)</f>
        <v>0.30689999999999995</v>
      </c>
      <c r="BS207" s="143" t="str">
        <f>VLOOKUP(A207,NF!M:O,3,0)</f>
        <v>Descartável</v>
      </c>
    </row>
    <row r="208" spans="1:74" x14ac:dyDescent="0.25">
      <c r="A208" s="108" t="s">
        <v>298</v>
      </c>
      <c r="B208" s="12"/>
      <c r="C208" s="9">
        <v>800</v>
      </c>
      <c r="D208" s="25"/>
      <c r="E208" s="10" t="str">
        <f t="shared" si="178"/>
        <v>OutubroSEMANA 1Copo Descartável 200 ml</v>
      </c>
      <c r="F208" s="7">
        <f>SUMIF(NF!$A:$A,$E208,NF!$I:$I)</f>
        <v>0</v>
      </c>
      <c r="G208" s="6"/>
      <c r="H208" s="6"/>
      <c r="I208" s="6"/>
      <c r="J208" s="6"/>
      <c r="K208" s="6"/>
      <c r="L208" s="6"/>
      <c r="M208" s="6"/>
      <c r="N208" s="7">
        <f t="shared" si="179"/>
        <v>0</v>
      </c>
      <c r="O208" s="11">
        <f t="shared" si="180"/>
        <v>800</v>
      </c>
      <c r="P208" s="25"/>
      <c r="Q208" s="10" t="str">
        <f t="shared" si="181"/>
        <v>OutubroSEMANA 2Copo Descartável 200 ml</v>
      </c>
      <c r="R208" s="7">
        <f>SUMIF(NF!$A:$A,$Q208,NF!$I:$I)</f>
        <v>0</v>
      </c>
      <c r="S208" s="6"/>
      <c r="T208" s="6"/>
      <c r="U208" s="6"/>
      <c r="V208" s="6"/>
      <c r="W208" s="6"/>
      <c r="X208" s="6"/>
      <c r="Y208" s="6"/>
      <c r="Z208" s="7">
        <f t="shared" si="182"/>
        <v>0</v>
      </c>
      <c r="AA208" s="11">
        <f t="shared" si="183"/>
        <v>800</v>
      </c>
      <c r="AB208" s="25"/>
      <c r="AC208" s="10" t="str">
        <f t="shared" si="184"/>
        <v>OutubroSEMANA 3Copo Descartável 200 ml</v>
      </c>
      <c r="AD208" s="7">
        <f>SUMIF(NF!$A:$A,$AC208,NF!$I:$I)</f>
        <v>0</v>
      </c>
      <c r="AE208" s="6"/>
      <c r="AF208" s="6"/>
      <c r="AG208" s="6"/>
      <c r="AH208" s="6"/>
      <c r="AI208" s="6"/>
      <c r="AJ208" s="6"/>
      <c r="AK208" s="6"/>
      <c r="AL208" s="7">
        <f t="shared" si="185"/>
        <v>0</v>
      </c>
      <c r="AM208" s="11">
        <f t="shared" si="186"/>
        <v>800</v>
      </c>
      <c r="AN208" s="25"/>
      <c r="AO208" s="10" t="str">
        <f t="shared" si="187"/>
        <v>OutubroSEMANA 4Copo Descartável 200 ml</v>
      </c>
      <c r="AP208" s="7">
        <f>SUMIF(NF!$A:$A,$AO208,NF!$I:$I)</f>
        <v>0</v>
      </c>
      <c r="AQ208" s="6"/>
      <c r="AR208" s="6"/>
      <c r="AS208" s="6"/>
      <c r="AT208" s="6"/>
      <c r="AU208" s="6"/>
      <c r="AV208" s="6"/>
      <c r="AW208" s="6"/>
      <c r="AX208" s="7">
        <f t="shared" si="188"/>
        <v>0</v>
      </c>
      <c r="AY208" s="11">
        <f t="shared" si="189"/>
        <v>800</v>
      </c>
      <c r="AZ208" s="25"/>
      <c r="BA208" s="10" t="str">
        <f t="shared" si="190"/>
        <v>OutubroSEMANA 5Copo Descartável 200 ml</v>
      </c>
      <c r="BB208" s="7">
        <f>SUMIF(NF!$A:$A,$BA208,NF!$I:$I)</f>
        <v>0</v>
      </c>
      <c r="BC208" s="6"/>
      <c r="BD208" s="6"/>
      <c r="BE208" s="6"/>
      <c r="BF208" s="74"/>
      <c r="BG208" s="74"/>
      <c r="BH208" s="74"/>
      <c r="BI208" s="74"/>
      <c r="BJ208" s="74"/>
      <c r="BK208" s="7">
        <f t="shared" si="191"/>
        <v>0</v>
      </c>
      <c r="BL208" s="8">
        <f t="shared" si="192"/>
        <v>800</v>
      </c>
      <c r="BM208" s="51" t="str">
        <f>IFERROR(VLOOKUP(A208,NF!$M:$O,3,0),"")</f>
        <v>Descartável</v>
      </c>
      <c r="BN208" s="7">
        <f t="shared" si="193"/>
        <v>0</v>
      </c>
      <c r="BO208" s="8">
        <f t="array" ref="BO208">IFERROR(LARGE(IF(NF!$G$2:$G$3137='Mês atual'!A208,NF!$J$2:$J$3137),1),0)*BN208</f>
        <v>0</v>
      </c>
      <c r="BP208" s="50"/>
      <c r="BR208" s="147">
        <f t="array" ref="BR208">IFERROR(LARGE(IF(NF!$G$2:$G$3137='Mês atual'!A208,NF!$J$2:$J$3137),1),0)</f>
        <v>0</v>
      </c>
      <c r="BS208" s="143" t="str">
        <f>VLOOKUP(A208,NF!M:O,3,0)</f>
        <v>Descartável</v>
      </c>
    </row>
    <row r="209" spans="1:71" x14ac:dyDescent="0.25">
      <c r="A209" s="108" t="s">
        <v>299</v>
      </c>
      <c r="B209" s="12"/>
      <c r="C209" s="9">
        <v>400</v>
      </c>
      <c r="D209" s="25"/>
      <c r="E209" s="10" t="str">
        <f t="shared" si="178"/>
        <v>OutubroSEMANA 1Copo Descartável 400ml</v>
      </c>
      <c r="F209" s="7">
        <f>SUMIF(NF!$A:$A,$E209,NF!$I:$I)</f>
        <v>0</v>
      </c>
      <c r="G209" s="6"/>
      <c r="H209" s="6"/>
      <c r="I209" s="6"/>
      <c r="J209" s="6"/>
      <c r="K209" s="6"/>
      <c r="L209" s="6"/>
      <c r="M209" s="6"/>
      <c r="N209" s="7">
        <f t="shared" si="179"/>
        <v>0</v>
      </c>
      <c r="O209" s="11">
        <f t="shared" si="180"/>
        <v>400</v>
      </c>
      <c r="P209" s="25"/>
      <c r="Q209" s="10" t="str">
        <f t="shared" si="181"/>
        <v>OutubroSEMANA 2Copo Descartável 400ml</v>
      </c>
      <c r="R209" s="7">
        <f>SUMIF(NF!$A:$A,$Q209,NF!$I:$I)</f>
        <v>0</v>
      </c>
      <c r="S209" s="6"/>
      <c r="T209" s="6"/>
      <c r="U209" s="6"/>
      <c r="V209" s="6"/>
      <c r="W209" s="6"/>
      <c r="X209" s="6"/>
      <c r="Y209" s="6"/>
      <c r="Z209" s="7">
        <f t="shared" si="182"/>
        <v>0</v>
      </c>
      <c r="AA209" s="11">
        <f t="shared" si="183"/>
        <v>400</v>
      </c>
      <c r="AB209" s="25"/>
      <c r="AC209" s="10" t="str">
        <f t="shared" si="184"/>
        <v>OutubroSEMANA 3Copo Descartável 400ml</v>
      </c>
      <c r="AD209" s="7">
        <f>SUMIF(NF!$A:$A,$AC209,NF!$I:$I)</f>
        <v>0</v>
      </c>
      <c r="AE209" s="6"/>
      <c r="AF209" s="6"/>
      <c r="AG209" s="6"/>
      <c r="AH209" s="6"/>
      <c r="AI209" s="6"/>
      <c r="AJ209" s="6"/>
      <c r="AK209" s="6"/>
      <c r="AL209" s="7">
        <f t="shared" si="185"/>
        <v>0</v>
      </c>
      <c r="AM209" s="11">
        <f t="shared" si="186"/>
        <v>400</v>
      </c>
      <c r="AN209" s="25"/>
      <c r="AO209" s="10" t="str">
        <f t="shared" si="187"/>
        <v>OutubroSEMANA 4Copo Descartável 400ml</v>
      </c>
      <c r="AP209" s="7">
        <f>SUMIF(NF!$A:$A,$AO209,NF!$I:$I)</f>
        <v>0</v>
      </c>
      <c r="AQ209" s="6"/>
      <c r="AR209" s="6"/>
      <c r="AS209" s="6"/>
      <c r="AT209" s="6"/>
      <c r="AU209" s="6"/>
      <c r="AV209" s="6"/>
      <c r="AW209" s="6"/>
      <c r="AX209" s="7">
        <f t="shared" si="188"/>
        <v>0</v>
      </c>
      <c r="AY209" s="11">
        <f t="shared" si="189"/>
        <v>400</v>
      </c>
      <c r="AZ209" s="25"/>
      <c r="BA209" s="10" t="str">
        <f t="shared" si="190"/>
        <v>OutubroSEMANA 5Copo Descartável 400ml</v>
      </c>
      <c r="BB209" s="7">
        <f>SUMIF(NF!$A:$A,$BA209,NF!$I:$I)</f>
        <v>0</v>
      </c>
      <c r="BC209" s="6"/>
      <c r="BD209" s="6"/>
      <c r="BE209" s="6"/>
      <c r="BF209" s="74"/>
      <c r="BG209" s="74"/>
      <c r="BH209" s="74"/>
      <c r="BI209" s="74"/>
      <c r="BJ209" s="74"/>
      <c r="BK209" s="7">
        <f t="shared" si="191"/>
        <v>0</v>
      </c>
      <c r="BL209" s="8">
        <f t="shared" si="192"/>
        <v>400</v>
      </c>
      <c r="BM209" s="51" t="str">
        <f>IFERROR(VLOOKUP(A209,NF!$M:$O,3,0),"")</f>
        <v>Descartável</v>
      </c>
      <c r="BN209" s="7">
        <f t="shared" si="193"/>
        <v>0</v>
      </c>
      <c r="BO209" s="8">
        <f t="array" ref="BO209">IFERROR(LARGE(IF(NF!$G$2:$G$3137='Mês atual'!A209,NF!$J$2:$J$3137),1),0)*BN209</f>
        <v>0</v>
      </c>
      <c r="BP209" s="50"/>
      <c r="BR209" s="147">
        <f t="array" ref="BR209">IFERROR(LARGE(IF(NF!$G$2:$G$3137='Mês atual'!A209,NF!$J$2:$J$3137),1),0)</f>
        <v>0</v>
      </c>
      <c r="BS209" s="143" t="str">
        <f>VLOOKUP(A209,NF!M:O,3,0)</f>
        <v>Descartável</v>
      </c>
    </row>
    <row r="210" spans="1:71" x14ac:dyDescent="0.25">
      <c r="A210" s="108" t="s">
        <v>300</v>
      </c>
      <c r="B210" s="12"/>
      <c r="C210" s="9">
        <v>100</v>
      </c>
      <c r="D210" s="25"/>
      <c r="E210" s="10" t="str">
        <f t="shared" si="178"/>
        <v>OutubroSEMANA 1Copo Descartável Feijão</v>
      </c>
      <c r="F210" s="7">
        <f>SUMIF(NF!$A:$A,$E210,NF!$I:$I)</f>
        <v>0</v>
      </c>
      <c r="G210" s="6"/>
      <c r="H210" s="6"/>
      <c r="I210" s="6"/>
      <c r="J210" s="6"/>
      <c r="K210" s="6"/>
      <c r="L210" s="6"/>
      <c r="M210" s="6"/>
      <c r="N210" s="7">
        <f t="shared" si="179"/>
        <v>0</v>
      </c>
      <c r="O210" s="11">
        <f t="shared" si="180"/>
        <v>100</v>
      </c>
      <c r="P210" s="25"/>
      <c r="Q210" s="10" t="str">
        <f t="shared" si="181"/>
        <v>OutubroSEMANA 2Copo Descartável Feijão</v>
      </c>
      <c r="R210" s="7">
        <f>SUMIF(NF!$A:$A,$Q210,NF!$I:$I)</f>
        <v>0</v>
      </c>
      <c r="S210" s="6"/>
      <c r="T210" s="6"/>
      <c r="U210" s="6"/>
      <c r="V210" s="6"/>
      <c r="W210" s="6"/>
      <c r="X210" s="6"/>
      <c r="Y210" s="6"/>
      <c r="Z210" s="7">
        <f t="shared" si="182"/>
        <v>0</v>
      </c>
      <c r="AA210" s="11">
        <f t="shared" si="183"/>
        <v>100</v>
      </c>
      <c r="AB210" s="25"/>
      <c r="AC210" s="10" t="str">
        <f t="shared" si="184"/>
        <v>OutubroSEMANA 3Copo Descartável Feijão</v>
      </c>
      <c r="AD210" s="7">
        <f>SUMIF(NF!$A:$A,$AC210,NF!$I:$I)</f>
        <v>0</v>
      </c>
      <c r="AE210" s="6"/>
      <c r="AF210" s="6"/>
      <c r="AG210" s="6"/>
      <c r="AH210" s="6"/>
      <c r="AI210" s="6"/>
      <c r="AJ210" s="6"/>
      <c r="AK210" s="6"/>
      <c r="AL210" s="7">
        <f t="shared" si="185"/>
        <v>0</v>
      </c>
      <c r="AM210" s="11">
        <f t="shared" si="186"/>
        <v>100</v>
      </c>
      <c r="AN210" s="25"/>
      <c r="AO210" s="10" t="str">
        <f t="shared" si="187"/>
        <v>OutubroSEMANA 4Copo Descartável Feijão</v>
      </c>
      <c r="AP210" s="7">
        <f>SUMIF(NF!$A:$A,$AO210,NF!$I:$I)</f>
        <v>0</v>
      </c>
      <c r="AQ210" s="6"/>
      <c r="AR210" s="6"/>
      <c r="AS210" s="6"/>
      <c r="AT210" s="6"/>
      <c r="AU210" s="6"/>
      <c r="AV210" s="6"/>
      <c r="AW210" s="6"/>
      <c r="AX210" s="7">
        <f t="shared" si="188"/>
        <v>0</v>
      </c>
      <c r="AY210" s="11">
        <f t="shared" si="189"/>
        <v>100</v>
      </c>
      <c r="AZ210" s="25"/>
      <c r="BA210" s="10" t="str">
        <f t="shared" si="190"/>
        <v>OutubroSEMANA 5Copo Descartável Feijão</v>
      </c>
      <c r="BB210" s="7">
        <f>SUMIF(NF!$A:$A,$BA210,NF!$I:$I)</f>
        <v>0</v>
      </c>
      <c r="BC210" s="6"/>
      <c r="BD210" s="6"/>
      <c r="BE210" s="6"/>
      <c r="BF210" s="74"/>
      <c r="BG210" s="74"/>
      <c r="BH210" s="74"/>
      <c r="BI210" s="74"/>
      <c r="BJ210" s="74"/>
      <c r="BK210" s="7">
        <f t="shared" si="191"/>
        <v>0</v>
      </c>
      <c r="BL210" s="8">
        <f t="shared" si="192"/>
        <v>100</v>
      </c>
      <c r="BM210" s="51" t="str">
        <f>IFERROR(VLOOKUP(A210,NF!$M:$O,3,0),"")</f>
        <v>Descartável</v>
      </c>
      <c r="BN210" s="7">
        <f t="shared" si="193"/>
        <v>0</v>
      </c>
      <c r="BO210" s="8">
        <f t="array" ref="BO210">IFERROR(LARGE(IF(NF!$G$2:$G$3137='Mês atual'!A210,NF!$J$2:$J$3137),1),0)*BN210</f>
        <v>0</v>
      </c>
      <c r="BP210" s="50"/>
      <c r="BR210" s="147">
        <f t="array" ref="BR210">IFERROR(LARGE(IF(NF!$G$2:$G$3137='Mês atual'!A210,NF!$J$2:$J$3137),1),0)</f>
        <v>0</v>
      </c>
      <c r="BS210" s="143" t="str">
        <f>VLOOKUP(A210,NF!M:O,3,0)</f>
        <v>Descartável</v>
      </c>
    </row>
    <row r="211" spans="1:71" x14ac:dyDescent="0.25">
      <c r="A211" s="108" t="s">
        <v>301</v>
      </c>
      <c r="B211" s="12"/>
      <c r="C211" s="9">
        <v>3900</v>
      </c>
      <c r="D211" s="25"/>
      <c r="E211" s="10" t="str">
        <f t="shared" si="178"/>
        <v>OutubroSEMANA 1Copo para Café 50 ml</v>
      </c>
      <c r="F211" s="7">
        <f>SUMIF(NF!$A:$A,$E211,NF!$I:$I)</f>
        <v>0</v>
      </c>
      <c r="G211" s="6"/>
      <c r="H211" s="6"/>
      <c r="I211" s="6"/>
      <c r="J211" s="6"/>
      <c r="K211" s="6"/>
      <c r="L211" s="6"/>
      <c r="M211" s="6"/>
      <c r="N211" s="7">
        <f t="shared" si="179"/>
        <v>0</v>
      </c>
      <c r="O211" s="11">
        <f t="shared" si="180"/>
        <v>3900</v>
      </c>
      <c r="P211" s="25"/>
      <c r="Q211" s="10" t="str">
        <f t="shared" si="181"/>
        <v>OutubroSEMANA 2Copo para Café 50 ml</v>
      </c>
      <c r="R211" s="7">
        <f>SUMIF(NF!$A:$A,$Q211,NF!$I:$I)</f>
        <v>0</v>
      </c>
      <c r="S211" s="6"/>
      <c r="T211" s="6"/>
      <c r="U211" s="6"/>
      <c r="V211" s="6"/>
      <c r="W211" s="6"/>
      <c r="X211" s="6"/>
      <c r="Y211" s="6"/>
      <c r="Z211" s="7">
        <f t="shared" si="182"/>
        <v>0</v>
      </c>
      <c r="AA211" s="11">
        <f t="shared" si="183"/>
        <v>3900</v>
      </c>
      <c r="AB211" s="25"/>
      <c r="AC211" s="10" t="str">
        <f t="shared" si="184"/>
        <v>OutubroSEMANA 3Copo para Café 50 ml</v>
      </c>
      <c r="AD211" s="7">
        <f>SUMIF(NF!$A:$A,$AC211,NF!$I:$I)</f>
        <v>0</v>
      </c>
      <c r="AE211" s="6"/>
      <c r="AF211" s="6"/>
      <c r="AG211" s="6"/>
      <c r="AH211" s="6"/>
      <c r="AI211" s="6"/>
      <c r="AJ211" s="6"/>
      <c r="AK211" s="6"/>
      <c r="AL211" s="7">
        <f t="shared" si="185"/>
        <v>0</v>
      </c>
      <c r="AM211" s="11">
        <f t="shared" si="186"/>
        <v>3900</v>
      </c>
      <c r="AN211" s="25"/>
      <c r="AO211" s="10" t="str">
        <f t="shared" si="187"/>
        <v>OutubroSEMANA 4Copo para Café 50 ml</v>
      </c>
      <c r="AP211" s="7">
        <f>SUMIF(NF!$A:$A,$AO211,NF!$I:$I)</f>
        <v>0</v>
      </c>
      <c r="AQ211" s="6"/>
      <c r="AR211" s="6"/>
      <c r="AS211" s="6"/>
      <c r="AT211" s="6"/>
      <c r="AU211" s="6"/>
      <c r="AV211" s="6"/>
      <c r="AW211" s="6"/>
      <c r="AX211" s="7">
        <f t="shared" si="188"/>
        <v>0</v>
      </c>
      <c r="AY211" s="11">
        <f t="shared" si="189"/>
        <v>3900</v>
      </c>
      <c r="AZ211" s="25"/>
      <c r="BA211" s="10" t="str">
        <f t="shared" si="190"/>
        <v>OutubroSEMANA 5Copo para Café 50 ml</v>
      </c>
      <c r="BB211" s="7">
        <f>SUMIF(NF!$A:$A,$BA211,NF!$I:$I)</f>
        <v>0</v>
      </c>
      <c r="BC211" s="6"/>
      <c r="BD211" s="6"/>
      <c r="BE211" s="6"/>
      <c r="BF211" s="74"/>
      <c r="BG211" s="74"/>
      <c r="BH211" s="74"/>
      <c r="BI211" s="74"/>
      <c r="BJ211" s="74"/>
      <c r="BK211" s="7">
        <f t="shared" si="191"/>
        <v>0</v>
      </c>
      <c r="BL211" s="8">
        <f t="shared" si="192"/>
        <v>3900</v>
      </c>
      <c r="BM211" s="51" t="str">
        <f>IFERROR(VLOOKUP(A211,NF!$M:$O,3,0),"")</f>
        <v>Descartável</v>
      </c>
      <c r="BN211" s="7">
        <f t="shared" si="193"/>
        <v>0</v>
      </c>
      <c r="BO211" s="8">
        <f t="array" ref="BO211">IFERROR(LARGE(IF(NF!$G$2:$G$3137='Mês atual'!A211,NF!$J$2:$J$3137),1),0)*BN211</f>
        <v>0</v>
      </c>
      <c r="BP211" s="50"/>
      <c r="BR211" s="147">
        <f t="array" ref="BR211">IFERROR(LARGE(IF(NF!$G$2:$G$3137='Mês atual'!A211,NF!$J$2:$J$3137),1),0)</f>
        <v>0</v>
      </c>
      <c r="BS211" s="143" t="str">
        <f>VLOOKUP(A211,NF!M:O,3,0)</f>
        <v>Descartável</v>
      </c>
    </row>
    <row r="212" spans="1:71" x14ac:dyDescent="0.25">
      <c r="A212" s="108" t="s">
        <v>321</v>
      </c>
      <c r="B212" s="12"/>
      <c r="C212" s="9"/>
      <c r="D212" s="25"/>
      <c r="E212" s="10" t="str">
        <f t="shared" si="178"/>
        <v>OutubroSEMANA 1Dosador Pump 30 MLBB 3 L</v>
      </c>
      <c r="F212" s="7">
        <f>SUMIF(NF!$A:$A,$E212,NF!$I:$I)</f>
        <v>0</v>
      </c>
      <c r="G212" s="6"/>
      <c r="H212" s="6"/>
      <c r="I212" s="6"/>
      <c r="J212" s="6"/>
      <c r="K212" s="6"/>
      <c r="L212" s="6"/>
      <c r="M212" s="6"/>
      <c r="N212" s="7">
        <f t="shared" si="179"/>
        <v>0</v>
      </c>
      <c r="O212" s="11">
        <f t="shared" si="180"/>
        <v>0</v>
      </c>
      <c r="P212" s="25"/>
      <c r="Q212" s="10" t="str">
        <f t="shared" si="181"/>
        <v>OutubroSEMANA 2Dosador Pump 30 MLBB 3 L</v>
      </c>
      <c r="R212" s="7">
        <f>SUMIF(NF!$A:$A,$Q212,NF!$I:$I)</f>
        <v>0</v>
      </c>
      <c r="S212" s="6"/>
      <c r="T212" s="6"/>
      <c r="U212" s="6"/>
      <c r="V212" s="6"/>
      <c r="W212" s="6"/>
      <c r="X212" s="6"/>
      <c r="Y212" s="6"/>
      <c r="Z212" s="7">
        <f t="shared" si="182"/>
        <v>0</v>
      </c>
      <c r="AA212" s="11">
        <f t="shared" si="183"/>
        <v>0</v>
      </c>
      <c r="AB212" s="25"/>
      <c r="AC212" s="10" t="str">
        <f t="shared" si="184"/>
        <v>OutubroSEMANA 3Dosador Pump 30 MLBB 3 L</v>
      </c>
      <c r="AD212" s="7">
        <f>SUMIF(NF!$A:$A,$AC212,NF!$I:$I)</f>
        <v>0</v>
      </c>
      <c r="AE212" s="6"/>
      <c r="AF212" s="6"/>
      <c r="AG212" s="6"/>
      <c r="AH212" s="6"/>
      <c r="AI212" s="6"/>
      <c r="AJ212" s="6"/>
      <c r="AK212" s="6"/>
      <c r="AL212" s="7">
        <f t="shared" si="185"/>
        <v>0</v>
      </c>
      <c r="AM212" s="11">
        <f t="shared" si="186"/>
        <v>0</v>
      </c>
      <c r="AN212" s="25"/>
      <c r="AO212" s="10" t="str">
        <f t="shared" si="187"/>
        <v>OutubroSEMANA 4Dosador Pump 30 MLBB 3 L</v>
      </c>
      <c r="AP212" s="7">
        <f>SUMIF(NF!$A:$A,$AO212,NF!$I:$I)</f>
        <v>0</v>
      </c>
      <c r="AQ212" s="6"/>
      <c r="AR212" s="6"/>
      <c r="AS212" s="6"/>
      <c r="AT212" s="6"/>
      <c r="AU212" s="6"/>
      <c r="AV212" s="6"/>
      <c r="AW212" s="6"/>
      <c r="AX212" s="7">
        <f t="shared" si="188"/>
        <v>0</v>
      </c>
      <c r="AY212" s="11">
        <f t="shared" si="189"/>
        <v>0</v>
      </c>
      <c r="AZ212" s="25"/>
      <c r="BA212" s="10" t="str">
        <f t="shared" si="190"/>
        <v>OutubroSEMANA 5Dosador Pump 30 MLBB 3 L</v>
      </c>
      <c r="BB212" s="7">
        <f>SUMIF(NF!$A:$A,$BA212,NF!$I:$I)</f>
        <v>0</v>
      </c>
      <c r="BC212" s="6"/>
      <c r="BD212" s="6"/>
      <c r="BE212" s="6"/>
      <c r="BF212" s="74"/>
      <c r="BG212" s="74"/>
      <c r="BH212" s="74"/>
      <c r="BI212" s="74"/>
      <c r="BJ212" s="74"/>
      <c r="BK212" s="7">
        <f t="shared" si="191"/>
        <v>0</v>
      </c>
      <c r="BL212" s="8">
        <f t="shared" si="192"/>
        <v>0</v>
      </c>
      <c r="BM212" s="51" t="str">
        <f>IFERROR(VLOOKUP(A212,NF!$M:$O,3,0),"")</f>
        <v>Descartável</v>
      </c>
      <c r="BN212" s="7">
        <f t="shared" si="193"/>
        <v>0</v>
      </c>
      <c r="BO212" s="8">
        <f t="array" ref="BO212">IFERROR(LARGE(IF(NF!$G$2:$G$3137='Mês atual'!A212,NF!$J$2:$J$3137),1),0)*BN212</f>
        <v>0</v>
      </c>
      <c r="BP212" s="50"/>
      <c r="BR212" s="147">
        <f t="array" ref="BR212">IFERROR(LARGE(IF(NF!$G$2:$G$3137='Mês atual'!A212,NF!$J$2:$J$3137),1),0)</f>
        <v>0</v>
      </c>
      <c r="BS212" s="143" t="str">
        <f>VLOOKUP(A212,NF!M:O,3,0)</f>
        <v>Descartável</v>
      </c>
    </row>
    <row r="213" spans="1:71" x14ac:dyDescent="0.25">
      <c r="A213" s="108" t="s">
        <v>323</v>
      </c>
      <c r="B213" s="12"/>
      <c r="C213" s="9">
        <v>100</v>
      </c>
      <c r="D213" s="25"/>
      <c r="E213" s="10" t="str">
        <f t="shared" si="178"/>
        <v>OutubroSEMANA 1Embalagem Fatia de Torta Cx 200</v>
      </c>
      <c r="F213" s="7">
        <f>SUMIF(NF!$A:$A,$E213,NF!$I:$I)</f>
        <v>0</v>
      </c>
      <c r="G213" s="6"/>
      <c r="H213" s="6"/>
      <c r="I213" s="6"/>
      <c r="J213" s="6"/>
      <c r="K213" s="6"/>
      <c r="L213" s="6"/>
      <c r="M213" s="6"/>
      <c r="N213" s="7">
        <f t="shared" si="179"/>
        <v>0</v>
      </c>
      <c r="O213" s="11">
        <f t="shared" si="180"/>
        <v>100</v>
      </c>
      <c r="P213" s="25"/>
      <c r="Q213" s="10" t="str">
        <f t="shared" si="181"/>
        <v>OutubroSEMANA 2Embalagem Fatia de Torta Cx 200</v>
      </c>
      <c r="R213" s="7">
        <f>SUMIF(NF!$A:$A,$Q213,NF!$I:$I)</f>
        <v>0</v>
      </c>
      <c r="S213" s="6"/>
      <c r="T213" s="6"/>
      <c r="U213" s="6">
        <v>25</v>
      </c>
      <c r="V213" s="6"/>
      <c r="W213" s="6"/>
      <c r="X213" s="6"/>
      <c r="Y213" s="6"/>
      <c r="Z213" s="7">
        <f t="shared" si="182"/>
        <v>25</v>
      </c>
      <c r="AA213" s="11">
        <f t="shared" si="183"/>
        <v>75</v>
      </c>
      <c r="AB213" s="25"/>
      <c r="AC213" s="10" t="str">
        <f t="shared" si="184"/>
        <v>OutubroSEMANA 3Embalagem Fatia de Torta Cx 200</v>
      </c>
      <c r="AD213" s="7">
        <f>SUMIF(NF!$A:$A,$AC213,NF!$I:$I)</f>
        <v>0</v>
      </c>
      <c r="AE213" s="6"/>
      <c r="AF213" s="6">
        <v>25</v>
      </c>
      <c r="AG213" s="6"/>
      <c r="AH213" s="6"/>
      <c r="AI213" s="6"/>
      <c r="AJ213" s="6"/>
      <c r="AK213" s="6"/>
      <c r="AL213" s="7">
        <f t="shared" si="185"/>
        <v>25</v>
      </c>
      <c r="AM213" s="11">
        <f t="shared" si="186"/>
        <v>50</v>
      </c>
      <c r="AN213" s="25"/>
      <c r="AO213" s="10" t="str">
        <f t="shared" si="187"/>
        <v>OutubroSEMANA 4Embalagem Fatia de Torta Cx 200</v>
      </c>
      <c r="AP213" s="7">
        <f>SUMIF(NF!$A:$A,$AO213,NF!$I:$I)</f>
        <v>0</v>
      </c>
      <c r="AQ213" s="6"/>
      <c r="AR213" s="6"/>
      <c r="AS213" s="6"/>
      <c r="AT213" s="6"/>
      <c r="AU213" s="6"/>
      <c r="AV213" s="6"/>
      <c r="AW213" s="6"/>
      <c r="AX213" s="7">
        <f t="shared" si="188"/>
        <v>0</v>
      </c>
      <c r="AY213" s="11">
        <f t="shared" si="189"/>
        <v>50</v>
      </c>
      <c r="AZ213" s="25"/>
      <c r="BA213" s="10" t="str">
        <f t="shared" si="190"/>
        <v>OutubroSEMANA 5Embalagem Fatia de Torta Cx 200</v>
      </c>
      <c r="BB213" s="7">
        <f>SUMIF(NF!$A:$A,$BA213,NF!$I:$I)</f>
        <v>0</v>
      </c>
      <c r="BC213" s="6"/>
      <c r="BD213" s="6">
        <v>25</v>
      </c>
      <c r="BE213" s="6"/>
      <c r="BF213" s="74"/>
      <c r="BG213" s="74"/>
      <c r="BH213" s="74"/>
      <c r="BI213" s="74"/>
      <c r="BJ213" s="74"/>
      <c r="BK213" s="7">
        <f t="shared" si="191"/>
        <v>25</v>
      </c>
      <c r="BL213" s="8">
        <f t="shared" si="192"/>
        <v>25</v>
      </c>
      <c r="BM213" s="51" t="str">
        <f>IFERROR(VLOOKUP(A213,NF!$M:$O,3,0),"")</f>
        <v>Descartável</v>
      </c>
      <c r="BN213" s="7">
        <f t="shared" si="193"/>
        <v>75</v>
      </c>
      <c r="BO213" s="8">
        <f t="array" ref="BO213">IFERROR(LARGE(IF(NF!$G$2:$G$3137='Mês atual'!A213,NF!$J$2:$J$3137),1),0)*BN213</f>
        <v>0</v>
      </c>
      <c r="BP213" s="50"/>
      <c r="BR213" s="147">
        <f t="array" ref="BR213">IFERROR(LARGE(IF(NF!$G$2:$G$3137='Mês atual'!A213,NF!$J$2:$J$3137),1),0)</f>
        <v>0</v>
      </c>
      <c r="BS213" s="143" t="str">
        <f>VLOOKUP(A213,NF!M:O,3,0)</f>
        <v>Descartável</v>
      </c>
    </row>
    <row r="214" spans="1:71" x14ac:dyDescent="0.25">
      <c r="A214" s="108" t="s">
        <v>324</v>
      </c>
      <c r="B214" s="12"/>
      <c r="C214" s="9"/>
      <c r="D214" s="25"/>
      <c r="E214" s="10" t="str">
        <f t="shared" si="178"/>
        <v>OutubroSEMANA 1Embalagem Grande Segantini</v>
      </c>
      <c r="F214" s="7">
        <f>SUMIF(NF!$A:$A,$E214,NF!$I:$I)</f>
        <v>0</v>
      </c>
      <c r="G214" s="6"/>
      <c r="H214" s="6"/>
      <c r="I214" s="6"/>
      <c r="J214" s="6"/>
      <c r="K214" s="6"/>
      <c r="L214" s="6"/>
      <c r="M214" s="6"/>
      <c r="N214" s="7">
        <f t="shared" si="179"/>
        <v>0</v>
      </c>
      <c r="O214" s="11">
        <f t="shared" si="180"/>
        <v>0</v>
      </c>
      <c r="P214" s="25"/>
      <c r="Q214" s="10" t="str">
        <f t="shared" si="181"/>
        <v>OutubroSEMANA 2Embalagem Grande Segantini</v>
      </c>
      <c r="R214" s="7">
        <f>SUMIF(NF!$A:$A,$Q214,NF!$I:$I)</f>
        <v>0</v>
      </c>
      <c r="S214" s="6"/>
      <c r="T214" s="6"/>
      <c r="U214" s="6"/>
      <c r="V214" s="6"/>
      <c r="W214" s="6"/>
      <c r="X214" s="6"/>
      <c r="Y214" s="6"/>
      <c r="Z214" s="7">
        <f t="shared" si="182"/>
        <v>0</v>
      </c>
      <c r="AA214" s="11">
        <f t="shared" si="183"/>
        <v>0</v>
      </c>
      <c r="AB214" s="25"/>
      <c r="AC214" s="10" t="str">
        <f t="shared" si="184"/>
        <v>OutubroSEMANA 3Embalagem Grande Segantini</v>
      </c>
      <c r="AD214" s="7">
        <f>SUMIF(NF!$A:$A,$AC214,NF!$I:$I)</f>
        <v>0</v>
      </c>
      <c r="AE214" s="6"/>
      <c r="AF214" s="6"/>
      <c r="AG214" s="6"/>
      <c r="AH214" s="6"/>
      <c r="AI214" s="6"/>
      <c r="AJ214" s="6"/>
      <c r="AK214" s="6"/>
      <c r="AL214" s="7">
        <f t="shared" si="185"/>
        <v>0</v>
      </c>
      <c r="AM214" s="11">
        <f t="shared" si="186"/>
        <v>0</v>
      </c>
      <c r="AN214" s="25"/>
      <c r="AO214" s="10" t="str">
        <f t="shared" si="187"/>
        <v>OutubroSEMANA 4Embalagem Grande Segantini</v>
      </c>
      <c r="AP214" s="7">
        <f>SUMIF(NF!$A:$A,$AO214,NF!$I:$I)</f>
        <v>0</v>
      </c>
      <c r="AQ214" s="6"/>
      <c r="AR214" s="6"/>
      <c r="AS214" s="6"/>
      <c r="AT214" s="6"/>
      <c r="AU214" s="6"/>
      <c r="AV214" s="6"/>
      <c r="AW214" s="6"/>
      <c r="AX214" s="7">
        <f t="shared" si="188"/>
        <v>0</v>
      </c>
      <c r="AY214" s="11">
        <f t="shared" si="189"/>
        <v>0</v>
      </c>
      <c r="AZ214" s="25"/>
      <c r="BA214" s="10" t="str">
        <f t="shared" si="190"/>
        <v>OutubroSEMANA 5Embalagem Grande Segantini</v>
      </c>
      <c r="BB214" s="7">
        <f>SUMIF(NF!$A:$A,$BA214,NF!$I:$I)</f>
        <v>0</v>
      </c>
      <c r="BC214" s="6"/>
      <c r="BD214" s="6"/>
      <c r="BE214" s="6"/>
      <c r="BF214" s="74"/>
      <c r="BG214" s="74"/>
      <c r="BH214" s="74"/>
      <c r="BI214" s="74"/>
      <c r="BJ214" s="74"/>
      <c r="BK214" s="7">
        <f t="shared" si="191"/>
        <v>0</v>
      </c>
      <c r="BL214" s="8">
        <f t="shared" si="192"/>
        <v>0</v>
      </c>
      <c r="BM214" s="51" t="str">
        <f>IFERROR(VLOOKUP(A214,NF!$M:$O,3,0),"")</f>
        <v>Descartável</v>
      </c>
      <c r="BN214" s="7">
        <f t="shared" si="193"/>
        <v>0</v>
      </c>
      <c r="BO214" s="8">
        <f t="array" ref="BO214">IFERROR(LARGE(IF(NF!$G$2:$G$3137='Mês atual'!A214,NF!$J$2:$J$3137),1),0)*BN214</f>
        <v>0</v>
      </c>
      <c r="BP214" s="50"/>
      <c r="BR214" s="147">
        <f t="array" ref="BR214">IFERROR(LARGE(IF(NF!$G$2:$G$3137='Mês atual'!A214,NF!$J$2:$J$3137),1),0)</f>
        <v>0</v>
      </c>
      <c r="BS214" s="143" t="str">
        <f>VLOOKUP(A214,NF!M:O,3,0)</f>
        <v>Descartável</v>
      </c>
    </row>
    <row r="215" spans="1:71" x14ac:dyDescent="0.25">
      <c r="A215" s="108" t="s">
        <v>325</v>
      </c>
      <c r="B215" s="12"/>
      <c r="C215" s="9"/>
      <c r="D215" s="25"/>
      <c r="E215" s="10" t="str">
        <f t="shared" si="178"/>
        <v>OutubroSEMANA 1Embalagem p/ Sushi</v>
      </c>
      <c r="F215" s="7">
        <f>SUMIF(NF!$A:$A,$E215,NF!$I:$I)</f>
        <v>0</v>
      </c>
      <c r="G215" s="6"/>
      <c r="H215" s="6"/>
      <c r="I215" s="6"/>
      <c r="J215" s="6"/>
      <c r="K215" s="6"/>
      <c r="L215" s="6"/>
      <c r="M215" s="6"/>
      <c r="N215" s="7">
        <f t="shared" si="179"/>
        <v>0</v>
      </c>
      <c r="O215" s="11">
        <f t="shared" si="180"/>
        <v>0</v>
      </c>
      <c r="P215" s="25"/>
      <c r="Q215" s="10" t="str">
        <f t="shared" si="181"/>
        <v>OutubroSEMANA 2Embalagem p/ Sushi</v>
      </c>
      <c r="R215" s="7">
        <f>SUMIF(NF!$A:$A,$Q215,NF!$I:$I)</f>
        <v>0</v>
      </c>
      <c r="S215" s="6"/>
      <c r="T215" s="6"/>
      <c r="U215" s="6"/>
      <c r="V215" s="6"/>
      <c r="W215" s="6"/>
      <c r="X215" s="6"/>
      <c r="Y215" s="6"/>
      <c r="Z215" s="7">
        <f t="shared" si="182"/>
        <v>0</v>
      </c>
      <c r="AA215" s="11">
        <f t="shared" si="183"/>
        <v>0</v>
      </c>
      <c r="AB215" s="25"/>
      <c r="AC215" s="10" t="str">
        <f t="shared" si="184"/>
        <v>OutubroSEMANA 3Embalagem p/ Sushi</v>
      </c>
      <c r="AD215" s="7">
        <f>SUMIF(NF!$A:$A,$AC215,NF!$I:$I)</f>
        <v>0</v>
      </c>
      <c r="AE215" s="6"/>
      <c r="AF215" s="6"/>
      <c r="AG215" s="6"/>
      <c r="AH215" s="6"/>
      <c r="AI215" s="6"/>
      <c r="AJ215" s="6"/>
      <c r="AK215" s="6"/>
      <c r="AL215" s="7">
        <f t="shared" si="185"/>
        <v>0</v>
      </c>
      <c r="AM215" s="11">
        <f t="shared" si="186"/>
        <v>0</v>
      </c>
      <c r="AN215" s="25"/>
      <c r="AO215" s="10" t="str">
        <f t="shared" si="187"/>
        <v>OutubroSEMANA 4Embalagem p/ Sushi</v>
      </c>
      <c r="AP215" s="7">
        <f>SUMIF(NF!$A:$A,$AO215,NF!$I:$I)</f>
        <v>0</v>
      </c>
      <c r="AQ215" s="6"/>
      <c r="AR215" s="6"/>
      <c r="AS215" s="6"/>
      <c r="AT215" s="6"/>
      <c r="AU215" s="6"/>
      <c r="AV215" s="6"/>
      <c r="AW215" s="6"/>
      <c r="AX215" s="7">
        <f t="shared" si="188"/>
        <v>0</v>
      </c>
      <c r="AY215" s="11">
        <f t="shared" si="189"/>
        <v>0</v>
      </c>
      <c r="AZ215" s="25"/>
      <c r="BA215" s="10" t="str">
        <f t="shared" si="190"/>
        <v>OutubroSEMANA 5Embalagem p/ Sushi</v>
      </c>
      <c r="BB215" s="7">
        <f>SUMIF(NF!$A:$A,$BA215,NF!$I:$I)</f>
        <v>0</v>
      </c>
      <c r="BC215" s="6"/>
      <c r="BD215" s="6"/>
      <c r="BE215" s="6"/>
      <c r="BF215" s="74"/>
      <c r="BG215" s="74"/>
      <c r="BH215" s="74"/>
      <c r="BI215" s="74"/>
      <c r="BJ215" s="74"/>
      <c r="BK215" s="7">
        <f t="shared" si="191"/>
        <v>0</v>
      </c>
      <c r="BL215" s="8">
        <f t="shared" si="192"/>
        <v>0</v>
      </c>
      <c r="BM215" s="51" t="str">
        <f>IFERROR(VLOOKUP(A215,NF!$M:$O,3,0),"")</f>
        <v>Descartável</v>
      </c>
      <c r="BN215" s="7">
        <f t="shared" si="193"/>
        <v>0</v>
      </c>
      <c r="BO215" s="8">
        <f t="array" ref="BO215">IFERROR(LARGE(IF(NF!$G$2:$G$3137='Mês atual'!A215,NF!$J$2:$J$3137),1),0)*BN215</f>
        <v>0</v>
      </c>
      <c r="BP215" s="50"/>
      <c r="BR215" s="147">
        <f t="array" ref="BR215">IFERROR(LARGE(IF(NF!$G$2:$G$3137='Mês atual'!A215,NF!$J$2:$J$3137),1),0)</f>
        <v>0</v>
      </c>
      <c r="BS215" s="143" t="str">
        <f>VLOOKUP(A215,NF!M:O,3,0)</f>
        <v>Descartável</v>
      </c>
    </row>
    <row r="216" spans="1:71" x14ac:dyDescent="0.25">
      <c r="A216" s="108" t="s">
        <v>1032</v>
      </c>
      <c r="B216" s="12"/>
      <c r="C216" s="9">
        <v>212</v>
      </c>
      <c r="D216" s="25"/>
      <c r="E216" s="10" t="str">
        <f t="shared" si="178"/>
        <v>OutubroSEMANA 1Embalagem Plastica (cuscus) cx 300</v>
      </c>
      <c r="F216" s="7">
        <f>SUMIF(NF!$A:$A,$E216,NF!$I:$I)</f>
        <v>0</v>
      </c>
      <c r="G216" s="6"/>
      <c r="H216" s="6"/>
      <c r="I216" s="6"/>
      <c r="J216" s="6"/>
      <c r="K216" s="6"/>
      <c r="L216" s="6"/>
      <c r="M216" s="6"/>
      <c r="N216" s="7">
        <f t="shared" si="179"/>
        <v>0</v>
      </c>
      <c r="O216" s="11">
        <f t="shared" si="180"/>
        <v>212</v>
      </c>
      <c r="P216" s="25"/>
      <c r="Q216" s="10" t="str">
        <f t="shared" si="181"/>
        <v>OutubroSEMANA 2Embalagem Plastica (cuscus) cx 300</v>
      </c>
      <c r="R216" s="7">
        <f>SUMIF(NF!$A:$A,$Q216,NF!$I:$I)</f>
        <v>0</v>
      </c>
      <c r="S216" s="6"/>
      <c r="T216" s="6"/>
      <c r="U216" s="6"/>
      <c r="V216" s="6"/>
      <c r="W216" s="6"/>
      <c r="X216" s="6"/>
      <c r="Y216" s="6"/>
      <c r="Z216" s="7">
        <f t="shared" si="182"/>
        <v>0</v>
      </c>
      <c r="AA216" s="11">
        <f t="shared" si="183"/>
        <v>212</v>
      </c>
      <c r="AB216" s="25"/>
      <c r="AC216" s="10" t="str">
        <f t="shared" si="184"/>
        <v>OutubroSEMANA 3Embalagem Plastica (cuscus) cx 300</v>
      </c>
      <c r="AD216" s="7">
        <f>SUMIF(NF!$A:$A,$AC216,NF!$I:$I)</f>
        <v>0</v>
      </c>
      <c r="AE216" s="6"/>
      <c r="AF216" s="6">
        <v>38</v>
      </c>
      <c r="AG216" s="6"/>
      <c r="AH216" s="6"/>
      <c r="AI216" s="6"/>
      <c r="AJ216" s="6"/>
      <c r="AK216" s="6"/>
      <c r="AL216" s="7">
        <f t="shared" si="185"/>
        <v>38</v>
      </c>
      <c r="AM216" s="11">
        <f t="shared" si="186"/>
        <v>174</v>
      </c>
      <c r="AN216" s="25"/>
      <c r="AO216" s="10" t="str">
        <f t="shared" si="187"/>
        <v>OutubroSEMANA 4Embalagem Plastica (cuscus) cx 300</v>
      </c>
      <c r="AP216" s="7">
        <f>SUMIF(NF!$A:$A,$AO216,NF!$I:$I)</f>
        <v>0</v>
      </c>
      <c r="AQ216" s="6"/>
      <c r="AR216" s="6"/>
      <c r="AS216" s="6"/>
      <c r="AT216" s="6"/>
      <c r="AU216" s="6">
        <v>14</v>
      </c>
      <c r="AV216" s="6"/>
      <c r="AW216" s="6"/>
      <c r="AX216" s="7">
        <f t="shared" si="188"/>
        <v>14</v>
      </c>
      <c r="AY216" s="11">
        <f t="shared" si="189"/>
        <v>160</v>
      </c>
      <c r="AZ216" s="25"/>
      <c r="BA216" s="10" t="str">
        <f t="shared" si="190"/>
        <v>OutubroSEMANA 5Embalagem Plastica (cuscus) cx 300</v>
      </c>
      <c r="BB216" s="7">
        <f>SUMIF(NF!$A:$A,$BA216,NF!$I:$I)</f>
        <v>0</v>
      </c>
      <c r="BC216" s="6"/>
      <c r="BD216" s="6"/>
      <c r="BE216" s="6"/>
      <c r="BF216" s="74"/>
      <c r="BG216" s="74"/>
      <c r="BH216" s="74"/>
      <c r="BI216" s="74"/>
      <c r="BJ216" s="74"/>
      <c r="BK216" s="7">
        <f t="shared" si="191"/>
        <v>0</v>
      </c>
      <c r="BL216" s="8">
        <f t="shared" si="192"/>
        <v>160</v>
      </c>
      <c r="BM216" s="51" t="str">
        <f>IFERROR(VLOOKUP(A216,NF!$M:$O,3,0),"")</f>
        <v>Descartável</v>
      </c>
      <c r="BN216" s="7">
        <f t="shared" si="193"/>
        <v>52</v>
      </c>
      <c r="BO216" s="8">
        <f t="array" ref="BO216">IFERROR(LARGE(IF(NF!$G$2:$G$3137='Mês atual'!A216,NF!$J$2:$J$3137),1),0)*BN216</f>
        <v>0</v>
      </c>
      <c r="BP216" s="50"/>
      <c r="BR216" s="147">
        <f t="array" ref="BR216">IFERROR(LARGE(IF(NF!$G$2:$G$3137='Mês atual'!A216,NF!$J$2:$J$3137),1),0)</f>
        <v>0</v>
      </c>
      <c r="BS216" s="143" t="str">
        <f>VLOOKUP(A216,NF!M:O,3,0)</f>
        <v>Descartável</v>
      </c>
    </row>
    <row r="217" spans="1:71" x14ac:dyDescent="0.25">
      <c r="A217" s="108" t="s">
        <v>331</v>
      </c>
      <c r="B217" s="12"/>
      <c r="C217" s="9">
        <v>12</v>
      </c>
      <c r="D217" s="25"/>
      <c r="E217" s="10" t="str">
        <f t="shared" si="178"/>
        <v>OutubroSEMANA 1Espetinho 15 cm c/ 100</v>
      </c>
      <c r="F217" s="7">
        <f>SUMIF(NF!$A:$A,$E217,NF!$I:$I)</f>
        <v>0</v>
      </c>
      <c r="G217" s="6"/>
      <c r="H217" s="6"/>
      <c r="I217" s="6"/>
      <c r="J217" s="6"/>
      <c r="K217" s="6"/>
      <c r="L217" s="6"/>
      <c r="M217" s="6"/>
      <c r="N217" s="7">
        <f t="shared" si="179"/>
        <v>0</v>
      </c>
      <c r="O217" s="11">
        <f t="shared" si="180"/>
        <v>12</v>
      </c>
      <c r="P217" s="25"/>
      <c r="Q217" s="10" t="str">
        <f t="shared" si="181"/>
        <v>OutubroSEMANA 2Espetinho 15 cm c/ 100</v>
      </c>
      <c r="R217" s="7">
        <f>SUMIF(NF!$A:$A,$Q217,NF!$I:$I)</f>
        <v>0</v>
      </c>
      <c r="S217" s="6"/>
      <c r="T217" s="6"/>
      <c r="U217" s="6"/>
      <c r="V217" s="6"/>
      <c r="W217" s="6"/>
      <c r="X217" s="6"/>
      <c r="Y217" s="6"/>
      <c r="Z217" s="7">
        <f t="shared" si="182"/>
        <v>0</v>
      </c>
      <c r="AA217" s="11">
        <f t="shared" si="183"/>
        <v>12</v>
      </c>
      <c r="AB217" s="25"/>
      <c r="AC217" s="10" t="str">
        <f t="shared" si="184"/>
        <v>OutubroSEMANA 3Espetinho 15 cm c/ 100</v>
      </c>
      <c r="AD217" s="7">
        <f>SUMIF(NF!$A:$A,$AC217,NF!$I:$I)</f>
        <v>0</v>
      </c>
      <c r="AE217" s="6"/>
      <c r="AF217" s="6"/>
      <c r="AG217" s="6"/>
      <c r="AH217" s="6"/>
      <c r="AI217" s="6"/>
      <c r="AJ217" s="6"/>
      <c r="AK217" s="6"/>
      <c r="AL217" s="7">
        <f t="shared" si="185"/>
        <v>0</v>
      </c>
      <c r="AM217" s="11">
        <f t="shared" si="186"/>
        <v>12</v>
      </c>
      <c r="AN217" s="25"/>
      <c r="AO217" s="10" t="str">
        <f t="shared" si="187"/>
        <v>OutubroSEMANA 4Espetinho 15 cm c/ 100</v>
      </c>
      <c r="AP217" s="7">
        <f>SUMIF(NF!$A:$A,$AO217,NF!$I:$I)</f>
        <v>0</v>
      </c>
      <c r="AQ217" s="6"/>
      <c r="AR217" s="6"/>
      <c r="AS217" s="6"/>
      <c r="AT217" s="6"/>
      <c r="AU217" s="6"/>
      <c r="AV217" s="6"/>
      <c r="AW217" s="6"/>
      <c r="AX217" s="7">
        <f t="shared" si="188"/>
        <v>0</v>
      </c>
      <c r="AY217" s="11">
        <f t="shared" si="189"/>
        <v>12</v>
      </c>
      <c r="AZ217" s="25"/>
      <c r="BA217" s="10" t="str">
        <f t="shared" si="190"/>
        <v>OutubroSEMANA 5Espetinho 15 cm c/ 100</v>
      </c>
      <c r="BB217" s="7">
        <f>SUMIF(NF!$A:$A,$BA217,NF!$I:$I)</f>
        <v>0</v>
      </c>
      <c r="BC217" s="6"/>
      <c r="BD217" s="6"/>
      <c r="BE217" s="6"/>
      <c r="BF217" s="74"/>
      <c r="BG217" s="74"/>
      <c r="BH217" s="74"/>
      <c r="BI217" s="74"/>
      <c r="BJ217" s="74"/>
      <c r="BK217" s="7">
        <f t="shared" si="191"/>
        <v>0</v>
      </c>
      <c r="BL217" s="8">
        <f t="shared" si="192"/>
        <v>12</v>
      </c>
      <c r="BM217" s="51" t="str">
        <f>IFERROR(VLOOKUP(A217,NF!$M:$O,3,0),"")</f>
        <v>Descartável</v>
      </c>
      <c r="BN217" s="7">
        <f t="shared" si="193"/>
        <v>0</v>
      </c>
      <c r="BO217" s="8">
        <f t="array" ref="BO217">IFERROR(LARGE(IF(NF!$G$2:$G$3137='Mês atual'!A217,NF!$J$2:$J$3137),1),0)*BN217</f>
        <v>0</v>
      </c>
      <c r="BP217" s="50"/>
      <c r="BR217" s="147">
        <f t="array" ref="BR217">IFERROR(LARGE(IF(NF!$G$2:$G$3137='Mês atual'!A217,NF!$J$2:$J$3137),1),0)</f>
        <v>0</v>
      </c>
      <c r="BS217" s="143" t="str">
        <f>VLOOKUP(A217,NF!M:O,3,0)</f>
        <v>Descartável</v>
      </c>
    </row>
    <row r="218" spans="1:71" x14ac:dyDescent="0.25">
      <c r="A218" s="108" t="s">
        <v>337</v>
      </c>
      <c r="B218" s="12"/>
      <c r="C218" s="9">
        <v>14</v>
      </c>
      <c r="D218" s="25"/>
      <c r="E218" s="10" t="str">
        <f t="shared" si="178"/>
        <v>OutubroSEMANA 1Etiqueta de Validade 40X60</v>
      </c>
      <c r="F218" s="7">
        <f>SUMIF(NF!$A:$A,$E218,NF!$I:$I)</f>
        <v>0</v>
      </c>
      <c r="G218" s="6"/>
      <c r="H218" s="6"/>
      <c r="I218" s="6"/>
      <c r="J218" s="6">
        <v>1</v>
      </c>
      <c r="K218" s="6"/>
      <c r="L218" s="6"/>
      <c r="M218" s="6"/>
      <c r="N218" s="7">
        <f t="shared" si="179"/>
        <v>1</v>
      </c>
      <c r="O218" s="11">
        <f t="shared" si="180"/>
        <v>13</v>
      </c>
      <c r="P218" s="25"/>
      <c r="Q218" s="10" t="str">
        <f t="shared" si="181"/>
        <v>OutubroSEMANA 2Etiqueta de Validade 40X60</v>
      </c>
      <c r="R218" s="7">
        <f>SUMIF(NF!$A:$A,$Q218,NF!$I:$I)</f>
        <v>0</v>
      </c>
      <c r="S218" s="6"/>
      <c r="T218" s="6">
        <v>1</v>
      </c>
      <c r="U218" s="6"/>
      <c r="V218" s="6"/>
      <c r="W218" s="6"/>
      <c r="X218" s="6">
        <v>1</v>
      </c>
      <c r="Y218" s="6"/>
      <c r="Z218" s="7">
        <f t="shared" si="182"/>
        <v>2</v>
      </c>
      <c r="AA218" s="11">
        <f t="shared" si="183"/>
        <v>11</v>
      </c>
      <c r="AB218" s="25"/>
      <c r="AC218" s="10" t="str">
        <f t="shared" si="184"/>
        <v>OutubroSEMANA 3Etiqueta de Validade 40X60</v>
      </c>
      <c r="AD218" s="7">
        <f>SUMIF(NF!$A:$A,$AC218,NF!$I:$I)</f>
        <v>0</v>
      </c>
      <c r="AE218" s="6"/>
      <c r="AF218" s="6"/>
      <c r="AG218" s="6">
        <v>1</v>
      </c>
      <c r="AH218" s="6"/>
      <c r="AI218" s="6"/>
      <c r="AJ218" s="6"/>
      <c r="AK218" s="6"/>
      <c r="AL218" s="7">
        <f t="shared" si="185"/>
        <v>1</v>
      </c>
      <c r="AM218" s="11">
        <f t="shared" si="186"/>
        <v>10</v>
      </c>
      <c r="AN218" s="25"/>
      <c r="AO218" s="10" t="str">
        <f t="shared" si="187"/>
        <v>OutubroSEMANA 4Etiqueta de Validade 40X60</v>
      </c>
      <c r="AP218" s="7">
        <f>SUMIF(NF!$A:$A,$AO218,NF!$I:$I)</f>
        <v>0</v>
      </c>
      <c r="AQ218" s="6"/>
      <c r="AR218" s="6"/>
      <c r="AS218" s="6"/>
      <c r="AT218" s="6">
        <v>1</v>
      </c>
      <c r="AU218" s="6"/>
      <c r="AV218" s="6"/>
      <c r="AW218" s="6">
        <v>1</v>
      </c>
      <c r="AX218" s="7">
        <f t="shared" si="188"/>
        <v>2</v>
      </c>
      <c r="AY218" s="11">
        <f t="shared" si="189"/>
        <v>8</v>
      </c>
      <c r="AZ218" s="25"/>
      <c r="BA218" s="10" t="str">
        <f t="shared" si="190"/>
        <v>OutubroSEMANA 5Etiqueta de Validade 40X60</v>
      </c>
      <c r="BB218" s="7">
        <f>SUMIF(NF!$A:$A,$BA218,NF!$I:$I)</f>
        <v>0</v>
      </c>
      <c r="BC218" s="6"/>
      <c r="BD218" s="6"/>
      <c r="BE218" s="6"/>
      <c r="BF218" s="74"/>
      <c r="BG218" s="74"/>
      <c r="BH218" s="74"/>
      <c r="BI218" s="74"/>
      <c r="BJ218" s="74"/>
      <c r="BK218" s="7">
        <f t="shared" si="191"/>
        <v>0</v>
      </c>
      <c r="BL218" s="8">
        <f t="shared" si="192"/>
        <v>8</v>
      </c>
      <c r="BM218" s="51" t="str">
        <f>IFERROR(VLOOKUP(A218,NF!$M:$O,3,0),"")</f>
        <v>Descartável</v>
      </c>
      <c r="BN218" s="7">
        <f t="shared" si="193"/>
        <v>6</v>
      </c>
      <c r="BO218" s="8">
        <f t="array" ref="BO218">IFERROR(LARGE(IF(NF!$G$2:$G$3137='Mês atual'!A218,NF!$J$2:$J$3137),1),0)*BN218</f>
        <v>0</v>
      </c>
      <c r="BP218" s="50"/>
      <c r="BR218" s="147">
        <f t="array" ref="BR218">IFERROR(LARGE(IF(NF!$G$2:$G$3137='Mês atual'!A218,NF!$J$2:$J$3137),1),0)</f>
        <v>0</v>
      </c>
      <c r="BS218" s="143" t="str">
        <f>VLOOKUP(A218,NF!M:O,3,0)</f>
        <v>Descartável</v>
      </c>
    </row>
    <row r="219" spans="1:71" x14ac:dyDescent="0.25">
      <c r="A219" s="108" t="s">
        <v>339</v>
      </c>
      <c r="B219" s="12"/>
      <c r="C219" s="9">
        <v>14</v>
      </c>
      <c r="D219" s="25"/>
      <c r="E219" s="10" t="str">
        <f t="shared" si="178"/>
        <v>OutubroSEMANA 1Etiqueta Toledo 40 X 40</v>
      </c>
      <c r="F219" s="7">
        <f>SUMIF(NF!$A:$A,$E219,NF!$I:$I)</f>
        <v>0</v>
      </c>
      <c r="G219" s="6">
        <v>4</v>
      </c>
      <c r="H219" s="6"/>
      <c r="I219" s="6"/>
      <c r="J219" s="6"/>
      <c r="K219" s="6"/>
      <c r="L219" s="6">
        <v>2</v>
      </c>
      <c r="M219" s="6">
        <v>4</v>
      </c>
      <c r="N219" s="7">
        <f t="shared" si="179"/>
        <v>10</v>
      </c>
      <c r="O219" s="11">
        <f t="shared" si="180"/>
        <v>4</v>
      </c>
      <c r="P219" s="25"/>
      <c r="Q219" s="10" t="str">
        <f t="shared" si="181"/>
        <v>OutubroSEMANA 2Etiqueta Toledo 40 X 40</v>
      </c>
      <c r="R219" s="7">
        <f>SUMIF(NF!$A:$A,$Q219,NF!$I:$I)</f>
        <v>80</v>
      </c>
      <c r="S219" s="6"/>
      <c r="T219" s="6"/>
      <c r="U219" s="6"/>
      <c r="V219" s="6"/>
      <c r="W219" s="6"/>
      <c r="X219" s="6"/>
      <c r="Y219" s="6"/>
      <c r="Z219" s="7">
        <f t="shared" si="182"/>
        <v>0</v>
      </c>
      <c r="AA219" s="11">
        <f t="shared" si="183"/>
        <v>84</v>
      </c>
      <c r="AB219" s="25"/>
      <c r="AC219" s="10" t="str">
        <f t="shared" si="184"/>
        <v>OutubroSEMANA 3Etiqueta Toledo 40 X 40</v>
      </c>
      <c r="AD219" s="7">
        <f>SUMIF(NF!$A:$A,$AC219,NF!$I:$I)</f>
        <v>0</v>
      </c>
      <c r="AE219" s="6">
        <v>4</v>
      </c>
      <c r="AF219" s="6"/>
      <c r="AG219" s="6"/>
      <c r="AH219" s="6"/>
      <c r="AI219" s="6"/>
      <c r="AJ219" s="6"/>
      <c r="AK219" s="6">
        <v>5</v>
      </c>
      <c r="AL219" s="7">
        <f t="shared" si="185"/>
        <v>9</v>
      </c>
      <c r="AM219" s="11">
        <f t="shared" si="186"/>
        <v>75</v>
      </c>
      <c r="AN219" s="25"/>
      <c r="AO219" s="10" t="str">
        <f t="shared" si="187"/>
        <v>OutubroSEMANA 4Etiqueta Toledo 40 X 40</v>
      </c>
      <c r="AP219" s="7">
        <f>SUMIF(NF!$A:$A,$AO219,NF!$I:$I)</f>
        <v>0</v>
      </c>
      <c r="AQ219" s="6"/>
      <c r="AR219" s="6"/>
      <c r="AS219" s="6"/>
      <c r="AT219" s="6"/>
      <c r="AU219" s="6">
        <v>5</v>
      </c>
      <c r="AV219" s="6"/>
      <c r="AW219" s="6"/>
      <c r="AX219" s="7">
        <f t="shared" si="188"/>
        <v>5</v>
      </c>
      <c r="AY219" s="11">
        <f t="shared" si="189"/>
        <v>70</v>
      </c>
      <c r="AZ219" s="25"/>
      <c r="BA219" s="10" t="str">
        <f t="shared" si="190"/>
        <v>OutubroSEMANA 5Etiqueta Toledo 40 X 40</v>
      </c>
      <c r="BB219" s="7">
        <f>SUMIF(NF!$A:$A,$BA219,NF!$I:$I)</f>
        <v>0</v>
      </c>
      <c r="BC219" s="6"/>
      <c r="BD219" s="6"/>
      <c r="BE219" s="6"/>
      <c r="BF219" s="74"/>
      <c r="BG219" s="74"/>
      <c r="BH219" s="74"/>
      <c r="BI219" s="74"/>
      <c r="BJ219" s="74"/>
      <c r="BK219" s="7">
        <f t="shared" si="191"/>
        <v>0</v>
      </c>
      <c r="BL219" s="8">
        <f t="shared" si="192"/>
        <v>70</v>
      </c>
      <c r="BM219" s="51" t="str">
        <f>IFERROR(VLOOKUP(A219,NF!$M:$O,3,0),"")</f>
        <v>Descartável</v>
      </c>
      <c r="BN219" s="7">
        <f t="shared" si="193"/>
        <v>24</v>
      </c>
      <c r="BO219" s="8">
        <f t="array" ref="BO219">IFERROR(LARGE(IF(NF!$G$2:$G$3137='Mês atual'!A219,NF!$J$2:$J$3137),1),0)*BN219</f>
        <v>192</v>
      </c>
      <c r="BP219" s="50"/>
      <c r="BR219" s="147">
        <f t="array" ref="BR219">IFERROR(LARGE(IF(NF!$G$2:$G$3137='Mês atual'!A219,NF!$J$2:$J$3137),1),0)</f>
        <v>8</v>
      </c>
      <c r="BS219" s="143" t="str">
        <f>VLOOKUP(A219,NF!M:O,3,0)</f>
        <v>Descartável</v>
      </c>
    </row>
    <row r="220" spans="1:71" x14ac:dyDescent="0.25">
      <c r="A220" s="108" t="s">
        <v>340</v>
      </c>
      <c r="B220" s="12"/>
      <c r="C220" s="9">
        <v>560</v>
      </c>
      <c r="D220" s="25"/>
      <c r="E220" s="10" t="str">
        <f t="shared" si="178"/>
        <v>OutubroSEMANA 1Faca Descartável Cristal</v>
      </c>
      <c r="F220" s="7">
        <f>SUMIF(NF!$A:$A,$E220,NF!$I:$I)</f>
        <v>0</v>
      </c>
      <c r="G220" s="6"/>
      <c r="H220" s="6"/>
      <c r="I220" s="6"/>
      <c r="J220" s="6"/>
      <c r="K220" s="6"/>
      <c r="L220" s="6"/>
      <c r="M220" s="6"/>
      <c r="N220" s="7">
        <f t="shared" si="179"/>
        <v>0</v>
      </c>
      <c r="O220" s="11">
        <f t="shared" si="180"/>
        <v>560</v>
      </c>
      <c r="P220" s="25"/>
      <c r="Q220" s="10" t="str">
        <f t="shared" si="181"/>
        <v>OutubroSEMANA 2Faca Descartável Cristal</v>
      </c>
      <c r="R220" s="7">
        <f>SUMIF(NF!$A:$A,$Q220,NF!$I:$I)</f>
        <v>0</v>
      </c>
      <c r="S220" s="6"/>
      <c r="T220" s="6"/>
      <c r="U220" s="6"/>
      <c r="V220" s="6"/>
      <c r="W220" s="6"/>
      <c r="X220" s="6"/>
      <c r="Y220" s="6"/>
      <c r="Z220" s="7">
        <f t="shared" si="182"/>
        <v>0</v>
      </c>
      <c r="AA220" s="11">
        <f t="shared" si="183"/>
        <v>560</v>
      </c>
      <c r="AB220" s="25"/>
      <c r="AC220" s="10" t="str">
        <f t="shared" si="184"/>
        <v>OutubroSEMANA 3Faca Descartável Cristal</v>
      </c>
      <c r="AD220" s="7">
        <f>SUMIF(NF!$A:$A,$AC220,NF!$I:$I)</f>
        <v>0</v>
      </c>
      <c r="AE220" s="6"/>
      <c r="AF220" s="6"/>
      <c r="AG220" s="6"/>
      <c r="AH220" s="6"/>
      <c r="AI220" s="6"/>
      <c r="AJ220" s="6"/>
      <c r="AK220" s="6"/>
      <c r="AL220" s="7">
        <f t="shared" si="185"/>
        <v>0</v>
      </c>
      <c r="AM220" s="11">
        <f t="shared" si="186"/>
        <v>560</v>
      </c>
      <c r="AN220" s="25"/>
      <c r="AO220" s="10" t="str">
        <f t="shared" si="187"/>
        <v>OutubroSEMANA 4Faca Descartável Cristal</v>
      </c>
      <c r="AP220" s="7">
        <f>SUMIF(NF!$A:$A,$AO220,NF!$I:$I)</f>
        <v>0</v>
      </c>
      <c r="AQ220" s="6"/>
      <c r="AR220" s="6"/>
      <c r="AS220" s="6"/>
      <c r="AT220" s="6"/>
      <c r="AU220" s="6"/>
      <c r="AV220" s="6"/>
      <c r="AW220" s="6"/>
      <c r="AX220" s="7">
        <f t="shared" si="188"/>
        <v>0</v>
      </c>
      <c r="AY220" s="11">
        <f t="shared" si="189"/>
        <v>560</v>
      </c>
      <c r="AZ220" s="25"/>
      <c r="BA220" s="10" t="str">
        <f t="shared" si="190"/>
        <v>OutubroSEMANA 5Faca Descartável Cristal</v>
      </c>
      <c r="BB220" s="7">
        <f>SUMIF(NF!$A:$A,$BA220,NF!$I:$I)</f>
        <v>0</v>
      </c>
      <c r="BC220" s="6"/>
      <c r="BD220" s="6"/>
      <c r="BE220" s="6"/>
      <c r="BF220" s="74"/>
      <c r="BG220" s="74"/>
      <c r="BH220" s="74"/>
      <c r="BI220" s="74"/>
      <c r="BJ220" s="74"/>
      <c r="BK220" s="7">
        <f t="shared" si="191"/>
        <v>0</v>
      </c>
      <c r="BL220" s="8">
        <f t="shared" si="192"/>
        <v>560</v>
      </c>
      <c r="BM220" s="51" t="str">
        <f>IFERROR(VLOOKUP(A220,NF!$M:$O,3,0),"")</f>
        <v>Descartável</v>
      </c>
      <c r="BN220" s="7">
        <f t="shared" si="193"/>
        <v>0</v>
      </c>
      <c r="BO220" s="8">
        <f t="array" ref="BO220">IFERROR(LARGE(IF(NF!$G$2:$G$3137='Mês atual'!A220,NF!$J$2:$J$3137),1),0)*BN220</f>
        <v>0</v>
      </c>
      <c r="BP220" s="50"/>
      <c r="BR220" s="147">
        <f t="array" ref="BR220">IFERROR(LARGE(IF(NF!$G$2:$G$3137='Mês atual'!A220,NF!$J$2:$J$3137),1),0)</f>
        <v>0</v>
      </c>
      <c r="BS220" s="143" t="str">
        <f>VLOOKUP(A220,NF!M:O,3,0)</f>
        <v>Descartável</v>
      </c>
    </row>
    <row r="221" spans="1:71" x14ac:dyDescent="0.25">
      <c r="A221" s="108" t="s">
        <v>359</v>
      </c>
      <c r="B221" s="12"/>
      <c r="C221" s="9">
        <v>3</v>
      </c>
      <c r="D221" s="25"/>
      <c r="E221" s="10" t="str">
        <f t="shared" si="178"/>
        <v>OutubroSEMANA 1Filme PVC 28X300</v>
      </c>
      <c r="F221" s="7">
        <f>SUMIF(NF!$A:$A,$E221,NF!$I:$I)</f>
        <v>0</v>
      </c>
      <c r="G221" s="6"/>
      <c r="H221" s="6"/>
      <c r="I221" s="6"/>
      <c r="J221" s="6"/>
      <c r="K221" s="6"/>
      <c r="L221" s="6"/>
      <c r="M221" s="6"/>
      <c r="N221" s="7">
        <f t="shared" si="179"/>
        <v>0</v>
      </c>
      <c r="O221" s="11">
        <f t="shared" si="180"/>
        <v>3</v>
      </c>
      <c r="P221" s="25"/>
      <c r="Q221" s="10" t="str">
        <f t="shared" si="181"/>
        <v>OutubroSEMANA 2Filme PVC 28X300</v>
      </c>
      <c r="R221" s="7">
        <f>SUMIF(NF!$A:$A,$Q221,NF!$I:$I)</f>
        <v>0</v>
      </c>
      <c r="S221" s="6"/>
      <c r="T221" s="6"/>
      <c r="U221" s="6"/>
      <c r="V221" s="6"/>
      <c r="W221" s="6"/>
      <c r="X221" s="6"/>
      <c r="Y221" s="6"/>
      <c r="Z221" s="7">
        <f t="shared" si="182"/>
        <v>0</v>
      </c>
      <c r="AA221" s="11">
        <f t="shared" si="183"/>
        <v>3</v>
      </c>
      <c r="AB221" s="25"/>
      <c r="AC221" s="10" t="str">
        <f t="shared" si="184"/>
        <v>OutubroSEMANA 3Filme PVC 28X300</v>
      </c>
      <c r="AD221" s="7">
        <f>SUMIF(NF!$A:$A,$AC221,NF!$I:$I)</f>
        <v>0</v>
      </c>
      <c r="AE221" s="6"/>
      <c r="AF221" s="6"/>
      <c r="AG221" s="6"/>
      <c r="AH221" s="6"/>
      <c r="AI221" s="6"/>
      <c r="AJ221" s="6"/>
      <c r="AK221" s="6"/>
      <c r="AL221" s="7">
        <f t="shared" si="185"/>
        <v>0</v>
      </c>
      <c r="AM221" s="11">
        <f t="shared" si="186"/>
        <v>3</v>
      </c>
      <c r="AN221" s="25"/>
      <c r="AO221" s="10" t="str">
        <f t="shared" si="187"/>
        <v>OutubroSEMANA 4Filme PVC 28X300</v>
      </c>
      <c r="AP221" s="7">
        <f>SUMIF(NF!$A:$A,$AO221,NF!$I:$I)</f>
        <v>0</v>
      </c>
      <c r="AQ221" s="6"/>
      <c r="AR221" s="6"/>
      <c r="AS221" s="6"/>
      <c r="AT221" s="6"/>
      <c r="AU221" s="6"/>
      <c r="AV221" s="6"/>
      <c r="AW221" s="6"/>
      <c r="AX221" s="7">
        <f t="shared" si="188"/>
        <v>0</v>
      </c>
      <c r="AY221" s="11">
        <f t="shared" si="189"/>
        <v>3</v>
      </c>
      <c r="AZ221" s="25"/>
      <c r="BA221" s="10" t="str">
        <f t="shared" si="190"/>
        <v>OutubroSEMANA 5Filme PVC 28X300</v>
      </c>
      <c r="BB221" s="7">
        <f>SUMIF(NF!$A:$A,$BA221,NF!$I:$I)</f>
        <v>0</v>
      </c>
      <c r="BC221" s="6"/>
      <c r="BD221" s="6"/>
      <c r="BE221" s="6"/>
      <c r="BF221" s="74"/>
      <c r="BG221" s="74"/>
      <c r="BH221" s="74"/>
      <c r="BI221" s="74"/>
      <c r="BJ221" s="74"/>
      <c r="BK221" s="7">
        <f t="shared" si="191"/>
        <v>0</v>
      </c>
      <c r="BL221" s="8">
        <f t="shared" si="192"/>
        <v>3</v>
      </c>
      <c r="BM221" s="51" t="str">
        <f>IFERROR(VLOOKUP(A221,NF!$M:$O,3,0),"")</f>
        <v>Descartável</v>
      </c>
      <c r="BN221" s="7">
        <f t="shared" si="193"/>
        <v>0</v>
      </c>
      <c r="BO221" s="8">
        <f t="array" ref="BO221">IFERROR(LARGE(IF(NF!$G$2:$G$3137='Mês atual'!A221,NF!$J$2:$J$3137),1),0)*BN221</f>
        <v>0</v>
      </c>
      <c r="BP221" s="50"/>
      <c r="BR221" s="147">
        <f t="array" ref="BR221">IFERROR(LARGE(IF(NF!$G$2:$G$3137='Mês atual'!A221,NF!$J$2:$J$3137),1),0)</f>
        <v>0</v>
      </c>
      <c r="BS221" s="143" t="str">
        <f>VLOOKUP(A221,NF!M:O,3,0)</f>
        <v>Descartável</v>
      </c>
    </row>
    <row r="222" spans="1:71" x14ac:dyDescent="0.25">
      <c r="A222" s="108" t="s">
        <v>916</v>
      </c>
      <c r="B222" s="12"/>
      <c r="C222" s="9"/>
      <c r="D222" s="25"/>
      <c r="E222" s="10" t="str">
        <f t="shared" si="178"/>
        <v>OutubroSEMANA 1Filme PVC 38 X 100 M</v>
      </c>
      <c r="F222" s="7">
        <f>SUMIF(NF!$A:$A,$E222,NF!$I:$I)</f>
        <v>0</v>
      </c>
      <c r="G222" s="6"/>
      <c r="H222" s="6"/>
      <c r="I222" s="6"/>
      <c r="J222" s="6"/>
      <c r="K222" s="6"/>
      <c r="L222" s="6"/>
      <c r="M222" s="6"/>
      <c r="N222" s="7">
        <f t="shared" si="179"/>
        <v>0</v>
      </c>
      <c r="O222" s="11">
        <f t="shared" si="180"/>
        <v>0</v>
      </c>
      <c r="P222" s="25"/>
      <c r="Q222" s="10" t="str">
        <f t="shared" si="181"/>
        <v>OutubroSEMANA 2Filme PVC 38 X 100 M</v>
      </c>
      <c r="R222" s="7">
        <f>SUMIF(NF!$A:$A,$Q222,NF!$I:$I)</f>
        <v>0</v>
      </c>
      <c r="S222" s="6"/>
      <c r="T222" s="6"/>
      <c r="U222" s="6"/>
      <c r="V222" s="6"/>
      <c r="W222" s="6"/>
      <c r="X222" s="6"/>
      <c r="Y222" s="6"/>
      <c r="Z222" s="7">
        <f t="shared" si="182"/>
        <v>0</v>
      </c>
      <c r="AA222" s="11">
        <f t="shared" si="183"/>
        <v>0</v>
      </c>
      <c r="AB222" s="25"/>
      <c r="AC222" s="10" t="str">
        <f t="shared" si="184"/>
        <v>OutubroSEMANA 3Filme PVC 38 X 100 M</v>
      </c>
      <c r="AD222" s="7">
        <f>SUMIF(NF!$A:$A,$AC222,NF!$I:$I)</f>
        <v>0</v>
      </c>
      <c r="AE222" s="6"/>
      <c r="AF222" s="6"/>
      <c r="AG222" s="6"/>
      <c r="AH222" s="6"/>
      <c r="AI222" s="6"/>
      <c r="AJ222" s="6"/>
      <c r="AK222" s="6"/>
      <c r="AL222" s="7">
        <f t="shared" si="185"/>
        <v>0</v>
      </c>
      <c r="AM222" s="11">
        <f t="shared" si="186"/>
        <v>0</v>
      </c>
      <c r="AN222" s="25"/>
      <c r="AO222" s="10" t="str">
        <f t="shared" si="187"/>
        <v>OutubroSEMANA 4Filme PVC 38 X 100 M</v>
      </c>
      <c r="AP222" s="7">
        <f>SUMIF(NF!$A:$A,$AO222,NF!$I:$I)</f>
        <v>0</v>
      </c>
      <c r="AQ222" s="6"/>
      <c r="AR222" s="6"/>
      <c r="AS222" s="6"/>
      <c r="AT222" s="6"/>
      <c r="AU222" s="6"/>
      <c r="AV222" s="6"/>
      <c r="AW222" s="6"/>
      <c r="AX222" s="7">
        <f t="shared" si="188"/>
        <v>0</v>
      </c>
      <c r="AY222" s="11">
        <f t="shared" si="189"/>
        <v>0</v>
      </c>
      <c r="AZ222" s="25"/>
      <c r="BA222" s="10" t="str">
        <f t="shared" si="190"/>
        <v>OutubroSEMANA 5Filme PVC 38 X 100 M</v>
      </c>
      <c r="BB222" s="7">
        <f>SUMIF(NF!$A:$A,$BA222,NF!$I:$I)</f>
        <v>0</v>
      </c>
      <c r="BC222" s="6"/>
      <c r="BD222" s="6"/>
      <c r="BE222" s="6"/>
      <c r="BF222" s="74"/>
      <c r="BG222" s="74"/>
      <c r="BH222" s="74"/>
      <c r="BI222" s="74"/>
      <c r="BJ222" s="74"/>
      <c r="BK222" s="7">
        <f t="shared" si="191"/>
        <v>0</v>
      </c>
      <c r="BL222" s="8">
        <f t="shared" si="192"/>
        <v>0</v>
      </c>
      <c r="BM222" s="51" t="str">
        <f>IFERROR(VLOOKUP(A222,NF!$M:$O,3,0),"")</f>
        <v>Descartável</v>
      </c>
      <c r="BN222" s="7">
        <f t="shared" si="193"/>
        <v>0</v>
      </c>
      <c r="BO222" s="8">
        <f t="array" ref="BO222">IFERROR(LARGE(IF(NF!$G$2:$G$3137='Mês atual'!A222,NF!$J$2:$J$3137),1),0)*BN222</f>
        <v>0</v>
      </c>
      <c r="BP222" s="50"/>
      <c r="BR222" s="147">
        <f t="array" ref="BR222">IFERROR(LARGE(IF(NF!$G$2:$G$3137='Mês atual'!A222,NF!$J$2:$J$3137),1),0)</f>
        <v>0</v>
      </c>
      <c r="BS222" s="143" t="str">
        <f>VLOOKUP(A222,NF!M:O,3,0)</f>
        <v>Descartável</v>
      </c>
    </row>
    <row r="223" spans="1:71" x14ac:dyDescent="0.25">
      <c r="A223" s="108" t="s">
        <v>360</v>
      </c>
      <c r="B223" s="12"/>
      <c r="C223" s="9"/>
      <c r="D223" s="25"/>
      <c r="E223" s="10" t="str">
        <f t="shared" si="178"/>
        <v>OutubroSEMANA 1Filme PVC 380 X 1000 M</v>
      </c>
      <c r="F223" s="7">
        <f>SUMIF(NF!$A:$A,$E223,NF!$I:$I)</f>
        <v>0</v>
      </c>
      <c r="G223" s="6"/>
      <c r="H223" s="6"/>
      <c r="I223" s="6"/>
      <c r="J223" s="6"/>
      <c r="K223" s="6"/>
      <c r="L223" s="6"/>
      <c r="M223" s="6"/>
      <c r="N223" s="7">
        <f t="shared" si="179"/>
        <v>0</v>
      </c>
      <c r="O223" s="11">
        <f t="shared" si="180"/>
        <v>0</v>
      </c>
      <c r="P223" s="25"/>
      <c r="Q223" s="10" t="str">
        <f t="shared" si="181"/>
        <v>OutubroSEMANA 2Filme PVC 380 X 1000 M</v>
      </c>
      <c r="R223" s="7">
        <f>SUMIF(NF!$A:$A,$Q223,NF!$I:$I)</f>
        <v>0</v>
      </c>
      <c r="S223" s="6"/>
      <c r="T223" s="6"/>
      <c r="U223" s="6"/>
      <c r="V223" s="6"/>
      <c r="W223" s="6"/>
      <c r="X223" s="6"/>
      <c r="Y223" s="6"/>
      <c r="Z223" s="7">
        <f t="shared" si="182"/>
        <v>0</v>
      </c>
      <c r="AA223" s="11">
        <f t="shared" si="183"/>
        <v>0</v>
      </c>
      <c r="AB223" s="25"/>
      <c r="AC223" s="10" t="str">
        <f t="shared" si="184"/>
        <v>OutubroSEMANA 3Filme PVC 380 X 1000 M</v>
      </c>
      <c r="AD223" s="7">
        <f>SUMIF(NF!$A:$A,$AC223,NF!$I:$I)</f>
        <v>0</v>
      </c>
      <c r="AE223" s="6"/>
      <c r="AF223" s="6"/>
      <c r="AG223" s="6"/>
      <c r="AH223" s="6"/>
      <c r="AI223" s="6"/>
      <c r="AJ223" s="6"/>
      <c r="AK223" s="6"/>
      <c r="AL223" s="7">
        <f t="shared" si="185"/>
        <v>0</v>
      </c>
      <c r="AM223" s="11">
        <f t="shared" si="186"/>
        <v>0</v>
      </c>
      <c r="AN223" s="25"/>
      <c r="AO223" s="10" t="str">
        <f t="shared" si="187"/>
        <v>OutubroSEMANA 4Filme PVC 380 X 1000 M</v>
      </c>
      <c r="AP223" s="7">
        <f>SUMIF(NF!$A:$A,$AO223,NF!$I:$I)</f>
        <v>0</v>
      </c>
      <c r="AQ223" s="6"/>
      <c r="AR223" s="6"/>
      <c r="AS223" s="6"/>
      <c r="AT223" s="6"/>
      <c r="AU223" s="6"/>
      <c r="AV223" s="6"/>
      <c r="AW223" s="6"/>
      <c r="AX223" s="7">
        <f t="shared" si="188"/>
        <v>0</v>
      </c>
      <c r="AY223" s="11">
        <f t="shared" si="189"/>
        <v>0</v>
      </c>
      <c r="AZ223" s="25"/>
      <c r="BA223" s="10" t="str">
        <f t="shared" si="190"/>
        <v>OutubroSEMANA 5Filme PVC 380 X 1000 M</v>
      </c>
      <c r="BB223" s="7">
        <f>SUMIF(NF!$A:$A,$BA223,NF!$I:$I)</f>
        <v>0</v>
      </c>
      <c r="BC223" s="6"/>
      <c r="BD223" s="6"/>
      <c r="BE223" s="6"/>
      <c r="BF223" s="74"/>
      <c r="BG223" s="74"/>
      <c r="BH223" s="74"/>
      <c r="BI223" s="74"/>
      <c r="BJ223" s="74"/>
      <c r="BK223" s="7">
        <f t="shared" si="191"/>
        <v>0</v>
      </c>
      <c r="BL223" s="8">
        <f t="shared" si="192"/>
        <v>0</v>
      </c>
      <c r="BM223" s="51" t="str">
        <f>IFERROR(VLOOKUP(A223,NF!$M:$O,3,0),"")</f>
        <v>Descartável</v>
      </c>
      <c r="BN223" s="7">
        <f t="shared" si="193"/>
        <v>0</v>
      </c>
      <c r="BO223" s="8">
        <f t="array" ref="BO223">IFERROR(LARGE(IF(NF!$G$2:$G$3137='Mês atual'!A223,NF!$J$2:$J$3137),1),0)*BN223</f>
        <v>0</v>
      </c>
      <c r="BP223" s="50"/>
      <c r="BR223" s="147">
        <f t="array" ref="BR223">IFERROR(LARGE(IF(NF!$G$2:$G$3137='Mês atual'!A223,NF!$J$2:$J$3137),1),0)</f>
        <v>0</v>
      </c>
      <c r="BS223" s="143" t="str">
        <f>VLOOKUP(A223,NF!M:O,3,0)</f>
        <v>Descartável</v>
      </c>
    </row>
    <row r="224" spans="1:71" x14ac:dyDescent="0.25">
      <c r="A224" s="108" t="s">
        <v>1007</v>
      </c>
      <c r="B224" s="12"/>
      <c r="C224" s="9"/>
      <c r="D224" s="25"/>
      <c r="E224" s="10" t="str">
        <f t="shared" si="178"/>
        <v>OutubroSEMANA 1Filme PVC 380 x 300m</v>
      </c>
      <c r="F224" s="7">
        <f>SUMIF(NF!$A:$A,$E224,NF!$I:$I)</f>
        <v>2</v>
      </c>
      <c r="G224" s="6"/>
      <c r="H224" s="6"/>
      <c r="I224" s="6"/>
      <c r="J224" s="6"/>
      <c r="K224" s="6"/>
      <c r="L224" s="6"/>
      <c r="M224" s="6"/>
      <c r="N224" s="7">
        <f t="shared" si="179"/>
        <v>0</v>
      </c>
      <c r="O224" s="11">
        <f t="shared" si="180"/>
        <v>2</v>
      </c>
      <c r="P224" s="25"/>
      <c r="Q224" s="10" t="str">
        <f t="shared" si="181"/>
        <v>OutubroSEMANA 2Filme PVC 380 x 300m</v>
      </c>
      <c r="R224" s="7">
        <f>SUMIF(NF!$A:$A,$Q224,NF!$I:$I)</f>
        <v>0</v>
      </c>
      <c r="S224" s="6"/>
      <c r="T224" s="6"/>
      <c r="U224" s="6"/>
      <c r="V224" s="6"/>
      <c r="W224" s="6"/>
      <c r="X224" s="6"/>
      <c r="Y224" s="6"/>
      <c r="Z224" s="7">
        <f t="shared" si="182"/>
        <v>0</v>
      </c>
      <c r="AA224" s="11">
        <f t="shared" si="183"/>
        <v>2</v>
      </c>
      <c r="AB224" s="25"/>
      <c r="AC224" s="10" t="str">
        <f t="shared" si="184"/>
        <v>OutubroSEMANA 3Filme PVC 380 x 300m</v>
      </c>
      <c r="AD224" s="7">
        <f>SUMIF(NF!$A:$A,$AC224,NF!$I:$I)</f>
        <v>0</v>
      </c>
      <c r="AE224" s="6"/>
      <c r="AF224" s="6"/>
      <c r="AG224" s="6"/>
      <c r="AH224" s="6"/>
      <c r="AI224" s="6"/>
      <c r="AJ224" s="6"/>
      <c r="AK224" s="6"/>
      <c r="AL224" s="7">
        <f t="shared" si="185"/>
        <v>0</v>
      </c>
      <c r="AM224" s="11">
        <f t="shared" si="186"/>
        <v>2</v>
      </c>
      <c r="AN224" s="25"/>
      <c r="AO224" s="10" t="str">
        <f t="shared" si="187"/>
        <v>OutubroSEMANA 4Filme PVC 380 x 300m</v>
      </c>
      <c r="AP224" s="7">
        <f>SUMIF(NF!$A:$A,$AO224,NF!$I:$I)</f>
        <v>0</v>
      </c>
      <c r="AQ224" s="6"/>
      <c r="AR224" s="6"/>
      <c r="AS224" s="6"/>
      <c r="AT224" s="6">
        <v>1</v>
      </c>
      <c r="AU224" s="6"/>
      <c r="AV224" s="6"/>
      <c r="AW224" s="6"/>
      <c r="AX224" s="7">
        <f t="shared" si="188"/>
        <v>1</v>
      </c>
      <c r="AY224" s="11">
        <f t="shared" si="189"/>
        <v>1</v>
      </c>
      <c r="AZ224" s="25"/>
      <c r="BA224" s="10" t="str">
        <f t="shared" si="190"/>
        <v>OutubroSEMANA 5Filme PVC 380 x 300m</v>
      </c>
      <c r="BB224" s="7">
        <f>SUMIF(NF!$A:$A,$BA224,NF!$I:$I)</f>
        <v>0</v>
      </c>
      <c r="BC224" s="6"/>
      <c r="BD224" s="6"/>
      <c r="BE224" s="6"/>
      <c r="BF224" s="74"/>
      <c r="BG224" s="74"/>
      <c r="BH224" s="74"/>
      <c r="BI224" s="74"/>
      <c r="BJ224" s="74"/>
      <c r="BK224" s="7">
        <f t="shared" si="191"/>
        <v>0</v>
      </c>
      <c r="BL224" s="8">
        <f t="shared" si="192"/>
        <v>1</v>
      </c>
      <c r="BM224" s="51" t="str">
        <f>IFERROR(VLOOKUP(A224,NF!$M:$O,3,0),"")</f>
        <v>Descartável</v>
      </c>
      <c r="BN224" s="7">
        <f t="shared" si="193"/>
        <v>1</v>
      </c>
      <c r="BO224" s="8">
        <f t="array" ref="BO224">IFERROR(LARGE(IF(NF!$G$2:$G$3137='Mês atual'!A224,NF!$J$2:$J$3137),1),0)*BN224</f>
        <v>23.17</v>
      </c>
      <c r="BP224" s="50"/>
      <c r="BR224" s="147">
        <f t="array" ref="BR224">IFERROR(LARGE(IF(NF!$G$2:$G$3137='Mês atual'!A224,NF!$J$2:$J$3137),1),0)</f>
        <v>23.17</v>
      </c>
      <c r="BS224" s="143" t="str">
        <f>VLOOKUP(A224,NF!M:O,3,0)</f>
        <v>Descartável</v>
      </c>
    </row>
    <row r="225" spans="1:71" x14ac:dyDescent="0.25">
      <c r="A225" s="108" t="s">
        <v>368</v>
      </c>
      <c r="B225" s="12"/>
      <c r="C225" s="9"/>
      <c r="D225" s="25"/>
      <c r="E225" s="10" t="str">
        <f t="shared" si="178"/>
        <v>OutubroSEMANA 1Fósforo pacte c/ 10</v>
      </c>
      <c r="F225" s="7">
        <f>SUMIF(NF!$A:$A,$E225,NF!$I:$I)</f>
        <v>0</v>
      </c>
      <c r="G225" s="6"/>
      <c r="H225" s="6"/>
      <c r="I225" s="6"/>
      <c r="J225" s="6"/>
      <c r="K225" s="6"/>
      <c r="L225" s="6"/>
      <c r="M225" s="6"/>
      <c r="N225" s="7">
        <f t="shared" si="179"/>
        <v>0</v>
      </c>
      <c r="O225" s="11">
        <f t="shared" si="180"/>
        <v>0</v>
      </c>
      <c r="P225" s="25"/>
      <c r="Q225" s="10" t="str">
        <f t="shared" si="181"/>
        <v>OutubroSEMANA 2Fósforo pacte c/ 10</v>
      </c>
      <c r="R225" s="7">
        <f>SUMIF(NF!$A:$A,$Q225,NF!$I:$I)</f>
        <v>0</v>
      </c>
      <c r="S225" s="6"/>
      <c r="T225" s="6"/>
      <c r="U225" s="6"/>
      <c r="V225" s="6"/>
      <c r="W225" s="6"/>
      <c r="X225" s="6"/>
      <c r="Y225" s="6"/>
      <c r="Z225" s="7">
        <f t="shared" ref="Z225" si="205">SUM(S225:Y225)</f>
        <v>0</v>
      </c>
      <c r="AA225" s="11">
        <f t="shared" si="183"/>
        <v>0</v>
      </c>
      <c r="AB225" s="25"/>
      <c r="AC225" s="10" t="str">
        <f t="shared" si="184"/>
        <v>OutubroSEMANA 3Fósforo pacte c/ 10</v>
      </c>
      <c r="AD225" s="7">
        <f>SUMIF(NF!$A:$A,$AC225,NF!$I:$I)</f>
        <v>0</v>
      </c>
      <c r="AE225" s="6"/>
      <c r="AF225" s="6"/>
      <c r="AG225" s="6"/>
      <c r="AH225" s="6"/>
      <c r="AI225" s="6"/>
      <c r="AJ225" s="6"/>
      <c r="AK225" s="6"/>
      <c r="AL225" s="7">
        <f t="shared" ref="AL225" si="206">SUM(AE225:AK225)</f>
        <v>0</v>
      </c>
      <c r="AM225" s="11">
        <f t="shared" si="186"/>
        <v>0</v>
      </c>
      <c r="AN225" s="25"/>
      <c r="AO225" s="10" t="str">
        <f t="shared" si="187"/>
        <v>OutubroSEMANA 4Fósforo pacte c/ 10</v>
      </c>
      <c r="AP225" s="7">
        <f>SUMIF(NF!$A:$A,$AO225,NF!$I:$I)</f>
        <v>0</v>
      </c>
      <c r="AQ225" s="6"/>
      <c r="AR225" s="6"/>
      <c r="AS225" s="6"/>
      <c r="AT225" s="6"/>
      <c r="AU225" s="6"/>
      <c r="AV225" s="6"/>
      <c r="AW225" s="6"/>
      <c r="AX225" s="7">
        <f t="shared" ref="AX225" si="207">SUM(AQ225:AW225)</f>
        <v>0</v>
      </c>
      <c r="AY225" s="11">
        <f t="shared" si="189"/>
        <v>0</v>
      </c>
      <c r="AZ225" s="25"/>
      <c r="BA225" s="10" t="str">
        <f t="shared" si="190"/>
        <v>OutubroSEMANA 5Fósforo pacte c/ 10</v>
      </c>
      <c r="BB225" s="7">
        <f>SUMIF(NF!$A:$A,$BA225,NF!$I:$I)</f>
        <v>0</v>
      </c>
      <c r="BC225" s="6"/>
      <c r="BD225" s="6"/>
      <c r="BE225" s="6"/>
      <c r="BF225" s="74"/>
      <c r="BG225" s="74"/>
      <c r="BH225" s="74"/>
      <c r="BI225" s="74"/>
      <c r="BJ225" s="74"/>
      <c r="BK225" s="7">
        <f>SUM(BC225:BJ225)</f>
        <v>0</v>
      </c>
      <c r="BL225" s="8">
        <f t="shared" si="192"/>
        <v>0</v>
      </c>
      <c r="BM225" s="51" t="str">
        <f>IFERROR(VLOOKUP(A225,NF!$M:$O,3,0),"")</f>
        <v>Descartável</v>
      </c>
      <c r="BN225" s="7">
        <f t="shared" si="193"/>
        <v>0</v>
      </c>
      <c r="BO225" s="8">
        <f t="array" ref="BO225">IFERROR(LARGE(IF(NF!$G$2:$G$3137='Mês atual'!A225,NF!$J$2:$J$3137),1),0)*BN225</f>
        <v>0</v>
      </c>
      <c r="BP225" s="50"/>
      <c r="BR225" s="147">
        <f t="array" ref="BR225">IFERROR(LARGE(IF(NF!$G$2:$G$3137='Mês atual'!A225,NF!$J$2:$J$3137),1),0)</f>
        <v>0</v>
      </c>
      <c r="BS225" s="143" t="str">
        <f>VLOOKUP(A225,NF!M:O,3,0)</f>
        <v>Descartável</v>
      </c>
    </row>
    <row r="226" spans="1:71" x14ac:dyDescent="0.25">
      <c r="A226" s="108" t="s">
        <v>369</v>
      </c>
      <c r="B226" s="12"/>
      <c r="C226" s="9"/>
      <c r="D226" s="25"/>
      <c r="E226" s="10" t="str">
        <f t="shared" si="178"/>
        <v>OutubroSEMANA 1Frasco 3L P/ Diluição</v>
      </c>
      <c r="F226" s="7">
        <f>SUMIF(NF!$A:$A,$E226,NF!$I:$I)</f>
        <v>0</v>
      </c>
      <c r="G226" s="6"/>
      <c r="H226" s="6"/>
      <c r="I226" s="6"/>
      <c r="J226" s="6"/>
      <c r="K226" s="6"/>
      <c r="L226" s="6"/>
      <c r="M226" s="6"/>
      <c r="N226" s="7">
        <f t="shared" si="179"/>
        <v>0</v>
      </c>
      <c r="O226" s="11">
        <f t="shared" si="180"/>
        <v>0</v>
      </c>
      <c r="P226" s="25"/>
      <c r="Q226" s="10" t="str">
        <f t="shared" si="181"/>
        <v>OutubroSEMANA 2Frasco 3L P/ Diluição</v>
      </c>
      <c r="R226" s="7">
        <f>SUMIF(NF!$A:$A,$Q226,NF!$I:$I)</f>
        <v>0</v>
      </c>
      <c r="S226" s="6"/>
      <c r="T226" s="6"/>
      <c r="U226" s="6"/>
      <c r="V226" s="6"/>
      <c r="W226" s="6"/>
      <c r="X226" s="6"/>
      <c r="Y226" s="6"/>
      <c r="Z226" s="7">
        <f t="shared" ref="Z226" si="208">SUM(S226:Y226)</f>
        <v>0</v>
      </c>
      <c r="AA226" s="11">
        <f t="shared" si="183"/>
        <v>0</v>
      </c>
      <c r="AB226" s="25"/>
      <c r="AC226" s="10" t="str">
        <f t="shared" si="184"/>
        <v>OutubroSEMANA 3Frasco 3L P/ Diluição</v>
      </c>
      <c r="AD226" s="7">
        <f>SUMIF(NF!$A:$A,$AC226,NF!$I:$I)</f>
        <v>0</v>
      </c>
      <c r="AE226" s="6"/>
      <c r="AF226" s="6"/>
      <c r="AG226" s="6"/>
      <c r="AH226" s="6"/>
      <c r="AI226" s="6"/>
      <c r="AJ226" s="6"/>
      <c r="AK226" s="6"/>
      <c r="AL226" s="7">
        <f t="shared" ref="AL226" si="209">SUM(AE226:AK226)</f>
        <v>0</v>
      </c>
      <c r="AM226" s="11">
        <f t="shared" si="186"/>
        <v>0</v>
      </c>
      <c r="AN226" s="25"/>
      <c r="AO226" s="10" t="str">
        <f t="shared" si="187"/>
        <v>OutubroSEMANA 4Frasco 3L P/ Diluição</v>
      </c>
      <c r="AP226" s="7">
        <f>SUMIF(NF!$A:$A,$AO226,NF!$I:$I)</f>
        <v>0</v>
      </c>
      <c r="AQ226" s="6"/>
      <c r="AR226" s="6"/>
      <c r="AS226" s="6"/>
      <c r="AT226" s="6"/>
      <c r="AU226" s="6"/>
      <c r="AV226" s="6"/>
      <c r="AW226" s="6"/>
      <c r="AX226" s="7">
        <f t="shared" ref="AX226" si="210">SUM(AQ226:AW226)</f>
        <v>0</v>
      </c>
      <c r="AY226" s="11">
        <f t="shared" si="189"/>
        <v>0</v>
      </c>
      <c r="AZ226" s="25"/>
      <c r="BA226" s="10" t="str">
        <f t="shared" si="190"/>
        <v>OutubroSEMANA 5Frasco 3L P/ Diluição</v>
      </c>
      <c r="BB226" s="7">
        <f>SUMIF(NF!$A:$A,$BA226,NF!$I:$I)</f>
        <v>0</v>
      </c>
      <c r="BC226" s="6"/>
      <c r="BD226" s="6"/>
      <c r="BE226" s="6"/>
      <c r="BF226" s="74"/>
      <c r="BG226" s="74"/>
      <c r="BH226" s="74"/>
      <c r="BI226" s="74"/>
      <c r="BJ226" s="74"/>
      <c r="BK226" s="7">
        <f t="shared" ref="BK226" si="211">SUM(BC226:BJ226)</f>
        <v>0</v>
      </c>
      <c r="BL226" s="8">
        <f t="shared" si="192"/>
        <v>0</v>
      </c>
      <c r="BM226" s="51" t="str">
        <f>IFERROR(VLOOKUP(A226,NF!$M:$O,3,0),"")</f>
        <v>Descartável</v>
      </c>
      <c r="BN226" s="7">
        <f t="shared" si="193"/>
        <v>0</v>
      </c>
      <c r="BO226" s="8">
        <f t="array" ref="BO226">IFERROR(LARGE(IF(NF!$G$2:$G$3137='Mês atual'!A226,NF!$J$2:$J$3137),1),0)*BN226</f>
        <v>0</v>
      </c>
      <c r="BP226" s="50"/>
      <c r="BR226" s="147">
        <f t="array" ref="BR226">IFERROR(LARGE(IF(NF!$G$2:$G$3137='Mês atual'!A226,NF!$J$2:$J$3137),1),0)</f>
        <v>0</v>
      </c>
      <c r="BS226" s="143" t="str">
        <f>VLOOKUP(A226,NF!M:O,3,0)</f>
        <v>Descartável</v>
      </c>
    </row>
    <row r="227" spans="1:71" x14ac:dyDescent="0.25">
      <c r="A227" s="108" t="s">
        <v>370</v>
      </c>
      <c r="B227" s="12"/>
      <c r="C227" s="9"/>
      <c r="D227" s="25"/>
      <c r="E227" s="10" t="str">
        <f t="shared" si="178"/>
        <v>OutubroSEMANA 1Frasco Redondo 32 OZ</v>
      </c>
      <c r="F227" s="7">
        <f>SUMIF(NF!$A:$A,$E227,NF!$I:$I)</f>
        <v>0</v>
      </c>
      <c r="G227" s="6"/>
      <c r="H227" s="6"/>
      <c r="I227" s="6"/>
      <c r="J227" s="6"/>
      <c r="K227" s="6"/>
      <c r="L227" s="6"/>
      <c r="M227" s="6"/>
      <c r="N227" s="7">
        <f t="shared" ref="N227:N233" si="212">SUM(G227:M227)</f>
        <v>0</v>
      </c>
      <c r="O227" s="11">
        <f t="shared" si="180"/>
        <v>0</v>
      </c>
      <c r="P227" s="25"/>
      <c r="Q227" s="10" t="str">
        <f t="shared" si="181"/>
        <v>OutubroSEMANA 2Frasco Redondo 32 OZ</v>
      </c>
      <c r="R227" s="7">
        <f>SUMIF(NF!$A:$A,$Q227,NF!$I:$I)</f>
        <v>0</v>
      </c>
      <c r="S227" s="6"/>
      <c r="T227" s="6"/>
      <c r="U227" s="6"/>
      <c r="V227" s="6"/>
      <c r="W227" s="6"/>
      <c r="X227" s="6"/>
      <c r="Y227" s="6"/>
      <c r="Z227" s="7">
        <f t="shared" ref="Z227:Z233" si="213">SUM(S227:Y227)</f>
        <v>0</v>
      </c>
      <c r="AA227" s="11">
        <f t="shared" si="183"/>
        <v>0</v>
      </c>
      <c r="AB227" s="25"/>
      <c r="AC227" s="10" t="str">
        <f t="shared" si="184"/>
        <v>OutubroSEMANA 3Frasco Redondo 32 OZ</v>
      </c>
      <c r="AD227" s="7">
        <f>SUMIF(NF!$A:$A,$AC227,NF!$I:$I)</f>
        <v>0</v>
      </c>
      <c r="AE227" s="6"/>
      <c r="AF227" s="6"/>
      <c r="AG227" s="6"/>
      <c r="AH227" s="6"/>
      <c r="AI227" s="6"/>
      <c r="AJ227" s="6"/>
      <c r="AK227" s="6"/>
      <c r="AL227" s="7">
        <f t="shared" ref="AL227:AL233" si="214">SUM(AE227:AK227)</f>
        <v>0</v>
      </c>
      <c r="AM227" s="11">
        <f t="shared" si="186"/>
        <v>0</v>
      </c>
      <c r="AN227" s="25"/>
      <c r="AO227" s="10" t="str">
        <f t="shared" si="187"/>
        <v>OutubroSEMANA 4Frasco Redondo 32 OZ</v>
      </c>
      <c r="AP227" s="7">
        <f>SUMIF(NF!$A:$A,$AO227,NF!$I:$I)</f>
        <v>0</v>
      </c>
      <c r="AQ227" s="6"/>
      <c r="AR227" s="6"/>
      <c r="AS227" s="6"/>
      <c r="AT227" s="6"/>
      <c r="AU227" s="6"/>
      <c r="AV227" s="6"/>
      <c r="AW227" s="6"/>
      <c r="AX227" s="7">
        <f t="shared" ref="AX227:AX233" si="215">SUM(AQ227:AW227)</f>
        <v>0</v>
      </c>
      <c r="AY227" s="11">
        <f t="shared" si="189"/>
        <v>0</v>
      </c>
      <c r="AZ227" s="25"/>
      <c r="BA227" s="10" t="str">
        <f t="shared" si="190"/>
        <v>OutubroSEMANA 5Frasco Redondo 32 OZ</v>
      </c>
      <c r="BB227" s="7">
        <f>SUMIF(NF!$A:$A,$BA227,NF!$I:$I)</f>
        <v>0</v>
      </c>
      <c r="BC227" s="6"/>
      <c r="BD227" s="6"/>
      <c r="BE227" s="6"/>
      <c r="BF227" s="74"/>
      <c r="BG227" s="74"/>
      <c r="BH227" s="74"/>
      <c r="BI227" s="74"/>
      <c r="BJ227" s="74"/>
      <c r="BK227" s="7">
        <f t="shared" ref="BK227:BK233" si="216">SUM(BC227:BJ227)</f>
        <v>0</v>
      </c>
      <c r="BL227" s="8">
        <f t="shared" si="192"/>
        <v>0</v>
      </c>
      <c r="BM227" s="51" t="str">
        <f>IFERROR(VLOOKUP(A227,NF!$M:$O,3,0),"")</f>
        <v>Descartável</v>
      </c>
      <c r="BN227" s="7">
        <f t="shared" si="193"/>
        <v>0</v>
      </c>
      <c r="BO227" s="8">
        <f t="array" ref="BO227">IFERROR(LARGE(IF(NF!$G$2:$G$3137='Mês atual'!A227,NF!$J$2:$J$3137),1),0)*BN227</f>
        <v>0</v>
      </c>
      <c r="BP227" s="50"/>
      <c r="BR227" s="147">
        <f t="array" ref="BR227">IFERROR(LARGE(IF(NF!$G$2:$G$3137='Mês atual'!A227,NF!$J$2:$J$3137),1),0)</f>
        <v>0</v>
      </c>
      <c r="BS227" s="143" t="str">
        <f>VLOOKUP(A227,NF!M:O,3,0)</f>
        <v>Descartável</v>
      </c>
    </row>
    <row r="228" spans="1:71" x14ac:dyDescent="0.25">
      <c r="A228" s="108" t="s">
        <v>377</v>
      </c>
      <c r="B228" s="12"/>
      <c r="C228" s="9">
        <v>2120</v>
      </c>
      <c r="D228" s="25"/>
      <c r="E228" s="10" t="str">
        <f t="shared" si="178"/>
        <v>OutubroSEMANA 1Garfo Descartável</v>
      </c>
      <c r="F228" s="7">
        <f>SUMIF(NF!$A:$A,$E228,NF!$I:$I)</f>
        <v>0</v>
      </c>
      <c r="G228" s="6"/>
      <c r="H228" s="6"/>
      <c r="I228" s="6"/>
      <c r="J228" s="6"/>
      <c r="K228" s="6"/>
      <c r="L228" s="6"/>
      <c r="M228" s="6"/>
      <c r="N228" s="7">
        <f t="shared" si="212"/>
        <v>0</v>
      </c>
      <c r="O228" s="11">
        <f t="shared" si="180"/>
        <v>2120</v>
      </c>
      <c r="P228" s="25"/>
      <c r="Q228" s="10" t="str">
        <f t="shared" si="181"/>
        <v>OutubroSEMANA 2Garfo Descartável</v>
      </c>
      <c r="R228" s="7">
        <f>SUMIF(NF!$A:$A,$Q228,NF!$I:$I)</f>
        <v>0</v>
      </c>
      <c r="S228" s="6"/>
      <c r="T228" s="6"/>
      <c r="U228" s="6"/>
      <c r="V228" s="6"/>
      <c r="W228" s="6"/>
      <c r="X228" s="6"/>
      <c r="Y228" s="6"/>
      <c r="Z228" s="7">
        <f t="shared" si="213"/>
        <v>0</v>
      </c>
      <c r="AA228" s="11">
        <f t="shared" si="183"/>
        <v>2120</v>
      </c>
      <c r="AB228" s="25"/>
      <c r="AC228" s="10" t="str">
        <f t="shared" si="184"/>
        <v>OutubroSEMANA 3Garfo Descartável</v>
      </c>
      <c r="AD228" s="7">
        <f>SUMIF(NF!$A:$A,$AC228,NF!$I:$I)</f>
        <v>0</v>
      </c>
      <c r="AE228" s="6"/>
      <c r="AF228" s="6"/>
      <c r="AG228" s="6"/>
      <c r="AH228" s="6"/>
      <c r="AI228" s="6"/>
      <c r="AJ228" s="6"/>
      <c r="AK228" s="6"/>
      <c r="AL228" s="7">
        <f t="shared" si="214"/>
        <v>0</v>
      </c>
      <c r="AM228" s="11">
        <f t="shared" si="186"/>
        <v>2120</v>
      </c>
      <c r="AN228" s="25"/>
      <c r="AO228" s="10" t="str">
        <f t="shared" si="187"/>
        <v>OutubroSEMANA 4Garfo Descartável</v>
      </c>
      <c r="AP228" s="7">
        <f>SUMIF(NF!$A:$A,$AO228,NF!$I:$I)</f>
        <v>0</v>
      </c>
      <c r="AQ228" s="6"/>
      <c r="AR228" s="6"/>
      <c r="AS228" s="6"/>
      <c r="AT228" s="6"/>
      <c r="AU228" s="6"/>
      <c r="AV228" s="6"/>
      <c r="AW228" s="6"/>
      <c r="AX228" s="7">
        <f t="shared" si="215"/>
        <v>0</v>
      </c>
      <c r="AY228" s="11">
        <f t="shared" si="189"/>
        <v>2120</v>
      </c>
      <c r="AZ228" s="25"/>
      <c r="BA228" s="10" t="str">
        <f t="shared" si="190"/>
        <v>OutubroSEMANA 5Garfo Descartável</v>
      </c>
      <c r="BB228" s="7">
        <f>SUMIF(NF!$A:$A,$BA228,NF!$I:$I)</f>
        <v>0</v>
      </c>
      <c r="BC228" s="6"/>
      <c r="BD228" s="6"/>
      <c r="BE228" s="6"/>
      <c r="BF228" s="74"/>
      <c r="BG228" s="74"/>
      <c r="BH228" s="74"/>
      <c r="BI228" s="74"/>
      <c r="BJ228" s="74"/>
      <c r="BK228" s="7">
        <f t="shared" si="216"/>
        <v>0</v>
      </c>
      <c r="BL228" s="8">
        <f t="shared" si="192"/>
        <v>2120</v>
      </c>
      <c r="BM228" s="51" t="str">
        <f>IFERROR(VLOOKUP(A228,NF!$M:$O,3,0),"")</f>
        <v>Descartável</v>
      </c>
      <c r="BN228" s="7">
        <f t="shared" si="193"/>
        <v>0</v>
      </c>
      <c r="BO228" s="8">
        <f t="array" ref="BO228">IFERROR(LARGE(IF(NF!$G$2:$G$3137='Mês atual'!A228,NF!$J$2:$J$3137),1),0)*BN228</f>
        <v>0</v>
      </c>
      <c r="BP228" s="50"/>
      <c r="BR228" s="147">
        <f t="array" ref="BR228">IFERROR(LARGE(IF(NF!$G$2:$G$3137='Mês atual'!A228,NF!$J$2:$J$3137),1),0)</f>
        <v>0</v>
      </c>
      <c r="BS228" s="143" t="str">
        <f>VLOOKUP(A228,NF!M:O,3,0)</f>
        <v>Descartável</v>
      </c>
    </row>
    <row r="229" spans="1:71" x14ac:dyDescent="0.25">
      <c r="A229" s="108" t="s">
        <v>876</v>
      </c>
      <c r="B229" s="12"/>
      <c r="C229" s="9"/>
      <c r="D229" s="25"/>
      <c r="E229" s="10" t="str">
        <f t="shared" si="178"/>
        <v>OutubroSEMANA 1Guardanapo Comum</v>
      </c>
      <c r="F229" s="7">
        <f>SUMIF(NF!$A:$A,$E229,NF!$I:$I)</f>
        <v>0</v>
      </c>
      <c r="G229" s="6"/>
      <c r="H229" s="6"/>
      <c r="I229" s="6"/>
      <c r="J229" s="6"/>
      <c r="K229" s="6"/>
      <c r="L229" s="6"/>
      <c r="M229" s="6"/>
      <c r="N229" s="7">
        <f t="shared" si="212"/>
        <v>0</v>
      </c>
      <c r="O229" s="11">
        <f t="shared" si="180"/>
        <v>0</v>
      </c>
      <c r="P229" s="25"/>
      <c r="Q229" s="10" t="str">
        <f t="shared" si="181"/>
        <v>OutubroSEMANA 2Guardanapo Comum</v>
      </c>
      <c r="R229" s="7">
        <f>SUMIF(NF!$A:$A,$Q229,NF!$I:$I)</f>
        <v>0</v>
      </c>
      <c r="S229" s="6"/>
      <c r="T229" s="6"/>
      <c r="U229" s="6"/>
      <c r="V229" s="6"/>
      <c r="W229" s="6"/>
      <c r="X229" s="6"/>
      <c r="Y229" s="6"/>
      <c r="Z229" s="7">
        <f t="shared" si="213"/>
        <v>0</v>
      </c>
      <c r="AA229" s="11">
        <f t="shared" si="183"/>
        <v>0</v>
      </c>
      <c r="AB229" s="25"/>
      <c r="AC229" s="10" t="str">
        <f t="shared" si="184"/>
        <v>OutubroSEMANA 3Guardanapo Comum</v>
      </c>
      <c r="AD229" s="7">
        <f>SUMIF(NF!$A:$A,$AC229,NF!$I:$I)</f>
        <v>0</v>
      </c>
      <c r="AE229" s="6"/>
      <c r="AF229" s="6"/>
      <c r="AG229" s="6"/>
      <c r="AH229" s="6"/>
      <c r="AI229" s="6"/>
      <c r="AJ229" s="6"/>
      <c r="AK229" s="6"/>
      <c r="AL229" s="7">
        <f t="shared" si="214"/>
        <v>0</v>
      </c>
      <c r="AM229" s="11">
        <f t="shared" si="186"/>
        <v>0</v>
      </c>
      <c r="AN229" s="25"/>
      <c r="AO229" s="10" t="str">
        <f t="shared" si="187"/>
        <v>OutubroSEMANA 4Guardanapo Comum</v>
      </c>
      <c r="AP229" s="7">
        <f>SUMIF(NF!$A:$A,$AO229,NF!$I:$I)</f>
        <v>0</v>
      </c>
      <c r="AQ229" s="6"/>
      <c r="AR229" s="6"/>
      <c r="AS229" s="6"/>
      <c r="AT229" s="6"/>
      <c r="AU229" s="6"/>
      <c r="AV229" s="6"/>
      <c r="AW229" s="6"/>
      <c r="AX229" s="7">
        <f t="shared" si="215"/>
        <v>0</v>
      </c>
      <c r="AY229" s="11">
        <f t="shared" si="189"/>
        <v>0</v>
      </c>
      <c r="AZ229" s="25"/>
      <c r="BA229" s="10" t="str">
        <f t="shared" si="190"/>
        <v>OutubroSEMANA 5Guardanapo Comum</v>
      </c>
      <c r="BB229" s="7">
        <f>SUMIF(NF!$A:$A,$BA229,NF!$I:$I)</f>
        <v>0</v>
      </c>
      <c r="BC229" s="6"/>
      <c r="BD229" s="6"/>
      <c r="BE229" s="6"/>
      <c r="BF229" s="74"/>
      <c r="BG229" s="74"/>
      <c r="BH229" s="74"/>
      <c r="BI229" s="74"/>
      <c r="BJ229" s="74"/>
      <c r="BK229" s="7">
        <f t="shared" si="216"/>
        <v>0</v>
      </c>
      <c r="BL229" s="8">
        <f t="shared" si="192"/>
        <v>0</v>
      </c>
      <c r="BM229" s="51" t="str">
        <f>IFERROR(VLOOKUP(A229,NF!$M:$O,3,0),"")</f>
        <v>Descartável</v>
      </c>
      <c r="BN229" s="7">
        <f t="shared" si="193"/>
        <v>0</v>
      </c>
      <c r="BO229" s="8">
        <f t="array" ref="BO229">IFERROR(LARGE(IF(NF!$G$2:$G$3137='Mês atual'!A229,NF!$J$2:$J$3137),1),0)*BN229</f>
        <v>0</v>
      </c>
      <c r="BP229" s="50"/>
      <c r="BR229" s="147">
        <f t="array" ref="BR229">IFERROR(LARGE(IF(NF!$G$2:$G$3137='Mês atual'!A229,NF!$J$2:$J$3137),1),0)</f>
        <v>0</v>
      </c>
      <c r="BS229" s="143" t="str">
        <f>VLOOKUP(A229,NF!M:O,3,0)</f>
        <v>Descartável</v>
      </c>
    </row>
    <row r="230" spans="1:71" x14ac:dyDescent="0.25">
      <c r="A230" s="108" t="s">
        <v>399</v>
      </c>
      <c r="B230" s="12"/>
      <c r="C230" s="9">
        <v>178</v>
      </c>
      <c r="D230" s="25"/>
      <c r="E230" s="10" t="str">
        <f t="shared" si="178"/>
        <v>OutubroSEMANA 1Guardanapo Pequeno</v>
      </c>
      <c r="F230" s="7">
        <f>SUMIF(NF!$A:$A,$E230,NF!$I:$I)</f>
        <v>192</v>
      </c>
      <c r="G230" s="6">
        <v>28</v>
      </c>
      <c r="H230" s="6"/>
      <c r="I230" s="6"/>
      <c r="J230" s="6">
        <v>25</v>
      </c>
      <c r="K230" s="6"/>
      <c r="L230" s="6"/>
      <c r="M230" s="6">
        <v>32</v>
      </c>
      <c r="N230" s="7">
        <f t="shared" si="212"/>
        <v>85</v>
      </c>
      <c r="O230" s="11">
        <f t="shared" si="180"/>
        <v>285</v>
      </c>
      <c r="P230" s="25"/>
      <c r="Q230" s="10" t="str">
        <f t="shared" si="181"/>
        <v>OutubroSEMANA 2Guardanapo Pequeno</v>
      </c>
      <c r="R230" s="7">
        <f>SUMIF(NF!$A:$A,$Q230,NF!$I:$I)</f>
        <v>0</v>
      </c>
      <c r="S230" s="6">
        <v>25</v>
      </c>
      <c r="T230" s="6"/>
      <c r="U230" s="6">
        <v>32</v>
      </c>
      <c r="V230" s="6"/>
      <c r="W230" s="6"/>
      <c r="X230" s="6">
        <v>23</v>
      </c>
      <c r="Y230" s="6">
        <v>31</v>
      </c>
      <c r="Z230" s="7">
        <f t="shared" si="213"/>
        <v>111</v>
      </c>
      <c r="AA230" s="11">
        <f t="shared" si="183"/>
        <v>174</v>
      </c>
      <c r="AB230" s="25"/>
      <c r="AC230" s="10" t="str">
        <f t="shared" si="184"/>
        <v>OutubroSEMANA 3Guardanapo Pequeno</v>
      </c>
      <c r="AD230" s="7">
        <f>SUMIF(NF!$A:$A,$AC230,NF!$I:$I)</f>
        <v>0</v>
      </c>
      <c r="AE230" s="6"/>
      <c r="AF230" s="6"/>
      <c r="AG230" s="6">
        <v>39</v>
      </c>
      <c r="AH230" s="6"/>
      <c r="AI230" s="6"/>
      <c r="AJ230" s="6"/>
      <c r="AK230" s="6">
        <v>33</v>
      </c>
      <c r="AL230" s="7">
        <f t="shared" si="214"/>
        <v>72</v>
      </c>
      <c r="AM230" s="11">
        <f t="shared" si="186"/>
        <v>102</v>
      </c>
      <c r="AN230" s="25"/>
      <c r="AO230" s="10" t="str">
        <f t="shared" si="187"/>
        <v>OutubroSEMANA 4Guardanapo Pequeno</v>
      </c>
      <c r="AP230" s="7">
        <f>SUMIF(NF!$A:$A,$AO230,NF!$I:$I)</f>
        <v>192</v>
      </c>
      <c r="AQ230" s="6"/>
      <c r="AR230" s="6"/>
      <c r="AS230" s="6">
        <f>34+8</f>
        <v>42</v>
      </c>
      <c r="AT230" s="6"/>
      <c r="AU230" s="6"/>
      <c r="AV230" s="6">
        <v>25</v>
      </c>
      <c r="AW230" s="6"/>
      <c r="AX230" s="7">
        <f t="shared" si="215"/>
        <v>67</v>
      </c>
      <c r="AY230" s="11">
        <f t="shared" si="189"/>
        <v>227</v>
      </c>
      <c r="AZ230" s="25"/>
      <c r="BA230" s="10" t="str">
        <f t="shared" si="190"/>
        <v>OutubroSEMANA 5Guardanapo Pequeno</v>
      </c>
      <c r="BB230" s="7">
        <f>SUMIF(NF!$A:$A,$BA230,NF!$I:$I)</f>
        <v>0</v>
      </c>
      <c r="BC230" s="6"/>
      <c r="BD230" s="6">
        <v>35</v>
      </c>
      <c r="BE230" s="6">
        <v>35</v>
      </c>
      <c r="BF230" s="74"/>
      <c r="BG230" s="74"/>
      <c r="BH230" s="74"/>
      <c r="BI230" s="74"/>
      <c r="BJ230" s="74"/>
      <c r="BK230" s="7">
        <f t="shared" si="216"/>
        <v>70</v>
      </c>
      <c r="BL230" s="8">
        <f t="shared" si="192"/>
        <v>157</v>
      </c>
      <c r="BM230" s="51" t="str">
        <f>IFERROR(VLOOKUP(A230,NF!$M:$O,3,0),"")</f>
        <v>Descartável</v>
      </c>
      <c r="BN230" s="7">
        <f t="shared" si="193"/>
        <v>405</v>
      </c>
      <c r="BO230" s="8">
        <f t="array" ref="BO230">IFERROR(LARGE(IF(NF!$G$2:$G$3137='Mês atual'!A230,NF!$J$2:$J$3137),1),0)*BN230</f>
        <v>719.52890624999998</v>
      </c>
      <c r="BP230" s="50"/>
      <c r="BR230" s="147">
        <f t="array" ref="BR230">IFERROR(LARGE(IF(NF!$G$2:$G$3137='Mês atual'!A230,NF!$J$2:$J$3137),1),0)</f>
        <v>1.7766145833333333</v>
      </c>
      <c r="BS230" s="143" t="str">
        <f>VLOOKUP(A230,NF!M:O,3,0)</f>
        <v>Descartável</v>
      </c>
    </row>
    <row r="231" spans="1:71" x14ac:dyDescent="0.25">
      <c r="A231" s="108" t="s">
        <v>401</v>
      </c>
      <c r="B231" s="12"/>
      <c r="C231" s="9">
        <v>3</v>
      </c>
      <c r="D231" s="25"/>
      <c r="E231" s="10" t="str">
        <f t="shared" si="178"/>
        <v>OutubroSEMANA 1Higienizador de Assento Sanitário</v>
      </c>
      <c r="F231" s="7">
        <f>SUMIF(NF!$A:$A,$E231,NF!$I:$I)</f>
        <v>0</v>
      </c>
      <c r="G231" s="6"/>
      <c r="H231" s="6"/>
      <c r="I231" s="6"/>
      <c r="J231" s="6"/>
      <c r="K231" s="6"/>
      <c r="L231" s="6"/>
      <c r="M231" s="6"/>
      <c r="N231" s="7">
        <f t="shared" si="212"/>
        <v>0</v>
      </c>
      <c r="O231" s="11">
        <f t="shared" si="180"/>
        <v>3</v>
      </c>
      <c r="P231" s="25"/>
      <c r="Q231" s="10" t="str">
        <f t="shared" si="181"/>
        <v>OutubroSEMANA 2Higienizador de Assento Sanitário</v>
      </c>
      <c r="R231" s="7">
        <f>SUMIF(NF!$A:$A,$Q231,NF!$I:$I)</f>
        <v>0</v>
      </c>
      <c r="S231" s="6"/>
      <c r="T231" s="6"/>
      <c r="U231" s="6"/>
      <c r="V231" s="6"/>
      <c r="W231" s="6"/>
      <c r="X231" s="6"/>
      <c r="Y231" s="6"/>
      <c r="Z231" s="7">
        <f t="shared" si="213"/>
        <v>0</v>
      </c>
      <c r="AA231" s="11">
        <f t="shared" si="183"/>
        <v>3</v>
      </c>
      <c r="AB231" s="25"/>
      <c r="AC231" s="10" t="str">
        <f t="shared" si="184"/>
        <v>OutubroSEMANA 3Higienizador de Assento Sanitário</v>
      </c>
      <c r="AD231" s="7">
        <f>SUMIF(NF!$A:$A,$AC231,NF!$I:$I)</f>
        <v>0</v>
      </c>
      <c r="AE231" s="6"/>
      <c r="AF231" s="6"/>
      <c r="AG231" s="6"/>
      <c r="AH231" s="6"/>
      <c r="AI231" s="6"/>
      <c r="AJ231" s="6"/>
      <c r="AK231" s="6"/>
      <c r="AL231" s="7">
        <f t="shared" si="214"/>
        <v>0</v>
      </c>
      <c r="AM231" s="11">
        <f t="shared" si="186"/>
        <v>3</v>
      </c>
      <c r="AN231" s="25"/>
      <c r="AO231" s="10" t="str">
        <f t="shared" si="187"/>
        <v>OutubroSEMANA 4Higienizador de Assento Sanitário</v>
      </c>
      <c r="AP231" s="7">
        <f>SUMIF(NF!$A:$A,$AO231,NF!$I:$I)</f>
        <v>0</v>
      </c>
      <c r="AQ231" s="6"/>
      <c r="AR231" s="6"/>
      <c r="AS231" s="6"/>
      <c r="AT231" s="6"/>
      <c r="AU231" s="6"/>
      <c r="AV231" s="6"/>
      <c r="AW231" s="6"/>
      <c r="AX231" s="7">
        <f t="shared" si="215"/>
        <v>0</v>
      </c>
      <c r="AY231" s="11">
        <f t="shared" si="189"/>
        <v>3</v>
      </c>
      <c r="AZ231" s="25"/>
      <c r="BA231" s="10" t="str">
        <f t="shared" si="190"/>
        <v>OutubroSEMANA 5Higienizador de Assento Sanitário</v>
      </c>
      <c r="BB231" s="7">
        <f>SUMIF(NF!$A:$A,$BA231,NF!$I:$I)</f>
        <v>0</v>
      </c>
      <c r="BC231" s="6"/>
      <c r="BD231" s="6"/>
      <c r="BE231" s="6"/>
      <c r="BF231" s="74"/>
      <c r="BG231" s="74"/>
      <c r="BH231" s="74"/>
      <c r="BI231" s="74"/>
      <c r="BJ231" s="74"/>
      <c r="BK231" s="7">
        <f t="shared" si="216"/>
        <v>0</v>
      </c>
      <c r="BL231" s="8">
        <f t="shared" si="192"/>
        <v>3</v>
      </c>
      <c r="BM231" s="51" t="str">
        <f>IFERROR(VLOOKUP(A231,NF!$M:$O,3,0),"")</f>
        <v>Descartável</v>
      </c>
      <c r="BN231" s="7">
        <f t="shared" si="193"/>
        <v>0</v>
      </c>
      <c r="BO231" s="8">
        <f t="array" ref="BO231">IFERROR(LARGE(IF(NF!$G$2:$G$3137='Mês atual'!A231,NF!$J$2:$J$3137),1),0)*BN231</f>
        <v>0</v>
      </c>
      <c r="BP231" s="50"/>
      <c r="BR231" s="147">
        <f t="array" ref="BR231">IFERROR(LARGE(IF(NF!$G$2:$G$3137='Mês atual'!A231,NF!$J$2:$J$3137),1),0)</f>
        <v>0</v>
      </c>
      <c r="BS231" s="143" t="str">
        <f>VLOOKUP(A231,NF!M:O,3,0)</f>
        <v>Descartável</v>
      </c>
    </row>
    <row r="232" spans="1:71" x14ac:dyDescent="0.25">
      <c r="A232" s="108" t="s">
        <v>471</v>
      </c>
      <c r="B232" s="12"/>
      <c r="C232" s="9">
        <v>1</v>
      </c>
      <c r="D232" s="25"/>
      <c r="E232" s="10" t="str">
        <f t="shared" si="178"/>
        <v>OutubroSEMANA 1Luva Cano Longo</v>
      </c>
      <c r="F232" s="7">
        <f>SUMIF(NF!$A:$A,$E232,NF!$I:$I)</f>
        <v>3</v>
      </c>
      <c r="G232" s="6"/>
      <c r="H232" s="6"/>
      <c r="I232" s="6">
        <v>1</v>
      </c>
      <c r="J232" s="6"/>
      <c r="K232" s="6"/>
      <c r="L232" s="6"/>
      <c r="M232" s="6"/>
      <c r="N232" s="7">
        <f t="shared" si="212"/>
        <v>1</v>
      </c>
      <c r="O232" s="11">
        <f t="shared" si="180"/>
        <v>3</v>
      </c>
      <c r="P232" s="25"/>
      <c r="Q232" s="10" t="str">
        <f t="shared" si="181"/>
        <v>OutubroSEMANA 2Luva Cano Longo</v>
      </c>
      <c r="R232" s="7">
        <f>SUMIF(NF!$A:$A,$Q232,NF!$I:$I)</f>
        <v>0</v>
      </c>
      <c r="S232" s="6"/>
      <c r="T232" s="6"/>
      <c r="U232" s="6"/>
      <c r="V232" s="6"/>
      <c r="W232" s="6"/>
      <c r="X232" s="6"/>
      <c r="Y232" s="6"/>
      <c r="Z232" s="7">
        <f t="shared" si="213"/>
        <v>0</v>
      </c>
      <c r="AA232" s="11">
        <f t="shared" si="183"/>
        <v>3</v>
      </c>
      <c r="AB232" s="25"/>
      <c r="AC232" s="10" t="str">
        <f t="shared" si="184"/>
        <v>OutubroSEMANA 3Luva Cano Longo</v>
      </c>
      <c r="AD232" s="7">
        <f>SUMIF(NF!$A:$A,$AC232,NF!$I:$I)</f>
        <v>0</v>
      </c>
      <c r="AE232" s="6"/>
      <c r="AF232" s="6"/>
      <c r="AG232" s="6"/>
      <c r="AH232" s="6"/>
      <c r="AI232" s="6"/>
      <c r="AJ232" s="6"/>
      <c r="AK232" s="6"/>
      <c r="AL232" s="7">
        <f t="shared" si="214"/>
        <v>0</v>
      </c>
      <c r="AM232" s="11">
        <f t="shared" si="186"/>
        <v>3</v>
      </c>
      <c r="AN232" s="25"/>
      <c r="AO232" s="10" t="str">
        <f t="shared" si="187"/>
        <v>OutubroSEMANA 4Luva Cano Longo</v>
      </c>
      <c r="AP232" s="7">
        <f>SUMIF(NF!$A:$A,$AO232,NF!$I:$I)</f>
        <v>0</v>
      </c>
      <c r="AQ232" s="6"/>
      <c r="AR232" s="6"/>
      <c r="AS232" s="6"/>
      <c r="AT232" s="6"/>
      <c r="AU232" s="6"/>
      <c r="AV232" s="6"/>
      <c r="AW232" s="6"/>
      <c r="AX232" s="7">
        <f t="shared" si="215"/>
        <v>0</v>
      </c>
      <c r="AY232" s="11">
        <f t="shared" si="189"/>
        <v>3</v>
      </c>
      <c r="AZ232" s="25"/>
      <c r="BA232" s="10" t="str">
        <f t="shared" si="190"/>
        <v>OutubroSEMANA 5Luva Cano Longo</v>
      </c>
      <c r="BB232" s="7">
        <f>SUMIF(NF!$A:$A,$BA232,NF!$I:$I)</f>
        <v>0</v>
      </c>
      <c r="BC232" s="6"/>
      <c r="BD232" s="6"/>
      <c r="BE232" s="6"/>
      <c r="BF232" s="74"/>
      <c r="BG232" s="74"/>
      <c r="BH232" s="74"/>
      <c r="BI232" s="74"/>
      <c r="BJ232" s="74"/>
      <c r="BK232" s="7">
        <f t="shared" si="216"/>
        <v>0</v>
      </c>
      <c r="BL232" s="8">
        <f t="shared" si="192"/>
        <v>3</v>
      </c>
      <c r="BM232" s="51" t="str">
        <f>IFERROR(VLOOKUP(A232,NF!$M:$O,3,0),"")</f>
        <v>Descartável</v>
      </c>
      <c r="BN232" s="7">
        <f t="shared" si="193"/>
        <v>1</v>
      </c>
      <c r="BO232" s="8">
        <f t="array" ref="BO232">IFERROR(LARGE(IF(NF!$G$2:$G$3137='Mês atual'!A232,NF!$J$2:$J$3137),1),0)*BN232</f>
        <v>17.05</v>
      </c>
      <c r="BP232" s="50"/>
      <c r="BR232" s="147">
        <f t="array" ref="BR232">IFERROR(LARGE(IF(NF!$G$2:$G$3137='Mês atual'!A232,NF!$J$2:$J$3137),1),0)</f>
        <v>17.05</v>
      </c>
      <c r="BS232" s="143" t="str">
        <f>VLOOKUP(A232,NF!M:O,3,0)</f>
        <v>Descartável</v>
      </c>
    </row>
    <row r="233" spans="1:71" x14ac:dyDescent="0.25">
      <c r="A233" s="108" t="s">
        <v>472</v>
      </c>
      <c r="B233" s="12"/>
      <c r="C233" s="9">
        <v>2</v>
      </c>
      <c r="D233" s="25"/>
      <c r="E233" s="10" t="str">
        <f t="shared" si="178"/>
        <v>OutubroSEMANA 1Luva de Borraca Forrada</v>
      </c>
      <c r="F233" s="7">
        <f>SUMIF(NF!$A:$A,$E233,NF!$I:$I)</f>
        <v>3</v>
      </c>
      <c r="G233" s="6">
        <v>1</v>
      </c>
      <c r="H233" s="6"/>
      <c r="I233" s="6"/>
      <c r="J233" s="6">
        <v>1</v>
      </c>
      <c r="K233" s="6"/>
      <c r="L233" s="6"/>
      <c r="M233" s="6"/>
      <c r="N233" s="7">
        <f t="shared" si="212"/>
        <v>2</v>
      </c>
      <c r="O233" s="11">
        <f t="shared" si="180"/>
        <v>3</v>
      </c>
      <c r="P233" s="25"/>
      <c r="Q233" s="10" t="str">
        <f t="shared" si="181"/>
        <v>OutubroSEMANA 2Luva de Borraca Forrada</v>
      </c>
      <c r="R233" s="7">
        <f>SUMIF(NF!$A:$A,$Q233,NF!$I:$I)</f>
        <v>0</v>
      </c>
      <c r="S233" s="6"/>
      <c r="T233" s="6">
        <v>1</v>
      </c>
      <c r="U233" s="6"/>
      <c r="V233" s="6"/>
      <c r="W233" s="6"/>
      <c r="X233" s="6">
        <v>1</v>
      </c>
      <c r="Y233" s="6"/>
      <c r="Z233" s="7">
        <f t="shared" si="213"/>
        <v>2</v>
      </c>
      <c r="AA233" s="11">
        <f t="shared" si="183"/>
        <v>1</v>
      </c>
      <c r="AB233" s="25"/>
      <c r="AC233" s="10" t="str">
        <f t="shared" si="184"/>
        <v>OutubroSEMANA 3Luva de Borraca Forrada</v>
      </c>
      <c r="AD233" s="7">
        <f>SUMIF(NF!$A:$A,$AC233,NF!$I:$I)</f>
        <v>5</v>
      </c>
      <c r="AE233" s="6"/>
      <c r="AF233" s="6"/>
      <c r="AG233" s="6"/>
      <c r="AH233" s="6"/>
      <c r="AI233" s="6"/>
      <c r="AJ233" s="6"/>
      <c r="AK233" s="6">
        <v>1</v>
      </c>
      <c r="AL233" s="7">
        <f t="shared" si="214"/>
        <v>1</v>
      </c>
      <c r="AM233" s="11">
        <f t="shared" si="186"/>
        <v>5</v>
      </c>
      <c r="AN233" s="25"/>
      <c r="AO233" s="10" t="str">
        <f t="shared" si="187"/>
        <v>OutubroSEMANA 4Luva de Borraca Forrada</v>
      </c>
      <c r="AP233" s="7">
        <f>SUMIF(NF!$A:$A,$AO233,NF!$I:$I)</f>
        <v>0</v>
      </c>
      <c r="AQ233" s="6"/>
      <c r="AR233" s="6"/>
      <c r="AS233" s="6">
        <v>1</v>
      </c>
      <c r="AT233" s="6">
        <v>1</v>
      </c>
      <c r="AU233" s="6"/>
      <c r="AV233" s="6">
        <v>1</v>
      </c>
      <c r="AW233" s="6"/>
      <c r="AX233" s="7">
        <f t="shared" si="215"/>
        <v>3</v>
      </c>
      <c r="AY233" s="11">
        <f t="shared" si="189"/>
        <v>2</v>
      </c>
      <c r="AZ233" s="25"/>
      <c r="BA233" s="10" t="str">
        <f t="shared" si="190"/>
        <v>OutubroSEMANA 5Luva de Borraca Forrada</v>
      </c>
      <c r="BB233" s="7">
        <f>SUMIF(NF!$A:$A,$BA233,NF!$I:$I)</f>
        <v>0</v>
      </c>
      <c r="BC233" s="6">
        <v>1</v>
      </c>
      <c r="BD233" s="6"/>
      <c r="BE233" s="6"/>
      <c r="BF233" s="74"/>
      <c r="BG233" s="74"/>
      <c r="BH233" s="74"/>
      <c r="BI233" s="74"/>
      <c r="BJ233" s="74"/>
      <c r="BK233" s="7">
        <f t="shared" si="216"/>
        <v>1</v>
      </c>
      <c r="BL233" s="8">
        <f t="shared" si="192"/>
        <v>1</v>
      </c>
      <c r="BM233" s="51" t="str">
        <f>IFERROR(VLOOKUP(A233,NF!$M:$O,3,0),"")</f>
        <v>Descartável</v>
      </c>
      <c r="BN233" s="7">
        <f t="shared" si="193"/>
        <v>9</v>
      </c>
      <c r="BO233" s="8">
        <f t="array" ref="BO233">IFERROR(LARGE(IF(NF!$G$2:$G$3137='Mês atual'!A233,NF!$J$2:$J$3137),1),0)*BN233</f>
        <v>44.1</v>
      </c>
      <c r="BP233" s="50"/>
      <c r="BR233" s="147">
        <f t="array" ref="BR233">IFERROR(LARGE(IF(NF!$G$2:$G$3137='Mês atual'!A233,NF!$J$2:$J$3137),1),0)</f>
        <v>4.9000000000000004</v>
      </c>
      <c r="BS233" s="143" t="str">
        <f>VLOOKUP(A233,NF!M:O,3,0)</f>
        <v>Descartável</v>
      </c>
    </row>
    <row r="234" spans="1:71" x14ac:dyDescent="0.25">
      <c r="A234" s="108" t="s">
        <v>473</v>
      </c>
      <c r="B234" s="12"/>
      <c r="C234" s="9">
        <v>3</v>
      </c>
      <c r="D234" s="25"/>
      <c r="E234" s="10" t="str">
        <f t="shared" si="178"/>
        <v>OutubroSEMANA 1Luva Descartável c/ 100</v>
      </c>
      <c r="F234" s="7">
        <f>SUMIF(NF!$A:$A,$E234,NF!$I:$I)</f>
        <v>4</v>
      </c>
      <c r="G234" s="6">
        <v>1</v>
      </c>
      <c r="H234" s="6"/>
      <c r="I234" s="6"/>
      <c r="J234" s="6"/>
      <c r="K234" s="6"/>
      <c r="L234" s="6"/>
      <c r="M234" s="6"/>
      <c r="N234" s="7">
        <f t="shared" ref="N234" si="217">SUM(G234:M234)</f>
        <v>1</v>
      </c>
      <c r="O234" s="11">
        <f t="shared" si="180"/>
        <v>6</v>
      </c>
      <c r="P234" s="25"/>
      <c r="Q234" s="10" t="str">
        <f t="shared" si="181"/>
        <v>OutubroSEMANA 2Luva Descartável c/ 100</v>
      </c>
      <c r="R234" s="7">
        <f>SUMIF(NF!$A:$A,$Q234,NF!$I:$I)</f>
        <v>0</v>
      </c>
      <c r="S234" s="6">
        <v>1</v>
      </c>
      <c r="T234" s="6"/>
      <c r="U234" s="6"/>
      <c r="V234" s="6"/>
      <c r="W234" s="6"/>
      <c r="X234" s="6">
        <v>1</v>
      </c>
      <c r="Y234" s="6">
        <v>1</v>
      </c>
      <c r="Z234" s="7">
        <f t="shared" ref="Z234" si="218">SUM(S234:Y234)</f>
        <v>3</v>
      </c>
      <c r="AA234" s="11">
        <f t="shared" si="183"/>
        <v>3</v>
      </c>
      <c r="AB234" s="25"/>
      <c r="AC234" s="10" t="str">
        <f t="shared" si="184"/>
        <v>OutubroSEMANA 3Luva Descartável c/ 100</v>
      </c>
      <c r="AD234" s="7">
        <f>SUMIF(NF!$A:$A,$AC234,NF!$I:$I)</f>
        <v>3</v>
      </c>
      <c r="AE234" s="6"/>
      <c r="AF234" s="6"/>
      <c r="AG234" s="6"/>
      <c r="AH234" s="6"/>
      <c r="AI234" s="6">
        <v>1</v>
      </c>
      <c r="AJ234" s="6"/>
      <c r="AK234" s="6"/>
      <c r="AL234" s="7">
        <f t="shared" ref="AL234" si="219">SUM(AE234:AK234)</f>
        <v>1</v>
      </c>
      <c r="AM234" s="11">
        <f t="shared" si="186"/>
        <v>5</v>
      </c>
      <c r="AN234" s="25"/>
      <c r="AO234" s="10" t="str">
        <f t="shared" si="187"/>
        <v>OutubroSEMANA 4Luva Descartável c/ 100</v>
      </c>
      <c r="AP234" s="7">
        <f>SUMIF(NF!$A:$A,$AO234,NF!$I:$I)</f>
        <v>0</v>
      </c>
      <c r="AQ234" s="6"/>
      <c r="AR234" s="6"/>
      <c r="AS234" s="6"/>
      <c r="AT234" s="6">
        <v>1</v>
      </c>
      <c r="AU234" s="6"/>
      <c r="AV234" s="6"/>
      <c r="AW234" s="6"/>
      <c r="AX234" s="7">
        <f t="shared" ref="AX234" si="220">SUM(AQ234:AW234)</f>
        <v>1</v>
      </c>
      <c r="AY234" s="11">
        <f t="shared" si="189"/>
        <v>4</v>
      </c>
      <c r="AZ234" s="25"/>
      <c r="BA234" s="10" t="str">
        <f t="shared" si="190"/>
        <v>OutubroSEMANA 5Luva Descartável c/ 100</v>
      </c>
      <c r="BB234" s="7">
        <f>SUMIF(NF!$A:$A,$BA234,NF!$I:$I)</f>
        <v>0</v>
      </c>
      <c r="BC234" s="6"/>
      <c r="BD234" s="6"/>
      <c r="BE234" s="6">
        <v>1</v>
      </c>
      <c r="BF234" s="74"/>
      <c r="BG234" s="74"/>
      <c r="BH234" s="74"/>
      <c r="BI234" s="74"/>
      <c r="BJ234" s="74"/>
      <c r="BK234" s="7">
        <f t="shared" ref="BK234" si="221">SUM(BC234:BJ234)</f>
        <v>1</v>
      </c>
      <c r="BL234" s="8">
        <f t="shared" si="192"/>
        <v>3</v>
      </c>
      <c r="BM234" s="51" t="str">
        <f>IFERROR(VLOOKUP(A234,NF!$M:$O,3,0),"")</f>
        <v>Descartável</v>
      </c>
      <c r="BN234" s="7">
        <f t="shared" si="193"/>
        <v>7</v>
      </c>
      <c r="BO234" s="8">
        <f t="array" ref="BO234">IFERROR(LARGE(IF(NF!$G$2:$G$3137='Mês atual'!A234,NF!$J$2:$J$3137),1),0)*BN234</f>
        <v>11.76</v>
      </c>
      <c r="BP234" s="50"/>
      <c r="BR234" s="147">
        <f t="array" ref="BR234">IFERROR(LARGE(IF(NF!$G$2:$G$3137='Mês atual'!A234,NF!$J$2:$J$3137),1),0)</f>
        <v>1.68</v>
      </c>
      <c r="BS234" s="143" t="str">
        <f>VLOOKUP(A234,NF!M:O,3,0)</f>
        <v>Descartável</v>
      </c>
    </row>
    <row r="235" spans="1:71" x14ac:dyDescent="0.25">
      <c r="A235" s="108" t="s">
        <v>474</v>
      </c>
      <c r="B235" s="12"/>
      <c r="C235" s="9"/>
      <c r="D235" s="25"/>
      <c r="E235" s="10" t="str">
        <f t="shared" si="178"/>
        <v>OutubroSEMANA 1Luva Látex para Procedimento</v>
      </c>
      <c r="F235" s="7">
        <f>SUMIF(NF!$A:$A,$E235,NF!$I:$I)</f>
        <v>0</v>
      </c>
      <c r="G235" s="6"/>
      <c r="H235" s="6"/>
      <c r="I235" s="6"/>
      <c r="J235" s="6"/>
      <c r="K235" s="6"/>
      <c r="L235" s="6"/>
      <c r="M235" s="6"/>
      <c r="N235" s="7">
        <f t="shared" ref="N235:N257" si="222">SUM(G235:M235)</f>
        <v>0</v>
      </c>
      <c r="O235" s="11">
        <f t="shared" si="180"/>
        <v>0</v>
      </c>
      <c r="P235" s="25"/>
      <c r="Q235" s="10" t="str">
        <f t="shared" si="181"/>
        <v>OutubroSEMANA 2Luva Látex para Procedimento</v>
      </c>
      <c r="R235" s="7">
        <f>SUMIF(NF!$A:$A,$Q235,NF!$I:$I)</f>
        <v>0</v>
      </c>
      <c r="S235" s="6"/>
      <c r="T235" s="6"/>
      <c r="U235" s="6"/>
      <c r="V235" s="6"/>
      <c r="W235" s="6"/>
      <c r="X235" s="6"/>
      <c r="Y235" s="6"/>
      <c r="Z235" s="7">
        <f t="shared" ref="Z235:Z257" si="223">SUM(S235:Y235)</f>
        <v>0</v>
      </c>
      <c r="AA235" s="11">
        <f t="shared" si="183"/>
        <v>0</v>
      </c>
      <c r="AB235" s="25"/>
      <c r="AC235" s="10" t="str">
        <f t="shared" si="184"/>
        <v>OutubroSEMANA 3Luva Látex para Procedimento</v>
      </c>
      <c r="AD235" s="7">
        <f>SUMIF(NF!$A:$A,$AC235,NF!$I:$I)</f>
        <v>0</v>
      </c>
      <c r="AE235" s="6"/>
      <c r="AF235" s="6"/>
      <c r="AG235" s="6"/>
      <c r="AH235" s="6"/>
      <c r="AI235" s="6"/>
      <c r="AJ235" s="6"/>
      <c r="AK235" s="6"/>
      <c r="AL235" s="7">
        <f t="shared" ref="AL235:AL257" si="224">SUM(AE235:AK235)</f>
        <v>0</v>
      </c>
      <c r="AM235" s="11">
        <f t="shared" si="186"/>
        <v>0</v>
      </c>
      <c r="AN235" s="25"/>
      <c r="AO235" s="10" t="str">
        <f t="shared" si="187"/>
        <v>OutubroSEMANA 4Luva Látex para Procedimento</v>
      </c>
      <c r="AP235" s="7">
        <f>SUMIF(NF!$A:$A,$AO235,NF!$I:$I)</f>
        <v>0</v>
      </c>
      <c r="AQ235" s="6"/>
      <c r="AR235" s="6"/>
      <c r="AS235" s="6"/>
      <c r="AT235" s="6"/>
      <c r="AU235" s="6"/>
      <c r="AV235" s="6"/>
      <c r="AW235" s="6"/>
      <c r="AX235" s="7">
        <f t="shared" ref="AX235:AX257" si="225">SUM(AQ235:AW235)</f>
        <v>0</v>
      </c>
      <c r="AY235" s="11">
        <f t="shared" si="189"/>
        <v>0</v>
      </c>
      <c r="AZ235" s="25"/>
      <c r="BA235" s="10" t="str">
        <f t="shared" si="190"/>
        <v>OutubroSEMANA 5Luva Látex para Procedimento</v>
      </c>
      <c r="BB235" s="7">
        <f>SUMIF(NF!$A:$A,$BA235,NF!$I:$I)</f>
        <v>0</v>
      </c>
      <c r="BC235" s="6"/>
      <c r="BD235" s="6"/>
      <c r="BE235" s="6"/>
      <c r="BF235" s="74"/>
      <c r="BG235" s="74"/>
      <c r="BH235" s="74"/>
      <c r="BI235" s="74"/>
      <c r="BJ235" s="74"/>
      <c r="BK235" s="7">
        <f t="shared" ref="BK235:BK257" si="226">SUM(BC235:BJ235)</f>
        <v>0</v>
      </c>
      <c r="BL235" s="8">
        <f t="shared" si="192"/>
        <v>0</v>
      </c>
      <c r="BM235" s="51" t="str">
        <f>IFERROR(VLOOKUP(A235,NF!$M:$O,3,0),"")</f>
        <v>Descartável</v>
      </c>
      <c r="BN235" s="7">
        <f t="shared" si="193"/>
        <v>0</v>
      </c>
      <c r="BO235" s="8">
        <f t="array" ref="BO235">IFERROR(LARGE(IF(NF!$G$2:$G$3137='Mês atual'!A235,NF!$J$2:$J$3137),1),0)*BN235</f>
        <v>0</v>
      </c>
      <c r="BP235" s="50"/>
      <c r="BR235" s="147">
        <f t="array" ref="BR235">IFERROR(LARGE(IF(NF!$G$2:$G$3137='Mês atual'!A235,NF!$J$2:$J$3137),1),0)</f>
        <v>0</v>
      </c>
      <c r="BS235" s="143" t="str">
        <f>VLOOKUP(A235,NF!M:O,3,0)</f>
        <v>Descartável</v>
      </c>
    </row>
    <row r="236" spans="1:71" x14ac:dyDescent="0.25">
      <c r="A236" s="108" t="s">
        <v>554</v>
      </c>
      <c r="B236" s="12"/>
      <c r="C236" s="9">
        <v>3</v>
      </c>
      <c r="D236" s="25"/>
      <c r="E236" s="10" t="str">
        <f t="shared" si="178"/>
        <v>OutubroSEMANA 1Palito Sache Cx 2000</v>
      </c>
      <c r="F236" s="7">
        <f>SUMIF(NF!$A:$A,$E236,NF!$I:$I)</f>
        <v>0</v>
      </c>
      <c r="G236" s="6"/>
      <c r="H236" s="6"/>
      <c r="I236" s="6"/>
      <c r="J236" s="6">
        <v>1</v>
      </c>
      <c r="K236" s="6"/>
      <c r="L236" s="6"/>
      <c r="M236" s="6"/>
      <c r="N236" s="7">
        <f t="shared" si="222"/>
        <v>1</v>
      </c>
      <c r="O236" s="11">
        <f t="shared" si="180"/>
        <v>2</v>
      </c>
      <c r="P236" s="25"/>
      <c r="Q236" s="10" t="str">
        <f t="shared" si="181"/>
        <v>OutubroSEMANA 2Palito Sache Cx 2000</v>
      </c>
      <c r="R236" s="7">
        <f>SUMIF(NF!$A:$A,$Q236,NF!$I:$I)</f>
        <v>0</v>
      </c>
      <c r="S236" s="6"/>
      <c r="T236" s="6"/>
      <c r="U236" s="6"/>
      <c r="V236" s="6"/>
      <c r="W236" s="6"/>
      <c r="X236" s="6"/>
      <c r="Y236" s="6"/>
      <c r="Z236" s="7">
        <f t="shared" si="223"/>
        <v>0</v>
      </c>
      <c r="AA236" s="11">
        <f t="shared" si="183"/>
        <v>2</v>
      </c>
      <c r="AB236" s="25"/>
      <c r="AC236" s="10" t="str">
        <f t="shared" si="184"/>
        <v>OutubroSEMANA 3Palito Sache Cx 2000</v>
      </c>
      <c r="AD236" s="7">
        <f>SUMIF(NF!$A:$A,$AC236,NF!$I:$I)</f>
        <v>0</v>
      </c>
      <c r="AE236" s="6"/>
      <c r="AF236" s="6"/>
      <c r="AG236" s="6"/>
      <c r="AH236" s="6"/>
      <c r="AI236" s="6"/>
      <c r="AJ236" s="6"/>
      <c r="AK236" s="6"/>
      <c r="AL236" s="7">
        <f t="shared" si="224"/>
        <v>0</v>
      </c>
      <c r="AM236" s="11">
        <f t="shared" si="186"/>
        <v>2</v>
      </c>
      <c r="AN236" s="25"/>
      <c r="AO236" s="10" t="str">
        <f t="shared" si="187"/>
        <v>OutubroSEMANA 4Palito Sache Cx 2000</v>
      </c>
      <c r="AP236" s="7">
        <f>SUMIF(NF!$A:$A,$AO236,NF!$I:$I)</f>
        <v>0</v>
      </c>
      <c r="AQ236" s="6"/>
      <c r="AR236" s="6"/>
      <c r="AS236" s="6"/>
      <c r="AT236" s="6"/>
      <c r="AU236" s="6"/>
      <c r="AV236" s="6"/>
      <c r="AW236" s="6"/>
      <c r="AX236" s="7">
        <f t="shared" si="225"/>
        <v>0</v>
      </c>
      <c r="AY236" s="11">
        <f t="shared" si="189"/>
        <v>2</v>
      </c>
      <c r="AZ236" s="25"/>
      <c r="BA236" s="10" t="str">
        <f t="shared" si="190"/>
        <v>OutubroSEMANA 5Palito Sache Cx 2000</v>
      </c>
      <c r="BB236" s="7">
        <f>SUMIF(NF!$A:$A,$BA236,NF!$I:$I)</f>
        <v>0</v>
      </c>
      <c r="BC236" s="6"/>
      <c r="BD236" s="6"/>
      <c r="BE236" s="6"/>
      <c r="BF236" s="74"/>
      <c r="BG236" s="74"/>
      <c r="BH236" s="74"/>
      <c r="BI236" s="74"/>
      <c r="BJ236" s="74"/>
      <c r="BK236" s="7">
        <f t="shared" si="226"/>
        <v>0</v>
      </c>
      <c r="BL236" s="8">
        <f t="shared" si="192"/>
        <v>2</v>
      </c>
      <c r="BM236" s="51" t="str">
        <f>IFERROR(VLOOKUP(A236,NF!$M:$O,3,0),"")</f>
        <v>Descartável</v>
      </c>
      <c r="BN236" s="7">
        <f t="shared" si="193"/>
        <v>1</v>
      </c>
      <c r="BO236" s="8">
        <f t="array" ref="BO236">IFERROR(LARGE(IF(NF!$G$2:$G$3137='Mês atual'!A236,NF!$J$2:$J$3137),1),0)*BN236</f>
        <v>0</v>
      </c>
      <c r="BP236" s="50"/>
      <c r="BR236" s="147">
        <f t="array" ref="BR236">IFERROR(LARGE(IF(NF!$G$2:$G$3137='Mês atual'!A236,NF!$J$2:$J$3137),1),0)</f>
        <v>0</v>
      </c>
      <c r="BS236" s="143" t="str">
        <f>VLOOKUP(A236,NF!M:O,3,0)</f>
        <v>Descartável</v>
      </c>
    </row>
    <row r="237" spans="1:71" x14ac:dyDescent="0.25">
      <c r="A237" s="108" t="s">
        <v>555</v>
      </c>
      <c r="B237" s="12"/>
      <c r="C237" s="9">
        <v>20</v>
      </c>
      <c r="D237" s="25"/>
      <c r="E237" s="10" t="str">
        <f t="shared" si="178"/>
        <v>OutubroSEMANA 1Palito Waribashi</v>
      </c>
      <c r="F237" s="7">
        <f>SUMIF(NF!$A:$A,$E237,NF!$I:$I)</f>
        <v>0</v>
      </c>
      <c r="G237" s="6"/>
      <c r="H237" s="6"/>
      <c r="I237" s="6"/>
      <c r="J237" s="6"/>
      <c r="K237" s="6">
        <v>1</v>
      </c>
      <c r="L237" s="6"/>
      <c r="M237" s="6"/>
      <c r="N237" s="7">
        <f t="shared" si="222"/>
        <v>1</v>
      </c>
      <c r="O237" s="11">
        <f t="shared" si="180"/>
        <v>19</v>
      </c>
      <c r="P237" s="25"/>
      <c r="Q237" s="10" t="str">
        <f t="shared" si="181"/>
        <v>OutubroSEMANA 2Palito Waribashi</v>
      </c>
      <c r="R237" s="7">
        <f>SUMIF(NF!$A:$A,$Q237,NF!$I:$I)</f>
        <v>0</v>
      </c>
      <c r="S237" s="6"/>
      <c r="T237" s="6">
        <v>1</v>
      </c>
      <c r="U237" s="6"/>
      <c r="V237" s="6">
        <v>1</v>
      </c>
      <c r="W237" s="6"/>
      <c r="X237" s="6"/>
      <c r="Y237" s="6"/>
      <c r="Z237" s="7">
        <f t="shared" si="223"/>
        <v>2</v>
      </c>
      <c r="AA237" s="11">
        <f t="shared" si="183"/>
        <v>17</v>
      </c>
      <c r="AB237" s="25"/>
      <c r="AC237" s="10" t="str">
        <f t="shared" si="184"/>
        <v>OutubroSEMANA 3Palito Waribashi</v>
      </c>
      <c r="AD237" s="7">
        <f>SUMIF(NF!$A:$A,$AC237,NF!$I:$I)</f>
        <v>0</v>
      </c>
      <c r="AE237" s="6"/>
      <c r="AF237" s="6"/>
      <c r="AG237" s="6"/>
      <c r="AH237" s="6"/>
      <c r="AI237" s="6"/>
      <c r="AJ237" s="6"/>
      <c r="AK237" s="6"/>
      <c r="AL237" s="7">
        <f t="shared" si="224"/>
        <v>0</v>
      </c>
      <c r="AM237" s="11">
        <f t="shared" si="186"/>
        <v>17</v>
      </c>
      <c r="AN237" s="25"/>
      <c r="AO237" s="10" t="str">
        <f t="shared" si="187"/>
        <v>OutubroSEMANA 4Palito Waribashi</v>
      </c>
      <c r="AP237" s="7">
        <f>SUMIF(NF!$A:$A,$AO237,NF!$I:$I)</f>
        <v>0</v>
      </c>
      <c r="AQ237" s="6"/>
      <c r="AR237" s="6"/>
      <c r="AS237" s="6"/>
      <c r="AT237" s="6">
        <v>1</v>
      </c>
      <c r="AU237" s="6"/>
      <c r="AV237" s="6"/>
      <c r="AW237" s="6"/>
      <c r="AX237" s="7">
        <f t="shared" si="225"/>
        <v>1</v>
      </c>
      <c r="AY237" s="11">
        <f t="shared" si="189"/>
        <v>16</v>
      </c>
      <c r="AZ237" s="25"/>
      <c r="BA237" s="10" t="str">
        <f t="shared" si="190"/>
        <v>OutubroSEMANA 5Palito Waribashi</v>
      </c>
      <c r="BB237" s="7">
        <f>SUMIF(NF!$A:$A,$BA237,NF!$I:$I)</f>
        <v>0</v>
      </c>
      <c r="BC237" s="6"/>
      <c r="BD237" s="6"/>
      <c r="BE237" s="6"/>
      <c r="BF237" s="74"/>
      <c r="BG237" s="74"/>
      <c r="BH237" s="74"/>
      <c r="BI237" s="74"/>
      <c r="BJ237" s="74"/>
      <c r="BK237" s="7">
        <f t="shared" si="226"/>
        <v>0</v>
      </c>
      <c r="BL237" s="8">
        <f t="shared" si="192"/>
        <v>16</v>
      </c>
      <c r="BM237" s="51" t="str">
        <f>IFERROR(VLOOKUP(A237,NF!$M:$O,3,0),"")</f>
        <v>Descartável</v>
      </c>
      <c r="BN237" s="7">
        <f t="shared" si="193"/>
        <v>4</v>
      </c>
      <c r="BO237" s="8">
        <f t="array" ref="BO237">IFERROR(LARGE(IF(NF!$G$2:$G$3137='Mês atual'!A237,NF!$J$2:$J$3137),1),0)*BN237</f>
        <v>0</v>
      </c>
      <c r="BP237" s="50"/>
      <c r="BR237" s="147">
        <f t="array" ref="BR237">IFERROR(LARGE(IF(NF!$G$2:$G$3137='Mês atual'!A237,NF!$J$2:$J$3137),1),0)</f>
        <v>0</v>
      </c>
      <c r="BS237" s="143" t="str">
        <f>VLOOKUP(A237,NF!M:O,3,0)</f>
        <v>Descartável</v>
      </c>
    </row>
    <row r="238" spans="1:71" x14ac:dyDescent="0.25">
      <c r="A238" s="108" t="s">
        <v>1010</v>
      </c>
      <c r="B238" s="12"/>
      <c r="C238" s="9"/>
      <c r="D238" s="25"/>
      <c r="E238" s="10" t="str">
        <f t="shared" si="178"/>
        <v>OutubroSEMANA 1Palitos de Dente (cx 500)</v>
      </c>
      <c r="F238" s="7">
        <f>SUMIF(NF!$A:$A,$E238,NF!$I:$I)</f>
        <v>4</v>
      </c>
      <c r="G238" s="6"/>
      <c r="H238" s="6"/>
      <c r="I238" s="6"/>
      <c r="J238" s="6"/>
      <c r="K238" s="6">
        <v>4</v>
      </c>
      <c r="L238" s="6"/>
      <c r="M238" s="6"/>
      <c r="N238" s="7">
        <f t="shared" ref="N238" si="227">SUM(G238:M238)</f>
        <v>4</v>
      </c>
      <c r="O238" s="11">
        <f t="shared" ref="O238" si="228">F238+C238-N238</f>
        <v>0</v>
      </c>
      <c r="P238" s="25"/>
      <c r="Q238" s="10" t="str">
        <f t="shared" si="181"/>
        <v>OutubroSEMANA 2Palitos de Dente (cx 500)</v>
      </c>
      <c r="R238" s="7">
        <f>SUMIF(NF!$A:$A,$Q238,NF!$I:$I)</f>
        <v>0</v>
      </c>
      <c r="S238" s="6"/>
      <c r="T238" s="6"/>
      <c r="U238" s="6"/>
      <c r="V238" s="6"/>
      <c r="W238" s="6"/>
      <c r="X238" s="6"/>
      <c r="Y238" s="6"/>
      <c r="Z238" s="7">
        <f t="shared" ref="Z238" si="229">SUM(S238:Y238)</f>
        <v>0</v>
      </c>
      <c r="AA238" s="11">
        <f t="shared" ref="AA238" si="230">R238+O238-Z238</f>
        <v>0</v>
      </c>
      <c r="AB238" s="25"/>
      <c r="AC238" s="10" t="str">
        <f t="shared" si="184"/>
        <v>OutubroSEMANA 3Palitos de Dente (cx 500)</v>
      </c>
      <c r="AD238" s="7">
        <f>SUMIF(NF!$A:$A,$AC238,NF!$I:$I)</f>
        <v>0</v>
      </c>
      <c r="AE238" s="6"/>
      <c r="AF238" s="6"/>
      <c r="AG238" s="6"/>
      <c r="AH238" s="6"/>
      <c r="AI238" s="6"/>
      <c r="AJ238" s="6"/>
      <c r="AK238" s="6"/>
      <c r="AL238" s="7">
        <f t="shared" ref="AL238" si="231">SUM(AE238:AK238)</f>
        <v>0</v>
      </c>
      <c r="AM238" s="11">
        <f t="shared" ref="AM238" si="232">AD238+AA238-AL238</f>
        <v>0</v>
      </c>
      <c r="AN238" s="25"/>
      <c r="AO238" s="10" t="str">
        <f t="shared" si="187"/>
        <v>OutubroSEMANA 4Palitos de Dente (cx 500)</v>
      </c>
      <c r="AP238" s="7">
        <f>SUMIF(NF!$A:$A,$AO238,NF!$I:$I)</f>
        <v>0</v>
      </c>
      <c r="AQ238" s="6"/>
      <c r="AR238" s="6"/>
      <c r="AS238" s="6"/>
      <c r="AT238" s="6"/>
      <c r="AU238" s="6"/>
      <c r="AV238" s="6"/>
      <c r="AW238" s="6"/>
      <c r="AX238" s="7">
        <f t="shared" ref="AX238" si="233">SUM(AQ238:AW238)</f>
        <v>0</v>
      </c>
      <c r="AY238" s="11">
        <f t="shared" ref="AY238" si="234">AP238+AM238-AX238</f>
        <v>0</v>
      </c>
      <c r="AZ238" s="25"/>
      <c r="BA238" s="10" t="str">
        <f t="shared" si="190"/>
        <v>OutubroSEMANA 5Palitos de Dente (cx 500)</v>
      </c>
      <c r="BB238" s="7">
        <f>SUMIF(NF!$A:$A,$BA238,NF!$I:$I)</f>
        <v>7</v>
      </c>
      <c r="BC238" s="6"/>
      <c r="BD238" s="6">
        <v>7</v>
      </c>
      <c r="BE238" s="6"/>
      <c r="BF238" s="74"/>
      <c r="BG238" s="74"/>
      <c r="BH238" s="74"/>
      <c r="BI238" s="74"/>
      <c r="BJ238" s="74"/>
      <c r="BK238" s="7">
        <f t="shared" ref="BK238" si="235">SUM(BC238:BJ238)</f>
        <v>7</v>
      </c>
      <c r="BL238" s="8">
        <f t="shared" ref="BL238" si="236">BB238+AY238-BK238</f>
        <v>0</v>
      </c>
      <c r="BM238" s="51" t="str">
        <f>IFERROR(VLOOKUP(A238,NF!$M:$O,3,0),"")</f>
        <v>Descartável</v>
      </c>
      <c r="BN238" s="7">
        <f t="shared" ref="BN238" si="237">SUM(N238,Z238,AL238,AX238,BK238)</f>
        <v>11</v>
      </c>
      <c r="BO238" s="8">
        <f t="array" ref="BO238">IFERROR(LARGE(IF(NF!$G$2:$G$3137='Mês atual'!A238,NF!$J$2:$J$3137),1),0)*BN238</f>
        <v>12.100000000000001</v>
      </c>
      <c r="BP238" s="50"/>
      <c r="BR238" s="147">
        <f t="array" ref="BR238">IFERROR(LARGE(IF(NF!$G$2:$G$3137='Mês atual'!A238,NF!$J$2:$J$3137),1),0)</f>
        <v>1.1000000000000001</v>
      </c>
      <c r="BS238" s="143" t="str">
        <f>VLOOKUP(A238,NF!M:O,3,0)</f>
        <v>Descartável</v>
      </c>
    </row>
    <row r="239" spans="1:71" x14ac:dyDescent="0.25">
      <c r="A239" s="108" t="s">
        <v>559</v>
      </c>
      <c r="B239" s="12"/>
      <c r="C239" s="9"/>
      <c r="D239" s="25"/>
      <c r="E239" s="10" t="str">
        <f t="shared" si="178"/>
        <v>OutubroSEMANA 1Pano Multiuso Cross Hatch Azul 300 M</v>
      </c>
      <c r="F239" s="7">
        <f>SUMIF(NF!$A:$A,$E239,NF!$I:$I)</f>
        <v>0</v>
      </c>
      <c r="G239" s="6"/>
      <c r="H239" s="6"/>
      <c r="I239" s="6"/>
      <c r="J239" s="6"/>
      <c r="K239" s="6"/>
      <c r="L239" s="6"/>
      <c r="M239" s="6"/>
      <c r="N239" s="7">
        <f t="shared" si="222"/>
        <v>0</v>
      </c>
      <c r="O239" s="11">
        <f t="shared" si="180"/>
        <v>0</v>
      </c>
      <c r="P239" s="25"/>
      <c r="Q239" s="10" t="str">
        <f t="shared" si="181"/>
        <v>OutubroSEMANA 2Pano Multiuso Cross Hatch Azul 300 M</v>
      </c>
      <c r="R239" s="7">
        <f>SUMIF(NF!$A:$A,$Q239,NF!$I:$I)</f>
        <v>0</v>
      </c>
      <c r="S239" s="6"/>
      <c r="T239" s="6"/>
      <c r="U239" s="6"/>
      <c r="V239" s="6"/>
      <c r="W239" s="6"/>
      <c r="X239" s="6"/>
      <c r="Y239" s="6"/>
      <c r="Z239" s="7">
        <f t="shared" si="223"/>
        <v>0</v>
      </c>
      <c r="AA239" s="11">
        <f t="shared" si="183"/>
        <v>0</v>
      </c>
      <c r="AB239" s="25"/>
      <c r="AC239" s="10" t="str">
        <f t="shared" si="184"/>
        <v>OutubroSEMANA 3Pano Multiuso Cross Hatch Azul 300 M</v>
      </c>
      <c r="AD239" s="7">
        <f>SUMIF(NF!$A:$A,$AC239,NF!$I:$I)</f>
        <v>0</v>
      </c>
      <c r="AE239" s="6"/>
      <c r="AF239" s="6"/>
      <c r="AG239" s="6"/>
      <c r="AH239" s="6"/>
      <c r="AI239" s="6"/>
      <c r="AJ239" s="6"/>
      <c r="AK239" s="6"/>
      <c r="AL239" s="7">
        <f t="shared" si="224"/>
        <v>0</v>
      </c>
      <c r="AM239" s="11">
        <f t="shared" si="186"/>
        <v>0</v>
      </c>
      <c r="AN239" s="25"/>
      <c r="AO239" s="10" t="str">
        <f t="shared" si="187"/>
        <v>OutubroSEMANA 4Pano Multiuso Cross Hatch Azul 300 M</v>
      </c>
      <c r="AP239" s="7">
        <f>SUMIF(NF!$A:$A,$AO239,NF!$I:$I)</f>
        <v>0</v>
      </c>
      <c r="AQ239" s="6"/>
      <c r="AR239" s="6"/>
      <c r="AS239" s="6"/>
      <c r="AT239" s="6"/>
      <c r="AU239" s="6"/>
      <c r="AV239" s="6"/>
      <c r="AW239" s="6"/>
      <c r="AX239" s="7">
        <f t="shared" si="225"/>
        <v>0</v>
      </c>
      <c r="AY239" s="11">
        <f t="shared" si="189"/>
        <v>0</v>
      </c>
      <c r="AZ239" s="25"/>
      <c r="BA239" s="10" t="str">
        <f t="shared" si="190"/>
        <v>OutubroSEMANA 5Pano Multiuso Cross Hatch Azul 300 M</v>
      </c>
      <c r="BB239" s="7">
        <f>SUMIF(NF!$A:$A,$BA239,NF!$I:$I)</f>
        <v>0</v>
      </c>
      <c r="BC239" s="6"/>
      <c r="BD239" s="6"/>
      <c r="BE239" s="6"/>
      <c r="BF239" s="74"/>
      <c r="BG239" s="74"/>
      <c r="BH239" s="74"/>
      <c r="BI239" s="74"/>
      <c r="BJ239" s="74"/>
      <c r="BK239" s="7">
        <f t="shared" si="226"/>
        <v>0</v>
      </c>
      <c r="BL239" s="8">
        <f t="shared" si="192"/>
        <v>0</v>
      </c>
      <c r="BM239" s="51" t="str">
        <f>IFERROR(VLOOKUP(A239,NF!$M:$O,3,0),"")</f>
        <v>Descartável</v>
      </c>
      <c r="BN239" s="7">
        <f t="shared" si="193"/>
        <v>0</v>
      </c>
      <c r="BO239" s="8">
        <f t="array" ref="BO239">IFERROR(LARGE(IF(NF!$G$2:$G$3137='Mês atual'!A239,NF!$J$2:$J$3137),1),0)*BN239</f>
        <v>0</v>
      </c>
      <c r="BP239" s="50"/>
      <c r="BR239" s="147">
        <f t="array" ref="BR239">IFERROR(LARGE(IF(NF!$G$2:$G$3137='Mês atual'!A239,NF!$J$2:$J$3137),1),0)</f>
        <v>0</v>
      </c>
      <c r="BS239" s="143" t="str">
        <f>VLOOKUP(A239,NF!M:O,3,0)</f>
        <v>Descartável</v>
      </c>
    </row>
    <row r="240" spans="1:71" x14ac:dyDescent="0.25">
      <c r="A240" s="108" t="s">
        <v>560</v>
      </c>
      <c r="B240" s="12"/>
      <c r="C240" s="9">
        <v>1</v>
      </c>
      <c r="D240" s="25"/>
      <c r="E240" s="10" t="str">
        <f t="shared" si="178"/>
        <v>OutubroSEMANA 1Pano Multiuso Cross Hatch Laranja 300 M</v>
      </c>
      <c r="F240" s="7">
        <f>SUMIF(NF!$A:$A,$E240,NF!$I:$I)</f>
        <v>0</v>
      </c>
      <c r="G240" s="6"/>
      <c r="H240" s="6"/>
      <c r="I240" s="6"/>
      <c r="J240" s="6"/>
      <c r="K240" s="6"/>
      <c r="L240" s="6"/>
      <c r="M240" s="6"/>
      <c r="N240" s="7">
        <f t="shared" si="222"/>
        <v>0</v>
      </c>
      <c r="O240" s="11">
        <f t="shared" si="180"/>
        <v>1</v>
      </c>
      <c r="P240" s="25"/>
      <c r="Q240" s="10" t="str">
        <f t="shared" si="181"/>
        <v>OutubroSEMANA 2Pano Multiuso Cross Hatch Laranja 300 M</v>
      </c>
      <c r="R240" s="7">
        <f>SUMIF(NF!$A:$A,$Q240,NF!$I:$I)</f>
        <v>0</v>
      </c>
      <c r="S240" s="6"/>
      <c r="T240" s="6"/>
      <c r="U240" s="6"/>
      <c r="V240" s="6"/>
      <c r="W240" s="6"/>
      <c r="X240" s="6"/>
      <c r="Y240" s="6"/>
      <c r="Z240" s="7">
        <f t="shared" si="223"/>
        <v>0</v>
      </c>
      <c r="AA240" s="11">
        <f t="shared" si="183"/>
        <v>1</v>
      </c>
      <c r="AB240" s="25"/>
      <c r="AC240" s="10" t="str">
        <f t="shared" si="184"/>
        <v>OutubroSEMANA 3Pano Multiuso Cross Hatch Laranja 300 M</v>
      </c>
      <c r="AD240" s="7">
        <f>SUMIF(NF!$A:$A,$AC240,NF!$I:$I)</f>
        <v>1</v>
      </c>
      <c r="AE240" s="6"/>
      <c r="AF240" s="6"/>
      <c r="AG240" s="6"/>
      <c r="AH240" s="6">
        <v>1</v>
      </c>
      <c r="AI240" s="6"/>
      <c r="AJ240" s="6"/>
      <c r="AK240" s="6"/>
      <c r="AL240" s="7">
        <f t="shared" si="224"/>
        <v>1</v>
      </c>
      <c r="AM240" s="11">
        <f t="shared" si="186"/>
        <v>1</v>
      </c>
      <c r="AN240" s="25"/>
      <c r="AO240" s="10" t="str">
        <f t="shared" si="187"/>
        <v>OutubroSEMANA 4Pano Multiuso Cross Hatch Laranja 300 M</v>
      </c>
      <c r="AP240" s="7">
        <f>SUMIF(NF!$A:$A,$AO240,NF!$I:$I)</f>
        <v>0</v>
      </c>
      <c r="AQ240" s="6"/>
      <c r="AR240" s="6"/>
      <c r="AS240" s="6"/>
      <c r="AT240" s="6"/>
      <c r="AU240" s="6"/>
      <c r="AV240" s="6"/>
      <c r="AW240" s="6"/>
      <c r="AX240" s="7">
        <f t="shared" si="225"/>
        <v>0</v>
      </c>
      <c r="AY240" s="11">
        <f t="shared" si="189"/>
        <v>1</v>
      </c>
      <c r="AZ240" s="25"/>
      <c r="BA240" s="10" t="str">
        <f t="shared" si="190"/>
        <v>OutubroSEMANA 5Pano Multiuso Cross Hatch Laranja 300 M</v>
      </c>
      <c r="BB240" s="7">
        <f>SUMIF(NF!$A:$A,$BA240,NF!$I:$I)</f>
        <v>0</v>
      </c>
      <c r="BC240" s="6"/>
      <c r="BD240" s="6"/>
      <c r="BE240" s="6"/>
      <c r="BF240" s="74"/>
      <c r="BG240" s="74"/>
      <c r="BH240" s="74"/>
      <c r="BI240" s="74"/>
      <c r="BJ240" s="74"/>
      <c r="BK240" s="7">
        <f t="shared" si="226"/>
        <v>0</v>
      </c>
      <c r="BL240" s="8">
        <f t="shared" si="192"/>
        <v>1</v>
      </c>
      <c r="BM240" s="51" t="str">
        <f>IFERROR(VLOOKUP(A240,NF!$M:$O,3,0),"")</f>
        <v>Descartável</v>
      </c>
      <c r="BN240" s="7">
        <f t="shared" si="193"/>
        <v>1</v>
      </c>
      <c r="BO240" s="8">
        <f t="array" ref="BO240">IFERROR(LARGE(IF(NF!$G$2:$G$3137='Mês atual'!A240,NF!$J$2:$J$3137),1),0)*BN240</f>
        <v>212.4</v>
      </c>
      <c r="BP240" s="50"/>
      <c r="BR240" s="147">
        <f t="array" ref="BR240">IFERROR(LARGE(IF(NF!$G$2:$G$3137='Mês atual'!A240,NF!$J$2:$J$3137),1),0)</f>
        <v>212.4</v>
      </c>
      <c r="BS240" s="143" t="str">
        <f>VLOOKUP(A240,NF!M:O,3,0)</f>
        <v>Descartável</v>
      </c>
    </row>
    <row r="241" spans="1:71" x14ac:dyDescent="0.25">
      <c r="A241" s="108" t="s">
        <v>567</v>
      </c>
      <c r="B241" s="12"/>
      <c r="C241" s="9"/>
      <c r="D241" s="25"/>
      <c r="E241" s="10" t="str">
        <f t="shared" si="178"/>
        <v>OutubroSEMANA 1Papel Alumínio Rolo 30x100</v>
      </c>
      <c r="F241" s="7">
        <f>SUMIF(NF!$A:$A,$E241,NF!$I:$I)</f>
        <v>0</v>
      </c>
      <c r="G241" s="6"/>
      <c r="H241" s="6"/>
      <c r="I241" s="6"/>
      <c r="J241" s="6"/>
      <c r="K241" s="6"/>
      <c r="L241" s="6"/>
      <c r="M241" s="6"/>
      <c r="N241" s="7">
        <f t="shared" si="222"/>
        <v>0</v>
      </c>
      <c r="O241" s="11">
        <f t="shared" si="180"/>
        <v>0</v>
      </c>
      <c r="P241" s="25"/>
      <c r="Q241" s="10" t="str">
        <f t="shared" si="181"/>
        <v>OutubroSEMANA 2Papel Alumínio Rolo 30x100</v>
      </c>
      <c r="R241" s="7">
        <f>SUMIF(NF!$A:$A,$Q241,NF!$I:$I)</f>
        <v>0</v>
      </c>
      <c r="S241" s="6"/>
      <c r="T241" s="6"/>
      <c r="U241" s="6"/>
      <c r="V241" s="6"/>
      <c r="W241" s="6"/>
      <c r="X241" s="6"/>
      <c r="Y241" s="6"/>
      <c r="Z241" s="7">
        <f t="shared" si="223"/>
        <v>0</v>
      </c>
      <c r="AA241" s="11">
        <f t="shared" si="183"/>
        <v>0</v>
      </c>
      <c r="AB241" s="25"/>
      <c r="AC241" s="10" t="str">
        <f t="shared" si="184"/>
        <v>OutubroSEMANA 3Papel Alumínio Rolo 30x100</v>
      </c>
      <c r="AD241" s="7">
        <f>SUMIF(NF!$A:$A,$AC241,NF!$I:$I)</f>
        <v>0</v>
      </c>
      <c r="AE241" s="6"/>
      <c r="AF241" s="6"/>
      <c r="AG241" s="6"/>
      <c r="AH241" s="6"/>
      <c r="AI241" s="6"/>
      <c r="AJ241" s="6"/>
      <c r="AK241" s="6"/>
      <c r="AL241" s="7">
        <f t="shared" si="224"/>
        <v>0</v>
      </c>
      <c r="AM241" s="11">
        <f t="shared" si="186"/>
        <v>0</v>
      </c>
      <c r="AN241" s="25"/>
      <c r="AO241" s="10" t="str">
        <f t="shared" si="187"/>
        <v>OutubroSEMANA 4Papel Alumínio Rolo 30x100</v>
      </c>
      <c r="AP241" s="7">
        <f>SUMIF(NF!$A:$A,$AO241,NF!$I:$I)</f>
        <v>0</v>
      </c>
      <c r="AQ241" s="6"/>
      <c r="AR241" s="6"/>
      <c r="AS241" s="6"/>
      <c r="AT241" s="6"/>
      <c r="AU241" s="6"/>
      <c r="AV241" s="6"/>
      <c r="AW241" s="6"/>
      <c r="AX241" s="7">
        <f t="shared" si="225"/>
        <v>0</v>
      </c>
      <c r="AY241" s="11">
        <f t="shared" si="189"/>
        <v>0</v>
      </c>
      <c r="AZ241" s="25"/>
      <c r="BA241" s="10" t="str">
        <f t="shared" si="190"/>
        <v>OutubroSEMANA 5Papel Alumínio Rolo 30x100</v>
      </c>
      <c r="BB241" s="7">
        <f>SUMIF(NF!$A:$A,$BA241,NF!$I:$I)</f>
        <v>0</v>
      </c>
      <c r="BC241" s="6"/>
      <c r="BD241" s="6"/>
      <c r="BE241" s="6"/>
      <c r="BF241" s="74"/>
      <c r="BG241" s="74"/>
      <c r="BH241" s="74"/>
      <c r="BI241" s="74"/>
      <c r="BJ241" s="74"/>
      <c r="BK241" s="7">
        <f t="shared" si="226"/>
        <v>0</v>
      </c>
      <c r="BL241" s="8">
        <f t="shared" si="192"/>
        <v>0</v>
      </c>
      <c r="BM241" s="51" t="str">
        <f>IFERROR(VLOOKUP(A241,NF!$M:$O,3,0),"")</f>
        <v>Descartável</v>
      </c>
      <c r="BN241" s="7">
        <f t="shared" si="193"/>
        <v>0</v>
      </c>
      <c r="BO241" s="8">
        <f t="array" ref="BO241">IFERROR(LARGE(IF(NF!$G$2:$G$3137='Mês atual'!A241,NF!$J$2:$J$3137),1),0)*BN241</f>
        <v>0</v>
      </c>
      <c r="BP241" s="50"/>
      <c r="BR241" s="147">
        <f t="array" ref="BR241">IFERROR(LARGE(IF(NF!$G$2:$G$3137='Mês atual'!A241,NF!$J$2:$J$3137),1),0)</f>
        <v>0</v>
      </c>
      <c r="BS241" s="143" t="str">
        <f>VLOOKUP(A241,NF!M:O,3,0)</f>
        <v>Descartável</v>
      </c>
    </row>
    <row r="242" spans="1:71" x14ac:dyDescent="0.25">
      <c r="A242" s="108" t="s">
        <v>570</v>
      </c>
      <c r="B242" s="12"/>
      <c r="C242" s="9">
        <v>64</v>
      </c>
      <c r="D242" s="25"/>
      <c r="E242" s="10" t="str">
        <f t="shared" si="178"/>
        <v>OutubroSEMANA 1Papel Higiênico (P.H. Interf.) Cx 60</v>
      </c>
      <c r="F242" s="7">
        <f>SUMIF(NF!$A:$A,$E242,NF!$I:$I)</f>
        <v>0</v>
      </c>
      <c r="G242" s="6">
        <v>6</v>
      </c>
      <c r="H242" s="6">
        <v>3</v>
      </c>
      <c r="I242" s="6">
        <v>1</v>
      </c>
      <c r="J242" s="6">
        <v>1</v>
      </c>
      <c r="K242" s="6"/>
      <c r="L242" s="6"/>
      <c r="M242" s="6">
        <v>3</v>
      </c>
      <c r="N242" s="7">
        <f t="shared" si="222"/>
        <v>14</v>
      </c>
      <c r="O242" s="11">
        <f t="shared" si="180"/>
        <v>50</v>
      </c>
      <c r="P242" s="25"/>
      <c r="Q242" s="10" t="str">
        <f t="shared" si="181"/>
        <v>OutubroSEMANA 2Papel Higiênico (P.H. Interf.) Cx 60</v>
      </c>
      <c r="R242" s="7">
        <f>SUMIF(NF!$A:$A,$Q242,NF!$I:$I)</f>
        <v>0</v>
      </c>
      <c r="S242" s="6">
        <v>2</v>
      </c>
      <c r="T242" s="6">
        <v>3</v>
      </c>
      <c r="U242" s="6">
        <v>1</v>
      </c>
      <c r="V242" s="6">
        <v>1</v>
      </c>
      <c r="W242" s="6"/>
      <c r="X242" s="6">
        <v>3</v>
      </c>
      <c r="Y242" s="6"/>
      <c r="Z242" s="7">
        <f t="shared" si="223"/>
        <v>10</v>
      </c>
      <c r="AA242" s="11">
        <f t="shared" si="183"/>
        <v>40</v>
      </c>
      <c r="AB242" s="25"/>
      <c r="AC242" s="10" t="str">
        <f t="shared" si="184"/>
        <v>OutubroSEMANA 3Papel Higiênico (P.H. Interf.) Cx 60</v>
      </c>
      <c r="AD242" s="7">
        <f>SUMIF(NF!$A:$A,$AC242,NF!$I:$I)</f>
        <v>0</v>
      </c>
      <c r="AE242" s="6">
        <v>2</v>
      </c>
      <c r="AF242" s="6">
        <v>1</v>
      </c>
      <c r="AG242" s="6">
        <v>1</v>
      </c>
      <c r="AH242" s="6"/>
      <c r="AI242" s="6">
        <v>1</v>
      </c>
      <c r="AJ242" s="6">
        <v>1</v>
      </c>
      <c r="AK242" s="6">
        <v>3</v>
      </c>
      <c r="AL242" s="7">
        <f t="shared" si="224"/>
        <v>9</v>
      </c>
      <c r="AM242" s="11">
        <f t="shared" si="186"/>
        <v>31</v>
      </c>
      <c r="AN242" s="25"/>
      <c r="AO242" s="10" t="str">
        <f t="shared" si="187"/>
        <v>OutubroSEMANA 4Papel Higiênico (P.H. Interf.) Cx 60</v>
      </c>
      <c r="AP242" s="7">
        <f>SUMIF(NF!$A:$A,$AO242,NF!$I:$I)</f>
        <v>60</v>
      </c>
      <c r="AQ242" s="6">
        <v>1</v>
      </c>
      <c r="AR242" s="6">
        <v>2</v>
      </c>
      <c r="AS242" s="6">
        <v>1</v>
      </c>
      <c r="AT242" s="6">
        <v>2</v>
      </c>
      <c r="AU242" s="6">
        <v>1</v>
      </c>
      <c r="AV242" s="6">
        <v>1</v>
      </c>
      <c r="AW242" s="6">
        <v>1</v>
      </c>
      <c r="AX242" s="7">
        <f t="shared" si="225"/>
        <v>9</v>
      </c>
      <c r="AY242" s="11">
        <f t="shared" si="189"/>
        <v>82</v>
      </c>
      <c r="AZ242" s="25"/>
      <c r="BA242" s="10" t="str">
        <f t="shared" si="190"/>
        <v>OutubroSEMANA 5Papel Higiênico (P.H. Interf.) Cx 60</v>
      </c>
      <c r="BB242" s="7">
        <f>SUMIF(NF!$A:$A,$BA242,NF!$I:$I)</f>
        <v>0</v>
      </c>
      <c r="BC242" s="6">
        <v>4</v>
      </c>
      <c r="BD242" s="6">
        <v>1</v>
      </c>
      <c r="BE242" s="6">
        <v>1</v>
      </c>
      <c r="BF242" s="74"/>
      <c r="BG242" s="74"/>
      <c r="BH242" s="74"/>
      <c r="BI242" s="74"/>
      <c r="BJ242" s="74"/>
      <c r="BK242" s="7">
        <f t="shared" si="226"/>
        <v>6</v>
      </c>
      <c r="BL242" s="8">
        <f t="shared" si="192"/>
        <v>76</v>
      </c>
      <c r="BM242" s="51" t="str">
        <f>IFERROR(VLOOKUP(A242,NF!$M:$O,3,0),"")</f>
        <v>Descartável</v>
      </c>
      <c r="BN242" s="7">
        <f t="shared" si="193"/>
        <v>48</v>
      </c>
      <c r="BO242" s="8">
        <f t="array" ref="BO242">IFERROR(LARGE(IF(NF!$G$2:$G$3137='Mês atual'!A242,NF!$J$2:$J$3137),1),0)*BN242</f>
        <v>107.34400000000001</v>
      </c>
      <c r="BP242" s="50"/>
      <c r="BR242" s="147">
        <f t="array" ref="BR242">IFERROR(LARGE(IF(NF!$G$2:$G$3137='Mês atual'!A242,NF!$J$2:$J$3137),1),0)</f>
        <v>2.2363333333333335</v>
      </c>
      <c r="BS242" s="143" t="str">
        <f>VLOOKUP(A242,NF!M:O,3,0)</f>
        <v>Descartável</v>
      </c>
    </row>
    <row r="243" spans="1:71" x14ac:dyDescent="0.25">
      <c r="A243" s="108" t="s">
        <v>571</v>
      </c>
      <c r="B243" s="12"/>
      <c r="C243" s="9">
        <v>60</v>
      </c>
      <c r="D243" s="25"/>
      <c r="E243" s="10" t="str">
        <f t="shared" si="178"/>
        <v>OutubroSEMANA 1Papel Higiênico Rolo</v>
      </c>
      <c r="F243" s="7">
        <f>SUMIF(NF!$A:$A,$E243,NF!$I:$I)</f>
        <v>64</v>
      </c>
      <c r="G243" s="6">
        <v>4</v>
      </c>
      <c r="H243" s="6">
        <v>4</v>
      </c>
      <c r="I243" s="6">
        <v>4</v>
      </c>
      <c r="J243" s="6">
        <v>8</v>
      </c>
      <c r="K243" s="6">
        <v>4</v>
      </c>
      <c r="L243" s="6">
        <v>8</v>
      </c>
      <c r="M243" s="6">
        <v>4</v>
      </c>
      <c r="N243" s="7">
        <f t="shared" si="222"/>
        <v>36</v>
      </c>
      <c r="O243" s="11">
        <f t="shared" si="180"/>
        <v>88</v>
      </c>
      <c r="P243" s="25"/>
      <c r="Q243" s="10" t="str">
        <f t="shared" si="181"/>
        <v>OutubroSEMANA 2Papel Higiênico Rolo</v>
      </c>
      <c r="R243" s="7">
        <f>SUMIF(NF!$A:$A,$Q243,NF!$I:$I)</f>
        <v>0</v>
      </c>
      <c r="S243" s="6">
        <v>8</v>
      </c>
      <c r="T243" s="6">
        <v>4</v>
      </c>
      <c r="U243" s="6">
        <v>8</v>
      </c>
      <c r="V243" s="6">
        <v>4</v>
      </c>
      <c r="W243" s="6">
        <v>4</v>
      </c>
      <c r="X243" s="6">
        <v>4</v>
      </c>
      <c r="Y243" s="6">
        <v>4</v>
      </c>
      <c r="Z243" s="7">
        <f t="shared" si="223"/>
        <v>36</v>
      </c>
      <c r="AA243" s="11">
        <f t="shared" si="183"/>
        <v>52</v>
      </c>
      <c r="AB243" s="25"/>
      <c r="AC243" s="10" t="str">
        <f t="shared" si="184"/>
        <v>OutubroSEMANA 3Papel Higiênico Rolo</v>
      </c>
      <c r="AD243" s="7">
        <f>SUMIF(NF!$A:$A,$AC243,NF!$I:$I)</f>
        <v>128</v>
      </c>
      <c r="AE243" s="6">
        <v>4</v>
      </c>
      <c r="AF243" s="6">
        <v>4</v>
      </c>
      <c r="AG243" s="6">
        <v>4</v>
      </c>
      <c r="AH243" s="6">
        <v>12</v>
      </c>
      <c r="AI243" s="6"/>
      <c r="AJ243" s="6">
        <v>8</v>
      </c>
      <c r="AK243" s="6">
        <v>8</v>
      </c>
      <c r="AL243" s="7">
        <f t="shared" si="224"/>
        <v>40</v>
      </c>
      <c r="AM243" s="11">
        <f t="shared" si="186"/>
        <v>140</v>
      </c>
      <c r="AN243" s="25"/>
      <c r="AO243" s="10" t="str">
        <f t="shared" si="187"/>
        <v>OutubroSEMANA 4Papel Higiênico Rolo</v>
      </c>
      <c r="AP243" s="7">
        <f>SUMIF(NF!$A:$A,$AO243,NF!$I:$I)</f>
        <v>0</v>
      </c>
      <c r="AQ243" s="6">
        <v>4</v>
      </c>
      <c r="AR243" s="6">
        <v>8</v>
      </c>
      <c r="AS243" s="6">
        <v>8</v>
      </c>
      <c r="AT243" s="6">
        <v>4</v>
      </c>
      <c r="AU243" s="6">
        <v>4</v>
      </c>
      <c r="AV243" s="6">
        <v>8</v>
      </c>
      <c r="AW243" s="6">
        <v>4</v>
      </c>
      <c r="AX243" s="7">
        <f t="shared" si="225"/>
        <v>40</v>
      </c>
      <c r="AY243" s="11">
        <f t="shared" si="189"/>
        <v>100</v>
      </c>
      <c r="AZ243" s="25"/>
      <c r="BA243" s="10" t="str">
        <f t="shared" si="190"/>
        <v>OutubroSEMANA 5Papel Higiênico Rolo</v>
      </c>
      <c r="BB243" s="7">
        <f>SUMIF(NF!$A:$A,$BA243,NF!$I:$I)</f>
        <v>0</v>
      </c>
      <c r="BC243" s="6">
        <v>4</v>
      </c>
      <c r="BD243" s="6">
        <v>4</v>
      </c>
      <c r="BE243" s="6"/>
      <c r="BF243" s="74"/>
      <c r="BG243" s="74"/>
      <c r="BH243" s="74"/>
      <c r="BI243" s="74"/>
      <c r="BJ243" s="74"/>
      <c r="BK243" s="7">
        <f t="shared" si="226"/>
        <v>8</v>
      </c>
      <c r="BL243" s="8">
        <f t="shared" si="192"/>
        <v>92</v>
      </c>
      <c r="BM243" s="51" t="str">
        <f>IFERROR(VLOOKUP(A243,NF!$M:$O,3,0),"")</f>
        <v>Descartável</v>
      </c>
      <c r="BN243" s="7">
        <f t="shared" si="193"/>
        <v>160</v>
      </c>
      <c r="BO243" s="8">
        <f t="array" ref="BO243">IFERROR(LARGE(IF(NF!$G$2:$G$3137='Mês atual'!A243,NF!$J$2:$J$3137),1),0)*BN243</f>
        <v>159.75</v>
      </c>
      <c r="BP243" s="50"/>
      <c r="BR243" s="147">
        <f t="array" ref="BR243">IFERROR(LARGE(IF(NF!$G$2:$G$3137='Mês atual'!A243,NF!$J$2:$J$3137),1),0)</f>
        <v>0.99843749999999998</v>
      </c>
      <c r="BS243" s="143" t="str">
        <f>VLOOKUP(A243,NF!M:O,3,0)</f>
        <v>Descartável</v>
      </c>
    </row>
    <row r="244" spans="1:71" x14ac:dyDescent="0.25">
      <c r="A244" s="108" t="s">
        <v>572</v>
      </c>
      <c r="B244" s="12"/>
      <c r="C244" s="9">
        <v>1</v>
      </c>
      <c r="D244" s="25"/>
      <c r="E244" s="10" t="str">
        <f t="shared" si="178"/>
        <v>OutubroSEMANA 1Papel Manteiga Resma c/ 400</v>
      </c>
      <c r="F244" s="7">
        <f>SUMIF(NF!$A:$A,$E244,NF!$I:$I)</f>
        <v>0</v>
      </c>
      <c r="G244" s="6"/>
      <c r="H244" s="6"/>
      <c r="I244" s="6"/>
      <c r="J244" s="6"/>
      <c r="K244" s="6"/>
      <c r="L244" s="6"/>
      <c r="M244" s="6"/>
      <c r="N244" s="7">
        <f t="shared" si="222"/>
        <v>0</v>
      </c>
      <c r="O244" s="11">
        <f t="shared" si="180"/>
        <v>1</v>
      </c>
      <c r="P244" s="25"/>
      <c r="Q244" s="10" t="str">
        <f t="shared" si="181"/>
        <v>OutubroSEMANA 2Papel Manteiga Resma c/ 400</v>
      </c>
      <c r="R244" s="7">
        <f>SUMIF(NF!$A:$A,$Q244,NF!$I:$I)</f>
        <v>0</v>
      </c>
      <c r="S244" s="6"/>
      <c r="T244" s="6"/>
      <c r="U244" s="6"/>
      <c r="V244" s="6"/>
      <c r="W244" s="6"/>
      <c r="X244" s="6"/>
      <c r="Y244" s="6"/>
      <c r="Z244" s="7">
        <f t="shared" si="223"/>
        <v>0</v>
      </c>
      <c r="AA244" s="11">
        <f t="shared" si="183"/>
        <v>1</v>
      </c>
      <c r="AB244" s="25"/>
      <c r="AC244" s="10" t="str">
        <f t="shared" si="184"/>
        <v>OutubroSEMANA 3Papel Manteiga Resma c/ 400</v>
      </c>
      <c r="AD244" s="7">
        <f>SUMIF(NF!$A:$A,$AC244,NF!$I:$I)</f>
        <v>0</v>
      </c>
      <c r="AE244" s="6"/>
      <c r="AF244" s="6"/>
      <c r="AG244" s="6"/>
      <c r="AH244" s="6"/>
      <c r="AI244" s="6"/>
      <c r="AJ244" s="6"/>
      <c r="AK244" s="6"/>
      <c r="AL244" s="7">
        <f t="shared" si="224"/>
        <v>0</v>
      </c>
      <c r="AM244" s="11">
        <f t="shared" si="186"/>
        <v>1</v>
      </c>
      <c r="AN244" s="25"/>
      <c r="AO244" s="10" t="str">
        <f t="shared" si="187"/>
        <v>OutubroSEMANA 4Papel Manteiga Resma c/ 400</v>
      </c>
      <c r="AP244" s="7">
        <f>SUMIF(NF!$A:$A,$AO244,NF!$I:$I)</f>
        <v>0</v>
      </c>
      <c r="AQ244" s="6"/>
      <c r="AR244" s="6"/>
      <c r="AS244" s="6"/>
      <c r="AT244" s="6"/>
      <c r="AU244" s="6"/>
      <c r="AV244" s="6"/>
      <c r="AW244" s="6"/>
      <c r="AX244" s="7">
        <f t="shared" si="225"/>
        <v>0</v>
      </c>
      <c r="AY244" s="11">
        <f t="shared" si="189"/>
        <v>1</v>
      </c>
      <c r="AZ244" s="25"/>
      <c r="BA244" s="10" t="str">
        <f t="shared" si="190"/>
        <v>OutubroSEMANA 5Papel Manteiga Resma c/ 400</v>
      </c>
      <c r="BB244" s="7">
        <f>SUMIF(NF!$A:$A,$BA244,NF!$I:$I)</f>
        <v>0</v>
      </c>
      <c r="BC244" s="6"/>
      <c r="BD244" s="6"/>
      <c r="BE244" s="6"/>
      <c r="BF244" s="74"/>
      <c r="BG244" s="74"/>
      <c r="BH244" s="74"/>
      <c r="BI244" s="74"/>
      <c r="BJ244" s="74"/>
      <c r="BK244" s="7">
        <f t="shared" si="226"/>
        <v>0</v>
      </c>
      <c r="BL244" s="8">
        <f t="shared" si="192"/>
        <v>1</v>
      </c>
      <c r="BM244" s="51" t="str">
        <f>IFERROR(VLOOKUP(A244,NF!$M:$O,3,0),"")</f>
        <v>Descartável</v>
      </c>
      <c r="BN244" s="7">
        <f t="shared" si="193"/>
        <v>0</v>
      </c>
      <c r="BO244" s="8">
        <f t="array" ref="BO244">IFERROR(LARGE(IF(NF!$G$2:$G$3137='Mês atual'!A244,NF!$J$2:$J$3137),1),0)*BN244</f>
        <v>0</v>
      </c>
      <c r="BP244" s="50"/>
      <c r="BR244" s="147">
        <f t="array" ref="BR244">IFERROR(LARGE(IF(NF!$G$2:$G$3137='Mês atual'!A244,NF!$J$2:$J$3137),1),0)</f>
        <v>0</v>
      </c>
      <c r="BS244" s="143" t="str">
        <f>VLOOKUP(A244,NF!M:O,3,0)</f>
        <v>Descartável</v>
      </c>
    </row>
    <row r="245" spans="1:71" x14ac:dyDescent="0.25">
      <c r="A245" s="108" t="s">
        <v>717</v>
      </c>
      <c r="B245" s="12"/>
      <c r="C245" s="9">
        <v>300</v>
      </c>
      <c r="D245" s="25"/>
      <c r="E245" s="10" t="str">
        <f t="shared" si="178"/>
        <v>OutubroSEMANA 1Saco p/ Biscoito 10x15 pacte 1000</v>
      </c>
      <c r="F245" s="7">
        <f>SUMIF(NF!$A:$A,$E245,NF!$I:$I)</f>
        <v>0</v>
      </c>
      <c r="G245" s="6"/>
      <c r="H245" s="6"/>
      <c r="I245" s="6"/>
      <c r="J245" s="6"/>
      <c r="K245" s="6"/>
      <c r="L245" s="6"/>
      <c r="M245" s="6"/>
      <c r="N245" s="7">
        <f t="shared" si="222"/>
        <v>0</v>
      </c>
      <c r="O245" s="11">
        <f t="shared" si="180"/>
        <v>300</v>
      </c>
      <c r="P245" s="25"/>
      <c r="Q245" s="10" t="str">
        <f t="shared" si="181"/>
        <v>OutubroSEMANA 2Saco p/ Biscoito 10x15 pacte 1000</v>
      </c>
      <c r="R245" s="7">
        <f>SUMIF(NF!$A:$A,$Q245,NF!$I:$I)</f>
        <v>0</v>
      </c>
      <c r="S245" s="6"/>
      <c r="T245" s="6"/>
      <c r="U245" s="6"/>
      <c r="V245" s="6"/>
      <c r="W245" s="6"/>
      <c r="X245" s="6"/>
      <c r="Y245" s="6"/>
      <c r="Z245" s="7">
        <f t="shared" si="223"/>
        <v>0</v>
      </c>
      <c r="AA245" s="11">
        <f t="shared" si="183"/>
        <v>300</v>
      </c>
      <c r="AB245" s="25"/>
      <c r="AC245" s="10" t="str">
        <f t="shared" si="184"/>
        <v>OutubroSEMANA 3Saco p/ Biscoito 10x15 pacte 1000</v>
      </c>
      <c r="AD245" s="7">
        <f>SUMIF(NF!$A:$A,$AC245,NF!$I:$I)</f>
        <v>0</v>
      </c>
      <c r="AE245" s="6"/>
      <c r="AF245" s="6"/>
      <c r="AG245" s="6"/>
      <c r="AH245" s="6">
        <v>100</v>
      </c>
      <c r="AI245" s="6"/>
      <c r="AJ245" s="6"/>
      <c r="AK245" s="6"/>
      <c r="AL245" s="7">
        <f t="shared" si="224"/>
        <v>100</v>
      </c>
      <c r="AM245" s="11">
        <f t="shared" si="186"/>
        <v>200</v>
      </c>
      <c r="AN245" s="25"/>
      <c r="AO245" s="10" t="str">
        <f t="shared" si="187"/>
        <v>OutubroSEMANA 4Saco p/ Biscoito 10x15 pacte 1000</v>
      </c>
      <c r="AP245" s="7">
        <f>SUMIF(NF!$A:$A,$AO245,NF!$I:$I)</f>
        <v>0</v>
      </c>
      <c r="AQ245" s="6"/>
      <c r="AR245" s="6"/>
      <c r="AS245" s="6"/>
      <c r="AT245" s="6"/>
      <c r="AU245" s="6"/>
      <c r="AV245" s="6"/>
      <c r="AW245" s="6"/>
      <c r="AX245" s="7">
        <f t="shared" si="225"/>
        <v>0</v>
      </c>
      <c r="AY245" s="11">
        <f t="shared" si="189"/>
        <v>200</v>
      </c>
      <c r="AZ245" s="25"/>
      <c r="BA245" s="10" t="str">
        <f t="shared" si="190"/>
        <v>OutubroSEMANA 5Saco p/ Biscoito 10x15 pacte 1000</v>
      </c>
      <c r="BB245" s="7">
        <f>SUMIF(NF!$A:$A,$BA245,NF!$I:$I)</f>
        <v>0</v>
      </c>
      <c r="BC245" s="6"/>
      <c r="BD245" s="6"/>
      <c r="BE245" s="6"/>
      <c r="BF245" s="74"/>
      <c r="BG245" s="74"/>
      <c r="BH245" s="74"/>
      <c r="BI245" s="74"/>
      <c r="BJ245" s="74"/>
      <c r="BK245" s="7">
        <f t="shared" si="226"/>
        <v>0</v>
      </c>
      <c r="BL245" s="8">
        <f t="shared" si="192"/>
        <v>200</v>
      </c>
      <c r="BM245" s="51" t="str">
        <f>IFERROR(VLOOKUP(A245,NF!$M:$O,3,0),"")</f>
        <v>Descartável</v>
      </c>
      <c r="BN245" s="7">
        <f t="shared" si="193"/>
        <v>100</v>
      </c>
      <c r="BO245" s="8">
        <f t="array" ref="BO245">IFERROR(LARGE(IF(NF!$G$2:$G$3137='Mês atual'!A245,NF!$J$2:$J$3137),1),0)*BN245</f>
        <v>0</v>
      </c>
      <c r="BP245" s="50"/>
      <c r="BR245" s="147">
        <f t="array" ref="BR245">IFERROR(LARGE(IF(NF!$G$2:$G$3137='Mês atual'!A245,NF!$J$2:$J$3137),1),0)</f>
        <v>0</v>
      </c>
      <c r="BS245" s="143" t="str">
        <f>VLOOKUP(A245,NF!M:O,3,0)</f>
        <v>Descartável</v>
      </c>
    </row>
    <row r="246" spans="1:71" x14ac:dyDescent="0.25">
      <c r="A246" s="108" t="s">
        <v>718</v>
      </c>
      <c r="B246" s="12"/>
      <c r="C246" s="9">
        <v>32500</v>
      </c>
      <c r="D246" s="25"/>
      <c r="E246" s="10" t="str">
        <f t="shared" si="178"/>
        <v>OutubroSEMANA 1Saco para Talher</v>
      </c>
      <c r="F246" s="7">
        <f>SUMIF(NF!$A:$A,$E246,NF!$I:$I)</f>
        <v>0</v>
      </c>
      <c r="G246" s="6">
        <v>500</v>
      </c>
      <c r="H246" s="6"/>
      <c r="I246" s="6">
        <v>500</v>
      </c>
      <c r="J246" s="6"/>
      <c r="K246" s="6">
        <v>500</v>
      </c>
      <c r="L246" s="6">
        <v>500</v>
      </c>
      <c r="M246" s="6">
        <v>500</v>
      </c>
      <c r="N246" s="7">
        <f t="shared" si="222"/>
        <v>2500</v>
      </c>
      <c r="O246" s="11">
        <f t="shared" si="180"/>
        <v>30000</v>
      </c>
      <c r="P246" s="25"/>
      <c r="Q246" s="10" t="str">
        <f t="shared" si="181"/>
        <v>OutubroSEMANA 2Saco para Talher</v>
      </c>
      <c r="R246" s="7">
        <f>SUMIF(NF!$A:$A,$Q246,NF!$I:$I)</f>
        <v>0</v>
      </c>
      <c r="S246" s="6">
        <v>500</v>
      </c>
      <c r="T246" s="6"/>
      <c r="U246" s="6">
        <v>500</v>
      </c>
      <c r="V246" s="6"/>
      <c r="W246" s="6">
        <v>500</v>
      </c>
      <c r="X246" s="6">
        <v>500</v>
      </c>
      <c r="Y246" s="6">
        <v>500</v>
      </c>
      <c r="Z246" s="7">
        <f t="shared" si="223"/>
        <v>2500</v>
      </c>
      <c r="AA246" s="11">
        <f t="shared" si="183"/>
        <v>27500</v>
      </c>
      <c r="AB246" s="25"/>
      <c r="AC246" s="10" t="str">
        <f t="shared" si="184"/>
        <v>OutubroSEMANA 3Saco para Talher</v>
      </c>
      <c r="AD246" s="7">
        <f>SUMIF(NF!$A:$A,$AC246,NF!$I:$I)</f>
        <v>0</v>
      </c>
      <c r="AE246" s="6">
        <v>500</v>
      </c>
      <c r="AF246" s="6">
        <v>500</v>
      </c>
      <c r="AG246" s="6"/>
      <c r="AH246" s="6"/>
      <c r="AI246" s="6">
        <f>500+5000</f>
        <v>5500</v>
      </c>
      <c r="AJ246" s="6"/>
      <c r="AK246" s="6">
        <v>500</v>
      </c>
      <c r="AL246" s="7">
        <f t="shared" si="224"/>
        <v>7000</v>
      </c>
      <c r="AM246" s="11">
        <f t="shared" si="186"/>
        <v>20500</v>
      </c>
      <c r="AN246" s="25"/>
      <c r="AO246" s="10" t="str">
        <f t="shared" si="187"/>
        <v>OutubroSEMANA 4Saco para Talher</v>
      </c>
      <c r="AP246" s="7">
        <f>SUMIF(NF!$A:$A,$AO246,NF!$I:$I)</f>
        <v>0</v>
      </c>
      <c r="AQ246" s="6">
        <v>500</v>
      </c>
      <c r="AR246" s="6">
        <v>500</v>
      </c>
      <c r="AS246" s="6"/>
      <c r="AT246" s="6"/>
      <c r="AU246" s="6">
        <v>500</v>
      </c>
      <c r="AV246" s="6">
        <v>500</v>
      </c>
      <c r="AW246" s="6"/>
      <c r="AX246" s="7">
        <f t="shared" si="225"/>
        <v>2000</v>
      </c>
      <c r="AY246" s="11">
        <f t="shared" si="189"/>
        <v>18500</v>
      </c>
      <c r="AZ246" s="25"/>
      <c r="BA246" s="10" t="str">
        <f t="shared" si="190"/>
        <v>OutubroSEMANA 5Saco para Talher</v>
      </c>
      <c r="BB246" s="7">
        <f>SUMIF(NF!$A:$A,$BA246,NF!$I:$I)</f>
        <v>0</v>
      </c>
      <c r="BC246" s="6">
        <v>500</v>
      </c>
      <c r="BD246" s="6">
        <v>500</v>
      </c>
      <c r="BE246" s="6">
        <v>500</v>
      </c>
      <c r="BF246" s="74"/>
      <c r="BG246" s="74"/>
      <c r="BH246" s="74"/>
      <c r="BI246" s="74"/>
      <c r="BJ246" s="74"/>
      <c r="BK246" s="7">
        <f t="shared" si="226"/>
        <v>1500</v>
      </c>
      <c r="BL246" s="8">
        <f t="shared" si="192"/>
        <v>17000</v>
      </c>
      <c r="BM246" s="51" t="str">
        <f>IFERROR(VLOOKUP(A246,NF!$M:$O,3,0),"")</f>
        <v>Descartável</v>
      </c>
      <c r="BN246" s="7">
        <f t="shared" si="193"/>
        <v>15500</v>
      </c>
      <c r="BO246" s="8">
        <f t="array" ref="BO246">IFERROR(LARGE(IF(NF!$G$2:$G$3137='Mês atual'!A246,NF!$J$2:$J$3137),1),0)*BN246</f>
        <v>0</v>
      </c>
      <c r="BP246" s="50"/>
      <c r="BR246" s="147">
        <f t="array" ref="BR246">IFERROR(LARGE(IF(NF!$G$2:$G$3137='Mês atual'!A246,NF!$J$2:$J$3137),1),0)</f>
        <v>0</v>
      </c>
      <c r="BS246" s="143" t="str">
        <f>VLOOKUP(A246,NF!M:O,3,0)</f>
        <v>Descartável</v>
      </c>
    </row>
    <row r="247" spans="1:71" x14ac:dyDescent="0.25">
      <c r="A247" s="108" t="s">
        <v>719</v>
      </c>
      <c r="B247" s="12"/>
      <c r="C247" s="9"/>
      <c r="D247" s="25"/>
      <c r="E247" s="10" t="str">
        <f t="shared" si="178"/>
        <v>OutubroSEMANA 1Saco Plástico 50x70</v>
      </c>
      <c r="F247" s="7">
        <f>SUMIF(NF!$A:$A,$E247,NF!$I:$I)</f>
        <v>3</v>
      </c>
      <c r="G247" s="6"/>
      <c r="H247" s="6"/>
      <c r="I247" s="6"/>
      <c r="J247" s="6"/>
      <c r="K247" s="6"/>
      <c r="L247" s="6"/>
      <c r="M247" s="6"/>
      <c r="N247" s="7">
        <f t="shared" si="222"/>
        <v>0</v>
      </c>
      <c r="O247" s="11">
        <f t="shared" si="180"/>
        <v>3</v>
      </c>
      <c r="P247" s="25"/>
      <c r="Q247" s="10" t="str">
        <f t="shared" si="181"/>
        <v>OutubroSEMANA 2Saco Plástico 50x70</v>
      </c>
      <c r="R247" s="7">
        <f>SUMIF(NF!$A:$A,$Q247,NF!$I:$I)</f>
        <v>0</v>
      </c>
      <c r="S247" s="6"/>
      <c r="T247" s="6"/>
      <c r="U247" s="6"/>
      <c r="V247" s="6">
        <v>1</v>
      </c>
      <c r="W247" s="6"/>
      <c r="X247" s="6"/>
      <c r="Y247" s="6"/>
      <c r="Z247" s="7">
        <f t="shared" si="223"/>
        <v>1</v>
      </c>
      <c r="AA247" s="11">
        <f t="shared" si="183"/>
        <v>2</v>
      </c>
      <c r="AB247" s="25"/>
      <c r="AC247" s="10" t="str">
        <f t="shared" si="184"/>
        <v>OutubroSEMANA 3Saco Plástico 50x70</v>
      </c>
      <c r="AD247" s="7">
        <f>SUMIF(NF!$A:$A,$AC247,NF!$I:$I)</f>
        <v>2</v>
      </c>
      <c r="AE247" s="6"/>
      <c r="AF247" s="6"/>
      <c r="AG247" s="6"/>
      <c r="AH247" s="6"/>
      <c r="AI247" s="6"/>
      <c r="AJ247" s="6">
        <v>1</v>
      </c>
      <c r="AK247" s="6"/>
      <c r="AL247" s="7">
        <f t="shared" si="224"/>
        <v>1</v>
      </c>
      <c r="AM247" s="11">
        <f t="shared" si="186"/>
        <v>3</v>
      </c>
      <c r="AN247" s="25"/>
      <c r="AO247" s="10" t="str">
        <f t="shared" si="187"/>
        <v>OutubroSEMANA 4Saco Plástico 50x70</v>
      </c>
      <c r="AP247" s="7">
        <f>SUMIF(NF!$A:$A,$AO247,NF!$I:$I)</f>
        <v>0</v>
      </c>
      <c r="AQ247" s="6"/>
      <c r="AR247" s="6"/>
      <c r="AS247" s="6"/>
      <c r="AT247" s="6"/>
      <c r="AU247" s="6"/>
      <c r="AV247" s="6">
        <v>1</v>
      </c>
      <c r="AW247" s="6"/>
      <c r="AX247" s="7">
        <f t="shared" si="225"/>
        <v>1</v>
      </c>
      <c r="AY247" s="11">
        <f t="shared" si="189"/>
        <v>2</v>
      </c>
      <c r="AZ247" s="25"/>
      <c r="BA247" s="10" t="str">
        <f t="shared" si="190"/>
        <v>OutubroSEMANA 5Saco Plástico 50x70</v>
      </c>
      <c r="BB247" s="7">
        <f>SUMIF(NF!$A:$A,$BA247,NF!$I:$I)</f>
        <v>0</v>
      </c>
      <c r="BC247" s="6"/>
      <c r="BD247" s="6"/>
      <c r="BE247" s="6"/>
      <c r="BF247" s="74"/>
      <c r="BG247" s="74"/>
      <c r="BH247" s="74"/>
      <c r="BI247" s="74"/>
      <c r="BJ247" s="74"/>
      <c r="BK247" s="7">
        <f t="shared" si="226"/>
        <v>0</v>
      </c>
      <c r="BL247" s="8">
        <f t="shared" si="192"/>
        <v>2</v>
      </c>
      <c r="BM247" s="51" t="str">
        <f>IFERROR(VLOOKUP(A247,NF!$M:$O,3,0),"")</f>
        <v>Descartável</v>
      </c>
      <c r="BN247" s="7">
        <f t="shared" si="193"/>
        <v>3</v>
      </c>
      <c r="BO247" s="8">
        <f t="array" ref="BO247">IFERROR(LARGE(IF(NF!$G$2:$G$3137='Mês atual'!A247,NF!$J$2:$J$3137),1),0)*BN247</f>
        <v>149.55000000000001</v>
      </c>
      <c r="BP247" s="50"/>
      <c r="BR247" s="147">
        <f t="array" ref="BR247">IFERROR(LARGE(IF(NF!$G$2:$G$3137='Mês atual'!A247,NF!$J$2:$J$3137),1),0)</f>
        <v>49.85</v>
      </c>
      <c r="BS247" s="143" t="str">
        <f>VLOOKUP(A247,NF!M:O,3,0)</f>
        <v>Descartável</v>
      </c>
    </row>
    <row r="248" spans="1:71" x14ac:dyDescent="0.25">
      <c r="A248" s="108" t="s">
        <v>720</v>
      </c>
      <c r="B248" s="12"/>
      <c r="C248" s="9">
        <v>200</v>
      </c>
      <c r="D248" s="25"/>
      <c r="E248" s="10" t="str">
        <f t="shared" si="178"/>
        <v>OutubroSEMANA 1Sacola Camiseta Branca Doce</v>
      </c>
      <c r="F248" s="7">
        <f>SUMIF(NF!$A:$A,$E248,NF!$I:$I)</f>
        <v>0</v>
      </c>
      <c r="G248" s="6"/>
      <c r="H248" s="6"/>
      <c r="I248" s="6"/>
      <c r="J248" s="6"/>
      <c r="K248" s="6"/>
      <c r="L248" s="6"/>
      <c r="M248" s="6"/>
      <c r="N248" s="7">
        <f t="shared" si="222"/>
        <v>0</v>
      </c>
      <c r="O248" s="11">
        <f t="shared" si="180"/>
        <v>200</v>
      </c>
      <c r="P248" s="25"/>
      <c r="Q248" s="10" t="str">
        <f t="shared" si="181"/>
        <v>OutubroSEMANA 2Sacola Camiseta Branca Doce</v>
      </c>
      <c r="R248" s="7">
        <f>SUMIF(NF!$A:$A,$Q248,NF!$I:$I)</f>
        <v>0</v>
      </c>
      <c r="S248" s="6"/>
      <c r="T248" s="6"/>
      <c r="U248" s="6"/>
      <c r="V248" s="6"/>
      <c r="W248" s="6">
        <v>100</v>
      </c>
      <c r="X248" s="6"/>
      <c r="Y248" s="6"/>
      <c r="Z248" s="7">
        <f t="shared" si="223"/>
        <v>100</v>
      </c>
      <c r="AA248" s="11">
        <f t="shared" si="183"/>
        <v>100</v>
      </c>
      <c r="AB248" s="25"/>
      <c r="AC248" s="10" t="str">
        <f t="shared" si="184"/>
        <v>OutubroSEMANA 3Sacola Camiseta Branca Doce</v>
      </c>
      <c r="AD248" s="7">
        <f>SUMIF(NF!$A:$A,$AC248,NF!$I:$I)</f>
        <v>300</v>
      </c>
      <c r="AE248" s="6"/>
      <c r="AF248" s="6"/>
      <c r="AG248" s="6"/>
      <c r="AH248" s="6"/>
      <c r="AI248" s="6"/>
      <c r="AJ248" s="6"/>
      <c r="AK248" s="6"/>
      <c r="AL248" s="7">
        <f t="shared" si="224"/>
        <v>0</v>
      </c>
      <c r="AM248" s="11">
        <f t="shared" si="186"/>
        <v>400</v>
      </c>
      <c r="AN248" s="25"/>
      <c r="AO248" s="10" t="str">
        <f t="shared" si="187"/>
        <v>OutubroSEMANA 4Sacola Camiseta Branca Doce</v>
      </c>
      <c r="AP248" s="7">
        <f>SUMIF(NF!$A:$A,$AO248,NF!$I:$I)</f>
        <v>0</v>
      </c>
      <c r="AQ248" s="6">
        <v>100</v>
      </c>
      <c r="AR248" s="6"/>
      <c r="AS248" s="6"/>
      <c r="AT248" s="6"/>
      <c r="AU248" s="6"/>
      <c r="AV248" s="6"/>
      <c r="AW248" s="6"/>
      <c r="AX248" s="7">
        <f t="shared" si="225"/>
        <v>100</v>
      </c>
      <c r="AY248" s="11">
        <f t="shared" si="189"/>
        <v>300</v>
      </c>
      <c r="AZ248" s="25"/>
      <c r="BA248" s="10" t="str">
        <f t="shared" si="190"/>
        <v>OutubroSEMANA 5Sacola Camiseta Branca Doce</v>
      </c>
      <c r="BB248" s="7">
        <f>SUMIF(NF!$A:$A,$BA248,NF!$I:$I)</f>
        <v>0</v>
      </c>
      <c r="BC248" s="6"/>
      <c r="BD248" s="6"/>
      <c r="BE248" s="6"/>
      <c r="BF248" s="74"/>
      <c r="BG248" s="74"/>
      <c r="BH248" s="74"/>
      <c r="BI248" s="74"/>
      <c r="BJ248" s="74"/>
      <c r="BK248" s="7">
        <f t="shared" si="226"/>
        <v>0</v>
      </c>
      <c r="BL248" s="8">
        <f t="shared" si="192"/>
        <v>300</v>
      </c>
      <c r="BM248" s="51" t="str">
        <f>IFERROR(VLOOKUP(A248,NF!$M:$O,3,0),"")</f>
        <v>Descartável</v>
      </c>
      <c r="BN248" s="7">
        <f t="shared" si="193"/>
        <v>200</v>
      </c>
      <c r="BO248" s="8">
        <f t="array" ref="BO248">IFERROR(LARGE(IF(NF!$G$2:$G$3137='Mês atual'!A248,NF!$J$2:$J$3137),1),0)*BN248</f>
        <v>3.4666666666666663</v>
      </c>
      <c r="BP248" s="50"/>
      <c r="BR248" s="147">
        <f t="array" ref="BR248">IFERROR(LARGE(IF(NF!$G$2:$G$3137='Mês atual'!A248,NF!$J$2:$J$3137),1),0)</f>
        <v>1.7333333333333333E-2</v>
      </c>
      <c r="BS248" s="143" t="str">
        <f>VLOOKUP(A248,NF!M:O,3,0)</f>
        <v>Descartável</v>
      </c>
    </row>
    <row r="249" spans="1:71" x14ac:dyDescent="0.25">
      <c r="A249" s="108" t="s">
        <v>721</v>
      </c>
      <c r="B249" s="12"/>
      <c r="C249" s="9">
        <v>200</v>
      </c>
      <c r="D249" s="25"/>
      <c r="E249" s="10" t="str">
        <f t="shared" si="178"/>
        <v>OutubroSEMANA 1Sacola Camiseta Branca Sobremesa</v>
      </c>
      <c r="F249" s="7">
        <f>SUMIF(NF!$A:$A,$E249,NF!$I:$I)</f>
        <v>0</v>
      </c>
      <c r="G249" s="6"/>
      <c r="H249" s="6"/>
      <c r="I249" s="6"/>
      <c r="J249" s="6"/>
      <c r="K249" s="6"/>
      <c r="L249" s="6"/>
      <c r="M249" s="6"/>
      <c r="N249" s="7">
        <f t="shared" si="222"/>
        <v>0</v>
      </c>
      <c r="O249" s="11">
        <f t="shared" si="180"/>
        <v>200</v>
      </c>
      <c r="P249" s="25"/>
      <c r="Q249" s="10" t="str">
        <f t="shared" si="181"/>
        <v>OutubroSEMANA 2Sacola Camiseta Branca Sobremesa</v>
      </c>
      <c r="R249" s="7">
        <f>SUMIF(NF!$A:$A,$Q249,NF!$I:$I)</f>
        <v>0</v>
      </c>
      <c r="S249" s="6"/>
      <c r="T249" s="6"/>
      <c r="U249" s="6"/>
      <c r="V249" s="6">
        <v>100</v>
      </c>
      <c r="W249" s="6"/>
      <c r="X249" s="6"/>
      <c r="Y249" s="6"/>
      <c r="Z249" s="7">
        <f t="shared" si="223"/>
        <v>100</v>
      </c>
      <c r="AA249" s="11">
        <f t="shared" si="183"/>
        <v>100</v>
      </c>
      <c r="AB249" s="25"/>
      <c r="AC249" s="10" t="str">
        <f t="shared" si="184"/>
        <v>OutubroSEMANA 3Sacola Camiseta Branca Sobremesa</v>
      </c>
      <c r="AD249" s="7">
        <f>SUMIF(NF!$A:$A,$AC249,NF!$I:$I)</f>
        <v>200</v>
      </c>
      <c r="AE249" s="6"/>
      <c r="AF249" s="6"/>
      <c r="AG249" s="6"/>
      <c r="AH249" s="6"/>
      <c r="AI249" s="6"/>
      <c r="AJ249" s="6"/>
      <c r="AK249" s="6"/>
      <c r="AL249" s="7">
        <f t="shared" si="224"/>
        <v>0</v>
      </c>
      <c r="AM249" s="11">
        <f t="shared" si="186"/>
        <v>300</v>
      </c>
      <c r="AN249" s="25"/>
      <c r="AO249" s="10" t="str">
        <f t="shared" si="187"/>
        <v>OutubroSEMANA 4Sacola Camiseta Branca Sobremesa</v>
      </c>
      <c r="AP249" s="7">
        <f>SUMIF(NF!$A:$A,$AO249,NF!$I:$I)</f>
        <v>0</v>
      </c>
      <c r="AQ249" s="6"/>
      <c r="AR249" s="6"/>
      <c r="AS249" s="6"/>
      <c r="AT249" s="6"/>
      <c r="AU249" s="6"/>
      <c r="AV249" s="6"/>
      <c r="AW249" s="6"/>
      <c r="AX249" s="7">
        <f t="shared" si="225"/>
        <v>0</v>
      </c>
      <c r="AY249" s="11">
        <f t="shared" si="189"/>
        <v>300</v>
      </c>
      <c r="AZ249" s="25"/>
      <c r="BA249" s="10" t="str">
        <f t="shared" si="190"/>
        <v>OutubroSEMANA 5Sacola Camiseta Branca Sobremesa</v>
      </c>
      <c r="BB249" s="7">
        <f>SUMIF(NF!$A:$A,$BA249,NF!$I:$I)</f>
        <v>0</v>
      </c>
      <c r="BC249" s="6"/>
      <c r="BD249" s="6"/>
      <c r="BE249" s="6"/>
      <c r="BF249" s="74"/>
      <c r="BG249" s="74"/>
      <c r="BH249" s="74"/>
      <c r="BI249" s="74"/>
      <c r="BJ249" s="74"/>
      <c r="BK249" s="7">
        <f t="shared" si="226"/>
        <v>0</v>
      </c>
      <c r="BL249" s="8">
        <f t="shared" si="192"/>
        <v>300</v>
      </c>
      <c r="BM249" s="51" t="str">
        <f>IFERROR(VLOOKUP(A249,NF!$M:$O,3,0),"")</f>
        <v>Descartável</v>
      </c>
      <c r="BN249" s="7">
        <f t="shared" si="193"/>
        <v>100</v>
      </c>
      <c r="BO249" s="8">
        <f t="array" ref="BO249">IFERROR(LARGE(IF(NF!$G$2:$G$3137='Mês atual'!A249,NF!$J$2:$J$3137),1),0)*BN249</f>
        <v>2.6</v>
      </c>
      <c r="BP249" s="50"/>
      <c r="BR249" s="147">
        <f t="array" ref="BR249">IFERROR(LARGE(IF(NF!$G$2:$G$3137='Mês atual'!A249,NF!$J$2:$J$3137),1),0)</f>
        <v>2.6000000000000002E-2</v>
      </c>
      <c r="BS249" s="143" t="str">
        <f>VLOOKUP(A249,NF!M:O,3,0)</f>
        <v>Descartável</v>
      </c>
    </row>
    <row r="250" spans="1:71" x14ac:dyDescent="0.25">
      <c r="A250" s="108" t="s">
        <v>722</v>
      </c>
      <c r="B250" s="12"/>
      <c r="C250" s="9">
        <v>500</v>
      </c>
      <c r="D250" s="25"/>
      <c r="E250" s="10" t="str">
        <f t="shared" si="178"/>
        <v>OutubroSEMANA 1Sacola Delivery</v>
      </c>
      <c r="F250" s="7">
        <f>SUMIF(NF!$A:$A,$E250,NF!$I:$I)</f>
        <v>5010</v>
      </c>
      <c r="G250" s="6"/>
      <c r="H250" s="6"/>
      <c r="I250" s="6"/>
      <c r="J250" s="6"/>
      <c r="K250" s="6"/>
      <c r="L250" s="6"/>
      <c r="M250" s="6"/>
      <c r="N250" s="7">
        <f t="shared" si="222"/>
        <v>0</v>
      </c>
      <c r="O250" s="11">
        <f t="shared" si="180"/>
        <v>5510</v>
      </c>
      <c r="P250" s="25"/>
      <c r="Q250" s="10" t="str">
        <f t="shared" si="181"/>
        <v>OutubroSEMANA 2Sacola Delivery</v>
      </c>
      <c r="R250" s="7">
        <f>SUMIF(NF!$A:$A,$Q250,NF!$I:$I)</f>
        <v>0</v>
      </c>
      <c r="S250" s="6">
        <v>100</v>
      </c>
      <c r="T250" s="6"/>
      <c r="U250" s="6"/>
      <c r="V250" s="6"/>
      <c r="W250" s="6"/>
      <c r="X250" s="6"/>
      <c r="Y250" s="6">
        <v>100</v>
      </c>
      <c r="Z250" s="7">
        <f t="shared" si="223"/>
        <v>200</v>
      </c>
      <c r="AA250" s="11">
        <f t="shared" si="183"/>
        <v>5310</v>
      </c>
      <c r="AB250" s="25"/>
      <c r="AC250" s="10" t="str">
        <f t="shared" si="184"/>
        <v>OutubroSEMANA 3Sacola Delivery</v>
      </c>
      <c r="AD250" s="7">
        <f>SUMIF(NF!$A:$A,$AC250,NF!$I:$I)</f>
        <v>0</v>
      </c>
      <c r="AE250" s="6"/>
      <c r="AF250" s="6"/>
      <c r="AG250" s="6"/>
      <c r="AH250" s="6"/>
      <c r="AI250" s="6">
        <v>100</v>
      </c>
      <c r="AJ250" s="6"/>
      <c r="AK250" s="6"/>
      <c r="AL250" s="7">
        <f t="shared" si="224"/>
        <v>100</v>
      </c>
      <c r="AM250" s="11">
        <f t="shared" si="186"/>
        <v>5210</v>
      </c>
      <c r="AN250" s="25"/>
      <c r="AO250" s="10" t="str">
        <f t="shared" si="187"/>
        <v>OutubroSEMANA 4Sacola Delivery</v>
      </c>
      <c r="AP250" s="7">
        <f>SUMIF(NF!$A:$A,$AO250,NF!$I:$I)</f>
        <v>0</v>
      </c>
      <c r="AQ250" s="6"/>
      <c r="AR250" s="6"/>
      <c r="AS250" s="6"/>
      <c r="AT250" s="6"/>
      <c r="AU250" s="6"/>
      <c r="AV250" s="6">
        <v>100</v>
      </c>
      <c r="AW250" s="6"/>
      <c r="AX250" s="7">
        <f t="shared" si="225"/>
        <v>100</v>
      </c>
      <c r="AY250" s="11">
        <f t="shared" si="189"/>
        <v>5110</v>
      </c>
      <c r="AZ250" s="25"/>
      <c r="BA250" s="10" t="str">
        <f t="shared" si="190"/>
        <v>OutubroSEMANA 5Sacola Delivery</v>
      </c>
      <c r="BB250" s="7">
        <f>SUMIF(NF!$A:$A,$BA250,NF!$I:$I)</f>
        <v>0</v>
      </c>
      <c r="BC250" s="6"/>
      <c r="BD250" s="6"/>
      <c r="BE250" s="6"/>
      <c r="BF250" s="74"/>
      <c r="BG250" s="74"/>
      <c r="BH250" s="74"/>
      <c r="BI250" s="74"/>
      <c r="BJ250" s="74"/>
      <c r="BK250" s="7">
        <f t="shared" si="226"/>
        <v>0</v>
      </c>
      <c r="BL250" s="8">
        <f t="shared" si="192"/>
        <v>5110</v>
      </c>
      <c r="BM250" s="51" t="str">
        <f>IFERROR(VLOOKUP(A250,NF!$M:$O,3,0),"")</f>
        <v>Descartável</v>
      </c>
      <c r="BN250" s="7">
        <f t="shared" si="193"/>
        <v>400</v>
      </c>
      <c r="BO250" s="8">
        <f t="array" ref="BO250">IFERROR(LARGE(IF(NF!$G$2:$G$3137='Mês atual'!A250,NF!$J$2:$J$3137),1),0)*BN250</f>
        <v>308</v>
      </c>
      <c r="BP250" s="50"/>
      <c r="BR250" s="147">
        <f t="array" ref="BR250">IFERROR(LARGE(IF(NF!$G$2:$G$3137='Mês atual'!A250,NF!$J$2:$J$3137),1),0)</f>
        <v>0.77</v>
      </c>
      <c r="BS250" s="143" t="str">
        <f>VLOOKUP(A250,NF!M:O,3,0)</f>
        <v>Descartável</v>
      </c>
    </row>
    <row r="251" spans="1:71" x14ac:dyDescent="0.25">
      <c r="A251" s="108" t="s">
        <v>750</v>
      </c>
      <c r="B251" s="12"/>
      <c r="C251" s="9"/>
      <c r="D251" s="25"/>
      <c r="E251" s="10" t="str">
        <f t="shared" si="178"/>
        <v>OutubroSEMANA 1Spray Y/Pulveriz 32 OZ</v>
      </c>
      <c r="F251" s="7">
        <f>SUMIF(NF!$A:$A,$E251,NF!$I:$I)</f>
        <v>0</v>
      </c>
      <c r="G251" s="6"/>
      <c r="H251" s="6"/>
      <c r="I251" s="6"/>
      <c r="J251" s="6"/>
      <c r="K251" s="6"/>
      <c r="L251" s="6"/>
      <c r="M251" s="6"/>
      <c r="N251" s="7">
        <f t="shared" si="222"/>
        <v>0</v>
      </c>
      <c r="O251" s="11">
        <f t="shared" si="180"/>
        <v>0</v>
      </c>
      <c r="P251" s="25"/>
      <c r="Q251" s="10" t="str">
        <f t="shared" si="181"/>
        <v>OutubroSEMANA 2Spray Y/Pulveriz 32 OZ</v>
      </c>
      <c r="R251" s="7">
        <f>SUMIF(NF!$A:$A,$Q251,NF!$I:$I)</f>
        <v>0</v>
      </c>
      <c r="S251" s="6"/>
      <c r="T251" s="6"/>
      <c r="U251" s="6"/>
      <c r="V251" s="6"/>
      <c r="W251" s="6"/>
      <c r="X251" s="6"/>
      <c r="Y251" s="6"/>
      <c r="Z251" s="7">
        <f t="shared" si="223"/>
        <v>0</v>
      </c>
      <c r="AA251" s="11">
        <f t="shared" si="183"/>
        <v>0</v>
      </c>
      <c r="AB251" s="25"/>
      <c r="AC251" s="10" t="str">
        <f t="shared" si="184"/>
        <v>OutubroSEMANA 3Spray Y/Pulveriz 32 OZ</v>
      </c>
      <c r="AD251" s="7">
        <f>SUMIF(NF!$A:$A,$AC251,NF!$I:$I)</f>
        <v>0</v>
      </c>
      <c r="AE251" s="6"/>
      <c r="AF251" s="6"/>
      <c r="AG251" s="6"/>
      <c r="AH251" s="6"/>
      <c r="AI251" s="6"/>
      <c r="AJ251" s="6"/>
      <c r="AK251" s="6"/>
      <c r="AL251" s="7">
        <f t="shared" si="224"/>
        <v>0</v>
      </c>
      <c r="AM251" s="11">
        <f t="shared" si="186"/>
        <v>0</v>
      </c>
      <c r="AN251" s="25"/>
      <c r="AO251" s="10" t="str">
        <f t="shared" si="187"/>
        <v>OutubroSEMANA 4Spray Y/Pulveriz 32 OZ</v>
      </c>
      <c r="AP251" s="7">
        <f>SUMIF(NF!$A:$A,$AO251,NF!$I:$I)</f>
        <v>0</v>
      </c>
      <c r="AQ251" s="6"/>
      <c r="AR251" s="6"/>
      <c r="AS251" s="6"/>
      <c r="AT251" s="6"/>
      <c r="AU251" s="6"/>
      <c r="AV251" s="6"/>
      <c r="AW251" s="6"/>
      <c r="AX251" s="7">
        <f t="shared" si="225"/>
        <v>0</v>
      </c>
      <c r="AY251" s="11">
        <f t="shared" si="189"/>
        <v>0</v>
      </c>
      <c r="AZ251" s="25"/>
      <c r="BA251" s="10" t="str">
        <f t="shared" si="190"/>
        <v>OutubroSEMANA 5Spray Y/Pulveriz 32 OZ</v>
      </c>
      <c r="BB251" s="7">
        <f>SUMIF(NF!$A:$A,$BA251,NF!$I:$I)</f>
        <v>0</v>
      </c>
      <c r="BC251" s="6"/>
      <c r="BD251" s="6"/>
      <c r="BE251" s="6"/>
      <c r="BF251" s="74"/>
      <c r="BG251" s="74"/>
      <c r="BH251" s="74"/>
      <c r="BI251" s="74"/>
      <c r="BJ251" s="74"/>
      <c r="BK251" s="7">
        <f t="shared" si="226"/>
        <v>0</v>
      </c>
      <c r="BL251" s="8">
        <f t="shared" si="192"/>
        <v>0</v>
      </c>
      <c r="BM251" s="51" t="str">
        <f>IFERROR(VLOOKUP(A251,NF!$M:$O,3,0),"")</f>
        <v>Descartável</v>
      </c>
      <c r="BN251" s="7">
        <f t="shared" si="193"/>
        <v>0</v>
      </c>
      <c r="BO251" s="8">
        <f t="array" ref="BO251">IFERROR(LARGE(IF(NF!$G$2:$G$3137='Mês atual'!A251,NF!$J$2:$J$3137),1),0)*BN251</f>
        <v>0</v>
      </c>
      <c r="BP251" s="50"/>
      <c r="BR251" s="147">
        <f t="array" ref="BR251">IFERROR(LARGE(IF(NF!$G$2:$G$3137='Mês atual'!A251,NF!$J$2:$J$3137),1),0)</f>
        <v>0</v>
      </c>
      <c r="BS251" s="143" t="str">
        <f>VLOOKUP(A251,NF!M:O,3,0)</f>
        <v>Descartável</v>
      </c>
    </row>
    <row r="252" spans="1:71" x14ac:dyDescent="0.25">
      <c r="A252" s="108" t="s">
        <v>777</v>
      </c>
      <c r="B252" s="12"/>
      <c r="C252" s="9">
        <v>16</v>
      </c>
      <c r="D252" s="25"/>
      <c r="E252" s="10" t="str">
        <f t="shared" si="178"/>
        <v>OutubroSEMANA 1T.P. Interfolhado Melpaper</v>
      </c>
      <c r="F252" s="7">
        <f>SUMIF(NF!$A:$A,$E252,NF!$I:$I)</f>
        <v>30</v>
      </c>
      <c r="G252" s="6">
        <v>3</v>
      </c>
      <c r="H252" s="6">
        <v>2</v>
      </c>
      <c r="I252" s="6">
        <v>2</v>
      </c>
      <c r="J252" s="6">
        <v>1</v>
      </c>
      <c r="K252" s="6">
        <v>1</v>
      </c>
      <c r="L252" s="6">
        <v>1</v>
      </c>
      <c r="M252" s="6">
        <v>2</v>
      </c>
      <c r="N252" s="7">
        <f t="shared" si="222"/>
        <v>12</v>
      </c>
      <c r="O252" s="11">
        <f t="shared" si="180"/>
        <v>34</v>
      </c>
      <c r="P252" s="25"/>
      <c r="Q252" s="10" t="str">
        <f t="shared" si="181"/>
        <v>OutubroSEMANA 2T.P. Interfolhado Melpaper</v>
      </c>
      <c r="R252" s="7">
        <f>SUMIF(NF!$A:$A,$Q252,NF!$I:$I)</f>
        <v>0</v>
      </c>
      <c r="S252" s="6">
        <v>1</v>
      </c>
      <c r="T252" s="6">
        <v>1</v>
      </c>
      <c r="U252" s="6">
        <v>1</v>
      </c>
      <c r="V252" s="6">
        <v>2</v>
      </c>
      <c r="W252" s="6"/>
      <c r="X252" s="6">
        <v>1</v>
      </c>
      <c r="Y252" s="6"/>
      <c r="Z252" s="7">
        <f t="shared" si="223"/>
        <v>6</v>
      </c>
      <c r="AA252" s="11">
        <f t="shared" si="183"/>
        <v>28</v>
      </c>
      <c r="AB252" s="25"/>
      <c r="AC252" s="10" t="str">
        <f t="shared" si="184"/>
        <v>OutubroSEMANA 3T.P. Interfolhado Melpaper</v>
      </c>
      <c r="AD252" s="7">
        <f>SUMIF(NF!$A:$A,$AC252,NF!$I:$I)</f>
        <v>0</v>
      </c>
      <c r="AE252" s="6">
        <v>3</v>
      </c>
      <c r="AF252" s="6">
        <v>1</v>
      </c>
      <c r="AG252" s="6">
        <v>1</v>
      </c>
      <c r="AH252" s="6"/>
      <c r="AI252" s="6">
        <v>1</v>
      </c>
      <c r="AJ252" s="6">
        <v>1</v>
      </c>
      <c r="AK252" s="6">
        <v>2</v>
      </c>
      <c r="AL252" s="7">
        <f t="shared" si="224"/>
        <v>9</v>
      </c>
      <c r="AM252" s="11">
        <f t="shared" si="186"/>
        <v>19</v>
      </c>
      <c r="AN252" s="25"/>
      <c r="AO252" s="10" t="str">
        <f t="shared" si="187"/>
        <v>OutubroSEMANA 4T.P. Interfolhado Melpaper</v>
      </c>
      <c r="AP252" s="7">
        <f>SUMIF(NF!$A:$A,$AO252,NF!$I:$I)</f>
        <v>15</v>
      </c>
      <c r="AQ252" s="6">
        <v>1</v>
      </c>
      <c r="AR252" s="6">
        <v>2</v>
      </c>
      <c r="AS252" s="6">
        <v>1</v>
      </c>
      <c r="AT252" s="6">
        <v>1</v>
      </c>
      <c r="AU252" s="6">
        <v>1</v>
      </c>
      <c r="AV252" s="6">
        <v>1</v>
      </c>
      <c r="AW252" s="6">
        <v>1</v>
      </c>
      <c r="AX252" s="7">
        <f t="shared" si="225"/>
        <v>8</v>
      </c>
      <c r="AY252" s="11">
        <f t="shared" si="189"/>
        <v>26</v>
      </c>
      <c r="AZ252" s="25"/>
      <c r="BA252" s="10" t="str">
        <f t="shared" si="190"/>
        <v>OutubroSEMANA 5T.P. Interfolhado Melpaper</v>
      </c>
      <c r="BB252" s="7">
        <f>SUMIF(NF!$A:$A,$BA252,NF!$I:$I)</f>
        <v>0</v>
      </c>
      <c r="BC252" s="6">
        <v>3</v>
      </c>
      <c r="BD252" s="6">
        <v>1</v>
      </c>
      <c r="BE252" s="6"/>
      <c r="BF252" s="74"/>
      <c r="BG252" s="74"/>
      <c r="BH252" s="74"/>
      <c r="BI252" s="74"/>
      <c r="BJ252" s="74"/>
      <c r="BK252" s="7">
        <f t="shared" si="226"/>
        <v>4</v>
      </c>
      <c r="BL252" s="8">
        <f t="shared" si="192"/>
        <v>22</v>
      </c>
      <c r="BM252" s="51" t="str">
        <f>IFERROR(VLOOKUP(A252,NF!$M:$O,3,0),"")</f>
        <v>Descartável</v>
      </c>
      <c r="BN252" s="7">
        <f t="shared" si="193"/>
        <v>39</v>
      </c>
      <c r="BO252" s="8">
        <f t="array" ref="BO252">IFERROR(LARGE(IF(NF!$G$2:$G$3137='Mês atual'!A252,NF!$J$2:$J$3137),1),0)*BN252</f>
        <v>436.995</v>
      </c>
      <c r="BP252" s="50"/>
      <c r="BR252" s="147">
        <f t="array" ref="BR252">IFERROR(LARGE(IF(NF!$G$2:$G$3137='Mês atual'!A252,NF!$J$2:$J$3137),1),0)</f>
        <v>11.205</v>
      </c>
      <c r="BS252" s="143" t="str">
        <f>VLOOKUP(A252,NF!M:O,3,0)</f>
        <v>Descartável</v>
      </c>
    </row>
    <row r="253" spans="1:71" x14ac:dyDescent="0.25">
      <c r="A253" s="108" t="s">
        <v>781</v>
      </c>
      <c r="B253" s="12"/>
      <c r="C253" s="9">
        <v>400</v>
      </c>
      <c r="D253" s="25"/>
      <c r="E253" s="10" t="str">
        <f t="shared" si="178"/>
        <v>OutubroSEMANA 1Tampa para Copo 400 ml</v>
      </c>
      <c r="F253" s="7">
        <f>SUMIF(NF!$A:$A,$E253,NF!$I:$I)</f>
        <v>0</v>
      </c>
      <c r="G253" s="6"/>
      <c r="H253" s="6"/>
      <c r="I253" s="6"/>
      <c r="J253" s="6"/>
      <c r="K253" s="6"/>
      <c r="L253" s="6"/>
      <c r="M253" s="6"/>
      <c r="N253" s="7">
        <f t="shared" si="222"/>
        <v>0</v>
      </c>
      <c r="O253" s="11">
        <f t="shared" si="180"/>
        <v>400</v>
      </c>
      <c r="P253" s="25"/>
      <c r="Q253" s="10" t="str">
        <f t="shared" si="181"/>
        <v>OutubroSEMANA 2Tampa para Copo 400 ml</v>
      </c>
      <c r="R253" s="7">
        <f>SUMIF(NF!$A:$A,$Q253,NF!$I:$I)</f>
        <v>0</v>
      </c>
      <c r="S253" s="6"/>
      <c r="T253" s="6"/>
      <c r="U253" s="6"/>
      <c r="V253" s="6"/>
      <c r="W253" s="6"/>
      <c r="X253" s="6"/>
      <c r="Y253" s="6"/>
      <c r="Z253" s="7">
        <f t="shared" si="223"/>
        <v>0</v>
      </c>
      <c r="AA253" s="11">
        <f t="shared" si="183"/>
        <v>400</v>
      </c>
      <c r="AB253" s="25"/>
      <c r="AC253" s="10" t="str">
        <f t="shared" si="184"/>
        <v>OutubroSEMANA 3Tampa para Copo 400 ml</v>
      </c>
      <c r="AD253" s="7">
        <f>SUMIF(NF!$A:$A,$AC253,NF!$I:$I)</f>
        <v>0</v>
      </c>
      <c r="AE253" s="6"/>
      <c r="AF253" s="6"/>
      <c r="AG253" s="6"/>
      <c r="AH253" s="6"/>
      <c r="AI253" s="6"/>
      <c r="AJ253" s="6"/>
      <c r="AK253" s="6"/>
      <c r="AL253" s="7">
        <f t="shared" si="224"/>
        <v>0</v>
      </c>
      <c r="AM253" s="11">
        <f t="shared" si="186"/>
        <v>400</v>
      </c>
      <c r="AN253" s="25"/>
      <c r="AO253" s="10" t="str">
        <f t="shared" si="187"/>
        <v>OutubroSEMANA 4Tampa para Copo 400 ml</v>
      </c>
      <c r="AP253" s="7">
        <f>SUMIF(NF!$A:$A,$AO253,NF!$I:$I)</f>
        <v>0</v>
      </c>
      <c r="AQ253" s="6"/>
      <c r="AR253" s="6"/>
      <c r="AS253" s="6"/>
      <c r="AT253" s="6"/>
      <c r="AU253" s="6"/>
      <c r="AV253" s="6"/>
      <c r="AW253" s="6"/>
      <c r="AX253" s="7">
        <f t="shared" si="225"/>
        <v>0</v>
      </c>
      <c r="AY253" s="11">
        <f t="shared" si="189"/>
        <v>400</v>
      </c>
      <c r="AZ253" s="25"/>
      <c r="BA253" s="10" t="str">
        <f t="shared" si="190"/>
        <v>OutubroSEMANA 5Tampa para Copo 400 ml</v>
      </c>
      <c r="BB253" s="7">
        <f>SUMIF(NF!$A:$A,$BA253,NF!$I:$I)</f>
        <v>0</v>
      </c>
      <c r="BC253" s="6"/>
      <c r="BD253" s="6"/>
      <c r="BE253" s="6"/>
      <c r="BF253" s="74"/>
      <c r="BG253" s="74"/>
      <c r="BH253" s="74"/>
      <c r="BI253" s="74"/>
      <c r="BJ253" s="74"/>
      <c r="BK253" s="7">
        <f t="shared" si="226"/>
        <v>0</v>
      </c>
      <c r="BL253" s="8">
        <f t="shared" si="192"/>
        <v>400</v>
      </c>
      <c r="BM253" s="51" t="str">
        <f>IFERROR(VLOOKUP(A253,NF!$M:$O,3,0),"")</f>
        <v>Descartável</v>
      </c>
      <c r="BN253" s="7">
        <f t="shared" si="193"/>
        <v>0</v>
      </c>
      <c r="BO253" s="8">
        <f t="array" ref="BO253">IFERROR(LARGE(IF(NF!$G$2:$G$3137='Mês atual'!A253,NF!$J$2:$J$3137),1),0)*BN253</f>
        <v>0</v>
      </c>
      <c r="BP253" s="50"/>
      <c r="BR253" s="147">
        <f t="array" ref="BR253">IFERROR(LARGE(IF(NF!$G$2:$G$3137='Mês atual'!A253,NF!$J$2:$J$3137),1),0)</f>
        <v>0</v>
      </c>
      <c r="BS253" s="143" t="str">
        <f>VLOOKUP(A253,NF!M:O,3,0)</f>
        <v>Descartável</v>
      </c>
    </row>
    <row r="254" spans="1:71" x14ac:dyDescent="0.25">
      <c r="A254" s="108" t="s">
        <v>782</v>
      </c>
      <c r="B254" s="12"/>
      <c r="C254" s="9">
        <v>50</v>
      </c>
      <c r="D254" s="25"/>
      <c r="E254" s="10" t="str">
        <f t="shared" si="178"/>
        <v>OutubroSEMANA 1Tampa para Copo Feijão</v>
      </c>
      <c r="F254" s="7">
        <f>SUMIF(NF!$A:$A,$E254,NF!$I:$I)</f>
        <v>0</v>
      </c>
      <c r="G254" s="6"/>
      <c r="H254" s="6"/>
      <c r="I254" s="6"/>
      <c r="J254" s="6"/>
      <c r="K254" s="6"/>
      <c r="L254" s="6"/>
      <c r="M254" s="6"/>
      <c r="N254" s="7">
        <f t="shared" si="222"/>
        <v>0</v>
      </c>
      <c r="O254" s="11">
        <f t="shared" si="180"/>
        <v>50</v>
      </c>
      <c r="P254" s="25"/>
      <c r="Q254" s="10" t="str">
        <f t="shared" si="181"/>
        <v>OutubroSEMANA 2Tampa para Copo Feijão</v>
      </c>
      <c r="R254" s="7">
        <f>SUMIF(NF!$A:$A,$Q254,NF!$I:$I)</f>
        <v>0</v>
      </c>
      <c r="S254" s="6"/>
      <c r="T254" s="6"/>
      <c r="U254" s="6"/>
      <c r="V254" s="6"/>
      <c r="W254" s="6"/>
      <c r="X254" s="6"/>
      <c r="Y254" s="6"/>
      <c r="Z254" s="7">
        <f t="shared" si="223"/>
        <v>0</v>
      </c>
      <c r="AA254" s="11">
        <f t="shared" si="183"/>
        <v>50</v>
      </c>
      <c r="AB254" s="25"/>
      <c r="AC254" s="10" t="str">
        <f t="shared" si="184"/>
        <v>OutubroSEMANA 3Tampa para Copo Feijão</v>
      </c>
      <c r="AD254" s="7">
        <f>SUMIF(NF!$A:$A,$AC254,NF!$I:$I)</f>
        <v>0</v>
      </c>
      <c r="AE254" s="6"/>
      <c r="AF254" s="6"/>
      <c r="AG254" s="6"/>
      <c r="AH254" s="6"/>
      <c r="AI254" s="6"/>
      <c r="AJ254" s="6"/>
      <c r="AK254" s="6"/>
      <c r="AL254" s="7">
        <f t="shared" si="224"/>
        <v>0</v>
      </c>
      <c r="AM254" s="11">
        <f t="shared" si="186"/>
        <v>50</v>
      </c>
      <c r="AN254" s="25"/>
      <c r="AO254" s="10" t="str">
        <f t="shared" si="187"/>
        <v>OutubroSEMANA 4Tampa para Copo Feijão</v>
      </c>
      <c r="AP254" s="7">
        <f>SUMIF(NF!$A:$A,$AO254,NF!$I:$I)</f>
        <v>0</v>
      </c>
      <c r="AQ254" s="6"/>
      <c r="AR254" s="6"/>
      <c r="AS254" s="6"/>
      <c r="AT254" s="6"/>
      <c r="AU254" s="6"/>
      <c r="AV254" s="6"/>
      <c r="AW254" s="6"/>
      <c r="AX254" s="7">
        <f t="shared" si="225"/>
        <v>0</v>
      </c>
      <c r="AY254" s="11">
        <f t="shared" si="189"/>
        <v>50</v>
      </c>
      <c r="AZ254" s="25"/>
      <c r="BA254" s="10" t="str">
        <f t="shared" si="190"/>
        <v>OutubroSEMANA 5Tampa para Copo Feijão</v>
      </c>
      <c r="BB254" s="7">
        <f>SUMIF(NF!$A:$A,$BA254,NF!$I:$I)</f>
        <v>0</v>
      </c>
      <c r="BC254" s="6"/>
      <c r="BD254" s="6"/>
      <c r="BE254" s="6"/>
      <c r="BF254" s="74"/>
      <c r="BG254" s="74"/>
      <c r="BH254" s="74"/>
      <c r="BI254" s="74"/>
      <c r="BJ254" s="74"/>
      <c r="BK254" s="7">
        <f t="shared" si="226"/>
        <v>0</v>
      </c>
      <c r="BL254" s="8">
        <f t="shared" si="192"/>
        <v>50</v>
      </c>
      <c r="BM254" s="51" t="str">
        <f>IFERROR(VLOOKUP(A254,NF!$M:$O,3,0),"")</f>
        <v>Descartável</v>
      </c>
      <c r="BN254" s="7">
        <f t="shared" si="193"/>
        <v>0</v>
      </c>
      <c r="BO254" s="8">
        <f t="array" ref="BO254">IFERROR(LARGE(IF(NF!$G$2:$G$3137='Mês atual'!A254,NF!$J$2:$J$3137),1),0)*BN254</f>
        <v>0</v>
      </c>
      <c r="BP254" s="50"/>
      <c r="BR254" s="147">
        <f t="array" ref="BR254">IFERROR(LARGE(IF(NF!$G$2:$G$3137='Mês atual'!A254,NF!$J$2:$J$3137),1),0)</f>
        <v>0</v>
      </c>
      <c r="BS254" s="143" t="str">
        <f>VLOOKUP(A254,NF!M:O,3,0)</f>
        <v>Descartável</v>
      </c>
    </row>
    <row r="255" spans="1:71" x14ac:dyDescent="0.25">
      <c r="A255" s="108" t="s">
        <v>783</v>
      </c>
      <c r="B255" s="12"/>
      <c r="C255" s="9">
        <v>1800</v>
      </c>
      <c r="D255" s="25"/>
      <c r="E255" s="10" t="str">
        <f t="shared" si="178"/>
        <v>OutubroSEMANA 1Tampa Sobremesa Cristal 180 ml</v>
      </c>
      <c r="F255" s="7">
        <f>SUMIF(NF!$A:$A,$E255,NF!$I:$I)</f>
        <v>0</v>
      </c>
      <c r="G255" s="6"/>
      <c r="H255" s="6"/>
      <c r="I255" s="6"/>
      <c r="J255" s="6"/>
      <c r="K255" s="6">
        <v>50</v>
      </c>
      <c r="L255" s="6"/>
      <c r="M255" s="6"/>
      <c r="N255" s="7">
        <f t="shared" si="222"/>
        <v>50</v>
      </c>
      <c r="O255" s="11">
        <f t="shared" si="180"/>
        <v>1750</v>
      </c>
      <c r="P255" s="25"/>
      <c r="Q255" s="10" t="str">
        <f t="shared" si="181"/>
        <v>OutubroSEMANA 2Tampa Sobremesa Cristal 180 ml</v>
      </c>
      <c r="R255" s="7">
        <f>SUMIF(NF!$A:$A,$Q255,NF!$I:$I)</f>
        <v>0</v>
      </c>
      <c r="S255" s="6">
        <v>50</v>
      </c>
      <c r="T255" s="6"/>
      <c r="U255" s="6"/>
      <c r="V255" s="6">
        <v>50</v>
      </c>
      <c r="W255" s="6"/>
      <c r="X255" s="6">
        <v>50</v>
      </c>
      <c r="Y255" s="6"/>
      <c r="Z255" s="7">
        <f t="shared" si="223"/>
        <v>150</v>
      </c>
      <c r="AA255" s="11">
        <f t="shared" si="183"/>
        <v>1600</v>
      </c>
      <c r="AB255" s="25"/>
      <c r="AC255" s="10" t="str">
        <f t="shared" si="184"/>
        <v>OutubroSEMANA 3Tampa Sobremesa Cristal 180 ml</v>
      </c>
      <c r="AD255" s="7">
        <f>SUMIF(NF!$A:$A,$AC255,NF!$I:$I)</f>
        <v>0</v>
      </c>
      <c r="AE255" s="6">
        <v>50</v>
      </c>
      <c r="AF255" s="6"/>
      <c r="AG255" s="6"/>
      <c r="AH255" s="6"/>
      <c r="AI255" s="6">
        <v>50</v>
      </c>
      <c r="AJ255" s="6"/>
      <c r="AK255" s="6"/>
      <c r="AL255" s="7">
        <f t="shared" si="224"/>
        <v>100</v>
      </c>
      <c r="AM255" s="11">
        <f t="shared" si="186"/>
        <v>1500</v>
      </c>
      <c r="AN255" s="25"/>
      <c r="AO255" s="10" t="str">
        <f t="shared" si="187"/>
        <v>OutubroSEMANA 4Tampa Sobremesa Cristal 180 ml</v>
      </c>
      <c r="AP255" s="7">
        <f>SUMIF(NF!$A:$A,$AO255,NF!$I:$I)</f>
        <v>0</v>
      </c>
      <c r="AQ255" s="6"/>
      <c r="AR255" s="6"/>
      <c r="AS255" s="6">
        <v>50</v>
      </c>
      <c r="AT255" s="6"/>
      <c r="AU255" s="6"/>
      <c r="AV255" s="6">
        <v>50</v>
      </c>
      <c r="AW255" s="6"/>
      <c r="AX255" s="7">
        <f t="shared" si="225"/>
        <v>100</v>
      </c>
      <c r="AY255" s="11">
        <f t="shared" si="189"/>
        <v>1400</v>
      </c>
      <c r="AZ255" s="25"/>
      <c r="BA255" s="10" t="str">
        <f t="shared" si="190"/>
        <v>OutubroSEMANA 5Tampa Sobremesa Cristal 180 ml</v>
      </c>
      <c r="BB255" s="7">
        <f>SUMIF(NF!$A:$A,$BA255,NF!$I:$I)</f>
        <v>0</v>
      </c>
      <c r="BC255" s="6">
        <v>50</v>
      </c>
      <c r="BD255" s="6"/>
      <c r="BE255" s="6"/>
      <c r="BF255" s="74"/>
      <c r="BG255" s="74"/>
      <c r="BH255" s="74"/>
      <c r="BI255" s="74"/>
      <c r="BJ255" s="74"/>
      <c r="BK255" s="7">
        <f t="shared" si="226"/>
        <v>50</v>
      </c>
      <c r="BL255" s="8">
        <f t="shared" si="192"/>
        <v>1350</v>
      </c>
      <c r="BM255" s="51" t="str">
        <f>IFERROR(VLOOKUP(A255,NF!$M:$O,3,0),"")</f>
        <v>Descartável</v>
      </c>
      <c r="BN255" s="7">
        <f t="shared" si="193"/>
        <v>450</v>
      </c>
      <c r="BO255" s="8">
        <f t="array" ref="BO255">IFERROR(LARGE(IF(NF!$G$2:$G$3137='Mês atual'!A255,NF!$J$2:$J$3137),1),0)*BN255</f>
        <v>0</v>
      </c>
      <c r="BP255" s="50"/>
      <c r="BR255" s="147">
        <f t="array" ref="BR255">IFERROR(LARGE(IF(NF!$G$2:$G$3137='Mês atual'!A255,NF!$J$2:$J$3137),1),0)</f>
        <v>0</v>
      </c>
      <c r="BS255" s="143" t="str">
        <f>VLOOKUP(A255,NF!M:O,3,0)</f>
        <v>Descartável</v>
      </c>
    </row>
    <row r="256" spans="1:71" x14ac:dyDescent="0.25">
      <c r="A256" s="108" t="s">
        <v>787</v>
      </c>
      <c r="B256" s="12"/>
      <c r="C256" s="9">
        <v>26</v>
      </c>
      <c r="D256" s="25"/>
      <c r="E256" s="10" t="str">
        <f t="shared" si="178"/>
        <v>OutubroSEMANA 1Toalha Bobina</v>
      </c>
      <c r="F256" s="7">
        <f>SUMIF(NF!$A:$A,$E256,NF!$I:$I)</f>
        <v>60</v>
      </c>
      <c r="G256" s="6">
        <v>3</v>
      </c>
      <c r="H256" s="6">
        <v>3</v>
      </c>
      <c r="I256" s="6">
        <v>4</v>
      </c>
      <c r="J256" s="6">
        <v>2</v>
      </c>
      <c r="K256" s="6">
        <v>5</v>
      </c>
      <c r="L256" s="6"/>
      <c r="M256" s="6">
        <v>3</v>
      </c>
      <c r="N256" s="7">
        <f t="shared" si="222"/>
        <v>20</v>
      </c>
      <c r="O256" s="11">
        <f t="shared" si="180"/>
        <v>66</v>
      </c>
      <c r="P256" s="25"/>
      <c r="Q256" s="10" t="str">
        <f t="shared" si="181"/>
        <v>OutubroSEMANA 2Toalha Bobina</v>
      </c>
      <c r="R256" s="7">
        <f>SUMIF(NF!$A:$A,$Q256,NF!$I:$I)</f>
        <v>0</v>
      </c>
      <c r="S256" s="6">
        <v>4</v>
      </c>
      <c r="T256" s="6">
        <f>2+2</f>
        <v>4</v>
      </c>
      <c r="U256" s="6">
        <v>5</v>
      </c>
      <c r="V256" s="6">
        <v>2</v>
      </c>
      <c r="W256" s="6">
        <v>3</v>
      </c>
      <c r="X256" s="6">
        <v>3</v>
      </c>
      <c r="Y256" s="6">
        <v>5</v>
      </c>
      <c r="Z256" s="7">
        <f t="shared" si="223"/>
        <v>26</v>
      </c>
      <c r="AA256" s="11">
        <f t="shared" si="183"/>
        <v>40</v>
      </c>
      <c r="AB256" s="25"/>
      <c r="AC256" s="10" t="str">
        <f t="shared" si="184"/>
        <v>OutubroSEMANA 3Toalha Bobina</v>
      </c>
      <c r="AD256" s="7">
        <f>SUMIF(NF!$A:$A,$AC256,NF!$I:$I)</f>
        <v>36</v>
      </c>
      <c r="AE256" s="6">
        <v>2</v>
      </c>
      <c r="AF256" s="6">
        <v>5</v>
      </c>
      <c r="AG256" s="6">
        <v>2</v>
      </c>
      <c r="AH256" s="6">
        <v>4</v>
      </c>
      <c r="AI256" s="6">
        <v>5</v>
      </c>
      <c r="AJ256" s="6">
        <v>3</v>
      </c>
      <c r="AK256" s="6">
        <v>2</v>
      </c>
      <c r="AL256" s="7">
        <f t="shared" si="224"/>
        <v>23</v>
      </c>
      <c r="AM256" s="11">
        <f t="shared" si="186"/>
        <v>53</v>
      </c>
      <c r="AN256" s="25"/>
      <c r="AO256" s="10" t="str">
        <f t="shared" si="187"/>
        <v>OutubroSEMANA 4Toalha Bobina</v>
      </c>
      <c r="AP256" s="7">
        <f>SUMIF(NF!$A:$A,$AO256,NF!$I:$I)</f>
        <v>0</v>
      </c>
      <c r="AQ256" s="6">
        <v>4</v>
      </c>
      <c r="AR256" s="6">
        <v>3</v>
      </c>
      <c r="AS256" s="6">
        <v>4</v>
      </c>
      <c r="AT256" s="6">
        <v>2</v>
      </c>
      <c r="AU256" s="6">
        <v>5</v>
      </c>
      <c r="AV256" s="6">
        <v>4</v>
      </c>
      <c r="AW256" s="6">
        <v>3</v>
      </c>
      <c r="AX256" s="7">
        <f t="shared" si="225"/>
        <v>25</v>
      </c>
      <c r="AY256" s="11">
        <f t="shared" si="189"/>
        <v>28</v>
      </c>
      <c r="AZ256" s="25"/>
      <c r="BA256" s="10" t="str">
        <f t="shared" si="190"/>
        <v>OutubroSEMANA 5Toalha Bobina</v>
      </c>
      <c r="BB256" s="7">
        <f>SUMIF(NF!$A:$A,$BA256,NF!$I:$I)</f>
        <v>0</v>
      </c>
      <c r="BC256" s="6">
        <v>3</v>
      </c>
      <c r="BD256" s="6">
        <v>4</v>
      </c>
      <c r="BE256" s="6">
        <v>3</v>
      </c>
      <c r="BF256" s="74"/>
      <c r="BG256" s="74"/>
      <c r="BH256" s="74"/>
      <c r="BI256" s="74"/>
      <c r="BJ256" s="74"/>
      <c r="BK256" s="7">
        <f t="shared" si="226"/>
        <v>10</v>
      </c>
      <c r="BL256" s="8">
        <f t="shared" si="192"/>
        <v>18</v>
      </c>
      <c r="BM256" s="51" t="str">
        <f>IFERROR(VLOOKUP(A256,NF!$M:$O,3,0),"")</f>
        <v>Descartável</v>
      </c>
      <c r="BN256" s="7">
        <f t="shared" si="193"/>
        <v>104</v>
      </c>
      <c r="BO256" s="8">
        <f t="array" ref="BO256">IFERROR(LARGE(IF(NF!$G$2:$G$3137='Mês atual'!A256,NF!$J$2:$J$3137),1),0)*BN256</f>
        <v>1248</v>
      </c>
      <c r="BP256" s="50"/>
      <c r="BR256" s="147">
        <f t="array" ref="BR256">IFERROR(LARGE(IF(NF!$G$2:$G$3137='Mês atual'!A256,NF!$J$2:$J$3137),1),0)</f>
        <v>12</v>
      </c>
      <c r="BS256" s="143" t="str">
        <f>VLOOKUP(A256,NF!M:O,3,0)</f>
        <v>Descartável</v>
      </c>
    </row>
    <row r="257" spans="1:74" ht="15.75" thickBot="1" x14ac:dyDescent="0.3">
      <c r="A257" s="108" t="s">
        <v>823</v>
      </c>
      <c r="B257" s="12"/>
      <c r="C257" s="9"/>
      <c r="D257" s="25"/>
      <c r="E257" s="10" t="str">
        <f t="shared" si="178"/>
        <v>OutubroSEMANA 1Touca Branca</v>
      </c>
      <c r="F257" s="7">
        <f>SUMIF(NF!$A:$A,$E257,NF!$I:$I)</f>
        <v>1</v>
      </c>
      <c r="G257" s="6"/>
      <c r="H257" s="6"/>
      <c r="I257" s="6"/>
      <c r="J257" s="6"/>
      <c r="K257" s="6"/>
      <c r="L257" s="6"/>
      <c r="M257" s="6"/>
      <c r="N257" s="7">
        <f t="shared" si="222"/>
        <v>0</v>
      </c>
      <c r="O257" s="11">
        <f t="shared" si="180"/>
        <v>1</v>
      </c>
      <c r="P257" s="25"/>
      <c r="Q257" s="10" t="str">
        <f t="shared" si="181"/>
        <v>OutubroSEMANA 2Touca Branca</v>
      </c>
      <c r="R257" s="7">
        <f>SUMIF(NF!$A:$A,$Q257,NF!$I:$I)</f>
        <v>0</v>
      </c>
      <c r="S257" s="6"/>
      <c r="T257" s="6"/>
      <c r="U257" s="6"/>
      <c r="V257" s="6"/>
      <c r="W257" s="6"/>
      <c r="X257" s="6"/>
      <c r="Y257" s="6"/>
      <c r="Z257" s="7">
        <f t="shared" si="223"/>
        <v>0</v>
      </c>
      <c r="AA257" s="11">
        <f t="shared" si="183"/>
        <v>1</v>
      </c>
      <c r="AB257" s="25"/>
      <c r="AC257" s="10" t="str">
        <f t="shared" si="184"/>
        <v>OutubroSEMANA 3Touca Branca</v>
      </c>
      <c r="AD257" s="7">
        <f>SUMIF(NF!$A:$A,$AC257,NF!$I:$I)</f>
        <v>0</v>
      </c>
      <c r="AE257" s="6"/>
      <c r="AF257" s="6"/>
      <c r="AG257" s="6"/>
      <c r="AH257" s="6"/>
      <c r="AI257" s="6"/>
      <c r="AJ257" s="6"/>
      <c r="AK257" s="6"/>
      <c r="AL257" s="7">
        <f t="shared" si="224"/>
        <v>0</v>
      </c>
      <c r="AM257" s="11">
        <f t="shared" si="186"/>
        <v>1</v>
      </c>
      <c r="AN257" s="25"/>
      <c r="AO257" s="10" t="str">
        <f t="shared" si="187"/>
        <v>OutubroSEMANA 4Touca Branca</v>
      </c>
      <c r="AP257" s="7">
        <f>SUMIF(NF!$A:$A,$AO257,NF!$I:$I)</f>
        <v>0</v>
      </c>
      <c r="AQ257" s="6"/>
      <c r="AR257" s="6"/>
      <c r="AS257" s="6"/>
      <c r="AT257" s="6"/>
      <c r="AU257" s="6"/>
      <c r="AV257" s="6"/>
      <c r="AW257" s="6"/>
      <c r="AX257" s="7">
        <f t="shared" si="225"/>
        <v>0</v>
      </c>
      <c r="AY257" s="11">
        <f t="shared" si="189"/>
        <v>1</v>
      </c>
      <c r="AZ257" s="25"/>
      <c r="BA257" s="10" t="str">
        <f t="shared" si="190"/>
        <v>OutubroSEMANA 5Touca Branca</v>
      </c>
      <c r="BB257" s="7">
        <f>SUMIF(NF!$A:$A,$BA257,NF!$I:$I)</f>
        <v>0</v>
      </c>
      <c r="BC257" s="6"/>
      <c r="BD257" s="6"/>
      <c r="BE257" s="6"/>
      <c r="BF257" s="74"/>
      <c r="BG257" s="74"/>
      <c r="BH257" s="74"/>
      <c r="BI257" s="74"/>
      <c r="BJ257" s="74"/>
      <c r="BK257" s="7">
        <f t="shared" si="226"/>
        <v>0</v>
      </c>
      <c r="BL257" s="8">
        <f t="shared" si="192"/>
        <v>1</v>
      </c>
      <c r="BM257" s="51" t="str">
        <f>IFERROR(VLOOKUP(A257,NF!$M:$O,3,0),"")</f>
        <v>Descartável</v>
      </c>
      <c r="BN257" s="7">
        <f t="shared" si="193"/>
        <v>0</v>
      </c>
      <c r="BO257" s="8">
        <f t="array" ref="BO257">IFERROR(LARGE(IF(NF!$G$2:$G$3137='Mês atual'!A257,NF!$J$2:$J$3137),1),0)*BN257</f>
        <v>0</v>
      </c>
      <c r="BP257" s="50"/>
      <c r="BR257" s="147">
        <f t="array" ref="BR257">IFERROR(LARGE(IF(NF!$G$2:$G$3137='Mês atual'!A257,NF!$J$2:$J$3137),1),0)</f>
        <v>7.9</v>
      </c>
      <c r="BS257" s="143" t="str">
        <f>VLOOKUP(A257,NF!M:O,3,0)</f>
        <v>Descartável</v>
      </c>
    </row>
    <row r="258" spans="1:74" s="16" customFormat="1" ht="30" customHeight="1" thickBot="1" x14ac:dyDescent="0.3">
      <c r="A258" s="139" t="s">
        <v>922</v>
      </c>
      <c r="B258" s="130"/>
      <c r="C258" s="131"/>
      <c r="D258" s="132"/>
      <c r="E258" s="133"/>
      <c r="F258" s="134"/>
      <c r="G258" s="133"/>
      <c r="H258" s="133"/>
      <c r="I258" s="133"/>
      <c r="J258" s="133"/>
      <c r="K258" s="133"/>
      <c r="L258" s="133"/>
      <c r="M258" s="133"/>
      <c r="N258" s="134"/>
      <c r="O258" s="134"/>
      <c r="P258" s="132"/>
      <c r="Q258" s="133"/>
      <c r="R258" s="134"/>
      <c r="S258" s="133"/>
      <c r="T258" s="133"/>
      <c r="U258" s="133"/>
      <c r="V258" s="133"/>
      <c r="W258" s="133"/>
      <c r="X258" s="133"/>
      <c r="Y258" s="133"/>
      <c r="Z258" s="134"/>
      <c r="AA258" s="134"/>
      <c r="AB258" s="132"/>
      <c r="AC258" s="133"/>
      <c r="AD258" s="134"/>
      <c r="AE258" s="133"/>
      <c r="AF258" s="133"/>
      <c r="AG258" s="133"/>
      <c r="AH258" s="133"/>
      <c r="AI258" s="133"/>
      <c r="AJ258" s="133"/>
      <c r="AK258" s="133"/>
      <c r="AL258" s="134"/>
      <c r="AM258" s="134"/>
      <c r="AN258" s="132"/>
      <c r="AO258" s="133"/>
      <c r="AP258" s="134"/>
      <c r="AQ258" s="133"/>
      <c r="AR258" s="133"/>
      <c r="AS258" s="133"/>
      <c r="AT258" s="133"/>
      <c r="AU258" s="133"/>
      <c r="AV258" s="133"/>
      <c r="AW258" s="133"/>
      <c r="AX258" s="134"/>
      <c r="AY258" s="134"/>
      <c r="AZ258" s="132"/>
      <c r="BA258" s="133"/>
      <c r="BB258" s="134"/>
      <c r="BC258" s="133"/>
      <c r="BD258" s="133"/>
      <c r="BE258" s="133"/>
      <c r="BF258" s="135"/>
      <c r="BG258" s="135"/>
      <c r="BH258" s="135"/>
      <c r="BI258" s="135"/>
      <c r="BJ258" s="135"/>
      <c r="BK258" s="134"/>
      <c r="BL258" s="134"/>
      <c r="BM258" s="136"/>
      <c r="BN258" s="137"/>
      <c r="BO258" s="137"/>
      <c r="BP258" s="138"/>
      <c r="BQ258" s="145"/>
      <c r="BR258" s="145"/>
      <c r="BS258" s="145"/>
      <c r="BT258" s="146"/>
      <c r="BU258" s="146"/>
      <c r="BV258" s="146"/>
    </row>
    <row r="259" spans="1:74" x14ac:dyDescent="0.25">
      <c r="A259" s="108" t="s">
        <v>978</v>
      </c>
      <c r="B259" s="12"/>
      <c r="C259" s="9"/>
      <c r="D259" s="25"/>
      <c r="E259" s="10" t="str">
        <f t="shared" ref="E259:E293" si="238">CONCATENATE($C$2,$F$1,$A259)</f>
        <v>OutubroSEMANA 1Agenda</v>
      </c>
      <c r="F259" s="7">
        <f>SUMIF(NF!$A:$A,$E259,NF!$I:$I)</f>
        <v>0</v>
      </c>
      <c r="G259" s="6"/>
      <c r="H259" s="6"/>
      <c r="I259" s="6"/>
      <c r="J259" s="6"/>
      <c r="K259" s="6"/>
      <c r="L259" s="6"/>
      <c r="M259" s="6"/>
      <c r="N259" s="7">
        <f t="shared" ref="N259" si="239">SUM(G259:M259)</f>
        <v>0</v>
      </c>
      <c r="O259" s="11">
        <f t="shared" ref="O259:O293" si="240">F259+C259-N259</f>
        <v>0</v>
      </c>
      <c r="P259" s="25"/>
      <c r="Q259" s="10" t="str">
        <f t="shared" ref="Q259:Q293" si="241">CONCATENATE($C$2,$R$1,$A259)</f>
        <v>OutubroSEMANA 2Agenda</v>
      </c>
      <c r="R259" s="7">
        <f>SUMIF(NF!$A:$A,$Q259,NF!$I:$I)</f>
        <v>0</v>
      </c>
      <c r="S259" s="6"/>
      <c r="T259" s="6"/>
      <c r="U259" s="6"/>
      <c r="V259" s="6"/>
      <c r="W259" s="6"/>
      <c r="X259" s="6"/>
      <c r="Y259" s="6"/>
      <c r="Z259" s="7">
        <f t="shared" ref="Z259" si="242">SUM(S259:Y259)</f>
        <v>0</v>
      </c>
      <c r="AA259" s="11">
        <f t="shared" ref="AA259:AA293" si="243">R259+O259-Z259</f>
        <v>0</v>
      </c>
      <c r="AB259" s="25"/>
      <c r="AC259" s="10" t="str">
        <f t="shared" ref="AC259:AC293" si="244">CONCATENATE($C$2,$AD$1,$A259)</f>
        <v>OutubroSEMANA 3Agenda</v>
      </c>
      <c r="AD259" s="7">
        <f>SUMIF(NF!$A:$A,$AC259,NF!$I:$I)</f>
        <v>0</v>
      </c>
      <c r="AE259" s="6"/>
      <c r="AF259" s="6"/>
      <c r="AG259" s="6"/>
      <c r="AH259" s="6"/>
      <c r="AI259" s="6"/>
      <c r="AJ259" s="6"/>
      <c r="AK259" s="6"/>
      <c r="AL259" s="7">
        <f t="shared" ref="AL259" si="245">SUM(AE259:AK259)</f>
        <v>0</v>
      </c>
      <c r="AM259" s="11">
        <f t="shared" ref="AM259:AM293" si="246">AD259+AA259-AL259</f>
        <v>0</v>
      </c>
      <c r="AN259" s="25"/>
      <c r="AO259" s="10" t="str">
        <f t="shared" ref="AO259:AO293" si="247">CONCATENATE($C$2,$AP$1,$A259)</f>
        <v>OutubroSEMANA 4Agenda</v>
      </c>
      <c r="AP259" s="7">
        <f>SUMIF(NF!$A:$A,$AO259,NF!$I:$I)</f>
        <v>0</v>
      </c>
      <c r="AQ259" s="6"/>
      <c r="AR259" s="6"/>
      <c r="AS259" s="6"/>
      <c r="AT259" s="6"/>
      <c r="AU259" s="6"/>
      <c r="AV259" s="6"/>
      <c r="AW259" s="6"/>
      <c r="AX259" s="7">
        <f t="shared" ref="AX259" si="248">SUM(AQ259:AW259)</f>
        <v>0</v>
      </c>
      <c r="AY259" s="11">
        <f t="shared" ref="AY259:AY293" si="249">AP259+AM259-AX259</f>
        <v>0</v>
      </c>
      <c r="AZ259" s="25"/>
      <c r="BA259" s="10" t="str">
        <f t="shared" ref="BA259:BA293" si="250">CONCATENATE($C$2,$BB$1,$A259)</f>
        <v>OutubroSEMANA 5Agenda</v>
      </c>
      <c r="BB259" s="7">
        <f>SUMIF(NF!$A:$A,$BA259,NF!$I:$I)</f>
        <v>0</v>
      </c>
      <c r="BC259" s="6"/>
      <c r="BD259" s="6"/>
      <c r="BE259" s="6"/>
      <c r="BF259" s="74"/>
      <c r="BG259" s="74"/>
      <c r="BH259" s="74"/>
      <c r="BI259" s="74"/>
      <c r="BJ259" s="74"/>
      <c r="BK259" s="7">
        <f t="shared" ref="BK259" si="251">SUM(BC259:BJ259)</f>
        <v>0</v>
      </c>
      <c r="BL259" s="8">
        <f t="shared" ref="BL259:BL293" si="252">BB259+AY259-BK259</f>
        <v>0</v>
      </c>
      <c r="BM259" s="51" t="str">
        <f>IFERROR(VLOOKUP(A259,NF!$M:$O,3,0),"")</f>
        <v>Escritório</v>
      </c>
      <c r="BN259" s="7">
        <f t="shared" ref="BN259:BN293" si="253">SUM(N259,Z259,AL259,AX259,BK259)</f>
        <v>0</v>
      </c>
      <c r="BO259" s="8">
        <f t="array" ref="BO259">IFERROR(LARGE(IF(NF!$G$2:$G$3137='Mês atual'!A259,NF!$J$2:$J$3137),1),0)*BN259</f>
        <v>0</v>
      </c>
      <c r="BP259" s="50"/>
      <c r="BR259" s="147">
        <f t="array" ref="BR259">IFERROR(LARGE(IF(NF!$G$2:$G$3137='Mês atual'!A259,NF!$J$2:$J$3137),1),0)</f>
        <v>0</v>
      </c>
      <c r="BS259" s="143" t="str">
        <f>VLOOKUP(A259,NF!M:O,3,0)</f>
        <v>Escritório</v>
      </c>
    </row>
    <row r="260" spans="1:74" x14ac:dyDescent="0.25">
      <c r="A260" s="108" t="s">
        <v>185</v>
      </c>
      <c r="B260" s="12"/>
      <c r="C260" s="9"/>
      <c r="D260" s="25"/>
      <c r="E260" s="10" t="str">
        <f t="shared" si="238"/>
        <v>OutubroSEMANA 1Bloco Mov. Caixa Saída/ Entrada</v>
      </c>
      <c r="F260" s="7">
        <f>SUMIF(NF!$A:$A,$E260,NF!$I:$I)</f>
        <v>0</v>
      </c>
      <c r="G260" s="6"/>
      <c r="H260" s="6"/>
      <c r="I260" s="6"/>
      <c r="J260" s="6"/>
      <c r="K260" s="6"/>
      <c r="L260" s="6"/>
      <c r="M260" s="6"/>
      <c r="N260" s="7">
        <f t="shared" ref="N260" si="254">SUM(G260:M260)</f>
        <v>0</v>
      </c>
      <c r="O260" s="11">
        <f t="shared" si="240"/>
        <v>0</v>
      </c>
      <c r="P260" s="25"/>
      <c r="Q260" s="10" t="str">
        <f t="shared" si="241"/>
        <v>OutubroSEMANA 2Bloco Mov. Caixa Saída/ Entrada</v>
      </c>
      <c r="R260" s="7">
        <f>SUMIF(NF!$A:$A,$Q260,NF!$I:$I)</f>
        <v>9</v>
      </c>
      <c r="S260" s="6"/>
      <c r="T260" s="6"/>
      <c r="U260" s="6">
        <v>9</v>
      </c>
      <c r="V260" s="6"/>
      <c r="W260" s="6"/>
      <c r="X260" s="6"/>
      <c r="Y260" s="6"/>
      <c r="Z260" s="7">
        <f t="shared" ref="Z260" si="255">SUM(S260:Y260)</f>
        <v>9</v>
      </c>
      <c r="AA260" s="11">
        <f t="shared" si="243"/>
        <v>0</v>
      </c>
      <c r="AB260" s="25"/>
      <c r="AC260" s="10" t="str">
        <f t="shared" si="244"/>
        <v>OutubroSEMANA 3Bloco Mov. Caixa Saída/ Entrada</v>
      </c>
      <c r="AD260" s="7">
        <f>SUMIF(NF!$A:$A,$AC260,NF!$I:$I)</f>
        <v>0</v>
      </c>
      <c r="AE260" s="6"/>
      <c r="AF260" s="6"/>
      <c r="AG260" s="6"/>
      <c r="AH260" s="6"/>
      <c r="AI260" s="6"/>
      <c r="AJ260" s="6"/>
      <c r="AK260" s="6"/>
      <c r="AL260" s="7">
        <f t="shared" ref="AL260" si="256">SUM(AE260:AK260)</f>
        <v>0</v>
      </c>
      <c r="AM260" s="11">
        <f t="shared" si="246"/>
        <v>0</v>
      </c>
      <c r="AN260" s="25"/>
      <c r="AO260" s="10" t="str">
        <f t="shared" si="247"/>
        <v>OutubroSEMANA 4Bloco Mov. Caixa Saída/ Entrada</v>
      </c>
      <c r="AP260" s="7">
        <f>SUMIF(NF!$A:$A,$AO260,NF!$I:$I)</f>
        <v>0</v>
      </c>
      <c r="AQ260" s="6"/>
      <c r="AR260" s="6"/>
      <c r="AS260" s="6"/>
      <c r="AT260" s="6"/>
      <c r="AU260" s="6"/>
      <c r="AV260" s="6"/>
      <c r="AW260" s="6"/>
      <c r="AX260" s="7">
        <f t="shared" ref="AX260" si="257">SUM(AQ260:AW260)</f>
        <v>0</v>
      </c>
      <c r="AY260" s="11">
        <f t="shared" si="249"/>
        <v>0</v>
      </c>
      <c r="AZ260" s="25"/>
      <c r="BA260" s="10" t="str">
        <f t="shared" si="250"/>
        <v>OutubroSEMANA 5Bloco Mov. Caixa Saída/ Entrada</v>
      </c>
      <c r="BB260" s="7">
        <f>SUMIF(NF!$A:$A,$BA260,NF!$I:$I)</f>
        <v>0</v>
      </c>
      <c r="BC260" s="6"/>
      <c r="BD260" s="6"/>
      <c r="BE260" s="6"/>
      <c r="BF260" s="74"/>
      <c r="BG260" s="74"/>
      <c r="BH260" s="74"/>
      <c r="BI260" s="74"/>
      <c r="BJ260" s="74"/>
      <c r="BK260" s="7">
        <f t="shared" ref="BK260" si="258">SUM(BC260:BJ260)</f>
        <v>0</v>
      </c>
      <c r="BL260" s="8">
        <f t="shared" si="252"/>
        <v>0</v>
      </c>
      <c r="BM260" s="51" t="str">
        <f>IFERROR(VLOOKUP(A260,NF!$M:$O,3,0),"")</f>
        <v>Escritório</v>
      </c>
      <c r="BN260" s="7">
        <f t="shared" si="253"/>
        <v>9</v>
      </c>
      <c r="BO260" s="8">
        <f t="array" ref="BO260">IFERROR(LARGE(IF(NF!$G$2:$G$3137='Mês atual'!A260,NF!$J$2:$J$3137),1),0)*BN260</f>
        <v>10.89</v>
      </c>
      <c r="BP260" s="50"/>
      <c r="BR260" s="147">
        <f t="array" ref="BR260">IFERROR(LARGE(IF(NF!$G$2:$G$3137='Mês atual'!A260,NF!$J$2:$J$3137),1),0)</f>
        <v>1.21</v>
      </c>
      <c r="BS260" s="143" t="str">
        <f>VLOOKUP(A260,NF!M:O,3,0)</f>
        <v>Escritório</v>
      </c>
    </row>
    <row r="261" spans="1:74" x14ac:dyDescent="0.25">
      <c r="A261" s="108" t="s">
        <v>979</v>
      </c>
      <c r="B261" s="12"/>
      <c r="C261" s="9"/>
      <c r="D261" s="25"/>
      <c r="E261" s="10" t="str">
        <f t="shared" si="238"/>
        <v>OutubroSEMANA 1Bobina Offset 1 Via</v>
      </c>
      <c r="F261" s="7">
        <f>SUMIF(NF!$A:$A,$E261,NF!$I:$I)</f>
        <v>0</v>
      </c>
      <c r="G261" s="6"/>
      <c r="H261" s="6"/>
      <c r="I261" s="6"/>
      <c r="J261" s="6"/>
      <c r="K261" s="6"/>
      <c r="L261" s="6"/>
      <c r="M261" s="6"/>
      <c r="N261" s="7">
        <f t="shared" ref="N261" si="259">SUM(G261:M261)</f>
        <v>0</v>
      </c>
      <c r="O261" s="11">
        <f t="shared" si="240"/>
        <v>0</v>
      </c>
      <c r="P261" s="25"/>
      <c r="Q261" s="10" t="str">
        <f t="shared" si="241"/>
        <v>OutubroSEMANA 2Bobina Offset 1 Via</v>
      </c>
      <c r="R261" s="7">
        <f>SUMIF(NF!$A:$A,$Q261,NF!$I:$I)</f>
        <v>0</v>
      </c>
      <c r="S261" s="6"/>
      <c r="T261" s="6"/>
      <c r="U261" s="6"/>
      <c r="V261" s="6"/>
      <c r="W261" s="6"/>
      <c r="X261" s="6"/>
      <c r="Y261" s="6"/>
      <c r="Z261" s="7">
        <f t="shared" ref="Z261" si="260">SUM(S261:Y261)</f>
        <v>0</v>
      </c>
      <c r="AA261" s="11">
        <f t="shared" si="243"/>
        <v>0</v>
      </c>
      <c r="AB261" s="25"/>
      <c r="AC261" s="10" t="str">
        <f t="shared" si="244"/>
        <v>OutubroSEMANA 3Bobina Offset 1 Via</v>
      </c>
      <c r="AD261" s="7">
        <f>SUMIF(NF!$A:$A,$AC261,NF!$I:$I)</f>
        <v>0</v>
      </c>
      <c r="AE261" s="6"/>
      <c r="AF261" s="6"/>
      <c r="AG261" s="6"/>
      <c r="AH261" s="6"/>
      <c r="AI261" s="6"/>
      <c r="AJ261" s="6"/>
      <c r="AK261" s="6"/>
      <c r="AL261" s="7">
        <f t="shared" ref="AL261" si="261">SUM(AE261:AK261)</f>
        <v>0</v>
      </c>
      <c r="AM261" s="11">
        <f t="shared" si="246"/>
        <v>0</v>
      </c>
      <c r="AN261" s="25"/>
      <c r="AO261" s="10" t="str">
        <f t="shared" si="247"/>
        <v>OutubroSEMANA 4Bobina Offset 1 Via</v>
      </c>
      <c r="AP261" s="7">
        <f>SUMIF(NF!$A:$A,$AO261,NF!$I:$I)</f>
        <v>0</v>
      </c>
      <c r="AQ261" s="6"/>
      <c r="AR261" s="6"/>
      <c r="AS261" s="6"/>
      <c r="AT261" s="6"/>
      <c r="AU261" s="6"/>
      <c r="AV261" s="6"/>
      <c r="AW261" s="6"/>
      <c r="AX261" s="7">
        <f t="shared" ref="AX261" si="262">SUM(AQ261:AW261)</f>
        <v>0</v>
      </c>
      <c r="AY261" s="11">
        <f t="shared" si="249"/>
        <v>0</v>
      </c>
      <c r="AZ261" s="25"/>
      <c r="BA261" s="10" t="str">
        <f t="shared" si="250"/>
        <v>OutubroSEMANA 5Bobina Offset 1 Via</v>
      </c>
      <c r="BB261" s="7">
        <f>SUMIF(NF!$A:$A,$BA261,NF!$I:$I)</f>
        <v>0</v>
      </c>
      <c r="BC261" s="6"/>
      <c r="BD261" s="6"/>
      <c r="BE261" s="6"/>
      <c r="BF261" s="74"/>
      <c r="BG261" s="74"/>
      <c r="BH261" s="74"/>
      <c r="BI261" s="74"/>
      <c r="BJ261" s="74"/>
      <c r="BK261" s="7">
        <f t="shared" ref="BK261" si="263">SUM(BC261:BJ261)</f>
        <v>0</v>
      </c>
      <c r="BL261" s="8">
        <f t="shared" si="252"/>
        <v>0</v>
      </c>
      <c r="BM261" s="51" t="str">
        <f>IFERROR(VLOOKUP(A261,NF!$M:$O,3,0),"")</f>
        <v>Escritório</v>
      </c>
      <c r="BN261" s="7">
        <f t="shared" si="253"/>
        <v>0</v>
      </c>
      <c r="BO261" s="8">
        <f t="array" ref="BO261">IFERROR(LARGE(IF(NF!$G$2:$G$3137='Mês atual'!A261,NF!$J$2:$J$3137),1),0)*BN261</f>
        <v>0</v>
      </c>
      <c r="BP261" s="50"/>
      <c r="BR261" s="147">
        <f t="array" ref="BR261">IFERROR(LARGE(IF(NF!$G$2:$G$3137='Mês atual'!A261,NF!$J$2:$J$3137),1),0)</f>
        <v>0</v>
      </c>
      <c r="BS261" s="143" t="str">
        <f>VLOOKUP(A261,NF!M:O,3,0)</f>
        <v>Escritório</v>
      </c>
    </row>
    <row r="262" spans="1:74" x14ac:dyDescent="0.25">
      <c r="A262" s="108" t="s">
        <v>186</v>
      </c>
      <c r="B262" s="12"/>
      <c r="C262" s="9"/>
      <c r="D262" s="25"/>
      <c r="E262" s="10" t="str">
        <f t="shared" si="238"/>
        <v>OutubroSEMANA 1Bobina para calculadora</v>
      </c>
      <c r="F262" s="7">
        <f>SUMIF(NF!$A:$A,$E262,NF!$I:$I)</f>
        <v>0</v>
      </c>
      <c r="G262" s="6"/>
      <c r="H262" s="6"/>
      <c r="I262" s="6"/>
      <c r="J262" s="6"/>
      <c r="K262" s="6"/>
      <c r="L262" s="6"/>
      <c r="M262" s="6"/>
      <c r="N262" s="7">
        <f t="shared" ref="N262" si="264">SUM(G262:M262)</f>
        <v>0</v>
      </c>
      <c r="O262" s="11">
        <f t="shared" si="240"/>
        <v>0</v>
      </c>
      <c r="P262" s="25"/>
      <c r="Q262" s="10" t="str">
        <f t="shared" si="241"/>
        <v>OutubroSEMANA 2Bobina para calculadora</v>
      </c>
      <c r="R262" s="7">
        <f>SUMIF(NF!$A:$A,$Q262,NF!$I:$I)</f>
        <v>0</v>
      </c>
      <c r="S262" s="6"/>
      <c r="T262" s="6"/>
      <c r="U262" s="6"/>
      <c r="V262" s="6"/>
      <c r="W262" s="6"/>
      <c r="X262" s="6"/>
      <c r="Y262" s="6"/>
      <c r="Z262" s="7">
        <f t="shared" ref="Z262" si="265">SUM(S262:Y262)</f>
        <v>0</v>
      </c>
      <c r="AA262" s="11">
        <f t="shared" si="243"/>
        <v>0</v>
      </c>
      <c r="AB262" s="25"/>
      <c r="AC262" s="10" t="str">
        <f t="shared" si="244"/>
        <v>OutubroSEMANA 3Bobina para calculadora</v>
      </c>
      <c r="AD262" s="7">
        <f>SUMIF(NF!$A:$A,$AC262,NF!$I:$I)</f>
        <v>0</v>
      </c>
      <c r="AE262" s="6"/>
      <c r="AF262" s="6"/>
      <c r="AG262" s="6"/>
      <c r="AH262" s="6"/>
      <c r="AI262" s="6"/>
      <c r="AJ262" s="6"/>
      <c r="AK262" s="6"/>
      <c r="AL262" s="7">
        <f t="shared" ref="AL262" si="266">SUM(AE262:AK262)</f>
        <v>0</v>
      </c>
      <c r="AM262" s="11">
        <f t="shared" si="246"/>
        <v>0</v>
      </c>
      <c r="AN262" s="25"/>
      <c r="AO262" s="10" t="str">
        <f t="shared" si="247"/>
        <v>OutubroSEMANA 4Bobina para calculadora</v>
      </c>
      <c r="AP262" s="7">
        <f>SUMIF(NF!$A:$A,$AO262,NF!$I:$I)</f>
        <v>0</v>
      </c>
      <c r="AQ262" s="6"/>
      <c r="AR262" s="6"/>
      <c r="AS262" s="6"/>
      <c r="AT262" s="6"/>
      <c r="AU262" s="6"/>
      <c r="AV262" s="6"/>
      <c r="AW262" s="6"/>
      <c r="AX262" s="7">
        <f t="shared" ref="AX262" si="267">SUM(AQ262:AW262)</f>
        <v>0</v>
      </c>
      <c r="AY262" s="11">
        <f t="shared" si="249"/>
        <v>0</v>
      </c>
      <c r="AZ262" s="25"/>
      <c r="BA262" s="10" t="str">
        <f t="shared" si="250"/>
        <v>OutubroSEMANA 5Bobina para calculadora</v>
      </c>
      <c r="BB262" s="7">
        <f>SUMIF(NF!$A:$A,$BA262,NF!$I:$I)</f>
        <v>0</v>
      </c>
      <c r="BC262" s="6"/>
      <c r="BD262" s="6"/>
      <c r="BE262" s="6"/>
      <c r="BF262" s="74"/>
      <c r="BG262" s="74"/>
      <c r="BH262" s="74"/>
      <c r="BI262" s="74"/>
      <c r="BJ262" s="74"/>
      <c r="BK262" s="7">
        <f t="shared" ref="BK262" si="268">SUM(BC262:BJ262)</f>
        <v>0</v>
      </c>
      <c r="BL262" s="8">
        <f t="shared" si="252"/>
        <v>0</v>
      </c>
      <c r="BM262" s="51" t="str">
        <f>IFERROR(VLOOKUP(A262,NF!$M:$O,3,0),"")</f>
        <v>Escritório</v>
      </c>
      <c r="BN262" s="7">
        <f t="shared" si="253"/>
        <v>0</v>
      </c>
      <c r="BO262" s="8">
        <f t="array" ref="BO262">IFERROR(LARGE(IF(NF!$G$2:$G$3137='Mês atual'!A262,NF!$J$2:$J$3137),1),0)*BN262</f>
        <v>0</v>
      </c>
      <c r="BP262" s="50"/>
      <c r="BR262" s="147">
        <f t="array" ref="BR262">IFERROR(LARGE(IF(NF!$G$2:$G$3137='Mês atual'!A262,NF!$J$2:$J$3137),1),0)</f>
        <v>0</v>
      </c>
      <c r="BS262" s="143" t="str">
        <f>VLOOKUP(A262,NF!M:O,3,0)</f>
        <v>Escritório</v>
      </c>
    </row>
    <row r="263" spans="1:74" x14ac:dyDescent="0.25">
      <c r="A263" s="108" t="s">
        <v>980</v>
      </c>
      <c r="B263" s="12"/>
      <c r="C263" s="9"/>
      <c r="D263" s="25"/>
      <c r="E263" s="10" t="str">
        <f t="shared" si="238"/>
        <v>OutubroSEMANA 1Bobina Térmica Amarela</v>
      </c>
      <c r="F263" s="7">
        <f>SUMIF(NF!$A:$A,$E263,NF!$I:$I)</f>
        <v>0</v>
      </c>
      <c r="G263" s="6"/>
      <c r="H263" s="6"/>
      <c r="I263" s="6"/>
      <c r="J263" s="6"/>
      <c r="K263" s="6"/>
      <c r="L263" s="6"/>
      <c r="M263" s="6"/>
      <c r="N263" s="7">
        <f t="shared" ref="N263" si="269">SUM(G263:M263)</f>
        <v>0</v>
      </c>
      <c r="O263" s="11">
        <f t="shared" si="240"/>
        <v>0</v>
      </c>
      <c r="P263" s="25"/>
      <c r="Q263" s="10" t="str">
        <f t="shared" si="241"/>
        <v>OutubroSEMANA 2Bobina Térmica Amarela</v>
      </c>
      <c r="R263" s="7">
        <f>SUMIF(NF!$A:$A,$Q263,NF!$I:$I)</f>
        <v>0</v>
      </c>
      <c r="S263" s="6"/>
      <c r="T263" s="6"/>
      <c r="U263" s="6"/>
      <c r="V263" s="6"/>
      <c r="W263" s="6"/>
      <c r="X263" s="6"/>
      <c r="Y263" s="6"/>
      <c r="Z263" s="7">
        <f t="shared" ref="Z263" si="270">SUM(S263:Y263)</f>
        <v>0</v>
      </c>
      <c r="AA263" s="11">
        <f t="shared" si="243"/>
        <v>0</v>
      </c>
      <c r="AB263" s="25"/>
      <c r="AC263" s="10" t="str">
        <f t="shared" si="244"/>
        <v>OutubroSEMANA 3Bobina Térmica Amarela</v>
      </c>
      <c r="AD263" s="7">
        <f>SUMIF(NF!$A:$A,$AC263,NF!$I:$I)</f>
        <v>0</v>
      </c>
      <c r="AE263" s="6"/>
      <c r="AF263" s="6"/>
      <c r="AG263" s="6"/>
      <c r="AH263" s="6"/>
      <c r="AI263" s="6"/>
      <c r="AJ263" s="6"/>
      <c r="AK263" s="6"/>
      <c r="AL263" s="7">
        <f t="shared" ref="AL263" si="271">SUM(AE263:AK263)</f>
        <v>0</v>
      </c>
      <c r="AM263" s="11">
        <f t="shared" si="246"/>
        <v>0</v>
      </c>
      <c r="AN263" s="25"/>
      <c r="AO263" s="10" t="str">
        <f t="shared" si="247"/>
        <v>OutubroSEMANA 4Bobina Térmica Amarela</v>
      </c>
      <c r="AP263" s="7">
        <f>SUMIF(NF!$A:$A,$AO263,NF!$I:$I)</f>
        <v>0</v>
      </c>
      <c r="AQ263" s="6"/>
      <c r="AR263" s="6"/>
      <c r="AS263" s="6"/>
      <c r="AT263" s="6"/>
      <c r="AU263" s="6"/>
      <c r="AV263" s="6"/>
      <c r="AW263" s="6"/>
      <c r="AX263" s="7">
        <f t="shared" ref="AX263" si="272">SUM(AQ263:AW263)</f>
        <v>0</v>
      </c>
      <c r="AY263" s="11">
        <f t="shared" si="249"/>
        <v>0</v>
      </c>
      <c r="AZ263" s="25"/>
      <c r="BA263" s="10" t="str">
        <f t="shared" si="250"/>
        <v>OutubroSEMANA 5Bobina Térmica Amarela</v>
      </c>
      <c r="BB263" s="7">
        <f>SUMIF(NF!$A:$A,$BA263,NF!$I:$I)</f>
        <v>0</v>
      </c>
      <c r="BC263" s="6"/>
      <c r="BD263" s="6"/>
      <c r="BE263" s="6"/>
      <c r="BF263" s="74"/>
      <c r="BG263" s="74"/>
      <c r="BH263" s="74"/>
      <c r="BI263" s="74"/>
      <c r="BJ263" s="74"/>
      <c r="BK263" s="7">
        <f t="shared" ref="BK263" si="273">SUM(BC263:BJ263)</f>
        <v>0</v>
      </c>
      <c r="BL263" s="8">
        <f t="shared" si="252"/>
        <v>0</v>
      </c>
      <c r="BM263" s="51" t="str">
        <f>IFERROR(VLOOKUP(A263,NF!$M:$O,3,0),"")</f>
        <v>Escritório</v>
      </c>
      <c r="BN263" s="7">
        <f t="shared" si="253"/>
        <v>0</v>
      </c>
      <c r="BO263" s="8">
        <f t="array" ref="BO263">IFERROR(LARGE(IF(NF!$G$2:$G$3137='Mês atual'!A263,NF!$J$2:$J$3137),1),0)*BN263</f>
        <v>0</v>
      </c>
      <c r="BP263" s="50"/>
      <c r="BR263" s="147">
        <f t="array" ref="BR263">IFERROR(LARGE(IF(NF!$G$2:$G$3137='Mês atual'!A263,NF!$J$2:$J$3137),1),0)</f>
        <v>0</v>
      </c>
      <c r="BS263" s="143" t="str">
        <f>VLOOKUP(A263,NF!M:O,3,0)</f>
        <v>Escritório</v>
      </c>
    </row>
    <row r="264" spans="1:74" x14ac:dyDescent="0.25">
      <c r="A264" s="108" t="s">
        <v>193</v>
      </c>
      <c r="B264" s="12"/>
      <c r="C264" s="9"/>
      <c r="D264" s="25"/>
      <c r="E264" s="10" t="str">
        <f t="shared" si="238"/>
        <v>OutubroSEMANA 1Borracha</v>
      </c>
      <c r="F264" s="7">
        <f>SUMIF(NF!$A:$A,$E264,NF!$I:$I)</f>
        <v>0</v>
      </c>
      <c r="G264" s="6"/>
      <c r="H264" s="6"/>
      <c r="I264" s="6"/>
      <c r="J264" s="6"/>
      <c r="K264" s="6"/>
      <c r="L264" s="6"/>
      <c r="M264" s="6"/>
      <c r="N264" s="7">
        <f t="shared" ref="N264" si="274">SUM(G264:M264)</f>
        <v>0</v>
      </c>
      <c r="O264" s="11">
        <f t="shared" si="240"/>
        <v>0</v>
      </c>
      <c r="P264" s="25"/>
      <c r="Q264" s="10" t="str">
        <f t="shared" si="241"/>
        <v>OutubroSEMANA 2Borracha</v>
      </c>
      <c r="R264" s="7">
        <f>SUMIF(NF!$A:$A,$Q264,NF!$I:$I)</f>
        <v>0</v>
      </c>
      <c r="S264" s="6"/>
      <c r="T264" s="6"/>
      <c r="U264" s="6"/>
      <c r="V264" s="6"/>
      <c r="W264" s="6"/>
      <c r="X264" s="6"/>
      <c r="Y264" s="6"/>
      <c r="Z264" s="7">
        <f t="shared" ref="Z264" si="275">SUM(S264:Y264)</f>
        <v>0</v>
      </c>
      <c r="AA264" s="11">
        <f t="shared" si="243"/>
        <v>0</v>
      </c>
      <c r="AB264" s="25"/>
      <c r="AC264" s="10" t="str">
        <f t="shared" si="244"/>
        <v>OutubroSEMANA 3Borracha</v>
      </c>
      <c r="AD264" s="7">
        <f>SUMIF(NF!$A:$A,$AC264,NF!$I:$I)</f>
        <v>0</v>
      </c>
      <c r="AE264" s="6"/>
      <c r="AF264" s="6"/>
      <c r="AG264" s="6"/>
      <c r="AH264" s="6"/>
      <c r="AI264" s="6"/>
      <c r="AJ264" s="6"/>
      <c r="AK264" s="6"/>
      <c r="AL264" s="7">
        <f t="shared" ref="AL264" si="276">SUM(AE264:AK264)</f>
        <v>0</v>
      </c>
      <c r="AM264" s="11">
        <f t="shared" si="246"/>
        <v>0</v>
      </c>
      <c r="AN264" s="25"/>
      <c r="AO264" s="10" t="str">
        <f t="shared" si="247"/>
        <v>OutubroSEMANA 4Borracha</v>
      </c>
      <c r="AP264" s="7">
        <f>SUMIF(NF!$A:$A,$AO264,NF!$I:$I)</f>
        <v>0</v>
      </c>
      <c r="AQ264" s="6"/>
      <c r="AR264" s="6"/>
      <c r="AS264" s="6"/>
      <c r="AT264" s="6"/>
      <c r="AU264" s="6"/>
      <c r="AV264" s="6"/>
      <c r="AW264" s="6"/>
      <c r="AX264" s="7">
        <f t="shared" ref="AX264" si="277">SUM(AQ264:AW264)</f>
        <v>0</v>
      </c>
      <c r="AY264" s="11">
        <f t="shared" si="249"/>
        <v>0</v>
      </c>
      <c r="AZ264" s="25"/>
      <c r="BA264" s="10" t="str">
        <f t="shared" si="250"/>
        <v>OutubroSEMANA 5Borracha</v>
      </c>
      <c r="BB264" s="7">
        <f>SUMIF(NF!$A:$A,$BA264,NF!$I:$I)</f>
        <v>0</v>
      </c>
      <c r="BC264" s="6"/>
      <c r="BD264" s="6"/>
      <c r="BE264" s="6"/>
      <c r="BF264" s="74"/>
      <c r="BG264" s="74"/>
      <c r="BH264" s="74"/>
      <c r="BI264" s="74"/>
      <c r="BJ264" s="74"/>
      <c r="BK264" s="7">
        <f t="shared" ref="BK264" si="278">SUM(BC264:BJ264)</f>
        <v>0</v>
      </c>
      <c r="BL264" s="8">
        <f t="shared" si="252"/>
        <v>0</v>
      </c>
      <c r="BM264" s="51" t="str">
        <f>IFERROR(VLOOKUP(A264,NF!$M:$O,3,0),"")</f>
        <v>Escritório</v>
      </c>
      <c r="BN264" s="7">
        <f t="shared" si="253"/>
        <v>0</v>
      </c>
      <c r="BO264" s="8">
        <f t="array" ref="BO264">IFERROR(LARGE(IF(NF!$G$2:$G$3137='Mês atual'!A264,NF!$J$2:$J$3137),1),0)*BN264</f>
        <v>0</v>
      </c>
      <c r="BP264" s="50"/>
      <c r="BR264" s="147">
        <f t="array" ref="BR264">IFERROR(LARGE(IF(NF!$G$2:$G$3137='Mês atual'!A264,NF!$J$2:$J$3137),1),0)</f>
        <v>0</v>
      </c>
      <c r="BS264" s="143" t="str">
        <f>VLOOKUP(A264,NF!M:O,3,0)</f>
        <v>Escritório</v>
      </c>
    </row>
    <row r="265" spans="1:74" x14ac:dyDescent="0.25">
      <c r="A265" s="108" t="s">
        <v>981</v>
      </c>
      <c r="B265" s="12"/>
      <c r="C265" s="9"/>
      <c r="D265" s="25"/>
      <c r="E265" s="10" t="str">
        <f t="shared" si="238"/>
        <v>OutubroSEMANA 1Caderno Universitário 96F</v>
      </c>
      <c r="F265" s="7">
        <f>SUMIF(NF!$A:$A,$E265,NF!$I:$I)</f>
        <v>0</v>
      </c>
      <c r="G265" s="6"/>
      <c r="H265" s="6"/>
      <c r="I265" s="6"/>
      <c r="J265" s="6"/>
      <c r="K265" s="6"/>
      <c r="L265" s="6"/>
      <c r="M265" s="6"/>
      <c r="N265" s="7">
        <f t="shared" ref="N265" si="279">SUM(G265:M265)</f>
        <v>0</v>
      </c>
      <c r="O265" s="11">
        <f t="shared" si="240"/>
        <v>0</v>
      </c>
      <c r="P265" s="25"/>
      <c r="Q265" s="10" t="str">
        <f t="shared" si="241"/>
        <v>OutubroSEMANA 2Caderno Universitário 96F</v>
      </c>
      <c r="R265" s="7">
        <f>SUMIF(NF!$A:$A,$Q265,NF!$I:$I)</f>
        <v>0</v>
      </c>
      <c r="S265" s="6"/>
      <c r="T265" s="6"/>
      <c r="U265" s="6"/>
      <c r="V265" s="6"/>
      <c r="W265" s="6"/>
      <c r="X265" s="6"/>
      <c r="Y265" s="6"/>
      <c r="Z265" s="7">
        <f t="shared" ref="Z265" si="280">SUM(S265:Y265)</f>
        <v>0</v>
      </c>
      <c r="AA265" s="11">
        <f t="shared" si="243"/>
        <v>0</v>
      </c>
      <c r="AB265" s="25"/>
      <c r="AC265" s="10" t="str">
        <f t="shared" si="244"/>
        <v>OutubroSEMANA 3Caderno Universitário 96F</v>
      </c>
      <c r="AD265" s="7">
        <f>SUMIF(NF!$A:$A,$AC265,NF!$I:$I)</f>
        <v>0</v>
      </c>
      <c r="AE265" s="6"/>
      <c r="AF265" s="6"/>
      <c r="AG265" s="6"/>
      <c r="AH265" s="6"/>
      <c r="AI265" s="6"/>
      <c r="AJ265" s="6"/>
      <c r="AK265" s="6"/>
      <c r="AL265" s="7">
        <f t="shared" ref="AL265" si="281">SUM(AE265:AK265)</f>
        <v>0</v>
      </c>
      <c r="AM265" s="11">
        <f t="shared" si="246"/>
        <v>0</v>
      </c>
      <c r="AN265" s="25"/>
      <c r="AO265" s="10" t="str">
        <f t="shared" si="247"/>
        <v>OutubroSEMANA 4Caderno Universitário 96F</v>
      </c>
      <c r="AP265" s="7">
        <f>SUMIF(NF!$A:$A,$AO265,NF!$I:$I)</f>
        <v>0</v>
      </c>
      <c r="AQ265" s="6"/>
      <c r="AR265" s="6"/>
      <c r="AS265" s="6"/>
      <c r="AT265" s="6"/>
      <c r="AU265" s="6"/>
      <c r="AV265" s="6"/>
      <c r="AW265" s="6"/>
      <c r="AX265" s="7">
        <f t="shared" ref="AX265" si="282">SUM(AQ265:AW265)</f>
        <v>0</v>
      </c>
      <c r="AY265" s="11">
        <f t="shared" si="249"/>
        <v>0</v>
      </c>
      <c r="AZ265" s="25"/>
      <c r="BA265" s="10" t="str">
        <f t="shared" si="250"/>
        <v>OutubroSEMANA 5Caderno Universitário 96F</v>
      </c>
      <c r="BB265" s="7">
        <f>SUMIF(NF!$A:$A,$BA265,NF!$I:$I)</f>
        <v>0</v>
      </c>
      <c r="BC265" s="6"/>
      <c r="BD265" s="6"/>
      <c r="BE265" s="6"/>
      <c r="BF265" s="74"/>
      <c r="BG265" s="74"/>
      <c r="BH265" s="74"/>
      <c r="BI265" s="74"/>
      <c r="BJ265" s="74"/>
      <c r="BK265" s="7">
        <f t="shared" ref="BK265" si="283">SUM(BC265:BJ265)</f>
        <v>0</v>
      </c>
      <c r="BL265" s="8">
        <f t="shared" si="252"/>
        <v>0</v>
      </c>
      <c r="BM265" s="51" t="str">
        <f>IFERROR(VLOOKUP(A265,NF!$M:$O,3,0),"")</f>
        <v>Escritório</v>
      </c>
      <c r="BN265" s="7">
        <f t="shared" si="253"/>
        <v>0</v>
      </c>
      <c r="BO265" s="8">
        <f t="array" ref="BO265">IFERROR(LARGE(IF(NF!$G$2:$G$3137='Mês atual'!A265,NF!$J$2:$J$3137),1),0)*BN265</f>
        <v>0</v>
      </c>
      <c r="BP265" s="50"/>
      <c r="BR265" s="147">
        <f t="array" ref="BR265">IFERROR(LARGE(IF(NF!$G$2:$G$3137='Mês atual'!A265,NF!$J$2:$J$3137),1),0)</f>
        <v>0</v>
      </c>
      <c r="BS265" s="143" t="str">
        <f>VLOOKUP(A265,NF!M:O,3,0)</f>
        <v>Escritório</v>
      </c>
    </row>
    <row r="266" spans="1:74" x14ac:dyDescent="0.25">
      <c r="A266" s="108" t="s">
        <v>205</v>
      </c>
      <c r="B266" s="12"/>
      <c r="C266" s="9"/>
      <c r="D266" s="25"/>
      <c r="E266" s="10" t="str">
        <f t="shared" si="238"/>
        <v>OutubroSEMANA 1Caneta Azul</v>
      </c>
      <c r="F266" s="7">
        <f>SUMIF(NF!$A:$A,$E266,NF!$I:$I)</f>
        <v>0</v>
      </c>
      <c r="G266" s="6"/>
      <c r="H266" s="6"/>
      <c r="I266" s="6"/>
      <c r="J266" s="6"/>
      <c r="K266" s="6"/>
      <c r="L266" s="6"/>
      <c r="M266" s="6"/>
      <c r="N266" s="7">
        <f t="shared" ref="N266:N277" si="284">SUM(G266:M266)</f>
        <v>0</v>
      </c>
      <c r="O266" s="11">
        <f t="shared" si="240"/>
        <v>0</v>
      </c>
      <c r="P266" s="25"/>
      <c r="Q266" s="10" t="str">
        <f t="shared" si="241"/>
        <v>OutubroSEMANA 2Caneta Azul</v>
      </c>
      <c r="R266" s="7">
        <f>SUMIF(NF!$A:$A,$Q266,NF!$I:$I)</f>
        <v>0</v>
      </c>
      <c r="S266" s="6"/>
      <c r="T266" s="6"/>
      <c r="U266" s="6"/>
      <c r="V266" s="6"/>
      <c r="W266" s="6"/>
      <c r="X266" s="6"/>
      <c r="Y266" s="6"/>
      <c r="Z266" s="7">
        <f t="shared" ref="Z266:Z277" si="285">SUM(S266:Y266)</f>
        <v>0</v>
      </c>
      <c r="AA266" s="11">
        <f t="shared" si="243"/>
        <v>0</v>
      </c>
      <c r="AB266" s="25"/>
      <c r="AC266" s="10" t="str">
        <f t="shared" si="244"/>
        <v>OutubroSEMANA 3Caneta Azul</v>
      </c>
      <c r="AD266" s="7">
        <f>SUMIF(NF!$A:$A,$AC266,NF!$I:$I)</f>
        <v>0</v>
      </c>
      <c r="AE266" s="6"/>
      <c r="AF266" s="6"/>
      <c r="AG266" s="6"/>
      <c r="AH266" s="6"/>
      <c r="AI266" s="6"/>
      <c r="AJ266" s="6"/>
      <c r="AK266" s="6"/>
      <c r="AL266" s="7">
        <f t="shared" ref="AL266:AL277" si="286">SUM(AE266:AK266)</f>
        <v>0</v>
      </c>
      <c r="AM266" s="11">
        <f t="shared" si="246"/>
        <v>0</v>
      </c>
      <c r="AN266" s="25"/>
      <c r="AO266" s="10" t="str">
        <f t="shared" si="247"/>
        <v>OutubroSEMANA 4Caneta Azul</v>
      </c>
      <c r="AP266" s="7">
        <f>SUMIF(NF!$A:$A,$AO266,NF!$I:$I)</f>
        <v>0</v>
      </c>
      <c r="AQ266" s="6"/>
      <c r="AR266" s="6"/>
      <c r="AS266" s="6"/>
      <c r="AT266" s="6"/>
      <c r="AU266" s="6"/>
      <c r="AV266" s="6"/>
      <c r="AW266" s="6"/>
      <c r="AX266" s="7">
        <f t="shared" ref="AX266:AX277" si="287">SUM(AQ266:AW266)</f>
        <v>0</v>
      </c>
      <c r="AY266" s="11">
        <f t="shared" si="249"/>
        <v>0</v>
      </c>
      <c r="AZ266" s="25"/>
      <c r="BA266" s="10" t="str">
        <f t="shared" si="250"/>
        <v>OutubroSEMANA 5Caneta Azul</v>
      </c>
      <c r="BB266" s="7">
        <f>SUMIF(NF!$A:$A,$BA266,NF!$I:$I)</f>
        <v>0</v>
      </c>
      <c r="BC266" s="6"/>
      <c r="BD266" s="6"/>
      <c r="BE266" s="6"/>
      <c r="BF266" s="74"/>
      <c r="BG266" s="74"/>
      <c r="BH266" s="74"/>
      <c r="BI266" s="74"/>
      <c r="BJ266" s="74"/>
      <c r="BK266" s="7">
        <f t="shared" ref="BK266:BK277" si="288">SUM(BC266:BJ266)</f>
        <v>0</v>
      </c>
      <c r="BL266" s="8">
        <f t="shared" si="252"/>
        <v>0</v>
      </c>
      <c r="BM266" s="51" t="str">
        <f>IFERROR(VLOOKUP(A266,NF!$M:$O,3,0),"")</f>
        <v>Escritório</v>
      </c>
      <c r="BN266" s="7">
        <f t="shared" si="253"/>
        <v>0</v>
      </c>
      <c r="BO266" s="8">
        <f t="array" ref="BO266">IFERROR(LARGE(IF(NF!$G$2:$G$3137='Mês atual'!A266,NF!$J$2:$J$3137),1),0)*BN266</f>
        <v>0</v>
      </c>
      <c r="BP266" s="50"/>
      <c r="BR266" s="147">
        <f t="array" ref="BR266">IFERROR(LARGE(IF(NF!$G$2:$G$3137='Mês atual'!A266,NF!$J$2:$J$3137),1),0)</f>
        <v>0</v>
      </c>
      <c r="BS266" s="143" t="str">
        <f>VLOOKUP(A266,NF!M:O,3,0)</f>
        <v>Escritório</v>
      </c>
    </row>
    <row r="267" spans="1:74" x14ac:dyDescent="0.25">
      <c r="A267" s="108" t="s">
        <v>206</v>
      </c>
      <c r="B267" s="12"/>
      <c r="C267" s="9"/>
      <c r="D267" s="25"/>
      <c r="E267" s="10" t="str">
        <f t="shared" si="238"/>
        <v>OutubroSEMANA 1Caneta Pilot</v>
      </c>
      <c r="F267" s="7">
        <f>SUMIF(NF!$A:$A,$E267,NF!$I:$I)</f>
        <v>0</v>
      </c>
      <c r="G267" s="6"/>
      <c r="H267" s="6"/>
      <c r="I267" s="6"/>
      <c r="J267" s="6"/>
      <c r="K267" s="6"/>
      <c r="L267" s="6"/>
      <c r="M267" s="6"/>
      <c r="N267" s="7">
        <f t="shared" si="284"/>
        <v>0</v>
      </c>
      <c r="O267" s="11">
        <f t="shared" si="240"/>
        <v>0</v>
      </c>
      <c r="P267" s="25"/>
      <c r="Q267" s="10" t="str">
        <f t="shared" si="241"/>
        <v>OutubroSEMANA 2Caneta Pilot</v>
      </c>
      <c r="R267" s="7">
        <f>SUMIF(NF!$A:$A,$Q267,NF!$I:$I)</f>
        <v>0</v>
      </c>
      <c r="S267" s="6"/>
      <c r="T267" s="6"/>
      <c r="U267" s="6"/>
      <c r="V267" s="6"/>
      <c r="W267" s="6"/>
      <c r="X267" s="6"/>
      <c r="Y267" s="6"/>
      <c r="Z267" s="7">
        <f t="shared" si="285"/>
        <v>0</v>
      </c>
      <c r="AA267" s="11">
        <f t="shared" si="243"/>
        <v>0</v>
      </c>
      <c r="AB267" s="25"/>
      <c r="AC267" s="10" t="str">
        <f t="shared" si="244"/>
        <v>OutubroSEMANA 3Caneta Pilot</v>
      </c>
      <c r="AD267" s="7">
        <f>SUMIF(NF!$A:$A,$AC267,NF!$I:$I)</f>
        <v>0</v>
      </c>
      <c r="AE267" s="6"/>
      <c r="AF267" s="6"/>
      <c r="AG267" s="6"/>
      <c r="AH267" s="6"/>
      <c r="AI267" s="6"/>
      <c r="AJ267" s="6"/>
      <c r="AK267" s="6"/>
      <c r="AL267" s="7">
        <f t="shared" si="286"/>
        <v>0</v>
      </c>
      <c r="AM267" s="11">
        <f t="shared" si="246"/>
        <v>0</v>
      </c>
      <c r="AN267" s="25"/>
      <c r="AO267" s="10" t="str">
        <f t="shared" si="247"/>
        <v>OutubroSEMANA 4Caneta Pilot</v>
      </c>
      <c r="AP267" s="7">
        <f>SUMIF(NF!$A:$A,$AO267,NF!$I:$I)</f>
        <v>0</v>
      </c>
      <c r="AQ267" s="6"/>
      <c r="AR267" s="6"/>
      <c r="AS267" s="6"/>
      <c r="AT267" s="6"/>
      <c r="AU267" s="6"/>
      <c r="AV267" s="6"/>
      <c r="AW267" s="6"/>
      <c r="AX267" s="7">
        <f t="shared" si="287"/>
        <v>0</v>
      </c>
      <c r="AY267" s="11">
        <f t="shared" si="249"/>
        <v>0</v>
      </c>
      <c r="AZ267" s="25"/>
      <c r="BA267" s="10" t="str">
        <f t="shared" si="250"/>
        <v>OutubroSEMANA 5Caneta Pilot</v>
      </c>
      <c r="BB267" s="7">
        <f>SUMIF(NF!$A:$A,$BA267,NF!$I:$I)</f>
        <v>0</v>
      </c>
      <c r="BC267" s="6"/>
      <c r="BD267" s="6"/>
      <c r="BE267" s="6"/>
      <c r="BF267" s="74"/>
      <c r="BG267" s="74"/>
      <c r="BH267" s="74"/>
      <c r="BI267" s="74"/>
      <c r="BJ267" s="74"/>
      <c r="BK267" s="7">
        <f t="shared" si="288"/>
        <v>0</v>
      </c>
      <c r="BL267" s="8">
        <f t="shared" si="252"/>
        <v>0</v>
      </c>
      <c r="BM267" s="51" t="str">
        <f>IFERROR(VLOOKUP(A267,NF!$M:$O,3,0),"")</f>
        <v>Escritório</v>
      </c>
      <c r="BN267" s="7">
        <f t="shared" si="253"/>
        <v>0</v>
      </c>
      <c r="BO267" s="8">
        <f t="array" ref="BO267">IFERROR(LARGE(IF(NF!$G$2:$G$3137='Mês atual'!A267,NF!$J$2:$J$3137),1),0)*BN267</f>
        <v>0</v>
      </c>
      <c r="BP267" s="50"/>
      <c r="BR267" s="147">
        <f t="array" ref="BR267">IFERROR(LARGE(IF(NF!$G$2:$G$3137='Mês atual'!A267,NF!$J$2:$J$3137),1),0)</f>
        <v>0</v>
      </c>
      <c r="BS267" s="143" t="str">
        <f>VLOOKUP(A267,NF!M:O,3,0)</f>
        <v>Escritório</v>
      </c>
    </row>
    <row r="268" spans="1:74" x14ac:dyDescent="0.25">
      <c r="A268" s="108" t="s">
        <v>207</v>
      </c>
      <c r="B268" s="12"/>
      <c r="C268" s="9"/>
      <c r="D268" s="25"/>
      <c r="E268" s="10" t="str">
        <f t="shared" si="238"/>
        <v>OutubroSEMANA 1Caneta Vermelha</v>
      </c>
      <c r="F268" s="7">
        <f>SUMIF(NF!$A:$A,$E268,NF!$I:$I)</f>
        <v>0</v>
      </c>
      <c r="G268" s="6"/>
      <c r="H268" s="6"/>
      <c r="I268" s="6"/>
      <c r="J268" s="6"/>
      <c r="K268" s="6"/>
      <c r="L268" s="6"/>
      <c r="M268" s="6"/>
      <c r="N268" s="7">
        <f t="shared" si="284"/>
        <v>0</v>
      </c>
      <c r="O268" s="11">
        <f t="shared" si="240"/>
        <v>0</v>
      </c>
      <c r="P268" s="25"/>
      <c r="Q268" s="10" t="str">
        <f t="shared" si="241"/>
        <v>OutubroSEMANA 2Caneta Vermelha</v>
      </c>
      <c r="R268" s="7">
        <f>SUMIF(NF!$A:$A,$Q268,NF!$I:$I)</f>
        <v>0</v>
      </c>
      <c r="S268" s="6"/>
      <c r="T268" s="6"/>
      <c r="U268" s="6"/>
      <c r="V268" s="6"/>
      <c r="W268" s="6"/>
      <c r="X268" s="6"/>
      <c r="Y268" s="6"/>
      <c r="Z268" s="7">
        <f t="shared" si="285"/>
        <v>0</v>
      </c>
      <c r="AA268" s="11">
        <f t="shared" si="243"/>
        <v>0</v>
      </c>
      <c r="AB268" s="25"/>
      <c r="AC268" s="10" t="str">
        <f t="shared" si="244"/>
        <v>OutubroSEMANA 3Caneta Vermelha</v>
      </c>
      <c r="AD268" s="7">
        <f>SUMIF(NF!$A:$A,$AC268,NF!$I:$I)</f>
        <v>0</v>
      </c>
      <c r="AE268" s="6"/>
      <c r="AF268" s="6"/>
      <c r="AG268" s="6"/>
      <c r="AH268" s="6"/>
      <c r="AI268" s="6"/>
      <c r="AJ268" s="6"/>
      <c r="AK268" s="6"/>
      <c r="AL268" s="7">
        <f t="shared" si="286"/>
        <v>0</v>
      </c>
      <c r="AM268" s="11">
        <f t="shared" si="246"/>
        <v>0</v>
      </c>
      <c r="AN268" s="25"/>
      <c r="AO268" s="10" t="str">
        <f t="shared" si="247"/>
        <v>OutubroSEMANA 4Caneta Vermelha</v>
      </c>
      <c r="AP268" s="7">
        <f>SUMIF(NF!$A:$A,$AO268,NF!$I:$I)</f>
        <v>0</v>
      </c>
      <c r="AQ268" s="6"/>
      <c r="AR268" s="6"/>
      <c r="AS268" s="6"/>
      <c r="AT268" s="6"/>
      <c r="AU268" s="6"/>
      <c r="AV268" s="6"/>
      <c r="AW268" s="6"/>
      <c r="AX268" s="7">
        <f t="shared" si="287"/>
        <v>0</v>
      </c>
      <c r="AY268" s="11">
        <f t="shared" si="249"/>
        <v>0</v>
      </c>
      <c r="AZ268" s="25"/>
      <c r="BA268" s="10" t="str">
        <f t="shared" si="250"/>
        <v>OutubroSEMANA 5Caneta Vermelha</v>
      </c>
      <c r="BB268" s="7">
        <f>SUMIF(NF!$A:$A,$BA268,NF!$I:$I)</f>
        <v>0</v>
      </c>
      <c r="BC268" s="6"/>
      <c r="BD268" s="6"/>
      <c r="BE268" s="6"/>
      <c r="BF268" s="74"/>
      <c r="BG268" s="74"/>
      <c r="BH268" s="74"/>
      <c r="BI268" s="74"/>
      <c r="BJ268" s="74"/>
      <c r="BK268" s="7">
        <f t="shared" si="288"/>
        <v>0</v>
      </c>
      <c r="BL268" s="8">
        <f t="shared" si="252"/>
        <v>0</v>
      </c>
      <c r="BM268" s="51" t="str">
        <f>IFERROR(VLOOKUP(A268,NF!$M:$O,3,0),"")</f>
        <v>Escritório</v>
      </c>
      <c r="BN268" s="7">
        <f t="shared" si="253"/>
        <v>0</v>
      </c>
      <c r="BO268" s="8">
        <f t="array" ref="BO268">IFERROR(LARGE(IF(NF!$G$2:$G$3137='Mês atual'!A268,NF!$J$2:$J$3137),1),0)*BN268</f>
        <v>0</v>
      </c>
      <c r="BP268" s="50"/>
      <c r="BR268" s="147">
        <f t="array" ref="BR268">IFERROR(LARGE(IF(NF!$G$2:$G$3137='Mês atual'!A268,NF!$J$2:$J$3137),1),0)</f>
        <v>0</v>
      </c>
      <c r="BS268" s="143" t="str">
        <f>VLOOKUP(A268,NF!M:O,3,0)</f>
        <v>Escritório</v>
      </c>
    </row>
    <row r="269" spans="1:74" x14ac:dyDescent="0.25">
      <c r="A269" s="108" t="s">
        <v>235</v>
      </c>
      <c r="B269" s="12"/>
      <c r="C269" s="9"/>
      <c r="D269" s="25"/>
      <c r="E269" s="10" t="str">
        <f t="shared" si="238"/>
        <v>OutubroSEMANA 1Cartão Ponto Mensal</v>
      </c>
      <c r="F269" s="7">
        <f>SUMIF(NF!$A:$A,$E269,NF!$I:$I)</f>
        <v>0</v>
      </c>
      <c r="G269" s="6"/>
      <c r="H269" s="6"/>
      <c r="I269" s="6"/>
      <c r="J269" s="6"/>
      <c r="K269" s="6"/>
      <c r="L269" s="6"/>
      <c r="M269" s="6"/>
      <c r="N269" s="7">
        <f t="shared" si="284"/>
        <v>0</v>
      </c>
      <c r="O269" s="11">
        <f t="shared" si="240"/>
        <v>0</v>
      </c>
      <c r="P269" s="25"/>
      <c r="Q269" s="10" t="str">
        <f t="shared" si="241"/>
        <v>OutubroSEMANA 2Cartão Ponto Mensal</v>
      </c>
      <c r="R269" s="7">
        <f>SUMIF(NF!$A:$A,$Q269,NF!$I:$I)</f>
        <v>2</v>
      </c>
      <c r="S269" s="6"/>
      <c r="T269" s="6"/>
      <c r="U269" s="6">
        <v>2</v>
      </c>
      <c r="V269" s="6"/>
      <c r="W269" s="6"/>
      <c r="X269" s="6"/>
      <c r="Y269" s="6"/>
      <c r="Z269" s="7">
        <f t="shared" si="285"/>
        <v>2</v>
      </c>
      <c r="AA269" s="11">
        <f t="shared" si="243"/>
        <v>0</v>
      </c>
      <c r="AB269" s="25"/>
      <c r="AC269" s="10" t="str">
        <f t="shared" si="244"/>
        <v>OutubroSEMANA 3Cartão Ponto Mensal</v>
      </c>
      <c r="AD269" s="7">
        <f>SUMIF(NF!$A:$A,$AC269,NF!$I:$I)</f>
        <v>0</v>
      </c>
      <c r="AE269" s="6"/>
      <c r="AF269" s="6"/>
      <c r="AG269" s="6"/>
      <c r="AH269" s="6"/>
      <c r="AI269" s="6"/>
      <c r="AJ269" s="6"/>
      <c r="AK269" s="6"/>
      <c r="AL269" s="7">
        <f t="shared" si="286"/>
        <v>0</v>
      </c>
      <c r="AM269" s="11">
        <f t="shared" si="246"/>
        <v>0</v>
      </c>
      <c r="AN269" s="25"/>
      <c r="AO269" s="10" t="str">
        <f t="shared" si="247"/>
        <v>OutubroSEMANA 4Cartão Ponto Mensal</v>
      </c>
      <c r="AP269" s="7">
        <f>SUMIF(NF!$A:$A,$AO269,NF!$I:$I)</f>
        <v>0</v>
      </c>
      <c r="AQ269" s="6"/>
      <c r="AR269" s="6"/>
      <c r="AS269" s="6"/>
      <c r="AT269" s="6"/>
      <c r="AU269" s="6"/>
      <c r="AV269" s="6"/>
      <c r="AW269" s="6"/>
      <c r="AX269" s="7">
        <f t="shared" si="287"/>
        <v>0</v>
      </c>
      <c r="AY269" s="11">
        <f t="shared" si="249"/>
        <v>0</v>
      </c>
      <c r="AZ269" s="25"/>
      <c r="BA269" s="10" t="str">
        <f t="shared" si="250"/>
        <v>OutubroSEMANA 5Cartão Ponto Mensal</v>
      </c>
      <c r="BB269" s="7">
        <f>SUMIF(NF!$A:$A,$BA269,NF!$I:$I)</f>
        <v>0</v>
      </c>
      <c r="BC269" s="6"/>
      <c r="BD269" s="6"/>
      <c r="BE269" s="6"/>
      <c r="BF269" s="74"/>
      <c r="BG269" s="74"/>
      <c r="BH269" s="74"/>
      <c r="BI269" s="74"/>
      <c r="BJ269" s="74"/>
      <c r="BK269" s="7">
        <f t="shared" si="288"/>
        <v>0</v>
      </c>
      <c r="BL269" s="8">
        <f t="shared" si="252"/>
        <v>0</v>
      </c>
      <c r="BM269" s="51" t="str">
        <f>IFERROR(VLOOKUP(A269,NF!$M:$O,3,0),"")</f>
        <v>Escritório</v>
      </c>
      <c r="BN269" s="7">
        <f t="shared" si="253"/>
        <v>2</v>
      </c>
      <c r="BO269" s="8">
        <f t="array" ref="BO269">IFERROR(LARGE(IF(NF!$G$2:$G$3137='Mês atual'!A269,NF!$J$2:$J$3137),1),0)*BN269</f>
        <v>23</v>
      </c>
      <c r="BP269" s="50"/>
      <c r="BR269" s="147">
        <f t="array" ref="BR269">IFERROR(LARGE(IF(NF!$G$2:$G$3137='Mês atual'!A269,NF!$J$2:$J$3137),1),0)</f>
        <v>11.5</v>
      </c>
      <c r="BS269" s="143" t="str">
        <f>VLOOKUP(A269,NF!M:O,3,0)</f>
        <v>Escritório</v>
      </c>
    </row>
    <row r="270" spans="1:74" x14ac:dyDescent="0.25">
      <c r="A270" s="108" t="s">
        <v>236</v>
      </c>
      <c r="B270" s="12"/>
      <c r="C270" s="9"/>
      <c r="D270" s="25"/>
      <c r="E270" s="10" t="str">
        <f t="shared" si="238"/>
        <v xml:space="preserve">OutubroSEMANA 1Cartucho Impressora HP </v>
      </c>
      <c r="F270" s="7">
        <f>SUMIF(NF!$A:$A,$E270,NF!$I:$I)</f>
        <v>0</v>
      </c>
      <c r="G270" s="6"/>
      <c r="H270" s="6"/>
      <c r="I270" s="6"/>
      <c r="J270" s="6"/>
      <c r="K270" s="6"/>
      <c r="L270" s="6"/>
      <c r="M270" s="6"/>
      <c r="N270" s="7">
        <f t="shared" si="284"/>
        <v>0</v>
      </c>
      <c r="O270" s="11">
        <f t="shared" si="240"/>
        <v>0</v>
      </c>
      <c r="P270" s="25"/>
      <c r="Q270" s="10" t="str">
        <f t="shared" si="241"/>
        <v xml:space="preserve">OutubroSEMANA 2Cartucho Impressora HP </v>
      </c>
      <c r="R270" s="7">
        <f>SUMIF(NF!$A:$A,$Q270,NF!$I:$I)</f>
        <v>0</v>
      </c>
      <c r="S270" s="6"/>
      <c r="T270" s="6"/>
      <c r="U270" s="6"/>
      <c r="V270" s="6"/>
      <c r="W270" s="6"/>
      <c r="X270" s="6"/>
      <c r="Y270" s="6"/>
      <c r="Z270" s="7">
        <f t="shared" si="285"/>
        <v>0</v>
      </c>
      <c r="AA270" s="11">
        <f t="shared" si="243"/>
        <v>0</v>
      </c>
      <c r="AB270" s="25"/>
      <c r="AC270" s="10" t="str">
        <f t="shared" si="244"/>
        <v xml:space="preserve">OutubroSEMANA 3Cartucho Impressora HP </v>
      </c>
      <c r="AD270" s="7">
        <f>SUMIF(NF!$A:$A,$AC270,NF!$I:$I)</f>
        <v>0</v>
      </c>
      <c r="AE270" s="6"/>
      <c r="AF270" s="6"/>
      <c r="AG270" s="6"/>
      <c r="AH270" s="6"/>
      <c r="AI270" s="6"/>
      <c r="AJ270" s="6"/>
      <c r="AK270" s="6"/>
      <c r="AL270" s="7">
        <f t="shared" si="286"/>
        <v>0</v>
      </c>
      <c r="AM270" s="11">
        <f t="shared" si="246"/>
        <v>0</v>
      </c>
      <c r="AN270" s="25"/>
      <c r="AO270" s="10" t="str">
        <f t="shared" si="247"/>
        <v xml:space="preserve">OutubroSEMANA 4Cartucho Impressora HP </v>
      </c>
      <c r="AP270" s="7">
        <f>SUMIF(NF!$A:$A,$AO270,NF!$I:$I)</f>
        <v>0</v>
      </c>
      <c r="AQ270" s="6"/>
      <c r="AR270" s="6"/>
      <c r="AS270" s="6"/>
      <c r="AT270" s="6"/>
      <c r="AU270" s="6"/>
      <c r="AV270" s="6"/>
      <c r="AW270" s="6"/>
      <c r="AX270" s="7">
        <f t="shared" si="287"/>
        <v>0</v>
      </c>
      <c r="AY270" s="11">
        <f t="shared" si="249"/>
        <v>0</v>
      </c>
      <c r="AZ270" s="25"/>
      <c r="BA270" s="10" t="str">
        <f t="shared" si="250"/>
        <v xml:space="preserve">OutubroSEMANA 5Cartucho Impressora HP </v>
      </c>
      <c r="BB270" s="7">
        <f>SUMIF(NF!$A:$A,$BA270,NF!$I:$I)</f>
        <v>0</v>
      </c>
      <c r="BC270" s="6"/>
      <c r="BD270" s="6"/>
      <c r="BE270" s="6"/>
      <c r="BF270" s="74"/>
      <c r="BG270" s="74"/>
      <c r="BH270" s="74"/>
      <c r="BI270" s="74"/>
      <c r="BJ270" s="74"/>
      <c r="BK270" s="7">
        <f t="shared" si="288"/>
        <v>0</v>
      </c>
      <c r="BL270" s="8">
        <f t="shared" si="252"/>
        <v>0</v>
      </c>
      <c r="BM270" s="51" t="str">
        <f>IFERROR(VLOOKUP(A270,NF!$M:$O,3,0),"")</f>
        <v>Escritório</v>
      </c>
      <c r="BN270" s="7">
        <f t="shared" si="253"/>
        <v>0</v>
      </c>
      <c r="BO270" s="8">
        <f t="array" ref="BO270">IFERROR(LARGE(IF(NF!$G$2:$G$3137='Mês atual'!A270,NF!$J$2:$J$3137),1),0)*BN270</f>
        <v>0</v>
      </c>
      <c r="BP270" s="50"/>
      <c r="BR270" s="147">
        <f t="array" ref="BR270">IFERROR(LARGE(IF(NF!$G$2:$G$3137='Mês atual'!A270,NF!$J$2:$J$3137),1),0)</f>
        <v>0</v>
      </c>
      <c r="BS270" s="143" t="str">
        <f>VLOOKUP(A270,NF!M:O,3,0)</f>
        <v>Escritório</v>
      </c>
    </row>
    <row r="271" spans="1:74" x14ac:dyDescent="0.25">
      <c r="A271" s="108" t="s">
        <v>283</v>
      </c>
      <c r="B271" s="12"/>
      <c r="C271" s="9"/>
      <c r="D271" s="25"/>
      <c r="E271" s="10" t="str">
        <f t="shared" si="238"/>
        <v>OutubroSEMANA 1Clips Bacchi 2/0</v>
      </c>
      <c r="F271" s="7">
        <f>SUMIF(NF!$A:$A,$E271,NF!$I:$I)</f>
        <v>0</v>
      </c>
      <c r="G271" s="6"/>
      <c r="H271" s="6"/>
      <c r="I271" s="6"/>
      <c r="J271" s="6"/>
      <c r="K271" s="6"/>
      <c r="L271" s="6"/>
      <c r="M271" s="6"/>
      <c r="N271" s="7">
        <f t="shared" si="284"/>
        <v>0</v>
      </c>
      <c r="O271" s="11">
        <f t="shared" si="240"/>
        <v>0</v>
      </c>
      <c r="P271" s="25"/>
      <c r="Q271" s="10" t="str">
        <f t="shared" si="241"/>
        <v>OutubroSEMANA 2Clips Bacchi 2/0</v>
      </c>
      <c r="R271" s="7">
        <f>SUMIF(NF!$A:$A,$Q271,NF!$I:$I)</f>
        <v>0</v>
      </c>
      <c r="S271" s="6"/>
      <c r="T271" s="6"/>
      <c r="U271" s="6"/>
      <c r="V271" s="6"/>
      <c r="W271" s="6"/>
      <c r="X271" s="6"/>
      <c r="Y271" s="6"/>
      <c r="Z271" s="7">
        <f t="shared" si="285"/>
        <v>0</v>
      </c>
      <c r="AA271" s="11">
        <f t="shared" si="243"/>
        <v>0</v>
      </c>
      <c r="AB271" s="25"/>
      <c r="AC271" s="10" t="str">
        <f t="shared" si="244"/>
        <v>OutubroSEMANA 3Clips Bacchi 2/0</v>
      </c>
      <c r="AD271" s="7">
        <f>SUMIF(NF!$A:$A,$AC271,NF!$I:$I)</f>
        <v>0</v>
      </c>
      <c r="AE271" s="6"/>
      <c r="AF271" s="6"/>
      <c r="AG271" s="6"/>
      <c r="AH271" s="6"/>
      <c r="AI271" s="6"/>
      <c r="AJ271" s="6"/>
      <c r="AK271" s="6"/>
      <c r="AL271" s="7">
        <f t="shared" si="286"/>
        <v>0</v>
      </c>
      <c r="AM271" s="11">
        <f t="shared" si="246"/>
        <v>0</v>
      </c>
      <c r="AN271" s="25"/>
      <c r="AO271" s="10" t="str">
        <f t="shared" si="247"/>
        <v>OutubroSEMANA 4Clips Bacchi 2/0</v>
      </c>
      <c r="AP271" s="7">
        <f>SUMIF(NF!$A:$A,$AO271,NF!$I:$I)</f>
        <v>0</v>
      </c>
      <c r="AQ271" s="6"/>
      <c r="AR271" s="6"/>
      <c r="AS271" s="6"/>
      <c r="AT271" s="6"/>
      <c r="AU271" s="6"/>
      <c r="AV271" s="6"/>
      <c r="AW271" s="6"/>
      <c r="AX271" s="7">
        <f t="shared" si="287"/>
        <v>0</v>
      </c>
      <c r="AY271" s="11">
        <f t="shared" si="249"/>
        <v>0</v>
      </c>
      <c r="AZ271" s="25"/>
      <c r="BA271" s="10" t="str">
        <f t="shared" si="250"/>
        <v>OutubroSEMANA 5Clips Bacchi 2/0</v>
      </c>
      <c r="BB271" s="7">
        <f>SUMIF(NF!$A:$A,$BA271,NF!$I:$I)</f>
        <v>0</v>
      </c>
      <c r="BC271" s="6"/>
      <c r="BD271" s="6"/>
      <c r="BE271" s="6"/>
      <c r="BF271" s="74"/>
      <c r="BG271" s="74"/>
      <c r="BH271" s="74"/>
      <c r="BI271" s="74"/>
      <c r="BJ271" s="74"/>
      <c r="BK271" s="7">
        <f t="shared" si="288"/>
        <v>0</v>
      </c>
      <c r="BL271" s="8">
        <f t="shared" si="252"/>
        <v>0</v>
      </c>
      <c r="BM271" s="51" t="str">
        <f>IFERROR(VLOOKUP(A271,NF!$M:$O,3,0),"")</f>
        <v>Escritório</v>
      </c>
      <c r="BN271" s="7">
        <f t="shared" si="253"/>
        <v>0</v>
      </c>
      <c r="BO271" s="8">
        <f t="array" ref="BO271">IFERROR(LARGE(IF(NF!$G$2:$G$3137='Mês atual'!A271,NF!$J$2:$J$3137),1),0)*BN271</f>
        <v>0</v>
      </c>
      <c r="BP271" s="50"/>
      <c r="BR271" s="147">
        <f t="array" ref="BR271">IFERROR(LARGE(IF(NF!$G$2:$G$3137='Mês atual'!A271,NF!$J$2:$J$3137),1),0)</f>
        <v>0</v>
      </c>
      <c r="BS271" s="143" t="str">
        <f>VLOOKUP(A271,NF!M:O,3,0)</f>
        <v>Escritório</v>
      </c>
    </row>
    <row r="272" spans="1:74" x14ac:dyDescent="0.25">
      <c r="A272" s="108" t="s">
        <v>304</v>
      </c>
      <c r="B272" s="12"/>
      <c r="C272" s="9"/>
      <c r="D272" s="25"/>
      <c r="E272" s="10" t="str">
        <f t="shared" si="238"/>
        <v>OutubroSEMANA 1Corretor Líquido</v>
      </c>
      <c r="F272" s="7">
        <f>SUMIF(NF!$A:$A,$E272,NF!$I:$I)</f>
        <v>0</v>
      </c>
      <c r="G272" s="6"/>
      <c r="H272" s="6"/>
      <c r="I272" s="6"/>
      <c r="J272" s="6"/>
      <c r="K272" s="6"/>
      <c r="L272" s="6"/>
      <c r="M272" s="6"/>
      <c r="N272" s="7">
        <f t="shared" si="284"/>
        <v>0</v>
      </c>
      <c r="O272" s="11">
        <f t="shared" si="240"/>
        <v>0</v>
      </c>
      <c r="P272" s="25"/>
      <c r="Q272" s="10" t="str">
        <f t="shared" si="241"/>
        <v>OutubroSEMANA 2Corretor Líquido</v>
      </c>
      <c r="R272" s="7">
        <f>SUMIF(NF!$A:$A,$Q272,NF!$I:$I)</f>
        <v>0</v>
      </c>
      <c r="S272" s="6"/>
      <c r="T272" s="6"/>
      <c r="U272" s="6"/>
      <c r="V272" s="6"/>
      <c r="W272" s="6"/>
      <c r="X272" s="6"/>
      <c r="Y272" s="6"/>
      <c r="Z272" s="7">
        <f t="shared" si="285"/>
        <v>0</v>
      </c>
      <c r="AA272" s="11">
        <f t="shared" si="243"/>
        <v>0</v>
      </c>
      <c r="AB272" s="25"/>
      <c r="AC272" s="10" t="str">
        <f t="shared" si="244"/>
        <v>OutubroSEMANA 3Corretor Líquido</v>
      </c>
      <c r="AD272" s="7">
        <f>SUMIF(NF!$A:$A,$AC272,NF!$I:$I)</f>
        <v>0</v>
      </c>
      <c r="AE272" s="6"/>
      <c r="AF272" s="6"/>
      <c r="AG272" s="6"/>
      <c r="AH272" s="6"/>
      <c r="AI272" s="6"/>
      <c r="AJ272" s="6"/>
      <c r="AK272" s="6"/>
      <c r="AL272" s="7">
        <f t="shared" si="286"/>
        <v>0</v>
      </c>
      <c r="AM272" s="11">
        <f t="shared" si="246"/>
        <v>0</v>
      </c>
      <c r="AN272" s="25"/>
      <c r="AO272" s="10" t="str">
        <f t="shared" si="247"/>
        <v>OutubroSEMANA 4Corretor Líquido</v>
      </c>
      <c r="AP272" s="7">
        <f>SUMIF(NF!$A:$A,$AO272,NF!$I:$I)</f>
        <v>0</v>
      </c>
      <c r="AQ272" s="6"/>
      <c r="AR272" s="6"/>
      <c r="AS272" s="6"/>
      <c r="AT272" s="6"/>
      <c r="AU272" s="6"/>
      <c r="AV272" s="6"/>
      <c r="AW272" s="6"/>
      <c r="AX272" s="7">
        <f t="shared" si="287"/>
        <v>0</v>
      </c>
      <c r="AY272" s="11">
        <f t="shared" si="249"/>
        <v>0</v>
      </c>
      <c r="AZ272" s="25"/>
      <c r="BA272" s="10" t="str">
        <f t="shared" si="250"/>
        <v>OutubroSEMANA 5Corretor Líquido</v>
      </c>
      <c r="BB272" s="7">
        <f>SUMIF(NF!$A:$A,$BA272,NF!$I:$I)</f>
        <v>0</v>
      </c>
      <c r="BC272" s="6"/>
      <c r="BD272" s="6"/>
      <c r="BE272" s="6"/>
      <c r="BF272" s="74"/>
      <c r="BG272" s="74"/>
      <c r="BH272" s="74"/>
      <c r="BI272" s="74"/>
      <c r="BJ272" s="74"/>
      <c r="BK272" s="7">
        <f t="shared" si="288"/>
        <v>0</v>
      </c>
      <c r="BL272" s="8">
        <f t="shared" si="252"/>
        <v>0</v>
      </c>
      <c r="BM272" s="51" t="str">
        <f>IFERROR(VLOOKUP(A272,NF!$M:$O,3,0),"")</f>
        <v>Escritório</v>
      </c>
      <c r="BN272" s="7">
        <f t="shared" si="253"/>
        <v>0</v>
      </c>
      <c r="BO272" s="8">
        <f t="array" ref="BO272">IFERROR(LARGE(IF(NF!$G$2:$G$3137='Mês atual'!A272,NF!$J$2:$J$3137),1),0)*BN272</f>
        <v>0</v>
      </c>
      <c r="BP272" s="50"/>
      <c r="BR272" s="147">
        <f t="array" ref="BR272">IFERROR(LARGE(IF(NF!$G$2:$G$3137='Mês atual'!A272,NF!$J$2:$J$3137),1),0)</f>
        <v>0</v>
      </c>
      <c r="BS272" s="143" t="str">
        <f>VLOOKUP(A272,NF!M:O,3,0)</f>
        <v>Escritório</v>
      </c>
    </row>
    <row r="273" spans="1:71" x14ac:dyDescent="0.25">
      <c r="A273" s="108" t="s">
        <v>322</v>
      </c>
      <c r="B273" s="12"/>
      <c r="C273" s="9"/>
      <c r="D273" s="25"/>
      <c r="E273" s="10" t="str">
        <f t="shared" si="238"/>
        <v>OutubroSEMANA 1Elástico 1 Kg</v>
      </c>
      <c r="F273" s="7">
        <f>SUMIF(NF!$A:$A,$E273,NF!$I:$I)</f>
        <v>0</v>
      </c>
      <c r="G273" s="6"/>
      <c r="H273" s="6"/>
      <c r="I273" s="6"/>
      <c r="J273" s="6"/>
      <c r="K273" s="6"/>
      <c r="L273" s="6"/>
      <c r="M273" s="6"/>
      <c r="N273" s="7">
        <f t="shared" si="284"/>
        <v>0</v>
      </c>
      <c r="O273" s="11">
        <f t="shared" si="240"/>
        <v>0</v>
      </c>
      <c r="P273" s="25"/>
      <c r="Q273" s="10" t="str">
        <f t="shared" si="241"/>
        <v>OutubroSEMANA 2Elástico 1 Kg</v>
      </c>
      <c r="R273" s="7">
        <f>SUMIF(NF!$A:$A,$Q273,NF!$I:$I)</f>
        <v>0</v>
      </c>
      <c r="S273" s="6"/>
      <c r="T273" s="6"/>
      <c r="U273" s="6"/>
      <c r="V273" s="6"/>
      <c r="W273" s="6"/>
      <c r="X273" s="6"/>
      <c r="Y273" s="6"/>
      <c r="Z273" s="7">
        <f t="shared" si="285"/>
        <v>0</v>
      </c>
      <c r="AA273" s="11">
        <f t="shared" si="243"/>
        <v>0</v>
      </c>
      <c r="AB273" s="25"/>
      <c r="AC273" s="10" t="str">
        <f t="shared" si="244"/>
        <v>OutubroSEMANA 3Elástico 1 Kg</v>
      </c>
      <c r="AD273" s="7">
        <f>SUMIF(NF!$A:$A,$AC273,NF!$I:$I)</f>
        <v>0</v>
      </c>
      <c r="AE273" s="6"/>
      <c r="AF273" s="6"/>
      <c r="AG273" s="6"/>
      <c r="AH273" s="6"/>
      <c r="AI273" s="6"/>
      <c r="AJ273" s="6"/>
      <c r="AK273" s="6"/>
      <c r="AL273" s="7">
        <f t="shared" si="286"/>
        <v>0</v>
      </c>
      <c r="AM273" s="11">
        <f t="shared" si="246"/>
        <v>0</v>
      </c>
      <c r="AN273" s="25"/>
      <c r="AO273" s="10" t="str">
        <f t="shared" si="247"/>
        <v>OutubroSEMANA 4Elástico 1 Kg</v>
      </c>
      <c r="AP273" s="7">
        <f>SUMIF(NF!$A:$A,$AO273,NF!$I:$I)</f>
        <v>0</v>
      </c>
      <c r="AQ273" s="6"/>
      <c r="AR273" s="6"/>
      <c r="AS273" s="6"/>
      <c r="AT273" s="6"/>
      <c r="AU273" s="6"/>
      <c r="AV273" s="6"/>
      <c r="AW273" s="6"/>
      <c r="AX273" s="7">
        <f t="shared" si="287"/>
        <v>0</v>
      </c>
      <c r="AY273" s="11">
        <f t="shared" si="249"/>
        <v>0</v>
      </c>
      <c r="AZ273" s="25"/>
      <c r="BA273" s="10" t="str">
        <f t="shared" si="250"/>
        <v>OutubroSEMANA 5Elástico 1 Kg</v>
      </c>
      <c r="BB273" s="7">
        <f>SUMIF(NF!$A:$A,$BA273,NF!$I:$I)</f>
        <v>0</v>
      </c>
      <c r="BC273" s="6"/>
      <c r="BD273" s="6"/>
      <c r="BE273" s="6"/>
      <c r="BF273" s="74"/>
      <c r="BG273" s="74"/>
      <c r="BH273" s="74"/>
      <c r="BI273" s="74"/>
      <c r="BJ273" s="74"/>
      <c r="BK273" s="7">
        <f t="shared" si="288"/>
        <v>0</v>
      </c>
      <c r="BL273" s="8">
        <f t="shared" si="252"/>
        <v>0</v>
      </c>
      <c r="BM273" s="51" t="str">
        <f>IFERROR(VLOOKUP(A273,NF!$M:$O,3,0),"")</f>
        <v>Escritório</v>
      </c>
      <c r="BN273" s="7">
        <f t="shared" si="253"/>
        <v>0</v>
      </c>
      <c r="BO273" s="8">
        <f t="array" ref="BO273">IFERROR(LARGE(IF(NF!$G$2:$G$3137='Mês atual'!A273,NF!$J$2:$J$3137),1),0)*BN273</f>
        <v>0</v>
      </c>
      <c r="BP273" s="50"/>
      <c r="BR273" s="147">
        <f t="array" ref="BR273">IFERROR(LARGE(IF(NF!$G$2:$G$3137='Mês atual'!A273,NF!$J$2:$J$3137),1),0)</f>
        <v>0</v>
      </c>
      <c r="BS273" s="143" t="str">
        <f>VLOOKUP(A273,NF!M:O,3,0)</f>
        <v>Escritório</v>
      </c>
    </row>
    <row r="274" spans="1:71" x14ac:dyDescent="0.25">
      <c r="A274" s="108" t="s">
        <v>327</v>
      </c>
      <c r="B274" s="12"/>
      <c r="C274" s="9"/>
      <c r="D274" s="25"/>
      <c r="E274" s="10" t="str">
        <f t="shared" si="238"/>
        <v>OutubroSEMANA 1Envelope 24x34 c/ 50 um</v>
      </c>
      <c r="F274" s="7">
        <f>SUMIF(NF!$A:$A,$E274,NF!$I:$I)</f>
        <v>0</v>
      </c>
      <c r="G274" s="6"/>
      <c r="H274" s="6"/>
      <c r="I274" s="6"/>
      <c r="J274" s="6"/>
      <c r="K274" s="6"/>
      <c r="L274" s="6"/>
      <c r="M274" s="6"/>
      <c r="N274" s="7">
        <f t="shared" si="284"/>
        <v>0</v>
      </c>
      <c r="O274" s="11">
        <f t="shared" si="240"/>
        <v>0</v>
      </c>
      <c r="P274" s="25"/>
      <c r="Q274" s="10" t="str">
        <f t="shared" si="241"/>
        <v>OutubroSEMANA 2Envelope 24x34 c/ 50 um</v>
      </c>
      <c r="R274" s="7">
        <f>SUMIF(NF!$A:$A,$Q274,NF!$I:$I)</f>
        <v>0</v>
      </c>
      <c r="S274" s="6"/>
      <c r="T274" s="6"/>
      <c r="U274" s="6"/>
      <c r="V274" s="6"/>
      <c r="W274" s="6"/>
      <c r="X274" s="6"/>
      <c r="Y274" s="6"/>
      <c r="Z274" s="7">
        <f t="shared" si="285"/>
        <v>0</v>
      </c>
      <c r="AA274" s="11">
        <f t="shared" si="243"/>
        <v>0</v>
      </c>
      <c r="AB274" s="25"/>
      <c r="AC274" s="10" t="str">
        <f t="shared" si="244"/>
        <v>OutubroSEMANA 3Envelope 24x34 c/ 50 um</v>
      </c>
      <c r="AD274" s="7">
        <f>SUMIF(NF!$A:$A,$AC274,NF!$I:$I)</f>
        <v>0</v>
      </c>
      <c r="AE274" s="6"/>
      <c r="AF274" s="6"/>
      <c r="AG274" s="6"/>
      <c r="AH274" s="6"/>
      <c r="AI274" s="6"/>
      <c r="AJ274" s="6"/>
      <c r="AK274" s="6"/>
      <c r="AL274" s="7">
        <f t="shared" si="286"/>
        <v>0</v>
      </c>
      <c r="AM274" s="11">
        <f t="shared" si="246"/>
        <v>0</v>
      </c>
      <c r="AN274" s="25"/>
      <c r="AO274" s="10" t="str">
        <f t="shared" si="247"/>
        <v>OutubroSEMANA 4Envelope 24x34 c/ 50 um</v>
      </c>
      <c r="AP274" s="7">
        <f>SUMIF(NF!$A:$A,$AO274,NF!$I:$I)</f>
        <v>0</v>
      </c>
      <c r="AQ274" s="6"/>
      <c r="AR274" s="6"/>
      <c r="AS274" s="6"/>
      <c r="AT274" s="6"/>
      <c r="AU274" s="6"/>
      <c r="AV274" s="6"/>
      <c r="AW274" s="6"/>
      <c r="AX274" s="7">
        <f t="shared" si="287"/>
        <v>0</v>
      </c>
      <c r="AY274" s="11">
        <f t="shared" si="249"/>
        <v>0</v>
      </c>
      <c r="AZ274" s="25"/>
      <c r="BA274" s="10" t="str">
        <f t="shared" si="250"/>
        <v>OutubroSEMANA 5Envelope 24x34 c/ 50 um</v>
      </c>
      <c r="BB274" s="7">
        <f>SUMIF(NF!$A:$A,$BA274,NF!$I:$I)</f>
        <v>0</v>
      </c>
      <c r="BC274" s="6"/>
      <c r="BD274" s="6"/>
      <c r="BE274" s="6"/>
      <c r="BF274" s="74"/>
      <c r="BG274" s="74"/>
      <c r="BH274" s="74"/>
      <c r="BI274" s="74"/>
      <c r="BJ274" s="74"/>
      <c r="BK274" s="7">
        <f t="shared" si="288"/>
        <v>0</v>
      </c>
      <c r="BL274" s="8">
        <f t="shared" si="252"/>
        <v>0</v>
      </c>
      <c r="BM274" s="51" t="str">
        <f>IFERROR(VLOOKUP(A274,NF!$M:$O,3,0),"")</f>
        <v>Escritório</v>
      </c>
      <c r="BN274" s="7">
        <f t="shared" si="253"/>
        <v>0</v>
      </c>
      <c r="BO274" s="8">
        <f t="array" ref="BO274">IFERROR(LARGE(IF(NF!$G$2:$G$3137='Mês atual'!A274,NF!$J$2:$J$3137),1),0)*BN274</f>
        <v>0</v>
      </c>
      <c r="BP274" s="50"/>
      <c r="BR274" s="147">
        <f t="array" ref="BR274">IFERROR(LARGE(IF(NF!$G$2:$G$3137='Mês atual'!A274,NF!$J$2:$J$3137),1),0)</f>
        <v>0</v>
      </c>
      <c r="BS274" s="143" t="str">
        <f>VLOOKUP(A274,NF!M:O,3,0)</f>
        <v>Escritório</v>
      </c>
    </row>
    <row r="275" spans="1:71" x14ac:dyDescent="0.25">
      <c r="A275" s="108" t="s">
        <v>999</v>
      </c>
      <c r="B275" s="12"/>
      <c r="C275" s="9"/>
      <c r="D275" s="25"/>
      <c r="E275" s="10" t="str">
        <f t="shared" si="238"/>
        <v>OutubroSEMANA 1Etiqueta p/ Etiquetadora</v>
      </c>
      <c r="F275" s="7">
        <f>SUMIF(NF!$A:$A,$E275,NF!$I:$I)</f>
        <v>0</v>
      </c>
      <c r="G275" s="6"/>
      <c r="H275" s="6"/>
      <c r="I275" s="6"/>
      <c r="J275" s="6"/>
      <c r="K275" s="6"/>
      <c r="L275" s="6"/>
      <c r="M275" s="6"/>
      <c r="N275" s="7">
        <f t="shared" ref="N275" si="289">SUM(G275:M275)</f>
        <v>0</v>
      </c>
      <c r="O275" s="11">
        <f t="shared" ref="O275" si="290">F275+C275-N275</f>
        <v>0</v>
      </c>
      <c r="P275" s="25"/>
      <c r="Q275" s="10" t="str">
        <f t="shared" si="241"/>
        <v>OutubroSEMANA 2Etiqueta p/ Etiquetadora</v>
      </c>
      <c r="R275" s="7">
        <f>SUMIF(NF!$A:$A,$Q275,NF!$I:$I)</f>
        <v>0</v>
      </c>
      <c r="S275" s="6"/>
      <c r="T275" s="6"/>
      <c r="U275" s="6"/>
      <c r="V275" s="6"/>
      <c r="W275" s="6"/>
      <c r="X275" s="6"/>
      <c r="Y275" s="6"/>
      <c r="Z275" s="7">
        <f t="shared" ref="Z275" si="291">SUM(S275:Y275)</f>
        <v>0</v>
      </c>
      <c r="AA275" s="11">
        <f t="shared" ref="AA275" si="292">R275+O275-Z275</f>
        <v>0</v>
      </c>
      <c r="AB275" s="25"/>
      <c r="AC275" s="10" t="str">
        <f t="shared" si="244"/>
        <v>OutubroSEMANA 3Etiqueta p/ Etiquetadora</v>
      </c>
      <c r="AD275" s="7">
        <f>SUMIF(NF!$A:$A,$AC275,NF!$I:$I)</f>
        <v>0</v>
      </c>
      <c r="AE275" s="6"/>
      <c r="AF275" s="6"/>
      <c r="AG275" s="6"/>
      <c r="AH275" s="6"/>
      <c r="AI275" s="6"/>
      <c r="AJ275" s="6"/>
      <c r="AK275" s="6"/>
      <c r="AL275" s="7">
        <f t="shared" ref="AL275" si="293">SUM(AE275:AK275)</f>
        <v>0</v>
      </c>
      <c r="AM275" s="11">
        <f t="shared" ref="AM275" si="294">AD275+AA275-AL275</f>
        <v>0</v>
      </c>
      <c r="AN275" s="25"/>
      <c r="AO275" s="10" t="str">
        <f t="shared" si="247"/>
        <v>OutubroSEMANA 4Etiqueta p/ Etiquetadora</v>
      </c>
      <c r="AP275" s="7">
        <f>SUMIF(NF!$A:$A,$AO275,NF!$I:$I)</f>
        <v>0</v>
      </c>
      <c r="AQ275" s="6"/>
      <c r="AR275" s="6"/>
      <c r="AS275" s="6"/>
      <c r="AT275" s="6"/>
      <c r="AU275" s="6"/>
      <c r="AV275" s="6"/>
      <c r="AW275" s="6"/>
      <c r="AX275" s="7">
        <f t="shared" ref="AX275" si="295">SUM(AQ275:AW275)</f>
        <v>0</v>
      </c>
      <c r="AY275" s="11">
        <f t="shared" ref="AY275" si="296">AP275+AM275-AX275</f>
        <v>0</v>
      </c>
      <c r="AZ275" s="25"/>
      <c r="BA275" s="10" t="str">
        <f t="shared" si="250"/>
        <v>OutubroSEMANA 5Etiqueta p/ Etiquetadora</v>
      </c>
      <c r="BB275" s="7">
        <f>SUMIF(NF!$A:$A,$BA275,NF!$I:$I)</f>
        <v>0</v>
      </c>
      <c r="BC275" s="6"/>
      <c r="BD275" s="6"/>
      <c r="BE275" s="6"/>
      <c r="BF275" s="74"/>
      <c r="BG275" s="74"/>
      <c r="BH275" s="74"/>
      <c r="BI275" s="74"/>
      <c r="BJ275" s="74"/>
      <c r="BK275" s="7">
        <f t="shared" ref="BK275" si="297">SUM(BC275:BJ275)</f>
        <v>0</v>
      </c>
      <c r="BL275" s="8">
        <f t="shared" ref="BL275" si="298">BB275+AY275-BK275</f>
        <v>0</v>
      </c>
      <c r="BM275" s="51" t="str">
        <f>IFERROR(VLOOKUP(A275,NF!$M:$O,3,0),"")</f>
        <v>Escritório</v>
      </c>
      <c r="BN275" s="7">
        <f t="shared" ref="BN275" si="299">SUM(N275,Z275,AL275,AX275,BK275)</f>
        <v>0</v>
      </c>
      <c r="BO275" s="8">
        <f t="array" ref="BO275">IFERROR(LARGE(IF(NF!$G$2:$G$3137='Mês atual'!A275,NF!$J$2:$J$3137),1),0)*BN275</f>
        <v>0</v>
      </c>
      <c r="BP275" s="50"/>
      <c r="BR275" s="147">
        <f t="array" ref="BR275">IFERROR(LARGE(IF(NF!$G$2:$G$3137='Mês atual'!A275,NF!$J$2:$J$3137),1),0)</f>
        <v>0</v>
      </c>
      <c r="BS275" s="143" t="str">
        <f>VLOOKUP(A275,NF!M:O,3,0)</f>
        <v>Escritório</v>
      </c>
    </row>
    <row r="276" spans="1:71" x14ac:dyDescent="0.25">
      <c r="A276" s="108" t="s">
        <v>338</v>
      </c>
      <c r="B276" s="12"/>
      <c r="C276" s="9"/>
      <c r="D276" s="25"/>
      <c r="E276" s="10" t="str">
        <f t="shared" si="238"/>
        <v>OutubroSEMANA 1Etiqueta Pimaco</v>
      </c>
      <c r="F276" s="7">
        <f>SUMIF(NF!$A:$A,$E276,NF!$I:$I)</f>
        <v>0</v>
      </c>
      <c r="G276" s="6"/>
      <c r="H276" s="6"/>
      <c r="I276" s="6"/>
      <c r="J276" s="6"/>
      <c r="K276" s="6"/>
      <c r="L276" s="6"/>
      <c r="M276" s="6"/>
      <c r="N276" s="7">
        <f t="shared" si="284"/>
        <v>0</v>
      </c>
      <c r="O276" s="11">
        <f t="shared" si="240"/>
        <v>0</v>
      </c>
      <c r="P276" s="25"/>
      <c r="Q276" s="10" t="str">
        <f t="shared" si="241"/>
        <v>OutubroSEMANA 2Etiqueta Pimaco</v>
      </c>
      <c r="R276" s="7">
        <f>SUMIF(NF!$A:$A,$Q276,NF!$I:$I)</f>
        <v>1</v>
      </c>
      <c r="S276" s="6"/>
      <c r="T276" s="6"/>
      <c r="U276" s="6">
        <v>1</v>
      </c>
      <c r="V276" s="6"/>
      <c r="W276" s="6"/>
      <c r="X276" s="6"/>
      <c r="Y276" s="6"/>
      <c r="Z276" s="7">
        <f t="shared" si="285"/>
        <v>1</v>
      </c>
      <c r="AA276" s="11">
        <f t="shared" si="243"/>
        <v>0</v>
      </c>
      <c r="AB276" s="25"/>
      <c r="AC276" s="10" t="str">
        <f t="shared" si="244"/>
        <v>OutubroSEMANA 3Etiqueta Pimaco</v>
      </c>
      <c r="AD276" s="7">
        <f>SUMIF(NF!$A:$A,$AC276,NF!$I:$I)</f>
        <v>0</v>
      </c>
      <c r="AE276" s="6"/>
      <c r="AF276" s="6"/>
      <c r="AG276" s="6"/>
      <c r="AH276" s="6"/>
      <c r="AI276" s="6"/>
      <c r="AJ276" s="6"/>
      <c r="AK276" s="6"/>
      <c r="AL276" s="7">
        <f t="shared" si="286"/>
        <v>0</v>
      </c>
      <c r="AM276" s="11">
        <f t="shared" si="246"/>
        <v>0</v>
      </c>
      <c r="AN276" s="25"/>
      <c r="AO276" s="10" t="str">
        <f t="shared" si="247"/>
        <v>OutubroSEMANA 4Etiqueta Pimaco</v>
      </c>
      <c r="AP276" s="7">
        <f>SUMIF(NF!$A:$A,$AO276,NF!$I:$I)</f>
        <v>0</v>
      </c>
      <c r="AQ276" s="6"/>
      <c r="AR276" s="6"/>
      <c r="AS276" s="6"/>
      <c r="AT276" s="6"/>
      <c r="AU276" s="6"/>
      <c r="AV276" s="6"/>
      <c r="AW276" s="6"/>
      <c r="AX276" s="7">
        <f t="shared" si="287"/>
        <v>0</v>
      </c>
      <c r="AY276" s="11">
        <f t="shared" si="249"/>
        <v>0</v>
      </c>
      <c r="AZ276" s="25"/>
      <c r="BA276" s="10" t="str">
        <f t="shared" si="250"/>
        <v>OutubroSEMANA 5Etiqueta Pimaco</v>
      </c>
      <c r="BB276" s="7">
        <f>SUMIF(NF!$A:$A,$BA276,NF!$I:$I)</f>
        <v>0</v>
      </c>
      <c r="BC276" s="6"/>
      <c r="BD276" s="6"/>
      <c r="BE276" s="6"/>
      <c r="BF276" s="74"/>
      <c r="BG276" s="74"/>
      <c r="BH276" s="74"/>
      <c r="BI276" s="74"/>
      <c r="BJ276" s="74"/>
      <c r="BK276" s="7">
        <f t="shared" si="288"/>
        <v>0</v>
      </c>
      <c r="BL276" s="8">
        <f t="shared" si="252"/>
        <v>0</v>
      </c>
      <c r="BM276" s="51" t="str">
        <f>IFERROR(VLOOKUP(A276,NF!$M:$O,3,0),"")</f>
        <v>Escritório</v>
      </c>
      <c r="BN276" s="7">
        <f t="shared" si="253"/>
        <v>1</v>
      </c>
      <c r="BO276" s="8">
        <f t="array" ref="BO276">IFERROR(LARGE(IF(NF!$G$2:$G$3137='Mês atual'!A276,NF!$J$2:$J$3137),1),0)*BN276</f>
        <v>55.54</v>
      </c>
      <c r="BP276" s="50"/>
      <c r="BR276" s="147">
        <f t="array" ref="BR276">IFERROR(LARGE(IF(NF!$G$2:$G$3137='Mês atual'!A276,NF!$J$2:$J$3137),1),0)</f>
        <v>55.54</v>
      </c>
      <c r="BS276" s="143" t="str">
        <f>VLOOKUP(A276,NF!M:O,3,0)</f>
        <v>Escritório</v>
      </c>
    </row>
    <row r="277" spans="1:71" x14ac:dyDescent="0.25">
      <c r="A277" s="108" t="s">
        <v>362</v>
      </c>
      <c r="B277" s="12"/>
      <c r="C277" s="9"/>
      <c r="D277" s="25"/>
      <c r="E277" s="10" t="str">
        <f t="shared" si="238"/>
        <v>OutubroSEMANA 1Fita Durex 12x30</v>
      </c>
      <c r="F277" s="7">
        <f>SUMIF(NF!$A:$A,$E277,NF!$I:$I)</f>
        <v>0</v>
      </c>
      <c r="G277" s="6"/>
      <c r="H277" s="6"/>
      <c r="I277" s="6"/>
      <c r="J277" s="6"/>
      <c r="K277" s="6"/>
      <c r="L277" s="6"/>
      <c r="M277" s="6"/>
      <c r="N277" s="7">
        <f t="shared" si="284"/>
        <v>0</v>
      </c>
      <c r="O277" s="11">
        <f t="shared" si="240"/>
        <v>0</v>
      </c>
      <c r="P277" s="25"/>
      <c r="Q277" s="10" t="str">
        <f t="shared" si="241"/>
        <v>OutubroSEMANA 2Fita Durex 12x30</v>
      </c>
      <c r="R277" s="7">
        <f>SUMIF(NF!$A:$A,$Q277,NF!$I:$I)</f>
        <v>5</v>
      </c>
      <c r="S277" s="6"/>
      <c r="T277" s="6"/>
      <c r="U277" s="6">
        <v>5</v>
      </c>
      <c r="V277" s="6"/>
      <c r="W277" s="6"/>
      <c r="X277" s="6"/>
      <c r="Y277" s="6"/>
      <c r="Z277" s="7">
        <f t="shared" si="285"/>
        <v>5</v>
      </c>
      <c r="AA277" s="11">
        <f t="shared" si="243"/>
        <v>0</v>
      </c>
      <c r="AB277" s="25"/>
      <c r="AC277" s="10" t="str">
        <f t="shared" si="244"/>
        <v>OutubroSEMANA 3Fita Durex 12x30</v>
      </c>
      <c r="AD277" s="7">
        <f>SUMIF(NF!$A:$A,$AC277,NF!$I:$I)</f>
        <v>0</v>
      </c>
      <c r="AE277" s="6"/>
      <c r="AF277" s="6"/>
      <c r="AG277" s="6"/>
      <c r="AH277" s="6"/>
      <c r="AI277" s="6"/>
      <c r="AJ277" s="6"/>
      <c r="AK277" s="6"/>
      <c r="AL277" s="7">
        <f t="shared" si="286"/>
        <v>0</v>
      </c>
      <c r="AM277" s="11">
        <f t="shared" si="246"/>
        <v>0</v>
      </c>
      <c r="AN277" s="25"/>
      <c r="AO277" s="10" t="str">
        <f t="shared" si="247"/>
        <v>OutubroSEMANA 4Fita Durex 12x30</v>
      </c>
      <c r="AP277" s="7">
        <f>SUMIF(NF!$A:$A,$AO277,NF!$I:$I)</f>
        <v>0</v>
      </c>
      <c r="AQ277" s="6"/>
      <c r="AR277" s="6"/>
      <c r="AS277" s="6"/>
      <c r="AT277" s="6"/>
      <c r="AU277" s="6"/>
      <c r="AV277" s="6"/>
      <c r="AW277" s="6"/>
      <c r="AX277" s="7">
        <f t="shared" si="287"/>
        <v>0</v>
      </c>
      <c r="AY277" s="11">
        <f t="shared" si="249"/>
        <v>0</v>
      </c>
      <c r="AZ277" s="25"/>
      <c r="BA277" s="10" t="str">
        <f t="shared" si="250"/>
        <v>OutubroSEMANA 5Fita Durex 12x30</v>
      </c>
      <c r="BB277" s="7">
        <f>SUMIF(NF!$A:$A,$BA277,NF!$I:$I)</f>
        <v>0</v>
      </c>
      <c r="BC277" s="6"/>
      <c r="BD277" s="6"/>
      <c r="BE277" s="6"/>
      <c r="BF277" s="74"/>
      <c r="BG277" s="74"/>
      <c r="BH277" s="74"/>
      <c r="BI277" s="74"/>
      <c r="BJ277" s="74"/>
      <c r="BK277" s="7">
        <f t="shared" si="288"/>
        <v>0</v>
      </c>
      <c r="BL277" s="8">
        <f t="shared" si="252"/>
        <v>0</v>
      </c>
      <c r="BM277" s="51" t="str">
        <f>IFERROR(VLOOKUP(A277,NF!$M:$O,3,0),"")</f>
        <v>Escritório</v>
      </c>
      <c r="BN277" s="7">
        <f t="shared" si="253"/>
        <v>5</v>
      </c>
      <c r="BO277" s="8">
        <f t="array" ref="BO277">IFERROR(LARGE(IF(NF!$G$2:$G$3137='Mês atual'!A277,NF!$J$2:$J$3137),1),0)*BN277</f>
        <v>3.3000000000000003</v>
      </c>
      <c r="BP277" s="50"/>
      <c r="BR277" s="147">
        <f t="array" ref="BR277">IFERROR(LARGE(IF(NF!$G$2:$G$3137='Mês atual'!A277,NF!$J$2:$J$3137),1),0)</f>
        <v>0.66</v>
      </c>
      <c r="BS277" s="143" t="str">
        <f>VLOOKUP(A277,NF!M:O,3,0)</f>
        <v>Escritório</v>
      </c>
    </row>
    <row r="278" spans="1:71" x14ac:dyDescent="0.25">
      <c r="A278" s="108" t="s">
        <v>982</v>
      </c>
      <c r="B278" s="12"/>
      <c r="C278" s="9"/>
      <c r="D278" s="25"/>
      <c r="E278" s="10" t="str">
        <f t="shared" si="238"/>
        <v>OutubroSEMANA 1Fita Empacotamento 45x10</v>
      </c>
      <c r="F278" s="7">
        <f>SUMIF(NF!$A:$A,$E278,NF!$I:$I)</f>
        <v>0</v>
      </c>
      <c r="G278" s="6"/>
      <c r="H278" s="6"/>
      <c r="I278" s="6"/>
      <c r="J278" s="6"/>
      <c r="K278" s="6"/>
      <c r="L278" s="6"/>
      <c r="M278" s="6"/>
      <c r="N278" s="7">
        <f t="shared" ref="N278" si="300">SUM(G278:M278)</f>
        <v>0</v>
      </c>
      <c r="O278" s="11">
        <f t="shared" si="240"/>
        <v>0</v>
      </c>
      <c r="P278" s="25"/>
      <c r="Q278" s="10" t="str">
        <f t="shared" si="241"/>
        <v>OutubroSEMANA 2Fita Empacotamento 45x10</v>
      </c>
      <c r="R278" s="7">
        <f>SUMIF(NF!$A:$A,$Q278,NF!$I:$I)</f>
        <v>0</v>
      </c>
      <c r="S278" s="6"/>
      <c r="T278" s="6"/>
      <c r="U278" s="6"/>
      <c r="V278" s="6"/>
      <c r="W278" s="6"/>
      <c r="X278" s="6"/>
      <c r="Y278" s="6"/>
      <c r="Z278" s="7">
        <f t="shared" ref="Z278" si="301">SUM(S278:Y278)</f>
        <v>0</v>
      </c>
      <c r="AA278" s="11">
        <f t="shared" si="243"/>
        <v>0</v>
      </c>
      <c r="AB278" s="25"/>
      <c r="AC278" s="10" t="str">
        <f t="shared" si="244"/>
        <v>OutubroSEMANA 3Fita Empacotamento 45x10</v>
      </c>
      <c r="AD278" s="7">
        <f>SUMIF(NF!$A:$A,$AC278,NF!$I:$I)</f>
        <v>0</v>
      </c>
      <c r="AE278" s="6"/>
      <c r="AF278" s="6"/>
      <c r="AG278" s="6"/>
      <c r="AH278" s="6"/>
      <c r="AI278" s="6"/>
      <c r="AJ278" s="6"/>
      <c r="AK278" s="6"/>
      <c r="AL278" s="7">
        <f t="shared" ref="AL278" si="302">SUM(AE278:AK278)</f>
        <v>0</v>
      </c>
      <c r="AM278" s="11">
        <f t="shared" si="246"/>
        <v>0</v>
      </c>
      <c r="AN278" s="25"/>
      <c r="AO278" s="10" t="str">
        <f t="shared" si="247"/>
        <v>OutubroSEMANA 4Fita Empacotamento 45x10</v>
      </c>
      <c r="AP278" s="7">
        <f>SUMIF(NF!$A:$A,$AO278,NF!$I:$I)</f>
        <v>0</v>
      </c>
      <c r="AQ278" s="6"/>
      <c r="AR278" s="6"/>
      <c r="AS278" s="6"/>
      <c r="AT278" s="6"/>
      <c r="AU278" s="6"/>
      <c r="AV278" s="6"/>
      <c r="AW278" s="6"/>
      <c r="AX278" s="7">
        <f t="shared" ref="AX278" si="303">SUM(AQ278:AW278)</f>
        <v>0</v>
      </c>
      <c r="AY278" s="11">
        <f t="shared" si="249"/>
        <v>0</v>
      </c>
      <c r="AZ278" s="25"/>
      <c r="BA278" s="10" t="str">
        <f t="shared" si="250"/>
        <v>OutubroSEMANA 5Fita Empacotamento 45x10</v>
      </c>
      <c r="BB278" s="7">
        <f>SUMIF(NF!$A:$A,$BA278,NF!$I:$I)</f>
        <v>0</v>
      </c>
      <c r="BC278" s="6"/>
      <c r="BD278" s="6"/>
      <c r="BE278" s="6"/>
      <c r="BF278" s="74"/>
      <c r="BG278" s="74"/>
      <c r="BH278" s="74"/>
      <c r="BI278" s="74"/>
      <c r="BJ278" s="74"/>
      <c r="BK278" s="7">
        <f t="shared" ref="BK278" si="304">SUM(BC278:BJ278)</f>
        <v>0</v>
      </c>
      <c r="BL278" s="8">
        <f t="shared" si="252"/>
        <v>0</v>
      </c>
      <c r="BM278" s="51" t="str">
        <f>IFERROR(VLOOKUP(A278,NF!$M:$O,3,0),"")</f>
        <v>Escritório</v>
      </c>
      <c r="BN278" s="7">
        <f t="shared" si="253"/>
        <v>0</v>
      </c>
      <c r="BO278" s="8">
        <f t="array" ref="BO278">IFERROR(LARGE(IF(NF!$G$2:$G$3137='Mês atual'!A278,NF!$J$2:$J$3137),1),0)*BN278</f>
        <v>0</v>
      </c>
      <c r="BP278" s="50"/>
      <c r="BR278" s="147">
        <f t="array" ref="BR278">IFERROR(LARGE(IF(NF!$G$2:$G$3137='Mês atual'!A278,NF!$J$2:$J$3137),1),0)</f>
        <v>0</v>
      </c>
      <c r="BS278" s="143" t="str">
        <f>VLOOKUP(A278,NF!M:O,3,0)</f>
        <v>Escritório</v>
      </c>
    </row>
    <row r="279" spans="1:71" x14ac:dyDescent="0.25">
      <c r="A279" s="108" t="s">
        <v>367</v>
      </c>
      <c r="B279" s="12"/>
      <c r="C279" s="9"/>
      <c r="D279" s="25"/>
      <c r="E279" s="10" t="str">
        <f t="shared" si="238"/>
        <v>OutubroSEMANA 1Folha Ofício</v>
      </c>
      <c r="F279" s="7">
        <f>SUMIF(NF!$A:$A,$E279,NF!$I:$I)</f>
        <v>0</v>
      </c>
      <c r="G279" s="6"/>
      <c r="H279" s="6"/>
      <c r="I279" s="6"/>
      <c r="J279" s="6"/>
      <c r="K279" s="6"/>
      <c r="L279" s="6"/>
      <c r="M279" s="6"/>
      <c r="N279" s="7">
        <f t="shared" ref="N279:N285" si="305">SUM(G279:M279)</f>
        <v>0</v>
      </c>
      <c r="O279" s="11">
        <f t="shared" si="240"/>
        <v>0</v>
      </c>
      <c r="P279" s="25"/>
      <c r="Q279" s="10" t="str">
        <f t="shared" si="241"/>
        <v>OutubroSEMANA 2Folha Ofício</v>
      </c>
      <c r="R279" s="7">
        <f>SUMIF(NF!$A:$A,$Q279,NF!$I:$I)</f>
        <v>0</v>
      </c>
      <c r="S279" s="6"/>
      <c r="T279" s="6"/>
      <c r="U279" s="6"/>
      <c r="V279" s="6"/>
      <c r="W279" s="6"/>
      <c r="X279" s="6"/>
      <c r="Y279" s="6"/>
      <c r="Z279" s="7">
        <f t="shared" ref="Z279:Z285" si="306">SUM(S279:Y279)</f>
        <v>0</v>
      </c>
      <c r="AA279" s="11">
        <f t="shared" si="243"/>
        <v>0</v>
      </c>
      <c r="AB279" s="25"/>
      <c r="AC279" s="10" t="str">
        <f t="shared" si="244"/>
        <v>OutubroSEMANA 3Folha Ofício</v>
      </c>
      <c r="AD279" s="7">
        <f>SUMIF(NF!$A:$A,$AC279,NF!$I:$I)</f>
        <v>0</v>
      </c>
      <c r="AE279" s="6"/>
      <c r="AF279" s="6"/>
      <c r="AG279" s="6"/>
      <c r="AH279" s="6"/>
      <c r="AI279" s="6"/>
      <c r="AJ279" s="6"/>
      <c r="AK279" s="6"/>
      <c r="AL279" s="7">
        <f t="shared" ref="AL279:AL285" si="307">SUM(AE279:AK279)</f>
        <v>0</v>
      </c>
      <c r="AM279" s="11">
        <f t="shared" si="246"/>
        <v>0</v>
      </c>
      <c r="AN279" s="25"/>
      <c r="AO279" s="10" t="str">
        <f t="shared" si="247"/>
        <v>OutubroSEMANA 4Folha Ofício</v>
      </c>
      <c r="AP279" s="7">
        <f>SUMIF(NF!$A:$A,$AO279,NF!$I:$I)</f>
        <v>0</v>
      </c>
      <c r="AQ279" s="6"/>
      <c r="AR279" s="6"/>
      <c r="AS279" s="6"/>
      <c r="AT279" s="6"/>
      <c r="AU279" s="6"/>
      <c r="AV279" s="6"/>
      <c r="AW279" s="6"/>
      <c r="AX279" s="7">
        <f t="shared" ref="AX279:AX285" si="308">SUM(AQ279:AW279)</f>
        <v>0</v>
      </c>
      <c r="AY279" s="11">
        <f t="shared" si="249"/>
        <v>0</v>
      </c>
      <c r="AZ279" s="25"/>
      <c r="BA279" s="10" t="str">
        <f t="shared" si="250"/>
        <v>OutubroSEMANA 5Folha Ofício</v>
      </c>
      <c r="BB279" s="7">
        <f>SUMIF(NF!$A:$A,$BA279,NF!$I:$I)</f>
        <v>0</v>
      </c>
      <c r="BC279" s="6"/>
      <c r="BD279" s="6"/>
      <c r="BE279" s="6"/>
      <c r="BF279" s="74"/>
      <c r="BG279" s="74"/>
      <c r="BH279" s="74"/>
      <c r="BI279" s="74"/>
      <c r="BJ279" s="74"/>
      <c r="BK279" s="7">
        <f t="shared" ref="BK279:BK285" si="309">SUM(BC279:BJ279)</f>
        <v>0</v>
      </c>
      <c r="BL279" s="8">
        <f t="shared" si="252"/>
        <v>0</v>
      </c>
      <c r="BM279" s="51" t="str">
        <f>IFERROR(VLOOKUP(A279,NF!$M:$O,3,0),"")</f>
        <v>Escritório</v>
      </c>
      <c r="BN279" s="7">
        <f t="shared" si="253"/>
        <v>0</v>
      </c>
      <c r="BO279" s="8">
        <f t="array" ref="BO279">IFERROR(LARGE(IF(NF!$G$2:$G$3137='Mês atual'!A279,NF!$J$2:$J$3137),1),0)*BN279</f>
        <v>0</v>
      </c>
      <c r="BP279" s="50"/>
      <c r="BR279" s="147">
        <f t="array" ref="BR279">IFERROR(LARGE(IF(NF!$G$2:$G$3137='Mês atual'!A279,NF!$J$2:$J$3137),1),0)</f>
        <v>0</v>
      </c>
      <c r="BS279" s="143" t="str">
        <f>VLOOKUP(A279,NF!M:O,3,0)</f>
        <v>Escritório</v>
      </c>
    </row>
    <row r="280" spans="1:71" x14ac:dyDescent="0.25">
      <c r="A280" s="108" t="s">
        <v>394</v>
      </c>
      <c r="B280" s="12"/>
      <c r="C280" s="9"/>
      <c r="D280" s="25"/>
      <c r="E280" s="10" t="str">
        <f t="shared" si="238"/>
        <v>OutubroSEMANA 1Grafite</v>
      </c>
      <c r="F280" s="7">
        <f>SUMIF(NF!$A:$A,$E280,NF!$I:$I)</f>
        <v>0</v>
      </c>
      <c r="G280" s="6"/>
      <c r="H280" s="6"/>
      <c r="I280" s="6"/>
      <c r="J280" s="6"/>
      <c r="K280" s="6"/>
      <c r="L280" s="6"/>
      <c r="M280" s="6"/>
      <c r="N280" s="7">
        <f t="shared" si="305"/>
        <v>0</v>
      </c>
      <c r="O280" s="11">
        <f t="shared" si="240"/>
        <v>0</v>
      </c>
      <c r="P280" s="25"/>
      <c r="Q280" s="10" t="str">
        <f t="shared" si="241"/>
        <v>OutubroSEMANA 2Grafite</v>
      </c>
      <c r="R280" s="7">
        <f>SUMIF(NF!$A:$A,$Q280,NF!$I:$I)</f>
        <v>0</v>
      </c>
      <c r="S280" s="6"/>
      <c r="T280" s="6"/>
      <c r="U280" s="6"/>
      <c r="V280" s="6"/>
      <c r="W280" s="6"/>
      <c r="X280" s="6"/>
      <c r="Y280" s="6"/>
      <c r="Z280" s="7">
        <f t="shared" si="306"/>
        <v>0</v>
      </c>
      <c r="AA280" s="11">
        <f t="shared" si="243"/>
        <v>0</v>
      </c>
      <c r="AB280" s="25"/>
      <c r="AC280" s="10" t="str">
        <f t="shared" si="244"/>
        <v>OutubroSEMANA 3Grafite</v>
      </c>
      <c r="AD280" s="7">
        <f>SUMIF(NF!$A:$A,$AC280,NF!$I:$I)</f>
        <v>0</v>
      </c>
      <c r="AE280" s="6"/>
      <c r="AF280" s="6"/>
      <c r="AG280" s="6"/>
      <c r="AH280" s="6"/>
      <c r="AI280" s="6"/>
      <c r="AJ280" s="6"/>
      <c r="AK280" s="6"/>
      <c r="AL280" s="7">
        <f t="shared" si="307"/>
        <v>0</v>
      </c>
      <c r="AM280" s="11">
        <f t="shared" si="246"/>
        <v>0</v>
      </c>
      <c r="AN280" s="25"/>
      <c r="AO280" s="10" t="str">
        <f t="shared" si="247"/>
        <v>OutubroSEMANA 4Grafite</v>
      </c>
      <c r="AP280" s="7">
        <f>SUMIF(NF!$A:$A,$AO280,NF!$I:$I)</f>
        <v>0</v>
      </c>
      <c r="AQ280" s="6"/>
      <c r="AR280" s="6"/>
      <c r="AS280" s="6"/>
      <c r="AT280" s="6"/>
      <c r="AU280" s="6"/>
      <c r="AV280" s="6"/>
      <c r="AW280" s="6"/>
      <c r="AX280" s="7">
        <f t="shared" si="308"/>
        <v>0</v>
      </c>
      <c r="AY280" s="11">
        <f t="shared" si="249"/>
        <v>0</v>
      </c>
      <c r="AZ280" s="25"/>
      <c r="BA280" s="10" t="str">
        <f t="shared" si="250"/>
        <v>OutubroSEMANA 5Grafite</v>
      </c>
      <c r="BB280" s="7">
        <f>SUMIF(NF!$A:$A,$BA280,NF!$I:$I)</f>
        <v>0</v>
      </c>
      <c r="BC280" s="6"/>
      <c r="BD280" s="6"/>
      <c r="BE280" s="6"/>
      <c r="BF280" s="74"/>
      <c r="BG280" s="74"/>
      <c r="BH280" s="74"/>
      <c r="BI280" s="74"/>
      <c r="BJ280" s="74"/>
      <c r="BK280" s="7">
        <f t="shared" si="309"/>
        <v>0</v>
      </c>
      <c r="BL280" s="8">
        <f t="shared" si="252"/>
        <v>0</v>
      </c>
      <c r="BM280" s="51" t="str">
        <f>IFERROR(VLOOKUP(A280,NF!$M:$O,3,0),"")</f>
        <v>Escritório</v>
      </c>
      <c r="BN280" s="7">
        <f t="shared" si="253"/>
        <v>0</v>
      </c>
      <c r="BO280" s="8">
        <f t="array" ref="BO280">IFERROR(LARGE(IF(NF!$G$2:$G$3137='Mês atual'!A280,NF!$J$2:$J$3137),1),0)*BN280</f>
        <v>0</v>
      </c>
      <c r="BP280" s="50"/>
      <c r="BR280" s="147">
        <f t="array" ref="BR280">IFERROR(LARGE(IF(NF!$G$2:$G$3137='Mês atual'!A280,NF!$J$2:$J$3137),1),0)</f>
        <v>0</v>
      </c>
      <c r="BS280" s="143" t="str">
        <f>VLOOKUP(A280,NF!M:O,3,0)</f>
        <v>Escritório</v>
      </c>
    </row>
    <row r="281" spans="1:71" x14ac:dyDescent="0.25">
      <c r="A281" s="108" t="s">
        <v>395</v>
      </c>
      <c r="B281" s="12"/>
      <c r="C281" s="9"/>
      <c r="D281" s="25"/>
      <c r="E281" s="10" t="str">
        <f t="shared" si="238"/>
        <v>OutubroSEMANA 1Grampo 26/6</v>
      </c>
      <c r="F281" s="7">
        <f>SUMIF(NF!$A:$A,$E281,NF!$I:$I)</f>
        <v>0</v>
      </c>
      <c r="G281" s="6"/>
      <c r="H281" s="6"/>
      <c r="I281" s="6"/>
      <c r="J281" s="6"/>
      <c r="K281" s="6"/>
      <c r="L281" s="6"/>
      <c r="M281" s="6"/>
      <c r="N281" s="7">
        <f t="shared" si="305"/>
        <v>0</v>
      </c>
      <c r="O281" s="11">
        <f t="shared" si="240"/>
        <v>0</v>
      </c>
      <c r="P281" s="25"/>
      <c r="Q281" s="10" t="str">
        <f t="shared" si="241"/>
        <v>OutubroSEMANA 2Grampo 26/6</v>
      </c>
      <c r="R281" s="7">
        <f>SUMIF(NF!$A:$A,$Q281,NF!$I:$I)</f>
        <v>1</v>
      </c>
      <c r="S281" s="6"/>
      <c r="T281" s="6"/>
      <c r="U281" s="6">
        <v>1</v>
      </c>
      <c r="V281" s="6"/>
      <c r="W281" s="6"/>
      <c r="X281" s="6"/>
      <c r="Y281" s="6"/>
      <c r="Z281" s="7">
        <f t="shared" si="306"/>
        <v>1</v>
      </c>
      <c r="AA281" s="11">
        <f t="shared" si="243"/>
        <v>0</v>
      </c>
      <c r="AB281" s="25"/>
      <c r="AC281" s="10" t="str">
        <f t="shared" si="244"/>
        <v>OutubroSEMANA 3Grampo 26/6</v>
      </c>
      <c r="AD281" s="7">
        <f>SUMIF(NF!$A:$A,$AC281,NF!$I:$I)</f>
        <v>0</v>
      </c>
      <c r="AE281" s="6"/>
      <c r="AF281" s="6"/>
      <c r="AG281" s="6"/>
      <c r="AH281" s="6"/>
      <c r="AI281" s="6"/>
      <c r="AJ281" s="6"/>
      <c r="AK281" s="6"/>
      <c r="AL281" s="7">
        <f t="shared" si="307"/>
        <v>0</v>
      </c>
      <c r="AM281" s="11">
        <f t="shared" si="246"/>
        <v>0</v>
      </c>
      <c r="AN281" s="25"/>
      <c r="AO281" s="10" t="str">
        <f t="shared" si="247"/>
        <v>OutubroSEMANA 4Grampo 26/6</v>
      </c>
      <c r="AP281" s="7">
        <f>SUMIF(NF!$A:$A,$AO281,NF!$I:$I)</f>
        <v>0</v>
      </c>
      <c r="AQ281" s="6"/>
      <c r="AR281" s="6"/>
      <c r="AS281" s="6"/>
      <c r="AT281" s="6"/>
      <c r="AU281" s="6"/>
      <c r="AV281" s="6"/>
      <c r="AW281" s="6"/>
      <c r="AX281" s="7">
        <f t="shared" si="308"/>
        <v>0</v>
      </c>
      <c r="AY281" s="11">
        <f t="shared" si="249"/>
        <v>0</v>
      </c>
      <c r="AZ281" s="25"/>
      <c r="BA281" s="10" t="str">
        <f t="shared" si="250"/>
        <v>OutubroSEMANA 5Grampo 26/6</v>
      </c>
      <c r="BB281" s="7">
        <f>SUMIF(NF!$A:$A,$BA281,NF!$I:$I)</f>
        <v>0</v>
      </c>
      <c r="BC281" s="6"/>
      <c r="BD281" s="6"/>
      <c r="BE281" s="6"/>
      <c r="BF281" s="74"/>
      <c r="BG281" s="74"/>
      <c r="BH281" s="74"/>
      <c r="BI281" s="74"/>
      <c r="BJ281" s="74"/>
      <c r="BK281" s="7">
        <f t="shared" si="309"/>
        <v>0</v>
      </c>
      <c r="BL281" s="8">
        <f t="shared" si="252"/>
        <v>0</v>
      </c>
      <c r="BM281" s="51" t="str">
        <f>IFERROR(VLOOKUP(A281,NF!$M:$O,3,0),"")</f>
        <v>Escritório</v>
      </c>
      <c r="BN281" s="7">
        <f t="shared" si="253"/>
        <v>1</v>
      </c>
      <c r="BO281" s="8">
        <f t="array" ref="BO281">IFERROR(LARGE(IF(NF!$G$2:$G$3137='Mês atual'!A281,NF!$J$2:$J$3137),1),0)*BN281</f>
        <v>4.51</v>
      </c>
      <c r="BP281" s="50"/>
      <c r="BR281" s="147">
        <f t="array" ref="BR281">IFERROR(LARGE(IF(NF!$G$2:$G$3137='Mês atual'!A281,NF!$J$2:$J$3137),1),0)</f>
        <v>4.51</v>
      </c>
      <c r="BS281" s="143" t="str">
        <f>VLOOKUP(A281,NF!M:O,3,0)</f>
        <v>Escritório</v>
      </c>
    </row>
    <row r="282" spans="1:71" x14ac:dyDescent="0.25">
      <c r="A282" s="108" t="s">
        <v>456</v>
      </c>
      <c r="B282" s="12"/>
      <c r="C282" s="9"/>
      <c r="D282" s="25"/>
      <c r="E282" s="10" t="str">
        <f t="shared" si="238"/>
        <v>OutubroSEMANA 1Lápis</v>
      </c>
      <c r="F282" s="7">
        <f>SUMIF(NF!$A:$A,$E282,NF!$I:$I)</f>
        <v>0</v>
      </c>
      <c r="G282" s="6"/>
      <c r="H282" s="6"/>
      <c r="I282" s="6"/>
      <c r="J282" s="6"/>
      <c r="K282" s="6"/>
      <c r="L282" s="6"/>
      <c r="M282" s="6"/>
      <c r="N282" s="7">
        <f t="shared" si="305"/>
        <v>0</v>
      </c>
      <c r="O282" s="11">
        <f t="shared" si="240"/>
        <v>0</v>
      </c>
      <c r="P282" s="25"/>
      <c r="Q282" s="10" t="str">
        <f t="shared" si="241"/>
        <v>OutubroSEMANA 2Lápis</v>
      </c>
      <c r="R282" s="7">
        <f>SUMIF(NF!$A:$A,$Q282,NF!$I:$I)</f>
        <v>12</v>
      </c>
      <c r="S282" s="6"/>
      <c r="T282" s="6"/>
      <c r="U282" s="6">
        <v>12</v>
      </c>
      <c r="V282" s="6"/>
      <c r="W282" s="6"/>
      <c r="X282" s="6"/>
      <c r="Y282" s="6"/>
      <c r="Z282" s="7">
        <f t="shared" si="306"/>
        <v>12</v>
      </c>
      <c r="AA282" s="11">
        <f t="shared" si="243"/>
        <v>0</v>
      </c>
      <c r="AB282" s="25"/>
      <c r="AC282" s="10" t="str">
        <f t="shared" si="244"/>
        <v>OutubroSEMANA 3Lápis</v>
      </c>
      <c r="AD282" s="7">
        <f>SUMIF(NF!$A:$A,$AC282,NF!$I:$I)</f>
        <v>0</v>
      </c>
      <c r="AE282" s="6"/>
      <c r="AF282" s="6"/>
      <c r="AG282" s="6"/>
      <c r="AH282" s="6"/>
      <c r="AI282" s="6"/>
      <c r="AJ282" s="6"/>
      <c r="AK282" s="6"/>
      <c r="AL282" s="7">
        <f t="shared" si="307"/>
        <v>0</v>
      </c>
      <c r="AM282" s="11">
        <f t="shared" si="246"/>
        <v>0</v>
      </c>
      <c r="AN282" s="25"/>
      <c r="AO282" s="10" t="str">
        <f t="shared" si="247"/>
        <v>OutubroSEMANA 4Lápis</v>
      </c>
      <c r="AP282" s="7">
        <f>SUMIF(NF!$A:$A,$AO282,NF!$I:$I)</f>
        <v>0</v>
      </c>
      <c r="AQ282" s="6"/>
      <c r="AR282" s="6"/>
      <c r="AS282" s="6"/>
      <c r="AT282" s="6"/>
      <c r="AU282" s="6"/>
      <c r="AV282" s="6"/>
      <c r="AW282" s="6"/>
      <c r="AX282" s="7">
        <f t="shared" si="308"/>
        <v>0</v>
      </c>
      <c r="AY282" s="11">
        <f t="shared" si="249"/>
        <v>0</v>
      </c>
      <c r="AZ282" s="25"/>
      <c r="BA282" s="10" t="str">
        <f t="shared" si="250"/>
        <v>OutubroSEMANA 5Lápis</v>
      </c>
      <c r="BB282" s="7">
        <f>SUMIF(NF!$A:$A,$BA282,NF!$I:$I)</f>
        <v>0</v>
      </c>
      <c r="BC282" s="6"/>
      <c r="BD282" s="6"/>
      <c r="BE282" s="6"/>
      <c r="BF282" s="74"/>
      <c r="BG282" s="74"/>
      <c r="BH282" s="74"/>
      <c r="BI282" s="74"/>
      <c r="BJ282" s="74"/>
      <c r="BK282" s="7">
        <f t="shared" si="309"/>
        <v>0</v>
      </c>
      <c r="BL282" s="8">
        <f t="shared" si="252"/>
        <v>0</v>
      </c>
      <c r="BM282" s="51" t="str">
        <f>IFERROR(VLOOKUP(A282,NF!$M:$O,3,0),"")</f>
        <v>Escritório</v>
      </c>
      <c r="BN282" s="7">
        <f t="shared" si="253"/>
        <v>12</v>
      </c>
      <c r="BO282" s="8">
        <f t="array" ref="BO282">IFERROR(LARGE(IF(NF!$G$2:$G$3137='Mês atual'!A282,NF!$J$2:$J$3137),1),0)*BN282</f>
        <v>8.0400000000000009</v>
      </c>
      <c r="BP282" s="50"/>
      <c r="BR282" s="147">
        <f t="array" ref="BR282">IFERROR(LARGE(IF(NF!$G$2:$G$3137='Mês atual'!A282,NF!$J$2:$J$3137),1),0)</f>
        <v>0.67</v>
      </c>
      <c r="BS282" s="143" t="str">
        <f>VLOOKUP(A282,NF!M:O,3,0)</f>
        <v>Escritório</v>
      </c>
    </row>
    <row r="283" spans="1:71" x14ac:dyDescent="0.25">
      <c r="A283" s="108" t="s">
        <v>1299</v>
      </c>
      <c r="B283" s="12"/>
      <c r="C283" s="9"/>
      <c r="D283" s="25"/>
      <c r="E283" s="10" t="str">
        <f t="shared" si="238"/>
        <v>OutubroSEMANA 1Marca Texto Pilot</v>
      </c>
      <c r="F283" s="7">
        <f>SUMIF(NF!$A:$A,$E283,NF!$I:$I)</f>
        <v>0</v>
      </c>
      <c r="G283" s="6"/>
      <c r="H283" s="6"/>
      <c r="I283" s="6"/>
      <c r="J283" s="6"/>
      <c r="K283" s="6"/>
      <c r="L283" s="6"/>
      <c r="M283" s="6"/>
      <c r="N283" s="7">
        <f t="shared" ref="N283" si="310">SUM(G283:M283)</f>
        <v>0</v>
      </c>
      <c r="O283" s="11">
        <f t="shared" si="240"/>
        <v>0</v>
      </c>
      <c r="P283" s="25"/>
      <c r="Q283" s="10" t="str">
        <f t="shared" si="241"/>
        <v>OutubroSEMANA 2Marca Texto Pilot</v>
      </c>
      <c r="R283" s="7">
        <f>SUMIF(NF!$A:$A,$Q283,NF!$I:$I)</f>
        <v>10</v>
      </c>
      <c r="S283" s="6"/>
      <c r="T283" s="6"/>
      <c r="U283" s="6">
        <v>10</v>
      </c>
      <c r="V283" s="6"/>
      <c r="W283" s="6"/>
      <c r="X283" s="6"/>
      <c r="Y283" s="6"/>
      <c r="Z283" s="7">
        <f t="shared" ref="Z283" si="311">SUM(S283:Y283)</f>
        <v>10</v>
      </c>
      <c r="AA283" s="11">
        <f t="shared" si="243"/>
        <v>0</v>
      </c>
      <c r="AB283" s="25"/>
      <c r="AC283" s="10" t="str">
        <f t="shared" si="244"/>
        <v>OutubroSEMANA 3Marca Texto Pilot</v>
      </c>
      <c r="AD283" s="7">
        <f>SUMIF(NF!$A:$A,$AC283,NF!$I:$I)</f>
        <v>0</v>
      </c>
      <c r="AE283" s="6"/>
      <c r="AF283" s="6"/>
      <c r="AG283" s="6"/>
      <c r="AH283" s="6"/>
      <c r="AI283" s="6"/>
      <c r="AJ283" s="6"/>
      <c r="AK283" s="6"/>
      <c r="AL283" s="7">
        <f t="shared" ref="AL283" si="312">SUM(AE283:AK283)</f>
        <v>0</v>
      </c>
      <c r="AM283" s="11">
        <f t="shared" si="246"/>
        <v>0</v>
      </c>
      <c r="AN283" s="25"/>
      <c r="AO283" s="10" t="str">
        <f t="shared" si="247"/>
        <v>OutubroSEMANA 4Marca Texto Pilot</v>
      </c>
      <c r="AP283" s="7">
        <f>SUMIF(NF!$A:$A,$AO283,NF!$I:$I)</f>
        <v>0</v>
      </c>
      <c r="AQ283" s="6"/>
      <c r="AR283" s="6"/>
      <c r="AS283" s="6"/>
      <c r="AT283" s="6"/>
      <c r="AU283" s="6"/>
      <c r="AV283" s="6"/>
      <c r="AW283" s="6"/>
      <c r="AX283" s="7">
        <f t="shared" ref="AX283" si="313">SUM(AQ283:AW283)</f>
        <v>0</v>
      </c>
      <c r="AY283" s="11">
        <f t="shared" si="249"/>
        <v>0</v>
      </c>
      <c r="AZ283" s="25"/>
      <c r="BA283" s="10" t="str">
        <f t="shared" si="250"/>
        <v>OutubroSEMANA 5Marca Texto Pilot</v>
      </c>
      <c r="BB283" s="7">
        <f>SUMIF(NF!$A:$A,$BA283,NF!$I:$I)</f>
        <v>0</v>
      </c>
      <c r="BC283" s="6"/>
      <c r="BD283" s="6"/>
      <c r="BE283" s="6"/>
      <c r="BF283" s="74"/>
      <c r="BG283" s="74"/>
      <c r="BH283" s="74"/>
      <c r="BI283" s="74"/>
      <c r="BJ283" s="74"/>
      <c r="BK283" s="7">
        <f t="shared" ref="BK283" si="314">SUM(BC283:BJ283)</f>
        <v>0</v>
      </c>
      <c r="BL283" s="8">
        <f t="shared" si="252"/>
        <v>0</v>
      </c>
      <c r="BM283" s="51" t="str">
        <f>IFERROR(VLOOKUP(A283,NF!$M:$O,3,0),"")</f>
        <v>Escritório</v>
      </c>
      <c r="BN283" s="7">
        <f t="shared" si="253"/>
        <v>10</v>
      </c>
      <c r="BO283" s="8">
        <f t="array" ref="BO283">IFERROR(LARGE(IF(NF!$G$2:$G$3137='Mês atual'!A283,NF!$J$2:$J$3137),1),0)*BN283</f>
        <v>19.3</v>
      </c>
      <c r="BP283" s="50"/>
      <c r="BR283" s="147">
        <f t="array" ref="BR283">IFERROR(LARGE(IF(NF!$G$2:$G$3137='Mês atual'!A283,NF!$J$2:$J$3137),1),0)</f>
        <v>1.93</v>
      </c>
      <c r="BS283" s="143" t="str">
        <f>VLOOKUP(A283,NF!M:O,3,0)</f>
        <v>Escritório</v>
      </c>
    </row>
    <row r="284" spans="1:71" x14ac:dyDescent="0.25">
      <c r="A284" s="108" t="s">
        <v>1001</v>
      </c>
      <c r="B284" s="12"/>
      <c r="C284" s="9"/>
      <c r="D284" s="25"/>
      <c r="E284" s="10" t="str">
        <f t="shared" si="238"/>
        <v>OutubroSEMANA 1Marcador para Retro Projetor</v>
      </c>
      <c r="F284" s="7">
        <f>SUMIF(NF!$A:$A,$E284,NF!$I:$I)</f>
        <v>0</v>
      </c>
      <c r="G284" s="6"/>
      <c r="H284" s="6"/>
      <c r="I284" s="6"/>
      <c r="J284" s="6"/>
      <c r="K284" s="6"/>
      <c r="L284" s="6"/>
      <c r="M284" s="6"/>
      <c r="N284" s="7">
        <f t="shared" ref="N284" si="315">SUM(G284:M284)</f>
        <v>0</v>
      </c>
      <c r="O284" s="11">
        <f t="shared" ref="O284" si="316">F284+C284-N284</f>
        <v>0</v>
      </c>
      <c r="P284" s="25"/>
      <c r="Q284" s="10" t="str">
        <f t="shared" si="241"/>
        <v>OutubroSEMANA 2Marcador para Retro Projetor</v>
      </c>
      <c r="R284" s="7">
        <f>SUMIF(NF!$A:$A,$Q284,NF!$I:$I)</f>
        <v>0</v>
      </c>
      <c r="S284" s="6"/>
      <c r="T284" s="6"/>
      <c r="U284" s="6"/>
      <c r="V284" s="6"/>
      <c r="W284" s="6"/>
      <c r="X284" s="6"/>
      <c r="Y284" s="6"/>
      <c r="Z284" s="7">
        <f t="shared" ref="Z284" si="317">SUM(S284:Y284)</f>
        <v>0</v>
      </c>
      <c r="AA284" s="11">
        <f t="shared" ref="AA284" si="318">R284+O284-Z284</f>
        <v>0</v>
      </c>
      <c r="AB284" s="25"/>
      <c r="AC284" s="10" t="str">
        <f t="shared" si="244"/>
        <v>OutubroSEMANA 3Marcador para Retro Projetor</v>
      </c>
      <c r="AD284" s="7">
        <f>SUMIF(NF!$A:$A,$AC284,NF!$I:$I)</f>
        <v>0</v>
      </c>
      <c r="AE284" s="6"/>
      <c r="AF284" s="6"/>
      <c r="AG284" s="6"/>
      <c r="AH284" s="6"/>
      <c r="AI284" s="6"/>
      <c r="AJ284" s="6"/>
      <c r="AK284" s="6"/>
      <c r="AL284" s="7">
        <f t="shared" ref="AL284" si="319">SUM(AE284:AK284)</f>
        <v>0</v>
      </c>
      <c r="AM284" s="11">
        <f t="shared" ref="AM284" si="320">AD284+AA284-AL284</f>
        <v>0</v>
      </c>
      <c r="AN284" s="25"/>
      <c r="AO284" s="10" t="str">
        <f t="shared" si="247"/>
        <v>OutubroSEMANA 4Marcador para Retro Projetor</v>
      </c>
      <c r="AP284" s="7">
        <f>SUMIF(NF!$A:$A,$AO284,NF!$I:$I)</f>
        <v>0</v>
      </c>
      <c r="AQ284" s="6"/>
      <c r="AR284" s="6"/>
      <c r="AS284" s="6"/>
      <c r="AT284" s="6"/>
      <c r="AU284" s="6"/>
      <c r="AV284" s="6"/>
      <c r="AW284" s="6"/>
      <c r="AX284" s="7">
        <f t="shared" ref="AX284" si="321">SUM(AQ284:AW284)</f>
        <v>0</v>
      </c>
      <c r="AY284" s="11">
        <f t="shared" ref="AY284" si="322">AP284+AM284-AX284</f>
        <v>0</v>
      </c>
      <c r="AZ284" s="25"/>
      <c r="BA284" s="10" t="str">
        <f t="shared" si="250"/>
        <v>OutubroSEMANA 5Marcador para Retro Projetor</v>
      </c>
      <c r="BB284" s="7">
        <f>SUMIF(NF!$A:$A,$BA284,NF!$I:$I)</f>
        <v>0</v>
      </c>
      <c r="BC284" s="6"/>
      <c r="BD284" s="6"/>
      <c r="BE284" s="6"/>
      <c r="BF284" s="74"/>
      <c r="BG284" s="74"/>
      <c r="BH284" s="74"/>
      <c r="BI284" s="74"/>
      <c r="BJ284" s="74"/>
      <c r="BK284" s="7">
        <f t="shared" ref="BK284" si="323">SUM(BC284:BJ284)</f>
        <v>0</v>
      </c>
      <c r="BL284" s="8">
        <f t="shared" ref="BL284" si="324">BB284+AY284-BK284</f>
        <v>0</v>
      </c>
      <c r="BM284" s="51" t="str">
        <f>IFERROR(VLOOKUP(A284,NF!$M:$O,3,0),"")</f>
        <v>Escritório</v>
      </c>
      <c r="BN284" s="7">
        <f t="shared" ref="BN284" si="325">SUM(N284,Z284,AL284,AX284,BK284)</f>
        <v>0</v>
      </c>
      <c r="BO284" s="8">
        <f t="array" ref="BO284">IFERROR(LARGE(IF(NF!$G$2:$G$3137='Mês atual'!A284,NF!$J$2:$J$3137),1),0)*BN284</f>
        <v>0</v>
      </c>
      <c r="BP284" s="50"/>
      <c r="BR284" s="147">
        <f t="array" ref="BR284">IFERROR(LARGE(IF(NF!$G$2:$G$3137='Mês atual'!A284,NF!$J$2:$J$3137),1),0)</f>
        <v>0</v>
      </c>
      <c r="BS284" s="143" t="str">
        <f>VLOOKUP(A284,NF!M:O,3,0)</f>
        <v>Escritório</v>
      </c>
    </row>
    <row r="285" spans="1:71" x14ac:dyDescent="0.25">
      <c r="A285" s="108" t="s">
        <v>525</v>
      </c>
      <c r="B285" s="12"/>
      <c r="C285" s="9"/>
      <c r="D285" s="25"/>
      <c r="E285" s="10" t="str">
        <f t="shared" si="238"/>
        <v>OutubroSEMANA 1Molha Dedo Creme Umedecedor</v>
      </c>
      <c r="F285" s="7">
        <f>SUMIF(NF!$A:$A,$E285,NF!$I:$I)</f>
        <v>0</v>
      </c>
      <c r="G285" s="6"/>
      <c r="H285" s="6"/>
      <c r="I285" s="6"/>
      <c r="J285" s="6"/>
      <c r="K285" s="6"/>
      <c r="L285" s="6"/>
      <c r="M285" s="6"/>
      <c r="N285" s="7">
        <f t="shared" si="305"/>
        <v>0</v>
      </c>
      <c r="O285" s="11">
        <f t="shared" si="240"/>
        <v>0</v>
      </c>
      <c r="P285" s="25"/>
      <c r="Q285" s="10" t="str">
        <f t="shared" si="241"/>
        <v>OutubroSEMANA 2Molha Dedo Creme Umedecedor</v>
      </c>
      <c r="R285" s="7">
        <f>SUMIF(NF!$A:$A,$Q285,NF!$I:$I)</f>
        <v>0</v>
      </c>
      <c r="S285" s="6"/>
      <c r="T285" s="6"/>
      <c r="U285" s="6"/>
      <c r="V285" s="6"/>
      <c r="W285" s="6"/>
      <c r="X285" s="6"/>
      <c r="Y285" s="6"/>
      <c r="Z285" s="7">
        <f t="shared" si="306"/>
        <v>0</v>
      </c>
      <c r="AA285" s="11">
        <f t="shared" si="243"/>
        <v>0</v>
      </c>
      <c r="AB285" s="25"/>
      <c r="AC285" s="10" t="str">
        <f t="shared" si="244"/>
        <v>OutubroSEMANA 3Molha Dedo Creme Umedecedor</v>
      </c>
      <c r="AD285" s="7">
        <f>SUMIF(NF!$A:$A,$AC285,NF!$I:$I)</f>
        <v>0</v>
      </c>
      <c r="AE285" s="6"/>
      <c r="AF285" s="6"/>
      <c r="AG285" s="6"/>
      <c r="AH285" s="6"/>
      <c r="AI285" s="6"/>
      <c r="AJ285" s="6"/>
      <c r="AK285" s="6"/>
      <c r="AL285" s="7">
        <f t="shared" si="307"/>
        <v>0</v>
      </c>
      <c r="AM285" s="11">
        <f t="shared" si="246"/>
        <v>0</v>
      </c>
      <c r="AN285" s="25"/>
      <c r="AO285" s="10" t="str">
        <f t="shared" si="247"/>
        <v>OutubroSEMANA 4Molha Dedo Creme Umedecedor</v>
      </c>
      <c r="AP285" s="7">
        <f>SUMIF(NF!$A:$A,$AO285,NF!$I:$I)</f>
        <v>0</v>
      </c>
      <c r="AQ285" s="6"/>
      <c r="AR285" s="6"/>
      <c r="AS285" s="6"/>
      <c r="AT285" s="6"/>
      <c r="AU285" s="6"/>
      <c r="AV285" s="6"/>
      <c r="AW285" s="6"/>
      <c r="AX285" s="7">
        <f t="shared" si="308"/>
        <v>0</v>
      </c>
      <c r="AY285" s="11">
        <f t="shared" si="249"/>
        <v>0</v>
      </c>
      <c r="AZ285" s="25"/>
      <c r="BA285" s="10" t="str">
        <f t="shared" si="250"/>
        <v>OutubroSEMANA 5Molha Dedo Creme Umedecedor</v>
      </c>
      <c r="BB285" s="7">
        <f>SUMIF(NF!$A:$A,$BA285,NF!$I:$I)</f>
        <v>0</v>
      </c>
      <c r="BC285" s="6"/>
      <c r="BD285" s="6"/>
      <c r="BE285" s="6"/>
      <c r="BF285" s="74"/>
      <c r="BG285" s="74"/>
      <c r="BH285" s="74"/>
      <c r="BI285" s="74"/>
      <c r="BJ285" s="74"/>
      <c r="BK285" s="7">
        <f t="shared" si="309"/>
        <v>0</v>
      </c>
      <c r="BL285" s="8">
        <f t="shared" si="252"/>
        <v>0</v>
      </c>
      <c r="BM285" s="51" t="str">
        <f>IFERROR(VLOOKUP(A285,NF!$M:$O,3,0),"")</f>
        <v>Escritório</v>
      </c>
      <c r="BN285" s="7">
        <f t="shared" si="253"/>
        <v>0</v>
      </c>
      <c r="BO285" s="8">
        <f t="array" ref="BO285">IFERROR(LARGE(IF(NF!$G$2:$G$3137='Mês atual'!A285,NF!$J$2:$J$3137),1),0)*BN285</f>
        <v>0</v>
      </c>
      <c r="BP285" s="50"/>
      <c r="BR285" s="147">
        <f t="array" ref="BR285">IFERROR(LARGE(IF(NF!$G$2:$G$3137='Mês atual'!A285,NF!$J$2:$J$3137),1),0)</f>
        <v>0</v>
      </c>
      <c r="BS285" s="143" t="str">
        <f>VLOOKUP(A285,NF!M:O,3,0)</f>
        <v>Escritório</v>
      </c>
    </row>
    <row r="286" spans="1:71" x14ac:dyDescent="0.25">
      <c r="A286" s="108" t="s">
        <v>983</v>
      </c>
      <c r="B286" s="12"/>
      <c r="C286" s="9"/>
      <c r="D286" s="25"/>
      <c r="E286" s="10" t="str">
        <f t="shared" si="238"/>
        <v>OutubroSEMANA 1Papel Adesivo 45/10</v>
      </c>
      <c r="F286" s="7">
        <f>SUMIF(NF!$A:$A,$E286,NF!$I:$I)</f>
        <v>0</v>
      </c>
      <c r="G286" s="6"/>
      <c r="H286" s="6"/>
      <c r="I286" s="6"/>
      <c r="J286" s="6"/>
      <c r="K286" s="6"/>
      <c r="L286" s="6"/>
      <c r="M286" s="6"/>
      <c r="N286" s="7">
        <f t="shared" ref="N286" si="326">SUM(G286:M286)</f>
        <v>0</v>
      </c>
      <c r="O286" s="11">
        <f t="shared" si="240"/>
        <v>0</v>
      </c>
      <c r="P286" s="25"/>
      <c r="Q286" s="10" t="str">
        <f t="shared" si="241"/>
        <v>OutubroSEMANA 2Papel Adesivo 45/10</v>
      </c>
      <c r="R286" s="7">
        <f>SUMIF(NF!$A:$A,$Q286,NF!$I:$I)</f>
        <v>0</v>
      </c>
      <c r="S286" s="6"/>
      <c r="T286" s="6"/>
      <c r="U286" s="6"/>
      <c r="V286" s="6"/>
      <c r="W286" s="6"/>
      <c r="X286" s="6"/>
      <c r="Y286" s="6"/>
      <c r="Z286" s="7">
        <f t="shared" ref="Z286" si="327">SUM(S286:Y286)</f>
        <v>0</v>
      </c>
      <c r="AA286" s="11">
        <f t="shared" si="243"/>
        <v>0</v>
      </c>
      <c r="AB286" s="25"/>
      <c r="AC286" s="10" t="str">
        <f t="shared" si="244"/>
        <v>OutubroSEMANA 3Papel Adesivo 45/10</v>
      </c>
      <c r="AD286" s="7">
        <f>SUMIF(NF!$A:$A,$AC286,NF!$I:$I)</f>
        <v>0</v>
      </c>
      <c r="AE286" s="6"/>
      <c r="AF286" s="6"/>
      <c r="AG286" s="6"/>
      <c r="AH286" s="6"/>
      <c r="AI286" s="6"/>
      <c r="AJ286" s="6"/>
      <c r="AK286" s="6"/>
      <c r="AL286" s="7">
        <f t="shared" ref="AL286" si="328">SUM(AE286:AK286)</f>
        <v>0</v>
      </c>
      <c r="AM286" s="11">
        <f t="shared" si="246"/>
        <v>0</v>
      </c>
      <c r="AN286" s="25"/>
      <c r="AO286" s="10" t="str">
        <f t="shared" si="247"/>
        <v>OutubroSEMANA 4Papel Adesivo 45/10</v>
      </c>
      <c r="AP286" s="7">
        <f>SUMIF(NF!$A:$A,$AO286,NF!$I:$I)</f>
        <v>0</v>
      </c>
      <c r="AQ286" s="6"/>
      <c r="AR286" s="6"/>
      <c r="AS286" s="6"/>
      <c r="AT286" s="6"/>
      <c r="AU286" s="6"/>
      <c r="AV286" s="6"/>
      <c r="AW286" s="6"/>
      <c r="AX286" s="7">
        <f t="shared" ref="AX286" si="329">SUM(AQ286:AW286)</f>
        <v>0</v>
      </c>
      <c r="AY286" s="11">
        <f t="shared" si="249"/>
        <v>0</v>
      </c>
      <c r="AZ286" s="25"/>
      <c r="BA286" s="10" t="str">
        <f t="shared" si="250"/>
        <v>OutubroSEMANA 5Papel Adesivo 45/10</v>
      </c>
      <c r="BB286" s="7">
        <f>SUMIF(NF!$A:$A,$BA286,NF!$I:$I)</f>
        <v>0</v>
      </c>
      <c r="BC286" s="6"/>
      <c r="BD286" s="6"/>
      <c r="BE286" s="6"/>
      <c r="BF286" s="74"/>
      <c r="BG286" s="74"/>
      <c r="BH286" s="74"/>
      <c r="BI286" s="74"/>
      <c r="BJ286" s="74"/>
      <c r="BK286" s="7">
        <f t="shared" ref="BK286" si="330">SUM(BC286:BJ286)</f>
        <v>0</v>
      </c>
      <c r="BL286" s="8">
        <f t="shared" si="252"/>
        <v>0</v>
      </c>
      <c r="BM286" s="51" t="str">
        <f>IFERROR(VLOOKUP(A286,NF!$M:$O,3,0),"")</f>
        <v>Escritório</v>
      </c>
      <c r="BN286" s="7">
        <f t="shared" si="253"/>
        <v>0</v>
      </c>
      <c r="BO286" s="8">
        <f t="array" ref="BO286">IFERROR(LARGE(IF(NF!$G$2:$G$3137='Mês atual'!A286,NF!$J$2:$J$3137),1),0)*BN286</f>
        <v>0</v>
      </c>
      <c r="BP286" s="50"/>
      <c r="BR286" s="147">
        <f t="array" ref="BR286">IFERROR(LARGE(IF(NF!$G$2:$G$3137='Mês atual'!A286,NF!$J$2:$J$3137),1),0)</f>
        <v>0</v>
      </c>
      <c r="BS286" s="143" t="str">
        <f>VLOOKUP(A286,NF!M:O,3,0)</f>
        <v>Escritório</v>
      </c>
    </row>
    <row r="287" spans="1:71" x14ac:dyDescent="0.25">
      <c r="A287" s="108" t="s">
        <v>568</v>
      </c>
      <c r="B287" s="12"/>
      <c r="C287" s="9"/>
      <c r="D287" s="25"/>
      <c r="E287" s="10" t="str">
        <f t="shared" si="238"/>
        <v>OutubroSEMANA 1Papel Chamex A4 Office</v>
      </c>
      <c r="F287" s="7">
        <f>SUMIF(NF!$A:$A,$E287,NF!$I:$I)</f>
        <v>0</v>
      </c>
      <c r="G287" s="6"/>
      <c r="H287" s="6"/>
      <c r="I287" s="6"/>
      <c r="J287" s="6"/>
      <c r="K287" s="6"/>
      <c r="L287" s="6"/>
      <c r="M287" s="6"/>
      <c r="N287" s="7">
        <f t="shared" ref="N287:N293" si="331">SUM(G287:M287)</f>
        <v>0</v>
      </c>
      <c r="O287" s="11">
        <f t="shared" si="240"/>
        <v>0</v>
      </c>
      <c r="P287" s="25"/>
      <c r="Q287" s="10" t="str">
        <f t="shared" si="241"/>
        <v>OutubroSEMANA 2Papel Chamex A4 Office</v>
      </c>
      <c r="R287" s="7">
        <f>SUMIF(NF!$A:$A,$Q287,NF!$I:$I)</f>
        <v>10</v>
      </c>
      <c r="S287" s="6"/>
      <c r="T287" s="6"/>
      <c r="U287" s="6">
        <v>10</v>
      </c>
      <c r="V287" s="6"/>
      <c r="W287" s="6"/>
      <c r="X287" s="6"/>
      <c r="Y287" s="6"/>
      <c r="Z287" s="7">
        <f t="shared" ref="Z287:Z293" si="332">SUM(S287:Y287)</f>
        <v>10</v>
      </c>
      <c r="AA287" s="11">
        <f t="shared" si="243"/>
        <v>0</v>
      </c>
      <c r="AB287" s="25"/>
      <c r="AC287" s="10" t="str">
        <f t="shared" si="244"/>
        <v>OutubroSEMANA 3Papel Chamex A4 Office</v>
      </c>
      <c r="AD287" s="7">
        <f>SUMIF(NF!$A:$A,$AC287,NF!$I:$I)</f>
        <v>0</v>
      </c>
      <c r="AE287" s="6"/>
      <c r="AF287" s="6"/>
      <c r="AG287" s="6"/>
      <c r="AH287" s="6"/>
      <c r="AI287" s="6"/>
      <c r="AJ287" s="6"/>
      <c r="AK287" s="6"/>
      <c r="AL287" s="7">
        <f t="shared" ref="AL287:AL293" si="333">SUM(AE287:AK287)</f>
        <v>0</v>
      </c>
      <c r="AM287" s="11">
        <f t="shared" si="246"/>
        <v>0</v>
      </c>
      <c r="AN287" s="25"/>
      <c r="AO287" s="10" t="str">
        <f t="shared" si="247"/>
        <v>OutubroSEMANA 4Papel Chamex A4 Office</v>
      </c>
      <c r="AP287" s="7">
        <f>SUMIF(NF!$A:$A,$AO287,NF!$I:$I)</f>
        <v>0</v>
      </c>
      <c r="AQ287" s="6"/>
      <c r="AR287" s="6"/>
      <c r="AS287" s="6"/>
      <c r="AT287" s="6"/>
      <c r="AU287" s="6"/>
      <c r="AV287" s="6"/>
      <c r="AW287" s="6"/>
      <c r="AX287" s="7">
        <f t="shared" ref="AX287:AX293" si="334">SUM(AQ287:AW287)</f>
        <v>0</v>
      </c>
      <c r="AY287" s="11">
        <f t="shared" si="249"/>
        <v>0</v>
      </c>
      <c r="AZ287" s="25"/>
      <c r="BA287" s="10" t="str">
        <f t="shared" si="250"/>
        <v>OutubroSEMANA 5Papel Chamex A4 Office</v>
      </c>
      <c r="BB287" s="7">
        <f>SUMIF(NF!$A:$A,$BA287,NF!$I:$I)</f>
        <v>0</v>
      </c>
      <c r="BC287" s="6"/>
      <c r="BD287" s="6"/>
      <c r="BE287" s="6"/>
      <c r="BF287" s="74"/>
      <c r="BG287" s="74"/>
      <c r="BH287" s="74"/>
      <c r="BI287" s="74"/>
      <c r="BJ287" s="74"/>
      <c r="BK287" s="7">
        <f t="shared" ref="BK287:BK293" si="335">SUM(BC287:BJ287)</f>
        <v>0</v>
      </c>
      <c r="BL287" s="8">
        <f t="shared" si="252"/>
        <v>0</v>
      </c>
      <c r="BM287" s="51" t="str">
        <f>IFERROR(VLOOKUP(A287,NF!$M:$O,3,0),"")</f>
        <v>Escritório</v>
      </c>
      <c r="BN287" s="7">
        <f t="shared" si="253"/>
        <v>10</v>
      </c>
      <c r="BO287" s="8">
        <f t="array" ref="BO287">IFERROR(LARGE(IF(NF!$G$2:$G$3137='Mês atual'!A287,NF!$J$2:$J$3137),1),0)*BN287</f>
        <v>175</v>
      </c>
      <c r="BP287" s="50"/>
      <c r="BR287" s="147">
        <f t="array" ref="BR287">IFERROR(LARGE(IF(NF!$G$2:$G$3137='Mês atual'!A287,NF!$J$2:$J$3137),1),0)</f>
        <v>17.5</v>
      </c>
      <c r="BS287" s="143" t="str">
        <f>VLOOKUP(A287,NF!M:O,3,0)</f>
        <v>Escritório</v>
      </c>
    </row>
    <row r="288" spans="1:71" x14ac:dyDescent="0.25">
      <c r="A288" s="108" t="s">
        <v>1300</v>
      </c>
      <c r="B288" s="12"/>
      <c r="C288" s="9"/>
      <c r="D288" s="25"/>
      <c r="E288" s="10" t="str">
        <f t="shared" si="238"/>
        <v>OutubroSEMANA 1Pasta L</v>
      </c>
      <c r="F288" s="7">
        <f>SUMIF(NF!$A:$A,$E288,NF!$I:$I)</f>
        <v>10</v>
      </c>
      <c r="G288" s="6"/>
      <c r="H288" s="6"/>
      <c r="I288" s="6"/>
      <c r="J288" s="6"/>
      <c r="K288" s="6"/>
      <c r="L288" s="6"/>
      <c r="M288" s="6"/>
      <c r="N288" s="7">
        <f t="shared" ref="N288" si="336">SUM(G288:M288)</f>
        <v>0</v>
      </c>
      <c r="O288" s="11">
        <f t="shared" ref="O288" si="337">F288+C288-N288</f>
        <v>10</v>
      </c>
      <c r="P288" s="25"/>
      <c r="Q288" s="10" t="str">
        <f t="shared" si="241"/>
        <v>OutubroSEMANA 2Pasta L</v>
      </c>
      <c r="R288" s="7">
        <f>SUMIF(NF!$A:$A,$Q288,NF!$I:$I)</f>
        <v>0</v>
      </c>
      <c r="S288" s="6"/>
      <c r="T288" s="6"/>
      <c r="U288" s="6">
        <v>10</v>
      </c>
      <c r="V288" s="6"/>
      <c r="W288" s="6"/>
      <c r="X288" s="6"/>
      <c r="Y288" s="6"/>
      <c r="Z288" s="7">
        <f t="shared" ref="Z288" si="338">SUM(S288:Y288)</f>
        <v>10</v>
      </c>
      <c r="AA288" s="11">
        <f t="shared" ref="AA288" si="339">R288+O288-Z288</f>
        <v>0</v>
      </c>
      <c r="AB288" s="25"/>
      <c r="AC288" s="10" t="str">
        <f t="shared" si="244"/>
        <v>OutubroSEMANA 3Pasta L</v>
      </c>
      <c r="AD288" s="7">
        <f>SUMIF(NF!$A:$A,$AC288,NF!$I:$I)</f>
        <v>0</v>
      </c>
      <c r="AE288" s="6"/>
      <c r="AF288" s="6"/>
      <c r="AG288" s="6"/>
      <c r="AH288" s="6"/>
      <c r="AI288" s="6"/>
      <c r="AJ288" s="6"/>
      <c r="AK288" s="6"/>
      <c r="AL288" s="7">
        <f t="shared" ref="AL288" si="340">SUM(AE288:AK288)</f>
        <v>0</v>
      </c>
      <c r="AM288" s="11">
        <f t="shared" ref="AM288" si="341">AD288+AA288-AL288</f>
        <v>0</v>
      </c>
      <c r="AN288" s="25"/>
      <c r="AO288" s="10" t="str">
        <f t="shared" si="247"/>
        <v>OutubroSEMANA 4Pasta L</v>
      </c>
      <c r="AP288" s="7">
        <f>SUMIF(NF!$A:$A,$AO288,NF!$I:$I)</f>
        <v>0</v>
      </c>
      <c r="AQ288" s="6"/>
      <c r="AR288" s="6"/>
      <c r="AS288" s="6"/>
      <c r="AT288" s="6"/>
      <c r="AU288" s="6"/>
      <c r="AV288" s="6"/>
      <c r="AW288" s="6"/>
      <c r="AX288" s="7">
        <f t="shared" ref="AX288" si="342">SUM(AQ288:AW288)</f>
        <v>0</v>
      </c>
      <c r="AY288" s="11">
        <f t="shared" ref="AY288" si="343">AP288+AM288-AX288</f>
        <v>0</v>
      </c>
      <c r="AZ288" s="25"/>
      <c r="BA288" s="10" t="str">
        <f t="shared" si="250"/>
        <v>OutubroSEMANA 5Pasta L</v>
      </c>
      <c r="BB288" s="7">
        <f>SUMIF(NF!$A:$A,$BA288,NF!$I:$I)</f>
        <v>0</v>
      </c>
      <c r="BC288" s="6"/>
      <c r="BD288" s="6"/>
      <c r="BE288" s="6"/>
      <c r="BF288" s="74"/>
      <c r="BG288" s="74"/>
      <c r="BH288" s="74"/>
      <c r="BI288" s="74"/>
      <c r="BJ288" s="74"/>
      <c r="BK288" s="7">
        <f t="shared" ref="BK288" si="344">SUM(BC288:BJ288)</f>
        <v>0</v>
      </c>
      <c r="BL288" s="8">
        <f t="shared" ref="BL288" si="345">BB288+AY288-BK288</f>
        <v>0</v>
      </c>
      <c r="BM288" s="51" t="str">
        <f>IFERROR(VLOOKUP(A288,NF!$M:$O,3,0),"")</f>
        <v>Escritório</v>
      </c>
      <c r="BN288" s="7">
        <f t="shared" ref="BN288" si="346">SUM(N288,Z288,AL288,AX288,BK288)</f>
        <v>10</v>
      </c>
      <c r="BO288" s="8">
        <f t="array" ref="BO288">IFERROR(LARGE(IF(NF!$G$2:$G$3137='Mês atual'!A288,NF!$J$2:$J$3137),1),0)*BN288</f>
        <v>7.5</v>
      </c>
      <c r="BP288" s="50"/>
      <c r="BR288" s="147">
        <f t="array" ref="BR288">IFERROR(LARGE(IF(NF!$G$2:$G$3137='Mês atual'!A288,NF!$J$2:$J$3137),1),0)</f>
        <v>0.75</v>
      </c>
      <c r="BS288" s="143" t="str">
        <f>VLOOKUP(A288,NF!M:O,3,0)</f>
        <v>Escritório</v>
      </c>
    </row>
    <row r="289" spans="1:74" x14ac:dyDescent="0.25">
      <c r="A289" s="108" t="s">
        <v>669</v>
      </c>
      <c r="B289" s="12"/>
      <c r="C289" s="9"/>
      <c r="D289" s="25"/>
      <c r="E289" s="10" t="str">
        <f t="shared" si="238"/>
        <v>OutubroSEMANA 1Polaseal Plastific c/ 100</v>
      </c>
      <c r="F289" s="7">
        <f>SUMIF(NF!$A:$A,$E289,NF!$I:$I)</f>
        <v>0</v>
      </c>
      <c r="G289" s="6"/>
      <c r="H289" s="6"/>
      <c r="I289" s="6"/>
      <c r="J289" s="6"/>
      <c r="K289" s="6"/>
      <c r="L289" s="6"/>
      <c r="M289" s="6"/>
      <c r="N289" s="7">
        <f t="shared" si="331"/>
        <v>0</v>
      </c>
      <c r="O289" s="11">
        <f t="shared" si="240"/>
        <v>0</v>
      </c>
      <c r="P289" s="25"/>
      <c r="Q289" s="10" t="str">
        <f t="shared" si="241"/>
        <v>OutubroSEMANA 2Polaseal Plastific c/ 100</v>
      </c>
      <c r="R289" s="7">
        <f>SUMIF(NF!$A:$A,$Q289,NF!$I:$I)</f>
        <v>0</v>
      </c>
      <c r="S289" s="6"/>
      <c r="T289" s="6"/>
      <c r="U289" s="6"/>
      <c r="V289" s="6"/>
      <c r="W289" s="6"/>
      <c r="X289" s="6"/>
      <c r="Y289" s="6"/>
      <c r="Z289" s="7">
        <f t="shared" si="332"/>
        <v>0</v>
      </c>
      <c r="AA289" s="11">
        <f t="shared" si="243"/>
        <v>0</v>
      </c>
      <c r="AB289" s="25"/>
      <c r="AC289" s="10" t="str">
        <f t="shared" si="244"/>
        <v>OutubroSEMANA 3Polaseal Plastific c/ 100</v>
      </c>
      <c r="AD289" s="7">
        <f>SUMIF(NF!$A:$A,$AC289,NF!$I:$I)</f>
        <v>0</v>
      </c>
      <c r="AE289" s="6"/>
      <c r="AF289" s="6"/>
      <c r="AG289" s="6"/>
      <c r="AH289" s="6"/>
      <c r="AI289" s="6"/>
      <c r="AJ289" s="6"/>
      <c r="AK289" s="6"/>
      <c r="AL289" s="7">
        <f t="shared" si="333"/>
        <v>0</v>
      </c>
      <c r="AM289" s="11">
        <f t="shared" si="246"/>
        <v>0</v>
      </c>
      <c r="AN289" s="25"/>
      <c r="AO289" s="10" t="str">
        <f t="shared" si="247"/>
        <v>OutubroSEMANA 4Polaseal Plastific c/ 100</v>
      </c>
      <c r="AP289" s="7">
        <f>SUMIF(NF!$A:$A,$AO289,NF!$I:$I)</f>
        <v>0</v>
      </c>
      <c r="AQ289" s="6"/>
      <c r="AR289" s="6"/>
      <c r="AS289" s="6"/>
      <c r="AT289" s="6"/>
      <c r="AU289" s="6"/>
      <c r="AV289" s="6"/>
      <c r="AW289" s="6"/>
      <c r="AX289" s="7">
        <f t="shared" si="334"/>
        <v>0</v>
      </c>
      <c r="AY289" s="11">
        <f t="shared" si="249"/>
        <v>0</v>
      </c>
      <c r="AZ289" s="25"/>
      <c r="BA289" s="10" t="str">
        <f t="shared" si="250"/>
        <v>OutubroSEMANA 5Polaseal Plastific c/ 100</v>
      </c>
      <c r="BB289" s="7">
        <f>SUMIF(NF!$A:$A,$BA289,NF!$I:$I)</f>
        <v>0</v>
      </c>
      <c r="BC289" s="6"/>
      <c r="BD289" s="6"/>
      <c r="BE289" s="6"/>
      <c r="BF289" s="74"/>
      <c r="BG289" s="74"/>
      <c r="BH289" s="74"/>
      <c r="BI289" s="74"/>
      <c r="BJ289" s="74"/>
      <c r="BK289" s="7">
        <f t="shared" si="335"/>
        <v>0</v>
      </c>
      <c r="BL289" s="8">
        <f t="shared" si="252"/>
        <v>0</v>
      </c>
      <c r="BM289" s="51" t="str">
        <f>IFERROR(VLOOKUP(A289,NF!$M:$O,3,0),"")</f>
        <v>Escritório</v>
      </c>
      <c r="BN289" s="7">
        <f t="shared" si="253"/>
        <v>0</v>
      </c>
      <c r="BO289" s="8">
        <f t="array" ref="BO289">IFERROR(LARGE(IF(NF!$G$2:$G$3137='Mês atual'!A289,NF!$J$2:$J$3137),1),0)*BN289</f>
        <v>0</v>
      </c>
      <c r="BP289" s="50"/>
      <c r="BR289" s="147">
        <f t="array" ref="BR289">IFERROR(LARGE(IF(NF!$G$2:$G$3137='Mês atual'!A289,NF!$J$2:$J$3137),1),0)</f>
        <v>0</v>
      </c>
      <c r="BS289" s="143" t="str">
        <f>VLOOKUP(A289,NF!M:O,3,0)</f>
        <v>Escritório</v>
      </c>
    </row>
    <row r="290" spans="1:74" x14ac:dyDescent="0.25">
      <c r="A290" s="108" t="s">
        <v>799</v>
      </c>
      <c r="B290" s="12"/>
      <c r="C290" s="9"/>
      <c r="D290" s="25"/>
      <c r="E290" s="10" t="str">
        <f t="shared" si="238"/>
        <v>OutubroSEMANA 1Toner HP Amarelo</v>
      </c>
      <c r="F290" s="7">
        <f>SUMIF(NF!$A:$A,$E290,NF!$I:$I)</f>
        <v>0</v>
      </c>
      <c r="G290" s="6"/>
      <c r="H290" s="6"/>
      <c r="I290" s="6"/>
      <c r="J290" s="6"/>
      <c r="K290" s="6"/>
      <c r="L290" s="6"/>
      <c r="M290" s="6"/>
      <c r="N290" s="7">
        <f t="shared" si="331"/>
        <v>0</v>
      </c>
      <c r="O290" s="11">
        <f t="shared" si="240"/>
        <v>0</v>
      </c>
      <c r="P290" s="25"/>
      <c r="Q290" s="10" t="str">
        <f t="shared" si="241"/>
        <v>OutubroSEMANA 2Toner HP Amarelo</v>
      </c>
      <c r="R290" s="7">
        <f>SUMIF(NF!$A:$A,$Q290,NF!$I:$I)</f>
        <v>0</v>
      </c>
      <c r="S290" s="6"/>
      <c r="T290" s="6"/>
      <c r="U290" s="6"/>
      <c r="V290" s="6"/>
      <c r="W290" s="6"/>
      <c r="X290" s="6"/>
      <c r="Y290" s="6"/>
      <c r="Z290" s="7">
        <f t="shared" si="332"/>
        <v>0</v>
      </c>
      <c r="AA290" s="11">
        <f t="shared" si="243"/>
        <v>0</v>
      </c>
      <c r="AB290" s="25"/>
      <c r="AC290" s="10" t="str">
        <f t="shared" si="244"/>
        <v>OutubroSEMANA 3Toner HP Amarelo</v>
      </c>
      <c r="AD290" s="7">
        <f>SUMIF(NF!$A:$A,$AC290,NF!$I:$I)</f>
        <v>0</v>
      </c>
      <c r="AE290" s="6"/>
      <c r="AF290" s="6"/>
      <c r="AG290" s="6"/>
      <c r="AH290" s="6"/>
      <c r="AI290" s="6"/>
      <c r="AJ290" s="6"/>
      <c r="AK290" s="6"/>
      <c r="AL290" s="7">
        <f t="shared" si="333"/>
        <v>0</v>
      </c>
      <c r="AM290" s="11">
        <f t="shared" si="246"/>
        <v>0</v>
      </c>
      <c r="AN290" s="25"/>
      <c r="AO290" s="10" t="str">
        <f t="shared" si="247"/>
        <v>OutubroSEMANA 4Toner HP Amarelo</v>
      </c>
      <c r="AP290" s="7">
        <f>SUMIF(NF!$A:$A,$AO290,NF!$I:$I)</f>
        <v>0</v>
      </c>
      <c r="AQ290" s="6"/>
      <c r="AR290" s="6"/>
      <c r="AS290" s="6"/>
      <c r="AT290" s="6"/>
      <c r="AU290" s="6"/>
      <c r="AV290" s="6"/>
      <c r="AW290" s="6"/>
      <c r="AX290" s="7">
        <f t="shared" si="334"/>
        <v>0</v>
      </c>
      <c r="AY290" s="11">
        <f t="shared" si="249"/>
        <v>0</v>
      </c>
      <c r="AZ290" s="25"/>
      <c r="BA290" s="10" t="str">
        <f t="shared" si="250"/>
        <v>OutubroSEMANA 5Toner HP Amarelo</v>
      </c>
      <c r="BB290" s="7">
        <f>SUMIF(NF!$A:$A,$BA290,NF!$I:$I)</f>
        <v>0</v>
      </c>
      <c r="BC290" s="6"/>
      <c r="BD290" s="6"/>
      <c r="BE290" s="6"/>
      <c r="BF290" s="74"/>
      <c r="BG290" s="74"/>
      <c r="BH290" s="74"/>
      <c r="BI290" s="74"/>
      <c r="BJ290" s="74"/>
      <c r="BK290" s="7">
        <f t="shared" si="335"/>
        <v>0</v>
      </c>
      <c r="BL290" s="8">
        <f t="shared" si="252"/>
        <v>0</v>
      </c>
      <c r="BM290" s="51" t="str">
        <f>IFERROR(VLOOKUP(A290,NF!$M:$O,3,0),"")</f>
        <v>Escritório</v>
      </c>
      <c r="BN290" s="7">
        <f t="shared" si="253"/>
        <v>0</v>
      </c>
      <c r="BO290" s="8">
        <f t="array" ref="BO290">IFERROR(LARGE(IF(NF!$G$2:$G$3137='Mês atual'!A290,NF!$J$2:$J$3137),1),0)*BN290</f>
        <v>0</v>
      </c>
      <c r="BP290" s="50"/>
      <c r="BR290" s="147">
        <f t="array" ref="BR290">IFERROR(LARGE(IF(NF!$G$2:$G$3137='Mês atual'!A290,NF!$J$2:$J$3137),1),0)</f>
        <v>0</v>
      </c>
      <c r="BS290" s="143" t="str">
        <f>VLOOKUP(A290,NF!M:O,3,0)</f>
        <v>Escritório</v>
      </c>
    </row>
    <row r="291" spans="1:74" x14ac:dyDescent="0.25">
      <c r="A291" s="108" t="s">
        <v>800</v>
      </c>
      <c r="B291" s="12"/>
      <c r="C291" s="9"/>
      <c r="D291" s="25"/>
      <c r="E291" s="10" t="str">
        <f t="shared" si="238"/>
        <v>OutubroSEMANA 1Toner HP Ciano</v>
      </c>
      <c r="F291" s="7">
        <f>SUMIF(NF!$A:$A,$E291,NF!$I:$I)</f>
        <v>0</v>
      </c>
      <c r="G291" s="6"/>
      <c r="H291" s="6"/>
      <c r="I291" s="6"/>
      <c r="J291" s="6"/>
      <c r="K291" s="6"/>
      <c r="L291" s="6"/>
      <c r="M291" s="6"/>
      <c r="N291" s="7">
        <f t="shared" si="331"/>
        <v>0</v>
      </c>
      <c r="O291" s="11">
        <f t="shared" si="240"/>
        <v>0</v>
      </c>
      <c r="P291" s="25"/>
      <c r="Q291" s="10" t="str">
        <f t="shared" si="241"/>
        <v>OutubroSEMANA 2Toner HP Ciano</v>
      </c>
      <c r="R291" s="7">
        <f>SUMIF(NF!$A:$A,$Q291,NF!$I:$I)</f>
        <v>0</v>
      </c>
      <c r="S291" s="6"/>
      <c r="T291" s="6"/>
      <c r="U291" s="6"/>
      <c r="V291" s="6"/>
      <c r="W291" s="6"/>
      <c r="X291" s="6"/>
      <c r="Y291" s="6"/>
      <c r="Z291" s="7">
        <f t="shared" si="332"/>
        <v>0</v>
      </c>
      <c r="AA291" s="11">
        <f t="shared" si="243"/>
        <v>0</v>
      </c>
      <c r="AB291" s="25"/>
      <c r="AC291" s="10" t="str">
        <f t="shared" si="244"/>
        <v>OutubroSEMANA 3Toner HP Ciano</v>
      </c>
      <c r="AD291" s="7">
        <f>SUMIF(NF!$A:$A,$AC291,NF!$I:$I)</f>
        <v>0</v>
      </c>
      <c r="AE291" s="6"/>
      <c r="AF291" s="6"/>
      <c r="AG291" s="6"/>
      <c r="AH291" s="6"/>
      <c r="AI291" s="6"/>
      <c r="AJ291" s="6"/>
      <c r="AK291" s="6"/>
      <c r="AL291" s="7">
        <f t="shared" si="333"/>
        <v>0</v>
      </c>
      <c r="AM291" s="11">
        <f t="shared" si="246"/>
        <v>0</v>
      </c>
      <c r="AN291" s="25"/>
      <c r="AO291" s="10" t="str">
        <f t="shared" si="247"/>
        <v>OutubroSEMANA 4Toner HP Ciano</v>
      </c>
      <c r="AP291" s="7">
        <f>SUMIF(NF!$A:$A,$AO291,NF!$I:$I)</f>
        <v>0</v>
      </c>
      <c r="AQ291" s="6"/>
      <c r="AR291" s="6"/>
      <c r="AS291" s="6"/>
      <c r="AT291" s="6"/>
      <c r="AU291" s="6"/>
      <c r="AV291" s="6"/>
      <c r="AW291" s="6"/>
      <c r="AX291" s="7">
        <f t="shared" si="334"/>
        <v>0</v>
      </c>
      <c r="AY291" s="11">
        <f t="shared" si="249"/>
        <v>0</v>
      </c>
      <c r="AZ291" s="25"/>
      <c r="BA291" s="10" t="str">
        <f t="shared" si="250"/>
        <v>OutubroSEMANA 5Toner HP Ciano</v>
      </c>
      <c r="BB291" s="7">
        <f>SUMIF(NF!$A:$A,$BA291,NF!$I:$I)</f>
        <v>0</v>
      </c>
      <c r="BC291" s="6"/>
      <c r="BD291" s="6"/>
      <c r="BE291" s="6"/>
      <c r="BF291" s="74"/>
      <c r="BG291" s="74"/>
      <c r="BH291" s="74"/>
      <c r="BI291" s="74"/>
      <c r="BJ291" s="74"/>
      <c r="BK291" s="7">
        <f t="shared" si="335"/>
        <v>0</v>
      </c>
      <c r="BL291" s="8">
        <f t="shared" si="252"/>
        <v>0</v>
      </c>
      <c r="BM291" s="51" t="str">
        <f>IFERROR(VLOOKUP(A291,NF!$M:$O,3,0),"")</f>
        <v>Escritório</v>
      </c>
      <c r="BN291" s="7">
        <f t="shared" si="253"/>
        <v>0</v>
      </c>
      <c r="BO291" s="8">
        <f t="array" ref="BO291">IFERROR(LARGE(IF(NF!$G$2:$G$3137='Mês atual'!A291,NF!$J$2:$J$3137),1),0)*BN291</f>
        <v>0</v>
      </c>
      <c r="BP291" s="50"/>
      <c r="BR291" s="147">
        <f t="array" ref="BR291">IFERROR(LARGE(IF(NF!$G$2:$G$3137='Mês atual'!A291,NF!$J$2:$J$3137),1),0)</f>
        <v>0</v>
      </c>
      <c r="BS291" s="143" t="str">
        <f>VLOOKUP(A291,NF!M:O,3,0)</f>
        <v>Escritório</v>
      </c>
    </row>
    <row r="292" spans="1:74" x14ac:dyDescent="0.25">
      <c r="A292" s="108" t="s">
        <v>801</v>
      </c>
      <c r="B292" s="12"/>
      <c r="C292" s="9"/>
      <c r="D292" s="25"/>
      <c r="E292" s="10" t="str">
        <f t="shared" si="238"/>
        <v>OutubroSEMANA 1Toner HP Magenta</v>
      </c>
      <c r="F292" s="7">
        <f>SUMIF(NF!$A:$A,$E292,NF!$I:$I)</f>
        <v>0</v>
      </c>
      <c r="G292" s="6"/>
      <c r="H292" s="6"/>
      <c r="I292" s="6"/>
      <c r="J292" s="6"/>
      <c r="K292" s="6"/>
      <c r="L292" s="6"/>
      <c r="M292" s="6"/>
      <c r="N292" s="7">
        <f t="shared" si="331"/>
        <v>0</v>
      </c>
      <c r="O292" s="11">
        <f t="shared" si="240"/>
        <v>0</v>
      </c>
      <c r="P292" s="25"/>
      <c r="Q292" s="10" t="str">
        <f t="shared" si="241"/>
        <v>OutubroSEMANA 2Toner HP Magenta</v>
      </c>
      <c r="R292" s="7">
        <f>SUMIF(NF!$A:$A,$Q292,NF!$I:$I)</f>
        <v>0</v>
      </c>
      <c r="S292" s="6"/>
      <c r="T292" s="6"/>
      <c r="U292" s="6"/>
      <c r="V292" s="6"/>
      <c r="W292" s="6"/>
      <c r="X292" s="6"/>
      <c r="Y292" s="6"/>
      <c r="Z292" s="7">
        <f t="shared" si="332"/>
        <v>0</v>
      </c>
      <c r="AA292" s="11">
        <f t="shared" si="243"/>
        <v>0</v>
      </c>
      <c r="AB292" s="25"/>
      <c r="AC292" s="10" t="str">
        <f t="shared" si="244"/>
        <v>OutubroSEMANA 3Toner HP Magenta</v>
      </c>
      <c r="AD292" s="7">
        <f>SUMIF(NF!$A:$A,$AC292,NF!$I:$I)</f>
        <v>0</v>
      </c>
      <c r="AE292" s="6"/>
      <c r="AF292" s="6"/>
      <c r="AG292" s="6"/>
      <c r="AH292" s="6"/>
      <c r="AI292" s="6"/>
      <c r="AJ292" s="6"/>
      <c r="AK292" s="6"/>
      <c r="AL292" s="7">
        <f t="shared" si="333"/>
        <v>0</v>
      </c>
      <c r="AM292" s="11">
        <f t="shared" si="246"/>
        <v>0</v>
      </c>
      <c r="AN292" s="25"/>
      <c r="AO292" s="10" t="str">
        <f t="shared" si="247"/>
        <v>OutubroSEMANA 4Toner HP Magenta</v>
      </c>
      <c r="AP292" s="7">
        <f>SUMIF(NF!$A:$A,$AO292,NF!$I:$I)</f>
        <v>0</v>
      </c>
      <c r="AQ292" s="6"/>
      <c r="AR292" s="6"/>
      <c r="AS292" s="6"/>
      <c r="AT292" s="6"/>
      <c r="AU292" s="6"/>
      <c r="AV292" s="6"/>
      <c r="AW292" s="6"/>
      <c r="AX292" s="7">
        <f t="shared" si="334"/>
        <v>0</v>
      </c>
      <c r="AY292" s="11">
        <f t="shared" si="249"/>
        <v>0</v>
      </c>
      <c r="AZ292" s="25"/>
      <c r="BA292" s="10" t="str">
        <f t="shared" si="250"/>
        <v>OutubroSEMANA 5Toner HP Magenta</v>
      </c>
      <c r="BB292" s="7">
        <f>SUMIF(NF!$A:$A,$BA292,NF!$I:$I)</f>
        <v>0</v>
      </c>
      <c r="BC292" s="6"/>
      <c r="BD292" s="6"/>
      <c r="BE292" s="6"/>
      <c r="BF292" s="74"/>
      <c r="BG292" s="74"/>
      <c r="BH292" s="74"/>
      <c r="BI292" s="74"/>
      <c r="BJ292" s="74"/>
      <c r="BK292" s="7">
        <f t="shared" si="335"/>
        <v>0</v>
      </c>
      <c r="BL292" s="8">
        <f t="shared" si="252"/>
        <v>0</v>
      </c>
      <c r="BM292" s="51" t="str">
        <f>IFERROR(VLOOKUP(A292,NF!$M:$O,3,0),"")</f>
        <v>Escritório</v>
      </c>
      <c r="BN292" s="7">
        <f t="shared" si="253"/>
        <v>0</v>
      </c>
      <c r="BO292" s="8">
        <f t="array" ref="BO292">IFERROR(LARGE(IF(NF!$G$2:$G$3137='Mês atual'!A292,NF!$J$2:$J$3137),1),0)*BN292</f>
        <v>0</v>
      </c>
      <c r="BP292" s="50"/>
      <c r="BR292" s="147">
        <f t="array" ref="BR292">IFERROR(LARGE(IF(NF!$G$2:$G$3137='Mês atual'!A292,NF!$J$2:$J$3137),1),0)</f>
        <v>0</v>
      </c>
      <c r="BS292" s="143" t="str">
        <f>VLOOKUP(A292,NF!M:O,3,0)</f>
        <v>Escritório</v>
      </c>
    </row>
    <row r="293" spans="1:74" ht="15.75" thickBot="1" x14ac:dyDescent="0.3">
      <c r="A293" s="108" t="s">
        <v>802</v>
      </c>
      <c r="B293" s="12"/>
      <c r="C293" s="9"/>
      <c r="D293" s="25"/>
      <c r="E293" s="10" t="str">
        <f t="shared" si="238"/>
        <v>OutubroSEMANA 1Toner HP Preto</v>
      </c>
      <c r="F293" s="7">
        <f>SUMIF(NF!$A:$A,$E293,NF!$I:$I)</f>
        <v>0</v>
      </c>
      <c r="G293" s="6"/>
      <c r="H293" s="6"/>
      <c r="I293" s="6"/>
      <c r="J293" s="6"/>
      <c r="K293" s="6"/>
      <c r="L293" s="6"/>
      <c r="M293" s="6"/>
      <c r="N293" s="7">
        <f t="shared" si="331"/>
        <v>0</v>
      </c>
      <c r="O293" s="11">
        <f t="shared" si="240"/>
        <v>0</v>
      </c>
      <c r="P293" s="25"/>
      <c r="Q293" s="10" t="str">
        <f t="shared" si="241"/>
        <v>OutubroSEMANA 2Toner HP Preto</v>
      </c>
      <c r="R293" s="7">
        <f>SUMIF(NF!$A:$A,$Q293,NF!$I:$I)</f>
        <v>2</v>
      </c>
      <c r="S293" s="6"/>
      <c r="T293" s="6"/>
      <c r="U293" s="6">
        <v>2</v>
      </c>
      <c r="V293" s="6"/>
      <c r="W293" s="6"/>
      <c r="X293" s="6"/>
      <c r="Y293" s="6"/>
      <c r="Z293" s="7">
        <f t="shared" si="332"/>
        <v>2</v>
      </c>
      <c r="AA293" s="11">
        <f t="shared" si="243"/>
        <v>0</v>
      </c>
      <c r="AB293" s="25"/>
      <c r="AC293" s="10" t="str">
        <f t="shared" si="244"/>
        <v>OutubroSEMANA 3Toner HP Preto</v>
      </c>
      <c r="AD293" s="7">
        <f>SUMIF(NF!$A:$A,$AC293,NF!$I:$I)</f>
        <v>0</v>
      </c>
      <c r="AE293" s="6"/>
      <c r="AF293" s="6"/>
      <c r="AG293" s="6"/>
      <c r="AH293" s="6"/>
      <c r="AI293" s="6"/>
      <c r="AJ293" s="6"/>
      <c r="AK293" s="6"/>
      <c r="AL293" s="7">
        <f t="shared" si="333"/>
        <v>0</v>
      </c>
      <c r="AM293" s="11">
        <f t="shared" si="246"/>
        <v>0</v>
      </c>
      <c r="AN293" s="25"/>
      <c r="AO293" s="10" t="str">
        <f t="shared" si="247"/>
        <v>OutubroSEMANA 4Toner HP Preto</v>
      </c>
      <c r="AP293" s="7">
        <f>SUMIF(NF!$A:$A,$AO293,NF!$I:$I)</f>
        <v>0</v>
      </c>
      <c r="AQ293" s="6"/>
      <c r="AR293" s="6"/>
      <c r="AS293" s="6"/>
      <c r="AT293" s="6"/>
      <c r="AU293" s="6"/>
      <c r="AV293" s="6"/>
      <c r="AW293" s="6"/>
      <c r="AX293" s="7">
        <f t="shared" si="334"/>
        <v>0</v>
      </c>
      <c r="AY293" s="11">
        <f t="shared" si="249"/>
        <v>0</v>
      </c>
      <c r="AZ293" s="25"/>
      <c r="BA293" s="10" t="str">
        <f t="shared" si="250"/>
        <v>OutubroSEMANA 5Toner HP Preto</v>
      </c>
      <c r="BB293" s="7">
        <f>SUMIF(NF!$A:$A,$BA293,NF!$I:$I)</f>
        <v>0</v>
      </c>
      <c r="BC293" s="6"/>
      <c r="BD293" s="6"/>
      <c r="BE293" s="6"/>
      <c r="BF293" s="74"/>
      <c r="BG293" s="74"/>
      <c r="BH293" s="74"/>
      <c r="BI293" s="74"/>
      <c r="BJ293" s="74"/>
      <c r="BK293" s="7">
        <f t="shared" si="335"/>
        <v>0</v>
      </c>
      <c r="BL293" s="8">
        <f t="shared" si="252"/>
        <v>0</v>
      </c>
      <c r="BM293" s="51" t="str">
        <f>IFERROR(VLOOKUP(A293,NF!$M:$O,3,0),"")</f>
        <v>Escritório</v>
      </c>
      <c r="BN293" s="7">
        <f t="shared" si="253"/>
        <v>2</v>
      </c>
      <c r="BO293" s="8">
        <f t="array" ref="BO293">IFERROR(LARGE(IF(NF!$G$2:$G$3137='Mês atual'!A293,NF!$J$2:$J$3137),1),0)*BN293</f>
        <v>785.74</v>
      </c>
      <c r="BP293" s="50"/>
      <c r="BR293" s="147">
        <f t="array" ref="BR293">IFERROR(LARGE(IF(NF!$G$2:$G$3137='Mês atual'!A293,NF!$J$2:$J$3137),1),0)</f>
        <v>392.87</v>
      </c>
      <c r="BS293" s="143" t="str">
        <f>VLOOKUP(A293,NF!M:O,3,0)</f>
        <v>Escritório</v>
      </c>
    </row>
    <row r="294" spans="1:74" s="16" customFormat="1" ht="30" customHeight="1" thickBot="1" x14ac:dyDescent="0.3">
      <c r="A294" s="139" t="s">
        <v>923</v>
      </c>
      <c r="B294" s="130"/>
      <c r="C294" s="131"/>
      <c r="D294" s="132"/>
      <c r="E294" s="133"/>
      <c r="F294" s="134"/>
      <c r="G294" s="133"/>
      <c r="H294" s="133"/>
      <c r="I294" s="133"/>
      <c r="J294" s="133"/>
      <c r="K294" s="133"/>
      <c r="L294" s="133"/>
      <c r="M294" s="133"/>
      <c r="N294" s="134"/>
      <c r="O294" s="134"/>
      <c r="P294" s="132"/>
      <c r="Q294" s="133"/>
      <c r="R294" s="134"/>
      <c r="S294" s="133"/>
      <c r="T294" s="133"/>
      <c r="U294" s="133"/>
      <c r="V294" s="133"/>
      <c r="W294" s="133"/>
      <c r="X294" s="133"/>
      <c r="Y294" s="133"/>
      <c r="Z294" s="134"/>
      <c r="AA294" s="134"/>
      <c r="AB294" s="132"/>
      <c r="AC294" s="133"/>
      <c r="AD294" s="134"/>
      <c r="AE294" s="133"/>
      <c r="AF294" s="133"/>
      <c r="AG294" s="133"/>
      <c r="AH294" s="133"/>
      <c r="AI294" s="133"/>
      <c r="AJ294" s="133"/>
      <c r="AK294" s="133"/>
      <c r="AL294" s="134"/>
      <c r="AM294" s="134"/>
      <c r="AN294" s="132"/>
      <c r="AO294" s="133"/>
      <c r="AP294" s="134"/>
      <c r="AQ294" s="133"/>
      <c r="AR294" s="133"/>
      <c r="AS294" s="133"/>
      <c r="AT294" s="133"/>
      <c r="AU294" s="133"/>
      <c r="AV294" s="133"/>
      <c r="AW294" s="133"/>
      <c r="AX294" s="134"/>
      <c r="AY294" s="134"/>
      <c r="AZ294" s="132"/>
      <c r="BA294" s="133"/>
      <c r="BB294" s="134"/>
      <c r="BC294" s="133"/>
      <c r="BD294" s="133"/>
      <c r="BE294" s="133"/>
      <c r="BF294" s="135"/>
      <c r="BG294" s="135"/>
      <c r="BH294" s="135"/>
      <c r="BI294" s="135"/>
      <c r="BJ294" s="135"/>
      <c r="BK294" s="134"/>
      <c r="BL294" s="134"/>
      <c r="BM294" s="136"/>
      <c r="BN294" s="137"/>
      <c r="BO294" s="137"/>
      <c r="BP294" s="138"/>
      <c r="BQ294" s="145"/>
      <c r="BR294" s="145"/>
      <c r="BS294" s="145"/>
      <c r="BT294" s="146"/>
      <c r="BU294" s="146"/>
      <c r="BV294" s="146"/>
    </row>
    <row r="295" spans="1:74" x14ac:dyDescent="0.25">
      <c r="A295" s="108" t="s">
        <v>1012</v>
      </c>
      <c r="B295" s="12"/>
      <c r="C295" s="9"/>
      <c r="D295" s="25"/>
      <c r="E295" s="10" t="str">
        <f t="shared" ref="E295:E387" si="347">CONCATENATE($C$2,$F$1,$A295)</f>
        <v>OutubroSEMANA 1Abacate Org. Feirinha</v>
      </c>
      <c r="F295" s="7">
        <f>SUMIF(NF!$A:$A,$E295,NF!$I:$I)</f>
        <v>0</v>
      </c>
      <c r="G295" s="6"/>
      <c r="H295" s="6"/>
      <c r="I295" s="6"/>
      <c r="J295" s="6"/>
      <c r="K295" s="6"/>
      <c r="L295" s="6"/>
      <c r="M295" s="6"/>
      <c r="N295" s="7">
        <f t="shared" ref="N295" si="348">SUM(G295:M295)</f>
        <v>0</v>
      </c>
      <c r="O295" s="11">
        <f t="shared" ref="O295" si="349">F295+C295-N295</f>
        <v>0</v>
      </c>
      <c r="P295" s="25"/>
      <c r="Q295" s="10" t="str">
        <f t="shared" ref="Q295:Q387" si="350">CONCATENATE($C$2,$R$1,$A295)</f>
        <v>OutubroSEMANA 2Abacate Org. Feirinha</v>
      </c>
      <c r="R295" s="7">
        <f>SUMIF(NF!$A:$A,$Q295,NF!$I:$I)</f>
        <v>0</v>
      </c>
      <c r="S295" s="6"/>
      <c r="T295" s="6"/>
      <c r="U295" s="6"/>
      <c r="V295" s="6"/>
      <c r="W295" s="6"/>
      <c r="X295" s="6"/>
      <c r="Y295" s="6"/>
      <c r="Z295" s="7">
        <f t="shared" ref="Z295" si="351">SUM(S295:Y295)</f>
        <v>0</v>
      </c>
      <c r="AA295" s="11">
        <f t="shared" ref="AA295" si="352">R295+O295-Z295</f>
        <v>0</v>
      </c>
      <c r="AB295" s="25"/>
      <c r="AC295" s="10" t="str">
        <f t="shared" ref="AC295:AC387" si="353">CONCATENATE($C$2,$AD$1,$A295)</f>
        <v>OutubroSEMANA 3Abacate Org. Feirinha</v>
      </c>
      <c r="AD295" s="7">
        <f>SUMIF(NF!$A:$A,$AC295,NF!$I:$I)</f>
        <v>0</v>
      </c>
      <c r="AE295" s="6"/>
      <c r="AF295" s="6"/>
      <c r="AG295" s="6"/>
      <c r="AH295" s="6"/>
      <c r="AI295" s="6"/>
      <c r="AJ295" s="6"/>
      <c r="AK295" s="6"/>
      <c r="AL295" s="7">
        <f t="shared" ref="AL295" si="354">SUM(AE295:AK295)</f>
        <v>0</v>
      </c>
      <c r="AM295" s="11">
        <f t="shared" ref="AM295" si="355">AD295+AA295-AL295</f>
        <v>0</v>
      </c>
      <c r="AN295" s="25"/>
      <c r="AO295" s="10" t="str">
        <f t="shared" ref="AO295:AO387" si="356">CONCATENATE($C$2,$AP$1,$A295)</f>
        <v>OutubroSEMANA 4Abacate Org. Feirinha</v>
      </c>
      <c r="AP295" s="7">
        <f>SUMIF(NF!$A:$A,$AO295,NF!$I:$I)</f>
        <v>0</v>
      </c>
      <c r="AQ295" s="6"/>
      <c r="AR295" s="6"/>
      <c r="AS295" s="6"/>
      <c r="AT295" s="6"/>
      <c r="AU295" s="6"/>
      <c r="AV295" s="6"/>
      <c r="AW295" s="6"/>
      <c r="AX295" s="7">
        <f t="shared" ref="AX295" si="357">SUM(AQ295:AW295)</f>
        <v>0</v>
      </c>
      <c r="AY295" s="11">
        <f t="shared" ref="AY295" si="358">AP295+AM295-AX295</f>
        <v>0</v>
      </c>
      <c r="AZ295" s="25"/>
      <c r="BA295" s="10" t="str">
        <f t="shared" ref="BA295:BA387" si="359">CONCATENATE($C$2,$BB$1,$A295)</f>
        <v>OutubroSEMANA 5Abacate Org. Feirinha</v>
      </c>
      <c r="BB295" s="7">
        <f>SUMIF(NF!$A:$A,$BA295,NF!$I:$I)</f>
        <v>0</v>
      </c>
      <c r="BC295" s="6"/>
      <c r="BD295" s="6"/>
      <c r="BE295" s="6"/>
      <c r="BF295" s="74"/>
      <c r="BG295" s="74"/>
      <c r="BH295" s="74"/>
      <c r="BI295" s="74"/>
      <c r="BJ295" s="74"/>
      <c r="BK295" s="7">
        <f t="shared" ref="BK295" si="360">SUM(BC295:BJ295)</f>
        <v>0</v>
      </c>
      <c r="BL295" s="8">
        <f t="shared" ref="BL295" si="361">BB295+AY295-BK295</f>
        <v>0</v>
      </c>
      <c r="BM295" s="51" t="str">
        <f>IFERROR(VLOOKUP(A295,NF!$M:$O,3,0),"")</f>
        <v>Feirinha</v>
      </c>
      <c r="BN295" s="7">
        <f t="shared" ref="BN295" si="362">SUM(N295,Z295,AL295,AX295,BK295)</f>
        <v>0</v>
      </c>
      <c r="BO295" s="8">
        <f t="array" ref="BO295">IFERROR(LARGE(IF(NF!$G$2:$G$3137='Mês atual'!A295,NF!$J$2:$J$3137),1),0)*BN295</f>
        <v>0</v>
      </c>
      <c r="BP295" s="50"/>
      <c r="BR295" s="147">
        <f t="array" ref="BR295">IFERROR(LARGE(IF(NF!$G$2:$G$3137='Mês atual'!A295,NF!$J$2:$J$3137),1),0)</f>
        <v>0</v>
      </c>
      <c r="BS295" s="143" t="str">
        <f>VLOOKUP(A295,NF!M:O,3,0)</f>
        <v>Feirinha</v>
      </c>
    </row>
    <row r="296" spans="1:74" x14ac:dyDescent="0.25">
      <c r="A296" s="108" t="s">
        <v>984</v>
      </c>
      <c r="B296" s="12"/>
      <c r="C296" s="9"/>
      <c r="D296" s="25"/>
      <c r="E296" s="10" t="str">
        <f t="shared" si="347"/>
        <v>OutubroSEMANA 1Abobrinha Org. Feirinha</v>
      </c>
      <c r="F296" s="7">
        <f>SUMIF(NF!$A:$A,$E296,NF!$I:$I)</f>
        <v>1.6120000000000001</v>
      </c>
      <c r="G296" s="6"/>
      <c r="H296" s="6"/>
      <c r="I296" s="6"/>
      <c r="J296" s="6"/>
      <c r="K296" s="6">
        <v>1.6120000000000001</v>
      </c>
      <c r="L296" s="6"/>
      <c r="M296" s="6"/>
      <c r="N296" s="7">
        <f t="shared" ref="N296" si="363">SUM(G296:M296)</f>
        <v>1.6120000000000001</v>
      </c>
      <c r="O296" s="11">
        <f t="shared" ref="O296:O370" si="364">F296+C296-N296</f>
        <v>0</v>
      </c>
      <c r="P296" s="25"/>
      <c r="Q296" s="10" t="str">
        <f t="shared" si="350"/>
        <v>OutubroSEMANA 2Abobrinha Org. Feirinha</v>
      </c>
      <c r="R296" s="7">
        <f>SUMIF(NF!$A:$A,$Q296,NF!$I:$I)</f>
        <v>1.696</v>
      </c>
      <c r="S296" s="6"/>
      <c r="T296" s="6"/>
      <c r="U296" s="6"/>
      <c r="V296" s="6"/>
      <c r="W296" s="6"/>
      <c r="X296" s="6"/>
      <c r="Y296" s="6">
        <v>1.696</v>
      </c>
      <c r="Z296" s="7">
        <f t="shared" ref="Z296" si="365">SUM(S296:Y296)</f>
        <v>1.696</v>
      </c>
      <c r="AA296" s="11">
        <f t="shared" ref="AA296:AA370" si="366">R296+O296-Z296</f>
        <v>0</v>
      </c>
      <c r="AB296" s="25"/>
      <c r="AC296" s="10" t="str">
        <f t="shared" si="353"/>
        <v>OutubroSEMANA 3Abobrinha Org. Feirinha</v>
      </c>
      <c r="AD296" s="7">
        <f>SUMIF(NF!$A:$A,$AC296,NF!$I:$I)</f>
        <v>1.7</v>
      </c>
      <c r="AE296" s="6"/>
      <c r="AF296" s="6"/>
      <c r="AG296" s="6"/>
      <c r="AH296" s="6"/>
      <c r="AI296" s="6">
        <v>1.7</v>
      </c>
      <c r="AJ296" s="6"/>
      <c r="AK296" s="6"/>
      <c r="AL296" s="7">
        <f t="shared" ref="AL296" si="367">SUM(AE296:AK296)</f>
        <v>1.7</v>
      </c>
      <c r="AM296" s="11">
        <f t="shared" ref="AM296:AM370" si="368">AD296+AA296-AL296</f>
        <v>0</v>
      </c>
      <c r="AN296" s="25"/>
      <c r="AO296" s="10" t="str">
        <f t="shared" si="356"/>
        <v>OutubroSEMANA 4Abobrinha Org. Feirinha</v>
      </c>
      <c r="AP296" s="7">
        <f>SUMIF(NF!$A:$A,$AO296,NF!$I:$I)</f>
        <v>1.5</v>
      </c>
      <c r="AQ296" s="6"/>
      <c r="AR296" s="6"/>
      <c r="AS296" s="6"/>
      <c r="AT296" s="6"/>
      <c r="AU296" s="6"/>
      <c r="AV296" s="6"/>
      <c r="AW296" s="6"/>
      <c r="AX296" s="7">
        <f t="shared" ref="AX296" si="369">SUM(AQ296:AW296)</f>
        <v>0</v>
      </c>
      <c r="AY296" s="11">
        <f t="shared" ref="AY296:AY370" si="370">AP296+AM296-AX296</f>
        <v>1.5</v>
      </c>
      <c r="AZ296" s="25"/>
      <c r="BA296" s="10" t="str">
        <f t="shared" si="359"/>
        <v>OutubroSEMANA 5Abobrinha Org. Feirinha</v>
      </c>
      <c r="BB296" s="7">
        <f>SUMIF(NF!$A:$A,$BA296,NF!$I:$I)</f>
        <v>0</v>
      </c>
      <c r="BC296" s="6">
        <v>1.5</v>
      </c>
      <c r="BD296" s="6"/>
      <c r="BE296" s="6"/>
      <c r="BF296" s="74"/>
      <c r="BG296" s="74"/>
      <c r="BH296" s="74"/>
      <c r="BI296" s="74"/>
      <c r="BJ296" s="74"/>
      <c r="BK296" s="7">
        <f t="shared" ref="BK296" si="371">SUM(BC296:BJ296)</f>
        <v>1.5</v>
      </c>
      <c r="BL296" s="8">
        <f t="shared" ref="BL296:BL370" si="372">BB296+AY296-BK296</f>
        <v>0</v>
      </c>
      <c r="BM296" s="51" t="str">
        <f>IFERROR(VLOOKUP(A296,NF!$M:$O,3,0),"")</f>
        <v>Feirinha</v>
      </c>
      <c r="BN296" s="7">
        <f t="shared" ref="BN296:BN370" si="373">SUM(N296,Z296,AL296,AX296,BK296)</f>
        <v>6.508</v>
      </c>
      <c r="BO296" s="8">
        <f t="array" ref="BO296">IFERROR(LARGE(IF(NF!$G$2:$G$3137='Mês atual'!A296,NF!$J$2:$J$3137),1),0)*BN296</f>
        <v>51.087799999999994</v>
      </c>
      <c r="BP296" s="50"/>
      <c r="BR296" s="147">
        <f t="array" ref="BR296">IFERROR(LARGE(IF(NF!$G$2:$G$3137='Mês atual'!A296,NF!$J$2:$J$3137),1),0)</f>
        <v>7.85</v>
      </c>
      <c r="BS296" s="143" t="str">
        <f>VLOOKUP(A296,NF!M:O,3,0)</f>
        <v>Feirinha</v>
      </c>
    </row>
    <row r="297" spans="1:74" x14ac:dyDescent="0.25">
      <c r="A297" s="108" t="s">
        <v>879</v>
      </c>
      <c r="B297" s="12"/>
      <c r="C297" s="9"/>
      <c r="D297" s="25"/>
      <c r="E297" s="10" t="str">
        <f t="shared" si="347"/>
        <v>OutubroSEMANA 1Alface Americana Org. Feirinha</v>
      </c>
      <c r="F297" s="7">
        <f>SUMIF(NF!$A:$A,$E297,NF!$I:$I)</f>
        <v>1.78</v>
      </c>
      <c r="G297" s="6"/>
      <c r="H297" s="6"/>
      <c r="I297" s="6"/>
      <c r="J297" s="6"/>
      <c r="K297" s="6">
        <v>1.78</v>
      </c>
      <c r="L297" s="6"/>
      <c r="M297" s="6"/>
      <c r="N297" s="7">
        <f t="shared" ref="N297:N303" si="374">SUM(G297:M297)</f>
        <v>1.78</v>
      </c>
      <c r="O297" s="11">
        <f t="shared" si="364"/>
        <v>0</v>
      </c>
      <c r="P297" s="25"/>
      <c r="Q297" s="10" t="str">
        <f t="shared" si="350"/>
        <v>OutubroSEMANA 2Alface Americana Org. Feirinha</v>
      </c>
      <c r="R297" s="7">
        <f>SUMIF(NF!$A:$A,$Q297,NF!$I:$I)</f>
        <v>1.78</v>
      </c>
      <c r="S297" s="6"/>
      <c r="T297" s="6"/>
      <c r="U297" s="6"/>
      <c r="V297" s="6"/>
      <c r="W297" s="6"/>
      <c r="X297" s="6"/>
      <c r="Y297" s="6">
        <v>1.78</v>
      </c>
      <c r="Z297" s="7">
        <f t="shared" ref="Z297:Z303" si="375">SUM(S297:Y297)</f>
        <v>1.78</v>
      </c>
      <c r="AA297" s="11">
        <f t="shared" si="366"/>
        <v>0</v>
      </c>
      <c r="AB297" s="25"/>
      <c r="AC297" s="10" t="str">
        <f t="shared" si="353"/>
        <v>OutubroSEMANA 3Alface Americana Org. Feirinha</v>
      </c>
      <c r="AD297" s="7">
        <f>SUMIF(NF!$A:$A,$AC297,NF!$I:$I)</f>
        <v>1.72</v>
      </c>
      <c r="AE297" s="6"/>
      <c r="AF297" s="6"/>
      <c r="AG297" s="6"/>
      <c r="AH297" s="6"/>
      <c r="AI297" s="6">
        <v>1.72</v>
      </c>
      <c r="AJ297" s="6"/>
      <c r="AK297" s="6"/>
      <c r="AL297" s="7">
        <f t="shared" ref="AL297:AL303" si="376">SUM(AE297:AK297)</f>
        <v>1.72</v>
      </c>
      <c r="AM297" s="11">
        <f t="shared" si="368"/>
        <v>0</v>
      </c>
      <c r="AN297" s="25"/>
      <c r="AO297" s="10" t="str">
        <f t="shared" si="356"/>
        <v>OutubroSEMANA 4Alface Americana Org. Feirinha</v>
      </c>
      <c r="AP297" s="7">
        <f>SUMIF(NF!$A:$A,$AO297,NF!$I:$I)</f>
        <v>0</v>
      </c>
      <c r="AQ297" s="6"/>
      <c r="AR297" s="6"/>
      <c r="AS297" s="6"/>
      <c r="AT297" s="6"/>
      <c r="AU297" s="6"/>
      <c r="AV297" s="6"/>
      <c r="AW297" s="6"/>
      <c r="AX297" s="7">
        <f t="shared" ref="AX297:AX303" si="377">SUM(AQ297:AW297)</f>
        <v>0</v>
      </c>
      <c r="AY297" s="11">
        <f t="shared" si="370"/>
        <v>0</v>
      </c>
      <c r="AZ297" s="25"/>
      <c r="BA297" s="10" t="str">
        <f t="shared" si="359"/>
        <v>OutubroSEMANA 5Alface Americana Org. Feirinha</v>
      </c>
      <c r="BB297" s="7">
        <f>SUMIF(NF!$A:$A,$BA297,NF!$I:$I)</f>
        <v>0</v>
      </c>
      <c r="BC297" s="6"/>
      <c r="BD297" s="6"/>
      <c r="BE297" s="6"/>
      <c r="BF297" s="74"/>
      <c r="BG297" s="74"/>
      <c r="BH297" s="74"/>
      <c r="BI297" s="74"/>
      <c r="BJ297" s="74"/>
      <c r="BK297" s="7">
        <f t="shared" ref="BK297:BK303" si="378">SUM(BC297:BJ297)</f>
        <v>0</v>
      </c>
      <c r="BL297" s="8">
        <f t="shared" si="372"/>
        <v>0</v>
      </c>
      <c r="BM297" s="51" t="str">
        <f>IFERROR(VLOOKUP(A297,NF!$M:$O,3,0),"")</f>
        <v>Feirinha</v>
      </c>
      <c r="BN297" s="7">
        <f t="shared" si="373"/>
        <v>5.28</v>
      </c>
      <c r="BO297" s="8">
        <f t="array" ref="BO297">IFERROR(LARGE(IF(NF!$G$2:$G$3137='Mês atual'!A297,NF!$J$2:$J$3137),1),0)*BN297</f>
        <v>45.494057724957557</v>
      </c>
      <c r="BP297" s="50"/>
      <c r="BR297" s="147">
        <f t="array" ref="BR297">IFERROR(LARGE(IF(NF!$G$2:$G$3137='Mês atual'!A297,NF!$J$2:$J$3137),1),0)</f>
        <v>8.6162988115449917</v>
      </c>
      <c r="BS297" s="143" t="str">
        <f>VLOOKUP(A297,NF!M:O,3,0)</f>
        <v>Feirinha</v>
      </c>
    </row>
    <row r="298" spans="1:74" x14ac:dyDescent="0.25">
      <c r="A298" s="108" t="s">
        <v>880</v>
      </c>
      <c r="B298" s="12"/>
      <c r="C298" s="9"/>
      <c r="D298" s="25"/>
      <c r="E298" s="10" t="str">
        <f t="shared" si="347"/>
        <v>OutubroSEMANA 1Alface Crespa Org. Feirinha</v>
      </c>
      <c r="F298" s="7">
        <f>SUMIF(NF!$A:$A,$E298,NF!$I:$I)</f>
        <v>1.1200000000000001</v>
      </c>
      <c r="G298" s="6"/>
      <c r="H298" s="6"/>
      <c r="I298" s="6"/>
      <c r="J298" s="6"/>
      <c r="K298" s="6">
        <v>1.1200000000000001</v>
      </c>
      <c r="L298" s="6"/>
      <c r="M298" s="6"/>
      <c r="N298" s="7">
        <f t="shared" si="374"/>
        <v>1.1200000000000001</v>
      </c>
      <c r="O298" s="11">
        <f t="shared" si="364"/>
        <v>0</v>
      </c>
      <c r="P298" s="25"/>
      <c r="Q298" s="10" t="str">
        <f t="shared" si="350"/>
        <v>OutubroSEMANA 2Alface Crespa Org. Feirinha</v>
      </c>
      <c r="R298" s="7">
        <f>SUMIF(NF!$A:$A,$Q298,NF!$I:$I)</f>
        <v>1.28</v>
      </c>
      <c r="S298" s="6"/>
      <c r="T298" s="6"/>
      <c r="U298" s="6"/>
      <c r="V298" s="6"/>
      <c r="W298" s="6"/>
      <c r="X298" s="6"/>
      <c r="Y298" s="6">
        <v>1.28</v>
      </c>
      <c r="Z298" s="7">
        <f t="shared" si="375"/>
        <v>1.28</v>
      </c>
      <c r="AA298" s="11">
        <f t="shared" si="366"/>
        <v>0</v>
      </c>
      <c r="AB298" s="25"/>
      <c r="AC298" s="10" t="str">
        <f t="shared" si="353"/>
        <v>OutubroSEMANA 3Alface Crespa Org. Feirinha</v>
      </c>
      <c r="AD298" s="7">
        <f>SUMIF(NF!$A:$A,$AC298,NF!$I:$I)</f>
        <v>1.34</v>
      </c>
      <c r="AE298" s="6"/>
      <c r="AF298" s="6"/>
      <c r="AG298" s="6"/>
      <c r="AH298" s="6"/>
      <c r="AI298" s="6">
        <v>1.34</v>
      </c>
      <c r="AJ298" s="6"/>
      <c r="AK298" s="6"/>
      <c r="AL298" s="7">
        <f t="shared" si="376"/>
        <v>1.34</v>
      </c>
      <c r="AM298" s="11">
        <f t="shared" si="368"/>
        <v>0</v>
      </c>
      <c r="AN298" s="25"/>
      <c r="AO298" s="10" t="str">
        <f t="shared" si="356"/>
        <v>OutubroSEMANA 4Alface Crespa Org. Feirinha</v>
      </c>
      <c r="AP298" s="7">
        <f>SUMIF(NF!$A:$A,$AO298,NF!$I:$I)</f>
        <v>1.08</v>
      </c>
      <c r="AQ298" s="6"/>
      <c r="AR298" s="6"/>
      <c r="AS298" s="6"/>
      <c r="AT298" s="6"/>
      <c r="AU298" s="6"/>
      <c r="AV298" s="6"/>
      <c r="AW298" s="6"/>
      <c r="AX298" s="7">
        <f t="shared" si="377"/>
        <v>0</v>
      </c>
      <c r="AY298" s="11">
        <f t="shared" si="370"/>
        <v>1.08</v>
      </c>
      <c r="AZ298" s="25"/>
      <c r="BA298" s="10" t="str">
        <f t="shared" si="359"/>
        <v>OutubroSEMANA 5Alface Crespa Org. Feirinha</v>
      </c>
      <c r="BB298" s="7">
        <f>SUMIF(NF!$A:$A,$BA298,NF!$I:$I)</f>
        <v>0</v>
      </c>
      <c r="BC298" s="6">
        <v>1.08</v>
      </c>
      <c r="BD298" s="6"/>
      <c r="BE298" s="6"/>
      <c r="BF298" s="74"/>
      <c r="BG298" s="74"/>
      <c r="BH298" s="74"/>
      <c r="BI298" s="74"/>
      <c r="BJ298" s="74"/>
      <c r="BK298" s="7">
        <f t="shared" si="378"/>
        <v>1.08</v>
      </c>
      <c r="BL298" s="8">
        <f t="shared" si="372"/>
        <v>0</v>
      </c>
      <c r="BM298" s="51" t="str">
        <f>IFERROR(VLOOKUP(A298,NF!$M:$O,3,0),"")</f>
        <v>Feirinha</v>
      </c>
      <c r="BN298" s="7">
        <f t="shared" si="373"/>
        <v>4.82</v>
      </c>
      <c r="BO298" s="8">
        <f t="array" ref="BO298">IFERROR(LARGE(IF(NF!$G$2:$G$3137='Mês atual'!A298,NF!$J$2:$J$3137),1),0)*BN298</f>
        <v>50.508982035928149</v>
      </c>
      <c r="BP298" s="50"/>
      <c r="BR298" s="147">
        <f t="array" ref="BR298">IFERROR(LARGE(IF(NF!$G$2:$G$3137='Mês atual'!A298,NF!$J$2:$J$3137),1),0)</f>
        <v>10.479041916167665</v>
      </c>
      <c r="BS298" s="143" t="str">
        <f>VLOOKUP(A298,NF!M:O,3,0)</f>
        <v>Feirinha</v>
      </c>
    </row>
    <row r="299" spans="1:74" x14ac:dyDescent="0.25">
      <c r="A299" s="108" t="s">
        <v>881</v>
      </c>
      <c r="B299" s="12"/>
      <c r="C299" s="9"/>
      <c r="D299" s="25"/>
      <c r="E299" s="10" t="str">
        <f t="shared" si="347"/>
        <v>OutubroSEMANA 1Alface Roxa Org. Feirinha</v>
      </c>
      <c r="F299" s="7">
        <f>SUMIF(NF!$A:$A,$E299,NF!$I:$I)</f>
        <v>0.54</v>
      </c>
      <c r="G299" s="6"/>
      <c r="H299" s="6"/>
      <c r="I299" s="6"/>
      <c r="J299" s="6"/>
      <c r="K299" s="6">
        <v>0.54</v>
      </c>
      <c r="L299" s="6"/>
      <c r="M299" s="6"/>
      <c r="N299" s="7">
        <f t="shared" si="374"/>
        <v>0.54</v>
      </c>
      <c r="O299" s="11">
        <f t="shared" si="364"/>
        <v>0</v>
      </c>
      <c r="P299" s="25"/>
      <c r="Q299" s="10" t="str">
        <f t="shared" si="350"/>
        <v>OutubroSEMANA 2Alface Roxa Org. Feirinha</v>
      </c>
      <c r="R299" s="7">
        <f>SUMIF(NF!$A:$A,$Q299,NF!$I:$I)</f>
        <v>1</v>
      </c>
      <c r="S299" s="6"/>
      <c r="T299" s="6"/>
      <c r="U299" s="6"/>
      <c r="V299" s="6"/>
      <c r="W299" s="6"/>
      <c r="X299" s="6"/>
      <c r="Y299" s="6">
        <v>1</v>
      </c>
      <c r="Z299" s="7">
        <f t="shared" si="375"/>
        <v>1</v>
      </c>
      <c r="AA299" s="11">
        <f t="shared" si="366"/>
        <v>0</v>
      </c>
      <c r="AB299" s="25"/>
      <c r="AC299" s="10" t="str">
        <f t="shared" si="353"/>
        <v>OutubroSEMANA 3Alface Roxa Org. Feirinha</v>
      </c>
      <c r="AD299" s="7">
        <f>SUMIF(NF!$A:$A,$AC299,NF!$I:$I)</f>
        <v>0.92</v>
      </c>
      <c r="AE299" s="6"/>
      <c r="AF299" s="6"/>
      <c r="AG299" s="6"/>
      <c r="AH299" s="6"/>
      <c r="AI299" s="6">
        <v>0.92</v>
      </c>
      <c r="AJ299" s="6"/>
      <c r="AK299" s="6"/>
      <c r="AL299" s="7">
        <f t="shared" si="376"/>
        <v>0.92</v>
      </c>
      <c r="AM299" s="11">
        <f t="shared" si="368"/>
        <v>0</v>
      </c>
      <c r="AN299" s="25"/>
      <c r="AO299" s="10" t="str">
        <f t="shared" si="356"/>
        <v>OutubroSEMANA 4Alface Roxa Org. Feirinha</v>
      </c>
      <c r="AP299" s="7">
        <f>SUMIF(NF!$A:$A,$AO299,NF!$I:$I)</f>
        <v>0.74</v>
      </c>
      <c r="AQ299" s="6"/>
      <c r="AR299" s="6"/>
      <c r="AS299" s="6"/>
      <c r="AT299" s="6"/>
      <c r="AU299" s="6"/>
      <c r="AV299" s="6"/>
      <c r="AW299" s="6"/>
      <c r="AX299" s="7">
        <f t="shared" si="377"/>
        <v>0</v>
      </c>
      <c r="AY299" s="11">
        <f t="shared" si="370"/>
        <v>0.74</v>
      </c>
      <c r="AZ299" s="25"/>
      <c r="BA299" s="10" t="str">
        <f t="shared" si="359"/>
        <v>OutubroSEMANA 5Alface Roxa Org. Feirinha</v>
      </c>
      <c r="BB299" s="7">
        <f>SUMIF(NF!$A:$A,$BA299,NF!$I:$I)</f>
        <v>0</v>
      </c>
      <c r="BC299" s="6">
        <v>0.74</v>
      </c>
      <c r="BD299" s="6"/>
      <c r="BE299" s="6"/>
      <c r="BF299" s="74"/>
      <c r="BG299" s="74"/>
      <c r="BH299" s="74"/>
      <c r="BI299" s="74"/>
      <c r="BJ299" s="74"/>
      <c r="BK299" s="7">
        <f t="shared" si="378"/>
        <v>0.74</v>
      </c>
      <c r="BL299" s="8">
        <f t="shared" si="372"/>
        <v>0</v>
      </c>
      <c r="BM299" s="51" t="str">
        <f>IFERROR(VLOOKUP(A299,NF!$M:$O,3,0),"")</f>
        <v>Feirinha</v>
      </c>
      <c r="BN299" s="7">
        <f t="shared" si="373"/>
        <v>3.2</v>
      </c>
      <c r="BO299" s="8">
        <f t="array" ref="BO299">IFERROR(LARGE(IF(NF!$G$2:$G$3137='Mês atual'!A299,NF!$J$2:$J$3137),1),0)*BN299</f>
        <v>32.432432432432435</v>
      </c>
      <c r="BP299" s="50"/>
      <c r="BR299" s="147">
        <f t="array" ref="BR299">IFERROR(LARGE(IF(NF!$G$2:$G$3137='Mês atual'!A299,NF!$J$2:$J$3137),1),0)</f>
        <v>10.135135135135135</v>
      </c>
      <c r="BS299" s="143" t="str">
        <f>VLOOKUP(A299,NF!M:O,3,0)</f>
        <v>Feirinha</v>
      </c>
    </row>
    <row r="300" spans="1:74" x14ac:dyDescent="0.25">
      <c r="A300" s="108" t="s">
        <v>1013</v>
      </c>
      <c r="B300" s="12"/>
      <c r="C300" s="9"/>
      <c r="D300" s="25"/>
      <c r="E300" s="10" t="str">
        <f t="shared" si="347"/>
        <v>OutubroSEMANA 1Batata Doce Org. Feirinha</v>
      </c>
      <c r="F300" s="7">
        <f>SUMIF(NF!$A:$A,$E300,NF!$I:$I)</f>
        <v>0</v>
      </c>
      <c r="G300" s="6"/>
      <c r="H300" s="6"/>
      <c r="I300" s="6"/>
      <c r="J300" s="6"/>
      <c r="K300" s="6"/>
      <c r="L300" s="6"/>
      <c r="M300" s="6"/>
      <c r="N300" s="7">
        <f t="shared" ref="N300" si="379">SUM(G300:M300)</f>
        <v>0</v>
      </c>
      <c r="O300" s="11">
        <f t="shared" ref="O300" si="380">F300+C300-N300</f>
        <v>0</v>
      </c>
      <c r="P300" s="25"/>
      <c r="Q300" s="10" t="str">
        <f t="shared" si="350"/>
        <v>OutubroSEMANA 2Batata Doce Org. Feirinha</v>
      </c>
      <c r="R300" s="7">
        <f>SUMIF(NF!$A:$A,$Q300,NF!$I:$I)</f>
        <v>0</v>
      </c>
      <c r="S300" s="6"/>
      <c r="T300" s="6"/>
      <c r="U300" s="6"/>
      <c r="V300" s="6"/>
      <c r="W300" s="6"/>
      <c r="X300" s="6"/>
      <c r="Y300" s="6"/>
      <c r="Z300" s="7">
        <f t="shared" ref="Z300" si="381">SUM(S300:Y300)</f>
        <v>0</v>
      </c>
      <c r="AA300" s="11">
        <f t="shared" ref="AA300" si="382">R300+O300-Z300</f>
        <v>0</v>
      </c>
      <c r="AB300" s="25"/>
      <c r="AC300" s="10" t="str">
        <f t="shared" si="353"/>
        <v>OutubroSEMANA 3Batata Doce Org. Feirinha</v>
      </c>
      <c r="AD300" s="7">
        <f>SUMIF(NF!$A:$A,$AC300,NF!$I:$I)</f>
        <v>0</v>
      </c>
      <c r="AE300" s="6"/>
      <c r="AF300" s="6"/>
      <c r="AG300" s="6"/>
      <c r="AH300" s="6"/>
      <c r="AI300" s="6"/>
      <c r="AJ300" s="6"/>
      <c r="AK300" s="6"/>
      <c r="AL300" s="7">
        <f t="shared" ref="AL300" si="383">SUM(AE300:AK300)</f>
        <v>0</v>
      </c>
      <c r="AM300" s="11">
        <f t="shared" ref="AM300" si="384">AD300+AA300-AL300</f>
        <v>0</v>
      </c>
      <c r="AN300" s="25"/>
      <c r="AO300" s="10" t="str">
        <f t="shared" si="356"/>
        <v>OutubroSEMANA 4Batata Doce Org. Feirinha</v>
      </c>
      <c r="AP300" s="7">
        <f>SUMIF(NF!$A:$A,$AO300,NF!$I:$I)</f>
        <v>0</v>
      </c>
      <c r="AQ300" s="6"/>
      <c r="AR300" s="6"/>
      <c r="AS300" s="6"/>
      <c r="AT300" s="6"/>
      <c r="AU300" s="6"/>
      <c r="AV300" s="6"/>
      <c r="AW300" s="6"/>
      <c r="AX300" s="7">
        <f t="shared" ref="AX300" si="385">SUM(AQ300:AW300)</f>
        <v>0</v>
      </c>
      <c r="AY300" s="11">
        <f t="shared" ref="AY300" si="386">AP300+AM300-AX300</f>
        <v>0</v>
      </c>
      <c r="AZ300" s="25"/>
      <c r="BA300" s="10" t="str">
        <f t="shared" si="359"/>
        <v>OutubroSEMANA 5Batata Doce Org. Feirinha</v>
      </c>
      <c r="BB300" s="7">
        <f>SUMIF(NF!$A:$A,$BA300,NF!$I:$I)</f>
        <v>0</v>
      </c>
      <c r="BC300" s="6"/>
      <c r="BD300" s="6"/>
      <c r="BE300" s="6"/>
      <c r="BF300" s="74"/>
      <c r="BG300" s="74"/>
      <c r="BH300" s="74"/>
      <c r="BI300" s="74"/>
      <c r="BJ300" s="74"/>
      <c r="BK300" s="7">
        <f t="shared" ref="BK300" si="387">SUM(BC300:BJ300)</f>
        <v>0</v>
      </c>
      <c r="BL300" s="8">
        <f t="shared" ref="BL300" si="388">BB300+AY300-BK300</f>
        <v>0</v>
      </c>
      <c r="BM300" s="51" t="str">
        <f>IFERROR(VLOOKUP(A300,NF!$M:$O,3,0),"")</f>
        <v>Feirinha</v>
      </c>
      <c r="BN300" s="7">
        <f t="shared" ref="BN300" si="389">SUM(N300,Z300,AL300,AX300,BK300)</f>
        <v>0</v>
      </c>
      <c r="BO300" s="8">
        <f t="array" ref="BO300">IFERROR(LARGE(IF(NF!$G$2:$G$3137='Mês atual'!A300,NF!$J$2:$J$3137),1),0)*BN300</f>
        <v>0</v>
      </c>
      <c r="BP300" s="50"/>
      <c r="BR300" s="147">
        <f t="array" ref="BR300">IFERROR(LARGE(IF(NF!$G$2:$G$3137='Mês atual'!A300,NF!$J$2:$J$3137),1),0)</f>
        <v>0</v>
      </c>
      <c r="BS300" s="143" t="str">
        <f>VLOOKUP(A300,NF!M:O,3,0)</f>
        <v>Feirinha</v>
      </c>
    </row>
    <row r="301" spans="1:74" x14ac:dyDescent="0.25">
      <c r="A301" s="108" t="s">
        <v>897</v>
      </c>
      <c r="B301" s="12"/>
      <c r="C301" s="9"/>
      <c r="D301" s="25"/>
      <c r="E301" s="10" t="str">
        <f t="shared" si="347"/>
        <v>OutubroSEMANA 1Banana Prata Org. Feirinha</v>
      </c>
      <c r="F301" s="7">
        <f>SUMIF(NF!$A:$A,$E301,NF!$I:$I)</f>
        <v>2.39</v>
      </c>
      <c r="G301" s="6"/>
      <c r="H301" s="6"/>
      <c r="I301" s="6"/>
      <c r="J301" s="6"/>
      <c r="K301" s="6">
        <v>2.39</v>
      </c>
      <c r="L301" s="6"/>
      <c r="M301" s="6"/>
      <c r="N301" s="7">
        <f t="shared" si="374"/>
        <v>2.39</v>
      </c>
      <c r="O301" s="11">
        <f t="shared" si="364"/>
        <v>0</v>
      </c>
      <c r="P301" s="25"/>
      <c r="Q301" s="10" t="str">
        <f t="shared" si="350"/>
        <v>OutubroSEMANA 2Banana Prata Org. Feirinha</v>
      </c>
      <c r="R301" s="7">
        <f>SUMIF(NF!$A:$A,$Q301,NF!$I:$I)</f>
        <v>2.4060000000000001</v>
      </c>
      <c r="S301" s="6"/>
      <c r="T301" s="6"/>
      <c r="U301" s="6"/>
      <c r="V301" s="6"/>
      <c r="W301" s="6"/>
      <c r="X301" s="6"/>
      <c r="Y301" s="6">
        <v>2.4060000000000001</v>
      </c>
      <c r="Z301" s="7">
        <f t="shared" si="375"/>
        <v>2.4060000000000001</v>
      </c>
      <c r="AA301" s="11">
        <f t="shared" si="366"/>
        <v>0</v>
      </c>
      <c r="AB301" s="25"/>
      <c r="AC301" s="10" t="str">
        <f t="shared" si="353"/>
        <v>OutubroSEMANA 3Banana Prata Org. Feirinha</v>
      </c>
      <c r="AD301" s="7">
        <f>SUMIF(NF!$A:$A,$AC301,NF!$I:$I)</f>
        <v>1</v>
      </c>
      <c r="AE301" s="6"/>
      <c r="AF301" s="6"/>
      <c r="AG301" s="6"/>
      <c r="AH301" s="6"/>
      <c r="AI301" s="6">
        <v>1</v>
      </c>
      <c r="AJ301" s="6"/>
      <c r="AK301" s="6"/>
      <c r="AL301" s="7">
        <f t="shared" si="376"/>
        <v>1</v>
      </c>
      <c r="AM301" s="11">
        <f t="shared" si="368"/>
        <v>0</v>
      </c>
      <c r="AN301" s="25"/>
      <c r="AO301" s="10" t="str">
        <f t="shared" si="356"/>
        <v>OutubroSEMANA 4Banana Prata Org. Feirinha</v>
      </c>
      <c r="AP301" s="7">
        <f>SUMIF(NF!$A:$A,$AO301,NF!$I:$I)</f>
        <v>0</v>
      </c>
      <c r="AQ301" s="6"/>
      <c r="AR301" s="6"/>
      <c r="AS301" s="6"/>
      <c r="AT301" s="6"/>
      <c r="AU301" s="6"/>
      <c r="AV301" s="6"/>
      <c r="AW301" s="6"/>
      <c r="AX301" s="7">
        <f t="shared" si="377"/>
        <v>0</v>
      </c>
      <c r="AY301" s="11">
        <f t="shared" si="370"/>
        <v>0</v>
      </c>
      <c r="AZ301" s="25"/>
      <c r="BA301" s="10" t="str">
        <f t="shared" si="359"/>
        <v>OutubroSEMANA 5Banana Prata Org. Feirinha</v>
      </c>
      <c r="BB301" s="7">
        <f>SUMIF(NF!$A:$A,$BA301,NF!$I:$I)</f>
        <v>0</v>
      </c>
      <c r="BC301" s="6"/>
      <c r="BD301" s="6"/>
      <c r="BE301" s="6"/>
      <c r="BF301" s="74"/>
      <c r="BG301" s="74"/>
      <c r="BH301" s="74"/>
      <c r="BI301" s="74"/>
      <c r="BJ301" s="74"/>
      <c r="BK301" s="7">
        <f t="shared" si="378"/>
        <v>0</v>
      </c>
      <c r="BL301" s="8">
        <f t="shared" si="372"/>
        <v>0</v>
      </c>
      <c r="BM301" s="51" t="str">
        <f>IFERROR(VLOOKUP(A301,NF!$M:$O,3,0),"")</f>
        <v>Feirinha</v>
      </c>
      <c r="BN301" s="7">
        <f t="shared" si="373"/>
        <v>5.7960000000000003</v>
      </c>
      <c r="BO301" s="8">
        <f t="array" ref="BO301">IFERROR(LARGE(IF(NF!$G$2:$G$3137='Mês atual'!A301,NF!$J$2:$J$3137),1),0)*BN301</f>
        <v>37.963799999999999</v>
      </c>
      <c r="BP301" s="50"/>
      <c r="BR301" s="147">
        <f t="array" ref="BR301">IFERROR(LARGE(IF(NF!$G$2:$G$3137='Mês atual'!A301,NF!$J$2:$J$3137),1),0)</f>
        <v>6.55</v>
      </c>
      <c r="BS301" s="143" t="str">
        <f>VLOOKUP(A301,NF!M:O,3,0)</f>
        <v>Feirinha</v>
      </c>
    </row>
    <row r="302" spans="1:74" x14ac:dyDescent="0.25">
      <c r="A302" s="108" t="s">
        <v>882</v>
      </c>
      <c r="B302" s="12"/>
      <c r="C302" s="9"/>
      <c r="D302" s="25"/>
      <c r="E302" s="10" t="str">
        <f t="shared" si="347"/>
        <v>OutubroSEMANA 1Berinjela Org. Feirinha</v>
      </c>
      <c r="F302" s="7">
        <f>SUMIF(NF!$A:$A,$E302,NF!$I:$I)</f>
        <v>1.5</v>
      </c>
      <c r="G302" s="6"/>
      <c r="H302" s="6"/>
      <c r="I302" s="6"/>
      <c r="J302" s="6"/>
      <c r="K302" s="6">
        <v>1.5</v>
      </c>
      <c r="L302" s="6"/>
      <c r="M302" s="6"/>
      <c r="N302" s="7">
        <f t="shared" si="374"/>
        <v>1.5</v>
      </c>
      <c r="O302" s="11">
        <f t="shared" si="364"/>
        <v>0</v>
      </c>
      <c r="P302" s="25"/>
      <c r="Q302" s="10" t="str">
        <f t="shared" si="350"/>
        <v>OutubroSEMANA 2Berinjela Org. Feirinha</v>
      </c>
      <c r="R302" s="7">
        <f>SUMIF(NF!$A:$A,$Q302,NF!$I:$I)</f>
        <v>1.74</v>
      </c>
      <c r="S302" s="6"/>
      <c r="T302" s="6"/>
      <c r="U302" s="6"/>
      <c r="V302" s="6"/>
      <c r="W302" s="6"/>
      <c r="X302" s="6"/>
      <c r="Y302" s="6">
        <v>1.74</v>
      </c>
      <c r="Z302" s="7">
        <f t="shared" si="375"/>
        <v>1.74</v>
      </c>
      <c r="AA302" s="11">
        <f t="shared" si="366"/>
        <v>0</v>
      </c>
      <c r="AB302" s="25"/>
      <c r="AC302" s="10" t="str">
        <f t="shared" si="353"/>
        <v>OutubroSEMANA 3Berinjela Org. Feirinha</v>
      </c>
      <c r="AD302" s="7">
        <f>SUMIF(NF!$A:$A,$AC302,NF!$I:$I)</f>
        <v>1.58</v>
      </c>
      <c r="AE302" s="6"/>
      <c r="AF302" s="6"/>
      <c r="AG302" s="6"/>
      <c r="AH302" s="6"/>
      <c r="AI302" s="6">
        <v>1.58</v>
      </c>
      <c r="AJ302" s="6"/>
      <c r="AK302" s="6"/>
      <c r="AL302" s="7">
        <f t="shared" si="376"/>
        <v>1.58</v>
      </c>
      <c r="AM302" s="11">
        <f t="shared" si="368"/>
        <v>0</v>
      </c>
      <c r="AN302" s="25"/>
      <c r="AO302" s="10" t="str">
        <f t="shared" si="356"/>
        <v>OutubroSEMANA 4Berinjela Org. Feirinha</v>
      </c>
      <c r="AP302" s="7">
        <f>SUMIF(NF!$A:$A,$AO302,NF!$I:$I)</f>
        <v>1.5</v>
      </c>
      <c r="AQ302" s="6"/>
      <c r="AR302" s="6"/>
      <c r="AS302" s="6"/>
      <c r="AT302" s="6"/>
      <c r="AU302" s="6"/>
      <c r="AV302" s="6"/>
      <c r="AW302" s="6"/>
      <c r="AX302" s="7">
        <f t="shared" si="377"/>
        <v>0</v>
      </c>
      <c r="AY302" s="11">
        <f t="shared" si="370"/>
        <v>1.5</v>
      </c>
      <c r="AZ302" s="25"/>
      <c r="BA302" s="10" t="str">
        <f t="shared" si="359"/>
        <v>OutubroSEMANA 5Berinjela Org. Feirinha</v>
      </c>
      <c r="BB302" s="7">
        <f>SUMIF(NF!$A:$A,$BA302,NF!$I:$I)</f>
        <v>0</v>
      </c>
      <c r="BC302" s="6">
        <v>1.5</v>
      </c>
      <c r="BD302" s="6"/>
      <c r="BE302" s="6"/>
      <c r="BF302" s="74"/>
      <c r="BG302" s="74"/>
      <c r="BH302" s="74"/>
      <c r="BI302" s="74"/>
      <c r="BJ302" s="74"/>
      <c r="BK302" s="7">
        <f t="shared" si="378"/>
        <v>1.5</v>
      </c>
      <c r="BL302" s="8">
        <f t="shared" si="372"/>
        <v>0</v>
      </c>
      <c r="BM302" s="51" t="str">
        <f>IFERROR(VLOOKUP(A302,NF!$M:$O,3,0),"")</f>
        <v>Feirinha</v>
      </c>
      <c r="BN302" s="7">
        <f t="shared" si="373"/>
        <v>6.32</v>
      </c>
      <c r="BO302" s="8">
        <f t="array" ref="BO302">IFERROR(LARGE(IF(NF!$G$2:$G$3137='Mês atual'!A302,NF!$J$2:$J$3137),1),0)*BN302</f>
        <v>51.823999999999998</v>
      </c>
      <c r="BP302" s="50"/>
      <c r="BR302" s="147">
        <f t="array" ref="BR302">IFERROR(LARGE(IF(NF!$G$2:$G$3137='Mês atual'!A302,NF!$J$2:$J$3137),1),0)</f>
        <v>8.1999999999999993</v>
      </c>
      <c r="BS302" s="143" t="str">
        <f>VLOOKUP(A302,NF!M:O,3,0)</f>
        <v>Feirinha</v>
      </c>
    </row>
    <row r="303" spans="1:74" x14ac:dyDescent="0.25">
      <c r="A303" s="108" t="s">
        <v>893</v>
      </c>
      <c r="B303" s="12"/>
      <c r="C303" s="9"/>
      <c r="D303" s="25"/>
      <c r="E303" s="10" t="str">
        <f t="shared" si="347"/>
        <v>OutubroSEMANA 1Beterraba Orgânica Feirinha</v>
      </c>
      <c r="F303" s="7">
        <f>SUMIF(NF!$A:$A,$E303,NF!$I:$I)</f>
        <v>2</v>
      </c>
      <c r="G303" s="6"/>
      <c r="H303" s="6"/>
      <c r="I303" s="6"/>
      <c r="J303" s="6"/>
      <c r="K303" s="6">
        <v>2</v>
      </c>
      <c r="L303" s="6"/>
      <c r="M303" s="6"/>
      <c r="N303" s="7">
        <f t="shared" si="374"/>
        <v>2</v>
      </c>
      <c r="O303" s="11">
        <f t="shared" si="364"/>
        <v>0</v>
      </c>
      <c r="P303" s="25"/>
      <c r="Q303" s="10" t="str">
        <f t="shared" si="350"/>
        <v>OutubroSEMANA 2Beterraba Orgânica Feirinha</v>
      </c>
      <c r="R303" s="7">
        <f>SUMIF(NF!$A:$A,$Q303,NF!$I:$I)</f>
        <v>2</v>
      </c>
      <c r="S303" s="6"/>
      <c r="T303" s="6"/>
      <c r="U303" s="6"/>
      <c r="V303" s="6"/>
      <c r="W303" s="6"/>
      <c r="X303" s="6"/>
      <c r="Y303" s="6">
        <v>2</v>
      </c>
      <c r="Z303" s="7">
        <f t="shared" si="375"/>
        <v>2</v>
      </c>
      <c r="AA303" s="11">
        <f t="shared" si="366"/>
        <v>0</v>
      </c>
      <c r="AB303" s="25"/>
      <c r="AC303" s="10" t="str">
        <f t="shared" si="353"/>
        <v>OutubroSEMANA 3Beterraba Orgânica Feirinha</v>
      </c>
      <c r="AD303" s="7">
        <f>SUMIF(NF!$A:$A,$AC303,NF!$I:$I)</f>
        <v>2</v>
      </c>
      <c r="AE303" s="6"/>
      <c r="AF303" s="6"/>
      <c r="AG303" s="6"/>
      <c r="AH303" s="6"/>
      <c r="AI303" s="6">
        <v>2</v>
      </c>
      <c r="AJ303" s="6"/>
      <c r="AK303" s="6"/>
      <c r="AL303" s="7">
        <f t="shared" si="376"/>
        <v>2</v>
      </c>
      <c r="AM303" s="11">
        <f t="shared" si="368"/>
        <v>0</v>
      </c>
      <c r="AN303" s="25"/>
      <c r="AO303" s="10" t="str">
        <f t="shared" si="356"/>
        <v>OutubroSEMANA 4Beterraba Orgânica Feirinha</v>
      </c>
      <c r="AP303" s="7">
        <f>SUMIF(NF!$A:$A,$AO303,NF!$I:$I)</f>
        <v>2</v>
      </c>
      <c r="AQ303" s="6"/>
      <c r="AR303" s="6"/>
      <c r="AS303" s="6"/>
      <c r="AT303" s="6"/>
      <c r="AU303" s="6"/>
      <c r="AV303" s="6"/>
      <c r="AW303" s="6"/>
      <c r="AX303" s="7">
        <f t="shared" si="377"/>
        <v>0</v>
      </c>
      <c r="AY303" s="11">
        <f t="shared" si="370"/>
        <v>2</v>
      </c>
      <c r="AZ303" s="25"/>
      <c r="BA303" s="10" t="str">
        <f t="shared" si="359"/>
        <v>OutubroSEMANA 5Beterraba Orgânica Feirinha</v>
      </c>
      <c r="BB303" s="7">
        <f>SUMIF(NF!$A:$A,$BA303,NF!$I:$I)</f>
        <v>0</v>
      </c>
      <c r="BC303" s="6">
        <v>2</v>
      </c>
      <c r="BD303" s="6"/>
      <c r="BE303" s="6"/>
      <c r="BF303" s="74"/>
      <c r="BG303" s="74"/>
      <c r="BH303" s="74"/>
      <c r="BI303" s="74"/>
      <c r="BJ303" s="74"/>
      <c r="BK303" s="7">
        <f t="shared" si="378"/>
        <v>2</v>
      </c>
      <c r="BL303" s="8">
        <f t="shared" si="372"/>
        <v>0</v>
      </c>
      <c r="BM303" s="51" t="str">
        <f>IFERROR(VLOOKUP(A303,NF!$M:$O,3,0),"")</f>
        <v>Feirinha</v>
      </c>
      <c r="BN303" s="7">
        <f t="shared" si="373"/>
        <v>8</v>
      </c>
      <c r="BO303" s="8">
        <f t="array" ref="BO303">IFERROR(LARGE(IF(NF!$G$2:$G$3137='Mês atual'!A303,NF!$J$2:$J$3137),1),0)*BN303</f>
        <v>61.6</v>
      </c>
      <c r="BP303" s="50"/>
      <c r="BR303" s="147">
        <f t="array" ref="BR303">IFERROR(LARGE(IF(NF!$G$2:$G$3137='Mês atual'!A303,NF!$J$2:$J$3137),1),0)</f>
        <v>7.7</v>
      </c>
      <c r="BS303" s="143" t="str">
        <f>VLOOKUP(A303,NF!M:O,3,0)</f>
        <v>Feirinha</v>
      </c>
    </row>
    <row r="304" spans="1:74" x14ac:dyDescent="0.25">
      <c r="A304" s="108" t="s">
        <v>943</v>
      </c>
      <c r="B304" s="12"/>
      <c r="C304" s="9"/>
      <c r="D304" s="25"/>
      <c r="E304" s="10" t="str">
        <f t="shared" si="347"/>
        <v>OutubroSEMANA 1Bolo de Banana (com Amendoas)</v>
      </c>
      <c r="F304" s="7">
        <f>SUMIF(NF!$A:$A,$E304,NF!$I:$I)</f>
        <v>4</v>
      </c>
      <c r="G304" s="6"/>
      <c r="H304" s="6"/>
      <c r="I304" s="6"/>
      <c r="J304" s="6"/>
      <c r="K304" s="6"/>
      <c r="L304" s="6"/>
      <c r="M304" s="6"/>
      <c r="N304" s="7">
        <f t="shared" ref="N304:N308" si="390">SUM(G304:M304)</f>
        <v>0</v>
      </c>
      <c r="O304" s="11">
        <f t="shared" si="364"/>
        <v>4</v>
      </c>
      <c r="P304" s="25"/>
      <c r="Q304" s="10" t="str">
        <f t="shared" si="350"/>
        <v>OutubroSEMANA 2Bolo de Banana (com Amendoas)</v>
      </c>
      <c r="R304" s="7">
        <f>SUMIF(NF!$A:$A,$Q304,NF!$I:$I)</f>
        <v>0</v>
      </c>
      <c r="S304" s="6">
        <v>4</v>
      </c>
      <c r="T304" s="6"/>
      <c r="U304" s="6"/>
      <c r="V304" s="6"/>
      <c r="W304" s="6"/>
      <c r="X304" s="6"/>
      <c r="Y304" s="6"/>
      <c r="Z304" s="7">
        <f t="shared" ref="Z304:Z308" si="391">SUM(S304:Y304)</f>
        <v>4</v>
      </c>
      <c r="AA304" s="11">
        <f t="shared" si="366"/>
        <v>0</v>
      </c>
      <c r="AB304" s="25"/>
      <c r="AC304" s="10" t="str">
        <f t="shared" si="353"/>
        <v>OutubroSEMANA 3Bolo de Banana (com Amendoas)</v>
      </c>
      <c r="AD304" s="7">
        <f>SUMIF(NF!$A:$A,$AC304,NF!$I:$I)</f>
        <v>2</v>
      </c>
      <c r="AE304" s="6"/>
      <c r="AF304" s="6"/>
      <c r="AG304" s="6"/>
      <c r="AH304" s="6"/>
      <c r="AI304" s="6"/>
      <c r="AJ304" s="6"/>
      <c r="AK304" s="6">
        <v>2</v>
      </c>
      <c r="AL304" s="7">
        <f t="shared" ref="AL304:AL308" si="392">SUM(AE304:AK304)</f>
        <v>2</v>
      </c>
      <c r="AM304" s="11">
        <f t="shared" si="368"/>
        <v>0</v>
      </c>
      <c r="AN304" s="25"/>
      <c r="AO304" s="10" t="str">
        <f t="shared" si="356"/>
        <v>OutubroSEMANA 4Bolo de Banana (com Amendoas)</v>
      </c>
      <c r="AP304" s="7">
        <f>SUMIF(NF!$A:$A,$AO304,NF!$I:$I)</f>
        <v>2</v>
      </c>
      <c r="AQ304" s="6"/>
      <c r="AR304" s="6"/>
      <c r="AS304" s="6"/>
      <c r="AT304" s="6"/>
      <c r="AU304" s="6"/>
      <c r="AV304" s="6"/>
      <c r="AW304" s="6"/>
      <c r="AX304" s="7">
        <f t="shared" ref="AX304:AX308" si="393">SUM(AQ304:AW304)</f>
        <v>0</v>
      </c>
      <c r="AY304" s="11">
        <f t="shared" si="370"/>
        <v>2</v>
      </c>
      <c r="AZ304" s="25"/>
      <c r="BA304" s="10" t="str">
        <f t="shared" si="359"/>
        <v>OutubroSEMANA 5Bolo de Banana (com Amendoas)</v>
      </c>
      <c r="BB304" s="7">
        <f>SUMIF(NF!$A:$A,$BA304,NF!$I:$I)</f>
        <v>0</v>
      </c>
      <c r="BC304" s="6">
        <v>2</v>
      </c>
      <c r="BD304" s="6"/>
      <c r="BE304" s="6"/>
      <c r="BF304" s="74"/>
      <c r="BG304" s="74"/>
      <c r="BH304" s="74"/>
      <c r="BI304" s="74"/>
      <c r="BJ304" s="74"/>
      <c r="BK304" s="7">
        <f t="shared" ref="BK304:BK308" si="394">SUM(BC304:BJ304)</f>
        <v>2</v>
      </c>
      <c r="BL304" s="8">
        <f t="shared" si="372"/>
        <v>0</v>
      </c>
      <c r="BM304" s="51" t="str">
        <f>IFERROR(VLOOKUP(A304,NF!$M:$O,3,0),"")</f>
        <v>Feirinha</v>
      </c>
      <c r="BN304" s="7">
        <f t="shared" si="373"/>
        <v>8</v>
      </c>
      <c r="BO304" s="8">
        <f t="array" ref="BO304">IFERROR(LARGE(IF(NF!$G$2:$G$3137='Mês atual'!A304,NF!$J$2:$J$3137),1),0)*BN304</f>
        <v>76</v>
      </c>
      <c r="BP304" s="50"/>
      <c r="BR304" s="147">
        <f t="array" ref="BR304">IFERROR(LARGE(IF(NF!$G$2:$G$3137='Mês atual'!A304,NF!$J$2:$J$3137),1),0)</f>
        <v>9.5</v>
      </c>
      <c r="BS304" s="143" t="str">
        <f>VLOOKUP(A304,NF!M:O,3,0)</f>
        <v>Feirinha</v>
      </c>
    </row>
    <row r="305" spans="1:71" x14ac:dyDescent="0.25">
      <c r="A305" s="108" t="s">
        <v>996</v>
      </c>
      <c r="B305" s="12"/>
      <c r="C305" s="9"/>
      <c r="D305" s="25"/>
      <c r="E305" s="10" t="str">
        <f t="shared" si="347"/>
        <v>OutubroSEMANA 1Bolo de Banana (c/ Castanhas)</v>
      </c>
      <c r="F305" s="7">
        <f>SUMIF(NF!$A:$A,$E305,NF!$I:$I)</f>
        <v>0</v>
      </c>
      <c r="G305" s="6"/>
      <c r="H305" s="6"/>
      <c r="I305" s="6"/>
      <c r="J305" s="6"/>
      <c r="K305" s="6"/>
      <c r="L305" s="6"/>
      <c r="M305" s="6"/>
      <c r="N305" s="7">
        <f t="shared" ref="N305" si="395">SUM(G305:M305)</f>
        <v>0</v>
      </c>
      <c r="O305" s="11">
        <f t="shared" ref="O305" si="396">F305+C305-N305</f>
        <v>0</v>
      </c>
      <c r="P305" s="25"/>
      <c r="Q305" s="10" t="str">
        <f t="shared" si="350"/>
        <v>OutubroSEMANA 2Bolo de Banana (c/ Castanhas)</v>
      </c>
      <c r="R305" s="7">
        <f>SUMIF(NF!$A:$A,$Q305,NF!$I:$I)</f>
        <v>0</v>
      </c>
      <c r="S305" s="6"/>
      <c r="T305" s="6"/>
      <c r="U305" s="6"/>
      <c r="V305" s="6"/>
      <c r="W305" s="6"/>
      <c r="X305" s="6"/>
      <c r="Y305" s="6"/>
      <c r="Z305" s="7">
        <f t="shared" ref="Z305" si="397">SUM(S305:Y305)</f>
        <v>0</v>
      </c>
      <c r="AA305" s="11">
        <f t="shared" ref="AA305" si="398">R305+O305-Z305</f>
        <v>0</v>
      </c>
      <c r="AB305" s="25"/>
      <c r="AC305" s="10" t="str">
        <f t="shared" si="353"/>
        <v>OutubroSEMANA 3Bolo de Banana (c/ Castanhas)</v>
      </c>
      <c r="AD305" s="7">
        <f>SUMIF(NF!$A:$A,$AC305,NF!$I:$I)</f>
        <v>0</v>
      </c>
      <c r="AE305" s="6"/>
      <c r="AF305" s="6"/>
      <c r="AG305" s="6"/>
      <c r="AH305" s="6"/>
      <c r="AI305" s="6"/>
      <c r="AJ305" s="6"/>
      <c r="AK305" s="6"/>
      <c r="AL305" s="7">
        <f t="shared" ref="AL305" si="399">SUM(AE305:AK305)</f>
        <v>0</v>
      </c>
      <c r="AM305" s="11">
        <f t="shared" ref="AM305" si="400">AD305+AA305-AL305</f>
        <v>0</v>
      </c>
      <c r="AN305" s="25"/>
      <c r="AO305" s="10" t="str">
        <f t="shared" si="356"/>
        <v>OutubroSEMANA 4Bolo de Banana (c/ Castanhas)</v>
      </c>
      <c r="AP305" s="7">
        <f>SUMIF(NF!$A:$A,$AO305,NF!$I:$I)</f>
        <v>0</v>
      </c>
      <c r="AQ305" s="6"/>
      <c r="AR305" s="6"/>
      <c r="AS305" s="6"/>
      <c r="AT305" s="6"/>
      <c r="AU305" s="6"/>
      <c r="AV305" s="6"/>
      <c r="AW305" s="6"/>
      <c r="AX305" s="7">
        <f t="shared" ref="AX305" si="401">SUM(AQ305:AW305)</f>
        <v>0</v>
      </c>
      <c r="AY305" s="11">
        <f t="shared" ref="AY305" si="402">AP305+AM305-AX305</f>
        <v>0</v>
      </c>
      <c r="AZ305" s="25"/>
      <c r="BA305" s="10" t="str">
        <f t="shared" si="359"/>
        <v>OutubroSEMANA 5Bolo de Banana (c/ Castanhas)</v>
      </c>
      <c r="BB305" s="7">
        <f>SUMIF(NF!$A:$A,$BA305,NF!$I:$I)</f>
        <v>0</v>
      </c>
      <c r="BC305" s="6"/>
      <c r="BD305" s="6"/>
      <c r="BE305" s="6"/>
      <c r="BF305" s="74"/>
      <c r="BG305" s="74"/>
      <c r="BH305" s="74"/>
      <c r="BI305" s="74"/>
      <c r="BJ305" s="74"/>
      <c r="BK305" s="7">
        <f t="shared" ref="BK305" si="403">SUM(BC305:BJ305)</f>
        <v>0</v>
      </c>
      <c r="BL305" s="8">
        <f t="shared" ref="BL305" si="404">BB305+AY305-BK305</f>
        <v>0</v>
      </c>
      <c r="BM305" s="51" t="str">
        <f>IFERROR(VLOOKUP(A305,NF!$M:$O,3,0),"")</f>
        <v>Feirinha</v>
      </c>
      <c r="BN305" s="7">
        <f t="shared" ref="BN305" si="405">SUM(N305,Z305,AL305,AX305,BK305)</f>
        <v>0</v>
      </c>
      <c r="BO305" s="8">
        <f t="array" ref="BO305">IFERROR(LARGE(IF(NF!$G$2:$G$3137='Mês atual'!A305,NF!$J$2:$J$3137),1),0)*BN305</f>
        <v>0</v>
      </c>
      <c r="BP305" s="50"/>
      <c r="BR305" s="147">
        <f t="array" ref="BR305">IFERROR(LARGE(IF(NF!$G$2:$G$3137='Mês atual'!A305,NF!$J$2:$J$3137),1),0)</f>
        <v>0</v>
      </c>
      <c r="BS305" s="143" t="str">
        <f>VLOOKUP(A305,NF!M:O,3,0)</f>
        <v>Feirinha</v>
      </c>
    </row>
    <row r="306" spans="1:71" x14ac:dyDescent="0.25">
      <c r="A306" s="108" t="s">
        <v>944</v>
      </c>
      <c r="B306" s="12"/>
      <c r="C306" s="9"/>
      <c r="D306" s="25"/>
      <c r="E306" s="10" t="str">
        <f t="shared" si="347"/>
        <v>OutubroSEMANA 1Bolo de Cacau Belga</v>
      </c>
      <c r="F306" s="7">
        <f>SUMIF(NF!$A:$A,$E306,NF!$I:$I)</f>
        <v>4</v>
      </c>
      <c r="G306" s="6"/>
      <c r="H306" s="6"/>
      <c r="I306" s="6"/>
      <c r="J306" s="6"/>
      <c r="K306" s="6"/>
      <c r="L306" s="6"/>
      <c r="M306" s="6"/>
      <c r="N306" s="7">
        <f t="shared" si="390"/>
        <v>0</v>
      </c>
      <c r="O306" s="11">
        <f t="shared" si="364"/>
        <v>4</v>
      </c>
      <c r="P306" s="25"/>
      <c r="Q306" s="10" t="str">
        <f t="shared" si="350"/>
        <v>OutubroSEMANA 2Bolo de Cacau Belga</v>
      </c>
      <c r="R306" s="7">
        <f>SUMIF(NF!$A:$A,$Q306,NF!$I:$I)</f>
        <v>0</v>
      </c>
      <c r="S306" s="6">
        <v>4</v>
      </c>
      <c r="T306" s="6"/>
      <c r="U306" s="6"/>
      <c r="V306" s="6"/>
      <c r="W306" s="6"/>
      <c r="X306" s="6"/>
      <c r="Y306" s="6"/>
      <c r="Z306" s="7">
        <f t="shared" si="391"/>
        <v>4</v>
      </c>
      <c r="AA306" s="11">
        <f t="shared" si="366"/>
        <v>0</v>
      </c>
      <c r="AB306" s="25"/>
      <c r="AC306" s="10" t="str">
        <f t="shared" si="353"/>
        <v>OutubroSEMANA 3Bolo de Cacau Belga</v>
      </c>
      <c r="AD306" s="7">
        <f>SUMIF(NF!$A:$A,$AC306,NF!$I:$I)</f>
        <v>2</v>
      </c>
      <c r="AE306" s="6"/>
      <c r="AF306" s="6"/>
      <c r="AG306" s="6"/>
      <c r="AH306" s="6"/>
      <c r="AI306" s="6"/>
      <c r="AJ306" s="6"/>
      <c r="AK306" s="6">
        <v>2</v>
      </c>
      <c r="AL306" s="7">
        <f t="shared" si="392"/>
        <v>2</v>
      </c>
      <c r="AM306" s="11">
        <f t="shared" si="368"/>
        <v>0</v>
      </c>
      <c r="AN306" s="25"/>
      <c r="AO306" s="10" t="str">
        <f t="shared" si="356"/>
        <v>OutubroSEMANA 4Bolo de Cacau Belga</v>
      </c>
      <c r="AP306" s="7">
        <f>SUMIF(NF!$A:$A,$AO306,NF!$I:$I)</f>
        <v>2</v>
      </c>
      <c r="AQ306" s="6"/>
      <c r="AR306" s="6"/>
      <c r="AS306" s="6"/>
      <c r="AT306" s="6"/>
      <c r="AU306" s="6"/>
      <c r="AV306" s="6"/>
      <c r="AW306" s="6"/>
      <c r="AX306" s="7">
        <f t="shared" si="393"/>
        <v>0</v>
      </c>
      <c r="AY306" s="11">
        <f t="shared" si="370"/>
        <v>2</v>
      </c>
      <c r="AZ306" s="25"/>
      <c r="BA306" s="10" t="str">
        <f t="shared" si="359"/>
        <v>OutubroSEMANA 5Bolo de Cacau Belga</v>
      </c>
      <c r="BB306" s="7">
        <f>SUMIF(NF!$A:$A,$BA306,NF!$I:$I)</f>
        <v>0</v>
      </c>
      <c r="BC306" s="6">
        <v>2</v>
      </c>
      <c r="BD306" s="6"/>
      <c r="BE306" s="6"/>
      <c r="BF306" s="74"/>
      <c r="BG306" s="74"/>
      <c r="BH306" s="74"/>
      <c r="BI306" s="74"/>
      <c r="BJ306" s="74"/>
      <c r="BK306" s="7">
        <f t="shared" si="394"/>
        <v>2</v>
      </c>
      <c r="BL306" s="8">
        <f t="shared" si="372"/>
        <v>0</v>
      </c>
      <c r="BM306" s="51" t="str">
        <f>IFERROR(VLOOKUP(A306,NF!$M:$O,3,0),"")</f>
        <v>Feirinha</v>
      </c>
      <c r="BN306" s="7">
        <f t="shared" si="373"/>
        <v>8</v>
      </c>
      <c r="BO306" s="8">
        <f t="array" ref="BO306">IFERROR(LARGE(IF(NF!$G$2:$G$3137='Mês atual'!A306,NF!$J$2:$J$3137),1),0)*BN306</f>
        <v>76</v>
      </c>
      <c r="BP306" s="50"/>
      <c r="BR306" s="147">
        <f t="array" ref="BR306">IFERROR(LARGE(IF(NF!$G$2:$G$3137='Mês atual'!A306,NF!$J$2:$J$3137),1),0)</f>
        <v>9.5</v>
      </c>
      <c r="BS306" s="143" t="str">
        <f>VLOOKUP(A306,NF!M:O,3,0)</f>
        <v>Feirinha</v>
      </c>
    </row>
    <row r="307" spans="1:71" x14ac:dyDescent="0.25">
      <c r="A307" s="108" t="s">
        <v>945</v>
      </c>
      <c r="B307" s="12"/>
      <c r="C307" s="9"/>
      <c r="D307" s="25"/>
      <c r="E307" s="10" t="str">
        <f t="shared" si="347"/>
        <v>OutubroSEMANA 1Bolo de Cenoura (com cobertura de chocolate)</v>
      </c>
      <c r="F307" s="7">
        <f>SUMIF(NF!$A:$A,$E307,NF!$I:$I)</f>
        <v>4</v>
      </c>
      <c r="G307" s="6"/>
      <c r="H307" s="6"/>
      <c r="I307" s="6"/>
      <c r="J307" s="6"/>
      <c r="K307" s="6"/>
      <c r="L307" s="6"/>
      <c r="M307" s="6"/>
      <c r="N307" s="7">
        <f t="shared" si="390"/>
        <v>0</v>
      </c>
      <c r="O307" s="11">
        <f t="shared" si="364"/>
        <v>4</v>
      </c>
      <c r="P307" s="25"/>
      <c r="Q307" s="10" t="str">
        <f t="shared" si="350"/>
        <v>OutubroSEMANA 2Bolo de Cenoura (com cobertura de chocolate)</v>
      </c>
      <c r="R307" s="7">
        <f>SUMIF(NF!$A:$A,$Q307,NF!$I:$I)</f>
        <v>0</v>
      </c>
      <c r="S307" s="6">
        <v>4</v>
      </c>
      <c r="T307" s="6"/>
      <c r="U307" s="6"/>
      <c r="V307" s="6"/>
      <c r="W307" s="6"/>
      <c r="X307" s="6"/>
      <c r="Y307" s="6"/>
      <c r="Z307" s="7">
        <f t="shared" si="391"/>
        <v>4</v>
      </c>
      <c r="AA307" s="11">
        <f t="shared" si="366"/>
        <v>0</v>
      </c>
      <c r="AB307" s="25"/>
      <c r="AC307" s="10" t="str">
        <f t="shared" si="353"/>
        <v>OutubroSEMANA 3Bolo de Cenoura (com cobertura de chocolate)</v>
      </c>
      <c r="AD307" s="7">
        <f>SUMIF(NF!$A:$A,$AC307,NF!$I:$I)</f>
        <v>2</v>
      </c>
      <c r="AE307" s="6"/>
      <c r="AF307" s="6"/>
      <c r="AG307" s="6"/>
      <c r="AH307" s="6"/>
      <c r="AI307" s="6"/>
      <c r="AJ307" s="6"/>
      <c r="AK307" s="6">
        <v>2</v>
      </c>
      <c r="AL307" s="7">
        <f t="shared" si="392"/>
        <v>2</v>
      </c>
      <c r="AM307" s="11">
        <f t="shared" si="368"/>
        <v>0</v>
      </c>
      <c r="AN307" s="25"/>
      <c r="AO307" s="10" t="str">
        <f t="shared" si="356"/>
        <v>OutubroSEMANA 4Bolo de Cenoura (com cobertura de chocolate)</v>
      </c>
      <c r="AP307" s="7">
        <f>SUMIF(NF!$A:$A,$AO307,NF!$I:$I)</f>
        <v>2</v>
      </c>
      <c r="AQ307" s="6"/>
      <c r="AR307" s="6"/>
      <c r="AS307" s="6"/>
      <c r="AT307" s="6"/>
      <c r="AU307" s="6"/>
      <c r="AV307" s="6"/>
      <c r="AW307" s="6"/>
      <c r="AX307" s="7">
        <f t="shared" si="393"/>
        <v>0</v>
      </c>
      <c r="AY307" s="11">
        <f t="shared" si="370"/>
        <v>2</v>
      </c>
      <c r="AZ307" s="25"/>
      <c r="BA307" s="10" t="str">
        <f t="shared" si="359"/>
        <v>OutubroSEMANA 5Bolo de Cenoura (com cobertura de chocolate)</v>
      </c>
      <c r="BB307" s="7">
        <f>SUMIF(NF!$A:$A,$BA307,NF!$I:$I)</f>
        <v>0</v>
      </c>
      <c r="BC307" s="6">
        <v>2</v>
      </c>
      <c r="BD307" s="6"/>
      <c r="BE307" s="6"/>
      <c r="BF307" s="74"/>
      <c r="BG307" s="74"/>
      <c r="BH307" s="74"/>
      <c r="BI307" s="74"/>
      <c r="BJ307" s="74"/>
      <c r="BK307" s="7">
        <f t="shared" si="394"/>
        <v>2</v>
      </c>
      <c r="BL307" s="8">
        <f t="shared" si="372"/>
        <v>0</v>
      </c>
      <c r="BM307" s="51" t="str">
        <f>IFERROR(VLOOKUP(A307,NF!$M:$O,3,0),"")</f>
        <v>Feirinha</v>
      </c>
      <c r="BN307" s="7">
        <f t="shared" si="373"/>
        <v>8</v>
      </c>
      <c r="BO307" s="8">
        <f t="array" ref="BO307">IFERROR(LARGE(IF(NF!$G$2:$G$3137='Mês atual'!A307,NF!$J$2:$J$3137),1),0)*BN307</f>
        <v>76</v>
      </c>
      <c r="BP307" s="50"/>
      <c r="BR307" s="147">
        <f t="array" ref="BR307">IFERROR(LARGE(IF(NF!$G$2:$G$3137='Mês atual'!A307,NF!$J$2:$J$3137),1),0)</f>
        <v>9.5</v>
      </c>
      <c r="BS307" s="143" t="str">
        <f>VLOOKUP(A307,NF!M:O,3,0)</f>
        <v>Feirinha</v>
      </c>
    </row>
    <row r="308" spans="1:71" x14ac:dyDescent="0.25">
      <c r="A308" s="108" t="s">
        <v>946</v>
      </c>
      <c r="B308" s="12"/>
      <c r="C308" s="9"/>
      <c r="D308" s="25"/>
      <c r="E308" s="10" t="str">
        <f t="shared" si="347"/>
        <v>OutubroSEMANA 1Bolo de Fuba (com cobertura de goiaba)</v>
      </c>
      <c r="F308" s="7">
        <f>SUMIF(NF!$A:$A,$E308,NF!$I:$I)</f>
        <v>4</v>
      </c>
      <c r="G308" s="6"/>
      <c r="H308" s="6"/>
      <c r="I308" s="6"/>
      <c r="J308" s="6"/>
      <c r="K308" s="6"/>
      <c r="L308" s="6"/>
      <c r="M308" s="6"/>
      <c r="N308" s="7">
        <f t="shared" si="390"/>
        <v>0</v>
      </c>
      <c r="O308" s="11">
        <f t="shared" si="364"/>
        <v>4</v>
      </c>
      <c r="P308" s="25"/>
      <c r="Q308" s="10" t="str">
        <f t="shared" si="350"/>
        <v>OutubroSEMANA 2Bolo de Fuba (com cobertura de goiaba)</v>
      </c>
      <c r="R308" s="7">
        <f>SUMIF(NF!$A:$A,$Q308,NF!$I:$I)</f>
        <v>0</v>
      </c>
      <c r="S308" s="6">
        <v>4</v>
      </c>
      <c r="T308" s="6"/>
      <c r="U308" s="6"/>
      <c r="V308" s="6"/>
      <c r="W308" s="6"/>
      <c r="X308" s="6"/>
      <c r="Y308" s="6"/>
      <c r="Z308" s="7">
        <f t="shared" si="391"/>
        <v>4</v>
      </c>
      <c r="AA308" s="11">
        <f t="shared" si="366"/>
        <v>0</v>
      </c>
      <c r="AB308" s="25"/>
      <c r="AC308" s="10" t="str">
        <f t="shared" si="353"/>
        <v>OutubroSEMANA 3Bolo de Fuba (com cobertura de goiaba)</v>
      </c>
      <c r="AD308" s="7">
        <f>SUMIF(NF!$A:$A,$AC308,NF!$I:$I)</f>
        <v>1</v>
      </c>
      <c r="AE308" s="6"/>
      <c r="AF308" s="6"/>
      <c r="AG308" s="6"/>
      <c r="AH308" s="6"/>
      <c r="AI308" s="6"/>
      <c r="AJ308" s="6"/>
      <c r="AK308" s="6">
        <v>1</v>
      </c>
      <c r="AL308" s="7">
        <f t="shared" si="392"/>
        <v>1</v>
      </c>
      <c r="AM308" s="11">
        <f t="shared" si="368"/>
        <v>0</v>
      </c>
      <c r="AN308" s="25"/>
      <c r="AO308" s="10" t="str">
        <f t="shared" si="356"/>
        <v>OutubroSEMANA 4Bolo de Fuba (com cobertura de goiaba)</v>
      </c>
      <c r="AP308" s="7">
        <f>SUMIF(NF!$A:$A,$AO308,NF!$I:$I)</f>
        <v>2</v>
      </c>
      <c r="AQ308" s="6"/>
      <c r="AR308" s="6"/>
      <c r="AS308" s="6"/>
      <c r="AT308" s="6"/>
      <c r="AU308" s="6"/>
      <c r="AV308" s="6"/>
      <c r="AW308" s="6"/>
      <c r="AX308" s="7">
        <f t="shared" si="393"/>
        <v>0</v>
      </c>
      <c r="AY308" s="11">
        <f t="shared" si="370"/>
        <v>2</v>
      </c>
      <c r="AZ308" s="25"/>
      <c r="BA308" s="10" t="str">
        <f t="shared" si="359"/>
        <v>OutubroSEMANA 5Bolo de Fuba (com cobertura de goiaba)</v>
      </c>
      <c r="BB308" s="7">
        <f>SUMIF(NF!$A:$A,$BA308,NF!$I:$I)</f>
        <v>0</v>
      </c>
      <c r="BC308" s="6">
        <v>2</v>
      </c>
      <c r="BD308" s="6"/>
      <c r="BE308" s="6"/>
      <c r="BF308" s="74"/>
      <c r="BG308" s="74"/>
      <c r="BH308" s="74"/>
      <c r="BI308" s="74"/>
      <c r="BJ308" s="74"/>
      <c r="BK308" s="7">
        <f t="shared" si="394"/>
        <v>2</v>
      </c>
      <c r="BL308" s="8">
        <f t="shared" si="372"/>
        <v>0</v>
      </c>
      <c r="BM308" s="51" t="str">
        <f>IFERROR(VLOOKUP(A308,NF!$M:$O,3,0),"")</f>
        <v>Feirinha</v>
      </c>
      <c r="BN308" s="7">
        <f t="shared" si="373"/>
        <v>7</v>
      </c>
      <c r="BO308" s="8">
        <f t="array" ref="BO308">IFERROR(LARGE(IF(NF!$G$2:$G$3137='Mês atual'!A308,NF!$J$2:$J$3137),1),0)*BN308</f>
        <v>66.5</v>
      </c>
      <c r="BP308" s="50"/>
      <c r="BR308" s="147">
        <f t="array" ref="BR308">IFERROR(LARGE(IF(NF!$G$2:$G$3137='Mês atual'!A308,NF!$J$2:$J$3137),1),0)</f>
        <v>9.5</v>
      </c>
      <c r="BS308" s="143" t="str">
        <f>VLOOKUP(A308,NF!M:O,3,0)</f>
        <v>Feirinha</v>
      </c>
    </row>
    <row r="309" spans="1:71" x14ac:dyDescent="0.25">
      <c r="A309" s="108" t="s">
        <v>883</v>
      </c>
      <c r="B309" s="12"/>
      <c r="C309" s="9"/>
      <c r="D309" s="25"/>
      <c r="E309" s="10" t="str">
        <f t="shared" si="347"/>
        <v>OutubroSEMANA 1Cenoura Org. Feirinha</v>
      </c>
      <c r="F309" s="7">
        <f>SUMIF(NF!$A:$A,$E309,NF!$I:$I)</f>
        <v>2</v>
      </c>
      <c r="G309" s="6"/>
      <c r="H309" s="6"/>
      <c r="I309" s="6"/>
      <c r="J309" s="6"/>
      <c r="K309" s="6">
        <v>2</v>
      </c>
      <c r="L309" s="6"/>
      <c r="M309" s="6"/>
      <c r="N309" s="7">
        <f t="shared" ref="N309" si="406">SUM(G309:M309)</f>
        <v>2</v>
      </c>
      <c r="O309" s="11">
        <f t="shared" si="364"/>
        <v>0</v>
      </c>
      <c r="P309" s="25"/>
      <c r="Q309" s="10" t="str">
        <f t="shared" si="350"/>
        <v>OutubroSEMANA 2Cenoura Org. Feirinha</v>
      </c>
      <c r="R309" s="7">
        <f>SUMIF(NF!$A:$A,$Q309,NF!$I:$I)</f>
        <v>2</v>
      </c>
      <c r="S309" s="6"/>
      <c r="T309" s="6"/>
      <c r="U309" s="6"/>
      <c r="V309" s="6"/>
      <c r="W309" s="6"/>
      <c r="X309" s="6"/>
      <c r="Y309" s="6">
        <v>2</v>
      </c>
      <c r="Z309" s="7">
        <f t="shared" ref="Z309" si="407">SUM(S309:Y309)</f>
        <v>2</v>
      </c>
      <c r="AA309" s="11">
        <f t="shared" si="366"/>
        <v>0</v>
      </c>
      <c r="AB309" s="25"/>
      <c r="AC309" s="10" t="str">
        <f t="shared" si="353"/>
        <v>OutubroSEMANA 3Cenoura Org. Feirinha</v>
      </c>
      <c r="AD309" s="7">
        <f>SUMIF(NF!$A:$A,$AC309,NF!$I:$I)</f>
        <v>2</v>
      </c>
      <c r="AE309" s="6"/>
      <c r="AF309" s="6"/>
      <c r="AG309" s="6"/>
      <c r="AH309" s="6"/>
      <c r="AI309" s="6">
        <v>2</v>
      </c>
      <c r="AJ309" s="6"/>
      <c r="AK309" s="6"/>
      <c r="AL309" s="7">
        <f t="shared" ref="AL309" si="408">SUM(AE309:AK309)</f>
        <v>2</v>
      </c>
      <c r="AM309" s="11">
        <f t="shared" si="368"/>
        <v>0</v>
      </c>
      <c r="AN309" s="25"/>
      <c r="AO309" s="10" t="str">
        <f t="shared" si="356"/>
        <v>OutubroSEMANA 4Cenoura Org. Feirinha</v>
      </c>
      <c r="AP309" s="7">
        <f>SUMIF(NF!$A:$A,$AO309,NF!$I:$I)</f>
        <v>2</v>
      </c>
      <c r="AQ309" s="6"/>
      <c r="AR309" s="6"/>
      <c r="AS309" s="6"/>
      <c r="AT309" s="6"/>
      <c r="AU309" s="6"/>
      <c r="AV309" s="6"/>
      <c r="AW309" s="6"/>
      <c r="AX309" s="7">
        <f t="shared" ref="AX309" si="409">SUM(AQ309:AW309)</f>
        <v>0</v>
      </c>
      <c r="AY309" s="11">
        <f t="shared" si="370"/>
        <v>2</v>
      </c>
      <c r="AZ309" s="25"/>
      <c r="BA309" s="10" t="str">
        <f t="shared" si="359"/>
        <v>OutubroSEMANA 5Cenoura Org. Feirinha</v>
      </c>
      <c r="BB309" s="7">
        <f>SUMIF(NF!$A:$A,$BA309,NF!$I:$I)</f>
        <v>0</v>
      </c>
      <c r="BC309" s="6">
        <v>2</v>
      </c>
      <c r="BD309" s="6"/>
      <c r="BE309" s="6"/>
      <c r="BF309" s="74"/>
      <c r="BG309" s="74"/>
      <c r="BH309" s="74"/>
      <c r="BI309" s="74"/>
      <c r="BJ309" s="74"/>
      <c r="BK309" s="7">
        <f t="shared" ref="BK309" si="410">SUM(BC309:BJ309)</f>
        <v>2</v>
      </c>
      <c r="BL309" s="8">
        <f t="shared" si="372"/>
        <v>0</v>
      </c>
      <c r="BM309" s="51" t="str">
        <f>IFERROR(VLOOKUP(A309,NF!$M:$O,3,0),"")</f>
        <v>Feirinha</v>
      </c>
      <c r="BN309" s="7">
        <f t="shared" si="373"/>
        <v>8</v>
      </c>
      <c r="BO309" s="8">
        <f t="array" ref="BO309">IFERROR(LARGE(IF(NF!$G$2:$G$3137='Mês atual'!A309,NF!$J$2:$J$3137),1),0)*BN309</f>
        <v>62</v>
      </c>
      <c r="BP309" s="50"/>
      <c r="BR309" s="147">
        <f t="array" ref="BR309">IFERROR(LARGE(IF(NF!$G$2:$G$3137='Mês atual'!A309,NF!$J$2:$J$3137),1),0)</f>
        <v>7.75</v>
      </c>
      <c r="BS309" s="143" t="str">
        <f>VLOOKUP(A309,NF!M:O,3,0)</f>
        <v>Feirinha</v>
      </c>
    </row>
    <row r="310" spans="1:71" x14ac:dyDescent="0.25">
      <c r="A310" s="108" t="s">
        <v>1014</v>
      </c>
      <c r="B310" s="12"/>
      <c r="C310" s="9"/>
      <c r="D310" s="25"/>
      <c r="E310" s="10" t="str">
        <f t="shared" si="347"/>
        <v>OutubroSEMANA 1Chicória Lisa Org. Feirinha</v>
      </c>
      <c r="F310" s="7">
        <f>SUMIF(NF!$A:$A,$E310,NF!$I:$I)</f>
        <v>0</v>
      </c>
      <c r="G310" s="6"/>
      <c r="H310" s="6"/>
      <c r="I310" s="6"/>
      <c r="J310" s="6"/>
      <c r="K310" s="6"/>
      <c r="L310" s="6"/>
      <c r="M310" s="6"/>
      <c r="N310" s="7">
        <f t="shared" ref="N310" si="411">SUM(G310:M310)</f>
        <v>0</v>
      </c>
      <c r="O310" s="11">
        <f t="shared" ref="O310" si="412">F310+C310-N310</f>
        <v>0</v>
      </c>
      <c r="P310" s="25"/>
      <c r="Q310" s="10" t="str">
        <f t="shared" si="350"/>
        <v>OutubroSEMANA 2Chicória Lisa Org. Feirinha</v>
      </c>
      <c r="R310" s="7">
        <f>SUMIF(NF!$A:$A,$Q310,NF!$I:$I)</f>
        <v>0</v>
      </c>
      <c r="S310" s="6"/>
      <c r="T310" s="6"/>
      <c r="U310" s="6"/>
      <c r="V310" s="6"/>
      <c r="W310" s="6"/>
      <c r="X310" s="6"/>
      <c r="Y310" s="6"/>
      <c r="Z310" s="7">
        <f t="shared" ref="Z310" si="413">SUM(S310:Y310)</f>
        <v>0</v>
      </c>
      <c r="AA310" s="11">
        <f t="shared" ref="AA310" si="414">R310+O310-Z310</f>
        <v>0</v>
      </c>
      <c r="AB310" s="25"/>
      <c r="AC310" s="10" t="str">
        <f t="shared" si="353"/>
        <v>OutubroSEMANA 3Chicória Lisa Org. Feirinha</v>
      </c>
      <c r="AD310" s="7">
        <f>SUMIF(NF!$A:$A,$AC310,NF!$I:$I)</f>
        <v>0</v>
      </c>
      <c r="AE310" s="6"/>
      <c r="AF310" s="6"/>
      <c r="AG310" s="6"/>
      <c r="AH310" s="6"/>
      <c r="AI310" s="6"/>
      <c r="AJ310" s="6"/>
      <c r="AK310" s="6"/>
      <c r="AL310" s="7">
        <f t="shared" ref="AL310" si="415">SUM(AE310:AK310)</f>
        <v>0</v>
      </c>
      <c r="AM310" s="11">
        <f t="shared" ref="AM310" si="416">AD310+AA310-AL310</f>
        <v>0</v>
      </c>
      <c r="AN310" s="25"/>
      <c r="AO310" s="10" t="str">
        <f t="shared" si="356"/>
        <v>OutubroSEMANA 4Chicória Lisa Org. Feirinha</v>
      </c>
      <c r="AP310" s="7">
        <f>SUMIF(NF!$A:$A,$AO310,NF!$I:$I)</f>
        <v>0</v>
      </c>
      <c r="AQ310" s="6"/>
      <c r="AR310" s="6"/>
      <c r="AS310" s="6"/>
      <c r="AT310" s="6"/>
      <c r="AU310" s="6"/>
      <c r="AV310" s="6"/>
      <c r="AW310" s="6"/>
      <c r="AX310" s="7">
        <f t="shared" ref="AX310" si="417">SUM(AQ310:AW310)</f>
        <v>0</v>
      </c>
      <c r="AY310" s="11">
        <f t="shared" ref="AY310" si="418">AP310+AM310-AX310</f>
        <v>0</v>
      </c>
      <c r="AZ310" s="25"/>
      <c r="BA310" s="10" t="str">
        <f t="shared" si="359"/>
        <v>OutubroSEMANA 5Chicória Lisa Org. Feirinha</v>
      </c>
      <c r="BB310" s="7">
        <f>SUMIF(NF!$A:$A,$BA310,NF!$I:$I)</f>
        <v>0</v>
      </c>
      <c r="BC310" s="6"/>
      <c r="BD310" s="6"/>
      <c r="BE310" s="6"/>
      <c r="BF310" s="74"/>
      <c r="BG310" s="74"/>
      <c r="BH310" s="74"/>
      <c r="BI310" s="74"/>
      <c r="BJ310" s="74"/>
      <c r="BK310" s="7">
        <f t="shared" ref="BK310" si="419">SUM(BC310:BJ310)</f>
        <v>0</v>
      </c>
      <c r="BL310" s="8">
        <f t="shared" ref="BL310" si="420">BB310+AY310-BK310</f>
        <v>0</v>
      </c>
      <c r="BM310" s="51" t="str">
        <f>IFERROR(VLOOKUP(A310,NF!$M:$O,3,0),"")</f>
        <v>Feirinha</v>
      </c>
      <c r="BN310" s="7">
        <f t="shared" ref="BN310" si="421">SUM(N310,Z310,AL310,AX310,BK310)</f>
        <v>0</v>
      </c>
      <c r="BO310" s="8">
        <f t="array" ref="BO310">IFERROR(LARGE(IF(NF!$G$2:$G$3137='Mês atual'!A310,NF!$J$2:$J$3137),1),0)*BN310</f>
        <v>0</v>
      </c>
      <c r="BP310" s="50"/>
      <c r="BR310" s="147">
        <f t="array" ref="BR310">IFERROR(LARGE(IF(NF!$G$2:$G$3137='Mês atual'!A310,NF!$J$2:$J$3137),1),0)</f>
        <v>0</v>
      </c>
      <c r="BS310" s="143" t="str">
        <f>VLOOKUP(A310,NF!M:O,3,0)</f>
        <v>Feirinha</v>
      </c>
    </row>
    <row r="311" spans="1:71" x14ac:dyDescent="0.25">
      <c r="A311" s="108" t="s">
        <v>947</v>
      </c>
      <c r="B311" s="12"/>
      <c r="C311" s="9"/>
      <c r="D311" s="25"/>
      <c r="E311" s="10" t="str">
        <f t="shared" si="347"/>
        <v>OutubroSEMANA 1Chuchu Org. Feirinha</v>
      </c>
      <c r="F311" s="7">
        <f>SUMIF(NF!$A:$A,$E311,NF!$I:$I)</f>
        <v>0</v>
      </c>
      <c r="G311" s="6"/>
      <c r="H311" s="6"/>
      <c r="I311" s="6"/>
      <c r="J311" s="6"/>
      <c r="K311" s="6"/>
      <c r="L311" s="6"/>
      <c r="M311" s="6"/>
      <c r="N311" s="7">
        <f t="shared" ref="N311" si="422">SUM(G311:M311)</f>
        <v>0</v>
      </c>
      <c r="O311" s="11">
        <f t="shared" si="364"/>
        <v>0</v>
      </c>
      <c r="P311" s="25"/>
      <c r="Q311" s="10" t="str">
        <f t="shared" si="350"/>
        <v>OutubroSEMANA 2Chuchu Org. Feirinha</v>
      </c>
      <c r="R311" s="7">
        <f>SUMIF(NF!$A:$A,$Q311,NF!$I:$I)</f>
        <v>0</v>
      </c>
      <c r="S311" s="6"/>
      <c r="T311" s="6"/>
      <c r="U311" s="6"/>
      <c r="V311" s="6"/>
      <c r="W311" s="6"/>
      <c r="X311" s="6"/>
      <c r="Y311" s="6"/>
      <c r="Z311" s="7">
        <f t="shared" ref="Z311" si="423">SUM(S311:Y311)</f>
        <v>0</v>
      </c>
      <c r="AA311" s="11">
        <f t="shared" si="366"/>
        <v>0</v>
      </c>
      <c r="AB311" s="25"/>
      <c r="AC311" s="10" t="str">
        <f t="shared" si="353"/>
        <v>OutubroSEMANA 3Chuchu Org. Feirinha</v>
      </c>
      <c r="AD311" s="7">
        <f>SUMIF(NF!$A:$A,$AC311,NF!$I:$I)</f>
        <v>0</v>
      </c>
      <c r="AE311" s="6"/>
      <c r="AF311" s="6"/>
      <c r="AG311" s="6"/>
      <c r="AH311" s="6"/>
      <c r="AI311" s="6"/>
      <c r="AJ311" s="6"/>
      <c r="AK311" s="6"/>
      <c r="AL311" s="7">
        <f t="shared" ref="AL311" si="424">SUM(AE311:AK311)</f>
        <v>0</v>
      </c>
      <c r="AM311" s="11">
        <f t="shared" si="368"/>
        <v>0</v>
      </c>
      <c r="AN311" s="25"/>
      <c r="AO311" s="10" t="str">
        <f t="shared" si="356"/>
        <v>OutubroSEMANA 4Chuchu Org. Feirinha</v>
      </c>
      <c r="AP311" s="7">
        <f>SUMIF(NF!$A:$A,$AO311,NF!$I:$I)</f>
        <v>0</v>
      </c>
      <c r="AQ311" s="6"/>
      <c r="AR311" s="6"/>
      <c r="AS311" s="6"/>
      <c r="AT311" s="6"/>
      <c r="AU311" s="6"/>
      <c r="AV311" s="6"/>
      <c r="AW311" s="6"/>
      <c r="AX311" s="7">
        <f t="shared" ref="AX311" si="425">SUM(AQ311:AW311)</f>
        <v>0</v>
      </c>
      <c r="AY311" s="11">
        <f t="shared" si="370"/>
        <v>0</v>
      </c>
      <c r="AZ311" s="25"/>
      <c r="BA311" s="10" t="str">
        <f t="shared" si="359"/>
        <v>OutubroSEMANA 5Chuchu Org. Feirinha</v>
      </c>
      <c r="BB311" s="7">
        <f>SUMIF(NF!$A:$A,$BA311,NF!$I:$I)</f>
        <v>0</v>
      </c>
      <c r="BC311" s="6"/>
      <c r="BD311" s="6"/>
      <c r="BE311" s="6"/>
      <c r="BF311" s="74"/>
      <c r="BG311" s="74"/>
      <c r="BH311" s="74"/>
      <c r="BI311" s="74"/>
      <c r="BJ311" s="74"/>
      <c r="BK311" s="7">
        <f t="shared" ref="BK311" si="426">SUM(BC311:BJ311)</f>
        <v>0</v>
      </c>
      <c r="BL311" s="8">
        <f t="shared" si="372"/>
        <v>0</v>
      </c>
      <c r="BM311" s="51" t="str">
        <f>IFERROR(VLOOKUP(A311,NF!$M:$O,3,0),"")</f>
        <v>Feirinha</v>
      </c>
      <c r="BN311" s="7">
        <f t="shared" si="373"/>
        <v>0</v>
      </c>
      <c r="BO311" s="8">
        <f t="array" ref="BO311">IFERROR(LARGE(IF(NF!$G$2:$G$3137='Mês atual'!A311,NF!$J$2:$J$3137),1),0)*BN311</f>
        <v>0</v>
      </c>
      <c r="BP311" s="50"/>
      <c r="BR311" s="147">
        <f t="array" ref="BR311">IFERROR(LARGE(IF(NF!$G$2:$G$3137='Mês atual'!A311,NF!$J$2:$J$3137),1),0)</f>
        <v>0</v>
      </c>
      <c r="BS311" s="143" t="str">
        <f>VLOOKUP(A311,NF!M:O,3,0)</f>
        <v>Feirinha</v>
      </c>
    </row>
    <row r="312" spans="1:71" x14ac:dyDescent="0.25">
      <c r="A312" s="108" t="s">
        <v>998</v>
      </c>
      <c r="B312" s="12"/>
      <c r="C312" s="9"/>
      <c r="D312" s="25"/>
      <c r="E312" s="10" t="str">
        <f t="shared" si="347"/>
        <v>OutubroSEMANA 1Cookie c/ Flocos de Arroz, Amendoas e Castanhas</v>
      </c>
      <c r="F312" s="7">
        <f>SUMIF(NF!$A:$A,$E312,NF!$I:$I)</f>
        <v>0</v>
      </c>
      <c r="G312" s="6"/>
      <c r="H312" s="6"/>
      <c r="I312" s="6"/>
      <c r="J312" s="6"/>
      <c r="K312" s="6"/>
      <c r="L312" s="6"/>
      <c r="M312" s="6"/>
      <c r="N312" s="7">
        <f t="shared" ref="N312" si="427">SUM(G312:M312)</f>
        <v>0</v>
      </c>
      <c r="O312" s="11">
        <f t="shared" ref="O312" si="428">F312+C312-N312</f>
        <v>0</v>
      </c>
      <c r="P312" s="25"/>
      <c r="Q312" s="10" t="str">
        <f t="shared" si="350"/>
        <v>OutubroSEMANA 2Cookie c/ Flocos de Arroz, Amendoas e Castanhas</v>
      </c>
      <c r="R312" s="7">
        <f>SUMIF(NF!$A:$A,$Q312,NF!$I:$I)</f>
        <v>0</v>
      </c>
      <c r="S312" s="6"/>
      <c r="T312" s="6"/>
      <c r="U312" s="6"/>
      <c r="V312" s="6"/>
      <c r="W312" s="6"/>
      <c r="X312" s="6"/>
      <c r="Y312" s="6"/>
      <c r="Z312" s="7">
        <f t="shared" ref="Z312" si="429">SUM(S312:Y312)</f>
        <v>0</v>
      </c>
      <c r="AA312" s="11">
        <f t="shared" ref="AA312" si="430">R312+O312-Z312</f>
        <v>0</v>
      </c>
      <c r="AB312" s="25"/>
      <c r="AC312" s="10" t="str">
        <f t="shared" si="353"/>
        <v>OutubroSEMANA 3Cookie c/ Flocos de Arroz, Amendoas e Castanhas</v>
      </c>
      <c r="AD312" s="7">
        <f>SUMIF(NF!$A:$A,$AC312,NF!$I:$I)</f>
        <v>0</v>
      </c>
      <c r="AE312" s="6"/>
      <c r="AF312" s="6"/>
      <c r="AG312" s="6"/>
      <c r="AH312" s="6"/>
      <c r="AI312" s="6"/>
      <c r="AJ312" s="6"/>
      <c r="AK312" s="6"/>
      <c r="AL312" s="7">
        <f t="shared" ref="AL312" si="431">SUM(AE312:AK312)</f>
        <v>0</v>
      </c>
      <c r="AM312" s="11">
        <f t="shared" ref="AM312" si="432">AD312+AA312-AL312</f>
        <v>0</v>
      </c>
      <c r="AN312" s="25"/>
      <c r="AO312" s="10" t="str">
        <f t="shared" si="356"/>
        <v>OutubroSEMANA 4Cookie c/ Flocos de Arroz, Amendoas e Castanhas</v>
      </c>
      <c r="AP312" s="7">
        <f>SUMIF(NF!$A:$A,$AO312,NF!$I:$I)</f>
        <v>0</v>
      </c>
      <c r="AQ312" s="6"/>
      <c r="AR312" s="6"/>
      <c r="AS312" s="6"/>
      <c r="AT312" s="6"/>
      <c r="AU312" s="6"/>
      <c r="AV312" s="6"/>
      <c r="AW312" s="6"/>
      <c r="AX312" s="7">
        <f t="shared" ref="AX312" si="433">SUM(AQ312:AW312)</f>
        <v>0</v>
      </c>
      <c r="AY312" s="11">
        <f t="shared" ref="AY312" si="434">AP312+AM312-AX312</f>
        <v>0</v>
      </c>
      <c r="AZ312" s="25"/>
      <c r="BA312" s="10" t="str">
        <f t="shared" si="359"/>
        <v>OutubroSEMANA 5Cookie c/ Flocos de Arroz, Amendoas e Castanhas</v>
      </c>
      <c r="BB312" s="7">
        <f>SUMIF(NF!$A:$A,$BA312,NF!$I:$I)</f>
        <v>0</v>
      </c>
      <c r="BC312" s="6"/>
      <c r="BD312" s="6"/>
      <c r="BE312" s="6"/>
      <c r="BF312" s="74"/>
      <c r="BG312" s="74"/>
      <c r="BH312" s="74"/>
      <c r="BI312" s="74"/>
      <c r="BJ312" s="74"/>
      <c r="BK312" s="7">
        <f t="shared" ref="BK312" si="435">SUM(BC312:BJ312)</f>
        <v>0</v>
      </c>
      <c r="BL312" s="8">
        <f t="shared" ref="BL312" si="436">BB312+AY312-BK312</f>
        <v>0</v>
      </c>
      <c r="BM312" s="51" t="str">
        <f>IFERROR(VLOOKUP(A312,NF!$M:$O,3,0),"")</f>
        <v>Feirinha</v>
      </c>
      <c r="BN312" s="7">
        <f t="shared" ref="BN312" si="437">SUM(N312,Z312,AL312,AX312,BK312)</f>
        <v>0</v>
      </c>
      <c r="BO312" s="8">
        <f t="array" ref="BO312">IFERROR(LARGE(IF(NF!$G$2:$G$3137='Mês atual'!A312,NF!$J$2:$J$3137),1),0)*BN312</f>
        <v>0</v>
      </c>
      <c r="BP312" s="50"/>
      <c r="BR312" s="147">
        <f t="array" ref="BR312">IFERROR(LARGE(IF(NF!$G$2:$G$3137='Mês atual'!A312,NF!$J$2:$J$3137),1),0)</f>
        <v>0</v>
      </c>
      <c r="BS312" s="143" t="str">
        <f>VLOOKUP(A312,NF!M:O,3,0)</f>
        <v>Feirinha</v>
      </c>
    </row>
    <row r="313" spans="1:71" x14ac:dyDescent="0.25">
      <c r="A313" s="108" t="s">
        <v>892</v>
      </c>
      <c r="B313" s="12"/>
      <c r="C313" s="9"/>
      <c r="D313" s="25"/>
      <c r="E313" s="10" t="str">
        <f t="shared" si="347"/>
        <v>OutubroSEMANA 1Couve Orgânica Feirinha</v>
      </c>
      <c r="F313" s="7">
        <f>SUMIF(NF!$A:$A,$E313,NF!$I:$I)</f>
        <v>0.9</v>
      </c>
      <c r="G313" s="6"/>
      <c r="H313" s="6"/>
      <c r="I313" s="6"/>
      <c r="J313" s="6"/>
      <c r="K313" s="6">
        <v>0.9</v>
      </c>
      <c r="L313" s="6"/>
      <c r="M313" s="6"/>
      <c r="N313" s="7">
        <f t="shared" ref="N313" si="438">SUM(G313:M313)</f>
        <v>0.9</v>
      </c>
      <c r="O313" s="11">
        <f t="shared" si="364"/>
        <v>0</v>
      </c>
      <c r="P313" s="25"/>
      <c r="Q313" s="10" t="str">
        <f t="shared" si="350"/>
        <v>OutubroSEMANA 2Couve Orgânica Feirinha</v>
      </c>
      <c r="R313" s="7">
        <f>SUMIF(NF!$A:$A,$Q313,NF!$I:$I)</f>
        <v>0.9</v>
      </c>
      <c r="S313" s="6"/>
      <c r="T313" s="6"/>
      <c r="U313" s="6"/>
      <c r="V313" s="6"/>
      <c r="W313" s="6"/>
      <c r="X313" s="6"/>
      <c r="Y313" s="6">
        <v>0.9</v>
      </c>
      <c r="Z313" s="7">
        <f t="shared" ref="Z313" si="439">SUM(S313:Y313)</f>
        <v>0.9</v>
      </c>
      <c r="AA313" s="11">
        <f t="shared" si="366"/>
        <v>0</v>
      </c>
      <c r="AB313" s="25"/>
      <c r="AC313" s="10" t="str">
        <f t="shared" si="353"/>
        <v>OutubroSEMANA 3Couve Orgânica Feirinha</v>
      </c>
      <c r="AD313" s="7">
        <f>SUMIF(NF!$A:$A,$AC313,NF!$I:$I)</f>
        <v>0</v>
      </c>
      <c r="AE313" s="6"/>
      <c r="AF313" s="6"/>
      <c r="AG313" s="6"/>
      <c r="AH313" s="6"/>
      <c r="AI313" s="6"/>
      <c r="AJ313" s="6"/>
      <c r="AK313" s="6"/>
      <c r="AL313" s="7">
        <f t="shared" ref="AL313" si="440">SUM(AE313:AK313)</f>
        <v>0</v>
      </c>
      <c r="AM313" s="11">
        <f t="shared" si="368"/>
        <v>0</v>
      </c>
      <c r="AN313" s="25"/>
      <c r="AO313" s="10" t="str">
        <f t="shared" si="356"/>
        <v>OutubroSEMANA 4Couve Orgânica Feirinha</v>
      </c>
      <c r="AP313" s="7">
        <f>SUMIF(NF!$A:$A,$AO313,NF!$I:$I)</f>
        <v>0.9</v>
      </c>
      <c r="AQ313" s="6"/>
      <c r="AR313" s="6"/>
      <c r="AS313" s="6"/>
      <c r="AT313" s="6"/>
      <c r="AU313" s="6"/>
      <c r="AV313" s="6"/>
      <c r="AW313" s="6"/>
      <c r="AX313" s="7">
        <f t="shared" ref="AX313" si="441">SUM(AQ313:AW313)</f>
        <v>0</v>
      </c>
      <c r="AY313" s="11">
        <f t="shared" si="370"/>
        <v>0.9</v>
      </c>
      <c r="AZ313" s="25"/>
      <c r="BA313" s="10" t="str">
        <f t="shared" si="359"/>
        <v>OutubroSEMANA 5Couve Orgânica Feirinha</v>
      </c>
      <c r="BB313" s="7">
        <f>SUMIF(NF!$A:$A,$BA313,NF!$I:$I)</f>
        <v>0</v>
      </c>
      <c r="BC313" s="6">
        <v>0.9</v>
      </c>
      <c r="BD313" s="6"/>
      <c r="BE313" s="6"/>
      <c r="BF313" s="74"/>
      <c r="BG313" s="74"/>
      <c r="BH313" s="74"/>
      <c r="BI313" s="74"/>
      <c r="BJ313" s="74"/>
      <c r="BK313" s="7">
        <f t="shared" ref="BK313" si="442">SUM(BC313:BJ313)</f>
        <v>0.9</v>
      </c>
      <c r="BL313" s="8">
        <f t="shared" si="372"/>
        <v>0</v>
      </c>
      <c r="BM313" s="51" t="str">
        <f>IFERROR(VLOOKUP(A313,NF!$M:$O,3,0),"")</f>
        <v>Feirinha</v>
      </c>
      <c r="BN313" s="7">
        <f t="shared" si="373"/>
        <v>2.7</v>
      </c>
      <c r="BO313" s="8">
        <f t="array" ref="BO313">IFERROR(LARGE(IF(NF!$G$2:$G$3137='Mês atual'!A313,NF!$J$2:$J$3137),1),0)*BN313</f>
        <v>25.200000000000003</v>
      </c>
      <c r="BP313" s="50"/>
      <c r="BR313" s="147">
        <f t="array" ref="BR313">IFERROR(LARGE(IF(NF!$G$2:$G$3137='Mês atual'!A313,NF!$J$2:$J$3137),1),0)</f>
        <v>9.3333333333333339</v>
      </c>
      <c r="BS313" s="143" t="str">
        <f>VLOOKUP(A313,NF!M:O,3,0)</f>
        <v>Feirinha</v>
      </c>
    </row>
    <row r="314" spans="1:71" x14ac:dyDescent="0.25">
      <c r="A314" s="108" t="s">
        <v>1015</v>
      </c>
      <c r="B314" s="12"/>
      <c r="C314" s="9"/>
      <c r="D314" s="25"/>
      <c r="E314" s="10" t="str">
        <f t="shared" si="347"/>
        <v>OutubroSEMANA 1Ervilha Torta Org. Feirinha</v>
      </c>
      <c r="F314" s="7">
        <f>SUMIF(NF!$A:$A,$E314,NF!$I:$I)</f>
        <v>0</v>
      </c>
      <c r="G314" s="6"/>
      <c r="H314" s="6"/>
      <c r="I314" s="6"/>
      <c r="J314" s="6"/>
      <c r="K314" s="6"/>
      <c r="L314" s="6"/>
      <c r="M314" s="6"/>
      <c r="N314" s="7">
        <f t="shared" ref="N314" si="443">SUM(G314:M314)</f>
        <v>0</v>
      </c>
      <c r="O314" s="11">
        <f t="shared" ref="O314" si="444">F314+C314-N314</f>
        <v>0</v>
      </c>
      <c r="P314" s="25"/>
      <c r="Q314" s="10" t="str">
        <f t="shared" si="350"/>
        <v>OutubroSEMANA 2Ervilha Torta Org. Feirinha</v>
      </c>
      <c r="R314" s="7">
        <f>SUMIF(NF!$A:$A,$Q314,NF!$I:$I)</f>
        <v>0</v>
      </c>
      <c r="S314" s="6"/>
      <c r="T314" s="6"/>
      <c r="U314" s="6"/>
      <c r="V314" s="6"/>
      <c r="W314" s="6"/>
      <c r="X314" s="6"/>
      <c r="Y314" s="6"/>
      <c r="Z314" s="7">
        <f t="shared" ref="Z314" si="445">SUM(S314:Y314)</f>
        <v>0</v>
      </c>
      <c r="AA314" s="11">
        <f t="shared" ref="AA314" si="446">R314+O314-Z314</f>
        <v>0</v>
      </c>
      <c r="AB314" s="25"/>
      <c r="AC314" s="10" t="str">
        <f t="shared" si="353"/>
        <v>OutubroSEMANA 3Ervilha Torta Org. Feirinha</v>
      </c>
      <c r="AD314" s="7">
        <f>SUMIF(NF!$A:$A,$AC314,NF!$I:$I)</f>
        <v>0</v>
      </c>
      <c r="AE314" s="6"/>
      <c r="AF314" s="6"/>
      <c r="AG314" s="6"/>
      <c r="AH314" s="6"/>
      <c r="AI314" s="6"/>
      <c r="AJ314" s="6"/>
      <c r="AK314" s="6"/>
      <c r="AL314" s="7">
        <f t="shared" ref="AL314" si="447">SUM(AE314:AK314)</f>
        <v>0</v>
      </c>
      <c r="AM314" s="11">
        <f t="shared" ref="AM314" si="448">AD314+AA314-AL314</f>
        <v>0</v>
      </c>
      <c r="AN314" s="25"/>
      <c r="AO314" s="10" t="str">
        <f t="shared" si="356"/>
        <v>OutubroSEMANA 4Ervilha Torta Org. Feirinha</v>
      </c>
      <c r="AP314" s="7">
        <f>SUMIF(NF!$A:$A,$AO314,NF!$I:$I)</f>
        <v>0</v>
      </c>
      <c r="AQ314" s="6"/>
      <c r="AR314" s="6"/>
      <c r="AS314" s="6"/>
      <c r="AT314" s="6"/>
      <c r="AU314" s="6"/>
      <c r="AV314" s="6"/>
      <c r="AW314" s="6"/>
      <c r="AX314" s="7">
        <f t="shared" ref="AX314" si="449">SUM(AQ314:AW314)</f>
        <v>0</v>
      </c>
      <c r="AY314" s="11">
        <f t="shared" ref="AY314" si="450">AP314+AM314-AX314</f>
        <v>0</v>
      </c>
      <c r="AZ314" s="25"/>
      <c r="BA314" s="10" t="str">
        <f t="shared" si="359"/>
        <v>OutubroSEMANA 5Ervilha Torta Org. Feirinha</v>
      </c>
      <c r="BB314" s="7">
        <f>SUMIF(NF!$A:$A,$BA314,NF!$I:$I)</f>
        <v>0</v>
      </c>
      <c r="BC314" s="6"/>
      <c r="BD314" s="6"/>
      <c r="BE314" s="6"/>
      <c r="BF314" s="74"/>
      <c r="BG314" s="74"/>
      <c r="BH314" s="74"/>
      <c r="BI314" s="74"/>
      <c r="BJ314" s="74"/>
      <c r="BK314" s="7">
        <f t="shared" ref="BK314" si="451">SUM(BC314:BJ314)</f>
        <v>0</v>
      </c>
      <c r="BL314" s="8">
        <f t="shared" ref="BL314" si="452">BB314+AY314-BK314</f>
        <v>0</v>
      </c>
      <c r="BM314" s="51" t="str">
        <f>IFERROR(VLOOKUP(A314,NF!$M:$O,3,0),"")</f>
        <v>Feirinha</v>
      </c>
      <c r="BN314" s="7">
        <f t="shared" ref="BN314" si="453">SUM(N314,Z314,AL314,AX314,BK314)</f>
        <v>0</v>
      </c>
      <c r="BO314" s="8">
        <f t="array" ref="BO314">IFERROR(LARGE(IF(NF!$G$2:$G$3137='Mês atual'!A314,NF!$J$2:$J$3137),1),0)*BN314</f>
        <v>0</v>
      </c>
      <c r="BP314" s="50"/>
      <c r="BR314" s="147">
        <f t="array" ref="BR314">IFERROR(LARGE(IF(NF!$G$2:$G$3137='Mês atual'!A314,NF!$J$2:$J$3137),1),0)</f>
        <v>0</v>
      </c>
      <c r="BS314" s="143" t="str">
        <f>VLOOKUP(A314,NF!M:O,3,0)</f>
        <v>Feirinha</v>
      </c>
    </row>
    <row r="315" spans="1:71" x14ac:dyDescent="0.25">
      <c r="A315" s="108" t="s">
        <v>948</v>
      </c>
      <c r="B315" s="12"/>
      <c r="C315" s="9"/>
      <c r="D315" s="25"/>
      <c r="E315" s="10" t="str">
        <f t="shared" si="347"/>
        <v>OutubroSEMANA 1Espinafre Org. Feirinha</v>
      </c>
      <c r="F315" s="7">
        <f>SUMIF(NF!$A:$A,$E315,NF!$I:$I)</f>
        <v>0</v>
      </c>
      <c r="G315" s="6"/>
      <c r="H315" s="6"/>
      <c r="I315" s="6"/>
      <c r="J315" s="6"/>
      <c r="K315" s="6"/>
      <c r="L315" s="6"/>
      <c r="M315" s="6"/>
      <c r="N315" s="7">
        <f t="shared" ref="N315" si="454">SUM(G315:M315)</f>
        <v>0</v>
      </c>
      <c r="O315" s="11">
        <f t="shared" si="364"/>
        <v>0</v>
      </c>
      <c r="P315" s="25"/>
      <c r="Q315" s="10" t="str">
        <f t="shared" si="350"/>
        <v>OutubroSEMANA 2Espinafre Org. Feirinha</v>
      </c>
      <c r="R315" s="7">
        <f>SUMIF(NF!$A:$A,$Q315,NF!$I:$I)</f>
        <v>0</v>
      </c>
      <c r="S315" s="6"/>
      <c r="T315" s="6"/>
      <c r="U315" s="6"/>
      <c r="V315" s="6"/>
      <c r="W315" s="6"/>
      <c r="X315" s="6"/>
      <c r="Y315" s="6"/>
      <c r="Z315" s="7">
        <f t="shared" ref="Z315" si="455">SUM(S315:Y315)</f>
        <v>0</v>
      </c>
      <c r="AA315" s="11">
        <f t="shared" si="366"/>
        <v>0</v>
      </c>
      <c r="AB315" s="25"/>
      <c r="AC315" s="10" t="str">
        <f t="shared" si="353"/>
        <v>OutubroSEMANA 3Espinafre Org. Feirinha</v>
      </c>
      <c r="AD315" s="7">
        <f>SUMIF(NF!$A:$A,$AC315,NF!$I:$I)</f>
        <v>0</v>
      </c>
      <c r="AE315" s="6"/>
      <c r="AF315" s="6"/>
      <c r="AG315" s="6"/>
      <c r="AH315" s="6"/>
      <c r="AI315" s="6"/>
      <c r="AJ315" s="6"/>
      <c r="AK315" s="6"/>
      <c r="AL315" s="7">
        <f t="shared" ref="AL315" si="456">SUM(AE315:AK315)</f>
        <v>0</v>
      </c>
      <c r="AM315" s="11">
        <f t="shared" si="368"/>
        <v>0</v>
      </c>
      <c r="AN315" s="25"/>
      <c r="AO315" s="10" t="str">
        <f t="shared" si="356"/>
        <v>OutubroSEMANA 4Espinafre Org. Feirinha</v>
      </c>
      <c r="AP315" s="7">
        <f>SUMIF(NF!$A:$A,$AO315,NF!$I:$I)</f>
        <v>0</v>
      </c>
      <c r="AQ315" s="6"/>
      <c r="AR315" s="6"/>
      <c r="AS315" s="6"/>
      <c r="AT315" s="6"/>
      <c r="AU315" s="6"/>
      <c r="AV315" s="6"/>
      <c r="AW315" s="6"/>
      <c r="AX315" s="7">
        <f t="shared" ref="AX315" si="457">SUM(AQ315:AW315)</f>
        <v>0</v>
      </c>
      <c r="AY315" s="11">
        <f t="shared" si="370"/>
        <v>0</v>
      </c>
      <c r="AZ315" s="25"/>
      <c r="BA315" s="10" t="str">
        <f t="shared" si="359"/>
        <v>OutubroSEMANA 5Espinafre Org. Feirinha</v>
      </c>
      <c r="BB315" s="7">
        <f>SUMIF(NF!$A:$A,$BA315,NF!$I:$I)</f>
        <v>0</v>
      </c>
      <c r="BC315" s="6"/>
      <c r="BD315" s="6"/>
      <c r="BE315" s="6"/>
      <c r="BF315" s="74"/>
      <c r="BG315" s="74"/>
      <c r="BH315" s="74"/>
      <c r="BI315" s="74"/>
      <c r="BJ315" s="74"/>
      <c r="BK315" s="7">
        <f t="shared" ref="BK315" si="458">SUM(BC315:BJ315)</f>
        <v>0</v>
      </c>
      <c r="BL315" s="8">
        <f t="shared" si="372"/>
        <v>0</v>
      </c>
      <c r="BM315" s="51" t="str">
        <f>IFERROR(VLOOKUP(A315,NF!$M:$O,3,0),"")</f>
        <v>Feirinha</v>
      </c>
      <c r="BN315" s="7">
        <f t="shared" si="373"/>
        <v>0</v>
      </c>
      <c r="BO315" s="8">
        <f t="array" ref="BO315">IFERROR(LARGE(IF(NF!$G$2:$G$3137='Mês atual'!A315,NF!$J$2:$J$3137),1),0)*BN315</f>
        <v>0</v>
      </c>
      <c r="BP315" s="50"/>
      <c r="BR315" s="147">
        <f t="array" ref="BR315">IFERROR(LARGE(IF(NF!$G$2:$G$3137='Mês atual'!A315,NF!$J$2:$J$3137),1),0)</f>
        <v>0</v>
      </c>
      <c r="BS315" s="143" t="str">
        <f>VLOOKUP(A315,NF!M:O,3,0)</f>
        <v>Feirinha</v>
      </c>
    </row>
    <row r="316" spans="1:71" x14ac:dyDescent="0.25">
      <c r="A316" s="108" t="s">
        <v>407</v>
      </c>
      <c r="B316" s="12"/>
      <c r="C316" s="9">
        <v>1</v>
      </c>
      <c r="D316" s="25"/>
      <c r="E316" s="10" t="str">
        <f t="shared" si="347"/>
        <v>OutubroSEMANA 1Humaytá - Ambrosia</v>
      </c>
      <c r="F316" s="7">
        <f>SUMIF(NF!$A:$A,$E316,NF!$I:$I)</f>
        <v>0</v>
      </c>
      <c r="G316" s="6"/>
      <c r="H316" s="6"/>
      <c r="I316" s="6"/>
      <c r="J316" s="6"/>
      <c r="K316" s="6"/>
      <c r="L316" s="6"/>
      <c r="M316" s="6"/>
      <c r="N316" s="7">
        <f t="shared" ref="N316" si="459">SUM(G316:M316)</f>
        <v>0</v>
      </c>
      <c r="O316" s="11">
        <f t="shared" si="364"/>
        <v>1</v>
      </c>
      <c r="P316" s="25"/>
      <c r="Q316" s="10" t="str">
        <f t="shared" si="350"/>
        <v>OutubroSEMANA 2Humaytá - Ambrosia</v>
      </c>
      <c r="R316" s="7">
        <f>SUMIF(NF!$A:$A,$Q316,NF!$I:$I)</f>
        <v>0</v>
      </c>
      <c r="S316" s="6"/>
      <c r="T316" s="6"/>
      <c r="U316" s="6"/>
      <c r="V316" s="6"/>
      <c r="W316" s="6"/>
      <c r="X316" s="6"/>
      <c r="Y316" s="6"/>
      <c r="Z316" s="7">
        <f t="shared" ref="Z316" si="460">SUM(S316:Y316)</f>
        <v>0</v>
      </c>
      <c r="AA316" s="11">
        <f t="shared" si="366"/>
        <v>1</v>
      </c>
      <c r="AB316" s="25"/>
      <c r="AC316" s="10" t="str">
        <f t="shared" si="353"/>
        <v>OutubroSEMANA 3Humaytá - Ambrosia</v>
      </c>
      <c r="AD316" s="7">
        <f>SUMIF(NF!$A:$A,$AC316,NF!$I:$I)</f>
        <v>0</v>
      </c>
      <c r="AE316" s="6"/>
      <c r="AF316" s="6"/>
      <c r="AG316" s="6"/>
      <c r="AH316" s="6"/>
      <c r="AI316" s="6"/>
      <c r="AJ316" s="6"/>
      <c r="AK316" s="6"/>
      <c r="AL316" s="7">
        <f t="shared" ref="AL316" si="461">SUM(AE316:AK316)</f>
        <v>0</v>
      </c>
      <c r="AM316" s="11">
        <f t="shared" si="368"/>
        <v>1</v>
      </c>
      <c r="AN316" s="25"/>
      <c r="AO316" s="10" t="str">
        <f t="shared" si="356"/>
        <v>OutubroSEMANA 4Humaytá - Ambrosia</v>
      </c>
      <c r="AP316" s="7">
        <f>SUMIF(NF!$A:$A,$AO316,NF!$I:$I)</f>
        <v>0</v>
      </c>
      <c r="AQ316" s="6"/>
      <c r="AR316" s="6"/>
      <c r="AS316" s="6"/>
      <c r="AT316" s="6"/>
      <c r="AU316" s="6"/>
      <c r="AV316" s="6"/>
      <c r="AW316" s="6"/>
      <c r="AX316" s="7">
        <f t="shared" ref="AX316" si="462">SUM(AQ316:AW316)</f>
        <v>0</v>
      </c>
      <c r="AY316" s="11">
        <f t="shared" si="370"/>
        <v>1</v>
      </c>
      <c r="AZ316" s="25"/>
      <c r="BA316" s="10" t="str">
        <f t="shared" si="359"/>
        <v>OutubroSEMANA 5Humaytá - Ambrosia</v>
      </c>
      <c r="BB316" s="7">
        <f>SUMIF(NF!$A:$A,$BA316,NF!$I:$I)</f>
        <v>0</v>
      </c>
      <c r="BC316" s="6"/>
      <c r="BD316" s="6"/>
      <c r="BE316" s="6"/>
      <c r="BF316" s="74"/>
      <c r="BG316" s="74"/>
      <c r="BH316" s="74"/>
      <c r="BI316" s="74"/>
      <c r="BJ316" s="74"/>
      <c r="BK316" s="7">
        <f t="shared" ref="BK316" si="463">SUM(BC316:BJ316)</f>
        <v>0</v>
      </c>
      <c r="BL316" s="8">
        <f t="shared" si="372"/>
        <v>1</v>
      </c>
      <c r="BM316" s="51" t="str">
        <f>IFERROR(VLOOKUP(A316,NF!$M:$O,3,0),"")</f>
        <v>Feirinha</v>
      </c>
      <c r="BN316" s="7">
        <f t="shared" si="373"/>
        <v>0</v>
      </c>
      <c r="BO316" s="8">
        <f t="array" ref="BO316">IFERROR(LARGE(IF(NF!$G$2:$G$3137='Mês atual'!A316,NF!$J$2:$J$3137),1),0)*BN316</f>
        <v>0</v>
      </c>
      <c r="BP316" s="50"/>
      <c r="BR316" s="147">
        <f t="array" ref="BR316">IFERROR(LARGE(IF(NF!$G$2:$G$3137='Mês atual'!A316,NF!$J$2:$J$3137),1),0)</f>
        <v>0</v>
      </c>
      <c r="BS316" s="143" t="str">
        <f>VLOOKUP(A316,NF!M:O,3,0)</f>
        <v>Feirinha</v>
      </c>
    </row>
    <row r="317" spans="1:71" x14ac:dyDescent="0.25">
      <c r="A317" s="108" t="s">
        <v>408</v>
      </c>
      <c r="B317" s="12"/>
      <c r="C317" s="9"/>
      <c r="D317" s="25"/>
      <c r="E317" s="10" t="str">
        <f t="shared" si="347"/>
        <v xml:space="preserve">OutubroSEMANA 1Humaytá - Berinjela Antepasto </v>
      </c>
      <c r="F317" s="7">
        <f>SUMIF(NF!$A:$A,$E317,NF!$I:$I)</f>
        <v>0</v>
      </c>
      <c r="G317" s="6"/>
      <c r="H317" s="6"/>
      <c r="I317" s="6"/>
      <c r="J317" s="6"/>
      <c r="K317" s="6"/>
      <c r="L317" s="6"/>
      <c r="M317" s="6"/>
      <c r="N317" s="7">
        <f t="shared" ref="N317:N329" si="464">SUM(G317:M317)</f>
        <v>0</v>
      </c>
      <c r="O317" s="11">
        <f t="shared" si="364"/>
        <v>0</v>
      </c>
      <c r="P317" s="25"/>
      <c r="Q317" s="10" t="str">
        <f t="shared" si="350"/>
        <v xml:space="preserve">OutubroSEMANA 2Humaytá - Berinjela Antepasto </v>
      </c>
      <c r="R317" s="7">
        <f>SUMIF(NF!$A:$A,$Q317,NF!$I:$I)</f>
        <v>0</v>
      </c>
      <c r="S317" s="6"/>
      <c r="T317" s="6"/>
      <c r="U317" s="6"/>
      <c r="V317" s="6"/>
      <c r="W317" s="6"/>
      <c r="X317" s="6"/>
      <c r="Y317" s="6"/>
      <c r="Z317" s="7">
        <f t="shared" ref="Z317:Z329" si="465">SUM(S317:Y317)</f>
        <v>0</v>
      </c>
      <c r="AA317" s="11">
        <f t="shared" si="366"/>
        <v>0</v>
      </c>
      <c r="AB317" s="25"/>
      <c r="AC317" s="10" t="str">
        <f t="shared" si="353"/>
        <v xml:space="preserve">OutubroSEMANA 3Humaytá - Berinjela Antepasto </v>
      </c>
      <c r="AD317" s="7">
        <f>SUMIF(NF!$A:$A,$AC317,NF!$I:$I)</f>
        <v>0</v>
      </c>
      <c r="AE317" s="6"/>
      <c r="AF317" s="6"/>
      <c r="AG317" s="6"/>
      <c r="AH317" s="6"/>
      <c r="AI317" s="6"/>
      <c r="AJ317" s="6"/>
      <c r="AK317" s="6"/>
      <c r="AL317" s="7">
        <f t="shared" ref="AL317:AL329" si="466">SUM(AE317:AK317)</f>
        <v>0</v>
      </c>
      <c r="AM317" s="11">
        <f t="shared" si="368"/>
        <v>0</v>
      </c>
      <c r="AN317" s="25"/>
      <c r="AO317" s="10" t="str">
        <f t="shared" si="356"/>
        <v xml:space="preserve">OutubroSEMANA 4Humaytá - Berinjela Antepasto </v>
      </c>
      <c r="AP317" s="7">
        <f>SUMIF(NF!$A:$A,$AO317,NF!$I:$I)</f>
        <v>0</v>
      </c>
      <c r="AQ317" s="6"/>
      <c r="AR317" s="6"/>
      <c r="AS317" s="6"/>
      <c r="AT317" s="6"/>
      <c r="AU317" s="6"/>
      <c r="AV317" s="6"/>
      <c r="AW317" s="6"/>
      <c r="AX317" s="7">
        <f t="shared" ref="AX317:AX329" si="467">SUM(AQ317:AW317)</f>
        <v>0</v>
      </c>
      <c r="AY317" s="11">
        <f t="shared" si="370"/>
        <v>0</v>
      </c>
      <c r="AZ317" s="25"/>
      <c r="BA317" s="10" t="str">
        <f t="shared" si="359"/>
        <v xml:space="preserve">OutubroSEMANA 5Humaytá - Berinjela Antepasto </v>
      </c>
      <c r="BB317" s="7">
        <f>SUMIF(NF!$A:$A,$BA317,NF!$I:$I)</f>
        <v>0</v>
      </c>
      <c r="BC317" s="6"/>
      <c r="BD317" s="6"/>
      <c r="BE317" s="6"/>
      <c r="BF317" s="74"/>
      <c r="BG317" s="74"/>
      <c r="BH317" s="74"/>
      <c r="BI317" s="74"/>
      <c r="BJ317" s="74"/>
      <c r="BK317" s="7">
        <f t="shared" ref="BK317:BK329" si="468">SUM(BC317:BJ317)</f>
        <v>0</v>
      </c>
      <c r="BL317" s="8">
        <f t="shared" si="372"/>
        <v>0</v>
      </c>
      <c r="BM317" s="51" t="str">
        <f>IFERROR(VLOOKUP(A317,NF!$M:$O,3,0),"")</f>
        <v>Feirinha</v>
      </c>
      <c r="BN317" s="7">
        <f t="shared" si="373"/>
        <v>0</v>
      </c>
      <c r="BO317" s="8">
        <f t="array" ref="BO317">IFERROR(LARGE(IF(NF!$G$2:$G$3137='Mês atual'!A317,NF!$J$2:$J$3137),1),0)*BN317</f>
        <v>0</v>
      </c>
      <c r="BP317" s="50"/>
      <c r="BR317" s="147">
        <f t="array" ref="BR317">IFERROR(LARGE(IF(NF!$G$2:$G$3137='Mês atual'!A317,NF!$J$2:$J$3137),1),0)</f>
        <v>0</v>
      </c>
      <c r="BS317" s="143" t="str">
        <f>VLOOKUP(A317,NF!M:O,3,0)</f>
        <v>Feirinha</v>
      </c>
    </row>
    <row r="318" spans="1:71" x14ac:dyDescent="0.25">
      <c r="A318" s="108" t="s">
        <v>409</v>
      </c>
      <c r="B318" s="12"/>
      <c r="C318" s="9"/>
      <c r="D318" s="25"/>
      <c r="E318" s="10" t="str">
        <f t="shared" si="347"/>
        <v xml:space="preserve">OutubroSEMANA 1Humaytá - Berinjela com Tomate seco </v>
      </c>
      <c r="F318" s="7">
        <f>SUMIF(NF!$A:$A,$E318,NF!$I:$I)</f>
        <v>0</v>
      </c>
      <c r="G318" s="6"/>
      <c r="H318" s="6"/>
      <c r="I318" s="6"/>
      <c r="J318" s="6"/>
      <c r="K318" s="6"/>
      <c r="L318" s="6"/>
      <c r="M318" s="6"/>
      <c r="N318" s="7">
        <f t="shared" si="464"/>
        <v>0</v>
      </c>
      <c r="O318" s="11">
        <f t="shared" si="364"/>
        <v>0</v>
      </c>
      <c r="P318" s="25"/>
      <c r="Q318" s="10" t="str">
        <f t="shared" si="350"/>
        <v xml:space="preserve">OutubroSEMANA 2Humaytá - Berinjela com Tomate seco </v>
      </c>
      <c r="R318" s="7">
        <f>SUMIF(NF!$A:$A,$Q318,NF!$I:$I)</f>
        <v>0</v>
      </c>
      <c r="S318" s="6"/>
      <c r="T318" s="6"/>
      <c r="U318" s="6"/>
      <c r="V318" s="6"/>
      <c r="W318" s="6"/>
      <c r="X318" s="6"/>
      <c r="Y318" s="6"/>
      <c r="Z318" s="7">
        <f t="shared" si="465"/>
        <v>0</v>
      </c>
      <c r="AA318" s="11">
        <f t="shared" si="366"/>
        <v>0</v>
      </c>
      <c r="AB318" s="25"/>
      <c r="AC318" s="10" t="str">
        <f t="shared" si="353"/>
        <v xml:space="preserve">OutubroSEMANA 3Humaytá - Berinjela com Tomate seco </v>
      </c>
      <c r="AD318" s="7">
        <f>SUMIF(NF!$A:$A,$AC318,NF!$I:$I)</f>
        <v>0</v>
      </c>
      <c r="AE318" s="6"/>
      <c r="AF318" s="6"/>
      <c r="AG318" s="6"/>
      <c r="AH318" s="6"/>
      <c r="AI318" s="6"/>
      <c r="AJ318" s="6"/>
      <c r="AK318" s="6"/>
      <c r="AL318" s="7">
        <f t="shared" si="466"/>
        <v>0</v>
      </c>
      <c r="AM318" s="11">
        <f t="shared" si="368"/>
        <v>0</v>
      </c>
      <c r="AN318" s="25"/>
      <c r="AO318" s="10" t="str">
        <f t="shared" si="356"/>
        <v xml:space="preserve">OutubroSEMANA 4Humaytá - Berinjela com Tomate seco </v>
      </c>
      <c r="AP318" s="7">
        <f>SUMIF(NF!$A:$A,$AO318,NF!$I:$I)</f>
        <v>0</v>
      </c>
      <c r="AQ318" s="6"/>
      <c r="AR318" s="6"/>
      <c r="AS318" s="6"/>
      <c r="AT318" s="6"/>
      <c r="AU318" s="6"/>
      <c r="AV318" s="6"/>
      <c r="AW318" s="6"/>
      <c r="AX318" s="7">
        <f t="shared" si="467"/>
        <v>0</v>
      </c>
      <c r="AY318" s="11">
        <f t="shared" si="370"/>
        <v>0</v>
      </c>
      <c r="AZ318" s="25"/>
      <c r="BA318" s="10" t="str">
        <f t="shared" si="359"/>
        <v xml:space="preserve">OutubroSEMANA 5Humaytá - Berinjela com Tomate seco </v>
      </c>
      <c r="BB318" s="7">
        <f>SUMIF(NF!$A:$A,$BA318,NF!$I:$I)</f>
        <v>0</v>
      </c>
      <c r="BC318" s="6"/>
      <c r="BD318" s="6"/>
      <c r="BE318" s="6"/>
      <c r="BF318" s="74"/>
      <c r="BG318" s="74"/>
      <c r="BH318" s="74"/>
      <c r="BI318" s="74"/>
      <c r="BJ318" s="74"/>
      <c r="BK318" s="7">
        <f t="shared" si="468"/>
        <v>0</v>
      </c>
      <c r="BL318" s="8">
        <f t="shared" si="372"/>
        <v>0</v>
      </c>
      <c r="BM318" s="51" t="str">
        <f>IFERROR(VLOOKUP(A318,NF!$M:$O,3,0),"")</f>
        <v>Feirinha</v>
      </c>
      <c r="BN318" s="7">
        <f t="shared" si="373"/>
        <v>0</v>
      </c>
      <c r="BO318" s="8">
        <f t="array" ref="BO318">IFERROR(LARGE(IF(NF!$G$2:$G$3137='Mês atual'!A318,NF!$J$2:$J$3137),1),0)*BN318</f>
        <v>0</v>
      </c>
      <c r="BP318" s="50"/>
      <c r="BR318" s="147">
        <f t="array" ref="BR318">IFERROR(LARGE(IF(NF!$G$2:$G$3137='Mês atual'!A318,NF!$J$2:$J$3137),1),0)</f>
        <v>0</v>
      </c>
      <c r="BS318" s="143" t="str">
        <f>VLOOKUP(A318,NF!M:O,3,0)</f>
        <v>Feirinha</v>
      </c>
    </row>
    <row r="319" spans="1:71" x14ac:dyDescent="0.25">
      <c r="A319" s="108" t="s">
        <v>410</v>
      </c>
      <c r="B319" s="12"/>
      <c r="C319" s="9">
        <v>1</v>
      </c>
      <c r="D319" s="25"/>
      <c r="E319" s="10" t="str">
        <f t="shared" si="347"/>
        <v xml:space="preserve">OutubroSEMANA 1Humaytá - Chutney Damasco c/ Tâmaras </v>
      </c>
      <c r="F319" s="7">
        <f>SUMIF(NF!$A:$A,$E319,NF!$I:$I)</f>
        <v>0</v>
      </c>
      <c r="G319" s="6"/>
      <c r="H319" s="6"/>
      <c r="I319" s="6"/>
      <c r="J319" s="6"/>
      <c r="K319" s="6"/>
      <c r="L319" s="6"/>
      <c r="M319" s="6"/>
      <c r="N319" s="7">
        <f t="shared" si="464"/>
        <v>0</v>
      </c>
      <c r="O319" s="11">
        <f t="shared" si="364"/>
        <v>1</v>
      </c>
      <c r="P319" s="25"/>
      <c r="Q319" s="10" t="str">
        <f t="shared" si="350"/>
        <v xml:space="preserve">OutubroSEMANA 2Humaytá - Chutney Damasco c/ Tâmaras </v>
      </c>
      <c r="R319" s="7">
        <f>SUMIF(NF!$A:$A,$Q319,NF!$I:$I)</f>
        <v>0</v>
      </c>
      <c r="S319" s="6"/>
      <c r="T319" s="6"/>
      <c r="U319" s="6"/>
      <c r="V319" s="6"/>
      <c r="W319" s="6"/>
      <c r="X319" s="6"/>
      <c r="Y319" s="6"/>
      <c r="Z319" s="7">
        <f t="shared" si="465"/>
        <v>0</v>
      </c>
      <c r="AA319" s="11">
        <f t="shared" si="366"/>
        <v>1</v>
      </c>
      <c r="AB319" s="25"/>
      <c r="AC319" s="10" t="str">
        <f t="shared" si="353"/>
        <v xml:space="preserve">OutubroSEMANA 3Humaytá - Chutney Damasco c/ Tâmaras </v>
      </c>
      <c r="AD319" s="7">
        <f>SUMIF(NF!$A:$A,$AC319,NF!$I:$I)</f>
        <v>0</v>
      </c>
      <c r="AE319" s="6"/>
      <c r="AF319" s="6"/>
      <c r="AG319" s="6"/>
      <c r="AH319" s="6"/>
      <c r="AI319" s="6"/>
      <c r="AJ319" s="6"/>
      <c r="AK319" s="6">
        <v>1</v>
      </c>
      <c r="AL319" s="7">
        <f t="shared" si="466"/>
        <v>1</v>
      </c>
      <c r="AM319" s="11">
        <f t="shared" si="368"/>
        <v>0</v>
      </c>
      <c r="AN319" s="25"/>
      <c r="AO319" s="10" t="str">
        <f t="shared" si="356"/>
        <v xml:space="preserve">OutubroSEMANA 4Humaytá - Chutney Damasco c/ Tâmaras </v>
      </c>
      <c r="AP319" s="7">
        <f>SUMIF(NF!$A:$A,$AO319,NF!$I:$I)</f>
        <v>0</v>
      </c>
      <c r="AQ319" s="6"/>
      <c r="AR319" s="6"/>
      <c r="AS319" s="6"/>
      <c r="AT319" s="6"/>
      <c r="AU319" s="6"/>
      <c r="AV319" s="6"/>
      <c r="AW319" s="6"/>
      <c r="AX319" s="7">
        <f t="shared" si="467"/>
        <v>0</v>
      </c>
      <c r="AY319" s="11">
        <f t="shared" si="370"/>
        <v>0</v>
      </c>
      <c r="AZ319" s="25"/>
      <c r="BA319" s="10" t="str">
        <f t="shared" si="359"/>
        <v xml:space="preserve">OutubroSEMANA 5Humaytá - Chutney Damasco c/ Tâmaras </v>
      </c>
      <c r="BB319" s="7">
        <f>SUMIF(NF!$A:$A,$BA319,NF!$I:$I)</f>
        <v>0</v>
      </c>
      <c r="BC319" s="6"/>
      <c r="BD319" s="6"/>
      <c r="BE319" s="6"/>
      <c r="BF319" s="74"/>
      <c r="BG319" s="74"/>
      <c r="BH319" s="74"/>
      <c r="BI319" s="74"/>
      <c r="BJ319" s="74"/>
      <c r="BK319" s="7">
        <f t="shared" si="468"/>
        <v>0</v>
      </c>
      <c r="BL319" s="8">
        <f t="shared" si="372"/>
        <v>0</v>
      </c>
      <c r="BM319" s="51" t="str">
        <f>IFERROR(VLOOKUP(A319,NF!$M:$O,3,0),"")</f>
        <v>Feirinha</v>
      </c>
      <c r="BN319" s="7">
        <f t="shared" si="373"/>
        <v>1</v>
      </c>
      <c r="BO319" s="8">
        <f t="array" ref="BO319">IFERROR(LARGE(IF(NF!$G$2:$G$3137='Mês atual'!A319,NF!$J$2:$J$3137),1),0)*BN319</f>
        <v>0</v>
      </c>
      <c r="BP319" s="50"/>
      <c r="BR319" s="147">
        <f t="array" ref="BR319">IFERROR(LARGE(IF(NF!$G$2:$G$3137='Mês atual'!A319,NF!$J$2:$J$3137),1),0)</f>
        <v>0</v>
      </c>
      <c r="BS319" s="143" t="str">
        <f>VLOOKUP(A319,NF!M:O,3,0)</f>
        <v>Feirinha</v>
      </c>
    </row>
    <row r="320" spans="1:71" x14ac:dyDescent="0.25">
      <c r="A320" s="108" t="s">
        <v>411</v>
      </c>
      <c r="B320" s="12"/>
      <c r="C320" s="9">
        <v>2</v>
      </c>
      <c r="D320" s="25"/>
      <c r="E320" s="10" t="str">
        <f t="shared" si="347"/>
        <v xml:space="preserve">OutubroSEMANA 1Humaytá - Chutney de Manga </v>
      </c>
      <c r="F320" s="7">
        <f>SUMIF(NF!$A:$A,$E320,NF!$I:$I)</f>
        <v>0</v>
      </c>
      <c r="G320" s="6"/>
      <c r="H320" s="6"/>
      <c r="I320" s="6"/>
      <c r="J320" s="6"/>
      <c r="K320" s="6"/>
      <c r="L320" s="6"/>
      <c r="M320" s="6"/>
      <c r="N320" s="7">
        <f t="shared" si="464"/>
        <v>0</v>
      </c>
      <c r="O320" s="11">
        <f t="shared" si="364"/>
        <v>2</v>
      </c>
      <c r="P320" s="25"/>
      <c r="Q320" s="10" t="str">
        <f t="shared" si="350"/>
        <v xml:space="preserve">OutubroSEMANA 2Humaytá - Chutney de Manga </v>
      </c>
      <c r="R320" s="7">
        <f>SUMIF(NF!$A:$A,$Q320,NF!$I:$I)</f>
        <v>0</v>
      </c>
      <c r="S320" s="6"/>
      <c r="T320" s="6"/>
      <c r="U320" s="6"/>
      <c r="V320" s="6"/>
      <c r="W320" s="6"/>
      <c r="X320" s="6"/>
      <c r="Y320" s="6"/>
      <c r="Z320" s="7">
        <f t="shared" si="465"/>
        <v>0</v>
      </c>
      <c r="AA320" s="11">
        <f t="shared" si="366"/>
        <v>2</v>
      </c>
      <c r="AB320" s="25"/>
      <c r="AC320" s="10" t="str">
        <f t="shared" si="353"/>
        <v xml:space="preserve">OutubroSEMANA 3Humaytá - Chutney de Manga </v>
      </c>
      <c r="AD320" s="7">
        <f>SUMIF(NF!$A:$A,$AC320,NF!$I:$I)</f>
        <v>0</v>
      </c>
      <c r="AE320" s="6"/>
      <c r="AF320" s="6"/>
      <c r="AG320" s="6"/>
      <c r="AH320" s="6"/>
      <c r="AI320" s="6"/>
      <c r="AJ320" s="6"/>
      <c r="AK320" s="6"/>
      <c r="AL320" s="7">
        <f t="shared" si="466"/>
        <v>0</v>
      </c>
      <c r="AM320" s="11">
        <f t="shared" si="368"/>
        <v>2</v>
      </c>
      <c r="AN320" s="25"/>
      <c r="AO320" s="10" t="str">
        <f t="shared" si="356"/>
        <v xml:space="preserve">OutubroSEMANA 4Humaytá - Chutney de Manga </v>
      </c>
      <c r="AP320" s="7">
        <f>SUMIF(NF!$A:$A,$AO320,NF!$I:$I)</f>
        <v>0</v>
      </c>
      <c r="AQ320" s="6"/>
      <c r="AR320" s="6"/>
      <c r="AS320" s="6"/>
      <c r="AT320" s="6"/>
      <c r="AU320" s="6"/>
      <c r="AV320" s="6"/>
      <c r="AW320" s="6"/>
      <c r="AX320" s="7">
        <f t="shared" si="467"/>
        <v>0</v>
      </c>
      <c r="AY320" s="11">
        <f t="shared" si="370"/>
        <v>2</v>
      </c>
      <c r="AZ320" s="25"/>
      <c r="BA320" s="10" t="str">
        <f t="shared" si="359"/>
        <v xml:space="preserve">OutubroSEMANA 5Humaytá - Chutney de Manga </v>
      </c>
      <c r="BB320" s="7">
        <f>SUMIF(NF!$A:$A,$BA320,NF!$I:$I)</f>
        <v>0</v>
      </c>
      <c r="BC320" s="6"/>
      <c r="BD320" s="6"/>
      <c r="BE320" s="6"/>
      <c r="BF320" s="74"/>
      <c r="BG320" s="74"/>
      <c r="BH320" s="74"/>
      <c r="BI320" s="74"/>
      <c r="BJ320" s="74"/>
      <c r="BK320" s="7">
        <f t="shared" si="468"/>
        <v>0</v>
      </c>
      <c r="BL320" s="8">
        <f t="shared" si="372"/>
        <v>2</v>
      </c>
      <c r="BM320" s="51" t="str">
        <f>IFERROR(VLOOKUP(A320,NF!$M:$O,3,0),"")</f>
        <v>Feirinha</v>
      </c>
      <c r="BN320" s="7">
        <f t="shared" si="373"/>
        <v>0</v>
      </c>
      <c r="BO320" s="8">
        <f t="array" ref="BO320">IFERROR(LARGE(IF(NF!$G$2:$G$3137='Mês atual'!A320,NF!$J$2:$J$3137),1),0)*BN320</f>
        <v>0</v>
      </c>
      <c r="BP320" s="50"/>
      <c r="BR320" s="147">
        <f t="array" ref="BR320">IFERROR(LARGE(IF(NF!$G$2:$G$3137='Mês atual'!A320,NF!$J$2:$J$3137),1),0)</f>
        <v>0</v>
      </c>
      <c r="BS320" s="143" t="str">
        <f>VLOOKUP(A320,NF!M:O,3,0)</f>
        <v>Feirinha</v>
      </c>
    </row>
    <row r="321" spans="1:71" x14ac:dyDescent="0.25">
      <c r="A321" s="108" t="s">
        <v>412</v>
      </c>
      <c r="B321" s="12"/>
      <c r="C321" s="9">
        <v>1</v>
      </c>
      <c r="D321" s="25"/>
      <c r="E321" s="10" t="str">
        <f t="shared" si="347"/>
        <v>OutubroSEMANA 1Humaytá - Chuvisco</v>
      </c>
      <c r="F321" s="7">
        <f>SUMIF(NF!$A:$A,$E321,NF!$I:$I)</f>
        <v>0</v>
      </c>
      <c r="G321" s="6"/>
      <c r="H321" s="6"/>
      <c r="I321" s="6"/>
      <c r="J321" s="6"/>
      <c r="K321" s="6"/>
      <c r="L321" s="6"/>
      <c r="M321" s="6"/>
      <c r="N321" s="7">
        <f t="shared" si="464"/>
        <v>0</v>
      </c>
      <c r="O321" s="11">
        <f t="shared" si="364"/>
        <v>1</v>
      </c>
      <c r="P321" s="25"/>
      <c r="Q321" s="10" t="str">
        <f t="shared" si="350"/>
        <v>OutubroSEMANA 2Humaytá - Chuvisco</v>
      </c>
      <c r="R321" s="7">
        <f>SUMIF(NF!$A:$A,$Q321,NF!$I:$I)</f>
        <v>0</v>
      </c>
      <c r="S321" s="6"/>
      <c r="T321" s="6"/>
      <c r="U321" s="6"/>
      <c r="V321" s="6"/>
      <c r="W321" s="6"/>
      <c r="X321" s="6"/>
      <c r="Y321" s="6"/>
      <c r="Z321" s="7">
        <f t="shared" si="465"/>
        <v>0</v>
      </c>
      <c r="AA321" s="11">
        <f t="shared" si="366"/>
        <v>1</v>
      </c>
      <c r="AB321" s="25"/>
      <c r="AC321" s="10" t="str">
        <f t="shared" si="353"/>
        <v>OutubroSEMANA 3Humaytá - Chuvisco</v>
      </c>
      <c r="AD321" s="7">
        <f>SUMIF(NF!$A:$A,$AC321,NF!$I:$I)</f>
        <v>0</v>
      </c>
      <c r="AE321" s="6"/>
      <c r="AF321" s="6"/>
      <c r="AG321" s="6"/>
      <c r="AH321" s="6"/>
      <c r="AI321" s="6"/>
      <c r="AJ321" s="6"/>
      <c r="AK321" s="6"/>
      <c r="AL321" s="7">
        <f t="shared" si="466"/>
        <v>0</v>
      </c>
      <c r="AM321" s="11">
        <f t="shared" si="368"/>
        <v>1</v>
      </c>
      <c r="AN321" s="25"/>
      <c r="AO321" s="10" t="str">
        <f t="shared" si="356"/>
        <v>OutubroSEMANA 4Humaytá - Chuvisco</v>
      </c>
      <c r="AP321" s="7">
        <f>SUMIF(NF!$A:$A,$AO321,NF!$I:$I)</f>
        <v>0</v>
      </c>
      <c r="AQ321" s="6"/>
      <c r="AR321" s="6"/>
      <c r="AS321" s="6"/>
      <c r="AT321" s="6"/>
      <c r="AU321" s="6"/>
      <c r="AV321" s="6"/>
      <c r="AW321" s="6"/>
      <c r="AX321" s="7">
        <f t="shared" si="467"/>
        <v>0</v>
      </c>
      <c r="AY321" s="11">
        <f t="shared" si="370"/>
        <v>1</v>
      </c>
      <c r="AZ321" s="25"/>
      <c r="BA321" s="10" t="str">
        <f t="shared" si="359"/>
        <v>OutubroSEMANA 5Humaytá - Chuvisco</v>
      </c>
      <c r="BB321" s="7">
        <f>SUMIF(NF!$A:$A,$BA321,NF!$I:$I)</f>
        <v>0</v>
      </c>
      <c r="BC321" s="6"/>
      <c r="BD321" s="6"/>
      <c r="BE321" s="6"/>
      <c r="BF321" s="74"/>
      <c r="BG321" s="74"/>
      <c r="BH321" s="74"/>
      <c r="BI321" s="74"/>
      <c r="BJ321" s="74"/>
      <c r="BK321" s="7">
        <f t="shared" si="468"/>
        <v>0</v>
      </c>
      <c r="BL321" s="8">
        <f t="shared" si="372"/>
        <v>1</v>
      </c>
      <c r="BM321" s="51" t="str">
        <f>IFERROR(VLOOKUP(A321,NF!$M:$O,3,0),"")</f>
        <v>Feirinha</v>
      </c>
      <c r="BN321" s="7">
        <f t="shared" si="373"/>
        <v>0</v>
      </c>
      <c r="BO321" s="8">
        <f t="array" ref="BO321">IFERROR(LARGE(IF(NF!$G$2:$G$3137='Mês atual'!A321,NF!$J$2:$J$3137),1),0)*BN321</f>
        <v>0</v>
      </c>
      <c r="BP321" s="50"/>
      <c r="BR321" s="147">
        <f t="array" ref="BR321">IFERROR(LARGE(IF(NF!$G$2:$G$3137='Mês atual'!A321,NF!$J$2:$J$3137),1),0)</f>
        <v>0</v>
      </c>
      <c r="BS321" s="143" t="str">
        <f>VLOOKUP(A321,NF!M:O,3,0)</f>
        <v>Feirinha</v>
      </c>
    </row>
    <row r="322" spans="1:71" x14ac:dyDescent="0.25">
      <c r="A322" s="108" t="s">
        <v>413</v>
      </c>
      <c r="B322" s="12"/>
      <c r="C322" s="9">
        <v>2</v>
      </c>
      <c r="D322" s="25"/>
      <c r="E322" s="10" t="str">
        <f t="shared" si="347"/>
        <v>OutubroSEMANA 1Humaytá - Compota de Abóbora</v>
      </c>
      <c r="F322" s="7">
        <f>SUMIF(NF!$A:$A,$E322,NF!$I:$I)</f>
        <v>0</v>
      </c>
      <c r="G322" s="6"/>
      <c r="H322" s="6"/>
      <c r="I322" s="6"/>
      <c r="J322" s="6"/>
      <c r="K322" s="6"/>
      <c r="L322" s="6"/>
      <c r="M322" s="6"/>
      <c r="N322" s="7">
        <f t="shared" si="464"/>
        <v>0</v>
      </c>
      <c r="O322" s="11">
        <f t="shared" si="364"/>
        <v>2</v>
      </c>
      <c r="P322" s="25"/>
      <c r="Q322" s="10" t="str">
        <f t="shared" si="350"/>
        <v>OutubroSEMANA 2Humaytá - Compota de Abóbora</v>
      </c>
      <c r="R322" s="7">
        <f>SUMIF(NF!$A:$A,$Q322,NF!$I:$I)</f>
        <v>0</v>
      </c>
      <c r="S322" s="6"/>
      <c r="T322" s="6"/>
      <c r="U322" s="6"/>
      <c r="V322" s="6"/>
      <c r="W322" s="6"/>
      <c r="X322" s="6"/>
      <c r="Y322" s="6"/>
      <c r="Z322" s="7">
        <f t="shared" si="465"/>
        <v>0</v>
      </c>
      <c r="AA322" s="11">
        <f t="shared" si="366"/>
        <v>2</v>
      </c>
      <c r="AB322" s="25"/>
      <c r="AC322" s="10" t="str">
        <f t="shared" si="353"/>
        <v>OutubroSEMANA 3Humaytá - Compota de Abóbora</v>
      </c>
      <c r="AD322" s="7">
        <f>SUMIF(NF!$A:$A,$AC322,NF!$I:$I)</f>
        <v>0</v>
      </c>
      <c r="AE322" s="6"/>
      <c r="AF322" s="6"/>
      <c r="AG322" s="6"/>
      <c r="AH322" s="6"/>
      <c r="AI322" s="6"/>
      <c r="AJ322" s="6"/>
      <c r="AK322" s="6"/>
      <c r="AL322" s="7">
        <f t="shared" si="466"/>
        <v>0</v>
      </c>
      <c r="AM322" s="11">
        <f t="shared" si="368"/>
        <v>2</v>
      </c>
      <c r="AN322" s="25"/>
      <c r="AO322" s="10" t="str">
        <f t="shared" si="356"/>
        <v>OutubroSEMANA 4Humaytá - Compota de Abóbora</v>
      </c>
      <c r="AP322" s="7">
        <f>SUMIF(NF!$A:$A,$AO322,NF!$I:$I)</f>
        <v>0</v>
      </c>
      <c r="AQ322" s="6"/>
      <c r="AR322" s="6"/>
      <c r="AS322" s="6"/>
      <c r="AT322" s="6"/>
      <c r="AU322" s="6"/>
      <c r="AV322" s="6"/>
      <c r="AW322" s="6"/>
      <c r="AX322" s="7">
        <f t="shared" si="467"/>
        <v>0</v>
      </c>
      <c r="AY322" s="11">
        <f t="shared" si="370"/>
        <v>2</v>
      </c>
      <c r="AZ322" s="25"/>
      <c r="BA322" s="10" t="str">
        <f t="shared" si="359"/>
        <v>OutubroSEMANA 5Humaytá - Compota de Abóbora</v>
      </c>
      <c r="BB322" s="7">
        <f>SUMIF(NF!$A:$A,$BA322,NF!$I:$I)</f>
        <v>0</v>
      </c>
      <c r="BC322" s="6"/>
      <c r="BD322" s="6"/>
      <c r="BE322" s="6"/>
      <c r="BF322" s="74"/>
      <c r="BG322" s="74"/>
      <c r="BH322" s="74"/>
      <c r="BI322" s="74"/>
      <c r="BJ322" s="74"/>
      <c r="BK322" s="7">
        <f t="shared" si="468"/>
        <v>0</v>
      </c>
      <c r="BL322" s="8">
        <f t="shared" si="372"/>
        <v>2</v>
      </c>
      <c r="BM322" s="51" t="str">
        <f>IFERROR(VLOOKUP(A322,NF!$M:$O,3,0),"")</f>
        <v>Feirinha</v>
      </c>
      <c r="BN322" s="7">
        <f t="shared" si="373"/>
        <v>0</v>
      </c>
      <c r="BO322" s="8">
        <f t="array" ref="BO322">IFERROR(LARGE(IF(NF!$G$2:$G$3137='Mês atual'!A322,NF!$J$2:$J$3137),1),0)*BN322</f>
        <v>0</v>
      </c>
      <c r="BP322" s="50"/>
      <c r="BR322" s="147">
        <f t="array" ref="BR322">IFERROR(LARGE(IF(NF!$G$2:$G$3137='Mês atual'!A322,NF!$J$2:$J$3137),1),0)</f>
        <v>0</v>
      </c>
      <c r="BS322" s="143" t="str">
        <f>VLOOKUP(A322,NF!M:O,3,0)</f>
        <v>Feirinha</v>
      </c>
    </row>
    <row r="323" spans="1:71" x14ac:dyDescent="0.25">
      <c r="A323" s="108" t="s">
        <v>414</v>
      </c>
      <c r="B323" s="12"/>
      <c r="C323" s="9">
        <v>3</v>
      </c>
      <c r="D323" s="25"/>
      <c r="E323" s="10" t="str">
        <f t="shared" si="347"/>
        <v>OutubroSEMANA 1Humaytá - Compota de Figo</v>
      </c>
      <c r="F323" s="7">
        <f>SUMIF(NF!$A:$A,$E323,NF!$I:$I)</f>
        <v>0</v>
      </c>
      <c r="G323" s="6"/>
      <c r="H323" s="6"/>
      <c r="I323" s="6"/>
      <c r="J323" s="6"/>
      <c r="K323" s="6"/>
      <c r="L323" s="6"/>
      <c r="M323" s="6"/>
      <c r="N323" s="7">
        <f t="shared" si="464"/>
        <v>0</v>
      </c>
      <c r="O323" s="11">
        <f t="shared" si="364"/>
        <v>3</v>
      </c>
      <c r="P323" s="25"/>
      <c r="Q323" s="10" t="str">
        <f t="shared" si="350"/>
        <v>OutubroSEMANA 2Humaytá - Compota de Figo</v>
      </c>
      <c r="R323" s="7">
        <f>SUMIF(NF!$A:$A,$Q323,NF!$I:$I)</f>
        <v>0</v>
      </c>
      <c r="S323" s="6"/>
      <c r="T323" s="6"/>
      <c r="U323" s="6"/>
      <c r="V323" s="6"/>
      <c r="W323" s="6"/>
      <c r="X323" s="6"/>
      <c r="Y323" s="6"/>
      <c r="Z323" s="7">
        <f t="shared" si="465"/>
        <v>0</v>
      </c>
      <c r="AA323" s="11">
        <f t="shared" si="366"/>
        <v>3</v>
      </c>
      <c r="AB323" s="25"/>
      <c r="AC323" s="10" t="str">
        <f t="shared" si="353"/>
        <v>OutubroSEMANA 3Humaytá - Compota de Figo</v>
      </c>
      <c r="AD323" s="7">
        <f>SUMIF(NF!$A:$A,$AC323,NF!$I:$I)</f>
        <v>0</v>
      </c>
      <c r="AE323" s="6"/>
      <c r="AF323" s="6"/>
      <c r="AG323" s="6"/>
      <c r="AH323" s="6"/>
      <c r="AI323" s="6"/>
      <c r="AJ323" s="6"/>
      <c r="AK323" s="6"/>
      <c r="AL323" s="7">
        <f t="shared" si="466"/>
        <v>0</v>
      </c>
      <c r="AM323" s="11">
        <f t="shared" si="368"/>
        <v>3</v>
      </c>
      <c r="AN323" s="25"/>
      <c r="AO323" s="10" t="str">
        <f t="shared" si="356"/>
        <v>OutubroSEMANA 4Humaytá - Compota de Figo</v>
      </c>
      <c r="AP323" s="7">
        <f>SUMIF(NF!$A:$A,$AO323,NF!$I:$I)</f>
        <v>0</v>
      </c>
      <c r="AQ323" s="6"/>
      <c r="AR323" s="6"/>
      <c r="AS323" s="6"/>
      <c r="AT323" s="6"/>
      <c r="AU323" s="6"/>
      <c r="AV323" s="6"/>
      <c r="AW323" s="6"/>
      <c r="AX323" s="7">
        <f t="shared" si="467"/>
        <v>0</v>
      </c>
      <c r="AY323" s="11">
        <f t="shared" si="370"/>
        <v>3</v>
      </c>
      <c r="AZ323" s="25"/>
      <c r="BA323" s="10" t="str">
        <f t="shared" si="359"/>
        <v>OutubroSEMANA 5Humaytá - Compota de Figo</v>
      </c>
      <c r="BB323" s="7">
        <f>SUMIF(NF!$A:$A,$BA323,NF!$I:$I)</f>
        <v>0</v>
      </c>
      <c r="BC323" s="6"/>
      <c r="BD323" s="6"/>
      <c r="BE323" s="6"/>
      <c r="BF323" s="74"/>
      <c r="BG323" s="74"/>
      <c r="BH323" s="74"/>
      <c r="BI323" s="74"/>
      <c r="BJ323" s="74"/>
      <c r="BK323" s="7">
        <f t="shared" si="468"/>
        <v>0</v>
      </c>
      <c r="BL323" s="8">
        <f t="shared" si="372"/>
        <v>3</v>
      </c>
      <c r="BM323" s="51" t="str">
        <f>IFERROR(VLOOKUP(A323,NF!$M:$O,3,0),"")</f>
        <v>Feirinha</v>
      </c>
      <c r="BN323" s="7">
        <f t="shared" si="373"/>
        <v>0</v>
      </c>
      <c r="BO323" s="8">
        <f t="array" ref="BO323">IFERROR(LARGE(IF(NF!$G$2:$G$3137='Mês atual'!A323,NF!$J$2:$J$3137),1),0)*BN323</f>
        <v>0</v>
      </c>
      <c r="BP323" s="50"/>
      <c r="BR323" s="147">
        <f t="array" ref="BR323">IFERROR(LARGE(IF(NF!$G$2:$G$3137='Mês atual'!A323,NF!$J$2:$J$3137),1),0)</f>
        <v>0</v>
      </c>
      <c r="BS323" s="143" t="str">
        <f>VLOOKUP(A323,NF!M:O,3,0)</f>
        <v>Feirinha</v>
      </c>
    </row>
    <row r="324" spans="1:71" x14ac:dyDescent="0.25">
      <c r="A324" s="108" t="s">
        <v>415</v>
      </c>
      <c r="B324" s="12"/>
      <c r="C324" s="9">
        <v>1</v>
      </c>
      <c r="D324" s="25"/>
      <c r="E324" s="10" t="str">
        <f t="shared" si="347"/>
        <v>OutubroSEMANA 1Humaytá - Compota de Goiaba ao Creme</v>
      </c>
      <c r="F324" s="7">
        <f>SUMIF(NF!$A:$A,$E324,NF!$I:$I)</f>
        <v>0</v>
      </c>
      <c r="G324" s="6"/>
      <c r="H324" s="6"/>
      <c r="I324" s="6"/>
      <c r="J324" s="6"/>
      <c r="K324" s="6"/>
      <c r="L324" s="6"/>
      <c r="M324" s="6"/>
      <c r="N324" s="7">
        <f t="shared" si="464"/>
        <v>0</v>
      </c>
      <c r="O324" s="11">
        <f t="shared" si="364"/>
        <v>1</v>
      </c>
      <c r="P324" s="25"/>
      <c r="Q324" s="10" t="str">
        <f t="shared" si="350"/>
        <v>OutubroSEMANA 2Humaytá - Compota de Goiaba ao Creme</v>
      </c>
      <c r="R324" s="7">
        <f>SUMIF(NF!$A:$A,$Q324,NF!$I:$I)</f>
        <v>0</v>
      </c>
      <c r="S324" s="6"/>
      <c r="T324" s="6"/>
      <c r="U324" s="6"/>
      <c r="V324" s="6"/>
      <c r="W324" s="6"/>
      <c r="X324" s="6"/>
      <c r="Y324" s="6"/>
      <c r="Z324" s="7">
        <f t="shared" si="465"/>
        <v>0</v>
      </c>
      <c r="AA324" s="11">
        <f t="shared" si="366"/>
        <v>1</v>
      </c>
      <c r="AB324" s="25"/>
      <c r="AC324" s="10" t="str">
        <f t="shared" si="353"/>
        <v>OutubroSEMANA 3Humaytá - Compota de Goiaba ao Creme</v>
      </c>
      <c r="AD324" s="7">
        <f>SUMIF(NF!$A:$A,$AC324,NF!$I:$I)</f>
        <v>0</v>
      </c>
      <c r="AE324" s="6"/>
      <c r="AF324" s="6"/>
      <c r="AG324" s="6"/>
      <c r="AH324" s="6"/>
      <c r="AI324" s="6"/>
      <c r="AJ324" s="6"/>
      <c r="AK324" s="6"/>
      <c r="AL324" s="7">
        <f t="shared" si="466"/>
        <v>0</v>
      </c>
      <c r="AM324" s="11">
        <f t="shared" si="368"/>
        <v>1</v>
      </c>
      <c r="AN324" s="25"/>
      <c r="AO324" s="10" t="str">
        <f t="shared" si="356"/>
        <v>OutubroSEMANA 4Humaytá - Compota de Goiaba ao Creme</v>
      </c>
      <c r="AP324" s="7">
        <f>SUMIF(NF!$A:$A,$AO324,NF!$I:$I)</f>
        <v>0</v>
      </c>
      <c r="AQ324" s="6"/>
      <c r="AR324" s="6"/>
      <c r="AS324" s="6"/>
      <c r="AT324" s="6"/>
      <c r="AU324" s="6"/>
      <c r="AV324" s="6"/>
      <c r="AW324" s="6"/>
      <c r="AX324" s="7">
        <f t="shared" si="467"/>
        <v>0</v>
      </c>
      <c r="AY324" s="11">
        <f t="shared" si="370"/>
        <v>1</v>
      </c>
      <c r="AZ324" s="25"/>
      <c r="BA324" s="10" t="str">
        <f t="shared" si="359"/>
        <v>OutubroSEMANA 5Humaytá - Compota de Goiaba ao Creme</v>
      </c>
      <c r="BB324" s="7">
        <f>SUMIF(NF!$A:$A,$BA324,NF!$I:$I)</f>
        <v>0</v>
      </c>
      <c r="BC324" s="6"/>
      <c r="BD324" s="6"/>
      <c r="BE324" s="6"/>
      <c r="BF324" s="74"/>
      <c r="BG324" s="74"/>
      <c r="BH324" s="74"/>
      <c r="BI324" s="74"/>
      <c r="BJ324" s="74"/>
      <c r="BK324" s="7">
        <f t="shared" si="468"/>
        <v>0</v>
      </c>
      <c r="BL324" s="8">
        <f t="shared" si="372"/>
        <v>1</v>
      </c>
      <c r="BM324" s="51" t="str">
        <f>IFERROR(VLOOKUP(A324,NF!$M:$O,3,0),"")</f>
        <v>Feirinha</v>
      </c>
      <c r="BN324" s="7">
        <f t="shared" si="373"/>
        <v>0</v>
      </c>
      <c r="BO324" s="8">
        <f t="array" ref="BO324">IFERROR(LARGE(IF(NF!$G$2:$G$3137='Mês atual'!A324,NF!$J$2:$J$3137),1),0)*BN324</f>
        <v>0</v>
      </c>
      <c r="BP324" s="50"/>
      <c r="BR324" s="147">
        <f t="array" ref="BR324">IFERROR(LARGE(IF(NF!$G$2:$G$3137='Mês atual'!A324,NF!$J$2:$J$3137),1),0)</f>
        <v>0</v>
      </c>
      <c r="BS324" s="143" t="str">
        <f>VLOOKUP(A324,NF!M:O,3,0)</f>
        <v>Feirinha</v>
      </c>
    </row>
    <row r="325" spans="1:71" x14ac:dyDescent="0.25">
      <c r="A325" s="108" t="s">
        <v>416</v>
      </c>
      <c r="B325" s="12"/>
      <c r="C325" s="9"/>
      <c r="D325" s="25"/>
      <c r="E325" s="10" t="str">
        <f t="shared" si="347"/>
        <v xml:space="preserve">OutubroSEMANA 1Humaytá - Compota de Laranja </v>
      </c>
      <c r="F325" s="7">
        <f>SUMIF(NF!$A:$A,$E325,NF!$I:$I)</f>
        <v>0</v>
      </c>
      <c r="G325" s="6"/>
      <c r="H325" s="6"/>
      <c r="I325" s="6"/>
      <c r="J325" s="6"/>
      <c r="K325" s="6"/>
      <c r="L325" s="6"/>
      <c r="M325" s="6"/>
      <c r="N325" s="7">
        <f t="shared" si="464"/>
        <v>0</v>
      </c>
      <c r="O325" s="11">
        <f t="shared" si="364"/>
        <v>0</v>
      </c>
      <c r="P325" s="25"/>
      <c r="Q325" s="10" t="str">
        <f t="shared" si="350"/>
        <v xml:space="preserve">OutubroSEMANA 2Humaytá - Compota de Laranja </v>
      </c>
      <c r="R325" s="7">
        <f>SUMIF(NF!$A:$A,$Q325,NF!$I:$I)</f>
        <v>0</v>
      </c>
      <c r="S325" s="6"/>
      <c r="T325" s="6"/>
      <c r="U325" s="6"/>
      <c r="V325" s="6"/>
      <c r="W325" s="6"/>
      <c r="X325" s="6"/>
      <c r="Y325" s="6"/>
      <c r="Z325" s="7">
        <f t="shared" si="465"/>
        <v>0</v>
      </c>
      <c r="AA325" s="11">
        <f t="shared" si="366"/>
        <v>0</v>
      </c>
      <c r="AB325" s="25"/>
      <c r="AC325" s="10" t="str">
        <f t="shared" si="353"/>
        <v xml:space="preserve">OutubroSEMANA 3Humaytá - Compota de Laranja </v>
      </c>
      <c r="AD325" s="7">
        <f>SUMIF(NF!$A:$A,$AC325,NF!$I:$I)</f>
        <v>0</v>
      </c>
      <c r="AE325" s="6"/>
      <c r="AF325" s="6"/>
      <c r="AG325" s="6"/>
      <c r="AH325" s="6"/>
      <c r="AI325" s="6"/>
      <c r="AJ325" s="6"/>
      <c r="AK325" s="6"/>
      <c r="AL325" s="7">
        <f t="shared" si="466"/>
        <v>0</v>
      </c>
      <c r="AM325" s="11">
        <f t="shared" si="368"/>
        <v>0</v>
      </c>
      <c r="AN325" s="25"/>
      <c r="AO325" s="10" t="str">
        <f t="shared" si="356"/>
        <v xml:space="preserve">OutubroSEMANA 4Humaytá - Compota de Laranja </v>
      </c>
      <c r="AP325" s="7">
        <f>SUMIF(NF!$A:$A,$AO325,NF!$I:$I)</f>
        <v>0</v>
      </c>
      <c r="AQ325" s="6"/>
      <c r="AR325" s="6"/>
      <c r="AS325" s="6"/>
      <c r="AT325" s="6"/>
      <c r="AU325" s="6"/>
      <c r="AV325" s="6"/>
      <c r="AW325" s="6"/>
      <c r="AX325" s="7">
        <f t="shared" si="467"/>
        <v>0</v>
      </c>
      <c r="AY325" s="11">
        <f t="shared" si="370"/>
        <v>0</v>
      </c>
      <c r="AZ325" s="25"/>
      <c r="BA325" s="10" t="str">
        <f t="shared" si="359"/>
        <v xml:space="preserve">OutubroSEMANA 5Humaytá - Compota de Laranja </v>
      </c>
      <c r="BB325" s="7">
        <f>SUMIF(NF!$A:$A,$BA325,NF!$I:$I)</f>
        <v>0</v>
      </c>
      <c r="BC325" s="6"/>
      <c r="BD325" s="6"/>
      <c r="BE325" s="6"/>
      <c r="BF325" s="74"/>
      <c r="BG325" s="74"/>
      <c r="BH325" s="74"/>
      <c r="BI325" s="74"/>
      <c r="BJ325" s="74"/>
      <c r="BK325" s="7">
        <f t="shared" si="468"/>
        <v>0</v>
      </c>
      <c r="BL325" s="8">
        <f t="shared" si="372"/>
        <v>0</v>
      </c>
      <c r="BM325" s="51" t="str">
        <f>IFERROR(VLOOKUP(A325,NF!$M:$O,3,0),"")</f>
        <v>Feirinha</v>
      </c>
      <c r="BN325" s="7">
        <f t="shared" si="373"/>
        <v>0</v>
      </c>
      <c r="BO325" s="8">
        <f t="array" ref="BO325">IFERROR(LARGE(IF(NF!$G$2:$G$3137='Mês atual'!A325,NF!$J$2:$J$3137),1),0)*BN325</f>
        <v>0</v>
      </c>
      <c r="BP325" s="50"/>
      <c r="BR325" s="147">
        <f t="array" ref="BR325">IFERROR(LARGE(IF(NF!$G$2:$G$3137='Mês atual'!A325,NF!$J$2:$J$3137),1),0)</f>
        <v>0</v>
      </c>
      <c r="BS325" s="143" t="str">
        <f>VLOOKUP(A325,NF!M:O,3,0)</f>
        <v>Feirinha</v>
      </c>
    </row>
    <row r="326" spans="1:71" x14ac:dyDescent="0.25">
      <c r="A326" s="108" t="s">
        <v>417</v>
      </c>
      <c r="B326" s="12"/>
      <c r="C326" s="9">
        <v>1</v>
      </c>
      <c r="D326" s="25"/>
      <c r="E326" s="10" t="str">
        <f t="shared" si="347"/>
        <v>OutubroSEMANA 1Humaytá - Compota de Laranja da Terra</v>
      </c>
      <c r="F326" s="7">
        <f>SUMIF(NF!$A:$A,$E326,NF!$I:$I)</f>
        <v>0</v>
      </c>
      <c r="G326" s="6"/>
      <c r="H326" s="6"/>
      <c r="I326" s="6"/>
      <c r="J326" s="6"/>
      <c r="K326" s="6"/>
      <c r="L326" s="6"/>
      <c r="M326" s="6"/>
      <c r="N326" s="7">
        <f t="shared" si="464"/>
        <v>0</v>
      </c>
      <c r="O326" s="11">
        <f t="shared" si="364"/>
        <v>1</v>
      </c>
      <c r="P326" s="25"/>
      <c r="Q326" s="10" t="str">
        <f t="shared" si="350"/>
        <v>OutubroSEMANA 2Humaytá - Compota de Laranja da Terra</v>
      </c>
      <c r="R326" s="7">
        <f>SUMIF(NF!$A:$A,$Q326,NF!$I:$I)</f>
        <v>0</v>
      </c>
      <c r="S326" s="6"/>
      <c r="T326" s="6"/>
      <c r="U326" s="6"/>
      <c r="V326" s="6"/>
      <c r="W326" s="6"/>
      <c r="X326" s="6"/>
      <c r="Y326" s="6"/>
      <c r="Z326" s="7">
        <f t="shared" si="465"/>
        <v>0</v>
      </c>
      <c r="AA326" s="11">
        <f t="shared" si="366"/>
        <v>1</v>
      </c>
      <c r="AB326" s="25"/>
      <c r="AC326" s="10" t="str">
        <f t="shared" si="353"/>
        <v>OutubroSEMANA 3Humaytá - Compota de Laranja da Terra</v>
      </c>
      <c r="AD326" s="7">
        <f>SUMIF(NF!$A:$A,$AC326,NF!$I:$I)</f>
        <v>0</v>
      </c>
      <c r="AE326" s="6"/>
      <c r="AF326" s="6"/>
      <c r="AG326" s="6"/>
      <c r="AH326" s="6"/>
      <c r="AI326" s="6"/>
      <c r="AJ326" s="6"/>
      <c r="AK326" s="6"/>
      <c r="AL326" s="7">
        <f t="shared" si="466"/>
        <v>0</v>
      </c>
      <c r="AM326" s="11">
        <f t="shared" si="368"/>
        <v>1</v>
      </c>
      <c r="AN326" s="25"/>
      <c r="AO326" s="10" t="str">
        <f t="shared" si="356"/>
        <v>OutubroSEMANA 4Humaytá - Compota de Laranja da Terra</v>
      </c>
      <c r="AP326" s="7">
        <f>SUMIF(NF!$A:$A,$AO326,NF!$I:$I)</f>
        <v>0</v>
      </c>
      <c r="AQ326" s="6"/>
      <c r="AR326" s="6"/>
      <c r="AS326" s="6"/>
      <c r="AT326" s="6"/>
      <c r="AU326" s="6"/>
      <c r="AV326" s="6"/>
      <c r="AW326" s="6"/>
      <c r="AX326" s="7">
        <f t="shared" si="467"/>
        <v>0</v>
      </c>
      <c r="AY326" s="11">
        <f t="shared" si="370"/>
        <v>1</v>
      </c>
      <c r="AZ326" s="25"/>
      <c r="BA326" s="10" t="str">
        <f t="shared" si="359"/>
        <v>OutubroSEMANA 5Humaytá - Compota de Laranja da Terra</v>
      </c>
      <c r="BB326" s="7">
        <f>SUMIF(NF!$A:$A,$BA326,NF!$I:$I)</f>
        <v>0</v>
      </c>
      <c r="BC326" s="6"/>
      <c r="BD326" s="6"/>
      <c r="BE326" s="6"/>
      <c r="BF326" s="74"/>
      <c r="BG326" s="74"/>
      <c r="BH326" s="74"/>
      <c r="BI326" s="74"/>
      <c r="BJ326" s="74"/>
      <c r="BK326" s="7">
        <f t="shared" si="468"/>
        <v>0</v>
      </c>
      <c r="BL326" s="8">
        <f t="shared" si="372"/>
        <v>1</v>
      </c>
      <c r="BM326" s="51" t="str">
        <f>IFERROR(VLOOKUP(A326,NF!$M:$O,3,0),"")</f>
        <v>Feirinha</v>
      </c>
      <c r="BN326" s="7">
        <f t="shared" si="373"/>
        <v>0</v>
      </c>
      <c r="BO326" s="8">
        <f t="array" ref="BO326">IFERROR(LARGE(IF(NF!$G$2:$G$3137='Mês atual'!A326,NF!$J$2:$J$3137),1),0)*BN326</f>
        <v>0</v>
      </c>
      <c r="BP326" s="50"/>
      <c r="BR326" s="147">
        <f t="array" ref="BR326">IFERROR(LARGE(IF(NF!$G$2:$G$3137='Mês atual'!A326,NF!$J$2:$J$3137),1),0)</f>
        <v>0</v>
      </c>
      <c r="BS326" s="143" t="str">
        <f>VLOOKUP(A326,NF!M:O,3,0)</f>
        <v>Feirinha</v>
      </c>
    </row>
    <row r="327" spans="1:71" x14ac:dyDescent="0.25">
      <c r="A327" s="108" t="s">
        <v>1023</v>
      </c>
      <c r="B327" s="12"/>
      <c r="C327" s="9">
        <v>1</v>
      </c>
      <c r="D327" s="25"/>
      <c r="E327" s="10" t="str">
        <f t="shared" si="347"/>
        <v>OutubroSEMANA 1Humaytá - Compota de Laranja Kinkan</v>
      </c>
      <c r="F327" s="7">
        <f>SUMIF(NF!$A:$A,$E327,NF!$I:$I)</f>
        <v>0</v>
      </c>
      <c r="G327" s="6"/>
      <c r="H327" s="6"/>
      <c r="I327" s="6"/>
      <c r="J327" s="6"/>
      <c r="K327" s="6"/>
      <c r="L327" s="6"/>
      <c r="M327" s="6"/>
      <c r="N327" s="7">
        <f t="shared" ref="N327" si="469">SUM(G327:M327)</f>
        <v>0</v>
      </c>
      <c r="O327" s="11">
        <f t="shared" ref="O327" si="470">F327+C327-N327</f>
        <v>1</v>
      </c>
      <c r="P327" s="25"/>
      <c r="Q327" s="10" t="str">
        <f t="shared" si="350"/>
        <v>OutubroSEMANA 2Humaytá - Compota de Laranja Kinkan</v>
      </c>
      <c r="R327" s="7">
        <f>SUMIF(NF!$A:$A,$Q327,NF!$I:$I)</f>
        <v>0</v>
      </c>
      <c r="S327" s="6"/>
      <c r="T327" s="6"/>
      <c r="U327" s="6"/>
      <c r="V327" s="6"/>
      <c r="W327" s="6"/>
      <c r="X327" s="6"/>
      <c r="Y327" s="6"/>
      <c r="Z327" s="7">
        <f t="shared" ref="Z327" si="471">SUM(S327:Y327)</f>
        <v>0</v>
      </c>
      <c r="AA327" s="11">
        <f t="shared" ref="AA327" si="472">R327+O327-Z327</f>
        <v>1</v>
      </c>
      <c r="AB327" s="25"/>
      <c r="AC327" s="10" t="str">
        <f t="shared" si="353"/>
        <v>OutubroSEMANA 3Humaytá - Compota de Laranja Kinkan</v>
      </c>
      <c r="AD327" s="7">
        <f>SUMIF(NF!$A:$A,$AC327,NF!$I:$I)</f>
        <v>0</v>
      </c>
      <c r="AE327" s="6"/>
      <c r="AF327" s="6"/>
      <c r="AG327" s="6"/>
      <c r="AH327" s="6"/>
      <c r="AI327" s="6"/>
      <c r="AJ327" s="6"/>
      <c r="AK327" s="6"/>
      <c r="AL327" s="7">
        <f t="shared" ref="AL327" si="473">SUM(AE327:AK327)</f>
        <v>0</v>
      </c>
      <c r="AM327" s="11">
        <f t="shared" ref="AM327" si="474">AD327+AA327-AL327</f>
        <v>1</v>
      </c>
      <c r="AN327" s="25"/>
      <c r="AO327" s="10" t="str">
        <f t="shared" si="356"/>
        <v>OutubroSEMANA 4Humaytá - Compota de Laranja Kinkan</v>
      </c>
      <c r="AP327" s="7">
        <f>SUMIF(NF!$A:$A,$AO327,NF!$I:$I)</f>
        <v>0</v>
      </c>
      <c r="AQ327" s="6"/>
      <c r="AR327" s="6"/>
      <c r="AS327" s="6"/>
      <c r="AT327" s="6"/>
      <c r="AU327" s="6"/>
      <c r="AV327" s="6"/>
      <c r="AW327" s="6"/>
      <c r="AX327" s="7">
        <f t="shared" ref="AX327" si="475">SUM(AQ327:AW327)</f>
        <v>0</v>
      </c>
      <c r="AY327" s="11">
        <f t="shared" ref="AY327" si="476">AP327+AM327-AX327</f>
        <v>1</v>
      </c>
      <c r="AZ327" s="25"/>
      <c r="BA327" s="10" t="str">
        <f t="shared" si="359"/>
        <v>OutubroSEMANA 5Humaytá - Compota de Laranja Kinkan</v>
      </c>
      <c r="BB327" s="7">
        <f>SUMIF(NF!$A:$A,$BA327,NF!$I:$I)</f>
        <v>0</v>
      </c>
      <c r="BC327" s="6"/>
      <c r="BD327" s="6"/>
      <c r="BE327" s="6"/>
      <c r="BF327" s="74"/>
      <c r="BG327" s="74"/>
      <c r="BH327" s="74"/>
      <c r="BI327" s="74"/>
      <c r="BJ327" s="74"/>
      <c r="BK327" s="7">
        <f t="shared" ref="BK327" si="477">SUM(BC327:BJ327)</f>
        <v>0</v>
      </c>
      <c r="BL327" s="8">
        <f t="shared" ref="BL327" si="478">BB327+AY327-BK327</f>
        <v>1</v>
      </c>
      <c r="BM327" s="51" t="str">
        <f>IFERROR(VLOOKUP(A327,NF!$M:$O,3,0),"")</f>
        <v>Feirinha</v>
      </c>
      <c r="BN327" s="7">
        <f t="shared" ref="BN327" si="479">SUM(N327,Z327,AL327,AX327,BK327)</f>
        <v>0</v>
      </c>
      <c r="BO327" s="8">
        <f t="array" ref="BO327">IFERROR(LARGE(IF(NF!$G$2:$G$3137='Mês atual'!A327,NF!$J$2:$J$3137),1),0)*BN327</f>
        <v>0</v>
      </c>
      <c r="BP327" s="50"/>
      <c r="BR327" s="147">
        <f t="array" ref="BR327">IFERROR(LARGE(IF(NF!$G$2:$G$3137='Mês atual'!A327,NF!$J$2:$J$3137),1),0)</f>
        <v>0</v>
      </c>
      <c r="BS327" s="143" t="str">
        <f>VLOOKUP(A327,NF!M:O,3,0)</f>
        <v>Feirinha</v>
      </c>
    </row>
    <row r="328" spans="1:71" x14ac:dyDescent="0.25">
      <c r="A328" s="108" t="s">
        <v>418</v>
      </c>
      <c r="B328" s="12"/>
      <c r="C328" s="9">
        <v>4</v>
      </c>
      <c r="D328" s="25"/>
      <c r="E328" s="10" t="str">
        <f t="shared" si="347"/>
        <v>OutubroSEMANA 1Humaytá - Doce de Abóbora com Côco</v>
      </c>
      <c r="F328" s="7">
        <f>SUMIF(NF!$A:$A,$E328,NF!$I:$I)</f>
        <v>0</v>
      </c>
      <c r="G328" s="6"/>
      <c r="H328" s="6"/>
      <c r="I328" s="6"/>
      <c r="J328" s="6"/>
      <c r="K328" s="6"/>
      <c r="L328" s="6"/>
      <c r="M328" s="6"/>
      <c r="N328" s="7">
        <f t="shared" si="464"/>
        <v>0</v>
      </c>
      <c r="O328" s="11">
        <f t="shared" si="364"/>
        <v>4</v>
      </c>
      <c r="P328" s="25"/>
      <c r="Q328" s="10" t="str">
        <f t="shared" si="350"/>
        <v>OutubroSEMANA 2Humaytá - Doce de Abóbora com Côco</v>
      </c>
      <c r="R328" s="7">
        <f>SUMIF(NF!$A:$A,$Q328,NF!$I:$I)</f>
        <v>0</v>
      </c>
      <c r="S328" s="6"/>
      <c r="T328" s="6"/>
      <c r="U328" s="6"/>
      <c r="V328" s="6"/>
      <c r="W328" s="6"/>
      <c r="X328" s="6"/>
      <c r="Y328" s="6"/>
      <c r="Z328" s="7">
        <f t="shared" si="465"/>
        <v>0</v>
      </c>
      <c r="AA328" s="11">
        <f t="shared" si="366"/>
        <v>4</v>
      </c>
      <c r="AB328" s="25"/>
      <c r="AC328" s="10" t="str">
        <f t="shared" si="353"/>
        <v>OutubroSEMANA 3Humaytá - Doce de Abóbora com Côco</v>
      </c>
      <c r="AD328" s="7">
        <f>SUMIF(NF!$A:$A,$AC328,NF!$I:$I)</f>
        <v>0</v>
      </c>
      <c r="AE328" s="6"/>
      <c r="AF328" s="6"/>
      <c r="AG328" s="6"/>
      <c r="AH328" s="6"/>
      <c r="AI328" s="6"/>
      <c r="AJ328" s="6"/>
      <c r="AK328" s="6"/>
      <c r="AL328" s="7">
        <f t="shared" si="466"/>
        <v>0</v>
      </c>
      <c r="AM328" s="11">
        <f t="shared" si="368"/>
        <v>4</v>
      </c>
      <c r="AN328" s="25"/>
      <c r="AO328" s="10" t="str">
        <f t="shared" si="356"/>
        <v>OutubroSEMANA 4Humaytá - Doce de Abóbora com Côco</v>
      </c>
      <c r="AP328" s="7">
        <f>SUMIF(NF!$A:$A,$AO328,NF!$I:$I)</f>
        <v>0</v>
      </c>
      <c r="AQ328" s="6"/>
      <c r="AR328" s="6"/>
      <c r="AS328" s="6"/>
      <c r="AT328" s="6"/>
      <c r="AU328" s="6"/>
      <c r="AV328" s="6"/>
      <c r="AW328" s="6"/>
      <c r="AX328" s="7">
        <f t="shared" si="467"/>
        <v>0</v>
      </c>
      <c r="AY328" s="11">
        <f t="shared" si="370"/>
        <v>4</v>
      </c>
      <c r="AZ328" s="25"/>
      <c r="BA328" s="10" t="str">
        <f t="shared" si="359"/>
        <v>OutubroSEMANA 5Humaytá - Doce de Abóbora com Côco</v>
      </c>
      <c r="BB328" s="7">
        <f>SUMIF(NF!$A:$A,$BA328,NF!$I:$I)</f>
        <v>0</v>
      </c>
      <c r="BC328" s="6"/>
      <c r="BD328" s="6"/>
      <c r="BE328" s="6"/>
      <c r="BF328" s="74"/>
      <c r="BG328" s="74"/>
      <c r="BH328" s="74"/>
      <c r="BI328" s="74"/>
      <c r="BJ328" s="74"/>
      <c r="BK328" s="7">
        <f t="shared" si="468"/>
        <v>0</v>
      </c>
      <c r="BL328" s="8">
        <f t="shared" si="372"/>
        <v>4</v>
      </c>
      <c r="BM328" s="51" t="str">
        <f>IFERROR(VLOOKUP(A328,NF!$M:$O,3,0),"")</f>
        <v>Feirinha</v>
      </c>
      <c r="BN328" s="7">
        <f t="shared" si="373"/>
        <v>0</v>
      </c>
      <c r="BO328" s="8">
        <f t="array" ref="BO328">IFERROR(LARGE(IF(NF!$G$2:$G$3137='Mês atual'!A328,NF!$J$2:$J$3137),1),0)*BN328</f>
        <v>0</v>
      </c>
      <c r="BP328" s="50"/>
      <c r="BR328" s="147">
        <f t="array" ref="BR328">IFERROR(LARGE(IF(NF!$G$2:$G$3137='Mês atual'!A328,NF!$J$2:$J$3137),1),0)</f>
        <v>0</v>
      </c>
      <c r="BS328" s="143" t="str">
        <f>VLOOKUP(A328,NF!M:O,3,0)</f>
        <v>Feirinha</v>
      </c>
    </row>
    <row r="329" spans="1:71" x14ac:dyDescent="0.25">
      <c r="A329" s="108" t="s">
        <v>419</v>
      </c>
      <c r="B329" s="12"/>
      <c r="C329" s="9">
        <v>2</v>
      </c>
      <c r="D329" s="25"/>
      <c r="E329" s="10" t="str">
        <f t="shared" si="347"/>
        <v>OutubroSEMANA 1Humaytá - Doce de Banana em Calda</v>
      </c>
      <c r="F329" s="7">
        <f>SUMIF(NF!$A:$A,$E329,NF!$I:$I)</f>
        <v>0</v>
      </c>
      <c r="G329" s="6"/>
      <c r="H329" s="6"/>
      <c r="I329" s="6"/>
      <c r="J329" s="6"/>
      <c r="K329" s="6"/>
      <c r="L329" s="6"/>
      <c r="M329" s="6"/>
      <c r="N329" s="7">
        <f t="shared" si="464"/>
        <v>0</v>
      </c>
      <c r="O329" s="11">
        <f t="shared" si="364"/>
        <v>2</v>
      </c>
      <c r="P329" s="25"/>
      <c r="Q329" s="10" t="str">
        <f t="shared" si="350"/>
        <v>OutubroSEMANA 2Humaytá - Doce de Banana em Calda</v>
      </c>
      <c r="R329" s="7">
        <f>SUMIF(NF!$A:$A,$Q329,NF!$I:$I)</f>
        <v>0</v>
      </c>
      <c r="S329" s="6"/>
      <c r="T329" s="6"/>
      <c r="U329" s="6"/>
      <c r="V329" s="6"/>
      <c r="W329" s="6"/>
      <c r="X329" s="6"/>
      <c r="Y329" s="6"/>
      <c r="Z329" s="7">
        <f t="shared" si="465"/>
        <v>0</v>
      </c>
      <c r="AA329" s="11">
        <f t="shared" si="366"/>
        <v>2</v>
      </c>
      <c r="AB329" s="25"/>
      <c r="AC329" s="10" t="str">
        <f t="shared" si="353"/>
        <v>OutubroSEMANA 3Humaytá - Doce de Banana em Calda</v>
      </c>
      <c r="AD329" s="7">
        <f>SUMIF(NF!$A:$A,$AC329,NF!$I:$I)</f>
        <v>0</v>
      </c>
      <c r="AE329" s="6"/>
      <c r="AF329" s="6"/>
      <c r="AG329" s="6"/>
      <c r="AH329" s="6"/>
      <c r="AI329" s="6"/>
      <c r="AJ329" s="6"/>
      <c r="AK329" s="6"/>
      <c r="AL329" s="7">
        <f t="shared" si="466"/>
        <v>0</v>
      </c>
      <c r="AM329" s="11">
        <f t="shared" si="368"/>
        <v>2</v>
      </c>
      <c r="AN329" s="25"/>
      <c r="AO329" s="10" t="str">
        <f t="shared" si="356"/>
        <v>OutubroSEMANA 4Humaytá - Doce de Banana em Calda</v>
      </c>
      <c r="AP329" s="7">
        <f>SUMIF(NF!$A:$A,$AO329,NF!$I:$I)</f>
        <v>0</v>
      </c>
      <c r="AQ329" s="6"/>
      <c r="AR329" s="6"/>
      <c r="AS329" s="6"/>
      <c r="AT329" s="6"/>
      <c r="AU329" s="6"/>
      <c r="AV329" s="6"/>
      <c r="AW329" s="6"/>
      <c r="AX329" s="7">
        <f t="shared" si="467"/>
        <v>0</v>
      </c>
      <c r="AY329" s="11">
        <f t="shared" si="370"/>
        <v>2</v>
      </c>
      <c r="AZ329" s="25"/>
      <c r="BA329" s="10" t="str">
        <f t="shared" si="359"/>
        <v>OutubroSEMANA 5Humaytá - Doce de Banana em Calda</v>
      </c>
      <c r="BB329" s="7">
        <f>SUMIF(NF!$A:$A,$BA329,NF!$I:$I)</f>
        <v>0</v>
      </c>
      <c r="BC329" s="6"/>
      <c r="BD329" s="6"/>
      <c r="BE329" s="6"/>
      <c r="BF329" s="74"/>
      <c r="BG329" s="74"/>
      <c r="BH329" s="74"/>
      <c r="BI329" s="74"/>
      <c r="BJ329" s="74"/>
      <c r="BK329" s="7">
        <f t="shared" si="468"/>
        <v>0</v>
      </c>
      <c r="BL329" s="8">
        <f t="shared" si="372"/>
        <v>2</v>
      </c>
      <c r="BM329" s="51" t="str">
        <f>IFERROR(VLOOKUP(A329,NF!$M:$O,3,0),"")</f>
        <v>Feirinha</v>
      </c>
      <c r="BN329" s="7">
        <f t="shared" si="373"/>
        <v>0</v>
      </c>
      <c r="BO329" s="8">
        <f t="array" ref="BO329">IFERROR(LARGE(IF(NF!$G$2:$G$3137='Mês atual'!A329,NF!$J$2:$J$3137),1),0)*BN329</f>
        <v>0</v>
      </c>
      <c r="BP329" s="50"/>
      <c r="BR329" s="147">
        <f t="array" ref="BR329">IFERROR(LARGE(IF(NF!$G$2:$G$3137='Mês atual'!A329,NF!$J$2:$J$3137),1),0)</f>
        <v>0</v>
      </c>
      <c r="BS329" s="143" t="str">
        <f>VLOOKUP(A329,NF!M:O,3,0)</f>
        <v>Feirinha</v>
      </c>
    </row>
    <row r="330" spans="1:71" x14ac:dyDescent="0.25">
      <c r="A330" s="108" t="s">
        <v>420</v>
      </c>
      <c r="B330" s="12"/>
      <c r="C330" s="9">
        <v>4</v>
      </c>
      <c r="D330" s="25"/>
      <c r="E330" s="10" t="str">
        <f t="shared" si="347"/>
        <v>OutubroSEMANA 1Humaytá - Doce de Côco</v>
      </c>
      <c r="F330" s="7">
        <f>SUMIF(NF!$A:$A,$E330,NF!$I:$I)</f>
        <v>0</v>
      </c>
      <c r="G330" s="6"/>
      <c r="H330" s="6"/>
      <c r="I330" s="6"/>
      <c r="J330" s="6"/>
      <c r="K330" s="6"/>
      <c r="L330" s="6"/>
      <c r="M330" s="6"/>
      <c r="N330" s="7">
        <f t="shared" ref="N330:N333" si="480">SUM(G330:M330)</f>
        <v>0</v>
      </c>
      <c r="O330" s="11">
        <f t="shared" si="364"/>
        <v>4</v>
      </c>
      <c r="P330" s="25"/>
      <c r="Q330" s="10" t="str">
        <f t="shared" si="350"/>
        <v>OutubroSEMANA 2Humaytá - Doce de Côco</v>
      </c>
      <c r="R330" s="7">
        <f>SUMIF(NF!$A:$A,$Q330,NF!$I:$I)</f>
        <v>0</v>
      </c>
      <c r="S330" s="6"/>
      <c r="T330" s="6"/>
      <c r="U330" s="6"/>
      <c r="V330" s="6"/>
      <c r="W330" s="6"/>
      <c r="X330" s="6"/>
      <c r="Y330" s="6"/>
      <c r="Z330" s="7">
        <f t="shared" ref="Z330:Z333" si="481">SUM(S330:Y330)</f>
        <v>0</v>
      </c>
      <c r="AA330" s="11">
        <f t="shared" si="366"/>
        <v>4</v>
      </c>
      <c r="AB330" s="25"/>
      <c r="AC330" s="10" t="str">
        <f t="shared" si="353"/>
        <v>OutubroSEMANA 3Humaytá - Doce de Côco</v>
      </c>
      <c r="AD330" s="7">
        <f>SUMIF(NF!$A:$A,$AC330,NF!$I:$I)</f>
        <v>0</v>
      </c>
      <c r="AE330" s="6"/>
      <c r="AF330" s="6"/>
      <c r="AG330" s="6"/>
      <c r="AH330" s="6"/>
      <c r="AI330" s="6"/>
      <c r="AJ330" s="6"/>
      <c r="AK330" s="6"/>
      <c r="AL330" s="7">
        <f t="shared" ref="AL330:AL333" si="482">SUM(AE330:AK330)</f>
        <v>0</v>
      </c>
      <c r="AM330" s="11">
        <f t="shared" si="368"/>
        <v>4</v>
      </c>
      <c r="AN330" s="25"/>
      <c r="AO330" s="10" t="str">
        <f t="shared" si="356"/>
        <v>OutubroSEMANA 4Humaytá - Doce de Côco</v>
      </c>
      <c r="AP330" s="7">
        <f>SUMIF(NF!$A:$A,$AO330,NF!$I:$I)</f>
        <v>0</v>
      </c>
      <c r="AQ330" s="6"/>
      <c r="AR330" s="6"/>
      <c r="AS330" s="6"/>
      <c r="AT330" s="6"/>
      <c r="AU330" s="6"/>
      <c r="AV330" s="6"/>
      <c r="AW330" s="6"/>
      <c r="AX330" s="7">
        <f t="shared" ref="AX330:AX333" si="483">SUM(AQ330:AW330)</f>
        <v>0</v>
      </c>
      <c r="AY330" s="11">
        <f t="shared" si="370"/>
        <v>4</v>
      </c>
      <c r="AZ330" s="25"/>
      <c r="BA330" s="10" t="str">
        <f t="shared" si="359"/>
        <v>OutubroSEMANA 5Humaytá - Doce de Côco</v>
      </c>
      <c r="BB330" s="7">
        <f>SUMIF(NF!$A:$A,$BA330,NF!$I:$I)</f>
        <v>0</v>
      </c>
      <c r="BC330" s="6"/>
      <c r="BD330" s="6"/>
      <c r="BE330" s="6"/>
      <c r="BF330" s="74"/>
      <c r="BG330" s="74"/>
      <c r="BH330" s="74"/>
      <c r="BI330" s="74"/>
      <c r="BJ330" s="74"/>
      <c r="BK330" s="7">
        <f t="shared" ref="BK330:BK333" si="484">SUM(BC330:BJ330)</f>
        <v>0</v>
      </c>
      <c r="BL330" s="8">
        <f t="shared" si="372"/>
        <v>4</v>
      </c>
      <c r="BM330" s="51" t="str">
        <f>IFERROR(VLOOKUP(A330,NF!$M:$O,3,0),"")</f>
        <v>Feirinha</v>
      </c>
      <c r="BN330" s="7">
        <f t="shared" si="373"/>
        <v>0</v>
      </c>
      <c r="BO330" s="8">
        <f t="array" ref="BO330">IFERROR(LARGE(IF(NF!$G$2:$G$3137='Mês atual'!A330,NF!$J$2:$J$3137),1),0)*BN330</f>
        <v>0</v>
      </c>
      <c r="BP330" s="50"/>
      <c r="BR330" s="147">
        <f t="array" ref="BR330">IFERROR(LARGE(IF(NF!$G$2:$G$3137='Mês atual'!A330,NF!$J$2:$J$3137),1),0)</f>
        <v>0</v>
      </c>
      <c r="BS330" s="143" t="str">
        <f>VLOOKUP(A330,NF!M:O,3,0)</f>
        <v>Feirinha</v>
      </c>
    </row>
    <row r="331" spans="1:71" x14ac:dyDescent="0.25">
      <c r="A331" s="108" t="s">
        <v>421</v>
      </c>
      <c r="B331" s="12"/>
      <c r="C331" s="9">
        <v>3</v>
      </c>
      <c r="D331" s="25"/>
      <c r="E331" s="10" t="str">
        <f t="shared" si="347"/>
        <v>OutubroSEMANA 1Humaytá - Doce de Leite Puro</v>
      </c>
      <c r="F331" s="7">
        <f>SUMIF(NF!$A:$A,$E331,NF!$I:$I)</f>
        <v>0</v>
      </c>
      <c r="G331" s="6"/>
      <c r="H331" s="6"/>
      <c r="I331" s="6"/>
      <c r="J331" s="6"/>
      <c r="K331" s="6"/>
      <c r="L331" s="6"/>
      <c r="M331" s="6"/>
      <c r="N331" s="7">
        <f t="shared" si="480"/>
        <v>0</v>
      </c>
      <c r="O331" s="11">
        <f t="shared" si="364"/>
        <v>3</v>
      </c>
      <c r="P331" s="25"/>
      <c r="Q331" s="10" t="str">
        <f t="shared" si="350"/>
        <v>OutubroSEMANA 2Humaytá - Doce de Leite Puro</v>
      </c>
      <c r="R331" s="7">
        <f>SUMIF(NF!$A:$A,$Q331,NF!$I:$I)</f>
        <v>0</v>
      </c>
      <c r="S331" s="6"/>
      <c r="T331" s="6"/>
      <c r="U331" s="6"/>
      <c r="V331" s="6"/>
      <c r="W331" s="6"/>
      <c r="X331" s="6"/>
      <c r="Y331" s="6"/>
      <c r="Z331" s="7">
        <f t="shared" si="481"/>
        <v>0</v>
      </c>
      <c r="AA331" s="11">
        <f t="shared" si="366"/>
        <v>3</v>
      </c>
      <c r="AB331" s="25"/>
      <c r="AC331" s="10" t="str">
        <f t="shared" si="353"/>
        <v>OutubroSEMANA 3Humaytá - Doce de Leite Puro</v>
      </c>
      <c r="AD331" s="7">
        <f>SUMIF(NF!$A:$A,$AC331,NF!$I:$I)</f>
        <v>0</v>
      </c>
      <c r="AE331" s="6"/>
      <c r="AF331" s="6"/>
      <c r="AG331" s="6"/>
      <c r="AH331" s="6"/>
      <c r="AI331" s="6"/>
      <c r="AJ331" s="6">
        <v>1</v>
      </c>
      <c r="AK331" s="6"/>
      <c r="AL331" s="7">
        <f t="shared" si="482"/>
        <v>1</v>
      </c>
      <c r="AM331" s="11">
        <f t="shared" si="368"/>
        <v>2</v>
      </c>
      <c r="AN331" s="25"/>
      <c r="AO331" s="10" t="str">
        <f t="shared" si="356"/>
        <v>OutubroSEMANA 4Humaytá - Doce de Leite Puro</v>
      </c>
      <c r="AP331" s="7">
        <f>SUMIF(NF!$A:$A,$AO331,NF!$I:$I)</f>
        <v>0</v>
      </c>
      <c r="AQ331" s="6"/>
      <c r="AR331" s="6"/>
      <c r="AS331" s="6"/>
      <c r="AT331" s="6"/>
      <c r="AU331" s="6"/>
      <c r="AV331" s="6"/>
      <c r="AW331" s="6"/>
      <c r="AX331" s="7">
        <f t="shared" si="483"/>
        <v>0</v>
      </c>
      <c r="AY331" s="11">
        <f t="shared" si="370"/>
        <v>2</v>
      </c>
      <c r="AZ331" s="25"/>
      <c r="BA331" s="10" t="str">
        <f t="shared" si="359"/>
        <v>OutubroSEMANA 5Humaytá - Doce de Leite Puro</v>
      </c>
      <c r="BB331" s="7">
        <f>SUMIF(NF!$A:$A,$BA331,NF!$I:$I)</f>
        <v>0</v>
      </c>
      <c r="BC331" s="6"/>
      <c r="BD331" s="6"/>
      <c r="BE331" s="6"/>
      <c r="BF331" s="74"/>
      <c r="BG331" s="74"/>
      <c r="BH331" s="74"/>
      <c r="BI331" s="74"/>
      <c r="BJ331" s="74"/>
      <c r="BK331" s="7">
        <f t="shared" si="484"/>
        <v>0</v>
      </c>
      <c r="BL331" s="8">
        <f t="shared" si="372"/>
        <v>2</v>
      </c>
      <c r="BM331" s="51" t="str">
        <f>IFERROR(VLOOKUP(A331,NF!$M:$O,3,0),"")</f>
        <v>Feirinha</v>
      </c>
      <c r="BN331" s="7">
        <f t="shared" si="373"/>
        <v>1</v>
      </c>
      <c r="BO331" s="8">
        <f t="array" ref="BO331">IFERROR(LARGE(IF(NF!$G$2:$G$3137='Mês atual'!A331,NF!$J$2:$J$3137),1),0)*BN331</f>
        <v>0</v>
      </c>
      <c r="BP331" s="50"/>
      <c r="BR331" s="147">
        <f t="array" ref="BR331">IFERROR(LARGE(IF(NF!$G$2:$G$3137='Mês atual'!A331,NF!$J$2:$J$3137),1),0)</f>
        <v>0</v>
      </c>
      <c r="BS331" s="143" t="str">
        <f>VLOOKUP(A331,NF!M:O,3,0)</f>
        <v>Feirinha</v>
      </c>
    </row>
    <row r="332" spans="1:71" x14ac:dyDescent="0.25">
      <c r="A332" s="108" t="s">
        <v>422</v>
      </c>
      <c r="B332" s="12"/>
      <c r="C332" s="9">
        <v>3</v>
      </c>
      <c r="D332" s="25"/>
      <c r="E332" s="10" t="str">
        <f t="shared" si="347"/>
        <v>OutubroSEMANA 1Humaytá - Doce de Mamão Verde</v>
      </c>
      <c r="F332" s="7">
        <f>SUMIF(NF!$A:$A,$E332,NF!$I:$I)</f>
        <v>0</v>
      </c>
      <c r="G332" s="6"/>
      <c r="H332" s="6"/>
      <c r="I332" s="6"/>
      <c r="J332" s="6"/>
      <c r="K332" s="6"/>
      <c r="L332" s="6"/>
      <c r="M332" s="6"/>
      <c r="N332" s="7">
        <f t="shared" si="480"/>
        <v>0</v>
      </c>
      <c r="O332" s="11">
        <f t="shared" si="364"/>
        <v>3</v>
      </c>
      <c r="P332" s="25"/>
      <c r="Q332" s="10" t="str">
        <f t="shared" si="350"/>
        <v>OutubroSEMANA 2Humaytá - Doce de Mamão Verde</v>
      </c>
      <c r="R332" s="7">
        <f>SUMIF(NF!$A:$A,$Q332,NF!$I:$I)</f>
        <v>0</v>
      </c>
      <c r="S332" s="6"/>
      <c r="T332" s="6"/>
      <c r="U332" s="6"/>
      <c r="V332" s="6"/>
      <c r="W332" s="6"/>
      <c r="X332" s="6"/>
      <c r="Y332" s="6"/>
      <c r="Z332" s="7">
        <f t="shared" si="481"/>
        <v>0</v>
      </c>
      <c r="AA332" s="11">
        <f t="shared" si="366"/>
        <v>3</v>
      </c>
      <c r="AB332" s="25"/>
      <c r="AC332" s="10" t="str">
        <f t="shared" si="353"/>
        <v>OutubroSEMANA 3Humaytá - Doce de Mamão Verde</v>
      </c>
      <c r="AD332" s="7">
        <f>SUMIF(NF!$A:$A,$AC332,NF!$I:$I)</f>
        <v>0</v>
      </c>
      <c r="AE332" s="6"/>
      <c r="AF332" s="6"/>
      <c r="AG332" s="6"/>
      <c r="AH332" s="6"/>
      <c r="AI332" s="6"/>
      <c r="AJ332" s="6"/>
      <c r="AK332" s="6"/>
      <c r="AL332" s="7">
        <f t="shared" si="482"/>
        <v>0</v>
      </c>
      <c r="AM332" s="11">
        <f t="shared" si="368"/>
        <v>3</v>
      </c>
      <c r="AN332" s="25"/>
      <c r="AO332" s="10" t="str">
        <f t="shared" si="356"/>
        <v>OutubroSEMANA 4Humaytá - Doce de Mamão Verde</v>
      </c>
      <c r="AP332" s="7">
        <f>SUMIF(NF!$A:$A,$AO332,NF!$I:$I)</f>
        <v>0</v>
      </c>
      <c r="AQ332" s="6"/>
      <c r="AR332" s="6"/>
      <c r="AS332" s="6"/>
      <c r="AT332" s="6"/>
      <c r="AU332" s="6"/>
      <c r="AV332" s="6"/>
      <c r="AW332" s="6"/>
      <c r="AX332" s="7">
        <f t="shared" si="483"/>
        <v>0</v>
      </c>
      <c r="AY332" s="11">
        <f t="shared" si="370"/>
        <v>3</v>
      </c>
      <c r="AZ332" s="25"/>
      <c r="BA332" s="10" t="str">
        <f t="shared" si="359"/>
        <v>OutubroSEMANA 5Humaytá - Doce de Mamão Verde</v>
      </c>
      <c r="BB332" s="7">
        <f>SUMIF(NF!$A:$A,$BA332,NF!$I:$I)</f>
        <v>0</v>
      </c>
      <c r="BC332" s="6"/>
      <c r="BD332" s="6"/>
      <c r="BE332" s="6"/>
      <c r="BF332" s="74"/>
      <c r="BG332" s="74"/>
      <c r="BH332" s="74"/>
      <c r="BI332" s="74"/>
      <c r="BJ332" s="74"/>
      <c r="BK332" s="7">
        <f t="shared" si="484"/>
        <v>0</v>
      </c>
      <c r="BL332" s="8">
        <f t="shared" si="372"/>
        <v>3</v>
      </c>
      <c r="BM332" s="51" t="str">
        <f>IFERROR(VLOOKUP(A332,NF!$M:$O,3,0),"")</f>
        <v>Feirinha</v>
      </c>
      <c r="BN332" s="7">
        <f t="shared" si="373"/>
        <v>0</v>
      </c>
      <c r="BO332" s="8">
        <f t="array" ref="BO332">IFERROR(LARGE(IF(NF!$G$2:$G$3137='Mês atual'!A332,NF!$J$2:$J$3137),1),0)*BN332</f>
        <v>0</v>
      </c>
      <c r="BP332" s="50"/>
      <c r="BR332" s="147">
        <f t="array" ref="BR332">IFERROR(LARGE(IF(NF!$G$2:$G$3137='Mês atual'!A332,NF!$J$2:$J$3137),1),0)</f>
        <v>0</v>
      </c>
      <c r="BS332" s="143" t="str">
        <f>VLOOKUP(A332,NF!M:O,3,0)</f>
        <v>Feirinha</v>
      </c>
    </row>
    <row r="333" spans="1:71" x14ac:dyDescent="0.25">
      <c r="A333" s="108" t="s">
        <v>423</v>
      </c>
      <c r="B333" s="12"/>
      <c r="C333" s="9"/>
      <c r="D333" s="25"/>
      <c r="E333" s="10" t="str">
        <f t="shared" si="347"/>
        <v>OutubroSEMANA 1Humaytá - Geléia de Alecrim</v>
      </c>
      <c r="F333" s="7">
        <f>SUMIF(NF!$A:$A,$E333,NF!$I:$I)</f>
        <v>0</v>
      </c>
      <c r="G333" s="6"/>
      <c r="H333" s="6"/>
      <c r="I333" s="6"/>
      <c r="J333" s="6"/>
      <c r="K333" s="6"/>
      <c r="L333" s="6"/>
      <c r="M333" s="6"/>
      <c r="N333" s="7">
        <f t="shared" si="480"/>
        <v>0</v>
      </c>
      <c r="O333" s="11">
        <f t="shared" si="364"/>
        <v>0</v>
      </c>
      <c r="P333" s="25"/>
      <c r="Q333" s="10" t="str">
        <f t="shared" si="350"/>
        <v>OutubroSEMANA 2Humaytá - Geléia de Alecrim</v>
      </c>
      <c r="R333" s="7">
        <f>SUMIF(NF!$A:$A,$Q333,NF!$I:$I)</f>
        <v>0</v>
      </c>
      <c r="S333" s="6"/>
      <c r="T333" s="6"/>
      <c r="U333" s="6"/>
      <c r="V333" s="6"/>
      <c r="W333" s="6"/>
      <c r="X333" s="6"/>
      <c r="Y333" s="6"/>
      <c r="Z333" s="7">
        <f t="shared" si="481"/>
        <v>0</v>
      </c>
      <c r="AA333" s="11">
        <f t="shared" si="366"/>
        <v>0</v>
      </c>
      <c r="AB333" s="25"/>
      <c r="AC333" s="10" t="str">
        <f t="shared" si="353"/>
        <v>OutubroSEMANA 3Humaytá - Geléia de Alecrim</v>
      </c>
      <c r="AD333" s="7">
        <f>SUMIF(NF!$A:$A,$AC333,NF!$I:$I)</f>
        <v>0</v>
      </c>
      <c r="AE333" s="6"/>
      <c r="AF333" s="6"/>
      <c r="AG333" s="6"/>
      <c r="AH333" s="6"/>
      <c r="AI333" s="6"/>
      <c r="AJ333" s="6"/>
      <c r="AK333" s="6"/>
      <c r="AL333" s="7">
        <f t="shared" si="482"/>
        <v>0</v>
      </c>
      <c r="AM333" s="11">
        <f t="shared" si="368"/>
        <v>0</v>
      </c>
      <c r="AN333" s="25"/>
      <c r="AO333" s="10" t="str">
        <f t="shared" si="356"/>
        <v>OutubroSEMANA 4Humaytá - Geléia de Alecrim</v>
      </c>
      <c r="AP333" s="7">
        <f>SUMIF(NF!$A:$A,$AO333,NF!$I:$I)</f>
        <v>0</v>
      </c>
      <c r="AQ333" s="6"/>
      <c r="AR333" s="6"/>
      <c r="AS333" s="6"/>
      <c r="AT333" s="6"/>
      <c r="AU333" s="6"/>
      <c r="AV333" s="6"/>
      <c r="AW333" s="6"/>
      <c r="AX333" s="7">
        <f t="shared" si="483"/>
        <v>0</v>
      </c>
      <c r="AY333" s="11">
        <f t="shared" si="370"/>
        <v>0</v>
      </c>
      <c r="AZ333" s="25"/>
      <c r="BA333" s="10" t="str">
        <f t="shared" si="359"/>
        <v>OutubroSEMANA 5Humaytá - Geléia de Alecrim</v>
      </c>
      <c r="BB333" s="7">
        <f>SUMIF(NF!$A:$A,$BA333,NF!$I:$I)</f>
        <v>0</v>
      </c>
      <c r="BC333" s="6"/>
      <c r="BD333" s="6"/>
      <c r="BE333" s="6"/>
      <c r="BF333" s="74"/>
      <c r="BG333" s="74"/>
      <c r="BH333" s="74"/>
      <c r="BI333" s="74"/>
      <c r="BJ333" s="74"/>
      <c r="BK333" s="7">
        <f t="shared" si="484"/>
        <v>0</v>
      </c>
      <c r="BL333" s="8">
        <f t="shared" si="372"/>
        <v>0</v>
      </c>
      <c r="BM333" s="51" t="str">
        <f>IFERROR(VLOOKUP(A333,NF!$M:$O,3,0),"")</f>
        <v>Feirinha</v>
      </c>
      <c r="BN333" s="7">
        <f t="shared" si="373"/>
        <v>0</v>
      </c>
      <c r="BO333" s="8">
        <f t="array" ref="BO333">IFERROR(LARGE(IF(NF!$G$2:$G$3137='Mês atual'!A333,NF!$J$2:$J$3137),1),0)*BN333</f>
        <v>0</v>
      </c>
      <c r="BP333" s="50"/>
      <c r="BR333" s="147">
        <f t="array" ref="BR333">IFERROR(LARGE(IF(NF!$G$2:$G$3137='Mês atual'!A333,NF!$J$2:$J$3137),1),0)</f>
        <v>0</v>
      </c>
      <c r="BS333" s="143" t="str">
        <f>VLOOKUP(A333,NF!M:O,3,0)</f>
        <v>Feirinha</v>
      </c>
    </row>
    <row r="334" spans="1:71" x14ac:dyDescent="0.25">
      <c r="A334" s="108" t="s">
        <v>949</v>
      </c>
      <c r="B334" s="12"/>
      <c r="C334" s="9"/>
      <c r="D334" s="25"/>
      <c r="E334" s="10" t="str">
        <f t="shared" si="347"/>
        <v>OutubroSEMANA 1Humayta - Geléia de Ameixa c/ Nozes</v>
      </c>
      <c r="F334" s="7">
        <f>SUMIF(NF!$A:$A,$E334,NF!$I:$I)</f>
        <v>0</v>
      </c>
      <c r="G334" s="6"/>
      <c r="H334" s="6"/>
      <c r="I334" s="6"/>
      <c r="J334" s="6"/>
      <c r="K334" s="6"/>
      <c r="L334" s="6"/>
      <c r="M334" s="6"/>
      <c r="N334" s="7">
        <f t="shared" ref="N334" si="485">SUM(G334:M334)</f>
        <v>0</v>
      </c>
      <c r="O334" s="11">
        <f t="shared" si="364"/>
        <v>0</v>
      </c>
      <c r="P334" s="25"/>
      <c r="Q334" s="10" t="str">
        <f t="shared" si="350"/>
        <v>OutubroSEMANA 2Humayta - Geléia de Ameixa c/ Nozes</v>
      </c>
      <c r="R334" s="7">
        <f>SUMIF(NF!$A:$A,$Q334,NF!$I:$I)</f>
        <v>0</v>
      </c>
      <c r="S334" s="6"/>
      <c r="T334" s="6"/>
      <c r="U334" s="6"/>
      <c r="V334" s="6"/>
      <c r="W334" s="6"/>
      <c r="X334" s="6"/>
      <c r="Y334" s="6"/>
      <c r="Z334" s="7">
        <f t="shared" ref="Z334" si="486">SUM(S334:Y334)</f>
        <v>0</v>
      </c>
      <c r="AA334" s="11">
        <f t="shared" si="366"/>
        <v>0</v>
      </c>
      <c r="AB334" s="25"/>
      <c r="AC334" s="10" t="str">
        <f t="shared" si="353"/>
        <v>OutubroSEMANA 3Humayta - Geléia de Ameixa c/ Nozes</v>
      </c>
      <c r="AD334" s="7">
        <f>SUMIF(NF!$A:$A,$AC334,NF!$I:$I)</f>
        <v>0</v>
      </c>
      <c r="AE334" s="6"/>
      <c r="AF334" s="6"/>
      <c r="AG334" s="6"/>
      <c r="AH334" s="6"/>
      <c r="AI334" s="6"/>
      <c r="AJ334" s="6"/>
      <c r="AK334" s="6"/>
      <c r="AL334" s="7">
        <f t="shared" ref="AL334" si="487">SUM(AE334:AK334)</f>
        <v>0</v>
      </c>
      <c r="AM334" s="11">
        <f t="shared" si="368"/>
        <v>0</v>
      </c>
      <c r="AN334" s="25"/>
      <c r="AO334" s="10" t="str">
        <f t="shared" si="356"/>
        <v>OutubroSEMANA 4Humayta - Geléia de Ameixa c/ Nozes</v>
      </c>
      <c r="AP334" s="7">
        <f>SUMIF(NF!$A:$A,$AO334,NF!$I:$I)</f>
        <v>0</v>
      </c>
      <c r="AQ334" s="6"/>
      <c r="AR334" s="6"/>
      <c r="AS334" s="6"/>
      <c r="AT334" s="6"/>
      <c r="AU334" s="6"/>
      <c r="AV334" s="6"/>
      <c r="AW334" s="6"/>
      <c r="AX334" s="7">
        <f t="shared" ref="AX334" si="488">SUM(AQ334:AW334)</f>
        <v>0</v>
      </c>
      <c r="AY334" s="11">
        <f t="shared" si="370"/>
        <v>0</v>
      </c>
      <c r="AZ334" s="25"/>
      <c r="BA334" s="10" t="str">
        <f t="shared" si="359"/>
        <v>OutubroSEMANA 5Humayta - Geléia de Ameixa c/ Nozes</v>
      </c>
      <c r="BB334" s="7">
        <f>SUMIF(NF!$A:$A,$BA334,NF!$I:$I)</f>
        <v>0</v>
      </c>
      <c r="BC334" s="6"/>
      <c r="BD334" s="6"/>
      <c r="BE334" s="6"/>
      <c r="BF334" s="74"/>
      <c r="BG334" s="74"/>
      <c r="BH334" s="74"/>
      <c r="BI334" s="74"/>
      <c r="BJ334" s="74"/>
      <c r="BK334" s="7">
        <f t="shared" ref="BK334" si="489">SUM(BC334:BJ334)</f>
        <v>0</v>
      </c>
      <c r="BL334" s="8">
        <f t="shared" si="372"/>
        <v>0</v>
      </c>
      <c r="BM334" s="51" t="str">
        <f>IFERROR(VLOOKUP(A334,NF!$M:$O,3,0),"")</f>
        <v>Feirinha</v>
      </c>
      <c r="BN334" s="7">
        <f t="shared" si="373"/>
        <v>0</v>
      </c>
      <c r="BO334" s="8">
        <f t="array" ref="BO334">IFERROR(LARGE(IF(NF!$G$2:$G$3137='Mês atual'!A334,NF!$J$2:$J$3137),1),0)*BN334</f>
        <v>0</v>
      </c>
      <c r="BP334" s="50"/>
      <c r="BR334" s="147">
        <f t="array" ref="BR334">IFERROR(LARGE(IF(NF!$G$2:$G$3137='Mês atual'!A334,NF!$J$2:$J$3137),1),0)</f>
        <v>0</v>
      </c>
      <c r="BS334" s="143" t="str">
        <f>VLOOKUP(A334,NF!M:O,3,0)</f>
        <v>Feirinha</v>
      </c>
    </row>
    <row r="335" spans="1:71" x14ac:dyDescent="0.25">
      <c r="A335" s="108" t="s">
        <v>424</v>
      </c>
      <c r="B335" s="12"/>
      <c r="C335" s="9">
        <v>2</v>
      </c>
      <c r="D335" s="25"/>
      <c r="E335" s="10" t="str">
        <f t="shared" si="347"/>
        <v>OutubroSEMANA 1Humaytá - Geléia de Amora</v>
      </c>
      <c r="F335" s="7">
        <f>SUMIF(NF!$A:$A,$E335,NF!$I:$I)</f>
        <v>0</v>
      </c>
      <c r="G335" s="6"/>
      <c r="H335" s="6"/>
      <c r="I335" s="6"/>
      <c r="J335" s="6"/>
      <c r="K335" s="6"/>
      <c r="L335" s="6"/>
      <c r="M335" s="6"/>
      <c r="N335" s="7">
        <f t="shared" ref="N335:N336" si="490">SUM(G335:M335)</f>
        <v>0</v>
      </c>
      <c r="O335" s="11">
        <f t="shared" si="364"/>
        <v>2</v>
      </c>
      <c r="P335" s="25"/>
      <c r="Q335" s="10" t="str">
        <f t="shared" si="350"/>
        <v>OutubroSEMANA 2Humaytá - Geléia de Amora</v>
      </c>
      <c r="R335" s="7">
        <f>SUMIF(NF!$A:$A,$Q335,NF!$I:$I)</f>
        <v>0</v>
      </c>
      <c r="S335" s="6"/>
      <c r="T335" s="6"/>
      <c r="U335" s="6"/>
      <c r="V335" s="6"/>
      <c r="W335" s="6"/>
      <c r="X335" s="6"/>
      <c r="Y335" s="6"/>
      <c r="Z335" s="7">
        <f t="shared" ref="Z335:Z336" si="491">SUM(S335:Y335)</f>
        <v>0</v>
      </c>
      <c r="AA335" s="11">
        <f t="shared" si="366"/>
        <v>2</v>
      </c>
      <c r="AB335" s="25"/>
      <c r="AC335" s="10" t="str">
        <f t="shared" si="353"/>
        <v>OutubroSEMANA 3Humaytá - Geléia de Amora</v>
      </c>
      <c r="AD335" s="7">
        <f>SUMIF(NF!$A:$A,$AC335,NF!$I:$I)</f>
        <v>0</v>
      </c>
      <c r="AE335" s="6"/>
      <c r="AF335" s="6"/>
      <c r="AG335" s="6"/>
      <c r="AH335" s="6"/>
      <c r="AI335" s="6"/>
      <c r="AJ335" s="6"/>
      <c r="AK335" s="6"/>
      <c r="AL335" s="7">
        <f t="shared" ref="AL335:AL336" si="492">SUM(AE335:AK335)</f>
        <v>0</v>
      </c>
      <c r="AM335" s="11">
        <f t="shared" si="368"/>
        <v>2</v>
      </c>
      <c r="AN335" s="25"/>
      <c r="AO335" s="10" t="str">
        <f t="shared" si="356"/>
        <v>OutubroSEMANA 4Humaytá - Geléia de Amora</v>
      </c>
      <c r="AP335" s="7">
        <f>SUMIF(NF!$A:$A,$AO335,NF!$I:$I)</f>
        <v>0</v>
      </c>
      <c r="AQ335" s="6"/>
      <c r="AR335" s="6"/>
      <c r="AS335" s="6"/>
      <c r="AT335" s="6"/>
      <c r="AU335" s="6"/>
      <c r="AV335" s="6"/>
      <c r="AW335" s="6"/>
      <c r="AX335" s="7">
        <f t="shared" ref="AX335:AX336" si="493">SUM(AQ335:AW335)</f>
        <v>0</v>
      </c>
      <c r="AY335" s="11">
        <f t="shared" si="370"/>
        <v>2</v>
      </c>
      <c r="AZ335" s="25"/>
      <c r="BA335" s="10" t="str">
        <f t="shared" si="359"/>
        <v>OutubroSEMANA 5Humaytá - Geléia de Amora</v>
      </c>
      <c r="BB335" s="7">
        <f>SUMIF(NF!$A:$A,$BA335,NF!$I:$I)</f>
        <v>0</v>
      </c>
      <c r="BC335" s="6"/>
      <c r="BD335" s="6"/>
      <c r="BE335" s="6"/>
      <c r="BF335" s="74"/>
      <c r="BG335" s="74"/>
      <c r="BH335" s="74"/>
      <c r="BI335" s="74"/>
      <c r="BJ335" s="74"/>
      <c r="BK335" s="7">
        <f t="shared" ref="BK335:BK336" si="494">SUM(BC335:BJ335)</f>
        <v>0</v>
      </c>
      <c r="BL335" s="8">
        <f t="shared" si="372"/>
        <v>2</v>
      </c>
      <c r="BM335" s="51" t="str">
        <f>IFERROR(VLOOKUP(A335,NF!$M:$O,3,0),"")</f>
        <v>Feirinha</v>
      </c>
      <c r="BN335" s="7">
        <f t="shared" si="373"/>
        <v>0</v>
      </c>
      <c r="BO335" s="8">
        <f t="array" ref="BO335">IFERROR(LARGE(IF(NF!$G$2:$G$3137='Mês atual'!A335,NF!$J$2:$J$3137),1),0)*BN335</f>
        <v>0</v>
      </c>
      <c r="BP335" s="50"/>
      <c r="BR335" s="147">
        <f t="array" ref="BR335">IFERROR(LARGE(IF(NF!$G$2:$G$3137='Mês atual'!A335,NF!$J$2:$J$3137),1),0)</f>
        <v>0</v>
      </c>
      <c r="BS335" s="143" t="str">
        <f>VLOOKUP(A335,NF!M:O,3,0)</f>
        <v>Feirinha</v>
      </c>
    </row>
    <row r="336" spans="1:71" x14ac:dyDescent="0.25">
      <c r="A336" s="108" t="s">
        <v>425</v>
      </c>
      <c r="B336" s="12"/>
      <c r="C336" s="9">
        <v>3</v>
      </c>
      <c r="D336" s="25"/>
      <c r="E336" s="10" t="str">
        <f t="shared" si="347"/>
        <v>OutubroSEMANA 1Humaytá - Geléia de Damasco</v>
      </c>
      <c r="F336" s="7">
        <f>SUMIF(NF!$A:$A,$E336,NF!$I:$I)</f>
        <v>0</v>
      </c>
      <c r="G336" s="6"/>
      <c r="H336" s="6"/>
      <c r="I336" s="6"/>
      <c r="J336" s="6"/>
      <c r="K336" s="6"/>
      <c r="L336" s="6"/>
      <c r="M336" s="6"/>
      <c r="N336" s="7">
        <f t="shared" si="490"/>
        <v>0</v>
      </c>
      <c r="O336" s="11">
        <f t="shared" si="364"/>
        <v>3</v>
      </c>
      <c r="P336" s="25"/>
      <c r="Q336" s="10" t="str">
        <f t="shared" si="350"/>
        <v>OutubroSEMANA 2Humaytá - Geléia de Damasco</v>
      </c>
      <c r="R336" s="7">
        <f>SUMIF(NF!$A:$A,$Q336,NF!$I:$I)</f>
        <v>0</v>
      </c>
      <c r="S336" s="6"/>
      <c r="T336" s="6"/>
      <c r="U336" s="6"/>
      <c r="V336" s="6"/>
      <c r="W336" s="6"/>
      <c r="X336" s="6"/>
      <c r="Y336" s="6"/>
      <c r="Z336" s="7">
        <f t="shared" si="491"/>
        <v>0</v>
      </c>
      <c r="AA336" s="11">
        <f t="shared" si="366"/>
        <v>3</v>
      </c>
      <c r="AB336" s="25"/>
      <c r="AC336" s="10" t="str">
        <f t="shared" si="353"/>
        <v>OutubroSEMANA 3Humaytá - Geléia de Damasco</v>
      </c>
      <c r="AD336" s="7">
        <f>SUMIF(NF!$A:$A,$AC336,NF!$I:$I)</f>
        <v>0</v>
      </c>
      <c r="AE336" s="6"/>
      <c r="AF336" s="6"/>
      <c r="AG336" s="6"/>
      <c r="AH336" s="6"/>
      <c r="AI336" s="6"/>
      <c r="AJ336" s="6"/>
      <c r="AK336" s="6"/>
      <c r="AL336" s="7">
        <f t="shared" si="492"/>
        <v>0</v>
      </c>
      <c r="AM336" s="11">
        <f t="shared" si="368"/>
        <v>3</v>
      </c>
      <c r="AN336" s="25"/>
      <c r="AO336" s="10" t="str">
        <f t="shared" si="356"/>
        <v>OutubroSEMANA 4Humaytá - Geléia de Damasco</v>
      </c>
      <c r="AP336" s="7">
        <f>SUMIF(NF!$A:$A,$AO336,NF!$I:$I)</f>
        <v>0</v>
      </c>
      <c r="AQ336" s="6"/>
      <c r="AR336" s="6"/>
      <c r="AS336" s="6"/>
      <c r="AT336" s="6"/>
      <c r="AU336" s="6"/>
      <c r="AV336" s="6"/>
      <c r="AW336" s="6"/>
      <c r="AX336" s="7">
        <f t="shared" si="493"/>
        <v>0</v>
      </c>
      <c r="AY336" s="11">
        <f t="shared" si="370"/>
        <v>3</v>
      </c>
      <c r="AZ336" s="25"/>
      <c r="BA336" s="10" t="str">
        <f t="shared" si="359"/>
        <v>OutubroSEMANA 5Humaytá - Geléia de Damasco</v>
      </c>
      <c r="BB336" s="7">
        <f>SUMIF(NF!$A:$A,$BA336,NF!$I:$I)</f>
        <v>0</v>
      </c>
      <c r="BC336" s="6"/>
      <c r="BD336" s="6"/>
      <c r="BE336" s="6"/>
      <c r="BF336" s="74"/>
      <c r="BG336" s="74"/>
      <c r="BH336" s="74"/>
      <c r="BI336" s="74"/>
      <c r="BJ336" s="74"/>
      <c r="BK336" s="7">
        <f t="shared" si="494"/>
        <v>0</v>
      </c>
      <c r="BL336" s="8">
        <f t="shared" si="372"/>
        <v>3</v>
      </c>
      <c r="BM336" s="51" t="str">
        <f>IFERROR(VLOOKUP(A336,NF!$M:$O,3,0),"")</f>
        <v>Feirinha</v>
      </c>
      <c r="BN336" s="7">
        <f t="shared" si="373"/>
        <v>0</v>
      </c>
      <c r="BO336" s="8">
        <f t="array" ref="BO336">IFERROR(LARGE(IF(NF!$G$2:$G$3137='Mês atual'!A336,NF!$J$2:$J$3137),1),0)*BN336</f>
        <v>0</v>
      </c>
      <c r="BP336" s="50"/>
      <c r="BR336" s="147">
        <f t="array" ref="BR336">IFERROR(LARGE(IF(NF!$G$2:$G$3137='Mês atual'!A336,NF!$J$2:$J$3137),1),0)</f>
        <v>0</v>
      </c>
      <c r="BS336" s="143" t="str">
        <f>VLOOKUP(A336,NF!M:O,3,0)</f>
        <v>Feirinha</v>
      </c>
    </row>
    <row r="337" spans="1:71" x14ac:dyDescent="0.25">
      <c r="A337" s="108" t="s">
        <v>950</v>
      </c>
      <c r="B337" s="12"/>
      <c r="C337" s="9"/>
      <c r="D337" s="25"/>
      <c r="E337" s="10" t="str">
        <f t="shared" si="347"/>
        <v>OutubroSEMANA 1Humayta - Geléia de Damasco c/ Amendoas</v>
      </c>
      <c r="F337" s="7">
        <f>SUMIF(NF!$A:$A,$E337,NF!$I:$I)</f>
        <v>0</v>
      </c>
      <c r="G337" s="6"/>
      <c r="H337" s="6"/>
      <c r="I337" s="6"/>
      <c r="J337" s="6"/>
      <c r="K337" s="6"/>
      <c r="L337" s="6"/>
      <c r="M337" s="6"/>
      <c r="N337" s="7">
        <f t="shared" ref="N337" si="495">SUM(G337:M337)</f>
        <v>0</v>
      </c>
      <c r="O337" s="11">
        <f t="shared" si="364"/>
        <v>0</v>
      </c>
      <c r="P337" s="25"/>
      <c r="Q337" s="10" t="str">
        <f t="shared" si="350"/>
        <v>OutubroSEMANA 2Humayta - Geléia de Damasco c/ Amendoas</v>
      </c>
      <c r="R337" s="7">
        <f>SUMIF(NF!$A:$A,$Q337,NF!$I:$I)</f>
        <v>0</v>
      </c>
      <c r="S337" s="6"/>
      <c r="T337" s="6"/>
      <c r="U337" s="6"/>
      <c r="V337" s="6"/>
      <c r="W337" s="6"/>
      <c r="X337" s="6"/>
      <c r="Y337" s="6"/>
      <c r="Z337" s="7">
        <f t="shared" ref="Z337" si="496">SUM(S337:Y337)</f>
        <v>0</v>
      </c>
      <c r="AA337" s="11">
        <f t="shared" si="366"/>
        <v>0</v>
      </c>
      <c r="AB337" s="25"/>
      <c r="AC337" s="10" t="str">
        <f t="shared" si="353"/>
        <v>OutubroSEMANA 3Humayta - Geléia de Damasco c/ Amendoas</v>
      </c>
      <c r="AD337" s="7">
        <f>SUMIF(NF!$A:$A,$AC337,NF!$I:$I)</f>
        <v>0</v>
      </c>
      <c r="AE337" s="6"/>
      <c r="AF337" s="6"/>
      <c r="AG337" s="6"/>
      <c r="AH337" s="6"/>
      <c r="AI337" s="6"/>
      <c r="AJ337" s="6"/>
      <c r="AK337" s="6"/>
      <c r="AL337" s="7">
        <f t="shared" ref="AL337" si="497">SUM(AE337:AK337)</f>
        <v>0</v>
      </c>
      <c r="AM337" s="11">
        <f t="shared" si="368"/>
        <v>0</v>
      </c>
      <c r="AN337" s="25"/>
      <c r="AO337" s="10" t="str">
        <f t="shared" si="356"/>
        <v>OutubroSEMANA 4Humayta - Geléia de Damasco c/ Amendoas</v>
      </c>
      <c r="AP337" s="7">
        <f>SUMIF(NF!$A:$A,$AO337,NF!$I:$I)</f>
        <v>0</v>
      </c>
      <c r="AQ337" s="6"/>
      <c r="AR337" s="6"/>
      <c r="AS337" s="6"/>
      <c r="AT337" s="6"/>
      <c r="AU337" s="6"/>
      <c r="AV337" s="6"/>
      <c r="AW337" s="6"/>
      <c r="AX337" s="7">
        <f t="shared" ref="AX337" si="498">SUM(AQ337:AW337)</f>
        <v>0</v>
      </c>
      <c r="AY337" s="11">
        <f t="shared" si="370"/>
        <v>0</v>
      </c>
      <c r="AZ337" s="25"/>
      <c r="BA337" s="10" t="str">
        <f t="shared" si="359"/>
        <v>OutubroSEMANA 5Humayta - Geléia de Damasco c/ Amendoas</v>
      </c>
      <c r="BB337" s="7">
        <f>SUMIF(NF!$A:$A,$BA337,NF!$I:$I)</f>
        <v>0</v>
      </c>
      <c r="BC337" s="6"/>
      <c r="BD337" s="6"/>
      <c r="BE337" s="6"/>
      <c r="BF337" s="74"/>
      <c r="BG337" s="74"/>
      <c r="BH337" s="74"/>
      <c r="BI337" s="74"/>
      <c r="BJ337" s="74"/>
      <c r="BK337" s="7">
        <f t="shared" ref="BK337" si="499">SUM(BC337:BJ337)</f>
        <v>0</v>
      </c>
      <c r="BL337" s="8">
        <f t="shared" si="372"/>
        <v>0</v>
      </c>
      <c r="BM337" s="51" t="str">
        <f>IFERROR(VLOOKUP(A337,NF!$M:$O,3,0),"")</f>
        <v>Feirinha</v>
      </c>
      <c r="BN337" s="7">
        <f t="shared" si="373"/>
        <v>0</v>
      </c>
      <c r="BO337" s="8">
        <f t="array" ref="BO337">IFERROR(LARGE(IF(NF!$G$2:$G$3137='Mês atual'!A337,NF!$J$2:$J$3137),1),0)*BN337</f>
        <v>0</v>
      </c>
      <c r="BP337" s="50"/>
      <c r="BR337" s="147">
        <f t="array" ref="BR337">IFERROR(LARGE(IF(NF!$G$2:$G$3137='Mês atual'!A337,NF!$J$2:$J$3137),1),0)</f>
        <v>0</v>
      </c>
      <c r="BS337" s="143" t="str">
        <f>VLOOKUP(A337,NF!M:O,3,0)</f>
        <v>Feirinha</v>
      </c>
    </row>
    <row r="338" spans="1:71" x14ac:dyDescent="0.25">
      <c r="A338" s="108" t="s">
        <v>426</v>
      </c>
      <c r="B338" s="12"/>
      <c r="C338" s="9"/>
      <c r="D338" s="25"/>
      <c r="E338" s="10" t="str">
        <f t="shared" si="347"/>
        <v>OutubroSEMANA 1Humaytá - Geléia de Figo</v>
      </c>
      <c r="F338" s="7">
        <f>SUMIF(NF!$A:$A,$E338,NF!$I:$I)</f>
        <v>0</v>
      </c>
      <c r="G338" s="6"/>
      <c r="H338" s="6"/>
      <c r="I338" s="6"/>
      <c r="J338" s="6"/>
      <c r="K338" s="6"/>
      <c r="L338" s="6"/>
      <c r="M338" s="6"/>
      <c r="N338" s="7">
        <f t="shared" ref="N338:N362" si="500">SUM(G338:M338)</f>
        <v>0</v>
      </c>
      <c r="O338" s="11">
        <f t="shared" si="364"/>
        <v>0</v>
      </c>
      <c r="P338" s="25"/>
      <c r="Q338" s="10" t="str">
        <f t="shared" si="350"/>
        <v>OutubroSEMANA 2Humaytá - Geléia de Figo</v>
      </c>
      <c r="R338" s="7">
        <f>SUMIF(NF!$A:$A,$Q338,NF!$I:$I)</f>
        <v>0</v>
      </c>
      <c r="S338" s="6"/>
      <c r="T338" s="6"/>
      <c r="U338" s="6"/>
      <c r="V338" s="6"/>
      <c r="W338" s="6"/>
      <c r="X338" s="6"/>
      <c r="Y338" s="6"/>
      <c r="Z338" s="7">
        <f t="shared" ref="Z338:Z362" si="501">SUM(S338:Y338)</f>
        <v>0</v>
      </c>
      <c r="AA338" s="11">
        <f t="shared" si="366"/>
        <v>0</v>
      </c>
      <c r="AB338" s="25"/>
      <c r="AC338" s="10" t="str">
        <f t="shared" si="353"/>
        <v>OutubroSEMANA 3Humaytá - Geléia de Figo</v>
      </c>
      <c r="AD338" s="7">
        <f>SUMIF(NF!$A:$A,$AC338,NF!$I:$I)</f>
        <v>0</v>
      </c>
      <c r="AE338" s="6"/>
      <c r="AF338" s="6"/>
      <c r="AG338" s="6"/>
      <c r="AH338" s="6"/>
      <c r="AI338" s="6"/>
      <c r="AJ338" s="6"/>
      <c r="AK338" s="6"/>
      <c r="AL338" s="7">
        <f t="shared" ref="AL338:AL362" si="502">SUM(AE338:AK338)</f>
        <v>0</v>
      </c>
      <c r="AM338" s="11">
        <f t="shared" si="368"/>
        <v>0</v>
      </c>
      <c r="AN338" s="25"/>
      <c r="AO338" s="10" t="str">
        <f t="shared" si="356"/>
        <v>OutubroSEMANA 4Humaytá - Geléia de Figo</v>
      </c>
      <c r="AP338" s="7">
        <f>SUMIF(NF!$A:$A,$AO338,NF!$I:$I)</f>
        <v>0</v>
      </c>
      <c r="AQ338" s="6"/>
      <c r="AR338" s="6"/>
      <c r="AS338" s="6"/>
      <c r="AT338" s="6"/>
      <c r="AU338" s="6"/>
      <c r="AV338" s="6"/>
      <c r="AW338" s="6"/>
      <c r="AX338" s="7">
        <f t="shared" ref="AX338:AX362" si="503">SUM(AQ338:AW338)</f>
        <v>0</v>
      </c>
      <c r="AY338" s="11">
        <f t="shared" si="370"/>
        <v>0</v>
      </c>
      <c r="AZ338" s="25"/>
      <c r="BA338" s="10" t="str">
        <f t="shared" si="359"/>
        <v>OutubroSEMANA 5Humaytá - Geléia de Figo</v>
      </c>
      <c r="BB338" s="7">
        <f>SUMIF(NF!$A:$A,$BA338,NF!$I:$I)</f>
        <v>0</v>
      </c>
      <c r="BC338" s="6"/>
      <c r="BD338" s="6"/>
      <c r="BE338" s="6"/>
      <c r="BF338" s="74"/>
      <c r="BG338" s="74"/>
      <c r="BH338" s="74"/>
      <c r="BI338" s="74"/>
      <c r="BJ338" s="74"/>
      <c r="BK338" s="7">
        <f t="shared" ref="BK338:BK362" si="504">SUM(BC338:BJ338)</f>
        <v>0</v>
      </c>
      <c r="BL338" s="8">
        <f t="shared" si="372"/>
        <v>0</v>
      </c>
      <c r="BM338" s="51" t="str">
        <f>IFERROR(VLOOKUP(A338,NF!$M:$O,3,0),"")</f>
        <v>Feirinha</v>
      </c>
      <c r="BN338" s="7">
        <f t="shared" si="373"/>
        <v>0</v>
      </c>
      <c r="BO338" s="8">
        <f t="array" ref="BO338">IFERROR(LARGE(IF(NF!$G$2:$G$3137='Mês atual'!A338,NF!$J$2:$J$3137),1),0)*BN338</f>
        <v>0</v>
      </c>
      <c r="BP338" s="50"/>
      <c r="BR338" s="147">
        <f t="array" ref="BR338">IFERROR(LARGE(IF(NF!$G$2:$G$3137='Mês atual'!A338,NF!$J$2:$J$3137),1),0)</f>
        <v>0</v>
      </c>
      <c r="BS338" s="143" t="str">
        <f>VLOOKUP(A338,NF!M:O,3,0)</f>
        <v>Feirinha</v>
      </c>
    </row>
    <row r="339" spans="1:71" x14ac:dyDescent="0.25">
      <c r="A339" s="108" t="s">
        <v>427</v>
      </c>
      <c r="B339" s="12"/>
      <c r="C339" s="9">
        <v>1</v>
      </c>
      <c r="D339" s="25"/>
      <c r="E339" s="10" t="str">
        <f t="shared" si="347"/>
        <v xml:space="preserve">OutubroSEMANA 1Humaytá - Geléia de Pimenta </v>
      </c>
      <c r="F339" s="7">
        <f>SUMIF(NF!$A:$A,$E339,NF!$I:$I)</f>
        <v>0</v>
      </c>
      <c r="G339" s="6"/>
      <c r="H339" s="6"/>
      <c r="I339" s="6"/>
      <c r="J339" s="6"/>
      <c r="K339" s="6"/>
      <c r="L339" s="6"/>
      <c r="M339" s="6"/>
      <c r="N339" s="7">
        <f t="shared" si="500"/>
        <v>0</v>
      </c>
      <c r="O339" s="11">
        <f t="shared" si="364"/>
        <v>1</v>
      </c>
      <c r="P339" s="25"/>
      <c r="Q339" s="10" t="str">
        <f t="shared" si="350"/>
        <v xml:space="preserve">OutubroSEMANA 2Humaytá - Geléia de Pimenta </v>
      </c>
      <c r="R339" s="7">
        <f>SUMIF(NF!$A:$A,$Q339,NF!$I:$I)</f>
        <v>0</v>
      </c>
      <c r="S339" s="6"/>
      <c r="T339" s="6"/>
      <c r="U339" s="6"/>
      <c r="V339" s="6"/>
      <c r="W339" s="6"/>
      <c r="X339" s="6"/>
      <c r="Y339" s="6"/>
      <c r="Z339" s="7">
        <f t="shared" si="501"/>
        <v>0</v>
      </c>
      <c r="AA339" s="11">
        <f t="shared" si="366"/>
        <v>1</v>
      </c>
      <c r="AB339" s="25"/>
      <c r="AC339" s="10" t="str">
        <f t="shared" si="353"/>
        <v xml:space="preserve">OutubroSEMANA 3Humaytá - Geléia de Pimenta </v>
      </c>
      <c r="AD339" s="7">
        <f>SUMIF(NF!$A:$A,$AC339,NF!$I:$I)</f>
        <v>0</v>
      </c>
      <c r="AE339" s="6"/>
      <c r="AF339" s="6"/>
      <c r="AG339" s="6"/>
      <c r="AH339" s="6"/>
      <c r="AI339" s="6"/>
      <c r="AJ339" s="6"/>
      <c r="AK339" s="6"/>
      <c r="AL339" s="7">
        <f t="shared" si="502"/>
        <v>0</v>
      </c>
      <c r="AM339" s="11">
        <f t="shared" si="368"/>
        <v>1</v>
      </c>
      <c r="AN339" s="25"/>
      <c r="AO339" s="10" t="str">
        <f t="shared" si="356"/>
        <v xml:space="preserve">OutubroSEMANA 4Humaytá - Geléia de Pimenta </v>
      </c>
      <c r="AP339" s="7">
        <f>SUMIF(NF!$A:$A,$AO339,NF!$I:$I)</f>
        <v>0</v>
      </c>
      <c r="AQ339" s="6"/>
      <c r="AR339" s="6"/>
      <c r="AS339" s="6"/>
      <c r="AT339" s="6"/>
      <c r="AU339" s="6"/>
      <c r="AV339" s="6"/>
      <c r="AW339" s="6"/>
      <c r="AX339" s="7">
        <f t="shared" si="503"/>
        <v>0</v>
      </c>
      <c r="AY339" s="11">
        <f t="shared" si="370"/>
        <v>1</v>
      </c>
      <c r="AZ339" s="25"/>
      <c r="BA339" s="10" t="str">
        <f t="shared" si="359"/>
        <v xml:space="preserve">OutubroSEMANA 5Humaytá - Geléia de Pimenta </v>
      </c>
      <c r="BB339" s="7">
        <f>SUMIF(NF!$A:$A,$BA339,NF!$I:$I)</f>
        <v>0</v>
      </c>
      <c r="BC339" s="6"/>
      <c r="BD339" s="6"/>
      <c r="BE339" s="6"/>
      <c r="BF339" s="74"/>
      <c r="BG339" s="74"/>
      <c r="BH339" s="74"/>
      <c r="BI339" s="74"/>
      <c r="BJ339" s="74"/>
      <c r="BK339" s="7">
        <f t="shared" si="504"/>
        <v>0</v>
      </c>
      <c r="BL339" s="8">
        <f t="shared" si="372"/>
        <v>1</v>
      </c>
      <c r="BM339" s="51" t="str">
        <f>IFERROR(VLOOKUP(A339,NF!$M:$O,3,0),"")</f>
        <v>Feirinha</v>
      </c>
      <c r="BN339" s="7">
        <f t="shared" si="373"/>
        <v>0</v>
      </c>
      <c r="BO339" s="8">
        <f t="array" ref="BO339">IFERROR(LARGE(IF(NF!$G$2:$G$3137='Mês atual'!A339,NF!$J$2:$J$3137),1),0)*BN339</f>
        <v>0</v>
      </c>
      <c r="BP339" s="50"/>
      <c r="BR339" s="147">
        <f t="array" ref="BR339">IFERROR(LARGE(IF(NF!$G$2:$G$3137='Mês atual'!A339,NF!$J$2:$J$3137),1),0)</f>
        <v>0</v>
      </c>
      <c r="BS339" s="143" t="str">
        <f>VLOOKUP(A339,NF!M:O,3,0)</f>
        <v>Feirinha</v>
      </c>
    </row>
    <row r="340" spans="1:71" x14ac:dyDescent="0.25">
      <c r="A340" s="108" t="s">
        <v>428</v>
      </c>
      <c r="B340" s="12"/>
      <c r="C340" s="9">
        <v>2</v>
      </c>
      <c r="D340" s="25"/>
      <c r="E340" s="10" t="str">
        <f t="shared" si="347"/>
        <v>OutubroSEMANA 1Humaytá - Geléia de Tangerina</v>
      </c>
      <c r="F340" s="7">
        <f>SUMIF(NF!$A:$A,$E340,NF!$I:$I)</f>
        <v>0</v>
      </c>
      <c r="G340" s="6"/>
      <c r="H340" s="6"/>
      <c r="I340" s="6"/>
      <c r="J340" s="6"/>
      <c r="K340" s="6"/>
      <c r="L340" s="6"/>
      <c r="M340" s="6"/>
      <c r="N340" s="7">
        <f t="shared" si="500"/>
        <v>0</v>
      </c>
      <c r="O340" s="11">
        <f t="shared" si="364"/>
        <v>2</v>
      </c>
      <c r="P340" s="25"/>
      <c r="Q340" s="10" t="str">
        <f t="shared" si="350"/>
        <v>OutubroSEMANA 2Humaytá - Geléia de Tangerina</v>
      </c>
      <c r="R340" s="7">
        <f>SUMIF(NF!$A:$A,$Q340,NF!$I:$I)</f>
        <v>0</v>
      </c>
      <c r="S340" s="6"/>
      <c r="T340" s="6"/>
      <c r="U340" s="6"/>
      <c r="V340" s="6"/>
      <c r="W340" s="6"/>
      <c r="X340" s="6"/>
      <c r="Y340" s="6"/>
      <c r="Z340" s="7">
        <f t="shared" si="501"/>
        <v>0</v>
      </c>
      <c r="AA340" s="11">
        <f t="shared" si="366"/>
        <v>2</v>
      </c>
      <c r="AB340" s="25"/>
      <c r="AC340" s="10" t="str">
        <f t="shared" si="353"/>
        <v>OutubroSEMANA 3Humaytá - Geléia de Tangerina</v>
      </c>
      <c r="AD340" s="7">
        <f>SUMIF(NF!$A:$A,$AC340,NF!$I:$I)</f>
        <v>0</v>
      </c>
      <c r="AE340" s="6"/>
      <c r="AF340" s="6"/>
      <c r="AG340" s="6"/>
      <c r="AH340" s="6"/>
      <c r="AI340" s="6"/>
      <c r="AJ340" s="6"/>
      <c r="AK340" s="6"/>
      <c r="AL340" s="7">
        <f t="shared" si="502"/>
        <v>0</v>
      </c>
      <c r="AM340" s="11">
        <f t="shared" si="368"/>
        <v>2</v>
      </c>
      <c r="AN340" s="25"/>
      <c r="AO340" s="10" t="str">
        <f t="shared" si="356"/>
        <v>OutubroSEMANA 4Humaytá - Geléia de Tangerina</v>
      </c>
      <c r="AP340" s="7">
        <f>SUMIF(NF!$A:$A,$AO340,NF!$I:$I)</f>
        <v>0</v>
      </c>
      <c r="AQ340" s="6"/>
      <c r="AR340" s="6"/>
      <c r="AS340" s="6"/>
      <c r="AT340" s="6"/>
      <c r="AU340" s="6"/>
      <c r="AV340" s="6"/>
      <c r="AW340" s="6"/>
      <c r="AX340" s="7">
        <f t="shared" si="503"/>
        <v>0</v>
      </c>
      <c r="AY340" s="11">
        <f t="shared" si="370"/>
        <v>2</v>
      </c>
      <c r="AZ340" s="25"/>
      <c r="BA340" s="10" t="str">
        <f t="shared" si="359"/>
        <v>OutubroSEMANA 5Humaytá - Geléia de Tangerina</v>
      </c>
      <c r="BB340" s="7">
        <f>SUMIF(NF!$A:$A,$BA340,NF!$I:$I)</f>
        <v>0</v>
      </c>
      <c r="BC340" s="6"/>
      <c r="BD340" s="6"/>
      <c r="BE340" s="6"/>
      <c r="BF340" s="74"/>
      <c r="BG340" s="74"/>
      <c r="BH340" s="74"/>
      <c r="BI340" s="74"/>
      <c r="BJ340" s="74"/>
      <c r="BK340" s="7">
        <f t="shared" si="504"/>
        <v>0</v>
      </c>
      <c r="BL340" s="8">
        <f t="shared" si="372"/>
        <v>2</v>
      </c>
      <c r="BM340" s="51" t="str">
        <f>IFERROR(VLOOKUP(A340,NF!$M:$O,3,0),"")</f>
        <v>Feirinha</v>
      </c>
      <c r="BN340" s="7">
        <f t="shared" si="373"/>
        <v>0</v>
      </c>
      <c r="BO340" s="8">
        <f t="array" ref="BO340">IFERROR(LARGE(IF(NF!$G$2:$G$3137='Mês atual'!A340,NF!$J$2:$J$3137),1),0)*BN340</f>
        <v>0</v>
      </c>
      <c r="BP340" s="50"/>
      <c r="BR340" s="147">
        <f t="array" ref="BR340">IFERROR(LARGE(IF(NF!$G$2:$G$3137='Mês atual'!A340,NF!$J$2:$J$3137),1),0)</f>
        <v>0</v>
      </c>
      <c r="BS340" s="143" t="str">
        <f>VLOOKUP(A340,NF!M:O,3,0)</f>
        <v>Feirinha</v>
      </c>
    </row>
    <row r="341" spans="1:71" x14ac:dyDescent="0.25">
      <c r="A341" s="108" t="s">
        <v>1020</v>
      </c>
      <c r="B341" s="12"/>
      <c r="C341" s="9">
        <v>2</v>
      </c>
      <c r="D341" s="25"/>
      <c r="E341" s="10" t="str">
        <f t="shared" si="347"/>
        <v>OutubroSEMANA 1Humaytá - Geléia de Framboesa</v>
      </c>
      <c r="F341" s="7">
        <f>SUMIF(NF!$A:$A,$E341,NF!$I:$I)</f>
        <v>0</v>
      </c>
      <c r="G341" s="6"/>
      <c r="H341" s="6"/>
      <c r="I341" s="6"/>
      <c r="J341" s="6"/>
      <c r="K341" s="6"/>
      <c r="L341" s="6"/>
      <c r="M341" s="6"/>
      <c r="N341" s="7">
        <f t="shared" ref="N341" si="505">SUM(G341:M341)</f>
        <v>0</v>
      </c>
      <c r="O341" s="11">
        <f t="shared" ref="O341" si="506">F341+C341-N341</f>
        <v>2</v>
      </c>
      <c r="P341" s="25"/>
      <c r="Q341" s="10" t="str">
        <f t="shared" si="350"/>
        <v>OutubroSEMANA 2Humaytá - Geléia de Framboesa</v>
      </c>
      <c r="R341" s="7">
        <f>SUMIF(NF!$A:$A,$Q341,NF!$I:$I)</f>
        <v>0</v>
      </c>
      <c r="S341" s="6"/>
      <c r="T341" s="6"/>
      <c r="U341" s="6"/>
      <c r="V341" s="6"/>
      <c r="W341" s="6"/>
      <c r="X341" s="6"/>
      <c r="Y341" s="6"/>
      <c r="Z341" s="7">
        <f t="shared" ref="Z341" si="507">SUM(S341:Y341)</f>
        <v>0</v>
      </c>
      <c r="AA341" s="11">
        <f t="shared" ref="AA341" si="508">R341+O341-Z341</f>
        <v>2</v>
      </c>
      <c r="AB341" s="25"/>
      <c r="AC341" s="10" t="str">
        <f t="shared" si="353"/>
        <v>OutubroSEMANA 3Humaytá - Geléia de Framboesa</v>
      </c>
      <c r="AD341" s="7">
        <f>SUMIF(NF!$A:$A,$AC341,NF!$I:$I)</f>
        <v>0</v>
      </c>
      <c r="AE341" s="6"/>
      <c r="AF341" s="6"/>
      <c r="AG341" s="6"/>
      <c r="AH341" s="6"/>
      <c r="AI341" s="6"/>
      <c r="AJ341" s="6"/>
      <c r="AK341" s="6"/>
      <c r="AL341" s="7">
        <f t="shared" ref="AL341" si="509">SUM(AE341:AK341)</f>
        <v>0</v>
      </c>
      <c r="AM341" s="11">
        <f t="shared" ref="AM341" si="510">AD341+AA341-AL341</f>
        <v>2</v>
      </c>
      <c r="AN341" s="25"/>
      <c r="AO341" s="10" t="str">
        <f t="shared" si="356"/>
        <v>OutubroSEMANA 4Humaytá - Geléia de Framboesa</v>
      </c>
      <c r="AP341" s="7">
        <f>SUMIF(NF!$A:$A,$AO341,NF!$I:$I)</f>
        <v>0</v>
      </c>
      <c r="AQ341" s="6"/>
      <c r="AR341" s="6"/>
      <c r="AS341" s="6"/>
      <c r="AT341" s="6"/>
      <c r="AU341" s="6"/>
      <c r="AV341" s="6"/>
      <c r="AW341" s="6"/>
      <c r="AX341" s="7">
        <f t="shared" ref="AX341" si="511">SUM(AQ341:AW341)</f>
        <v>0</v>
      </c>
      <c r="AY341" s="11">
        <f t="shared" ref="AY341" si="512">AP341+AM341-AX341</f>
        <v>2</v>
      </c>
      <c r="AZ341" s="25"/>
      <c r="BA341" s="10" t="str">
        <f t="shared" si="359"/>
        <v>OutubroSEMANA 5Humaytá - Geléia de Framboesa</v>
      </c>
      <c r="BB341" s="7">
        <f>SUMIF(NF!$A:$A,$BA341,NF!$I:$I)</f>
        <v>0</v>
      </c>
      <c r="BC341" s="6"/>
      <c r="BD341" s="6"/>
      <c r="BE341" s="6"/>
      <c r="BF341" s="74"/>
      <c r="BG341" s="74"/>
      <c r="BH341" s="74"/>
      <c r="BI341" s="74"/>
      <c r="BJ341" s="74"/>
      <c r="BK341" s="7">
        <f t="shared" ref="BK341" si="513">SUM(BC341:BJ341)</f>
        <v>0</v>
      </c>
      <c r="BL341" s="8">
        <f t="shared" ref="BL341" si="514">BB341+AY341-BK341</f>
        <v>2</v>
      </c>
      <c r="BM341" s="51" t="str">
        <f>IFERROR(VLOOKUP(A341,NF!$M:$O,3,0),"")</f>
        <v>Feirinha</v>
      </c>
      <c r="BN341" s="7">
        <f t="shared" ref="BN341" si="515">SUM(N341,Z341,AL341,AX341,BK341)</f>
        <v>0</v>
      </c>
      <c r="BO341" s="8">
        <f t="array" ref="BO341">IFERROR(LARGE(IF(NF!$G$2:$G$3137='Mês atual'!A341,NF!$J$2:$J$3137),1),0)*BN341</f>
        <v>0</v>
      </c>
      <c r="BP341" s="50"/>
      <c r="BR341" s="147">
        <f t="array" ref="BR341">IFERROR(LARGE(IF(NF!$G$2:$G$3137='Mês atual'!A341,NF!$J$2:$J$3137),1),0)</f>
        <v>0</v>
      </c>
      <c r="BS341" s="143" t="str">
        <f>VLOOKUP(A341,NF!M:O,3,0)</f>
        <v>Feirinha</v>
      </c>
    </row>
    <row r="342" spans="1:71" x14ac:dyDescent="0.25">
      <c r="A342" s="108" t="s">
        <v>906</v>
      </c>
      <c r="B342" s="12"/>
      <c r="C342" s="9">
        <v>1</v>
      </c>
      <c r="D342" s="25"/>
      <c r="E342" s="10" t="str">
        <f t="shared" si="347"/>
        <v>OutubroSEMANA 1Humaytá - Geléia de Frutas Vermelhas</v>
      </c>
      <c r="F342" s="7">
        <f>SUMIF(NF!$A:$A,$E342,NF!$I:$I)</f>
        <v>0</v>
      </c>
      <c r="G342" s="6"/>
      <c r="H342" s="6"/>
      <c r="I342" s="6"/>
      <c r="J342" s="6"/>
      <c r="K342" s="6"/>
      <c r="L342" s="6"/>
      <c r="M342" s="6"/>
      <c r="N342" s="7">
        <f t="shared" si="500"/>
        <v>0</v>
      </c>
      <c r="O342" s="11">
        <f t="shared" si="364"/>
        <v>1</v>
      </c>
      <c r="P342" s="25"/>
      <c r="Q342" s="10" t="str">
        <f t="shared" si="350"/>
        <v>OutubroSEMANA 2Humaytá - Geléia de Frutas Vermelhas</v>
      </c>
      <c r="R342" s="7">
        <f>SUMIF(NF!$A:$A,$Q342,NF!$I:$I)</f>
        <v>0</v>
      </c>
      <c r="S342" s="6"/>
      <c r="T342" s="6"/>
      <c r="U342" s="6"/>
      <c r="V342" s="6"/>
      <c r="W342" s="6"/>
      <c r="X342" s="6"/>
      <c r="Y342" s="6"/>
      <c r="Z342" s="7">
        <f t="shared" si="501"/>
        <v>0</v>
      </c>
      <c r="AA342" s="11">
        <f t="shared" si="366"/>
        <v>1</v>
      </c>
      <c r="AB342" s="25"/>
      <c r="AC342" s="10" t="str">
        <f t="shared" si="353"/>
        <v>OutubroSEMANA 3Humaytá - Geléia de Frutas Vermelhas</v>
      </c>
      <c r="AD342" s="7">
        <f>SUMIF(NF!$A:$A,$AC342,NF!$I:$I)</f>
        <v>0</v>
      </c>
      <c r="AE342" s="6"/>
      <c r="AF342" s="6"/>
      <c r="AG342" s="6"/>
      <c r="AH342" s="6"/>
      <c r="AI342" s="6"/>
      <c r="AJ342" s="6"/>
      <c r="AK342" s="6"/>
      <c r="AL342" s="7">
        <f t="shared" si="502"/>
        <v>0</v>
      </c>
      <c r="AM342" s="11">
        <f t="shared" si="368"/>
        <v>1</v>
      </c>
      <c r="AN342" s="25"/>
      <c r="AO342" s="10" t="str">
        <f t="shared" si="356"/>
        <v>OutubroSEMANA 4Humaytá - Geléia de Frutas Vermelhas</v>
      </c>
      <c r="AP342" s="7">
        <f>SUMIF(NF!$A:$A,$AO342,NF!$I:$I)</f>
        <v>0</v>
      </c>
      <c r="AQ342" s="6"/>
      <c r="AR342" s="6"/>
      <c r="AS342" s="6"/>
      <c r="AT342" s="6"/>
      <c r="AU342" s="6"/>
      <c r="AV342" s="6"/>
      <c r="AW342" s="6"/>
      <c r="AX342" s="7">
        <f t="shared" si="503"/>
        <v>0</v>
      </c>
      <c r="AY342" s="11">
        <f t="shared" si="370"/>
        <v>1</v>
      </c>
      <c r="AZ342" s="25"/>
      <c r="BA342" s="10" t="str">
        <f t="shared" si="359"/>
        <v>OutubroSEMANA 5Humaytá - Geléia de Frutas Vermelhas</v>
      </c>
      <c r="BB342" s="7">
        <f>SUMIF(NF!$A:$A,$BA342,NF!$I:$I)</f>
        <v>0</v>
      </c>
      <c r="BC342" s="6"/>
      <c r="BD342" s="6"/>
      <c r="BE342" s="6"/>
      <c r="BF342" s="74"/>
      <c r="BG342" s="74"/>
      <c r="BH342" s="74"/>
      <c r="BI342" s="74"/>
      <c r="BJ342" s="74"/>
      <c r="BK342" s="7">
        <f t="shared" si="504"/>
        <v>0</v>
      </c>
      <c r="BL342" s="8">
        <f t="shared" si="372"/>
        <v>1</v>
      </c>
      <c r="BM342" s="51" t="str">
        <f>IFERROR(VLOOKUP(A342,NF!$M:$O,3,0),"")</f>
        <v>Feirinha</v>
      </c>
      <c r="BN342" s="7">
        <f t="shared" si="373"/>
        <v>0</v>
      </c>
      <c r="BO342" s="8">
        <f t="array" ref="BO342">IFERROR(LARGE(IF(NF!$G$2:$G$3137='Mês atual'!A342,NF!$J$2:$J$3137),1),0)*BN342</f>
        <v>0</v>
      </c>
      <c r="BP342" s="50"/>
      <c r="BR342" s="147">
        <f t="array" ref="BR342">IFERROR(LARGE(IF(NF!$G$2:$G$3137='Mês atual'!A342,NF!$J$2:$J$3137),1),0)</f>
        <v>0</v>
      </c>
      <c r="BS342" s="143" t="str">
        <f>VLOOKUP(A342,NF!M:O,3,0)</f>
        <v>Feirinha</v>
      </c>
    </row>
    <row r="343" spans="1:71" x14ac:dyDescent="0.25">
      <c r="A343" s="108" t="s">
        <v>907</v>
      </c>
      <c r="B343" s="12"/>
      <c r="C343" s="9">
        <v>1</v>
      </c>
      <c r="D343" s="25"/>
      <c r="E343" s="10" t="str">
        <f t="shared" si="347"/>
        <v>OutubroSEMANA 1Humaytá - Geléia de Gengibre</v>
      </c>
      <c r="F343" s="7">
        <f>SUMIF(NF!$A:$A,$E343,NF!$I:$I)</f>
        <v>0</v>
      </c>
      <c r="G343" s="6"/>
      <c r="H343" s="6"/>
      <c r="I343" s="6"/>
      <c r="J343" s="6"/>
      <c r="K343" s="6"/>
      <c r="L343" s="6"/>
      <c r="M343" s="6"/>
      <c r="N343" s="7">
        <f t="shared" si="500"/>
        <v>0</v>
      </c>
      <c r="O343" s="11">
        <f t="shared" si="364"/>
        <v>1</v>
      </c>
      <c r="P343" s="25"/>
      <c r="Q343" s="10" t="str">
        <f t="shared" si="350"/>
        <v>OutubroSEMANA 2Humaytá - Geléia de Gengibre</v>
      </c>
      <c r="R343" s="7">
        <f>SUMIF(NF!$A:$A,$Q343,NF!$I:$I)</f>
        <v>0</v>
      </c>
      <c r="S343" s="6"/>
      <c r="T343" s="6"/>
      <c r="U343" s="6"/>
      <c r="V343" s="6"/>
      <c r="W343" s="6"/>
      <c r="X343" s="6"/>
      <c r="Y343" s="6"/>
      <c r="Z343" s="7">
        <f t="shared" si="501"/>
        <v>0</v>
      </c>
      <c r="AA343" s="11">
        <f t="shared" si="366"/>
        <v>1</v>
      </c>
      <c r="AB343" s="25"/>
      <c r="AC343" s="10" t="str">
        <f t="shared" si="353"/>
        <v>OutubroSEMANA 3Humaytá - Geléia de Gengibre</v>
      </c>
      <c r="AD343" s="7">
        <f>SUMIF(NF!$A:$A,$AC343,NF!$I:$I)</f>
        <v>0</v>
      </c>
      <c r="AE343" s="6"/>
      <c r="AF343" s="6"/>
      <c r="AG343" s="6"/>
      <c r="AH343" s="6"/>
      <c r="AI343" s="6"/>
      <c r="AJ343" s="6"/>
      <c r="AK343" s="6"/>
      <c r="AL343" s="7">
        <f t="shared" si="502"/>
        <v>0</v>
      </c>
      <c r="AM343" s="11">
        <f t="shared" si="368"/>
        <v>1</v>
      </c>
      <c r="AN343" s="25"/>
      <c r="AO343" s="10" t="str">
        <f t="shared" si="356"/>
        <v>OutubroSEMANA 4Humaytá - Geléia de Gengibre</v>
      </c>
      <c r="AP343" s="7">
        <f>SUMIF(NF!$A:$A,$AO343,NF!$I:$I)</f>
        <v>0</v>
      </c>
      <c r="AQ343" s="6"/>
      <c r="AR343" s="6"/>
      <c r="AS343" s="6"/>
      <c r="AT343" s="6"/>
      <c r="AU343" s="6"/>
      <c r="AV343" s="6"/>
      <c r="AW343" s="6"/>
      <c r="AX343" s="7">
        <f t="shared" si="503"/>
        <v>0</v>
      </c>
      <c r="AY343" s="11">
        <f t="shared" si="370"/>
        <v>1</v>
      </c>
      <c r="AZ343" s="25"/>
      <c r="BA343" s="10" t="str">
        <f t="shared" si="359"/>
        <v>OutubroSEMANA 5Humaytá - Geléia de Gengibre</v>
      </c>
      <c r="BB343" s="7">
        <f>SUMIF(NF!$A:$A,$BA343,NF!$I:$I)</f>
        <v>0</v>
      </c>
      <c r="BC343" s="6"/>
      <c r="BD343" s="6"/>
      <c r="BE343" s="6"/>
      <c r="BF343" s="74"/>
      <c r="BG343" s="74"/>
      <c r="BH343" s="74"/>
      <c r="BI343" s="74"/>
      <c r="BJ343" s="74"/>
      <c r="BK343" s="7">
        <f t="shared" si="504"/>
        <v>0</v>
      </c>
      <c r="BL343" s="8">
        <f t="shared" si="372"/>
        <v>1</v>
      </c>
      <c r="BM343" s="51" t="str">
        <f>IFERROR(VLOOKUP(A343,NF!$M:$O,3,0),"")</f>
        <v>Feirinha</v>
      </c>
      <c r="BN343" s="7">
        <f t="shared" si="373"/>
        <v>0</v>
      </c>
      <c r="BO343" s="8">
        <f t="array" ref="BO343">IFERROR(LARGE(IF(NF!$G$2:$G$3137='Mês atual'!A343,NF!$J$2:$J$3137),1),0)*BN343</f>
        <v>0</v>
      </c>
      <c r="BP343" s="50"/>
      <c r="BR343" s="147">
        <f t="array" ref="BR343">IFERROR(LARGE(IF(NF!$G$2:$G$3137='Mês atual'!A343,NF!$J$2:$J$3137),1),0)</f>
        <v>0</v>
      </c>
      <c r="BS343" s="143" t="str">
        <f>VLOOKUP(A343,NF!M:O,3,0)</f>
        <v>Feirinha</v>
      </c>
    </row>
    <row r="344" spans="1:71" x14ac:dyDescent="0.25">
      <c r="A344" s="108" t="s">
        <v>908</v>
      </c>
      <c r="B344" s="12"/>
      <c r="C344" s="9">
        <v>2</v>
      </c>
      <c r="D344" s="25"/>
      <c r="E344" s="10" t="str">
        <f t="shared" si="347"/>
        <v>OutubroSEMANA 1Humaytá - Geléia de Goiaba</v>
      </c>
      <c r="F344" s="7">
        <f>SUMIF(NF!$A:$A,$E344,NF!$I:$I)</f>
        <v>0</v>
      </c>
      <c r="G344" s="6"/>
      <c r="H344" s="6"/>
      <c r="I344" s="6"/>
      <c r="J344" s="6"/>
      <c r="K344" s="6"/>
      <c r="L344" s="6"/>
      <c r="M344" s="6"/>
      <c r="N344" s="7">
        <f t="shared" si="500"/>
        <v>0</v>
      </c>
      <c r="O344" s="11">
        <f t="shared" si="364"/>
        <v>2</v>
      </c>
      <c r="P344" s="25"/>
      <c r="Q344" s="10" t="str">
        <f t="shared" si="350"/>
        <v>OutubroSEMANA 2Humaytá - Geléia de Goiaba</v>
      </c>
      <c r="R344" s="7">
        <f>SUMIF(NF!$A:$A,$Q344,NF!$I:$I)</f>
        <v>0</v>
      </c>
      <c r="S344" s="6"/>
      <c r="T344" s="6"/>
      <c r="U344" s="6"/>
      <c r="V344" s="6"/>
      <c r="W344" s="6"/>
      <c r="X344" s="6"/>
      <c r="Y344" s="6"/>
      <c r="Z344" s="7">
        <f t="shared" si="501"/>
        <v>0</v>
      </c>
      <c r="AA344" s="11">
        <f t="shared" si="366"/>
        <v>2</v>
      </c>
      <c r="AB344" s="25"/>
      <c r="AC344" s="10" t="str">
        <f t="shared" si="353"/>
        <v>OutubroSEMANA 3Humaytá - Geléia de Goiaba</v>
      </c>
      <c r="AD344" s="7">
        <f>SUMIF(NF!$A:$A,$AC344,NF!$I:$I)</f>
        <v>0</v>
      </c>
      <c r="AE344" s="6"/>
      <c r="AF344" s="6"/>
      <c r="AG344" s="6"/>
      <c r="AH344" s="6"/>
      <c r="AI344" s="6"/>
      <c r="AJ344" s="6"/>
      <c r="AK344" s="6"/>
      <c r="AL344" s="7">
        <f t="shared" si="502"/>
        <v>0</v>
      </c>
      <c r="AM344" s="11">
        <f t="shared" si="368"/>
        <v>2</v>
      </c>
      <c r="AN344" s="25"/>
      <c r="AO344" s="10" t="str">
        <f t="shared" si="356"/>
        <v>OutubroSEMANA 4Humaytá - Geléia de Goiaba</v>
      </c>
      <c r="AP344" s="7">
        <f>SUMIF(NF!$A:$A,$AO344,NF!$I:$I)</f>
        <v>0</v>
      </c>
      <c r="AQ344" s="6"/>
      <c r="AR344" s="6"/>
      <c r="AS344" s="6"/>
      <c r="AT344" s="6"/>
      <c r="AU344" s="6"/>
      <c r="AV344" s="6"/>
      <c r="AW344" s="6"/>
      <c r="AX344" s="7">
        <f t="shared" si="503"/>
        <v>0</v>
      </c>
      <c r="AY344" s="11">
        <f t="shared" si="370"/>
        <v>2</v>
      </c>
      <c r="AZ344" s="25"/>
      <c r="BA344" s="10" t="str">
        <f t="shared" si="359"/>
        <v>OutubroSEMANA 5Humaytá - Geléia de Goiaba</v>
      </c>
      <c r="BB344" s="7">
        <f>SUMIF(NF!$A:$A,$BA344,NF!$I:$I)</f>
        <v>0</v>
      </c>
      <c r="BC344" s="6"/>
      <c r="BD344" s="6"/>
      <c r="BE344" s="6"/>
      <c r="BF344" s="74"/>
      <c r="BG344" s="74"/>
      <c r="BH344" s="74"/>
      <c r="BI344" s="74"/>
      <c r="BJ344" s="74"/>
      <c r="BK344" s="7">
        <f t="shared" si="504"/>
        <v>0</v>
      </c>
      <c r="BL344" s="8">
        <f t="shared" si="372"/>
        <v>2</v>
      </c>
      <c r="BM344" s="51" t="str">
        <f>IFERROR(VLOOKUP(A344,NF!$M:$O,3,0),"")</f>
        <v>Feirinha</v>
      </c>
      <c r="BN344" s="7">
        <f t="shared" si="373"/>
        <v>0</v>
      </c>
      <c r="BO344" s="8">
        <f t="array" ref="BO344">IFERROR(LARGE(IF(NF!$G$2:$G$3137='Mês atual'!A344,NF!$J$2:$J$3137),1),0)*BN344</f>
        <v>0</v>
      </c>
      <c r="BP344" s="50"/>
      <c r="BR344" s="147">
        <f t="array" ref="BR344">IFERROR(LARGE(IF(NF!$G$2:$G$3137='Mês atual'!A344,NF!$J$2:$J$3137),1),0)</f>
        <v>0</v>
      </c>
      <c r="BS344" s="143" t="str">
        <f>VLOOKUP(A344,NF!M:O,3,0)</f>
        <v>Feirinha</v>
      </c>
    </row>
    <row r="345" spans="1:71" x14ac:dyDescent="0.25">
      <c r="A345" s="108" t="s">
        <v>909</v>
      </c>
      <c r="B345" s="12"/>
      <c r="C345" s="9"/>
      <c r="D345" s="25"/>
      <c r="E345" s="10" t="str">
        <f t="shared" si="347"/>
        <v>OutubroSEMANA 1Humaytá - Geléia de Hortelã</v>
      </c>
      <c r="F345" s="7">
        <f>SUMIF(NF!$A:$A,$E345,NF!$I:$I)</f>
        <v>0</v>
      </c>
      <c r="G345" s="6"/>
      <c r="H345" s="6"/>
      <c r="I345" s="6"/>
      <c r="J345" s="6"/>
      <c r="K345" s="6"/>
      <c r="L345" s="6"/>
      <c r="M345" s="6"/>
      <c r="N345" s="7">
        <f t="shared" si="500"/>
        <v>0</v>
      </c>
      <c r="O345" s="11">
        <f t="shared" si="364"/>
        <v>0</v>
      </c>
      <c r="P345" s="25"/>
      <c r="Q345" s="10" t="str">
        <f t="shared" si="350"/>
        <v>OutubroSEMANA 2Humaytá - Geléia de Hortelã</v>
      </c>
      <c r="R345" s="7">
        <f>SUMIF(NF!$A:$A,$Q345,NF!$I:$I)</f>
        <v>0</v>
      </c>
      <c r="S345" s="6"/>
      <c r="T345" s="6"/>
      <c r="U345" s="6"/>
      <c r="V345" s="6"/>
      <c r="W345" s="6"/>
      <c r="X345" s="6"/>
      <c r="Y345" s="6"/>
      <c r="Z345" s="7">
        <f t="shared" si="501"/>
        <v>0</v>
      </c>
      <c r="AA345" s="11">
        <f t="shared" si="366"/>
        <v>0</v>
      </c>
      <c r="AB345" s="25"/>
      <c r="AC345" s="10" t="str">
        <f t="shared" si="353"/>
        <v>OutubroSEMANA 3Humaytá - Geléia de Hortelã</v>
      </c>
      <c r="AD345" s="7">
        <f>SUMIF(NF!$A:$A,$AC345,NF!$I:$I)</f>
        <v>0</v>
      </c>
      <c r="AE345" s="6"/>
      <c r="AF345" s="6"/>
      <c r="AG345" s="6"/>
      <c r="AH345" s="6"/>
      <c r="AI345" s="6"/>
      <c r="AJ345" s="6"/>
      <c r="AK345" s="6"/>
      <c r="AL345" s="7">
        <f t="shared" si="502"/>
        <v>0</v>
      </c>
      <c r="AM345" s="11">
        <f t="shared" si="368"/>
        <v>0</v>
      </c>
      <c r="AN345" s="25"/>
      <c r="AO345" s="10" t="str">
        <f t="shared" si="356"/>
        <v>OutubroSEMANA 4Humaytá - Geléia de Hortelã</v>
      </c>
      <c r="AP345" s="7">
        <f>SUMIF(NF!$A:$A,$AO345,NF!$I:$I)</f>
        <v>0</v>
      </c>
      <c r="AQ345" s="6"/>
      <c r="AR345" s="6"/>
      <c r="AS345" s="6"/>
      <c r="AT345" s="6"/>
      <c r="AU345" s="6"/>
      <c r="AV345" s="6"/>
      <c r="AW345" s="6"/>
      <c r="AX345" s="7">
        <f t="shared" si="503"/>
        <v>0</v>
      </c>
      <c r="AY345" s="11">
        <f t="shared" si="370"/>
        <v>0</v>
      </c>
      <c r="AZ345" s="25"/>
      <c r="BA345" s="10" t="str">
        <f t="shared" si="359"/>
        <v>OutubroSEMANA 5Humaytá - Geléia de Hortelã</v>
      </c>
      <c r="BB345" s="7">
        <f>SUMIF(NF!$A:$A,$BA345,NF!$I:$I)</f>
        <v>0</v>
      </c>
      <c r="BC345" s="6"/>
      <c r="BD345" s="6"/>
      <c r="BE345" s="6"/>
      <c r="BF345" s="74"/>
      <c r="BG345" s="74"/>
      <c r="BH345" s="74"/>
      <c r="BI345" s="74"/>
      <c r="BJ345" s="74"/>
      <c r="BK345" s="7">
        <f t="shared" si="504"/>
        <v>0</v>
      </c>
      <c r="BL345" s="8">
        <f t="shared" si="372"/>
        <v>0</v>
      </c>
      <c r="BM345" s="51" t="str">
        <f>IFERROR(VLOOKUP(A345,NF!$M:$O,3,0),"")</f>
        <v>Feirinha</v>
      </c>
      <c r="BN345" s="7">
        <f t="shared" si="373"/>
        <v>0</v>
      </c>
      <c r="BO345" s="8">
        <f t="array" ref="BO345">IFERROR(LARGE(IF(NF!$G$2:$G$3137='Mês atual'!A345,NF!$J$2:$J$3137),1),0)*BN345</f>
        <v>0</v>
      </c>
      <c r="BP345" s="50"/>
      <c r="BR345" s="147">
        <f t="array" ref="BR345">IFERROR(LARGE(IF(NF!$G$2:$G$3137='Mês atual'!A345,NF!$J$2:$J$3137),1),0)</f>
        <v>0</v>
      </c>
      <c r="BS345" s="143" t="str">
        <f>VLOOKUP(A345,NF!M:O,3,0)</f>
        <v>Feirinha</v>
      </c>
    </row>
    <row r="346" spans="1:71" x14ac:dyDescent="0.25">
      <c r="A346" s="108" t="s">
        <v>910</v>
      </c>
      <c r="B346" s="12"/>
      <c r="C346" s="9">
        <v>1</v>
      </c>
      <c r="D346" s="25"/>
      <c r="E346" s="10" t="str">
        <f t="shared" si="347"/>
        <v>OutubroSEMANA 1Humaytá - Geléia de Jabuticaba</v>
      </c>
      <c r="F346" s="7">
        <f>SUMIF(NF!$A:$A,$E346,NF!$I:$I)</f>
        <v>0</v>
      </c>
      <c r="G346" s="6"/>
      <c r="H346" s="6"/>
      <c r="I346" s="6"/>
      <c r="J346" s="6"/>
      <c r="K346" s="6"/>
      <c r="L346" s="6"/>
      <c r="M346" s="6"/>
      <c r="N346" s="7">
        <f t="shared" si="500"/>
        <v>0</v>
      </c>
      <c r="O346" s="11">
        <f t="shared" si="364"/>
        <v>1</v>
      </c>
      <c r="P346" s="25"/>
      <c r="Q346" s="10" t="str">
        <f t="shared" si="350"/>
        <v>OutubroSEMANA 2Humaytá - Geléia de Jabuticaba</v>
      </c>
      <c r="R346" s="7">
        <f>SUMIF(NF!$A:$A,$Q346,NF!$I:$I)</f>
        <v>0</v>
      </c>
      <c r="S346" s="6"/>
      <c r="T346" s="6"/>
      <c r="U346" s="6"/>
      <c r="V346" s="6"/>
      <c r="W346" s="6"/>
      <c r="X346" s="6"/>
      <c r="Y346" s="6"/>
      <c r="Z346" s="7">
        <f t="shared" si="501"/>
        <v>0</v>
      </c>
      <c r="AA346" s="11">
        <f t="shared" si="366"/>
        <v>1</v>
      </c>
      <c r="AB346" s="25"/>
      <c r="AC346" s="10" t="str">
        <f t="shared" si="353"/>
        <v>OutubroSEMANA 3Humaytá - Geléia de Jabuticaba</v>
      </c>
      <c r="AD346" s="7">
        <f>SUMIF(NF!$A:$A,$AC346,NF!$I:$I)</f>
        <v>0</v>
      </c>
      <c r="AE346" s="6"/>
      <c r="AF346" s="6"/>
      <c r="AG346" s="6"/>
      <c r="AH346" s="6"/>
      <c r="AI346" s="6"/>
      <c r="AJ346" s="6"/>
      <c r="AK346" s="6"/>
      <c r="AL346" s="7">
        <f t="shared" si="502"/>
        <v>0</v>
      </c>
      <c r="AM346" s="11">
        <f t="shared" si="368"/>
        <v>1</v>
      </c>
      <c r="AN346" s="25"/>
      <c r="AO346" s="10" t="str">
        <f t="shared" si="356"/>
        <v>OutubroSEMANA 4Humaytá - Geléia de Jabuticaba</v>
      </c>
      <c r="AP346" s="7">
        <f>SUMIF(NF!$A:$A,$AO346,NF!$I:$I)</f>
        <v>0</v>
      </c>
      <c r="AQ346" s="6"/>
      <c r="AR346" s="6"/>
      <c r="AS346" s="6"/>
      <c r="AT346" s="6"/>
      <c r="AU346" s="6"/>
      <c r="AV346" s="6"/>
      <c r="AW346" s="6"/>
      <c r="AX346" s="7">
        <f t="shared" si="503"/>
        <v>0</v>
      </c>
      <c r="AY346" s="11">
        <f t="shared" si="370"/>
        <v>1</v>
      </c>
      <c r="AZ346" s="25"/>
      <c r="BA346" s="10" t="str">
        <f t="shared" si="359"/>
        <v>OutubroSEMANA 5Humaytá - Geléia de Jabuticaba</v>
      </c>
      <c r="BB346" s="7">
        <f>SUMIF(NF!$A:$A,$BA346,NF!$I:$I)</f>
        <v>0</v>
      </c>
      <c r="BC346" s="6"/>
      <c r="BD346" s="6"/>
      <c r="BE346" s="6"/>
      <c r="BF346" s="74"/>
      <c r="BG346" s="74"/>
      <c r="BH346" s="74"/>
      <c r="BI346" s="74"/>
      <c r="BJ346" s="74"/>
      <c r="BK346" s="7">
        <f t="shared" si="504"/>
        <v>0</v>
      </c>
      <c r="BL346" s="8">
        <f t="shared" si="372"/>
        <v>1</v>
      </c>
      <c r="BM346" s="51" t="str">
        <f>IFERROR(VLOOKUP(A346,NF!$M:$O,3,0),"")</f>
        <v>Feirinha</v>
      </c>
      <c r="BN346" s="7">
        <f t="shared" si="373"/>
        <v>0</v>
      </c>
      <c r="BO346" s="8">
        <f t="array" ref="BO346">IFERROR(LARGE(IF(NF!$G$2:$G$3137='Mês atual'!A346,NF!$J$2:$J$3137),1),0)*BN346</f>
        <v>0</v>
      </c>
      <c r="BP346" s="50"/>
      <c r="BR346" s="147">
        <f t="array" ref="BR346">IFERROR(LARGE(IF(NF!$G$2:$G$3137='Mês atual'!A346,NF!$J$2:$J$3137),1),0)</f>
        <v>0</v>
      </c>
      <c r="BS346" s="143" t="str">
        <f>VLOOKUP(A346,NF!M:O,3,0)</f>
        <v>Feirinha</v>
      </c>
    </row>
    <row r="347" spans="1:71" x14ac:dyDescent="0.25">
      <c r="A347" s="108" t="s">
        <v>911</v>
      </c>
      <c r="B347" s="12"/>
      <c r="C347" s="9">
        <v>1</v>
      </c>
      <c r="D347" s="25"/>
      <c r="E347" s="10" t="str">
        <f t="shared" si="347"/>
        <v>OutubroSEMANA 1Humaytá - Geléia de Laranja</v>
      </c>
      <c r="F347" s="7">
        <f>SUMIF(NF!$A:$A,$E347,NF!$I:$I)</f>
        <v>0</v>
      </c>
      <c r="G347" s="6"/>
      <c r="H347" s="6"/>
      <c r="I347" s="6"/>
      <c r="J347" s="6"/>
      <c r="K347" s="6"/>
      <c r="L347" s="6"/>
      <c r="M347" s="6"/>
      <c r="N347" s="7">
        <f t="shared" si="500"/>
        <v>0</v>
      </c>
      <c r="O347" s="11">
        <f t="shared" si="364"/>
        <v>1</v>
      </c>
      <c r="P347" s="25"/>
      <c r="Q347" s="10" t="str">
        <f t="shared" si="350"/>
        <v>OutubroSEMANA 2Humaytá - Geléia de Laranja</v>
      </c>
      <c r="R347" s="7">
        <f>SUMIF(NF!$A:$A,$Q347,NF!$I:$I)</f>
        <v>0</v>
      </c>
      <c r="S347" s="6"/>
      <c r="T347" s="6"/>
      <c r="U347" s="6"/>
      <c r="V347" s="6"/>
      <c r="W347" s="6"/>
      <c r="X347" s="6"/>
      <c r="Y347" s="6"/>
      <c r="Z347" s="7">
        <f t="shared" si="501"/>
        <v>0</v>
      </c>
      <c r="AA347" s="11">
        <f t="shared" si="366"/>
        <v>1</v>
      </c>
      <c r="AB347" s="25"/>
      <c r="AC347" s="10" t="str">
        <f t="shared" si="353"/>
        <v>OutubroSEMANA 3Humaytá - Geléia de Laranja</v>
      </c>
      <c r="AD347" s="7">
        <f>SUMIF(NF!$A:$A,$AC347,NF!$I:$I)</f>
        <v>0</v>
      </c>
      <c r="AE347" s="6"/>
      <c r="AF347" s="6"/>
      <c r="AG347" s="6"/>
      <c r="AH347" s="6"/>
      <c r="AI347" s="6"/>
      <c r="AJ347" s="6"/>
      <c r="AK347" s="6"/>
      <c r="AL347" s="7">
        <f t="shared" si="502"/>
        <v>0</v>
      </c>
      <c r="AM347" s="11">
        <f t="shared" si="368"/>
        <v>1</v>
      </c>
      <c r="AN347" s="25"/>
      <c r="AO347" s="10" t="str">
        <f t="shared" si="356"/>
        <v>OutubroSEMANA 4Humaytá - Geléia de Laranja</v>
      </c>
      <c r="AP347" s="7">
        <f>SUMIF(NF!$A:$A,$AO347,NF!$I:$I)</f>
        <v>0</v>
      </c>
      <c r="AQ347" s="6"/>
      <c r="AR347" s="6"/>
      <c r="AS347" s="6"/>
      <c r="AT347" s="6"/>
      <c r="AU347" s="6"/>
      <c r="AV347" s="6"/>
      <c r="AW347" s="6"/>
      <c r="AX347" s="7">
        <f t="shared" si="503"/>
        <v>0</v>
      </c>
      <c r="AY347" s="11">
        <f t="shared" si="370"/>
        <v>1</v>
      </c>
      <c r="AZ347" s="25"/>
      <c r="BA347" s="10" t="str">
        <f t="shared" si="359"/>
        <v>OutubroSEMANA 5Humaytá - Geléia de Laranja</v>
      </c>
      <c r="BB347" s="7">
        <f>SUMIF(NF!$A:$A,$BA347,NF!$I:$I)</f>
        <v>0</v>
      </c>
      <c r="BC347" s="6"/>
      <c r="BD347" s="6"/>
      <c r="BE347" s="6"/>
      <c r="BF347" s="74"/>
      <c r="BG347" s="74"/>
      <c r="BH347" s="74"/>
      <c r="BI347" s="74"/>
      <c r="BJ347" s="74"/>
      <c r="BK347" s="7">
        <f t="shared" si="504"/>
        <v>0</v>
      </c>
      <c r="BL347" s="8">
        <f t="shared" si="372"/>
        <v>1</v>
      </c>
      <c r="BM347" s="51" t="str">
        <f>IFERROR(VLOOKUP(A347,NF!$M:$O,3,0),"")</f>
        <v>Feirinha</v>
      </c>
      <c r="BN347" s="7">
        <f t="shared" si="373"/>
        <v>0</v>
      </c>
      <c r="BO347" s="8">
        <f t="array" ref="BO347">IFERROR(LARGE(IF(NF!$G$2:$G$3137='Mês atual'!A347,NF!$J$2:$J$3137),1),0)*BN347</f>
        <v>0</v>
      </c>
      <c r="BP347" s="50"/>
      <c r="BR347" s="147">
        <f t="array" ref="BR347">IFERROR(LARGE(IF(NF!$G$2:$G$3137='Mês atual'!A347,NF!$J$2:$J$3137),1),0)</f>
        <v>0</v>
      </c>
      <c r="BS347" s="143" t="str">
        <f>VLOOKUP(A347,NF!M:O,3,0)</f>
        <v>Feirinha</v>
      </c>
    </row>
    <row r="348" spans="1:71" x14ac:dyDescent="0.25">
      <c r="A348" s="108" t="s">
        <v>912</v>
      </c>
      <c r="B348" s="12"/>
      <c r="C348" s="9">
        <v>3</v>
      </c>
      <c r="D348" s="25"/>
      <c r="E348" s="10" t="str">
        <f t="shared" si="347"/>
        <v>OutubroSEMANA 1Humaytá - Geléia de Maracujá</v>
      </c>
      <c r="F348" s="7">
        <f>SUMIF(NF!$A:$A,$E348,NF!$I:$I)</f>
        <v>0</v>
      </c>
      <c r="G348" s="6"/>
      <c r="H348" s="6"/>
      <c r="I348" s="6"/>
      <c r="J348" s="6"/>
      <c r="K348" s="6"/>
      <c r="L348" s="6"/>
      <c r="M348" s="6"/>
      <c r="N348" s="7">
        <f t="shared" si="500"/>
        <v>0</v>
      </c>
      <c r="O348" s="11">
        <f t="shared" si="364"/>
        <v>3</v>
      </c>
      <c r="P348" s="25"/>
      <c r="Q348" s="10" t="str">
        <f t="shared" si="350"/>
        <v>OutubroSEMANA 2Humaytá - Geléia de Maracujá</v>
      </c>
      <c r="R348" s="7">
        <f>SUMIF(NF!$A:$A,$Q348,NF!$I:$I)</f>
        <v>0</v>
      </c>
      <c r="S348" s="6"/>
      <c r="T348" s="6"/>
      <c r="U348" s="6"/>
      <c r="V348" s="6"/>
      <c r="W348" s="6"/>
      <c r="X348" s="6"/>
      <c r="Y348" s="6"/>
      <c r="Z348" s="7">
        <f t="shared" si="501"/>
        <v>0</v>
      </c>
      <c r="AA348" s="11">
        <f t="shared" si="366"/>
        <v>3</v>
      </c>
      <c r="AB348" s="25"/>
      <c r="AC348" s="10" t="str">
        <f t="shared" si="353"/>
        <v>OutubroSEMANA 3Humaytá - Geléia de Maracujá</v>
      </c>
      <c r="AD348" s="7">
        <f>SUMIF(NF!$A:$A,$AC348,NF!$I:$I)</f>
        <v>0</v>
      </c>
      <c r="AE348" s="6"/>
      <c r="AF348" s="6"/>
      <c r="AG348" s="6"/>
      <c r="AH348" s="6"/>
      <c r="AI348" s="6"/>
      <c r="AJ348" s="6"/>
      <c r="AK348" s="6"/>
      <c r="AL348" s="7">
        <f t="shared" si="502"/>
        <v>0</v>
      </c>
      <c r="AM348" s="11">
        <f t="shared" si="368"/>
        <v>3</v>
      </c>
      <c r="AN348" s="25"/>
      <c r="AO348" s="10" t="str">
        <f t="shared" si="356"/>
        <v>OutubroSEMANA 4Humaytá - Geléia de Maracujá</v>
      </c>
      <c r="AP348" s="7">
        <f>SUMIF(NF!$A:$A,$AO348,NF!$I:$I)</f>
        <v>0</v>
      </c>
      <c r="AQ348" s="6"/>
      <c r="AR348" s="6"/>
      <c r="AS348" s="6"/>
      <c r="AT348" s="6"/>
      <c r="AU348" s="6"/>
      <c r="AV348" s="6"/>
      <c r="AW348" s="6"/>
      <c r="AX348" s="7">
        <f t="shared" si="503"/>
        <v>0</v>
      </c>
      <c r="AY348" s="11">
        <f t="shared" si="370"/>
        <v>3</v>
      </c>
      <c r="AZ348" s="25"/>
      <c r="BA348" s="10" t="str">
        <f t="shared" si="359"/>
        <v>OutubroSEMANA 5Humaytá - Geléia de Maracujá</v>
      </c>
      <c r="BB348" s="7">
        <f>SUMIF(NF!$A:$A,$BA348,NF!$I:$I)</f>
        <v>0</v>
      </c>
      <c r="BC348" s="6"/>
      <c r="BD348" s="6"/>
      <c r="BE348" s="6"/>
      <c r="BF348" s="74"/>
      <c r="BG348" s="74"/>
      <c r="BH348" s="74"/>
      <c r="BI348" s="74"/>
      <c r="BJ348" s="74"/>
      <c r="BK348" s="7">
        <f t="shared" si="504"/>
        <v>0</v>
      </c>
      <c r="BL348" s="8">
        <f t="shared" si="372"/>
        <v>3</v>
      </c>
      <c r="BM348" s="51" t="str">
        <f>IFERROR(VLOOKUP(A348,NF!$M:$O,3,0),"")</f>
        <v>Feirinha</v>
      </c>
      <c r="BN348" s="7">
        <f t="shared" si="373"/>
        <v>0</v>
      </c>
      <c r="BO348" s="8">
        <f t="array" ref="BO348">IFERROR(LARGE(IF(NF!$G$2:$G$3137='Mês atual'!A348,NF!$J$2:$J$3137),1),0)*BN348</f>
        <v>0</v>
      </c>
      <c r="BP348" s="50"/>
      <c r="BR348" s="147">
        <f t="array" ref="BR348">IFERROR(LARGE(IF(NF!$G$2:$G$3137='Mês atual'!A348,NF!$J$2:$J$3137),1),0)</f>
        <v>0</v>
      </c>
      <c r="BS348" s="143" t="str">
        <f>VLOOKUP(A348,NF!M:O,3,0)</f>
        <v>Feirinha</v>
      </c>
    </row>
    <row r="349" spans="1:71" x14ac:dyDescent="0.25">
      <c r="A349" s="108" t="s">
        <v>913</v>
      </c>
      <c r="B349" s="12"/>
      <c r="C349" s="9">
        <v>3</v>
      </c>
      <c r="D349" s="25"/>
      <c r="E349" s="10" t="str">
        <f t="shared" si="347"/>
        <v>OutubroSEMANA 1Humaytá - Geléia de Morango</v>
      </c>
      <c r="F349" s="7">
        <f>SUMIF(NF!$A:$A,$E349,NF!$I:$I)</f>
        <v>0</v>
      </c>
      <c r="G349" s="6"/>
      <c r="H349" s="6"/>
      <c r="I349" s="6"/>
      <c r="J349" s="6"/>
      <c r="K349" s="6"/>
      <c r="L349" s="6"/>
      <c r="M349" s="6"/>
      <c r="N349" s="7">
        <f t="shared" si="500"/>
        <v>0</v>
      </c>
      <c r="O349" s="11">
        <f t="shared" si="364"/>
        <v>3</v>
      </c>
      <c r="P349" s="25"/>
      <c r="Q349" s="10" t="str">
        <f t="shared" si="350"/>
        <v>OutubroSEMANA 2Humaytá - Geléia de Morango</v>
      </c>
      <c r="R349" s="7">
        <f>SUMIF(NF!$A:$A,$Q349,NF!$I:$I)</f>
        <v>0</v>
      </c>
      <c r="S349" s="6"/>
      <c r="T349" s="6"/>
      <c r="U349" s="6"/>
      <c r="V349" s="6"/>
      <c r="W349" s="6"/>
      <c r="X349" s="6"/>
      <c r="Y349" s="6"/>
      <c r="Z349" s="7">
        <f t="shared" si="501"/>
        <v>0</v>
      </c>
      <c r="AA349" s="11">
        <f t="shared" si="366"/>
        <v>3</v>
      </c>
      <c r="AB349" s="25"/>
      <c r="AC349" s="10" t="str">
        <f t="shared" si="353"/>
        <v>OutubroSEMANA 3Humaytá - Geléia de Morango</v>
      </c>
      <c r="AD349" s="7">
        <f>SUMIF(NF!$A:$A,$AC349,NF!$I:$I)</f>
        <v>0</v>
      </c>
      <c r="AE349" s="6"/>
      <c r="AF349" s="6"/>
      <c r="AG349" s="6"/>
      <c r="AH349" s="6"/>
      <c r="AI349" s="6"/>
      <c r="AJ349" s="6"/>
      <c r="AK349" s="6"/>
      <c r="AL349" s="7">
        <f t="shared" si="502"/>
        <v>0</v>
      </c>
      <c r="AM349" s="11">
        <f t="shared" si="368"/>
        <v>3</v>
      </c>
      <c r="AN349" s="25"/>
      <c r="AO349" s="10" t="str">
        <f t="shared" si="356"/>
        <v>OutubroSEMANA 4Humaytá - Geléia de Morango</v>
      </c>
      <c r="AP349" s="7">
        <f>SUMIF(NF!$A:$A,$AO349,NF!$I:$I)</f>
        <v>0</v>
      </c>
      <c r="AQ349" s="6"/>
      <c r="AR349" s="6"/>
      <c r="AS349" s="6"/>
      <c r="AT349" s="6"/>
      <c r="AU349" s="6"/>
      <c r="AV349" s="6"/>
      <c r="AW349" s="6"/>
      <c r="AX349" s="7">
        <f t="shared" si="503"/>
        <v>0</v>
      </c>
      <c r="AY349" s="11">
        <f t="shared" si="370"/>
        <v>3</v>
      </c>
      <c r="AZ349" s="25"/>
      <c r="BA349" s="10" t="str">
        <f t="shared" si="359"/>
        <v>OutubroSEMANA 5Humaytá - Geléia de Morango</v>
      </c>
      <c r="BB349" s="7">
        <f>SUMIF(NF!$A:$A,$BA349,NF!$I:$I)</f>
        <v>0</v>
      </c>
      <c r="BC349" s="6"/>
      <c r="BD349" s="6"/>
      <c r="BE349" s="6"/>
      <c r="BF349" s="74"/>
      <c r="BG349" s="74"/>
      <c r="BH349" s="74"/>
      <c r="BI349" s="74"/>
      <c r="BJ349" s="74"/>
      <c r="BK349" s="7">
        <f t="shared" si="504"/>
        <v>0</v>
      </c>
      <c r="BL349" s="8">
        <f t="shared" si="372"/>
        <v>3</v>
      </c>
      <c r="BM349" s="51" t="str">
        <f>IFERROR(VLOOKUP(A349,NF!$M:$O,3,0),"")</f>
        <v>Feirinha</v>
      </c>
      <c r="BN349" s="7">
        <f t="shared" si="373"/>
        <v>0</v>
      </c>
      <c r="BO349" s="8">
        <f t="array" ref="BO349">IFERROR(LARGE(IF(NF!$G$2:$G$3137='Mês atual'!A349,NF!$J$2:$J$3137),1),0)*BN349</f>
        <v>0</v>
      </c>
      <c r="BP349" s="50"/>
      <c r="BR349" s="147">
        <f t="array" ref="BR349">IFERROR(LARGE(IF(NF!$G$2:$G$3137='Mês atual'!A349,NF!$J$2:$J$3137),1),0)</f>
        <v>0</v>
      </c>
      <c r="BS349" s="143" t="str">
        <f>VLOOKUP(A349,NF!M:O,3,0)</f>
        <v>Feirinha</v>
      </c>
    </row>
    <row r="350" spans="1:71" x14ac:dyDescent="0.25">
      <c r="A350" s="108" t="s">
        <v>429</v>
      </c>
      <c r="B350" s="12"/>
      <c r="C350" s="9"/>
      <c r="D350" s="25"/>
      <c r="E350" s="10" t="str">
        <f t="shared" si="347"/>
        <v>OutubroSEMANA 1Humaytá - Mini Geléia de Amora</v>
      </c>
      <c r="F350" s="7">
        <f>SUMIF(NF!$A:$A,$E350,NF!$I:$I)</f>
        <v>0</v>
      </c>
      <c r="G350" s="6"/>
      <c r="H350" s="6"/>
      <c r="I350" s="6"/>
      <c r="J350" s="6"/>
      <c r="K350" s="6"/>
      <c r="L350" s="6"/>
      <c r="M350" s="6"/>
      <c r="N350" s="7">
        <f t="shared" si="500"/>
        <v>0</v>
      </c>
      <c r="O350" s="11">
        <f t="shared" si="364"/>
        <v>0</v>
      </c>
      <c r="P350" s="25"/>
      <c r="Q350" s="10" t="str">
        <f t="shared" si="350"/>
        <v>OutubroSEMANA 2Humaytá - Mini Geléia de Amora</v>
      </c>
      <c r="R350" s="7">
        <f>SUMIF(NF!$A:$A,$Q350,NF!$I:$I)</f>
        <v>0</v>
      </c>
      <c r="S350" s="6"/>
      <c r="T350" s="6"/>
      <c r="U350" s="6"/>
      <c r="V350" s="6"/>
      <c r="W350" s="6"/>
      <c r="X350" s="6"/>
      <c r="Y350" s="6"/>
      <c r="Z350" s="7">
        <f t="shared" si="501"/>
        <v>0</v>
      </c>
      <c r="AA350" s="11">
        <f t="shared" si="366"/>
        <v>0</v>
      </c>
      <c r="AB350" s="25"/>
      <c r="AC350" s="10" t="str">
        <f t="shared" si="353"/>
        <v>OutubroSEMANA 3Humaytá - Mini Geléia de Amora</v>
      </c>
      <c r="AD350" s="7">
        <f>SUMIF(NF!$A:$A,$AC350,NF!$I:$I)</f>
        <v>0</v>
      </c>
      <c r="AE350" s="6"/>
      <c r="AF350" s="6"/>
      <c r="AG350" s="6"/>
      <c r="AH350" s="6"/>
      <c r="AI350" s="6"/>
      <c r="AJ350" s="6"/>
      <c r="AK350" s="6"/>
      <c r="AL350" s="7">
        <f t="shared" si="502"/>
        <v>0</v>
      </c>
      <c r="AM350" s="11">
        <f t="shared" si="368"/>
        <v>0</v>
      </c>
      <c r="AN350" s="25"/>
      <c r="AO350" s="10" t="str">
        <f t="shared" si="356"/>
        <v>OutubroSEMANA 4Humaytá - Mini Geléia de Amora</v>
      </c>
      <c r="AP350" s="7">
        <f>SUMIF(NF!$A:$A,$AO350,NF!$I:$I)</f>
        <v>0</v>
      </c>
      <c r="AQ350" s="6"/>
      <c r="AR350" s="6"/>
      <c r="AS350" s="6"/>
      <c r="AT350" s="6"/>
      <c r="AU350" s="6"/>
      <c r="AV350" s="6"/>
      <c r="AW350" s="6"/>
      <c r="AX350" s="7">
        <f t="shared" si="503"/>
        <v>0</v>
      </c>
      <c r="AY350" s="11">
        <f t="shared" si="370"/>
        <v>0</v>
      </c>
      <c r="AZ350" s="25"/>
      <c r="BA350" s="10" t="str">
        <f t="shared" si="359"/>
        <v>OutubroSEMANA 5Humaytá - Mini Geléia de Amora</v>
      </c>
      <c r="BB350" s="7">
        <f>SUMIF(NF!$A:$A,$BA350,NF!$I:$I)</f>
        <v>0</v>
      </c>
      <c r="BC350" s="6"/>
      <c r="BD350" s="6"/>
      <c r="BE350" s="6"/>
      <c r="BF350" s="74"/>
      <c r="BG350" s="74"/>
      <c r="BH350" s="74"/>
      <c r="BI350" s="74"/>
      <c r="BJ350" s="74"/>
      <c r="BK350" s="7">
        <f t="shared" si="504"/>
        <v>0</v>
      </c>
      <c r="BL350" s="8">
        <f t="shared" si="372"/>
        <v>0</v>
      </c>
      <c r="BM350" s="51" t="str">
        <f>IFERROR(VLOOKUP(A350,NF!$M:$O,3,0),"")</f>
        <v>Feirinha</v>
      </c>
      <c r="BN350" s="7">
        <f t="shared" si="373"/>
        <v>0</v>
      </c>
      <c r="BO350" s="8">
        <f t="array" ref="BO350">IFERROR(LARGE(IF(NF!$G$2:$G$3137='Mês atual'!A350,NF!$J$2:$J$3137),1),0)*BN350</f>
        <v>0</v>
      </c>
      <c r="BP350" s="50"/>
      <c r="BR350" s="147">
        <f t="array" ref="BR350">IFERROR(LARGE(IF(NF!$G$2:$G$3137='Mês atual'!A350,NF!$J$2:$J$3137),1),0)</f>
        <v>0</v>
      </c>
      <c r="BS350" s="143" t="str">
        <f>VLOOKUP(A350,NF!M:O,3,0)</f>
        <v>Feirinha</v>
      </c>
    </row>
    <row r="351" spans="1:71" x14ac:dyDescent="0.25">
      <c r="A351" s="108" t="s">
        <v>430</v>
      </c>
      <c r="B351" s="12"/>
      <c r="C351" s="9">
        <v>1</v>
      </c>
      <c r="D351" s="25"/>
      <c r="E351" s="10" t="str">
        <f t="shared" si="347"/>
        <v>OutubroSEMANA 1Humaytá - Mini Geléia de Damasco</v>
      </c>
      <c r="F351" s="7">
        <f>SUMIF(NF!$A:$A,$E351,NF!$I:$I)</f>
        <v>0</v>
      </c>
      <c r="G351" s="6"/>
      <c r="H351" s="6"/>
      <c r="I351" s="6"/>
      <c r="J351" s="6"/>
      <c r="K351" s="6"/>
      <c r="L351" s="6"/>
      <c r="M351" s="6"/>
      <c r="N351" s="7">
        <f t="shared" si="500"/>
        <v>0</v>
      </c>
      <c r="O351" s="11">
        <f t="shared" si="364"/>
        <v>1</v>
      </c>
      <c r="P351" s="25"/>
      <c r="Q351" s="10" t="str">
        <f t="shared" si="350"/>
        <v>OutubroSEMANA 2Humaytá - Mini Geléia de Damasco</v>
      </c>
      <c r="R351" s="7">
        <f>SUMIF(NF!$A:$A,$Q351,NF!$I:$I)</f>
        <v>0</v>
      </c>
      <c r="S351" s="6"/>
      <c r="T351" s="6"/>
      <c r="U351" s="6"/>
      <c r="V351" s="6"/>
      <c r="W351" s="6"/>
      <c r="X351" s="6"/>
      <c r="Y351" s="6"/>
      <c r="Z351" s="7">
        <f t="shared" si="501"/>
        <v>0</v>
      </c>
      <c r="AA351" s="11">
        <f t="shared" si="366"/>
        <v>1</v>
      </c>
      <c r="AB351" s="25"/>
      <c r="AC351" s="10" t="str">
        <f t="shared" si="353"/>
        <v>OutubroSEMANA 3Humaytá - Mini Geléia de Damasco</v>
      </c>
      <c r="AD351" s="7">
        <f>SUMIF(NF!$A:$A,$AC351,NF!$I:$I)</f>
        <v>0</v>
      </c>
      <c r="AE351" s="6"/>
      <c r="AF351" s="6"/>
      <c r="AG351" s="6"/>
      <c r="AH351" s="6"/>
      <c r="AI351" s="6"/>
      <c r="AJ351" s="6"/>
      <c r="AK351" s="6"/>
      <c r="AL351" s="7">
        <f t="shared" si="502"/>
        <v>0</v>
      </c>
      <c r="AM351" s="11">
        <f t="shared" si="368"/>
        <v>1</v>
      </c>
      <c r="AN351" s="25"/>
      <c r="AO351" s="10" t="str">
        <f t="shared" si="356"/>
        <v>OutubroSEMANA 4Humaytá - Mini Geléia de Damasco</v>
      </c>
      <c r="AP351" s="7">
        <f>SUMIF(NF!$A:$A,$AO351,NF!$I:$I)</f>
        <v>0</v>
      </c>
      <c r="AQ351" s="6"/>
      <c r="AR351" s="6"/>
      <c r="AS351" s="6"/>
      <c r="AT351" s="6"/>
      <c r="AU351" s="6"/>
      <c r="AV351" s="6"/>
      <c r="AW351" s="6"/>
      <c r="AX351" s="7">
        <f t="shared" si="503"/>
        <v>0</v>
      </c>
      <c r="AY351" s="11">
        <f t="shared" si="370"/>
        <v>1</v>
      </c>
      <c r="AZ351" s="25"/>
      <c r="BA351" s="10" t="str">
        <f t="shared" si="359"/>
        <v>OutubroSEMANA 5Humaytá - Mini Geléia de Damasco</v>
      </c>
      <c r="BB351" s="7">
        <f>SUMIF(NF!$A:$A,$BA351,NF!$I:$I)</f>
        <v>0</v>
      </c>
      <c r="BC351" s="6"/>
      <c r="BD351" s="6"/>
      <c r="BE351" s="6"/>
      <c r="BF351" s="74"/>
      <c r="BG351" s="74"/>
      <c r="BH351" s="74"/>
      <c r="BI351" s="74"/>
      <c r="BJ351" s="74"/>
      <c r="BK351" s="7">
        <f t="shared" si="504"/>
        <v>0</v>
      </c>
      <c r="BL351" s="8">
        <f t="shared" si="372"/>
        <v>1</v>
      </c>
      <c r="BM351" s="51" t="str">
        <f>IFERROR(VLOOKUP(A351,NF!$M:$O,3,0),"")</f>
        <v>Feirinha</v>
      </c>
      <c r="BN351" s="7">
        <f t="shared" si="373"/>
        <v>0</v>
      </c>
      <c r="BO351" s="8">
        <f t="array" ref="BO351">IFERROR(LARGE(IF(NF!$G$2:$G$3137='Mês atual'!A351,NF!$J$2:$J$3137),1),0)*BN351</f>
        <v>0</v>
      </c>
      <c r="BP351" s="50"/>
      <c r="BR351" s="147">
        <f t="array" ref="BR351">IFERROR(LARGE(IF(NF!$G$2:$G$3137='Mês atual'!A351,NF!$J$2:$J$3137),1),0)</f>
        <v>0</v>
      </c>
      <c r="BS351" s="143" t="str">
        <f>VLOOKUP(A351,NF!M:O,3,0)</f>
        <v>Feirinha</v>
      </c>
    </row>
    <row r="352" spans="1:71" x14ac:dyDescent="0.25">
      <c r="A352" s="108" t="s">
        <v>431</v>
      </c>
      <c r="B352" s="12"/>
      <c r="C352" s="9">
        <v>2</v>
      </c>
      <c r="D352" s="25"/>
      <c r="E352" s="10" t="str">
        <f t="shared" si="347"/>
        <v>OutubroSEMANA 1Humaytá - Mini Geléia de Figo</v>
      </c>
      <c r="F352" s="7">
        <f>SUMIF(NF!$A:$A,$E352,NF!$I:$I)</f>
        <v>0</v>
      </c>
      <c r="G352" s="6"/>
      <c r="H352" s="6"/>
      <c r="I352" s="6"/>
      <c r="J352" s="6"/>
      <c r="K352" s="6"/>
      <c r="L352" s="6"/>
      <c r="M352" s="6"/>
      <c r="N352" s="7">
        <f t="shared" si="500"/>
        <v>0</v>
      </c>
      <c r="O352" s="11">
        <f t="shared" si="364"/>
        <v>2</v>
      </c>
      <c r="P352" s="25"/>
      <c r="Q352" s="10" t="str">
        <f t="shared" si="350"/>
        <v>OutubroSEMANA 2Humaytá - Mini Geléia de Figo</v>
      </c>
      <c r="R352" s="7">
        <f>SUMIF(NF!$A:$A,$Q352,NF!$I:$I)</f>
        <v>0</v>
      </c>
      <c r="S352" s="6"/>
      <c r="T352" s="6"/>
      <c r="U352" s="6"/>
      <c r="V352" s="6"/>
      <c r="W352" s="6"/>
      <c r="X352" s="6"/>
      <c r="Y352" s="6"/>
      <c r="Z352" s="7">
        <f t="shared" si="501"/>
        <v>0</v>
      </c>
      <c r="AA352" s="11">
        <f t="shared" si="366"/>
        <v>2</v>
      </c>
      <c r="AB352" s="25"/>
      <c r="AC352" s="10" t="str">
        <f t="shared" si="353"/>
        <v>OutubroSEMANA 3Humaytá - Mini Geléia de Figo</v>
      </c>
      <c r="AD352" s="7">
        <f>SUMIF(NF!$A:$A,$AC352,NF!$I:$I)</f>
        <v>0</v>
      </c>
      <c r="AE352" s="6"/>
      <c r="AF352" s="6"/>
      <c r="AG352" s="6"/>
      <c r="AH352" s="6"/>
      <c r="AI352" s="6"/>
      <c r="AJ352" s="6"/>
      <c r="AK352" s="6"/>
      <c r="AL352" s="7">
        <f t="shared" si="502"/>
        <v>0</v>
      </c>
      <c r="AM352" s="11">
        <f t="shared" si="368"/>
        <v>2</v>
      </c>
      <c r="AN352" s="25"/>
      <c r="AO352" s="10" t="str">
        <f t="shared" si="356"/>
        <v>OutubroSEMANA 4Humaytá - Mini Geléia de Figo</v>
      </c>
      <c r="AP352" s="7">
        <f>SUMIF(NF!$A:$A,$AO352,NF!$I:$I)</f>
        <v>0</v>
      </c>
      <c r="AQ352" s="6"/>
      <c r="AR352" s="6"/>
      <c r="AS352" s="6"/>
      <c r="AT352" s="6"/>
      <c r="AU352" s="6"/>
      <c r="AV352" s="6"/>
      <c r="AW352" s="6"/>
      <c r="AX352" s="7">
        <f t="shared" si="503"/>
        <v>0</v>
      </c>
      <c r="AY352" s="11">
        <f t="shared" si="370"/>
        <v>2</v>
      </c>
      <c r="AZ352" s="25"/>
      <c r="BA352" s="10" t="str">
        <f t="shared" si="359"/>
        <v>OutubroSEMANA 5Humaytá - Mini Geléia de Figo</v>
      </c>
      <c r="BB352" s="7">
        <f>SUMIF(NF!$A:$A,$BA352,NF!$I:$I)</f>
        <v>0</v>
      </c>
      <c r="BC352" s="6"/>
      <c r="BD352" s="6"/>
      <c r="BE352" s="6"/>
      <c r="BF352" s="74"/>
      <c r="BG352" s="74"/>
      <c r="BH352" s="74"/>
      <c r="BI352" s="74"/>
      <c r="BJ352" s="74"/>
      <c r="BK352" s="7">
        <f t="shared" si="504"/>
        <v>0</v>
      </c>
      <c r="BL352" s="8">
        <f t="shared" si="372"/>
        <v>2</v>
      </c>
      <c r="BM352" s="51" t="str">
        <f>IFERROR(VLOOKUP(A352,NF!$M:$O,3,0),"")</f>
        <v>Feirinha</v>
      </c>
      <c r="BN352" s="7">
        <f t="shared" si="373"/>
        <v>0</v>
      </c>
      <c r="BO352" s="8">
        <f t="array" ref="BO352">IFERROR(LARGE(IF(NF!$G$2:$G$3137='Mês atual'!A352,NF!$J$2:$J$3137),1),0)*BN352</f>
        <v>0</v>
      </c>
      <c r="BP352" s="50"/>
      <c r="BR352" s="147">
        <f t="array" ref="BR352">IFERROR(LARGE(IF(NF!$G$2:$G$3137='Mês atual'!A352,NF!$J$2:$J$3137),1),0)</f>
        <v>0</v>
      </c>
      <c r="BS352" s="143" t="str">
        <f>VLOOKUP(A352,NF!M:O,3,0)</f>
        <v>Feirinha</v>
      </c>
    </row>
    <row r="353" spans="1:71" x14ac:dyDescent="0.25">
      <c r="A353" s="108" t="s">
        <v>432</v>
      </c>
      <c r="B353" s="12"/>
      <c r="C353" s="9"/>
      <c r="D353" s="25"/>
      <c r="E353" s="10" t="str">
        <f t="shared" si="347"/>
        <v>OutubroSEMANA 1Humaytá - Mini Geléia de Framboesa</v>
      </c>
      <c r="F353" s="7">
        <f>SUMIF(NF!$A:$A,$E353,NF!$I:$I)</f>
        <v>0</v>
      </c>
      <c r="G353" s="6"/>
      <c r="H353" s="6"/>
      <c r="I353" s="6"/>
      <c r="J353" s="6"/>
      <c r="K353" s="6"/>
      <c r="L353" s="6"/>
      <c r="M353" s="6"/>
      <c r="N353" s="7">
        <f t="shared" si="500"/>
        <v>0</v>
      </c>
      <c r="O353" s="11">
        <f t="shared" si="364"/>
        <v>0</v>
      </c>
      <c r="P353" s="25"/>
      <c r="Q353" s="10" t="str">
        <f t="shared" si="350"/>
        <v>OutubroSEMANA 2Humaytá - Mini Geléia de Framboesa</v>
      </c>
      <c r="R353" s="7">
        <f>SUMIF(NF!$A:$A,$Q353,NF!$I:$I)</f>
        <v>0</v>
      </c>
      <c r="S353" s="6"/>
      <c r="T353" s="6"/>
      <c r="U353" s="6"/>
      <c r="V353" s="6"/>
      <c r="W353" s="6"/>
      <c r="X353" s="6"/>
      <c r="Y353" s="6"/>
      <c r="Z353" s="7">
        <f t="shared" si="501"/>
        <v>0</v>
      </c>
      <c r="AA353" s="11">
        <f t="shared" si="366"/>
        <v>0</v>
      </c>
      <c r="AB353" s="25"/>
      <c r="AC353" s="10" t="str">
        <f t="shared" si="353"/>
        <v>OutubroSEMANA 3Humaytá - Mini Geléia de Framboesa</v>
      </c>
      <c r="AD353" s="7">
        <f>SUMIF(NF!$A:$A,$AC353,NF!$I:$I)</f>
        <v>0</v>
      </c>
      <c r="AE353" s="6"/>
      <c r="AF353" s="6"/>
      <c r="AG353" s="6"/>
      <c r="AH353" s="6"/>
      <c r="AI353" s="6"/>
      <c r="AJ353" s="6"/>
      <c r="AK353" s="6"/>
      <c r="AL353" s="7">
        <f t="shared" si="502"/>
        <v>0</v>
      </c>
      <c r="AM353" s="11">
        <f t="shared" si="368"/>
        <v>0</v>
      </c>
      <c r="AN353" s="25"/>
      <c r="AO353" s="10" t="str">
        <f t="shared" si="356"/>
        <v>OutubroSEMANA 4Humaytá - Mini Geléia de Framboesa</v>
      </c>
      <c r="AP353" s="7">
        <f>SUMIF(NF!$A:$A,$AO353,NF!$I:$I)</f>
        <v>0</v>
      </c>
      <c r="AQ353" s="6"/>
      <c r="AR353" s="6"/>
      <c r="AS353" s="6"/>
      <c r="AT353" s="6"/>
      <c r="AU353" s="6"/>
      <c r="AV353" s="6"/>
      <c r="AW353" s="6"/>
      <c r="AX353" s="7">
        <f t="shared" si="503"/>
        <v>0</v>
      </c>
      <c r="AY353" s="11">
        <f t="shared" si="370"/>
        <v>0</v>
      </c>
      <c r="AZ353" s="25"/>
      <c r="BA353" s="10" t="str">
        <f t="shared" si="359"/>
        <v>OutubroSEMANA 5Humaytá - Mini Geléia de Framboesa</v>
      </c>
      <c r="BB353" s="7">
        <f>SUMIF(NF!$A:$A,$BA353,NF!$I:$I)</f>
        <v>0</v>
      </c>
      <c r="BC353" s="6"/>
      <c r="BD353" s="6"/>
      <c r="BE353" s="6"/>
      <c r="BF353" s="74"/>
      <c r="BG353" s="74"/>
      <c r="BH353" s="74"/>
      <c r="BI353" s="74"/>
      <c r="BJ353" s="74"/>
      <c r="BK353" s="7">
        <f t="shared" si="504"/>
        <v>0</v>
      </c>
      <c r="BL353" s="8">
        <f t="shared" si="372"/>
        <v>0</v>
      </c>
      <c r="BM353" s="51" t="str">
        <f>IFERROR(VLOOKUP(A353,NF!$M:$O,3,0),"")</f>
        <v>Feirinha</v>
      </c>
      <c r="BN353" s="7">
        <f t="shared" si="373"/>
        <v>0</v>
      </c>
      <c r="BO353" s="8">
        <f t="array" ref="BO353">IFERROR(LARGE(IF(NF!$G$2:$G$3137='Mês atual'!A353,NF!$J$2:$J$3137),1),0)*BN353</f>
        <v>0</v>
      </c>
      <c r="BP353" s="50"/>
      <c r="BR353" s="147">
        <f t="array" ref="BR353">IFERROR(LARGE(IF(NF!$G$2:$G$3137='Mês atual'!A353,NF!$J$2:$J$3137),1),0)</f>
        <v>0</v>
      </c>
      <c r="BS353" s="143" t="str">
        <f>VLOOKUP(A353,NF!M:O,3,0)</f>
        <v>Feirinha</v>
      </c>
    </row>
    <row r="354" spans="1:71" x14ac:dyDescent="0.25">
      <c r="A354" s="108" t="s">
        <v>433</v>
      </c>
      <c r="B354" s="12"/>
      <c r="C354" s="9">
        <v>2</v>
      </c>
      <c r="D354" s="25"/>
      <c r="E354" s="10" t="str">
        <f t="shared" si="347"/>
        <v>OutubroSEMANA 1Humaytá - Mini Geléia de Frutas Vermelhas</v>
      </c>
      <c r="F354" s="7">
        <f>SUMIF(NF!$A:$A,$E354,NF!$I:$I)</f>
        <v>0</v>
      </c>
      <c r="G354" s="6"/>
      <c r="H354" s="6"/>
      <c r="I354" s="6"/>
      <c r="J354" s="6"/>
      <c r="K354" s="6"/>
      <c r="L354" s="6"/>
      <c r="M354" s="6"/>
      <c r="N354" s="7">
        <f t="shared" si="500"/>
        <v>0</v>
      </c>
      <c r="O354" s="11">
        <f t="shared" si="364"/>
        <v>2</v>
      </c>
      <c r="P354" s="25"/>
      <c r="Q354" s="10" t="str">
        <f t="shared" si="350"/>
        <v>OutubroSEMANA 2Humaytá - Mini Geléia de Frutas Vermelhas</v>
      </c>
      <c r="R354" s="7">
        <f>SUMIF(NF!$A:$A,$Q354,NF!$I:$I)</f>
        <v>0</v>
      </c>
      <c r="S354" s="6"/>
      <c r="T354" s="6"/>
      <c r="U354" s="6"/>
      <c r="V354" s="6"/>
      <c r="W354" s="6"/>
      <c r="X354" s="6"/>
      <c r="Y354" s="6"/>
      <c r="Z354" s="7">
        <f t="shared" si="501"/>
        <v>0</v>
      </c>
      <c r="AA354" s="11">
        <f t="shared" si="366"/>
        <v>2</v>
      </c>
      <c r="AB354" s="25"/>
      <c r="AC354" s="10" t="str">
        <f t="shared" si="353"/>
        <v>OutubroSEMANA 3Humaytá - Mini Geléia de Frutas Vermelhas</v>
      </c>
      <c r="AD354" s="7">
        <f>SUMIF(NF!$A:$A,$AC354,NF!$I:$I)</f>
        <v>0</v>
      </c>
      <c r="AE354" s="6"/>
      <c r="AF354" s="6"/>
      <c r="AG354" s="6"/>
      <c r="AH354" s="6"/>
      <c r="AI354" s="6"/>
      <c r="AJ354" s="6"/>
      <c r="AK354" s="6"/>
      <c r="AL354" s="7">
        <f t="shared" si="502"/>
        <v>0</v>
      </c>
      <c r="AM354" s="11">
        <f t="shared" si="368"/>
        <v>2</v>
      </c>
      <c r="AN354" s="25"/>
      <c r="AO354" s="10" t="str">
        <f t="shared" si="356"/>
        <v>OutubroSEMANA 4Humaytá - Mini Geléia de Frutas Vermelhas</v>
      </c>
      <c r="AP354" s="7">
        <f>SUMIF(NF!$A:$A,$AO354,NF!$I:$I)</f>
        <v>0</v>
      </c>
      <c r="AQ354" s="6"/>
      <c r="AR354" s="6"/>
      <c r="AS354" s="6"/>
      <c r="AT354" s="6"/>
      <c r="AU354" s="6"/>
      <c r="AV354" s="6"/>
      <c r="AW354" s="6"/>
      <c r="AX354" s="7">
        <f t="shared" si="503"/>
        <v>0</v>
      </c>
      <c r="AY354" s="11">
        <f t="shared" si="370"/>
        <v>2</v>
      </c>
      <c r="AZ354" s="25"/>
      <c r="BA354" s="10" t="str">
        <f t="shared" si="359"/>
        <v>OutubroSEMANA 5Humaytá - Mini Geléia de Frutas Vermelhas</v>
      </c>
      <c r="BB354" s="7">
        <f>SUMIF(NF!$A:$A,$BA354,NF!$I:$I)</f>
        <v>0</v>
      </c>
      <c r="BC354" s="6"/>
      <c r="BD354" s="6"/>
      <c r="BE354" s="6"/>
      <c r="BF354" s="74"/>
      <c r="BG354" s="74"/>
      <c r="BH354" s="74"/>
      <c r="BI354" s="74"/>
      <c r="BJ354" s="74"/>
      <c r="BK354" s="7">
        <f t="shared" si="504"/>
        <v>0</v>
      </c>
      <c r="BL354" s="8">
        <f t="shared" si="372"/>
        <v>2</v>
      </c>
      <c r="BM354" s="51" t="str">
        <f>IFERROR(VLOOKUP(A354,NF!$M:$O,3,0),"")</f>
        <v>Feirinha</v>
      </c>
      <c r="BN354" s="7">
        <f t="shared" si="373"/>
        <v>0</v>
      </c>
      <c r="BO354" s="8">
        <f t="array" ref="BO354">IFERROR(LARGE(IF(NF!$G$2:$G$3137='Mês atual'!A354,NF!$J$2:$J$3137),1),0)*BN354</f>
        <v>0</v>
      </c>
      <c r="BP354" s="50"/>
      <c r="BR354" s="147">
        <f t="array" ref="BR354">IFERROR(LARGE(IF(NF!$G$2:$G$3137='Mês atual'!A354,NF!$J$2:$J$3137),1),0)</f>
        <v>0</v>
      </c>
      <c r="BS354" s="143" t="str">
        <f>VLOOKUP(A354,NF!M:O,3,0)</f>
        <v>Feirinha</v>
      </c>
    </row>
    <row r="355" spans="1:71" x14ac:dyDescent="0.25">
      <c r="A355" s="108" t="s">
        <v>434</v>
      </c>
      <c r="B355" s="12"/>
      <c r="C355" s="9">
        <v>5</v>
      </c>
      <c r="D355" s="25"/>
      <c r="E355" s="10" t="str">
        <f t="shared" si="347"/>
        <v>OutubroSEMANA 1Humaytá - Mini Geléia de Goiaba</v>
      </c>
      <c r="F355" s="7">
        <f>SUMIF(NF!$A:$A,$E355,NF!$I:$I)</f>
        <v>0</v>
      </c>
      <c r="G355" s="6"/>
      <c r="H355" s="6"/>
      <c r="I355" s="6"/>
      <c r="J355" s="6"/>
      <c r="K355" s="6"/>
      <c r="L355" s="6"/>
      <c r="M355" s="6"/>
      <c r="N355" s="7">
        <f t="shared" si="500"/>
        <v>0</v>
      </c>
      <c r="O355" s="11">
        <f t="shared" si="364"/>
        <v>5</v>
      </c>
      <c r="P355" s="25"/>
      <c r="Q355" s="10" t="str">
        <f t="shared" si="350"/>
        <v>OutubroSEMANA 2Humaytá - Mini Geléia de Goiaba</v>
      </c>
      <c r="R355" s="7">
        <f>SUMIF(NF!$A:$A,$Q355,NF!$I:$I)</f>
        <v>0</v>
      </c>
      <c r="S355" s="6"/>
      <c r="T355" s="6"/>
      <c r="U355" s="6"/>
      <c r="V355" s="6"/>
      <c r="W355" s="6"/>
      <c r="X355" s="6"/>
      <c r="Y355" s="6"/>
      <c r="Z355" s="7">
        <f t="shared" si="501"/>
        <v>0</v>
      </c>
      <c r="AA355" s="11">
        <f t="shared" si="366"/>
        <v>5</v>
      </c>
      <c r="AB355" s="25"/>
      <c r="AC355" s="10" t="str">
        <f t="shared" si="353"/>
        <v>OutubroSEMANA 3Humaytá - Mini Geléia de Goiaba</v>
      </c>
      <c r="AD355" s="7">
        <f>SUMIF(NF!$A:$A,$AC355,NF!$I:$I)</f>
        <v>0</v>
      </c>
      <c r="AE355" s="6"/>
      <c r="AF355" s="6"/>
      <c r="AG355" s="6"/>
      <c r="AH355" s="6"/>
      <c r="AI355" s="6"/>
      <c r="AJ355" s="6"/>
      <c r="AK355" s="6"/>
      <c r="AL355" s="7">
        <f t="shared" si="502"/>
        <v>0</v>
      </c>
      <c r="AM355" s="11">
        <f t="shared" si="368"/>
        <v>5</v>
      </c>
      <c r="AN355" s="25"/>
      <c r="AO355" s="10" t="str">
        <f t="shared" si="356"/>
        <v>OutubroSEMANA 4Humaytá - Mini Geléia de Goiaba</v>
      </c>
      <c r="AP355" s="7">
        <f>SUMIF(NF!$A:$A,$AO355,NF!$I:$I)</f>
        <v>0</v>
      </c>
      <c r="AQ355" s="6"/>
      <c r="AR355" s="6"/>
      <c r="AS355" s="6"/>
      <c r="AT355" s="6"/>
      <c r="AU355" s="6"/>
      <c r="AV355" s="6"/>
      <c r="AW355" s="6"/>
      <c r="AX355" s="7">
        <f t="shared" si="503"/>
        <v>0</v>
      </c>
      <c r="AY355" s="11">
        <f t="shared" si="370"/>
        <v>5</v>
      </c>
      <c r="AZ355" s="25"/>
      <c r="BA355" s="10" t="str">
        <f t="shared" si="359"/>
        <v>OutubroSEMANA 5Humaytá - Mini Geléia de Goiaba</v>
      </c>
      <c r="BB355" s="7">
        <f>SUMIF(NF!$A:$A,$BA355,NF!$I:$I)</f>
        <v>0</v>
      </c>
      <c r="BC355" s="6"/>
      <c r="BD355" s="6"/>
      <c r="BE355" s="6"/>
      <c r="BF355" s="74"/>
      <c r="BG355" s="74"/>
      <c r="BH355" s="74"/>
      <c r="BI355" s="74"/>
      <c r="BJ355" s="74"/>
      <c r="BK355" s="7">
        <f t="shared" si="504"/>
        <v>0</v>
      </c>
      <c r="BL355" s="8">
        <f t="shared" si="372"/>
        <v>5</v>
      </c>
      <c r="BM355" s="51" t="str">
        <f>IFERROR(VLOOKUP(A355,NF!$M:$O,3,0),"")</f>
        <v>Feirinha</v>
      </c>
      <c r="BN355" s="7">
        <f t="shared" si="373"/>
        <v>0</v>
      </c>
      <c r="BO355" s="8">
        <f t="array" ref="BO355">IFERROR(LARGE(IF(NF!$G$2:$G$3137='Mês atual'!A355,NF!$J$2:$J$3137),1),0)*BN355</f>
        <v>0</v>
      </c>
      <c r="BP355" s="50"/>
      <c r="BR355" s="147">
        <f t="array" ref="BR355">IFERROR(LARGE(IF(NF!$G$2:$G$3137='Mês atual'!A355,NF!$J$2:$J$3137),1),0)</f>
        <v>0</v>
      </c>
      <c r="BS355" s="143" t="str">
        <f>VLOOKUP(A355,NF!M:O,3,0)</f>
        <v>Feirinha</v>
      </c>
    </row>
    <row r="356" spans="1:71" x14ac:dyDescent="0.25">
      <c r="A356" s="108" t="s">
        <v>435</v>
      </c>
      <c r="B356" s="12"/>
      <c r="C356" s="9">
        <v>3</v>
      </c>
      <c r="D356" s="25"/>
      <c r="E356" s="10" t="str">
        <f t="shared" si="347"/>
        <v>OutubroSEMANA 1Humaytá - Mini Geléia de Jabuticaba</v>
      </c>
      <c r="F356" s="7">
        <f>SUMIF(NF!$A:$A,$E356,NF!$I:$I)</f>
        <v>0</v>
      </c>
      <c r="G356" s="6"/>
      <c r="H356" s="6"/>
      <c r="I356" s="6"/>
      <c r="J356" s="6"/>
      <c r="K356" s="6"/>
      <c r="L356" s="6"/>
      <c r="M356" s="6"/>
      <c r="N356" s="7">
        <f t="shared" si="500"/>
        <v>0</v>
      </c>
      <c r="O356" s="11">
        <f t="shared" si="364"/>
        <v>3</v>
      </c>
      <c r="P356" s="25"/>
      <c r="Q356" s="10" t="str">
        <f t="shared" si="350"/>
        <v>OutubroSEMANA 2Humaytá - Mini Geléia de Jabuticaba</v>
      </c>
      <c r="R356" s="7">
        <f>SUMIF(NF!$A:$A,$Q356,NF!$I:$I)</f>
        <v>0</v>
      </c>
      <c r="S356" s="6"/>
      <c r="T356" s="6"/>
      <c r="U356" s="6"/>
      <c r="V356" s="6"/>
      <c r="W356" s="6"/>
      <c r="X356" s="6"/>
      <c r="Y356" s="6"/>
      <c r="Z356" s="7">
        <f t="shared" si="501"/>
        <v>0</v>
      </c>
      <c r="AA356" s="11">
        <f t="shared" si="366"/>
        <v>3</v>
      </c>
      <c r="AB356" s="25"/>
      <c r="AC356" s="10" t="str">
        <f t="shared" si="353"/>
        <v>OutubroSEMANA 3Humaytá - Mini Geléia de Jabuticaba</v>
      </c>
      <c r="AD356" s="7">
        <f>SUMIF(NF!$A:$A,$AC356,NF!$I:$I)</f>
        <v>0</v>
      </c>
      <c r="AE356" s="6"/>
      <c r="AF356" s="6"/>
      <c r="AG356" s="6"/>
      <c r="AH356" s="6"/>
      <c r="AI356" s="6"/>
      <c r="AJ356" s="6"/>
      <c r="AK356" s="6"/>
      <c r="AL356" s="7">
        <f t="shared" si="502"/>
        <v>0</v>
      </c>
      <c r="AM356" s="11">
        <f t="shared" si="368"/>
        <v>3</v>
      </c>
      <c r="AN356" s="25"/>
      <c r="AO356" s="10" t="str">
        <f t="shared" si="356"/>
        <v>OutubroSEMANA 4Humaytá - Mini Geléia de Jabuticaba</v>
      </c>
      <c r="AP356" s="7">
        <f>SUMIF(NF!$A:$A,$AO356,NF!$I:$I)</f>
        <v>0</v>
      </c>
      <c r="AQ356" s="6"/>
      <c r="AR356" s="6"/>
      <c r="AS356" s="6"/>
      <c r="AT356" s="6"/>
      <c r="AU356" s="6"/>
      <c r="AV356" s="6"/>
      <c r="AW356" s="6"/>
      <c r="AX356" s="7">
        <f t="shared" si="503"/>
        <v>0</v>
      </c>
      <c r="AY356" s="11">
        <f t="shared" si="370"/>
        <v>3</v>
      </c>
      <c r="AZ356" s="25"/>
      <c r="BA356" s="10" t="str">
        <f t="shared" si="359"/>
        <v>OutubroSEMANA 5Humaytá - Mini Geléia de Jabuticaba</v>
      </c>
      <c r="BB356" s="7">
        <f>SUMIF(NF!$A:$A,$BA356,NF!$I:$I)</f>
        <v>0</v>
      </c>
      <c r="BC356" s="6"/>
      <c r="BD356" s="6"/>
      <c r="BE356" s="6"/>
      <c r="BF356" s="74"/>
      <c r="BG356" s="74"/>
      <c r="BH356" s="74"/>
      <c r="BI356" s="74"/>
      <c r="BJ356" s="74"/>
      <c r="BK356" s="7">
        <f t="shared" si="504"/>
        <v>0</v>
      </c>
      <c r="BL356" s="8">
        <f t="shared" si="372"/>
        <v>3</v>
      </c>
      <c r="BM356" s="51" t="str">
        <f>IFERROR(VLOOKUP(A356,NF!$M:$O,3,0),"")</f>
        <v>Feirinha</v>
      </c>
      <c r="BN356" s="7">
        <f t="shared" si="373"/>
        <v>0</v>
      </c>
      <c r="BO356" s="8">
        <f t="array" ref="BO356">IFERROR(LARGE(IF(NF!$G$2:$G$3137='Mês atual'!A356,NF!$J$2:$J$3137),1),0)*BN356</f>
        <v>0</v>
      </c>
      <c r="BP356" s="50"/>
      <c r="BR356" s="147">
        <f t="array" ref="BR356">IFERROR(LARGE(IF(NF!$G$2:$G$3137='Mês atual'!A356,NF!$J$2:$J$3137),1),0)</f>
        <v>0</v>
      </c>
      <c r="BS356" s="143" t="str">
        <f>VLOOKUP(A356,NF!M:O,3,0)</f>
        <v>Feirinha</v>
      </c>
    </row>
    <row r="357" spans="1:71" x14ac:dyDescent="0.25">
      <c r="A357" s="108" t="s">
        <v>436</v>
      </c>
      <c r="B357" s="12"/>
      <c r="C357" s="9">
        <v>3</v>
      </c>
      <c r="D357" s="25"/>
      <c r="E357" s="10" t="str">
        <f t="shared" si="347"/>
        <v>OutubroSEMANA 1Humaytá - Mini Geléia de Laranja</v>
      </c>
      <c r="F357" s="7">
        <f>SUMIF(NF!$A:$A,$E357,NF!$I:$I)</f>
        <v>0</v>
      </c>
      <c r="G357" s="6"/>
      <c r="H357" s="6"/>
      <c r="I357" s="6"/>
      <c r="J357" s="6"/>
      <c r="K357" s="6"/>
      <c r="L357" s="6"/>
      <c r="M357" s="6"/>
      <c r="N357" s="7">
        <f t="shared" si="500"/>
        <v>0</v>
      </c>
      <c r="O357" s="11">
        <f t="shared" si="364"/>
        <v>3</v>
      </c>
      <c r="P357" s="25"/>
      <c r="Q357" s="10" t="str">
        <f t="shared" si="350"/>
        <v>OutubroSEMANA 2Humaytá - Mini Geléia de Laranja</v>
      </c>
      <c r="R357" s="7">
        <f>SUMIF(NF!$A:$A,$Q357,NF!$I:$I)</f>
        <v>0</v>
      </c>
      <c r="S357" s="6"/>
      <c r="T357" s="6"/>
      <c r="U357" s="6"/>
      <c r="V357" s="6"/>
      <c r="W357" s="6"/>
      <c r="X357" s="6"/>
      <c r="Y357" s="6"/>
      <c r="Z357" s="7">
        <f t="shared" si="501"/>
        <v>0</v>
      </c>
      <c r="AA357" s="11">
        <f t="shared" si="366"/>
        <v>3</v>
      </c>
      <c r="AB357" s="25"/>
      <c r="AC357" s="10" t="str">
        <f t="shared" si="353"/>
        <v>OutubroSEMANA 3Humaytá - Mini Geléia de Laranja</v>
      </c>
      <c r="AD357" s="7">
        <f>SUMIF(NF!$A:$A,$AC357,NF!$I:$I)</f>
        <v>0</v>
      </c>
      <c r="AE357" s="6"/>
      <c r="AF357" s="6"/>
      <c r="AG357" s="6"/>
      <c r="AH357" s="6"/>
      <c r="AI357" s="6"/>
      <c r="AJ357" s="6"/>
      <c r="AK357" s="6"/>
      <c r="AL357" s="7">
        <f t="shared" si="502"/>
        <v>0</v>
      </c>
      <c r="AM357" s="11">
        <f t="shared" si="368"/>
        <v>3</v>
      </c>
      <c r="AN357" s="25"/>
      <c r="AO357" s="10" t="str">
        <f t="shared" si="356"/>
        <v>OutubroSEMANA 4Humaytá - Mini Geléia de Laranja</v>
      </c>
      <c r="AP357" s="7">
        <f>SUMIF(NF!$A:$A,$AO357,NF!$I:$I)</f>
        <v>0</v>
      </c>
      <c r="AQ357" s="6"/>
      <c r="AR357" s="6"/>
      <c r="AS357" s="6"/>
      <c r="AT357" s="6"/>
      <c r="AU357" s="6"/>
      <c r="AV357" s="6"/>
      <c r="AW357" s="6"/>
      <c r="AX357" s="7">
        <f t="shared" si="503"/>
        <v>0</v>
      </c>
      <c r="AY357" s="11">
        <f t="shared" si="370"/>
        <v>3</v>
      </c>
      <c r="AZ357" s="25"/>
      <c r="BA357" s="10" t="str">
        <f t="shared" si="359"/>
        <v>OutubroSEMANA 5Humaytá - Mini Geléia de Laranja</v>
      </c>
      <c r="BB357" s="7">
        <f>SUMIF(NF!$A:$A,$BA357,NF!$I:$I)</f>
        <v>0</v>
      </c>
      <c r="BC357" s="6"/>
      <c r="BD357" s="6"/>
      <c r="BE357" s="6"/>
      <c r="BF357" s="74"/>
      <c r="BG357" s="74"/>
      <c r="BH357" s="74"/>
      <c r="BI357" s="74"/>
      <c r="BJ357" s="74"/>
      <c r="BK357" s="7">
        <f t="shared" si="504"/>
        <v>0</v>
      </c>
      <c r="BL357" s="8">
        <f t="shared" si="372"/>
        <v>3</v>
      </c>
      <c r="BM357" s="51" t="str">
        <f>IFERROR(VLOOKUP(A357,NF!$M:$O,3,0),"")</f>
        <v>Feirinha</v>
      </c>
      <c r="BN357" s="7">
        <f t="shared" si="373"/>
        <v>0</v>
      </c>
      <c r="BO357" s="8">
        <f t="array" ref="BO357">IFERROR(LARGE(IF(NF!$G$2:$G$3137='Mês atual'!A357,NF!$J$2:$J$3137),1),0)*BN357</f>
        <v>0</v>
      </c>
      <c r="BP357" s="50"/>
      <c r="BR357" s="147">
        <f t="array" ref="BR357">IFERROR(LARGE(IF(NF!$G$2:$G$3137='Mês atual'!A357,NF!$J$2:$J$3137),1),0)</f>
        <v>0</v>
      </c>
      <c r="BS357" s="143" t="str">
        <f>VLOOKUP(A357,NF!M:O,3,0)</f>
        <v>Feirinha</v>
      </c>
    </row>
    <row r="358" spans="1:71" x14ac:dyDescent="0.25">
      <c r="A358" s="108" t="s">
        <v>437</v>
      </c>
      <c r="B358" s="12"/>
      <c r="C358" s="9">
        <v>4</v>
      </c>
      <c r="D358" s="25"/>
      <c r="E358" s="10" t="str">
        <f t="shared" si="347"/>
        <v>OutubroSEMANA 1Humaytá - Mini Geléia de Maracujá</v>
      </c>
      <c r="F358" s="7">
        <f>SUMIF(NF!$A:$A,$E358,NF!$I:$I)</f>
        <v>0</v>
      </c>
      <c r="G358" s="6"/>
      <c r="H358" s="6"/>
      <c r="I358" s="6"/>
      <c r="J358" s="6"/>
      <c r="K358" s="6"/>
      <c r="L358" s="6"/>
      <c r="M358" s="6"/>
      <c r="N358" s="7">
        <f t="shared" si="500"/>
        <v>0</v>
      </c>
      <c r="O358" s="11">
        <f t="shared" si="364"/>
        <v>4</v>
      </c>
      <c r="P358" s="25"/>
      <c r="Q358" s="10" t="str">
        <f t="shared" si="350"/>
        <v>OutubroSEMANA 2Humaytá - Mini Geléia de Maracujá</v>
      </c>
      <c r="R358" s="7">
        <f>SUMIF(NF!$A:$A,$Q358,NF!$I:$I)</f>
        <v>0</v>
      </c>
      <c r="S358" s="6"/>
      <c r="T358" s="6"/>
      <c r="U358" s="6"/>
      <c r="V358" s="6"/>
      <c r="W358" s="6"/>
      <c r="X358" s="6"/>
      <c r="Y358" s="6"/>
      <c r="Z358" s="7">
        <f t="shared" si="501"/>
        <v>0</v>
      </c>
      <c r="AA358" s="11">
        <f t="shared" si="366"/>
        <v>4</v>
      </c>
      <c r="AB358" s="25"/>
      <c r="AC358" s="10" t="str">
        <f t="shared" si="353"/>
        <v>OutubroSEMANA 3Humaytá - Mini Geléia de Maracujá</v>
      </c>
      <c r="AD358" s="7">
        <f>SUMIF(NF!$A:$A,$AC358,NF!$I:$I)</f>
        <v>0</v>
      </c>
      <c r="AE358" s="6"/>
      <c r="AF358" s="6"/>
      <c r="AG358" s="6"/>
      <c r="AH358" s="6"/>
      <c r="AI358" s="6"/>
      <c r="AJ358" s="6"/>
      <c r="AK358" s="6"/>
      <c r="AL358" s="7">
        <f t="shared" si="502"/>
        <v>0</v>
      </c>
      <c r="AM358" s="11">
        <f t="shared" si="368"/>
        <v>4</v>
      </c>
      <c r="AN358" s="25"/>
      <c r="AO358" s="10" t="str">
        <f t="shared" si="356"/>
        <v>OutubroSEMANA 4Humaytá - Mini Geléia de Maracujá</v>
      </c>
      <c r="AP358" s="7">
        <f>SUMIF(NF!$A:$A,$AO358,NF!$I:$I)</f>
        <v>0</v>
      </c>
      <c r="AQ358" s="6"/>
      <c r="AR358" s="6"/>
      <c r="AS358" s="6"/>
      <c r="AT358" s="6"/>
      <c r="AU358" s="6"/>
      <c r="AV358" s="6"/>
      <c r="AW358" s="6"/>
      <c r="AX358" s="7">
        <f t="shared" si="503"/>
        <v>0</v>
      </c>
      <c r="AY358" s="11">
        <f t="shared" si="370"/>
        <v>4</v>
      </c>
      <c r="AZ358" s="25"/>
      <c r="BA358" s="10" t="str">
        <f t="shared" si="359"/>
        <v>OutubroSEMANA 5Humaytá - Mini Geléia de Maracujá</v>
      </c>
      <c r="BB358" s="7">
        <f>SUMIF(NF!$A:$A,$BA358,NF!$I:$I)</f>
        <v>0</v>
      </c>
      <c r="BC358" s="6"/>
      <c r="BD358" s="6"/>
      <c r="BE358" s="6"/>
      <c r="BF358" s="74"/>
      <c r="BG358" s="74"/>
      <c r="BH358" s="74"/>
      <c r="BI358" s="74"/>
      <c r="BJ358" s="74"/>
      <c r="BK358" s="7">
        <f t="shared" si="504"/>
        <v>0</v>
      </c>
      <c r="BL358" s="8">
        <f t="shared" si="372"/>
        <v>4</v>
      </c>
      <c r="BM358" s="51" t="str">
        <f>IFERROR(VLOOKUP(A358,NF!$M:$O,3,0),"")</f>
        <v>Feirinha</v>
      </c>
      <c r="BN358" s="7">
        <f t="shared" si="373"/>
        <v>0</v>
      </c>
      <c r="BO358" s="8">
        <f t="array" ref="BO358">IFERROR(LARGE(IF(NF!$G$2:$G$3137='Mês atual'!A358,NF!$J$2:$J$3137),1),0)*BN358</f>
        <v>0</v>
      </c>
      <c r="BP358" s="50"/>
      <c r="BR358" s="147">
        <f t="array" ref="BR358">IFERROR(LARGE(IF(NF!$G$2:$G$3137='Mês atual'!A358,NF!$J$2:$J$3137),1),0)</f>
        <v>0</v>
      </c>
      <c r="BS358" s="143" t="str">
        <f>VLOOKUP(A358,NF!M:O,3,0)</f>
        <v>Feirinha</v>
      </c>
    </row>
    <row r="359" spans="1:71" x14ac:dyDescent="0.25">
      <c r="A359" s="108" t="s">
        <v>438</v>
      </c>
      <c r="B359" s="12"/>
      <c r="C359" s="9">
        <v>10</v>
      </c>
      <c r="D359" s="25"/>
      <c r="E359" s="10" t="str">
        <f t="shared" si="347"/>
        <v>OutubroSEMANA 1Humaytá - Mini Geléia de Morango</v>
      </c>
      <c r="F359" s="7">
        <f>SUMIF(NF!$A:$A,$E359,NF!$I:$I)</f>
        <v>0</v>
      </c>
      <c r="G359" s="6"/>
      <c r="H359" s="6"/>
      <c r="I359" s="6"/>
      <c r="J359" s="6"/>
      <c r="K359" s="6"/>
      <c r="L359" s="6"/>
      <c r="M359" s="6"/>
      <c r="N359" s="7">
        <f t="shared" si="500"/>
        <v>0</v>
      </c>
      <c r="O359" s="11">
        <f t="shared" si="364"/>
        <v>10</v>
      </c>
      <c r="P359" s="25"/>
      <c r="Q359" s="10" t="str">
        <f t="shared" si="350"/>
        <v>OutubroSEMANA 2Humaytá - Mini Geléia de Morango</v>
      </c>
      <c r="R359" s="7">
        <f>SUMIF(NF!$A:$A,$Q359,NF!$I:$I)</f>
        <v>0</v>
      </c>
      <c r="S359" s="6"/>
      <c r="T359" s="6"/>
      <c r="U359" s="6"/>
      <c r="V359" s="6"/>
      <c r="W359" s="6"/>
      <c r="X359" s="6"/>
      <c r="Y359" s="6"/>
      <c r="Z359" s="7">
        <f t="shared" si="501"/>
        <v>0</v>
      </c>
      <c r="AA359" s="11">
        <f t="shared" si="366"/>
        <v>10</v>
      </c>
      <c r="AB359" s="25"/>
      <c r="AC359" s="10" t="str">
        <f t="shared" si="353"/>
        <v>OutubroSEMANA 3Humaytá - Mini Geléia de Morango</v>
      </c>
      <c r="AD359" s="7">
        <f>SUMIF(NF!$A:$A,$AC359,NF!$I:$I)</f>
        <v>0</v>
      </c>
      <c r="AE359" s="6"/>
      <c r="AF359" s="6"/>
      <c r="AG359" s="6"/>
      <c r="AH359" s="6"/>
      <c r="AI359" s="6"/>
      <c r="AJ359" s="6"/>
      <c r="AK359" s="6"/>
      <c r="AL359" s="7">
        <f t="shared" si="502"/>
        <v>0</v>
      </c>
      <c r="AM359" s="11">
        <f t="shared" si="368"/>
        <v>10</v>
      </c>
      <c r="AN359" s="25"/>
      <c r="AO359" s="10" t="str">
        <f t="shared" si="356"/>
        <v>OutubroSEMANA 4Humaytá - Mini Geléia de Morango</v>
      </c>
      <c r="AP359" s="7">
        <f>SUMIF(NF!$A:$A,$AO359,NF!$I:$I)</f>
        <v>0</v>
      </c>
      <c r="AQ359" s="6"/>
      <c r="AR359" s="6"/>
      <c r="AS359" s="6"/>
      <c r="AT359" s="6"/>
      <c r="AU359" s="6"/>
      <c r="AV359" s="6"/>
      <c r="AW359" s="6"/>
      <c r="AX359" s="7">
        <f t="shared" si="503"/>
        <v>0</v>
      </c>
      <c r="AY359" s="11">
        <f t="shared" si="370"/>
        <v>10</v>
      </c>
      <c r="AZ359" s="25"/>
      <c r="BA359" s="10" t="str">
        <f t="shared" si="359"/>
        <v>OutubroSEMANA 5Humaytá - Mini Geléia de Morango</v>
      </c>
      <c r="BB359" s="7">
        <f>SUMIF(NF!$A:$A,$BA359,NF!$I:$I)</f>
        <v>0</v>
      </c>
      <c r="BC359" s="6"/>
      <c r="BD359" s="6"/>
      <c r="BE359" s="6"/>
      <c r="BF359" s="74"/>
      <c r="BG359" s="74"/>
      <c r="BH359" s="74"/>
      <c r="BI359" s="74"/>
      <c r="BJ359" s="74"/>
      <c r="BK359" s="7">
        <f t="shared" si="504"/>
        <v>0</v>
      </c>
      <c r="BL359" s="8">
        <f t="shared" si="372"/>
        <v>10</v>
      </c>
      <c r="BM359" s="51" t="str">
        <f>IFERROR(VLOOKUP(A359,NF!$M:$O,3,0),"")</f>
        <v>Feirinha</v>
      </c>
      <c r="BN359" s="7">
        <f t="shared" si="373"/>
        <v>0</v>
      </c>
      <c r="BO359" s="8">
        <f t="array" ref="BO359">IFERROR(LARGE(IF(NF!$G$2:$G$3137='Mês atual'!A359,NF!$J$2:$J$3137),1),0)*BN359</f>
        <v>0</v>
      </c>
      <c r="BP359" s="50"/>
      <c r="BR359" s="147">
        <f t="array" ref="BR359">IFERROR(LARGE(IF(NF!$G$2:$G$3137='Mês atual'!A359,NF!$J$2:$J$3137),1),0)</f>
        <v>0</v>
      </c>
      <c r="BS359" s="143" t="str">
        <f>VLOOKUP(A359,NF!M:O,3,0)</f>
        <v>Feirinha</v>
      </c>
    </row>
    <row r="360" spans="1:71" x14ac:dyDescent="0.25">
      <c r="A360" s="108" t="s">
        <v>439</v>
      </c>
      <c r="B360" s="12"/>
      <c r="C360" s="9">
        <v>3</v>
      </c>
      <c r="D360" s="25"/>
      <c r="E360" s="10" t="str">
        <f t="shared" si="347"/>
        <v>OutubroSEMANA 1Humaytá - Mini Geléia de Tangerina</v>
      </c>
      <c r="F360" s="7">
        <f>SUMIF(NF!$A:$A,$E360,NF!$I:$I)</f>
        <v>0</v>
      </c>
      <c r="G360" s="6"/>
      <c r="H360" s="6"/>
      <c r="I360" s="6"/>
      <c r="J360" s="6"/>
      <c r="K360" s="6"/>
      <c r="L360" s="6"/>
      <c r="M360" s="6"/>
      <c r="N360" s="7">
        <f t="shared" si="500"/>
        <v>0</v>
      </c>
      <c r="O360" s="11">
        <f t="shared" si="364"/>
        <v>3</v>
      </c>
      <c r="P360" s="25"/>
      <c r="Q360" s="10" t="str">
        <f t="shared" si="350"/>
        <v>OutubroSEMANA 2Humaytá - Mini Geléia de Tangerina</v>
      </c>
      <c r="R360" s="7">
        <f>SUMIF(NF!$A:$A,$Q360,NF!$I:$I)</f>
        <v>0</v>
      </c>
      <c r="S360" s="6"/>
      <c r="T360" s="6"/>
      <c r="U360" s="6"/>
      <c r="V360" s="6"/>
      <c r="W360" s="6"/>
      <c r="X360" s="6"/>
      <c r="Y360" s="6"/>
      <c r="Z360" s="7">
        <f t="shared" si="501"/>
        <v>0</v>
      </c>
      <c r="AA360" s="11">
        <f t="shared" si="366"/>
        <v>3</v>
      </c>
      <c r="AB360" s="25"/>
      <c r="AC360" s="10" t="str">
        <f t="shared" si="353"/>
        <v>OutubroSEMANA 3Humaytá - Mini Geléia de Tangerina</v>
      </c>
      <c r="AD360" s="7">
        <f>SUMIF(NF!$A:$A,$AC360,NF!$I:$I)</f>
        <v>0</v>
      </c>
      <c r="AE360" s="6"/>
      <c r="AF360" s="6"/>
      <c r="AG360" s="6"/>
      <c r="AH360" s="6"/>
      <c r="AI360" s="6"/>
      <c r="AJ360" s="6"/>
      <c r="AK360" s="6"/>
      <c r="AL360" s="7">
        <f t="shared" si="502"/>
        <v>0</v>
      </c>
      <c r="AM360" s="11">
        <f t="shared" si="368"/>
        <v>3</v>
      </c>
      <c r="AN360" s="25"/>
      <c r="AO360" s="10" t="str">
        <f t="shared" si="356"/>
        <v>OutubroSEMANA 4Humaytá - Mini Geléia de Tangerina</v>
      </c>
      <c r="AP360" s="7">
        <f>SUMIF(NF!$A:$A,$AO360,NF!$I:$I)</f>
        <v>0</v>
      </c>
      <c r="AQ360" s="6"/>
      <c r="AR360" s="6"/>
      <c r="AS360" s="6"/>
      <c r="AT360" s="6"/>
      <c r="AU360" s="6"/>
      <c r="AV360" s="6"/>
      <c r="AW360" s="6"/>
      <c r="AX360" s="7">
        <f t="shared" si="503"/>
        <v>0</v>
      </c>
      <c r="AY360" s="11">
        <f t="shared" si="370"/>
        <v>3</v>
      </c>
      <c r="AZ360" s="25"/>
      <c r="BA360" s="10" t="str">
        <f t="shared" si="359"/>
        <v>OutubroSEMANA 5Humaytá - Mini Geléia de Tangerina</v>
      </c>
      <c r="BB360" s="7">
        <f>SUMIF(NF!$A:$A,$BA360,NF!$I:$I)</f>
        <v>0</v>
      </c>
      <c r="BC360" s="6"/>
      <c r="BD360" s="6"/>
      <c r="BE360" s="6"/>
      <c r="BF360" s="74"/>
      <c r="BG360" s="74"/>
      <c r="BH360" s="74"/>
      <c r="BI360" s="74"/>
      <c r="BJ360" s="74"/>
      <c r="BK360" s="7">
        <f t="shared" si="504"/>
        <v>0</v>
      </c>
      <c r="BL360" s="8">
        <f t="shared" si="372"/>
        <v>3</v>
      </c>
      <c r="BM360" s="51" t="str">
        <f>IFERROR(VLOOKUP(A360,NF!$M:$O,3,0),"")</f>
        <v>Feirinha</v>
      </c>
      <c r="BN360" s="7">
        <f t="shared" si="373"/>
        <v>0</v>
      </c>
      <c r="BO360" s="8">
        <f t="array" ref="BO360">IFERROR(LARGE(IF(NF!$G$2:$G$3137='Mês atual'!A360,NF!$J$2:$J$3137),1),0)*BN360</f>
        <v>0</v>
      </c>
      <c r="BP360" s="50"/>
      <c r="BR360" s="147">
        <f t="array" ref="BR360">IFERROR(LARGE(IF(NF!$G$2:$G$3137='Mês atual'!A360,NF!$J$2:$J$3137),1),0)</f>
        <v>0</v>
      </c>
      <c r="BS360" s="143" t="str">
        <f>VLOOKUP(A360,NF!M:O,3,0)</f>
        <v>Feirinha</v>
      </c>
    </row>
    <row r="361" spans="1:71" x14ac:dyDescent="0.25">
      <c r="A361" s="108" t="s">
        <v>440</v>
      </c>
      <c r="B361" s="12"/>
      <c r="C361" s="9">
        <v>2</v>
      </c>
      <c r="D361" s="25"/>
      <c r="E361" s="10" t="str">
        <f t="shared" si="347"/>
        <v>OutubroSEMANA 1Humaytá - Molho de Tomate</v>
      </c>
      <c r="F361" s="7">
        <f>SUMIF(NF!$A:$A,$E361,NF!$I:$I)</f>
        <v>0</v>
      </c>
      <c r="G361" s="6"/>
      <c r="H361" s="6"/>
      <c r="I361" s="6"/>
      <c r="J361" s="6"/>
      <c r="K361" s="6"/>
      <c r="L361" s="6"/>
      <c r="M361" s="6"/>
      <c r="N361" s="7">
        <f t="shared" si="500"/>
        <v>0</v>
      </c>
      <c r="O361" s="11">
        <f t="shared" si="364"/>
        <v>2</v>
      </c>
      <c r="P361" s="25"/>
      <c r="Q361" s="10" t="str">
        <f t="shared" si="350"/>
        <v>OutubroSEMANA 2Humaytá - Molho de Tomate</v>
      </c>
      <c r="R361" s="7">
        <f>SUMIF(NF!$A:$A,$Q361,NF!$I:$I)</f>
        <v>0</v>
      </c>
      <c r="S361" s="6"/>
      <c r="T361" s="6"/>
      <c r="U361" s="6"/>
      <c r="V361" s="6"/>
      <c r="W361" s="6"/>
      <c r="X361" s="6"/>
      <c r="Y361" s="6"/>
      <c r="Z361" s="7">
        <f t="shared" si="501"/>
        <v>0</v>
      </c>
      <c r="AA361" s="11">
        <f t="shared" si="366"/>
        <v>2</v>
      </c>
      <c r="AB361" s="25"/>
      <c r="AC361" s="10" t="str">
        <f t="shared" si="353"/>
        <v>OutubroSEMANA 3Humaytá - Molho de Tomate</v>
      </c>
      <c r="AD361" s="7">
        <f>SUMIF(NF!$A:$A,$AC361,NF!$I:$I)</f>
        <v>0</v>
      </c>
      <c r="AE361" s="6"/>
      <c r="AF361" s="6"/>
      <c r="AG361" s="6"/>
      <c r="AH361" s="6"/>
      <c r="AI361" s="6"/>
      <c r="AJ361" s="6"/>
      <c r="AK361" s="6"/>
      <c r="AL361" s="7">
        <f t="shared" si="502"/>
        <v>0</v>
      </c>
      <c r="AM361" s="11">
        <f t="shared" si="368"/>
        <v>2</v>
      </c>
      <c r="AN361" s="25"/>
      <c r="AO361" s="10" t="str">
        <f t="shared" si="356"/>
        <v>OutubroSEMANA 4Humaytá - Molho de Tomate</v>
      </c>
      <c r="AP361" s="7">
        <f>SUMIF(NF!$A:$A,$AO361,NF!$I:$I)</f>
        <v>0</v>
      </c>
      <c r="AQ361" s="6"/>
      <c r="AR361" s="6"/>
      <c r="AS361" s="6"/>
      <c r="AT361" s="6"/>
      <c r="AU361" s="6"/>
      <c r="AV361" s="6"/>
      <c r="AW361" s="6"/>
      <c r="AX361" s="7">
        <f t="shared" si="503"/>
        <v>0</v>
      </c>
      <c r="AY361" s="11">
        <f t="shared" si="370"/>
        <v>2</v>
      </c>
      <c r="AZ361" s="25"/>
      <c r="BA361" s="10" t="str">
        <f t="shared" si="359"/>
        <v>OutubroSEMANA 5Humaytá - Molho de Tomate</v>
      </c>
      <c r="BB361" s="7">
        <f>SUMIF(NF!$A:$A,$BA361,NF!$I:$I)</f>
        <v>0</v>
      </c>
      <c r="BC361" s="6"/>
      <c r="BD361" s="6"/>
      <c r="BE361" s="6"/>
      <c r="BF361" s="74"/>
      <c r="BG361" s="74"/>
      <c r="BH361" s="74"/>
      <c r="BI361" s="74"/>
      <c r="BJ361" s="74"/>
      <c r="BK361" s="7">
        <f t="shared" si="504"/>
        <v>0</v>
      </c>
      <c r="BL361" s="8">
        <f t="shared" si="372"/>
        <v>2</v>
      </c>
      <c r="BM361" s="51" t="str">
        <f>IFERROR(VLOOKUP(A361,NF!$M:$O,3,0),"")</f>
        <v>Feirinha</v>
      </c>
      <c r="BN361" s="7">
        <f t="shared" si="373"/>
        <v>0</v>
      </c>
      <c r="BO361" s="8">
        <f t="array" ref="BO361">IFERROR(LARGE(IF(NF!$G$2:$G$3137='Mês atual'!A361,NF!$J$2:$J$3137),1),0)*BN361</f>
        <v>0</v>
      </c>
      <c r="BP361" s="50"/>
      <c r="BR361" s="147">
        <f t="array" ref="BR361">IFERROR(LARGE(IF(NF!$G$2:$G$3137='Mês atual'!A361,NF!$J$2:$J$3137),1),0)</f>
        <v>0</v>
      </c>
      <c r="BS361" s="143" t="str">
        <f>VLOOKUP(A361,NF!M:O,3,0)</f>
        <v>Feirinha</v>
      </c>
    </row>
    <row r="362" spans="1:71" x14ac:dyDescent="0.25">
      <c r="A362" s="108" t="s">
        <v>441</v>
      </c>
      <c r="B362" s="12"/>
      <c r="C362" s="9">
        <v>1</v>
      </c>
      <c r="D362" s="25"/>
      <c r="E362" s="10" t="str">
        <f t="shared" si="347"/>
        <v>OutubroSEMANA 1Humaytá - Molho de Tomate com Manjericão</v>
      </c>
      <c r="F362" s="7">
        <f>SUMIF(NF!$A:$A,$E362,NF!$I:$I)</f>
        <v>0</v>
      </c>
      <c r="G362" s="6"/>
      <c r="H362" s="6"/>
      <c r="I362" s="6"/>
      <c r="J362" s="6"/>
      <c r="K362" s="6"/>
      <c r="L362" s="6"/>
      <c r="M362" s="6"/>
      <c r="N362" s="7">
        <f t="shared" si="500"/>
        <v>0</v>
      </c>
      <c r="O362" s="11">
        <f t="shared" si="364"/>
        <v>1</v>
      </c>
      <c r="P362" s="25"/>
      <c r="Q362" s="10" t="str">
        <f t="shared" si="350"/>
        <v>OutubroSEMANA 2Humaytá - Molho de Tomate com Manjericão</v>
      </c>
      <c r="R362" s="7">
        <f>SUMIF(NF!$A:$A,$Q362,NF!$I:$I)</f>
        <v>0</v>
      </c>
      <c r="S362" s="6"/>
      <c r="T362" s="6"/>
      <c r="U362" s="6"/>
      <c r="V362" s="6"/>
      <c r="W362" s="6"/>
      <c r="X362" s="6"/>
      <c r="Y362" s="6"/>
      <c r="Z362" s="7">
        <f t="shared" si="501"/>
        <v>0</v>
      </c>
      <c r="AA362" s="11">
        <f t="shared" si="366"/>
        <v>1</v>
      </c>
      <c r="AB362" s="25"/>
      <c r="AC362" s="10" t="str">
        <f t="shared" si="353"/>
        <v>OutubroSEMANA 3Humaytá - Molho de Tomate com Manjericão</v>
      </c>
      <c r="AD362" s="7">
        <f>SUMIF(NF!$A:$A,$AC362,NF!$I:$I)</f>
        <v>0</v>
      </c>
      <c r="AE362" s="6"/>
      <c r="AF362" s="6"/>
      <c r="AG362" s="6"/>
      <c r="AH362" s="6"/>
      <c r="AI362" s="6"/>
      <c r="AJ362" s="6"/>
      <c r="AK362" s="6"/>
      <c r="AL362" s="7">
        <f t="shared" si="502"/>
        <v>0</v>
      </c>
      <c r="AM362" s="11">
        <f t="shared" si="368"/>
        <v>1</v>
      </c>
      <c r="AN362" s="25"/>
      <c r="AO362" s="10" t="str">
        <f t="shared" si="356"/>
        <v>OutubroSEMANA 4Humaytá - Molho de Tomate com Manjericão</v>
      </c>
      <c r="AP362" s="7">
        <f>SUMIF(NF!$A:$A,$AO362,NF!$I:$I)</f>
        <v>0</v>
      </c>
      <c r="AQ362" s="6"/>
      <c r="AR362" s="6"/>
      <c r="AS362" s="6"/>
      <c r="AT362" s="6"/>
      <c r="AU362" s="6"/>
      <c r="AV362" s="6"/>
      <c r="AW362" s="6"/>
      <c r="AX362" s="7">
        <f t="shared" si="503"/>
        <v>0</v>
      </c>
      <c r="AY362" s="11">
        <f t="shared" si="370"/>
        <v>1</v>
      </c>
      <c r="AZ362" s="25"/>
      <c r="BA362" s="10" t="str">
        <f t="shared" si="359"/>
        <v>OutubroSEMANA 5Humaytá - Molho de Tomate com Manjericão</v>
      </c>
      <c r="BB362" s="7">
        <f>SUMIF(NF!$A:$A,$BA362,NF!$I:$I)</f>
        <v>0</v>
      </c>
      <c r="BC362" s="6"/>
      <c r="BD362" s="6"/>
      <c r="BE362" s="6"/>
      <c r="BF362" s="74"/>
      <c r="BG362" s="74"/>
      <c r="BH362" s="74"/>
      <c r="BI362" s="74"/>
      <c r="BJ362" s="74"/>
      <c r="BK362" s="7">
        <f t="shared" si="504"/>
        <v>0</v>
      </c>
      <c r="BL362" s="8">
        <f t="shared" si="372"/>
        <v>1</v>
      </c>
      <c r="BM362" s="51" t="str">
        <f>IFERROR(VLOOKUP(A362,NF!$M:$O,3,0),"")</f>
        <v>Feirinha</v>
      </c>
      <c r="BN362" s="7">
        <f t="shared" si="373"/>
        <v>0</v>
      </c>
      <c r="BO362" s="8">
        <f t="array" ref="BO362">IFERROR(LARGE(IF(NF!$G$2:$G$3137='Mês atual'!A362,NF!$J$2:$J$3137),1),0)*BN362</f>
        <v>0</v>
      </c>
      <c r="BP362" s="50"/>
      <c r="BR362" s="147">
        <f t="array" ref="BR362">IFERROR(LARGE(IF(NF!$G$2:$G$3137='Mês atual'!A362,NF!$J$2:$J$3137),1),0)</f>
        <v>0</v>
      </c>
      <c r="BS362" s="143" t="str">
        <f>VLOOKUP(A362,NF!M:O,3,0)</f>
        <v>Feirinha</v>
      </c>
    </row>
    <row r="363" spans="1:71" x14ac:dyDescent="0.25">
      <c r="A363" s="108" t="s">
        <v>1021</v>
      </c>
      <c r="B363" s="12"/>
      <c r="C363" s="9">
        <v>1</v>
      </c>
      <c r="D363" s="25"/>
      <c r="E363" s="10" t="str">
        <f t="shared" si="347"/>
        <v>OutubroSEMANA 1Humaytá - Molho de Tomate Picante</v>
      </c>
      <c r="F363" s="7">
        <f>SUMIF(NF!$A:$A,$E363,NF!$I:$I)</f>
        <v>0</v>
      </c>
      <c r="G363" s="6"/>
      <c r="H363" s="6"/>
      <c r="I363" s="6"/>
      <c r="J363" s="6"/>
      <c r="K363" s="6"/>
      <c r="L363" s="6"/>
      <c r="M363" s="6"/>
      <c r="N363" s="7">
        <f t="shared" ref="N363" si="516">SUM(G363:M363)</f>
        <v>0</v>
      </c>
      <c r="O363" s="11">
        <f t="shared" ref="O363" si="517">F363+C363-N363</f>
        <v>1</v>
      </c>
      <c r="P363" s="25"/>
      <c r="Q363" s="10" t="str">
        <f t="shared" si="350"/>
        <v>OutubroSEMANA 2Humaytá - Molho de Tomate Picante</v>
      </c>
      <c r="R363" s="7">
        <f>SUMIF(NF!$A:$A,$Q363,NF!$I:$I)</f>
        <v>0</v>
      </c>
      <c r="S363" s="6"/>
      <c r="T363" s="6"/>
      <c r="U363" s="6"/>
      <c r="V363" s="6"/>
      <c r="W363" s="6"/>
      <c r="X363" s="6"/>
      <c r="Y363" s="6"/>
      <c r="Z363" s="7">
        <f t="shared" ref="Z363" si="518">SUM(S363:Y363)</f>
        <v>0</v>
      </c>
      <c r="AA363" s="11">
        <f t="shared" ref="AA363" si="519">R363+O363-Z363</f>
        <v>1</v>
      </c>
      <c r="AB363" s="25"/>
      <c r="AC363" s="10" t="str">
        <f t="shared" si="353"/>
        <v>OutubroSEMANA 3Humaytá - Molho de Tomate Picante</v>
      </c>
      <c r="AD363" s="7">
        <f>SUMIF(NF!$A:$A,$AC363,NF!$I:$I)</f>
        <v>0</v>
      </c>
      <c r="AE363" s="6"/>
      <c r="AF363" s="6"/>
      <c r="AG363" s="6"/>
      <c r="AH363" s="6"/>
      <c r="AI363" s="6"/>
      <c r="AJ363" s="6"/>
      <c r="AK363" s="6"/>
      <c r="AL363" s="7">
        <f t="shared" ref="AL363" si="520">SUM(AE363:AK363)</f>
        <v>0</v>
      </c>
      <c r="AM363" s="11">
        <f t="shared" ref="AM363" si="521">AD363+AA363-AL363</f>
        <v>1</v>
      </c>
      <c r="AN363" s="25"/>
      <c r="AO363" s="10" t="str">
        <f t="shared" si="356"/>
        <v>OutubroSEMANA 4Humaytá - Molho de Tomate Picante</v>
      </c>
      <c r="AP363" s="7">
        <f>SUMIF(NF!$A:$A,$AO363,NF!$I:$I)</f>
        <v>0</v>
      </c>
      <c r="AQ363" s="6"/>
      <c r="AR363" s="6"/>
      <c r="AS363" s="6"/>
      <c r="AT363" s="6"/>
      <c r="AU363" s="6"/>
      <c r="AV363" s="6"/>
      <c r="AW363" s="6"/>
      <c r="AX363" s="7">
        <f t="shared" ref="AX363" si="522">SUM(AQ363:AW363)</f>
        <v>0</v>
      </c>
      <c r="AY363" s="11">
        <f t="shared" ref="AY363" si="523">AP363+AM363-AX363</f>
        <v>1</v>
      </c>
      <c r="AZ363" s="25"/>
      <c r="BA363" s="10" t="str">
        <f t="shared" si="359"/>
        <v>OutubroSEMANA 5Humaytá - Molho de Tomate Picante</v>
      </c>
      <c r="BB363" s="7">
        <f>SUMIF(NF!$A:$A,$BA363,NF!$I:$I)</f>
        <v>0</v>
      </c>
      <c r="BC363" s="6"/>
      <c r="BD363" s="6"/>
      <c r="BE363" s="6"/>
      <c r="BF363" s="74"/>
      <c r="BG363" s="74"/>
      <c r="BH363" s="74"/>
      <c r="BI363" s="74"/>
      <c r="BJ363" s="74"/>
      <c r="BK363" s="7">
        <f t="shared" ref="BK363" si="524">SUM(BC363:BJ363)</f>
        <v>0</v>
      </c>
      <c r="BL363" s="8">
        <f t="shared" ref="BL363" si="525">BB363+AY363-BK363</f>
        <v>1</v>
      </c>
      <c r="BM363" s="51" t="str">
        <f>IFERROR(VLOOKUP(A363,NF!$M:$O,3,0),"")</f>
        <v>Feirinha</v>
      </c>
      <c r="BN363" s="7">
        <f t="shared" ref="BN363" si="526">SUM(N363,Z363,AL363,AX363,BK363)</f>
        <v>0</v>
      </c>
      <c r="BO363" s="8">
        <f t="array" ref="BO363">IFERROR(LARGE(IF(NF!$G$2:$G$3137='Mês atual'!A363,NF!$J$2:$J$3137),1),0)*BN363</f>
        <v>0</v>
      </c>
      <c r="BP363" s="50"/>
      <c r="BR363" s="147">
        <f t="array" ref="BR363">IFERROR(LARGE(IF(NF!$G$2:$G$3137='Mês atual'!A363,NF!$J$2:$J$3137),1),0)</f>
        <v>0</v>
      </c>
      <c r="BS363" s="143" t="str">
        <f>VLOOKUP(A363,NF!M:O,3,0)</f>
        <v>Feirinha</v>
      </c>
    </row>
    <row r="364" spans="1:71" x14ac:dyDescent="0.25">
      <c r="A364" s="108" t="s">
        <v>951</v>
      </c>
      <c r="B364" s="12"/>
      <c r="C364" s="9"/>
      <c r="D364" s="25"/>
      <c r="E364" s="10" t="str">
        <f t="shared" si="347"/>
        <v>OutubroSEMANA 1Humayta - Mostarda de Frutas</v>
      </c>
      <c r="F364" s="7">
        <f>SUMIF(NF!$A:$A,$E364,NF!$I:$I)</f>
        <v>0</v>
      </c>
      <c r="G364" s="6"/>
      <c r="H364" s="6"/>
      <c r="I364" s="6"/>
      <c r="J364" s="6"/>
      <c r="K364" s="6"/>
      <c r="L364" s="6"/>
      <c r="M364" s="6"/>
      <c r="N364" s="7">
        <f t="shared" ref="N364" si="527">SUM(G364:M364)</f>
        <v>0</v>
      </c>
      <c r="O364" s="11">
        <f t="shared" si="364"/>
        <v>0</v>
      </c>
      <c r="P364" s="25"/>
      <c r="Q364" s="10" t="str">
        <f t="shared" si="350"/>
        <v>OutubroSEMANA 2Humayta - Mostarda de Frutas</v>
      </c>
      <c r="R364" s="7">
        <f>SUMIF(NF!$A:$A,$Q364,NF!$I:$I)</f>
        <v>0</v>
      </c>
      <c r="S364" s="6"/>
      <c r="T364" s="6"/>
      <c r="U364" s="6"/>
      <c r="V364" s="6"/>
      <c r="W364" s="6"/>
      <c r="X364" s="6"/>
      <c r="Y364" s="6"/>
      <c r="Z364" s="7">
        <f t="shared" ref="Z364" si="528">SUM(S364:Y364)</f>
        <v>0</v>
      </c>
      <c r="AA364" s="11">
        <f t="shared" si="366"/>
        <v>0</v>
      </c>
      <c r="AB364" s="25"/>
      <c r="AC364" s="10" t="str">
        <f t="shared" si="353"/>
        <v>OutubroSEMANA 3Humayta - Mostarda de Frutas</v>
      </c>
      <c r="AD364" s="7">
        <f>SUMIF(NF!$A:$A,$AC364,NF!$I:$I)</f>
        <v>0</v>
      </c>
      <c r="AE364" s="6"/>
      <c r="AF364" s="6"/>
      <c r="AG364" s="6"/>
      <c r="AH364" s="6"/>
      <c r="AI364" s="6"/>
      <c r="AJ364" s="6"/>
      <c r="AK364" s="6"/>
      <c r="AL364" s="7">
        <f t="shared" ref="AL364" si="529">SUM(AE364:AK364)</f>
        <v>0</v>
      </c>
      <c r="AM364" s="11">
        <f t="shared" si="368"/>
        <v>0</v>
      </c>
      <c r="AN364" s="25"/>
      <c r="AO364" s="10" t="str">
        <f t="shared" si="356"/>
        <v>OutubroSEMANA 4Humayta - Mostarda de Frutas</v>
      </c>
      <c r="AP364" s="7">
        <f>SUMIF(NF!$A:$A,$AO364,NF!$I:$I)</f>
        <v>0</v>
      </c>
      <c r="AQ364" s="6"/>
      <c r="AR364" s="6"/>
      <c r="AS364" s="6"/>
      <c r="AT364" s="6"/>
      <c r="AU364" s="6"/>
      <c r="AV364" s="6"/>
      <c r="AW364" s="6"/>
      <c r="AX364" s="7">
        <f t="shared" ref="AX364" si="530">SUM(AQ364:AW364)</f>
        <v>0</v>
      </c>
      <c r="AY364" s="11">
        <f t="shared" si="370"/>
        <v>0</v>
      </c>
      <c r="AZ364" s="25"/>
      <c r="BA364" s="10" t="str">
        <f t="shared" si="359"/>
        <v>OutubroSEMANA 5Humayta - Mostarda de Frutas</v>
      </c>
      <c r="BB364" s="7">
        <f>SUMIF(NF!$A:$A,$BA364,NF!$I:$I)</f>
        <v>0</v>
      </c>
      <c r="BC364" s="6"/>
      <c r="BD364" s="6"/>
      <c r="BE364" s="6"/>
      <c r="BF364" s="74"/>
      <c r="BG364" s="74"/>
      <c r="BH364" s="74"/>
      <c r="BI364" s="74"/>
      <c r="BJ364" s="74"/>
      <c r="BK364" s="7">
        <f t="shared" ref="BK364" si="531">SUM(BC364:BJ364)</f>
        <v>0</v>
      </c>
      <c r="BL364" s="8">
        <f t="shared" si="372"/>
        <v>0</v>
      </c>
      <c r="BM364" s="51" t="str">
        <f>IFERROR(VLOOKUP(A364,NF!$M:$O,3,0),"")</f>
        <v>Feirinha</v>
      </c>
      <c r="BN364" s="7">
        <f t="shared" si="373"/>
        <v>0</v>
      </c>
      <c r="BO364" s="8">
        <f t="array" ref="BO364">IFERROR(LARGE(IF(NF!$G$2:$G$3137='Mês atual'!A364,NF!$J$2:$J$3137),1),0)*BN364</f>
        <v>0</v>
      </c>
      <c r="BP364" s="50"/>
      <c r="BR364" s="147">
        <f t="array" ref="BR364">IFERROR(LARGE(IF(NF!$G$2:$G$3137='Mês atual'!A364,NF!$J$2:$J$3137),1),0)</f>
        <v>0</v>
      </c>
      <c r="BS364" s="143" t="str">
        <f>VLOOKUP(A364,NF!M:O,3,0)</f>
        <v>Feirinha</v>
      </c>
    </row>
    <row r="365" spans="1:71" x14ac:dyDescent="0.25">
      <c r="A365" s="108" t="s">
        <v>442</v>
      </c>
      <c r="B365" s="12"/>
      <c r="C365" s="9"/>
      <c r="D365" s="25"/>
      <c r="E365" s="10" t="str">
        <f t="shared" si="347"/>
        <v>OutubroSEMANA 1Humaytá - Papos de Anjo</v>
      </c>
      <c r="F365" s="7">
        <f>SUMIF(NF!$A:$A,$E365,NF!$I:$I)</f>
        <v>0</v>
      </c>
      <c r="G365" s="6"/>
      <c r="H365" s="6"/>
      <c r="I365" s="6"/>
      <c r="J365" s="6"/>
      <c r="K365" s="6"/>
      <c r="L365" s="6"/>
      <c r="M365" s="6"/>
      <c r="N365" s="7">
        <f t="shared" ref="N365:N369" si="532">SUM(G365:M365)</f>
        <v>0</v>
      </c>
      <c r="O365" s="11">
        <f t="shared" si="364"/>
        <v>0</v>
      </c>
      <c r="P365" s="25"/>
      <c r="Q365" s="10" t="str">
        <f t="shared" si="350"/>
        <v>OutubroSEMANA 2Humaytá - Papos de Anjo</v>
      </c>
      <c r="R365" s="7">
        <f>SUMIF(NF!$A:$A,$Q365,NF!$I:$I)</f>
        <v>0</v>
      </c>
      <c r="S365" s="6"/>
      <c r="T365" s="6"/>
      <c r="U365" s="6"/>
      <c r="V365" s="6"/>
      <c r="W365" s="6"/>
      <c r="X365" s="6"/>
      <c r="Y365" s="6"/>
      <c r="Z365" s="7">
        <f t="shared" ref="Z365:Z369" si="533">SUM(S365:Y365)</f>
        <v>0</v>
      </c>
      <c r="AA365" s="11">
        <f t="shared" si="366"/>
        <v>0</v>
      </c>
      <c r="AB365" s="25"/>
      <c r="AC365" s="10" t="str">
        <f t="shared" si="353"/>
        <v>OutubroSEMANA 3Humaytá - Papos de Anjo</v>
      </c>
      <c r="AD365" s="7">
        <f>SUMIF(NF!$A:$A,$AC365,NF!$I:$I)</f>
        <v>0</v>
      </c>
      <c r="AE365" s="6"/>
      <c r="AF365" s="6"/>
      <c r="AG365" s="6"/>
      <c r="AH365" s="6"/>
      <c r="AI365" s="6"/>
      <c r="AJ365" s="6"/>
      <c r="AK365" s="6"/>
      <c r="AL365" s="7">
        <f t="shared" ref="AL365:AL369" si="534">SUM(AE365:AK365)</f>
        <v>0</v>
      </c>
      <c r="AM365" s="11">
        <f t="shared" si="368"/>
        <v>0</v>
      </c>
      <c r="AN365" s="25"/>
      <c r="AO365" s="10" t="str">
        <f t="shared" si="356"/>
        <v>OutubroSEMANA 4Humaytá - Papos de Anjo</v>
      </c>
      <c r="AP365" s="7">
        <f>SUMIF(NF!$A:$A,$AO365,NF!$I:$I)</f>
        <v>0</v>
      </c>
      <c r="AQ365" s="6"/>
      <c r="AR365" s="6"/>
      <c r="AS365" s="6"/>
      <c r="AT365" s="6"/>
      <c r="AU365" s="6"/>
      <c r="AV365" s="6"/>
      <c r="AW365" s="6"/>
      <c r="AX365" s="7">
        <f t="shared" ref="AX365:AX369" si="535">SUM(AQ365:AW365)</f>
        <v>0</v>
      </c>
      <c r="AY365" s="11">
        <f t="shared" si="370"/>
        <v>0</v>
      </c>
      <c r="AZ365" s="25"/>
      <c r="BA365" s="10" t="str">
        <f t="shared" si="359"/>
        <v>OutubroSEMANA 5Humaytá - Papos de Anjo</v>
      </c>
      <c r="BB365" s="7">
        <f>SUMIF(NF!$A:$A,$BA365,NF!$I:$I)</f>
        <v>0</v>
      </c>
      <c r="BC365" s="6"/>
      <c r="BD365" s="6"/>
      <c r="BE365" s="6"/>
      <c r="BF365" s="74"/>
      <c r="BG365" s="74"/>
      <c r="BH365" s="74"/>
      <c r="BI365" s="74"/>
      <c r="BJ365" s="74"/>
      <c r="BK365" s="7">
        <f t="shared" ref="BK365:BK369" si="536">SUM(BC365:BJ365)</f>
        <v>0</v>
      </c>
      <c r="BL365" s="8">
        <f t="shared" si="372"/>
        <v>0</v>
      </c>
      <c r="BM365" s="51" t="str">
        <f>IFERROR(VLOOKUP(A365,NF!$M:$O,3,0),"")</f>
        <v>Feirinha</v>
      </c>
      <c r="BN365" s="7">
        <f t="shared" si="373"/>
        <v>0</v>
      </c>
      <c r="BO365" s="8">
        <f t="array" ref="BO365">IFERROR(LARGE(IF(NF!$G$2:$G$3137='Mês atual'!A365,NF!$J$2:$J$3137),1),0)*BN365</f>
        <v>0</v>
      </c>
      <c r="BP365" s="50"/>
      <c r="BR365" s="147">
        <f t="array" ref="BR365">IFERROR(LARGE(IF(NF!$G$2:$G$3137='Mês atual'!A365,NF!$J$2:$J$3137),1),0)</f>
        <v>0</v>
      </c>
      <c r="BS365" s="143" t="str">
        <f>VLOOKUP(A365,NF!M:O,3,0)</f>
        <v>Feirinha</v>
      </c>
    </row>
    <row r="366" spans="1:71" x14ac:dyDescent="0.25">
      <c r="A366" s="108" t="s">
        <v>1022</v>
      </c>
      <c r="B366" s="12"/>
      <c r="C366" s="9"/>
      <c r="D366" s="25"/>
      <c r="E366" s="10" t="str">
        <f t="shared" si="347"/>
        <v>OutubroSEMANA 1Humaytá - Pepino Agridoce</v>
      </c>
      <c r="F366" s="7">
        <f>SUMIF(NF!$A:$A,$E366,NF!$I:$I)</f>
        <v>0</v>
      </c>
      <c r="G366" s="6"/>
      <c r="H366" s="6"/>
      <c r="I366" s="6"/>
      <c r="J366" s="6"/>
      <c r="K366" s="6"/>
      <c r="L366" s="6"/>
      <c r="M366" s="6"/>
      <c r="N366" s="7">
        <f t="shared" si="532"/>
        <v>0</v>
      </c>
      <c r="O366" s="11">
        <f t="shared" si="364"/>
        <v>0</v>
      </c>
      <c r="P366" s="25"/>
      <c r="Q366" s="10" t="str">
        <f t="shared" si="350"/>
        <v>OutubroSEMANA 2Humaytá - Pepino Agridoce</v>
      </c>
      <c r="R366" s="7">
        <f>SUMIF(NF!$A:$A,$Q366,NF!$I:$I)</f>
        <v>0</v>
      </c>
      <c r="S366" s="6"/>
      <c r="T366" s="6"/>
      <c r="U366" s="6"/>
      <c r="V366" s="6"/>
      <c r="W366" s="6"/>
      <c r="X366" s="6"/>
      <c r="Y366" s="6"/>
      <c r="Z366" s="7">
        <f t="shared" si="533"/>
        <v>0</v>
      </c>
      <c r="AA366" s="11">
        <f t="shared" si="366"/>
        <v>0</v>
      </c>
      <c r="AB366" s="25"/>
      <c r="AC366" s="10" t="str">
        <f t="shared" si="353"/>
        <v>OutubroSEMANA 3Humaytá - Pepino Agridoce</v>
      </c>
      <c r="AD366" s="7">
        <f>SUMIF(NF!$A:$A,$AC366,NF!$I:$I)</f>
        <v>0</v>
      </c>
      <c r="AE366" s="6"/>
      <c r="AF366" s="6"/>
      <c r="AG366" s="6"/>
      <c r="AH366" s="6"/>
      <c r="AI366" s="6"/>
      <c r="AJ366" s="6"/>
      <c r="AK366" s="6"/>
      <c r="AL366" s="7">
        <f t="shared" si="534"/>
        <v>0</v>
      </c>
      <c r="AM366" s="11">
        <f t="shared" si="368"/>
        <v>0</v>
      </c>
      <c r="AN366" s="25"/>
      <c r="AO366" s="10" t="str">
        <f t="shared" si="356"/>
        <v>OutubroSEMANA 4Humaytá - Pepino Agridoce</v>
      </c>
      <c r="AP366" s="7">
        <f>SUMIF(NF!$A:$A,$AO366,NF!$I:$I)</f>
        <v>0</v>
      </c>
      <c r="AQ366" s="6"/>
      <c r="AR366" s="6"/>
      <c r="AS366" s="6"/>
      <c r="AT366" s="6"/>
      <c r="AU366" s="6"/>
      <c r="AV366" s="6"/>
      <c r="AW366" s="6"/>
      <c r="AX366" s="7">
        <f t="shared" si="535"/>
        <v>0</v>
      </c>
      <c r="AY366" s="11">
        <f t="shared" si="370"/>
        <v>0</v>
      </c>
      <c r="AZ366" s="25"/>
      <c r="BA366" s="10" t="str">
        <f t="shared" si="359"/>
        <v>OutubroSEMANA 5Humaytá - Pepino Agridoce</v>
      </c>
      <c r="BB366" s="7">
        <f>SUMIF(NF!$A:$A,$BA366,NF!$I:$I)</f>
        <v>0</v>
      </c>
      <c r="BC366" s="6"/>
      <c r="BD366" s="6"/>
      <c r="BE366" s="6"/>
      <c r="BF366" s="74"/>
      <c r="BG366" s="74"/>
      <c r="BH366" s="74"/>
      <c r="BI366" s="74"/>
      <c r="BJ366" s="74"/>
      <c r="BK366" s="7">
        <f t="shared" si="536"/>
        <v>0</v>
      </c>
      <c r="BL366" s="8">
        <f t="shared" si="372"/>
        <v>0</v>
      </c>
      <c r="BM366" s="51" t="str">
        <f>IFERROR(VLOOKUP(A366,NF!$M:$O,3,0),"")</f>
        <v>Feirinha</v>
      </c>
      <c r="BN366" s="7">
        <f t="shared" si="373"/>
        <v>0</v>
      </c>
      <c r="BO366" s="8">
        <f t="array" ref="BO366">IFERROR(LARGE(IF(NF!$G$2:$G$3137='Mês atual'!A366,NF!$J$2:$J$3137),1),0)*BN366</f>
        <v>0</v>
      </c>
      <c r="BP366" s="50"/>
      <c r="BR366" s="147">
        <f t="array" ref="BR366">IFERROR(LARGE(IF(NF!$G$2:$G$3137='Mês atual'!A366,NF!$J$2:$J$3137),1),0)</f>
        <v>0</v>
      </c>
      <c r="BS366" s="143" t="str">
        <f>VLOOKUP(A366,NF!M:O,3,0)</f>
        <v>Feirinha</v>
      </c>
    </row>
    <row r="367" spans="1:71" x14ac:dyDescent="0.25">
      <c r="A367" s="108" t="s">
        <v>1016</v>
      </c>
      <c r="B367" s="12"/>
      <c r="C367" s="9"/>
      <c r="D367" s="25"/>
      <c r="E367" s="10" t="str">
        <f t="shared" si="347"/>
        <v>OutubroSEMANA 1Laranja Lima Org. Feirinha</v>
      </c>
      <c r="F367" s="7">
        <f>SUMIF(NF!$A:$A,$E367,NF!$I:$I)</f>
        <v>0</v>
      </c>
      <c r="G367" s="6"/>
      <c r="H367" s="6"/>
      <c r="I367" s="6"/>
      <c r="J367" s="6"/>
      <c r="K367" s="6"/>
      <c r="L367" s="6"/>
      <c r="M367" s="6"/>
      <c r="N367" s="7">
        <f t="shared" ref="N367:N368" si="537">SUM(G367:M367)</f>
        <v>0</v>
      </c>
      <c r="O367" s="11">
        <f t="shared" ref="O367:O368" si="538">F367+C367-N367</f>
        <v>0</v>
      </c>
      <c r="P367" s="25"/>
      <c r="Q367" s="10" t="str">
        <f t="shared" si="350"/>
        <v>OutubroSEMANA 2Laranja Lima Org. Feirinha</v>
      </c>
      <c r="R367" s="7">
        <f>SUMIF(NF!$A:$A,$Q367,NF!$I:$I)</f>
        <v>0</v>
      </c>
      <c r="S367" s="6"/>
      <c r="T367" s="6"/>
      <c r="U367" s="6"/>
      <c r="V367" s="6"/>
      <c r="W367" s="6"/>
      <c r="X367" s="6"/>
      <c r="Y367" s="6"/>
      <c r="Z367" s="7">
        <f t="shared" ref="Z367:Z368" si="539">SUM(S367:Y367)</f>
        <v>0</v>
      </c>
      <c r="AA367" s="11">
        <f t="shared" ref="AA367:AA368" si="540">R367+O367-Z367</f>
        <v>0</v>
      </c>
      <c r="AB367" s="25"/>
      <c r="AC367" s="10" t="str">
        <f t="shared" si="353"/>
        <v>OutubroSEMANA 3Laranja Lima Org. Feirinha</v>
      </c>
      <c r="AD367" s="7">
        <f>SUMIF(NF!$A:$A,$AC367,NF!$I:$I)</f>
        <v>0</v>
      </c>
      <c r="AE367" s="6"/>
      <c r="AF367" s="6"/>
      <c r="AG367" s="6"/>
      <c r="AH367" s="6"/>
      <c r="AI367" s="6"/>
      <c r="AJ367" s="6"/>
      <c r="AK367" s="6"/>
      <c r="AL367" s="7">
        <f t="shared" ref="AL367:AL368" si="541">SUM(AE367:AK367)</f>
        <v>0</v>
      </c>
      <c r="AM367" s="11">
        <f t="shared" ref="AM367:AM368" si="542">AD367+AA367-AL367</f>
        <v>0</v>
      </c>
      <c r="AN367" s="25"/>
      <c r="AO367" s="10" t="str">
        <f t="shared" si="356"/>
        <v>OutubroSEMANA 4Laranja Lima Org. Feirinha</v>
      </c>
      <c r="AP367" s="7">
        <f>SUMIF(NF!$A:$A,$AO367,NF!$I:$I)</f>
        <v>0</v>
      </c>
      <c r="AQ367" s="6"/>
      <c r="AR367" s="6"/>
      <c r="AS367" s="6"/>
      <c r="AT367" s="6"/>
      <c r="AU367" s="6"/>
      <c r="AV367" s="6"/>
      <c r="AW367" s="6"/>
      <c r="AX367" s="7">
        <f t="shared" ref="AX367:AX368" si="543">SUM(AQ367:AW367)</f>
        <v>0</v>
      </c>
      <c r="AY367" s="11">
        <f t="shared" ref="AY367:AY368" si="544">AP367+AM367-AX367</f>
        <v>0</v>
      </c>
      <c r="AZ367" s="25"/>
      <c r="BA367" s="10" t="str">
        <f t="shared" si="359"/>
        <v>OutubroSEMANA 5Laranja Lima Org. Feirinha</v>
      </c>
      <c r="BB367" s="7">
        <f>SUMIF(NF!$A:$A,$BA367,NF!$I:$I)</f>
        <v>0</v>
      </c>
      <c r="BC367" s="6"/>
      <c r="BD367" s="6"/>
      <c r="BE367" s="6"/>
      <c r="BF367" s="74"/>
      <c r="BG367" s="74"/>
      <c r="BH367" s="74"/>
      <c r="BI367" s="74"/>
      <c r="BJ367" s="74"/>
      <c r="BK367" s="7">
        <f t="shared" ref="BK367:BK368" si="545">SUM(BC367:BJ367)</f>
        <v>0</v>
      </c>
      <c r="BL367" s="8">
        <f t="shared" ref="BL367:BL368" si="546">BB367+AY367-BK367</f>
        <v>0</v>
      </c>
      <c r="BM367" s="51" t="str">
        <f>IFERROR(VLOOKUP(A367,NF!$M:$O,3,0),"")</f>
        <v>Feirinha</v>
      </c>
      <c r="BN367" s="7">
        <f t="shared" ref="BN367:BN368" si="547">SUM(N367,Z367,AL367,AX367,BK367)</f>
        <v>0</v>
      </c>
      <c r="BO367" s="8">
        <f t="array" ref="BO367">IFERROR(LARGE(IF(NF!$G$2:$G$3137='Mês atual'!A367,NF!$J$2:$J$3137),1),0)*BN367</f>
        <v>0</v>
      </c>
      <c r="BP367" s="50"/>
      <c r="BR367" s="147">
        <f t="array" ref="BR367">IFERROR(LARGE(IF(NF!$G$2:$G$3137='Mês atual'!A367,NF!$J$2:$J$3137),1),0)</f>
        <v>0</v>
      </c>
      <c r="BS367" s="143" t="str">
        <f>VLOOKUP(A367,NF!M:O,3,0)</f>
        <v>Feirinha</v>
      </c>
    </row>
    <row r="368" spans="1:71" x14ac:dyDescent="0.25">
      <c r="A368" s="108" t="s">
        <v>1017</v>
      </c>
      <c r="B368" s="12"/>
      <c r="C368" s="9"/>
      <c r="D368" s="25"/>
      <c r="E368" s="10" t="str">
        <f t="shared" si="347"/>
        <v>OutubroSEMANA 1Laranja Pera Org. Feirinha</v>
      </c>
      <c r="F368" s="7">
        <f>SUMIF(NF!$A:$A,$E368,NF!$I:$I)</f>
        <v>0</v>
      </c>
      <c r="G368" s="6"/>
      <c r="H368" s="6"/>
      <c r="I368" s="6"/>
      <c r="J368" s="6"/>
      <c r="K368" s="6"/>
      <c r="L368" s="6"/>
      <c r="M368" s="6"/>
      <c r="N368" s="7">
        <f t="shared" si="537"/>
        <v>0</v>
      </c>
      <c r="O368" s="11">
        <f t="shared" si="538"/>
        <v>0</v>
      </c>
      <c r="P368" s="25"/>
      <c r="Q368" s="10" t="str">
        <f t="shared" si="350"/>
        <v>OutubroSEMANA 2Laranja Pera Org. Feirinha</v>
      </c>
      <c r="R368" s="7">
        <f>SUMIF(NF!$A:$A,$Q368,NF!$I:$I)</f>
        <v>0</v>
      </c>
      <c r="S368" s="6"/>
      <c r="T368" s="6"/>
      <c r="U368" s="6"/>
      <c r="V368" s="6"/>
      <c r="W368" s="6"/>
      <c r="X368" s="6"/>
      <c r="Y368" s="6"/>
      <c r="Z368" s="7">
        <f t="shared" si="539"/>
        <v>0</v>
      </c>
      <c r="AA368" s="11">
        <f t="shared" si="540"/>
        <v>0</v>
      </c>
      <c r="AB368" s="25"/>
      <c r="AC368" s="10" t="str">
        <f t="shared" si="353"/>
        <v>OutubroSEMANA 3Laranja Pera Org. Feirinha</v>
      </c>
      <c r="AD368" s="7">
        <f>SUMIF(NF!$A:$A,$AC368,NF!$I:$I)</f>
        <v>0</v>
      </c>
      <c r="AE368" s="6"/>
      <c r="AF368" s="6"/>
      <c r="AG368" s="6"/>
      <c r="AH368" s="6"/>
      <c r="AI368" s="6"/>
      <c r="AJ368" s="6"/>
      <c r="AK368" s="6"/>
      <c r="AL368" s="7">
        <f t="shared" si="541"/>
        <v>0</v>
      </c>
      <c r="AM368" s="11">
        <f t="shared" si="542"/>
        <v>0</v>
      </c>
      <c r="AN368" s="25"/>
      <c r="AO368" s="10" t="str">
        <f t="shared" si="356"/>
        <v>OutubroSEMANA 4Laranja Pera Org. Feirinha</v>
      </c>
      <c r="AP368" s="7">
        <f>SUMIF(NF!$A:$A,$AO368,NF!$I:$I)</f>
        <v>0</v>
      </c>
      <c r="AQ368" s="6"/>
      <c r="AR368" s="6"/>
      <c r="AS368" s="6"/>
      <c r="AT368" s="6"/>
      <c r="AU368" s="6"/>
      <c r="AV368" s="6"/>
      <c r="AW368" s="6"/>
      <c r="AX368" s="7">
        <f t="shared" si="543"/>
        <v>0</v>
      </c>
      <c r="AY368" s="11">
        <f t="shared" si="544"/>
        <v>0</v>
      </c>
      <c r="AZ368" s="25"/>
      <c r="BA368" s="10" t="str">
        <f t="shared" si="359"/>
        <v>OutubroSEMANA 5Laranja Pera Org. Feirinha</v>
      </c>
      <c r="BB368" s="7">
        <f>SUMIF(NF!$A:$A,$BA368,NF!$I:$I)</f>
        <v>0</v>
      </c>
      <c r="BC368" s="6"/>
      <c r="BD368" s="6"/>
      <c r="BE368" s="6"/>
      <c r="BF368" s="74"/>
      <c r="BG368" s="74"/>
      <c r="BH368" s="74"/>
      <c r="BI368" s="74"/>
      <c r="BJ368" s="74"/>
      <c r="BK368" s="7">
        <f t="shared" si="545"/>
        <v>0</v>
      </c>
      <c r="BL368" s="8">
        <f t="shared" si="546"/>
        <v>0</v>
      </c>
      <c r="BM368" s="51" t="str">
        <f>IFERROR(VLOOKUP(A368,NF!$M:$O,3,0),"")</f>
        <v>Feirinha</v>
      </c>
      <c r="BN368" s="7">
        <f t="shared" si="547"/>
        <v>0</v>
      </c>
      <c r="BO368" s="8">
        <f t="array" ref="BO368">IFERROR(LARGE(IF(NF!$G$2:$G$3137='Mês atual'!A368,NF!$J$2:$J$3137),1),0)*BN368</f>
        <v>0</v>
      </c>
      <c r="BP368" s="50"/>
      <c r="BR368" s="147">
        <f t="array" ref="BR368">IFERROR(LARGE(IF(NF!$G$2:$G$3137='Mês atual'!A368,NF!$J$2:$J$3137),1),0)</f>
        <v>0</v>
      </c>
      <c r="BS368" s="143" t="str">
        <f>VLOOKUP(A368,NF!M:O,3,0)</f>
        <v>Feirinha</v>
      </c>
    </row>
    <row r="369" spans="1:71" x14ac:dyDescent="0.25">
      <c r="A369" s="108" t="s">
        <v>952</v>
      </c>
      <c r="B369" s="12"/>
      <c r="C369" s="9"/>
      <c r="D369" s="25"/>
      <c r="E369" s="10" t="str">
        <f t="shared" si="347"/>
        <v>OutubroSEMANA 1Mini Bolo de Banana (com amendoas)</v>
      </c>
      <c r="F369" s="7">
        <f>SUMIF(NF!$A:$A,$E369,NF!$I:$I)</f>
        <v>4</v>
      </c>
      <c r="G369" s="6"/>
      <c r="H369" s="6"/>
      <c r="I369" s="6"/>
      <c r="J369" s="6"/>
      <c r="K369" s="6"/>
      <c r="L369" s="6"/>
      <c r="M369" s="6"/>
      <c r="N369" s="7">
        <f t="shared" si="532"/>
        <v>0</v>
      </c>
      <c r="O369" s="11">
        <f t="shared" si="364"/>
        <v>4</v>
      </c>
      <c r="P369" s="25"/>
      <c r="Q369" s="10" t="str">
        <f t="shared" si="350"/>
        <v>OutubroSEMANA 2Mini Bolo de Banana (com amendoas)</v>
      </c>
      <c r="R369" s="7">
        <f>SUMIF(NF!$A:$A,$Q369,NF!$I:$I)</f>
        <v>0</v>
      </c>
      <c r="S369" s="6">
        <v>4</v>
      </c>
      <c r="T369" s="6"/>
      <c r="U369" s="6"/>
      <c r="V369" s="6"/>
      <c r="W369" s="6"/>
      <c r="X369" s="6"/>
      <c r="Y369" s="6"/>
      <c r="Z369" s="7">
        <f t="shared" si="533"/>
        <v>4</v>
      </c>
      <c r="AA369" s="11">
        <f t="shared" si="366"/>
        <v>0</v>
      </c>
      <c r="AB369" s="25"/>
      <c r="AC369" s="10" t="str">
        <f t="shared" si="353"/>
        <v>OutubroSEMANA 3Mini Bolo de Banana (com amendoas)</v>
      </c>
      <c r="AD369" s="7">
        <f>SUMIF(NF!$A:$A,$AC369,NF!$I:$I)</f>
        <v>3</v>
      </c>
      <c r="AE369" s="6"/>
      <c r="AF369" s="6"/>
      <c r="AG369" s="6"/>
      <c r="AH369" s="6"/>
      <c r="AI369" s="6"/>
      <c r="AJ369" s="6"/>
      <c r="AK369" s="6">
        <v>3</v>
      </c>
      <c r="AL369" s="7">
        <f t="shared" si="534"/>
        <v>3</v>
      </c>
      <c r="AM369" s="11">
        <f t="shared" si="368"/>
        <v>0</v>
      </c>
      <c r="AN369" s="25"/>
      <c r="AO369" s="10" t="str">
        <f t="shared" si="356"/>
        <v>OutubroSEMANA 4Mini Bolo de Banana (com amendoas)</v>
      </c>
      <c r="AP369" s="7">
        <f>SUMIF(NF!$A:$A,$AO369,NF!$I:$I)</f>
        <v>2</v>
      </c>
      <c r="AQ369" s="6"/>
      <c r="AR369" s="6"/>
      <c r="AS369" s="6"/>
      <c r="AT369" s="6"/>
      <c r="AU369" s="6"/>
      <c r="AV369" s="6"/>
      <c r="AW369" s="6"/>
      <c r="AX369" s="7">
        <f t="shared" si="535"/>
        <v>0</v>
      </c>
      <c r="AY369" s="11">
        <f t="shared" si="370"/>
        <v>2</v>
      </c>
      <c r="AZ369" s="25"/>
      <c r="BA369" s="10" t="str">
        <f t="shared" si="359"/>
        <v>OutubroSEMANA 5Mini Bolo de Banana (com amendoas)</v>
      </c>
      <c r="BB369" s="7">
        <f>SUMIF(NF!$A:$A,$BA369,NF!$I:$I)</f>
        <v>0</v>
      </c>
      <c r="BC369" s="6">
        <v>2</v>
      </c>
      <c r="BD369" s="6"/>
      <c r="BE369" s="6"/>
      <c r="BF369" s="74"/>
      <c r="BG369" s="74"/>
      <c r="BH369" s="74"/>
      <c r="BI369" s="74"/>
      <c r="BJ369" s="74"/>
      <c r="BK369" s="7">
        <f t="shared" si="536"/>
        <v>2</v>
      </c>
      <c r="BL369" s="8">
        <f t="shared" si="372"/>
        <v>0</v>
      </c>
      <c r="BM369" s="51" t="str">
        <f>IFERROR(VLOOKUP(A369,NF!$M:$O,3,0),"")</f>
        <v>Feirinha</v>
      </c>
      <c r="BN369" s="7">
        <f t="shared" si="373"/>
        <v>9</v>
      </c>
      <c r="BO369" s="8">
        <f t="array" ref="BO369">IFERROR(LARGE(IF(NF!$G$2:$G$3137='Mês atual'!A369,NF!$J$2:$J$3137),1),0)*BN369</f>
        <v>40.5</v>
      </c>
      <c r="BP369" s="50"/>
      <c r="BR369" s="147">
        <f t="array" ref="BR369">IFERROR(LARGE(IF(NF!$G$2:$G$3137='Mês atual'!A369,NF!$J$2:$J$3137),1),0)</f>
        <v>4.5</v>
      </c>
      <c r="BS369" s="143" t="str">
        <f>VLOOKUP(A369,NF!M:O,3,0)</f>
        <v>Feirinha</v>
      </c>
    </row>
    <row r="370" spans="1:71" x14ac:dyDescent="0.25">
      <c r="A370" s="108" t="s">
        <v>953</v>
      </c>
      <c r="B370" s="12"/>
      <c r="C370" s="9"/>
      <c r="D370" s="25"/>
      <c r="E370" s="10" t="str">
        <f t="shared" si="347"/>
        <v>OutubroSEMANA 1Mini Bolo de Cacau Belga</v>
      </c>
      <c r="F370" s="7">
        <f>SUMIF(NF!$A:$A,$E370,NF!$I:$I)</f>
        <v>4</v>
      </c>
      <c r="G370" s="6"/>
      <c r="H370" s="6"/>
      <c r="I370" s="6"/>
      <c r="J370" s="6"/>
      <c r="K370" s="6"/>
      <c r="L370" s="6"/>
      <c r="M370" s="6"/>
      <c r="N370" s="7">
        <f t="shared" ref="N370" si="548">SUM(G370:M370)</f>
        <v>0</v>
      </c>
      <c r="O370" s="11">
        <f t="shared" si="364"/>
        <v>4</v>
      </c>
      <c r="P370" s="25"/>
      <c r="Q370" s="10" t="str">
        <f t="shared" si="350"/>
        <v>OutubroSEMANA 2Mini Bolo de Cacau Belga</v>
      </c>
      <c r="R370" s="7">
        <f>SUMIF(NF!$A:$A,$Q370,NF!$I:$I)</f>
        <v>0</v>
      </c>
      <c r="S370" s="6">
        <v>4</v>
      </c>
      <c r="T370" s="6"/>
      <c r="U370" s="6"/>
      <c r="V370" s="6"/>
      <c r="W370" s="6"/>
      <c r="X370" s="6"/>
      <c r="Y370" s="6"/>
      <c r="Z370" s="7">
        <f t="shared" ref="Z370" si="549">SUM(S370:Y370)</f>
        <v>4</v>
      </c>
      <c r="AA370" s="11">
        <f t="shared" si="366"/>
        <v>0</v>
      </c>
      <c r="AB370" s="25"/>
      <c r="AC370" s="10" t="str">
        <f t="shared" si="353"/>
        <v>OutubroSEMANA 3Mini Bolo de Cacau Belga</v>
      </c>
      <c r="AD370" s="7">
        <f>SUMIF(NF!$A:$A,$AC370,NF!$I:$I)</f>
        <v>3</v>
      </c>
      <c r="AE370" s="6"/>
      <c r="AF370" s="6"/>
      <c r="AG370" s="6"/>
      <c r="AH370" s="6"/>
      <c r="AI370" s="6"/>
      <c r="AJ370" s="6"/>
      <c r="AK370" s="6">
        <v>3</v>
      </c>
      <c r="AL370" s="7">
        <f t="shared" ref="AL370" si="550">SUM(AE370:AK370)</f>
        <v>3</v>
      </c>
      <c r="AM370" s="11">
        <f t="shared" si="368"/>
        <v>0</v>
      </c>
      <c r="AN370" s="25"/>
      <c r="AO370" s="10" t="str">
        <f t="shared" si="356"/>
        <v>OutubroSEMANA 4Mini Bolo de Cacau Belga</v>
      </c>
      <c r="AP370" s="7">
        <f>SUMIF(NF!$A:$A,$AO370,NF!$I:$I)</f>
        <v>3</v>
      </c>
      <c r="AQ370" s="6"/>
      <c r="AR370" s="6"/>
      <c r="AS370" s="6"/>
      <c r="AT370" s="6"/>
      <c r="AU370" s="6"/>
      <c r="AV370" s="6"/>
      <c r="AW370" s="6"/>
      <c r="AX370" s="7">
        <f t="shared" ref="AX370" si="551">SUM(AQ370:AW370)</f>
        <v>0</v>
      </c>
      <c r="AY370" s="11">
        <f t="shared" si="370"/>
        <v>3</v>
      </c>
      <c r="AZ370" s="25"/>
      <c r="BA370" s="10" t="str">
        <f t="shared" si="359"/>
        <v>OutubroSEMANA 5Mini Bolo de Cacau Belga</v>
      </c>
      <c r="BB370" s="7">
        <f>SUMIF(NF!$A:$A,$BA370,NF!$I:$I)</f>
        <v>0</v>
      </c>
      <c r="BC370" s="6">
        <v>3</v>
      </c>
      <c r="BD370" s="6"/>
      <c r="BE370" s="6"/>
      <c r="BF370" s="74"/>
      <c r="BG370" s="74"/>
      <c r="BH370" s="74"/>
      <c r="BI370" s="74"/>
      <c r="BJ370" s="74"/>
      <c r="BK370" s="7">
        <f t="shared" ref="BK370" si="552">SUM(BC370:BJ370)</f>
        <v>3</v>
      </c>
      <c r="BL370" s="8">
        <f t="shared" si="372"/>
        <v>0</v>
      </c>
      <c r="BM370" s="51" t="str">
        <f>IFERROR(VLOOKUP(A370,NF!$M:$O,3,0),"")</f>
        <v>Feirinha</v>
      </c>
      <c r="BN370" s="7">
        <f t="shared" si="373"/>
        <v>10</v>
      </c>
      <c r="BO370" s="8">
        <f t="array" ref="BO370">IFERROR(LARGE(IF(NF!$G$2:$G$3137='Mês atual'!A370,NF!$J$2:$J$3137),1),0)*BN370</f>
        <v>45</v>
      </c>
      <c r="BP370" s="50"/>
      <c r="BR370" s="147">
        <f t="array" ref="BR370">IFERROR(LARGE(IF(NF!$G$2:$G$3137='Mês atual'!A370,NF!$J$2:$J$3137),1),0)</f>
        <v>4.5</v>
      </c>
      <c r="BS370" s="143" t="str">
        <f>VLOOKUP(A370,NF!M:O,3,0)</f>
        <v>Feirinha</v>
      </c>
    </row>
    <row r="371" spans="1:71" x14ac:dyDescent="0.25">
      <c r="A371" s="108" t="s">
        <v>954</v>
      </c>
      <c r="B371" s="12"/>
      <c r="C371" s="9"/>
      <c r="D371" s="25"/>
      <c r="E371" s="10" t="str">
        <f t="shared" si="347"/>
        <v>OutubroSEMANA 1Mini Bolo de Cenoura (com cobertura de chocolate)</v>
      </c>
      <c r="F371" s="7">
        <f>SUMIF(NF!$A:$A,$E371,NF!$I:$I)</f>
        <v>4</v>
      </c>
      <c r="G371" s="6"/>
      <c r="H371" s="6"/>
      <c r="I371" s="6"/>
      <c r="J371" s="6"/>
      <c r="K371" s="6"/>
      <c r="L371" s="6"/>
      <c r="M371" s="6"/>
      <c r="N371" s="7">
        <f t="shared" ref="N371" si="553">SUM(G371:M371)</f>
        <v>0</v>
      </c>
      <c r="O371" s="11">
        <f t="shared" ref="O371:O387" si="554">F371+C371-N371</f>
        <v>4</v>
      </c>
      <c r="P371" s="25"/>
      <c r="Q371" s="10" t="str">
        <f t="shared" si="350"/>
        <v>OutubroSEMANA 2Mini Bolo de Cenoura (com cobertura de chocolate)</v>
      </c>
      <c r="R371" s="7">
        <f>SUMIF(NF!$A:$A,$Q371,NF!$I:$I)</f>
        <v>0</v>
      </c>
      <c r="S371" s="6">
        <v>4</v>
      </c>
      <c r="T371" s="6"/>
      <c r="U371" s="6"/>
      <c r="V371" s="6"/>
      <c r="W371" s="6"/>
      <c r="X371" s="6"/>
      <c r="Y371" s="6"/>
      <c r="Z371" s="7">
        <f t="shared" ref="Z371" si="555">SUM(S371:Y371)</f>
        <v>4</v>
      </c>
      <c r="AA371" s="11">
        <f t="shared" ref="AA371:AA387" si="556">R371+O371-Z371</f>
        <v>0</v>
      </c>
      <c r="AB371" s="25"/>
      <c r="AC371" s="10" t="str">
        <f t="shared" si="353"/>
        <v>OutubroSEMANA 3Mini Bolo de Cenoura (com cobertura de chocolate)</v>
      </c>
      <c r="AD371" s="7">
        <f>SUMIF(NF!$A:$A,$AC371,NF!$I:$I)</f>
        <v>2</v>
      </c>
      <c r="AE371" s="6"/>
      <c r="AF371" s="6"/>
      <c r="AG371" s="6"/>
      <c r="AH371" s="6"/>
      <c r="AI371" s="6"/>
      <c r="AJ371" s="6"/>
      <c r="AK371" s="6">
        <v>2</v>
      </c>
      <c r="AL371" s="7">
        <f t="shared" ref="AL371" si="557">SUM(AE371:AK371)</f>
        <v>2</v>
      </c>
      <c r="AM371" s="11">
        <f t="shared" ref="AM371:AM387" si="558">AD371+AA371-AL371</f>
        <v>0</v>
      </c>
      <c r="AN371" s="25"/>
      <c r="AO371" s="10" t="str">
        <f t="shared" si="356"/>
        <v>OutubroSEMANA 4Mini Bolo de Cenoura (com cobertura de chocolate)</v>
      </c>
      <c r="AP371" s="7">
        <f>SUMIF(NF!$A:$A,$AO371,NF!$I:$I)</f>
        <v>3</v>
      </c>
      <c r="AQ371" s="6"/>
      <c r="AR371" s="6"/>
      <c r="AS371" s="6"/>
      <c r="AT371" s="6"/>
      <c r="AU371" s="6"/>
      <c r="AV371" s="6"/>
      <c r="AW371" s="6"/>
      <c r="AX371" s="7">
        <f t="shared" ref="AX371" si="559">SUM(AQ371:AW371)</f>
        <v>0</v>
      </c>
      <c r="AY371" s="11">
        <f t="shared" ref="AY371:AY387" si="560">AP371+AM371-AX371</f>
        <v>3</v>
      </c>
      <c r="AZ371" s="25"/>
      <c r="BA371" s="10" t="str">
        <f t="shared" si="359"/>
        <v>OutubroSEMANA 5Mini Bolo de Cenoura (com cobertura de chocolate)</v>
      </c>
      <c r="BB371" s="7">
        <f>SUMIF(NF!$A:$A,$BA371,NF!$I:$I)</f>
        <v>0</v>
      </c>
      <c r="BC371" s="6">
        <v>3</v>
      </c>
      <c r="BD371" s="6"/>
      <c r="BE371" s="6"/>
      <c r="BF371" s="74"/>
      <c r="BG371" s="74"/>
      <c r="BH371" s="74"/>
      <c r="BI371" s="74"/>
      <c r="BJ371" s="74"/>
      <c r="BK371" s="7">
        <f t="shared" ref="BK371" si="561">SUM(BC371:BJ371)</f>
        <v>3</v>
      </c>
      <c r="BL371" s="8">
        <f t="shared" ref="BL371:BL387" si="562">BB371+AY371-BK371</f>
        <v>0</v>
      </c>
      <c r="BM371" s="51" t="str">
        <f>IFERROR(VLOOKUP(A371,NF!$M:$O,3,0),"")</f>
        <v>Feirinha</v>
      </c>
      <c r="BN371" s="7">
        <f t="shared" ref="BN371:BN387" si="563">SUM(N371,Z371,AL371,AX371,BK371)</f>
        <v>9</v>
      </c>
      <c r="BO371" s="8">
        <f t="array" ref="BO371">IFERROR(LARGE(IF(NF!$G$2:$G$3137='Mês atual'!A371,NF!$J$2:$J$3137),1),0)*BN371</f>
        <v>40.5</v>
      </c>
      <c r="BP371" s="50"/>
      <c r="BR371" s="147">
        <f t="array" ref="BR371">IFERROR(LARGE(IF(NF!$G$2:$G$3137='Mês atual'!A371,NF!$J$2:$J$3137),1),0)</f>
        <v>4.5</v>
      </c>
      <c r="BS371" s="143" t="str">
        <f>VLOOKUP(A371,NF!M:O,3,0)</f>
        <v>Feirinha</v>
      </c>
    </row>
    <row r="372" spans="1:71" x14ac:dyDescent="0.25">
      <c r="A372" s="108" t="s">
        <v>955</v>
      </c>
      <c r="B372" s="12"/>
      <c r="C372" s="9"/>
      <c r="D372" s="25"/>
      <c r="E372" s="10" t="str">
        <f t="shared" si="347"/>
        <v>OutubroSEMANA 1Mini Bolo de Fuba (com cobertura goiaba)</v>
      </c>
      <c r="F372" s="7">
        <f>SUMIF(NF!$A:$A,$E372,NF!$I:$I)</f>
        <v>4</v>
      </c>
      <c r="G372" s="6"/>
      <c r="H372" s="6"/>
      <c r="I372" s="6"/>
      <c r="J372" s="6"/>
      <c r="K372" s="6"/>
      <c r="L372" s="6"/>
      <c r="M372" s="6"/>
      <c r="N372" s="7">
        <f t="shared" ref="N372" si="564">SUM(G372:M372)</f>
        <v>0</v>
      </c>
      <c r="O372" s="11">
        <f t="shared" si="554"/>
        <v>4</v>
      </c>
      <c r="P372" s="25"/>
      <c r="Q372" s="10" t="str">
        <f t="shared" si="350"/>
        <v>OutubroSEMANA 2Mini Bolo de Fuba (com cobertura goiaba)</v>
      </c>
      <c r="R372" s="7">
        <f>SUMIF(NF!$A:$A,$Q372,NF!$I:$I)</f>
        <v>0</v>
      </c>
      <c r="S372" s="6">
        <v>4</v>
      </c>
      <c r="T372" s="6"/>
      <c r="U372" s="6"/>
      <c r="V372" s="6"/>
      <c r="W372" s="6"/>
      <c r="X372" s="6"/>
      <c r="Y372" s="6"/>
      <c r="Z372" s="7">
        <f t="shared" ref="Z372" si="565">SUM(S372:Y372)</f>
        <v>4</v>
      </c>
      <c r="AA372" s="11">
        <f t="shared" si="556"/>
        <v>0</v>
      </c>
      <c r="AB372" s="25"/>
      <c r="AC372" s="10" t="str">
        <f t="shared" si="353"/>
        <v>OutubroSEMANA 3Mini Bolo de Fuba (com cobertura goiaba)</v>
      </c>
      <c r="AD372" s="7">
        <f>SUMIF(NF!$A:$A,$AC372,NF!$I:$I)</f>
        <v>2</v>
      </c>
      <c r="AE372" s="6"/>
      <c r="AF372" s="6"/>
      <c r="AG372" s="6"/>
      <c r="AH372" s="6"/>
      <c r="AI372" s="6"/>
      <c r="AJ372" s="6"/>
      <c r="AK372" s="6">
        <v>2</v>
      </c>
      <c r="AL372" s="7">
        <f t="shared" ref="AL372" si="566">SUM(AE372:AK372)</f>
        <v>2</v>
      </c>
      <c r="AM372" s="11">
        <f t="shared" si="558"/>
        <v>0</v>
      </c>
      <c r="AN372" s="25"/>
      <c r="AO372" s="10" t="str">
        <f t="shared" si="356"/>
        <v>OutubroSEMANA 4Mini Bolo de Fuba (com cobertura goiaba)</v>
      </c>
      <c r="AP372" s="7">
        <f>SUMIF(NF!$A:$A,$AO372,NF!$I:$I)</f>
        <v>2</v>
      </c>
      <c r="AQ372" s="6"/>
      <c r="AR372" s="6"/>
      <c r="AS372" s="6"/>
      <c r="AT372" s="6"/>
      <c r="AU372" s="6"/>
      <c r="AV372" s="6"/>
      <c r="AW372" s="6"/>
      <c r="AX372" s="7">
        <f t="shared" ref="AX372" si="567">SUM(AQ372:AW372)</f>
        <v>0</v>
      </c>
      <c r="AY372" s="11">
        <f t="shared" si="560"/>
        <v>2</v>
      </c>
      <c r="AZ372" s="25"/>
      <c r="BA372" s="10" t="str">
        <f t="shared" si="359"/>
        <v>OutubroSEMANA 5Mini Bolo de Fuba (com cobertura goiaba)</v>
      </c>
      <c r="BB372" s="7">
        <f>SUMIF(NF!$A:$A,$BA372,NF!$I:$I)</f>
        <v>0</v>
      </c>
      <c r="BC372" s="6">
        <v>2</v>
      </c>
      <c r="BD372" s="6"/>
      <c r="BE372" s="6"/>
      <c r="BF372" s="74"/>
      <c r="BG372" s="74"/>
      <c r="BH372" s="74"/>
      <c r="BI372" s="74"/>
      <c r="BJ372" s="74"/>
      <c r="BK372" s="7">
        <f t="shared" ref="BK372" si="568">SUM(BC372:BJ372)</f>
        <v>2</v>
      </c>
      <c r="BL372" s="8">
        <f t="shared" si="562"/>
        <v>0</v>
      </c>
      <c r="BM372" s="51" t="str">
        <f>IFERROR(VLOOKUP(A372,NF!$M:$O,3,0),"")</f>
        <v>Feirinha</v>
      </c>
      <c r="BN372" s="7">
        <f t="shared" si="563"/>
        <v>8</v>
      </c>
      <c r="BO372" s="8">
        <f t="array" ref="BO372">IFERROR(LARGE(IF(NF!$G$2:$G$3137='Mês atual'!A372,NF!$J$2:$J$3137),1),0)*BN372</f>
        <v>36</v>
      </c>
      <c r="BP372" s="50"/>
      <c r="BR372" s="147">
        <f t="array" ref="BR372">IFERROR(LARGE(IF(NF!$G$2:$G$3137='Mês atual'!A372,NF!$J$2:$J$3137),1),0)</f>
        <v>4.5</v>
      </c>
      <c r="BS372" s="143" t="str">
        <f>VLOOKUP(A372,NF!M:O,3,0)</f>
        <v>Feirinha</v>
      </c>
    </row>
    <row r="373" spans="1:71" x14ac:dyDescent="0.25">
      <c r="A373" s="108" t="s">
        <v>1011</v>
      </c>
      <c r="B373" s="12"/>
      <c r="C373" s="9"/>
      <c r="D373" s="25"/>
      <c r="E373" s="10" t="str">
        <f t="shared" si="347"/>
        <v>OutubroSEMANA 1Morango Org. Feirinha</v>
      </c>
      <c r="F373" s="7">
        <f>SUMIF(NF!$A:$A,$E373,NF!$I:$I)</f>
        <v>0</v>
      </c>
      <c r="G373" s="6"/>
      <c r="H373" s="6"/>
      <c r="I373" s="6"/>
      <c r="J373" s="6"/>
      <c r="K373" s="6"/>
      <c r="L373" s="6"/>
      <c r="M373" s="6"/>
      <c r="N373" s="7">
        <f t="shared" ref="N373" si="569">SUM(G373:M373)</f>
        <v>0</v>
      </c>
      <c r="O373" s="11">
        <f t="shared" si="554"/>
        <v>0</v>
      </c>
      <c r="P373" s="25"/>
      <c r="Q373" s="10" t="str">
        <f t="shared" si="350"/>
        <v>OutubroSEMANA 2Morango Org. Feirinha</v>
      </c>
      <c r="R373" s="7">
        <f>SUMIF(NF!$A:$A,$Q373,NF!$I:$I)</f>
        <v>0</v>
      </c>
      <c r="S373" s="6"/>
      <c r="T373" s="6"/>
      <c r="U373" s="6"/>
      <c r="V373" s="6"/>
      <c r="W373" s="6"/>
      <c r="X373" s="6"/>
      <c r="Y373" s="6"/>
      <c r="Z373" s="7">
        <f t="shared" ref="Z373" si="570">SUM(S373:Y373)</f>
        <v>0</v>
      </c>
      <c r="AA373" s="11">
        <f t="shared" si="556"/>
        <v>0</v>
      </c>
      <c r="AB373" s="25"/>
      <c r="AC373" s="10" t="str">
        <f t="shared" si="353"/>
        <v>OutubroSEMANA 3Morango Org. Feirinha</v>
      </c>
      <c r="AD373" s="7">
        <f>SUMIF(NF!$A:$A,$AC373,NF!$I:$I)</f>
        <v>0</v>
      </c>
      <c r="AE373" s="6"/>
      <c r="AF373" s="6"/>
      <c r="AG373" s="6"/>
      <c r="AH373" s="6"/>
      <c r="AI373" s="6"/>
      <c r="AJ373" s="6"/>
      <c r="AK373" s="6"/>
      <c r="AL373" s="7">
        <f t="shared" ref="AL373" si="571">SUM(AE373:AK373)</f>
        <v>0</v>
      </c>
      <c r="AM373" s="11">
        <f t="shared" si="558"/>
        <v>0</v>
      </c>
      <c r="AN373" s="25"/>
      <c r="AO373" s="10" t="str">
        <f t="shared" si="356"/>
        <v>OutubroSEMANA 4Morango Org. Feirinha</v>
      </c>
      <c r="AP373" s="7">
        <f>SUMIF(NF!$A:$A,$AO373,NF!$I:$I)</f>
        <v>0</v>
      </c>
      <c r="AQ373" s="6"/>
      <c r="AR373" s="6"/>
      <c r="AS373" s="6"/>
      <c r="AT373" s="6"/>
      <c r="AU373" s="6"/>
      <c r="AV373" s="6"/>
      <c r="AW373" s="6"/>
      <c r="AX373" s="7">
        <f t="shared" ref="AX373" si="572">SUM(AQ373:AW373)</f>
        <v>0</v>
      </c>
      <c r="AY373" s="11">
        <f t="shared" si="560"/>
        <v>0</v>
      </c>
      <c r="AZ373" s="25"/>
      <c r="BA373" s="10" t="str">
        <f t="shared" si="359"/>
        <v>OutubroSEMANA 5Morango Org. Feirinha</v>
      </c>
      <c r="BB373" s="7">
        <f>SUMIF(NF!$A:$A,$BA373,NF!$I:$I)</f>
        <v>0</v>
      </c>
      <c r="BC373" s="6"/>
      <c r="BD373" s="6"/>
      <c r="BE373" s="6"/>
      <c r="BF373" s="74"/>
      <c r="BG373" s="74"/>
      <c r="BH373" s="74"/>
      <c r="BI373" s="74"/>
      <c r="BJ373" s="74"/>
      <c r="BK373" s="7">
        <f t="shared" ref="BK373" si="573">SUM(BC373:BJ373)</f>
        <v>0</v>
      </c>
      <c r="BL373" s="8">
        <f t="shared" si="562"/>
        <v>0</v>
      </c>
      <c r="BM373" s="51" t="str">
        <f>IFERROR(VLOOKUP(A373,NF!$M:$O,3,0),"")</f>
        <v>Feirinha</v>
      </c>
      <c r="BN373" s="7">
        <f t="shared" si="563"/>
        <v>0</v>
      </c>
      <c r="BO373" s="8">
        <f t="array" ref="BO373">IFERROR(LARGE(IF(NF!$G$2:$G$3137='Mês atual'!A373,NF!$J$2:$J$3137),1),0)*BN373</f>
        <v>0</v>
      </c>
      <c r="BP373" s="50"/>
      <c r="BR373" s="147">
        <f t="array" ref="BR373">IFERROR(LARGE(IF(NF!$G$2:$G$3137='Mês atual'!A373,NF!$J$2:$J$3137),1),0)</f>
        <v>0</v>
      </c>
      <c r="BS373" s="143" t="str">
        <f>VLOOKUP(A373,NF!M:O,3,0)</f>
        <v>Feirinha</v>
      </c>
    </row>
    <row r="374" spans="1:71" x14ac:dyDescent="0.25">
      <c r="A374" s="108" t="s">
        <v>1002</v>
      </c>
      <c r="B374" s="12"/>
      <c r="C374" s="9"/>
      <c r="D374" s="25"/>
      <c r="E374" s="10" t="str">
        <f t="shared" si="347"/>
        <v>OutubroSEMANA 1Pão de Psylium c/ Batata Baroa e Castanha</v>
      </c>
      <c r="F374" s="7">
        <f>SUMIF(NF!$A:$A,$E374,NF!$I:$I)</f>
        <v>0</v>
      </c>
      <c r="G374" s="6"/>
      <c r="H374" s="6"/>
      <c r="I374" s="6"/>
      <c r="J374" s="6"/>
      <c r="K374" s="6"/>
      <c r="L374" s="6"/>
      <c r="M374" s="6"/>
      <c r="N374" s="7">
        <f t="shared" ref="N374:N375" si="574">SUM(G374:M374)</f>
        <v>0</v>
      </c>
      <c r="O374" s="11">
        <f t="shared" ref="O374:O375" si="575">F374+C374-N374</f>
        <v>0</v>
      </c>
      <c r="P374" s="25"/>
      <c r="Q374" s="10" t="str">
        <f t="shared" si="350"/>
        <v>OutubroSEMANA 2Pão de Psylium c/ Batata Baroa e Castanha</v>
      </c>
      <c r="R374" s="7">
        <f>SUMIF(NF!$A:$A,$Q374,NF!$I:$I)</f>
        <v>0</v>
      </c>
      <c r="S374" s="6"/>
      <c r="T374" s="6"/>
      <c r="U374" s="6"/>
      <c r="V374" s="6"/>
      <c r="W374" s="6"/>
      <c r="X374" s="6"/>
      <c r="Y374" s="6"/>
      <c r="Z374" s="7">
        <f t="shared" ref="Z374:Z375" si="576">SUM(S374:Y374)</f>
        <v>0</v>
      </c>
      <c r="AA374" s="11">
        <f t="shared" ref="AA374:AA375" si="577">R374+O374-Z374</f>
        <v>0</v>
      </c>
      <c r="AB374" s="25"/>
      <c r="AC374" s="10" t="str">
        <f t="shared" si="353"/>
        <v>OutubroSEMANA 3Pão de Psylium c/ Batata Baroa e Castanha</v>
      </c>
      <c r="AD374" s="7">
        <f>SUMIF(NF!$A:$A,$AC374,NF!$I:$I)</f>
        <v>0</v>
      </c>
      <c r="AE374" s="6"/>
      <c r="AF374" s="6"/>
      <c r="AG374" s="6"/>
      <c r="AH374" s="6"/>
      <c r="AI374" s="6"/>
      <c r="AJ374" s="6"/>
      <c r="AK374" s="6"/>
      <c r="AL374" s="7">
        <f t="shared" ref="AL374:AL375" si="578">SUM(AE374:AK374)</f>
        <v>0</v>
      </c>
      <c r="AM374" s="11">
        <f t="shared" ref="AM374:AM375" si="579">AD374+AA374-AL374</f>
        <v>0</v>
      </c>
      <c r="AN374" s="25"/>
      <c r="AO374" s="10" t="str">
        <f t="shared" si="356"/>
        <v>OutubroSEMANA 4Pão de Psylium c/ Batata Baroa e Castanha</v>
      </c>
      <c r="AP374" s="7">
        <f>SUMIF(NF!$A:$A,$AO374,NF!$I:$I)</f>
        <v>0</v>
      </c>
      <c r="AQ374" s="6"/>
      <c r="AR374" s="6"/>
      <c r="AS374" s="6"/>
      <c r="AT374" s="6"/>
      <c r="AU374" s="6"/>
      <c r="AV374" s="6"/>
      <c r="AW374" s="6"/>
      <c r="AX374" s="7">
        <f t="shared" ref="AX374:AX375" si="580">SUM(AQ374:AW374)</f>
        <v>0</v>
      </c>
      <c r="AY374" s="11">
        <f t="shared" ref="AY374:AY375" si="581">AP374+AM374-AX374</f>
        <v>0</v>
      </c>
      <c r="AZ374" s="25"/>
      <c r="BA374" s="10" t="str">
        <f t="shared" si="359"/>
        <v>OutubroSEMANA 5Pão de Psylium c/ Batata Baroa e Castanha</v>
      </c>
      <c r="BB374" s="7">
        <f>SUMIF(NF!$A:$A,$BA374,NF!$I:$I)</f>
        <v>0</v>
      </c>
      <c r="BC374" s="6"/>
      <c r="BD374" s="6"/>
      <c r="BE374" s="6"/>
      <c r="BF374" s="74"/>
      <c r="BG374" s="74"/>
      <c r="BH374" s="74"/>
      <c r="BI374" s="74"/>
      <c r="BJ374" s="74"/>
      <c r="BK374" s="7">
        <f t="shared" ref="BK374:BK375" si="582">SUM(BC374:BJ374)</f>
        <v>0</v>
      </c>
      <c r="BL374" s="8">
        <f t="shared" ref="BL374:BL375" si="583">BB374+AY374-BK374</f>
        <v>0</v>
      </c>
      <c r="BM374" s="51" t="str">
        <f>IFERROR(VLOOKUP(A374,NF!$M:$O,3,0),"")</f>
        <v>Feirinha</v>
      </c>
      <c r="BN374" s="7">
        <f t="shared" ref="BN374:BN375" si="584">SUM(N374,Z374,AL374,AX374,BK374)</f>
        <v>0</v>
      </c>
      <c r="BO374" s="8">
        <f t="array" ref="BO374">IFERROR(LARGE(IF(NF!$G$2:$G$3137='Mês atual'!A374,NF!$J$2:$J$3137),1),0)*BN374</f>
        <v>0</v>
      </c>
      <c r="BP374" s="50"/>
      <c r="BR374" s="147">
        <f t="array" ref="BR374">IFERROR(LARGE(IF(NF!$G$2:$G$3137='Mês atual'!A374,NF!$J$2:$J$3137),1),0)</f>
        <v>0</v>
      </c>
      <c r="BS374" s="143" t="str">
        <f>VLOOKUP(A374,NF!M:O,3,0)</f>
        <v>Feirinha</v>
      </c>
    </row>
    <row r="375" spans="1:71" x14ac:dyDescent="0.25">
      <c r="A375" s="108" t="s">
        <v>1003</v>
      </c>
      <c r="B375" s="12"/>
      <c r="C375" s="9"/>
      <c r="D375" s="25"/>
      <c r="E375" s="10" t="str">
        <f t="shared" si="347"/>
        <v>OutubroSEMANA 1Pão de Psylium c/Quinoa</v>
      </c>
      <c r="F375" s="7">
        <f>SUMIF(NF!$A:$A,$E375,NF!$I:$I)</f>
        <v>6</v>
      </c>
      <c r="G375" s="6"/>
      <c r="H375" s="6"/>
      <c r="I375" s="6"/>
      <c r="J375" s="6"/>
      <c r="K375" s="6"/>
      <c r="L375" s="6"/>
      <c r="M375" s="6">
        <v>6</v>
      </c>
      <c r="N375" s="7">
        <f t="shared" si="574"/>
        <v>6</v>
      </c>
      <c r="O375" s="11">
        <f t="shared" si="575"/>
        <v>0</v>
      </c>
      <c r="P375" s="25"/>
      <c r="Q375" s="10" t="str">
        <f t="shared" si="350"/>
        <v>OutubroSEMANA 2Pão de Psylium c/Quinoa</v>
      </c>
      <c r="R375" s="7">
        <f>SUMIF(NF!$A:$A,$Q375,NF!$I:$I)</f>
        <v>0</v>
      </c>
      <c r="S375" s="6"/>
      <c r="T375" s="6"/>
      <c r="U375" s="6"/>
      <c r="V375" s="6"/>
      <c r="W375" s="6"/>
      <c r="X375" s="6"/>
      <c r="Y375" s="6"/>
      <c r="Z375" s="7">
        <f t="shared" si="576"/>
        <v>0</v>
      </c>
      <c r="AA375" s="11">
        <f t="shared" si="577"/>
        <v>0</v>
      </c>
      <c r="AB375" s="25"/>
      <c r="AC375" s="10" t="str">
        <f t="shared" si="353"/>
        <v>OutubroSEMANA 3Pão de Psylium c/Quinoa</v>
      </c>
      <c r="AD375" s="7">
        <f>SUMIF(NF!$A:$A,$AC375,NF!$I:$I)</f>
        <v>0</v>
      </c>
      <c r="AE375" s="6"/>
      <c r="AF375" s="6"/>
      <c r="AG375" s="6"/>
      <c r="AH375" s="6"/>
      <c r="AI375" s="6"/>
      <c r="AJ375" s="6"/>
      <c r="AK375" s="6"/>
      <c r="AL375" s="7">
        <f t="shared" si="578"/>
        <v>0</v>
      </c>
      <c r="AM375" s="11">
        <f t="shared" si="579"/>
        <v>0</v>
      </c>
      <c r="AN375" s="25"/>
      <c r="AO375" s="10" t="str">
        <f t="shared" si="356"/>
        <v>OutubroSEMANA 4Pão de Psylium c/Quinoa</v>
      </c>
      <c r="AP375" s="7">
        <f>SUMIF(NF!$A:$A,$AO375,NF!$I:$I)</f>
        <v>0</v>
      </c>
      <c r="AQ375" s="6"/>
      <c r="AR375" s="6"/>
      <c r="AS375" s="6"/>
      <c r="AT375" s="6"/>
      <c r="AU375" s="6"/>
      <c r="AV375" s="6"/>
      <c r="AW375" s="6"/>
      <c r="AX375" s="7">
        <f t="shared" si="580"/>
        <v>0</v>
      </c>
      <c r="AY375" s="11">
        <f t="shared" si="581"/>
        <v>0</v>
      </c>
      <c r="AZ375" s="25"/>
      <c r="BA375" s="10" t="str">
        <f t="shared" si="359"/>
        <v>OutubroSEMANA 5Pão de Psylium c/Quinoa</v>
      </c>
      <c r="BB375" s="7">
        <f>SUMIF(NF!$A:$A,$BA375,NF!$I:$I)</f>
        <v>0</v>
      </c>
      <c r="BC375" s="6"/>
      <c r="BD375" s="6"/>
      <c r="BE375" s="6"/>
      <c r="BF375" s="74"/>
      <c r="BG375" s="74"/>
      <c r="BH375" s="74"/>
      <c r="BI375" s="74"/>
      <c r="BJ375" s="74"/>
      <c r="BK375" s="7">
        <f t="shared" si="582"/>
        <v>0</v>
      </c>
      <c r="BL375" s="8">
        <f t="shared" si="583"/>
        <v>0</v>
      </c>
      <c r="BM375" s="51" t="str">
        <f>IFERROR(VLOOKUP(A375,NF!$M:$O,3,0),"")</f>
        <v>Feirinha</v>
      </c>
      <c r="BN375" s="7">
        <f t="shared" si="584"/>
        <v>6</v>
      </c>
      <c r="BO375" s="8">
        <f t="array" ref="BO375">IFERROR(LARGE(IF(NF!$G$2:$G$3137='Mês atual'!A375,NF!$J$2:$J$3137),1),0)*BN375</f>
        <v>67.199999999999989</v>
      </c>
      <c r="BP375" s="50"/>
      <c r="BR375" s="147">
        <f t="array" ref="BR375">IFERROR(LARGE(IF(NF!$G$2:$G$3137='Mês atual'!A375,NF!$J$2:$J$3137),1),0)</f>
        <v>11.2</v>
      </c>
      <c r="BS375" s="143" t="str">
        <f>VLOOKUP(A375,NF!M:O,3,0)</f>
        <v>Feirinha</v>
      </c>
    </row>
    <row r="376" spans="1:71" x14ac:dyDescent="0.25">
      <c r="A376" s="108" t="s">
        <v>887</v>
      </c>
      <c r="B376" s="12"/>
      <c r="C376" s="9"/>
      <c r="D376" s="25"/>
      <c r="E376" s="10" t="str">
        <f t="shared" si="347"/>
        <v>OutubroSEMANA 1Pepino Japonês Org. Feirinha</v>
      </c>
      <c r="F376" s="7">
        <f>SUMIF(NF!$A:$A,$E376,NF!$I:$I)</f>
        <v>1.58</v>
      </c>
      <c r="G376" s="6"/>
      <c r="H376" s="6"/>
      <c r="I376" s="6"/>
      <c r="J376" s="6"/>
      <c r="K376" s="6">
        <v>1.58</v>
      </c>
      <c r="L376" s="6"/>
      <c r="M376" s="6"/>
      <c r="N376" s="7">
        <f t="shared" ref="N376" si="585">SUM(G376:M376)</f>
        <v>1.58</v>
      </c>
      <c r="O376" s="11">
        <f t="shared" si="554"/>
        <v>0</v>
      </c>
      <c r="P376" s="25"/>
      <c r="Q376" s="10" t="str">
        <f t="shared" si="350"/>
        <v>OutubroSEMANA 2Pepino Japonês Org. Feirinha</v>
      </c>
      <c r="R376" s="7">
        <f>SUMIF(NF!$A:$A,$Q376,NF!$I:$I)</f>
        <v>1.5</v>
      </c>
      <c r="S376" s="6"/>
      <c r="T376" s="6"/>
      <c r="U376" s="6"/>
      <c r="V376" s="6"/>
      <c r="W376" s="6"/>
      <c r="X376" s="6"/>
      <c r="Y376" s="6">
        <v>1.5</v>
      </c>
      <c r="Z376" s="7">
        <f t="shared" ref="Z376" si="586">SUM(S376:Y376)</f>
        <v>1.5</v>
      </c>
      <c r="AA376" s="11">
        <f t="shared" si="556"/>
        <v>0</v>
      </c>
      <c r="AB376" s="25"/>
      <c r="AC376" s="10" t="str">
        <f t="shared" si="353"/>
        <v>OutubroSEMANA 3Pepino Japonês Org. Feirinha</v>
      </c>
      <c r="AD376" s="7">
        <f>SUMIF(NF!$A:$A,$AC376,NF!$I:$I)</f>
        <v>0</v>
      </c>
      <c r="AE376" s="6"/>
      <c r="AF376" s="6"/>
      <c r="AG376" s="6"/>
      <c r="AH376" s="6"/>
      <c r="AI376" s="6"/>
      <c r="AJ376" s="6"/>
      <c r="AK376" s="6"/>
      <c r="AL376" s="7">
        <f t="shared" ref="AL376" si="587">SUM(AE376:AK376)</f>
        <v>0</v>
      </c>
      <c r="AM376" s="11">
        <f t="shared" si="558"/>
        <v>0</v>
      </c>
      <c r="AN376" s="25"/>
      <c r="AO376" s="10" t="str">
        <f t="shared" si="356"/>
        <v>OutubroSEMANA 4Pepino Japonês Org. Feirinha</v>
      </c>
      <c r="AP376" s="7">
        <f>SUMIF(NF!$A:$A,$AO376,NF!$I:$I)</f>
        <v>0</v>
      </c>
      <c r="AQ376" s="6"/>
      <c r="AR376" s="6"/>
      <c r="AS376" s="6"/>
      <c r="AT376" s="6"/>
      <c r="AU376" s="6"/>
      <c r="AV376" s="6"/>
      <c r="AW376" s="6"/>
      <c r="AX376" s="7">
        <f t="shared" ref="AX376" si="588">SUM(AQ376:AW376)</f>
        <v>0</v>
      </c>
      <c r="AY376" s="11">
        <f t="shared" si="560"/>
        <v>0</v>
      </c>
      <c r="AZ376" s="25"/>
      <c r="BA376" s="10" t="str">
        <f t="shared" si="359"/>
        <v>OutubroSEMANA 5Pepino Japonês Org. Feirinha</v>
      </c>
      <c r="BB376" s="7">
        <f>SUMIF(NF!$A:$A,$BA376,NF!$I:$I)</f>
        <v>0</v>
      </c>
      <c r="BC376" s="6"/>
      <c r="BD376" s="6"/>
      <c r="BE376" s="6"/>
      <c r="BF376" s="74"/>
      <c r="BG376" s="74"/>
      <c r="BH376" s="74"/>
      <c r="BI376" s="74"/>
      <c r="BJ376" s="74"/>
      <c r="BK376" s="7">
        <f t="shared" ref="BK376" si="589">SUM(BC376:BJ376)</f>
        <v>0</v>
      </c>
      <c r="BL376" s="8">
        <f t="shared" si="562"/>
        <v>0</v>
      </c>
      <c r="BM376" s="51" t="str">
        <f>IFERROR(VLOOKUP(A376,NF!$M:$O,3,0),"")</f>
        <v>Feirinha</v>
      </c>
      <c r="BN376" s="7">
        <f t="shared" si="563"/>
        <v>3.08</v>
      </c>
      <c r="BO376" s="8">
        <f t="array" ref="BO376">IFERROR(LARGE(IF(NF!$G$2:$G$3137='Mês atual'!A376,NF!$J$2:$J$3137),1),0)*BN376</f>
        <v>43.120000000000005</v>
      </c>
      <c r="BP376" s="50"/>
      <c r="BR376" s="147">
        <f t="array" ref="BR376">IFERROR(LARGE(IF(NF!$G$2:$G$3137='Mês atual'!A376,NF!$J$2:$J$3137),1),0)</f>
        <v>14</v>
      </c>
      <c r="BS376" s="143" t="str">
        <f>VLOOKUP(A376,NF!M:O,3,0)</f>
        <v>Feirinha</v>
      </c>
    </row>
    <row r="377" spans="1:71" x14ac:dyDescent="0.25">
      <c r="A377" s="108" t="s">
        <v>956</v>
      </c>
      <c r="B377" s="12"/>
      <c r="C377" s="9"/>
      <c r="D377" s="25"/>
      <c r="E377" s="10" t="str">
        <f t="shared" si="347"/>
        <v>OutubroSEMANA 1Petit Four de Amendoas</v>
      </c>
      <c r="F377" s="7">
        <f>SUMIF(NF!$A:$A,$E377,NF!$I:$I)</f>
        <v>3</v>
      </c>
      <c r="G377" s="6"/>
      <c r="H377" s="6"/>
      <c r="I377" s="6"/>
      <c r="J377" s="6"/>
      <c r="K377" s="6"/>
      <c r="L377" s="6"/>
      <c r="M377" s="6"/>
      <c r="N377" s="7">
        <f t="shared" ref="N377" si="590">SUM(G377:M377)</f>
        <v>0</v>
      </c>
      <c r="O377" s="11">
        <f t="shared" si="554"/>
        <v>3</v>
      </c>
      <c r="P377" s="25"/>
      <c r="Q377" s="10" t="str">
        <f t="shared" si="350"/>
        <v>OutubroSEMANA 2Petit Four de Amendoas</v>
      </c>
      <c r="R377" s="7">
        <f>SUMIF(NF!$A:$A,$Q377,NF!$I:$I)</f>
        <v>0</v>
      </c>
      <c r="S377" s="6">
        <v>3</v>
      </c>
      <c r="T377" s="6"/>
      <c r="U377" s="6"/>
      <c r="V377" s="6"/>
      <c r="W377" s="6"/>
      <c r="X377" s="6"/>
      <c r="Y377" s="6"/>
      <c r="Z377" s="7">
        <f t="shared" ref="Z377" si="591">SUM(S377:Y377)</f>
        <v>3</v>
      </c>
      <c r="AA377" s="11">
        <f t="shared" si="556"/>
        <v>0</v>
      </c>
      <c r="AB377" s="25"/>
      <c r="AC377" s="10" t="str">
        <f t="shared" si="353"/>
        <v>OutubroSEMANA 3Petit Four de Amendoas</v>
      </c>
      <c r="AD377" s="7">
        <f>SUMIF(NF!$A:$A,$AC377,NF!$I:$I)</f>
        <v>1</v>
      </c>
      <c r="AE377" s="6"/>
      <c r="AF377" s="6"/>
      <c r="AG377" s="6"/>
      <c r="AH377" s="6"/>
      <c r="AI377" s="6"/>
      <c r="AJ377" s="6"/>
      <c r="AK377" s="6">
        <v>1</v>
      </c>
      <c r="AL377" s="7">
        <f t="shared" ref="AL377" si="592">SUM(AE377:AK377)</f>
        <v>1</v>
      </c>
      <c r="AM377" s="11">
        <f t="shared" si="558"/>
        <v>0</v>
      </c>
      <c r="AN377" s="25"/>
      <c r="AO377" s="10" t="str">
        <f t="shared" si="356"/>
        <v>OutubroSEMANA 4Petit Four de Amendoas</v>
      </c>
      <c r="AP377" s="7">
        <f>SUMIF(NF!$A:$A,$AO377,NF!$I:$I)</f>
        <v>0</v>
      </c>
      <c r="AQ377" s="6"/>
      <c r="AR377" s="6"/>
      <c r="AS377" s="6"/>
      <c r="AT377" s="6"/>
      <c r="AU377" s="6"/>
      <c r="AV377" s="6"/>
      <c r="AW377" s="6"/>
      <c r="AX377" s="7">
        <f t="shared" ref="AX377" si="593">SUM(AQ377:AW377)</f>
        <v>0</v>
      </c>
      <c r="AY377" s="11">
        <f t="shared" si="560"/>
        <v>0</v>
      </c>
      <c r="AZ377" s="25"/>
      <c r="BA377" s="10" t="str">
        <f t="shared" si="359"/>
        <v>OutubroSEMANA 5Petit Four de Amendoas</v>
      </c>
      <c r="BB377" s="7">
        <f>SUMIF(NF!$A:$A,$BA377,NF!$I:$I)</f>
        <v>0</v>
      </c>
      <c r="BC377" s="6"/>
      <c r="BD377" s="6"/>
      <c r="BE377" s="6"/>
      <c r="BF377" s="74"/>
      <c r="BG377" s="74"/>
      <c r="BH377" s="74"/>
      <c r="BI377" s="74"/>
      <c r="BJ377" s="74"/>
      <c r="BK377" s="7">
        <f t="shared" ref="BK377" si="594">SUM(BC377:BJ377)</f>
        <v>0</v>
      </c>
      <c r="BL377" s="8">
        <f t="shared" si="562"/>
        <v>0</v>
      </c>
      <c r="BM377" s="51" t="str">
        <f>IFERROR(VLOOKUP(A377,NF!$M:$O,3,0),"")</f>
        <v>Feirinha</v>
      </c>
      <c r="BN377" s="7">
        <f t="shared" si="563"/>
        <v>4</v>
      </c>
      <c r="BO377" s="8">
        <f t="array" ref="BO377">IFERROR(LARGE(IF(NF!$G$2:$G$3137='Mês atual'!A377,NF!$J$2:$J$3137),1),0)*BN377</f>
        <v>38</v>
      </c>
      <c r="BP377" s="50"/>
      <c r="BR377" s="147">
        <f t="array" ref="BR377">IFERROR(LARGE(IF(NF!$G$2:$G$3137='Mês atual'!A377,NF!$J$2:$J$3137),1),0)</f>
        <v>9.5</v>
      </c>
      <c r="BS377" s="143" t="str">
        <f>VLOOKUP(A377,NF!M:O,3,0)</f>
        <v>Feirinha</v>
      </c>
    </row>
    <row r="378" spans="1:71" x14ac:dyDescent="0.25">
      <c r="A378" s="108" t="s">
        <v>957</v>
      </c>
      <c r="B378" s="12"/>
      <c r="C378" s="9"/>
      <c r="D378" s="25"/>
      <c r="E378" s="10" t="str">
        <f t="shared" si="347"/>
        <v>OutubroSEMANA 1Petit Four de Cacau Belga</v>
      </c>
      <c r="F378" s="7">
        <f>SUMIF(NF!$A:$A,$E378,NF!$I:$I)</f>
        <v>6</v>
      </c>
      <c r="G378" s="6"/>
      <c r="H378" s="6"/>
      <c r="I378" s="6"/>
      <c r="J378" s="6"/>
      <c r="K378" s="6"/>
      <c r="L378" s="6"/>
      <c r="M378" s="6"/>
      <c r="N378" s="7">
        <f t="shared" ref="N378" si="595">SUM(G378:M378)</f>
        <v>0</v>
      </c>
      <c r="O378" s="11">
        <f t="shared" si="554"/>
        <v>6</v>
      </c>
      <c r="P378" s="25"/>
      <c r="Q378" s="10" t="str">
        <f t="shared" si="350"/>
        <v>OutubroSEMANA 2Petit Four de Cacau Belga</v>
      </c>
      <c r="R378" s="7">
        <f>SUMIF(NF!$A:$A,$Q378,NF!$I:$I)</f>
        <v>0</v>
      </c>
      <c r="S378" s="6">
        <v>6</v>
      </c>
      <c r="T378" s="6"/>
      <c r="U378" s="6"/>
      <c r="V378" s="6"/>
      <c r="W378" s="6"/>
      <c r="X378" s="6"/>
      <c r="Y378" s="6"/>
      <c r="Z378" s="7">
        <f t="shared" ref="Z378" si="596">SUM(S378:Y378)</f>
        <v>6</v>
      </c>
      <c r="AA378" s="11">
        <f t="shared" si="556"/>
        <v>0</v>
      </c>
      <c r="AB378" s="25"/>
      <c r="AC378" s="10" t="str">
        <f t="shared" si="353"/>
        <v>OutubroSEMANA 3Petit Four de Cacau Belga</v>
      </c>
      <c r="AD378" s="7">
        <f>SUMIF(NF!$A:$A,$AC378,NF!$I:$I)</f>
        <v>8</v>
      </c>
      <c r="AE378" s="6"/>
      <c r="AF378" s="6"/>
      <c r="AG378" s="6"/>
      <c r="AH378" s="6"/>
      <c r="AI378" s="6"/>
      <c r="AJ378" s="6"/>
      <c r="AK378" s="6">
        <v>8</v>
      </c>
      <c r="AL378" s="7">
        <f t="shared" ref="AL378" si="597">SUM(AE378:AK378)</f>
        <v>8</v>
      </c>
      <c r="AM378" s="11">
        <f t="shared" si="558"/>
        <v>0</v>
      </c>
      <c r="AN378" s="25"/>
      <c r="AO378" s="10" t="str">
        <f t="shared" si="356"/>
        <v>OutubroSEMANA 4Petit Four de Cacau Belga</v>
      </c>
      <c r="AP378" s="7">
        <f>SUMIF(NF!$A:$A,$AO378,NF!$I:$I)</f>
        <v>5</v>
      </c>
      <c r="AQ378" s="6"/>
      <c r="AR378" s="6"/>
      <c r="AS378" s="6"/>
      <c r="AT378" s="6"/>
      <c r="AU378" s="6"/>
      <c r="AV378" s="6"/>
      <c r="AW378" s="6"/>
      <c r="AX378" s="7">
        <f t="shared" ref="AX378" si="598">SUM(AQ378:AW378)</f>
        <v>0</v>
      </c>
      <c r="AY378" s="11">
        <f t="shared" si="560"/>
        <v>5</v>
      </c>
      <c r="AZ378" s="25"/>
      <c r="BA378" s="10" t="str">
        <f t="shared" si="359"/>
        <v>OutubroSEMANA 5Petit Four de Cacau Belga</v>
      </c>
      <c r="BB378" s="7">
        <f>SUMIF(NF!$A:$A,$BA378,NF!$I:$I)</f>
        <v>0</v>
      </c>
      <c r="BC378" s="6">
        <v>5</v>
      </c>
      <c r="BD378" s="6"/>
      <c r="BE378" s="6"/>
      <c r="BF378" s="74"/>
      <c r="BG378" s="74"/>
      <c r="BH378" s="74"/>
      <c r="BI378" s="74"/>
      <c r="BJ378" s="74"/>
      <c r="BK378" s="7">
        <f t="shared" ref="BK378" si="599">SUM(BC378:BJ378)</f>
        <v>5</v>
      </c>
      <c r="BL378" s="8">
        <f t="shared" si="562"/>
        <v>0</v>
      </c>
      <c r="BM378" s="51" t="str">
        <f>IFERROR(VLOOKUP(A378,NF!$M:$O,3,0),"")</f>
        <v>Feirinha</v>
      </c>
      <c r="BN378" s="7">
        <f t="shared" si="563"/>
        <v>19</v>
      </c>
      <c r="BO378" s="8">
        <f t="array" ref="BO378">IFERROR(LARGE(IF(NF!$G$2:$G$3137='Mês atual'!A378,NF!$J$2:$J$3137),1),0)*BN378</f>
        <v>180.5</v>
      </c>
      <c r="BP378" s="50"/>
      <c r="BR378" s="147">
        <f t="array" ref="BR378">IFERROR(LARGE(IF(NF!$G$2:$G$3137='Mês atual'!A378,NF!$J$2:$J$3137),1),0)</f>
        <v>9.5</v>
      </c>
      <c r="BS378" s="143" t="str">
        <f>VLOOKUP(A378,NF!M:O,3,0)</f>
        <v>Feirinha</v>
      </c>
    </row>
    <row r="379" spans="1:71" x14ac:dyDescent="0.25">
      <c r="A379" s="108" t="s">
        <v>958</v>
      </c>
      <c r="B379" s="12"/>
      <c r="C379" s="9"/>
      <c r="D379" s="25"/>
      <c r="E379" s="10" t="str">
        <f t="shared" si="347"/>
        <v>OutubroSEMANA 1Petit Four de Queijo</v>
      </c>
      <c r="F379" s="7">
        <f>SUMIF(NF!$A:$A,$E379,NF!$I:$I)</f>
        <v>3</v>
      </c>
      <c r="G379" s="6"/>
      <c r="H379" s="6"/>
      <c r="I379" s="6"/>
      <c r="J379" s="6"/>
      <c r="K379" s="6"/>
      <c r="L379" s="6"/>
      <c r="M379" s="6"/>
      <c r="N379" s="7">
        <f t="shared" ref="N379" si="600">SUM(G379:M379)</f>
        <v>0</v>
      </c>
      <c r="O379" s="11">
        <f t="shared" si="554"/>
        <v>3</v>
      </c>
      <c r="P379" s="25"/>
      <c r="Q379" s="10" t="str">
        <f t="shared" si="350"/>
        <v>OutubroSEMANA 2Petit Four de Queijo</v>
      </c>
      <c r="R379" s="7">
        <f>SUMIF(NF!$A:$A,$Q379,NF!$I:$I)</f>
        <v>0</v>
      </c>
      <c r="S379" s="6">
        <v>3</v>
      </c>
      <c r="T379" s="6"/>
      <c r="U379" s="6"/>
      <c r="V379" s="6"/>
      <c r="W379" s="6"/>
      <c r="X379" s="6"/>
      <c r="Y379" s="6"/>
      <c r="Z379" s="7">
        <f t="shared" ref="Z379" si="601">SUM(S379:Y379)</f>
        <v>3</v>
      </c>
      <c r="AA379" s="11">
        <f t="shared" si="556"/>
        <v>0</v>
      </c>
      <c r="AB379" s="25"/>
      <c r="AC379" s="10" t="str">
        <f t="shared" si="353"/>
        <v>OutubroSEMANA 3Petit Four de Queijo</v>
      </c>
      <c r="AD379" s="7">
        <f>SUMIF(NF!$A:$A,$AC379,NF!$I:$I)</f>
        <v>1</v>
      </c>
      <c r="AE379" s="6"/>
      <c r="AF379" s="6"/>
      <c r="AG379" s="6"/>
      <c r="AH379" s="6"/>
      <c r="AI379" s="6"/>
      <c r="AJ379" s="6"/>
      <c r="AK379" s="6">
        <v>1</v>
      </c>
      <c r="AL379" s="7">
        <f t="shared" ref="AL379" si="602">SUM(AE379:AK379)</f>
        <v>1</v>
      </c>
      <c r="AM379" s="11">
        <f t="shared" si="558"/>
        <v>0</v>
      </c>
      <c r="AN379" s="25"/>
      <c r="AO379" s="10" t="str">
        <f t="shared" si="356"/>
        <v>OutubroSEMANA 4Petit Four de Queijo</v>
      </c>
      <c r="AP379" s="7">
        <f>SUMIF(NF!$A:$A,$AO379,NF!$I:$I)</f>
        <v>0</v>
      </c>
      <c r="AQ379" s="6"/>
      <c r="AR379" s="6"/>
      <c r="AS379" s="6"/>
      <c r="AT379" s="6"/>
      <c r="AU379" s="6"/>
      <c r="AV379" s="6"/>
      <c r="AW379" s="6"/>
      <c r="AX379" s="7">
        <f t="shared" ref="AX379" si="603">SUM(AQ379:AW379)</f>
        <v>0</v>
      </c>
      <c r="AY379" s="11">
        <f t="shared" si="560"/>
        <v>0</v>
      </c>
      <c r="AZ379" s="25"/>
      <c r="BA379" s="10" t="str">
        <f t="shared" si="359"/>
        <v>OutubroSEMANA 5Petit Four de Queijo</v>
      </c>
      <c r="BB379" s="7">
        <f>SUMIF(NF!$A:$A,$BA379,NF!$I:$I)</f>
        <v>0</v>
      </c>
      <c r="BC379" s="6"/>
      <c r="BD379" s="6"/>
      <c r="BE379" s="6"/>
      <c r="BF379" s="74"/>
      <c r="BG379" s="74"/>
      <c r="BH379" s="74"/>
      <c r="BI379" s="74"/>
      <c r="BJ379" s="74"/>
      <c r="BK379" s="7">
        <f t="shared" ref="BK379" si="604">SUM(BC379:BJ379)</f>
        <v>0</v>
      </c>
      <c r="BL379" s="8">
        <f t="shared" si="562"/>
        <v>0</v>
      </c>
      <c r="BM379" s="51" t="str">
        <f>IFERROR(VLOOKUP(A379,NF!$M:$O,3,0),"")</f>
        <v>Feirinha</v>
      </c>
      <c r="BN379" s="7">
        <f t="shared" si="563"/>
        <v>4</v>
      </c>
      <c r="BO379" s="8">
        <f t="array" ref="BO379">IFERROR(LARGE(IF(NF!$G$2:$G$3137='Mês atual'!A379,NF!$J$2:$J$3137),1),0)*BN379</f>
        <v>38</v>
      </c>
      <c r="BP379" s="50"/>
      <c r="BR379" s="147">
        <f t="array" ref="BR379">IFERROR(LARGE(IF(NF!$G$2:$G$3137='Mês atual'!A379,NF!$J$2:$J$3137),1),0)</f>
        <v>9.5</v>
      </c>
      <c r="BS379" s="143" t="str">
        <f>VLOOKUP(A379,NF!M:O,3,0)</f>
        <v>Feirinha</v>
      </c>
    </row>
    <row r="380" spans="1:71" x14ac:dyDescent="0.25">
      <c r="A380" s="108" t="s">
        <v>1018</v>
      </c>
      <c r="B380" s="12"/>
      <c r="C380" s="9"/>
      <c r="D380" s="25"/>
      <c r="E380" s="10" t="str">
        <f t="shared" si="347"/>
        <v>OutubroSEMANA 1Repolho Roxo Org. Feirinha</v>
      </c>
      <c r="F380" s="7">
        <f>SUMIF(NF!$A:$A,$E380,NF!$I:$I)</f>
        <v>0</v>
      </c>
      <c r="G380" s="6"/>
      <c r="H380" s="6"/>
      <c r="I380" s="6"/>
      <c r="J380" s="6"/>
      <c r="K380" s="6"/>
      <c r="L380" s="6"/>
      <c r="M380" s="6"/>
      <c r="N380" s="7">
        <f t="shared" ref="N380:N381" si="605">SUM(G380:M380)</f>
        <v>0</v>
      </c>
      <c r="O380" s="11">
        <f t="shared" ref="O380:O381" si="606">F380+C380-N380</f>
        <v>0</v>
      </c>
      <c r="P380" s="25"/>
      <c r="Q380" s="10" t="str">
        <f t="shared" si="350"/>
        <v>OutubroSEMANA 2Repolho Roxo Org. Feirinha</v>
      </c>
      <c r="R380" s="7">
        <f>SUMIF(NF!$A:$A,$Q380,NF!$I:$I)</f>
        <v>0</v>
      </c>
      <c r="S380" s="6"/>
      <c r="T380" s="6"/>
      <c r="U380" s="6"/>
      <c r="V380" s="6"/>
      <c r="W380" s="6"/>
      <c r="X380" s="6"/>
      <c r="Y380" s="6"/>
      <c r="Z380" s="7">
        <f t="shared" ref="Z380:Z381" si="607">SUM(S380:Y380)</f>
        <v>0</v>
      </c>
      <c r="AA380" s="11">
        <f t="shared" ref="AA380:AA381" si="608">R380+O380-Z380</f>
        <v>0</v>
      </c>
      <c r="AB380" s="25"/>
      <c r="AC380" s="10" t="str">
        <f t="shared" si="353"/>
        <v>OutubroSEMANA 3Repolho Roxo Org. Feirinha</v>
      </c>
      <c r="AD380" s="7">
        <f>SUMIF(NF!$A:$A,$AC380,NF!$I:$I)</f>
        <v>0</v>
      </c>
      <c r="AE380" s="6"/>
      <c r="AF380" s="6"/>
      <c r="AG380" s="6"/>
      <c r="AH380" s="6"/>
      <c r="AI380" s="6"/>
      <c r="AJ380" s="6"/>
      <c r="AK380" s="6"/>
      <c r="AL380" s="7">
        <f t="shared" ref="AL380:AL381" si="609">SUM(AE380:AK380)</f>
        <v>0</v>
      </c>
      <c r="AM380" s="11">
        <f t="shared" ref="AM380:AM381" si="610">AD380+AA380-AL380</f>
        <v>0</v>
      </c>
      <c r="AN380" s="25"/>
      <c r="AO380" s="10" t="str">
        <f t="shared" si="356"/>
        <v>OutubroSEMANA 4Repolho Roxo Org. Feirinha</v>
      </c>
      <c r="AP380" s="7">
        <f>SUMIF(NF!$A:$A,$AO380,NF!$I:$I)</f>
        <v>0</v>
      </c>
      <c r="AQ380" s="6"/>
      <c r="AR380" s="6"/>
      <c r="AS380" s="6"/>
      <c r="AT380" s="6"/>
      <c r="AU380" s="6"/>
      <c r="AV380" s="6"/>
      <c r="AW380" s="6"/>
      <c r="AX380" s="7">
        <f t="shared" ref="AX380:AX381" si="611">SUM(AQ380:AW380)</f>
        <v>0</v>
      </c>
      <c r="AY380" s="11">
        <f t="shared" ref="AY380:AY381" si="612">AP380+AM380-AX380</f>
        <v>0</v>
      </c>
      <c r="AZ380" s="25"/>
      <c r="BA380" s="10" t="str">
        <f t="shared" si="359"/>
        <v>OutubroSEMANA 5Repolho Roxo Org. Feirinha</v>
      </c>
      <c r="BB380" s="7">
        <f>SUMIF(NF!$A:$A,$BA380,NF!$I:$I)</f>
        <v>0</v>
      </c>
      <c r="BC380" s="6"/>
      <c r="BD380" s="6"/>
      <c r="BE380" s="6"/>
      <c r="BF380" s="74"/>
      <c r="BG380" s="74"/>
      <c r="BH380" s="74"/>
      <c r="BI380" s="74"/>
      <c r="BJ380" s="74"/>
      <c r="BK380" s="7">
        <f t="shared" ref="BK380:BK381" si="613">SUM(BC380:BJ380)</f>
        <v>0</v>
      </c>
      <c r="BL380" s="8">
        <f t="shared" ref="BL380:BL381" si="614">BB380+AY380-BK380</f>
        <v>0</v>
      </c>
      <c r="BM380" s="51" t="str">
        <f>IFERROR(VLOOKUP(A380,NF!$M:$O,3,0),"")</f>
        <v>Feirinha</v>
      </c>
      <c r="BN380" s="7">
        <f t="shared" ref="BN380:BN381" si="615">SUM(N380,Z380,AL380,AX380,BK380)</f>
        <v>0</v>
      </c>
      <c r="BO380" s="8">
        <f t="array" ref="BO380">IFERROR(LARGE(IF(NF!$G$2:$G$3137='Mês atual'!A380,NF!$J$2:$J$3137),1),0)*BN380</f>
        <v>0</v>
      </c>
      <c r="BP380" s="50"/>
      <c r="BR380" s="147">
        <f t="array" ref="BR380">IFERROR(LARGE(IF(NF!$G$2:$G$3137='Mês atual'!A380,NF!$J$2:$J$3137),1),0)</f>
        <v>0</v>
      </c>
      <c r="BS380" s="143" t="str">
        <f>VLOOKUP(A380,NF!M:O,3,0)</f>
        <v>Feirinha</v>
      </c>
    </row>
    <row r="381" spans="1:71" x14ac:dyDescent="0.25">
      <c r="A381" s="108" t="s">
        <v>1019</v>
      </c>
      <c r="B381" s="12"/>
      <c r="C381" s="9"/>
      <c r="D381" s="25"/>
      <c r="E381" s="10" t="str">
        <f t="shared" si="347"/>
        <v>OutubroSEMANA 1Repolho Verde Org. Feirinha</v>
      </c>
      <c r="F381" s="7">
        <f>SUMIF(NF!$A:$A,$E381,NF!$I:$I)</f>
        <v>0</v>
      </c>
      <c r="G381" s="6"/>
      <c r="H381" s="6"/>
      <c r="I381" s="6"/>
      <c r="J381" s="6"/>
      <c r="K381" s="6"/>
      <c r="L381" s="6"/>
      <c r="M381" s="6"/>
      <c r="N381" s="7">
        <f t="shared" si="605"/>
        <v>0</v>
      </c>
      <c r="O381" s="11">
        <f t="shared" si="606"/>
        <v>0</v>
      </c>
      <c r="P381" s="25"/>
      <c r="Q381" s="10" t="str">
        <f t="shared" si="350"/>
        <v>OutubroSEMANA 2Repolho Verde Org. Feirinha</v>
      </c>
      <c r="R381" s="7">
        <f>SUMIF(NF!$A:$A,$Q381,NF!$I:$I)</f>
        <v>0</v>
      </c>
      <c r="S381" s="6"/>
      <c r="T381" s="6"/>
      <c r="U381" s="6"/>
      <c r="V381" s="6"/>
      <c r="W381" s="6"/>
      <c r="X381" s="6"/>
      <c r="Y381" s="6"/>
      <c r="Z381" s="7">
        <f t="shared" si="607"/>
        <v>0</v>
      </c>
      <c r="AA381" s="11">
        <f t="shared" si="608"/>
        <v>0</v>
      </c>
      <c r="AB381" s="25"/>
      <c r="AC381" s="10" t="str">
        <f t="shared" si="353"/>
        <v>OutubroSEMANA 3Repolho Verde Org. Feirinha</v>
      </c>
      <c r="AD381" s="7">
        <f>SUMIF(NF!$A:$A,$AC381,NF!$I:$I)</f>
        <v>0</v>
      </c>
      <c r="AE381" s="6"/>
      <c r="AF381" s="6"/>
      <c r="AG381" s="6"/>
      <c r="AH381" s="6"/>
      <c r="AI381" s="6"/>
      <c r="AJ381" s="6"/>
      <c r="AK381" s="6"/>
      <c r="AL381" s="7">
        <f t="shared" si="609"/>
        <v>0</v>
      </c>
      <c r="AM381" s="11">
        <f t="shared" si="610"/>
        <v>0</v>
      </c>
      <c r="AN381" s="25"/>
      <c r="AO381" s="10" t="str">
        <f t="shared" si="356"/>
        <v>OutubroSEMANA 4Repolho Verde Org. Feirinha</v>
      </c>
      <c r="AP381" s="7">
        <f>SUMIF(NF!$A:$A,$AO381,NF!$I:$I)</f>
        <v>0</v>
      </c>
      <c r="AQ381" s="6"/>
      <c r="AR381" s="6"/>
      <c r="AS381" s="6"/>
      <c r="AT381" s="6"/>
      <c r="AU381" s="6"/>
      <c r="AV381" s="6"/>
      <c r="AW381" s="6"/>
      <c r="AX381" s="7">
        <f t="shared" si="611"/>
        <v>0</v>
      </c>
      <c r="AY381" s="11">
        <f t="shared" si="612"/>
        <v>0</v>
      </c>
      <c r="AZ381" s="25"/>
      <c r="BA381" s="10" t="str">
        <f t="shared" si="359"/>
        <v>OutubroSEMANA 5Repolho Verde Org. Feirinha</v>
      </c>
      <c r="BB381" s="7">
        <f>SUMIF(NF!$A:$A,$BA381,NF!$I:$I)</f>
        <v>0</v>
      </c>
      <c r="BC381" s="6"/>
      <c r="BD381" s="6"/>
      <c r="BE381" s="6"/>
      <c r="BF381" s="74"/>
      <c r="BG381" s="74"/>
      <c r="BH381" s="74"/>
      <c r="BI381" s="74"/>
      <c r="BJ381" s="74"/>
      <c r="BK381" s="7">
        <f t="shared" si="613"/>
        <v>0</v>
      </c>
      <c r="BL381" s="8">
        <f t="shared" si="614"/>
        <v>0</v>
      </c>
      <c r="BM381" s="51" t="str">
        <f>IFERROR(VLOOKUP(A381,NF!$M:$O,3,0),"")</f>
        <v>Feirinha</v>
      </c>
      <c r="BN381" s="7">
        <f t="shared" si="615"/>
        <v>0</v>
      </c>
      <c r="BO381" s="8">
        <f t="array" ref="BO381">IFERROR(LARGE(IF(NF!$G$2:$G$3137='Mês atual'!A381,NF!$J$2:$J$3137),1),0)*BN381</f>
        <v>0</v>
      </c>
      <c r="BP381" s="50"/>
      <c r="BR381" s="147">
        <f t="array" ref="BR381">IFERROR(LARGE(IF(NF!$G$2:$G$3137='Mês atual'!A381,NF!$J$2:$J$3137),1),0)</f>
        <v>0</v>
      </c>
      <c r="BS381" s="143" t="str">
        <f>VLOOKUP(A381,NF!M:O,3,0)</f>
        <v>Feirinha</v>
      </c>
    </row>
    <row r="382" spans="1:71" x14ac:dyDescent="0.25">
      <c r="A382" s="108" t="s">
        <v>884</v>
      </c>
      <c r="B382" s="12"/>
      <c r="C382" s="9"/>
      <c r="D382" s="25"/>
      <c r="E382" s="10" t="str">
        <f t="shared" si="347"/>
        <v>OutubroSEMANA 1Rucula Org. Feirinha</v>
      </c>
      <c r="F382" s="7">
        <f>SUMIF(NF!$A:$A,$E382,NF!$I:$I)</f>
        <v>0.45</v>
      </c>
      <c r="G382" s="6"/>
      <c r="H382" s="6"/>
      <c r="I382" s="6"/>
      <c r="J382" s="6"/>
      <c r="K382" s="6">
        <v>0.45</v>
      </c>
      <c r="L382" s="6"/>
      <c r="M382" s="6"/>
      <c r="N382" s="7">
        <f t="shared" ref="N382:N385" si="616">SUM(G382:M382)</f>
        <v>0.45</v>
      </c>
      <c r="O382" s="11">
        <f t="shared" si="554"/>
        <v>0</v>
      </c>
      <c r="P382" s="25"/>
      <c r="Q382" s="10" t="str">
        <f t="shared" si="350"/>
        <v>OutubroSEMANA 2Rucula Org. Feirinha</v>
      </c>
      <c r="R382" s="7">
        <f>SUMIF(NF!$A:$A,$Q382,NF!$I:$I)</f>
        <v>0.45</v>
      </c>
      <c r="S382" s="6"/>
      <c r="T382" s="6"/>
      <c r="U382" s="6"/>
      <c r="V382" s="6"/>
      <c r="W382" s="6"/>
      <c r="X382" s="6"/>
      <c r="Y382" s="6">
        <v>0.45</v>
      </c>
      <c r="Z382" s="7">
        <f t="shared" ref="Z382:Z385" si="617">SUM(S382:Y382)</f>
        <v>0.45</v>
      </c>
      <c r="AA382" s="11">
        <f t="shared" si="556"/>
        <v>0</v>
      </c>
      <c r="AB382" s="25"/>
      <c r="AC382" s="10" t="str">
        <f t="shared" si="353"/>
        <v>OutubroSEMANA 3Rucula Org. Feirinha</v>
      </c>
      <c r="AD382" s="7">
        <f>SUMIF(NF!$A:$A,$AC382,NF!$I:$I)</f>
        <v>0.45</v>
      </c>
      <c r="AE382" s="6"/>
      <c r="AF382" s="6"/>
      <c r="AG382" s="6"/>
      <c r="AH382" s="6"/>
      <c r="AI382" s="6">
        <v>0.45</v>
      </c>
      <c r="AJ382" s="6"/>
      <c r="AK382" s="6"/>
      <c r="AL382" s="7">
        <f t="shared" ref="AL382:AL385" si="618">SUM(AE382:AK382)</f>
        <v>0.45</v>
      </c>
      <c r="AM382" s="11">
        <f t="shared" si="558"/>
        <v>0</v>
      </c>
      <c r="AN382" s="25"/>
      <c r="AO382" s="10" t="str">
        <f t="shared" si="356"/>
        <v>OutubroSEMANA 4Rucula Org. Feirinha</v>
      </c>
      <c r="AP382" s="7">
        <f>SUMIF(NF!$A:$A,$AO382,NF!$I:$I)</f>
        <v>0.45</v>
      </c>
      <c r="AQ382" s="6"/>
      <c r="AR382" s="6"/>
      <c r="AS382" s="6"/>
      <c r="AT382" s="6"/>
      <c r="AU382" s="6"/>
      <c r="AV382" s="6"/>
      <c r="AW382" s="6"/>
      <c r="AX382" s="7">
        <f t="shared" ref="AX382:AX385" si="619">SUM(AQ382:AW382)</f>
        <v>0</v>
      </c>
      <c r="AY382" s="11">
        <f t="shared" si="560"/>
        <v>0.45</v>
      </c>
      <c r="AZ382" s="25"/>
      <c r="BA382" s="10" t="str">
        <f t="shared" si="359"/>
        <v>OutubroSEMANA 5Rucula Org. Feirinha</v>
      </c>
      <c r="BB382" s="7">
        <f>SUMIF(NF!$A:$A,$BA382,NF!$I:$I)</f>
        <v>0</v>
      </c>
      <c r="BC382" s="6">
        <v>0.45</v>
      </c>
      <c r="BD382" s="6"/>
      <c r="BE382" s="6"/>
      <c r="BF382" s="74"/>
      <c r="BG382" s="74"/>
      <c r="BH382" s="74"/>
      <c r="BI382" s="74"/>
      <c r="BJ382" s="74"/>
      <c r="BK382" s="7">
        <f t="shared" ref="BK382:BK385" si="620">SUM(BC382:BJ382)</f>
        <v>0.45</v>
      </c>
      <c r="BL382" s="8">
        <f t="shared" si="562"/>
        <v>0</v>
      </c>
      <c r="BM382" s="51" t="str">
        <f>IFERROR(VLOOKUP(A382,NF!$M:$O,3,0),"")</f>
        <v>Feirinha</v>
      </c>
      <c r="BN382" s="7">
        <f t="shared" si="563"/>
        <v>1.8</v>
      </c>
      <c r="BO382" s="8">
        <f t="array" ref="BO382">IFERROR(LARGE(IF(NF!$G$2:$G$3137='Mês atual'!A382,NF!$J$2:$J$3137),1),0)*BN382</f>
        <v>38.400000000000006</v>
      </c>
      <c r="BP382" s="50"/>
      <c r="BR382" s="147">
        <f t="array" ref="BR382">IFERROR(LARGE(IF(NF!$G$2:$G$3137='Mês atual'!A382,NF!$J$2:$J$3137),1),0)</f>
        <v>21.333333333333336</v>
      </c>
      <c r="BS382" s="143" t="str">
        <f>VLOOKUP(A382,NF!M:O,3,0)</f>
        <v>Feirinha</v>
      </c>
    </row>
    <row r="383" spans="1:71" x14ac:dyDescent="0.25">
      <c r="A383" s="108" t="s">
        <v>715</v>
      </c>
      <c r="B383" s="12"/>
      <c r="C383" s="9">
        <v>2</v>
      </c>
      <c r="D383" s="25"/>
      <c r="E383" s="10" t="str">
        <f t="shared" si="347"/>
        <v>OutubroSEMANA 1Saco Microperfurado 25x35 pacte 200</v>
      </c>
      <c r="F383" s="7">
        <f>SUMIF(NF!$A:$A,$E383,NF!$I:$I)</f>
        <v>0</v>
      </c>
      <c r="G383" s="6"/>
      <c r="H383" s="6"/>
      <c r="I383" s="6"/>
      <c r="J383" s="6"/>
      <c r="K383" s="6"/>
      <c r="L383" s="6"/>
      <c r="M383" s="6"/>
      <c r="N383" s="7">
        <f t="shared" si="616"/>
        <v>0</v>
      </c>
      <c r="O383" s="11">
        <f t="shared" si="554"/>
        <v>2</v>
      </c>
      <c r="P383" s="25"/>
      <c r="Q383" s="10" t="str">
        <f t="shared" si="350"/>
        <v>OutubroSEMANA 2Saco Microperfurado 25x35 pacte 200</v>
      </c>
      <c r="R383" s="7">
        <f>SUMIF(NF!$A:$A,$Q383,NF!$I:$I)</f>
        <v>0</v>
      </c>
      <c r="S383" s="6"/>
      <c r="T383" s="6"/>
      <c r="U383" s="6"/>
      <c r="V383" s="6"/>
      <c r="W383" s="6"/>
      <c r="X383" s="6"/>
      <c r="Y383" s="6"/>
      <c r="Z383" s="7">
        <f t="shared" si="617"/>
        <v>0</v>
      </c>
      <c r="AA383" s="11">
        <f t="shared" si="556"/>
        <v>2</v>
      </c>
      <c r="AB383" s="25"/>
      <c r="AC383" s="10" t="str">
        <f t="shared" si="353"/>
        <v>OutubroSEMANA 3Saco Microperfurado 25x35 pacte 200</v>
      </c>
      <c r="AD383" s="7">
        <f>SUMIF(NF!$A:$A,$AC383,NF!$I:$I)</f>
        <v>0</v>
      </c>
      <c r="AE383" s="6"/>
      <c r="AF383" s="6"/>
      <c r="AG383" s="6"/>
      <c r="AH383" s="6"/>
      <c r="AI383" s="6"/>
      <c r="AJ383" s="6"/>
      <c r="AK383" s="6"/>
      <c r="AL383" s="7">
        <f t="shared" si="618"/>
        <v>0</v>
      </c>
      <c r="AM383" s="11">
        <f t="shared" si="558"/>
        <v>2</v>
      </c>
      <c r="AN383" s="25"/>
      <c r="AO383" s="10" t="str">
        <f t="shared" si="356"/>
        <v>OutubroSEMANA 4Saco Microperfurado 25x35 pacte 200</v>
      </c>
      <c r="AP383" s="7">
        <f>SUMIF(NF!$A:$A,$AO383,NF!$I:$I)</f>
        <v>0</v>
      </c>
      <c r="AQ383" s="6"/>
      <c r="AR383" s="6"/>
      <c r="AS383" s="6"/>
      <c r="AT383" s="6"/>
      <c r="AU383" s="6"/>
      <c r="AV383" s="6"/>
      <c r="AW383" s="6"/>
      <c r="AX383" s="7">
        <f t="shared" si="619"/>
        <v>0</v>
      </c>
      <c r="AY383" s="11">
        <f t="shared" si="560"/>
        <v>2</v>
      </c>
      <c r="AZ383" s="25"/>
      <c r="BA383" s="10" t="str">
        <f t="shared" si="359"/>
        <v>OutubroSEMANA 5Saco Microperfurado 25x35 pacte 200</v>
      </c>
      <c r="BB383" s="7">
        <f>SUMIF(NF!$A:$A,$BA383,NF!$I:$I)</f>
        <v>0</v>
      </c>
      <c r="BC383" s="6"/>
      <c r="BD383" s="6"/>
      <c r="BE383" s="6"/>
      <c r="BF383" s="74"/>
      <c r="BG383" s="74"/>
      <c r="BH383" s="74"/>
      <c r="BI383" s="74"/>
      <c r="BJ383" s="74"/>
      <c r="BK383" s="7">
        <f t="shared" si="620"/>
        <v>0</v>
      </c>
      <c r="BL383" s="8">
        <f t="shared" si="562"/>
        <v>2</v>
      </c>
      <c r="BM383" s="51" t="str">
        <f>IFERROR(VLOOKUP(A383,NF!$M:$O,3,0),"")</f>
        <v>Feirinha</v>
      </c>
      <c r="BN383" s="7">
        <f t="shared" si="563"/>
        <v>0</v>
      </c>
      <c r="BO383" s="8">
        <f t="array" ref="BO383">IFERROR(LARGE(IF(NF!$G$2:$G$3137='Mês atual'!A383,NF!$J$2:$J$3137),1),0)*BN383</f>
        <v>0</v>
      </c>
      <c r="BP383" s="50"/>
      <c r="BR383" s="147">
        <f t="array" ref="BR383">IFERROR(LARGE(IF(NF!$G$2:$G$3137='Mês atual'!A383,NF!$J$2:$J$3137),1),0)</f>
        <v>0</v>
      </c>
      <c r="BS383" s="143" t="str">
        <f>VLOOKUP(A383,NF!M:O,3,0)</f>
        <v>Feirinha</v>
      </c>
    </row>
    <row r="384" spans="1:71" x14ac:dyDescent="0.25">
      <c r="A384" s="108" t="s">
        <v>716</v>
      </c>
      <c r="B384" s="12"/>
      <c r="C384" s="9">
        <v>5</v>
      </c>
      <c r="D384" s="25"/>
      <c r="E384" s="10" t="str">
        <f t="shared" si="347"/>
        <v>OutubroSEMANA 1Saco Microperfurado 30x40 pacte 200</v>
      </c>
      <c r="F384" s="7">
        <f>SUMIF(NF!$A:$A,$E384,NF!$I:$I)</f>
        <v>0</v>
      </c>
      <c r="G384" s="6"/>
      <c r="H384" s="6"/>
      <c r="I384" s="6"/>
      <c r="J384" s="6"/>
      <c r="K384" s="6"/>
      <c r="L384" s="6"/>
      <c r="M384" s="6"/>
      <c r="N384" s="7">
        <f t="shared" si="616"/>
        <v>0</v>
      </c>
      <c r="O384" s="11">
        <f t="shared" si="554"/>
        <v>5</v>
      </c>
      <c r="P384" s="25"/>
      <c r="Q384" s="10" t="str">
        <f t="shared" si="350"/>
        <v>OutubroSEMANA 2Saco Microperfurado 30x40 pacte 200</v>
      </c>
      <c r="R384" s="7">
        <f>SUMIF(NF!$A:$A,$Q384,NF!$I:$I)</f>
        <v>0</v>
      </c>
      <c r="S384" s="6"/>
      <c r="T384" s="6"/>
      <c r="U384" s="6"/>
      <c r="V384" s="6"/>
      <c r="W384" s="6"/>
      <c r="X384" s="6"/>
      <c r="Y384" s="6"/>
      <c r="Z384" s="7">
        <f t="shared" si="617"/>
        <v>0</v>
      </c>
      <c r="AA384" s="11">
        <f t="shared" si="556"/>
        <v>5</v>
      </c>
      <c r="AB384" s="25"/>
      <c r="AC384" s="10" t="str">
        <f t="shared" si="353"/>
        <v>OutubroSEMANA 3Saco Microperfurado 30x40 pacte 200</v>
      </c>
      <c r="AD384" s="7">
        <f>SUMIF(NF!$A:$A,$AC384,NF!$I:$I)</f>
        <v>0</v>
      </c>
      <c r="AE384" s="6"/>
      <c r="AF384" s="6"/>
      <c r="AG384" s="6"/>
      <c r="AH384" s="6"/>
      <c r="AI384" s="6"/>
      <c r="AJ384" s="6"/>
      <c r="AK384" s="6"/>
      <c r="AL384" s="7">
        <f t="shared" si="618"/>
        <v>0</v>
      </c>
      <c r="AM384" s="11">
        <f t="shared" si="558"/>
        <v>5</v>
      </c>
      <c r="AN384" s="25"/>
      <c r="AO384" s="10" t="str">
        <f t="shared" si="356"/>
        <v>OutubroSEMANA 4Saco Microperfurado 30x40 pacte 200</v>
      </c>
      <c r="AP384" s="7">
        <f>SUMIF(NF!$A:$A,$AO384,NF!$I:$I)</f>
        <v>0</v>
      </c>
      <c r="AQ384" s="6"/>
      <c r="AR384" s="6"/>
      <c r="AS384" s="6"/>
      <c r="AT384" s="6"/>
      <c r="AU384" s="6"/>
      <c r="AV384" s="6"/>
      <c r="AW384" s="6"/>
      <c r="AX384" s="7">
        <f t="shared" si="619"/>
        <v>0</v>
      </c>
      <c r="AY384" s="11">
        <f t="shared" si="560"/>
        <v>5</v>
      </c>
      <c r="AZ384" s="25"/>
      <c r="BA384" s="10" t="str">
        <f t="shared" si="359"/>
        <v>OutubroSEMANA 5Saco Microperfurado 30x40 pacte 200</v>
      </c>
      <c r="BB384" s="7">
        <f>SUMIF(NF!$A:$A,$BA384,NF!$I:$I)</f>
        <v>0</v>
      </c>
      <c r="BC384" s="6"/>
      <c r="BD384" s="6"/>
      <c r="BE384" s="6"/>
      <c r="BF384" s="74"/>
      <c r="BG384" s="74"/>
      <c r="BH384" s="74"/>
      <c r="BI384" s="74"/>
      <c r="BJ384" s="74"/>
      <c r="BK384" s="7">
        <f t="shared" si="620"/>
        <v>0</v>
      </c>
      <c r="BL384" s="8">
        <f t="shared" si="562"/>
        <v>5</v>
      </c>
      <c r="BM384" s="51" t="str">
        <f>IFERROR(VLOOKUP(A384,NF!$M:$O,3,0),"")</f>
        <v>Feirinha</v>
      </c>
      <c r="BN384" s="7">
        <f t="shared" si="563"/>
        <v>0</v>
      </c>
      <c r="BO384" s="8">
        <f t="array" ref="BO384">IFERROR(LARGE(IF(NF!$G$2:$G$3137='Mês atual'!A384,NF!$J$2:$J$3137),1),0)*BN384</f>
        <v>0</v>
      </c>
      <c r="BP384" s="50"/>
      <c r="BR384" s="147">
        <f t="array" ref="BR384">IFERROR(LARGE(IF(NF!$G$2:$G$3137='Mês atual'!A384,NF!$J$2:$J$3137),1),0)</f>
        <v>0</v>
      </c>
      <c r="BS384" s="143" t="str">
        <f>VLOOKUP(A384,NF!M:O,3,0)</f>
        <v>Feirinha</v>
      </c>
    </row>
    <row r="385" spans="1:74" x14ac:dyDescent="0.25">
      <c r="A385" s="108" t="s">
        <v>972</v>
      </c>
      <c r="B385" s="12"/>
      <c r="C385" s="9">
        <v>165</v>
      </c>
      <c r="D385" s="25"/>
      <c r="E385" s="10" t="str">
        <f t="shared" si="347"/>
        <v>OutubroSEMANA 1Sacola Camiseta Azul 30x45</v>
      </c>
      <c r="F385" s="7">
        <f>SUMIF(NF!$A:$A,$E385,NF!$I:$I)</f>
        <v>0</v>
      </c>
      <c r="G385" s="6"/>
      <c r="H385" s="6"/>
      <c r="I385" s="6"/>
      <c r="J385" s="6"/>
      <c r="K385" s="6"/>
      <c r="L385" s="6">
        <v>15</v>
      </c>
      <c r="M385" s="6"/>
      <c r="N385" s="7">
        <f t="shared" si="616"/>
        <v>15</v>
      </c>
      <c r="O385" s="11">
        <f t="shared" si="554"/>
        <v>150</v>
      </c>
      <c r="P385" s="25"/>
      <c r="Q385" s="10" t="str">
        <f t="shared" si="350"/>
        <v>OutubroSEMANA 2Sacola Camiseta Azul 30x45</v>
      </c>
      <c r="R385" s="7">
        <f>SUMIF(NF!$A:$A,$Q385,NF!$I:$I)</f>
        <v>0</v>
      </c>
      <c r="S385" s="6"/>
      <c r="T385" s="6"/>
      <c r="U385" s="6"/>
      <c r="V385" s="6"/>
      <c r="W385" s="6"/>
      <c r="X385" s="6">
        <v>15</v>
      </c>
      <c r="Y385" s="6"/>
      <c r="Z385" s="7">
        <f t="shared" si="617"/>
        <v>15</v>
      </c>
      <c r="AA385" s="11">
        <f t="shared" si="556"/>
        <v>135</v>
      </c>
      <c r="AB385" s="25"/>
      <c r="AC385" s="10" t="str">
        <f t="shared" si="353"/>
        <v>OutubroSEMANA 3Sacola Camiseta Azul 30x45</v>
      </c>
      <c r="AD385" s="7">
        <f>SUMIF(NF!$A:$A,$AC385,NF!$I:$I)</f>
        <v>0</v>
      </c>
      <c r="AE385" s="6"/>
      <c r="AF385" s="6"/>
      <c r="AG385" s="6"/>
      <c r="AH385" s="6"/>
      <c r="AI385" s="6"/>
      <c r="AJ385" s="6"/>
      <c r="AK385" s="6"/>
      <c r="AL385" s="7">
        <f t="shared" si="618"/>
        <v>0</v>
      </c>
      <c r="AM385" s="11">
        <f t="shared" si="558"/>
        <v>135</v>
      </c>
      <c r="AN385" s="25"/>
      <c r="AO385" s="10" t="str">
        <f t="shared" si="356"/>
        <v>OutubroSEMANA 4Sacola Camiseta Azul 30x45</v>
      </c>
      <c r="AP385" s="7">
        <f>SUMIF(NF!$A:$A,$AO385,NF!$I:$I)</f>
        <v>0</v>
      </c>
      <c r="AQ385" s="6"/>
      <c r="AR385" s="6"/>
      <c r="AS385" s="6"/>
      <c r="AT385" s="6"/>
      <c r="AU385" s="6"/>
      <c r="AV385" s="6">
        <v>15</v>
      </c>
      <c r="AW385" s="6"/>
      <c r="AX385" s="7">
        <f t="shared" si="619"/>
        <v>15</v>
      </c>
      <c r="AY385" s="11">
        <f t="shared" si="560"/>
        <v>120</v>
      </c>
      <c r="AZ385" s="25"/>
      <c r="BA385" s="10" t="str">
        <f t="shared" si="359"/>
        <v>OutubroSEMANA 5Sacola Camiseta Azul 30x45</v>
      </c>
      <c r="BB385" s="7">
        <f>SUMIF(NF!$A:$A,$BA385,NF!$I:$I)</f>
        <v>0</v>
      </c>
      <c r="BC385" s="6">
        <v>15</v>
      </c>
      <c r="BD385" s="6"/>
      <c r="BE385" s="6"/>
      <c r="BF385" s="74"/>
      <c r="BG385" s="74"/>
      <c r="BH385" s="74"/>
      <c r="BI385" s="74"/>
      <c r="BJ385" s="74"/>
      <c r="BK385" s="7">
        <f t="shared" si="620"/>
        <v>15</v>
      </c>
      <c r="BL385" s="8">
        <f t="shared" si="562"/>
        <v>105</v>
      </c>
      <c r="BM385" s="51" t="str">
        <f>IFERROR(VLOOKUP(A385,NF!$M:$O,3,0),"")</f>
        <v>Feirinha</v>
      </c>
      <c r="BN385" s="7">
        <f t="shared" si="563"/>
        <v>60</v>
      </c>
      <c r="BO385" s="8">
        <f t="array" ref="BO385">IFERROR(LARGE(IF(NF!$G$2:$G$3137='Mês atual'!A385,NF!$J$2:$J$3137),1),0)*BN385</f>
        <v>0</v>
      </c>
      <c r="BP385" s="50"/>
      <c r="BR385" s="147">
        <f t="array" ref="BR385">IFERROR(LARGE(IF(NF!$G$2:$G$3137='Mês atual'!A385,NF!$J$2:$J$3137),1),0)</f>
        <v>0</v>
      </c>
      <c r="BS385" s="143" t="str">
        <f>VLOOKUP(A385,NF!M:O,3,0)</f>
        <v>Feirinha</v>
      </c>
    </row>
    <row r="386" spans="1:74" x14ac:dyDescent="0.25">
      <c r="A386" s="108" t="s">
        <v>959</v>
      </c>
      <c r="B386" s="12"/>
      <c r="C386" s="9"/>
      <c r="D386" s="25"/>
      <c r="E386" s="10" t="str">
        <f t="shared" si="347"/>
        <v>OutubroSEMANA 1Tomate Salada Org. Feirinha</v>
      </c>
      <c r="F386" s="7">
        <f>SUMIF(NF!$A:$A,$E386,NF!$I:$I)</f>
        <v>0</v>
      </c>
      <c r="G386" s="6"/>
      <c r="H386" s="6"/>
      <c r="I386" s="6"/>
      <c r="J386" s="6"/>
      <c r="K386" s="6"/>
      <c r="L386" s="6"/>
      <c r="M386" s="6"/>
      <c r="N386" s="7">
        <f t="shared" ref="N386" si="621">SUM(G386:M386)</f>
        <v>0</v>
      </c>
      <c r="O386" s="11">
        <f t="shared" si="554"/>
        <v>0</v>
      </c>
      <c r="P386" s="25"/>
      <c r="Q386" s="10" t="str">
        <f t="shared" si="350"/>
        <v>OutubroSEMANA 2Tomate Salada Org. Feirinha</v>
      </c>
      <c r="R386" s="7">
        <f>SUMIF(NF!$A:$A,$Q386,NF!$I:$I)</f>
        <v>0</v>
      </c>
      <c r="S386" s="6"/>
      <c r="T386" s="6"/>
      <c r="U386" s="6"/>
      <c r="V386" s="6"/>
      <c r="W386" s="6"/>
      <c r="X386" s="6"/>
      <c r="Y386" s="6"/>
      <c r="Z386" s="7">
        <f t="shared" ref="Z386" si="622">SUM(S386:Y386)</f>
        <v>0</v>
      </c>
      <c r="AA386" s="11">
        <f t="shared" si="556"/>
        <v>0</v>
      </c>
      <c r="AB386" s="25"/>
      <c r="AC386" s="10" t="str">
        <f t="shared" si="353"/>
        <v>OutubroSEMANA 3Tomate Salada Org. Feirinha</v>
      </c>
      <c r="AD386" s="7">
        <f>SUMIF(NF!$A:$A,$AC386,NF!$I:$I)</f>
        <v>0</v>
      </c>
      <c r="AE386" s="6"/>
      <c r="AF386" s="6"/>
      <c r="AG386" s="6"/>
      <c r="AH386" s="6"/>
      <c r="AI386" s="6"/>
      <c r="AJ386" s="6"/>
      <c r="AK386" s="6"/>
      <c r="AL386" s="7">
        <f t="shared" ref="AL386" si="623">SUM(AE386:AK386)</f>
        <v>0</v>
      </c>
      <c r="AM386" s="11">
        <f t="shared" si="558"/>
        <v>0</v>
      </c>
      <c r="AN386" s="25"/>
      <c r="AO386" s="10" t="str">
        <f t="shared" si="356"/>
        <v>OutubroSEMANA 4Tomate Salada Org. Feirinha</v>
      </c>
      <c r="AP386" s="7">
        <f>SUMIF(NF!$A:$A,$AO386,NF!$I:$I)</f>
        <v>0</v>
      </c>
      <c r="AQ386" s="6"/>
      <c r="AR386" s="6"/>
      <c r="AS386" s="6"/>
      <c r="AT386" s="6"/>
      <c r="AU386" s="6"/>
      <c r="AV386" s="6"/>
      <c r="AW386" s="6"/>
      <c r="AX386" s="7">
        <f t="shared" ref="AX386" si="624">SUM(AQ386:AW386)</f>
        <v>0</v>
      </c>
      <c r="AY386" s="11">
        <f t="shared" si="560"/>
        <v>0</v>
      </c>
      <c r="AZ386" s="25"/>
      <c r="BA386" s="10" t="str">
        <f t="shared" si="359"/>
        <v>OutubroSEMANA 5Tomate Salada Org. Feirinha</v>
      </c>
      <c r="BB386" s="7">
        <f>SUMIF(NF!$A:$A,$BA386,NF!$I:$I)</f>
        <v>0</v>
      </c>
      <c r="BC386" s="6"/>
      <c r="BD386" s="6"/>
      <c r="BE386" s="6"/>
      <c r="BF386" s="74"/>
      <c r="BG386" s="74"/>
      <c r="BH386" s="74"/>
      <c r="BI386" s="74"/>
      <c r="BJ386" s="74"/>
      <c r="BK386" s="7">
        <f t="shared" ref="BK386" si="625">SUM(BC386:BJ386)</f>
        <v>0</v>
      </c>
      <c r="BL386" s="8">
        <f t="shared" si="562"/>
        <v>0</v>
      </c>
      <c r="BM386" s="51" t="str">
        <f>IFERROR(VLOOKUP(A386,NF!$M:$O,3,0),"")</f>
        <v>Feirinha</v>
      </c>
      <c r="BN386" s="7">
        <f t="shared" si="563"/>
        <v>0</v>
      </c>
      <c r="BO386" s="8">
        <f t="array" ref="BO386">IFERROR(LARGE(IF(NF!$G$2:$G$3137='Mês atual'!A386,NF!$J$2:$J$3137),1),0)*BN386</f>
        <v>0</v>
      </c>
      <c r="BP386" s="50"/>
      <c r="BR386" s="147">
        <f t="array" ref="BR386">IFERROR(LARGE(IF(NF!$G$2:$G$3137='Mês atual'!A386,NF!$J$2:$J$3137),1),0)</f>
        <v>0</v>
      </c>
      <c r="BS386" s="143" t="str">
        <f>VLOOKUP(A386,NF!M:O,3,0)</f>
        <v>Feirinha</v>
      </c>
    </row>
    <row r="387" spans="1:74" ht="15.75" thickBot="1" x14ac:dyDescent="0.3">
      <c r="A387" s="108" t="s">
        <v>960</v>
      </c>
      <c r="B387" s="12"/>
      <c r="C387" s="9"/>
      <c r="D387" s="25"/>
      <c r="E387" s="10" t="str">
        <f t="shared" si="347"/>
        <v>OutubroSEMANA 1Vagem Francesa Org. Feirinha</v>
      </c>
      <c r="F387" s="7">
        <f>SUMIF(NF!$A:$A,$E387,NF!$I:$I)</f>
        <v>0</v>
      </c>
      <c r="G387" s="6"/>
      <c r="H387" s="6"/>
      <c r="I387" s="6"/>
      <c r="J387" s="6"/>
      <c r="K387" s="6"/>
      <c r="L387" s="6"/>
      <c r="M387" s="6"/>
      <c r="N387" s="7">
        <f t="shared" ref="N387" si="626">SUM(G387:M387)</f>
        <v>0</v>
      </c>
      <c r="O387" s="11">
        <f t="shared" si="554"/>
        <v>0</v>
      </c>
      <c r="P387" s="25"/>
      <c r="Q387" s="10" t="str">
        <f t="shared" si="350"/>
        <v>OutubroSEMANA 2Vagem Francesa Org. Feirinha</v>
      </c>
      <c r="R387" s="7">
        <f>SUMIF(NF!$A:$A,$Q387,NF!$I:$I)</f>
        <v>0</v>
      </c>
      <c r="S387" s="6"/>
      <c r="T387" s="6"/>
      <c r="U387" s="6"/>
      <c r="V387" s="6"/>
      <c r="W387" s="6"/>
      <c r="X387" s="6"/>
      <c r="Y387" s="6"/>
      <c r="Z387" s="7">
        <f t="shared" ref="Z387" si="627">SUM(S387:Y387)</f>
        <v>0</v>
      </c>
      <c r="AA387" s="11">
        <f t="shared" si="556"/>
        <v>0</v>
      </c>
      <c r="AB387" s="25"/>
      <c r="AC387" s="10" t="str">
        <f t="shared" si="353"/>
        <v>OutubroSEMANA 3Vagem Francesa Org. Feirinha</v>
      </c>
      <c r="AD387" s="7">
        <f>SUMIF(NF!$A:$A,$AC387,NF!$I:$I)</f>
        <v>0</v>
      </c>
      <c r="AE387" s="6"/>
      <c r="AF387" s="6"/>
      <c r="AG387" s="6"/>
      <c r="AH387" s="6"/>
      <c r="AI387" s="6"/>
      <c r="AJ387" s="6"/>
      <c r="AK387" s="6"/>
      <c r="AL387" s="7">
        <f t="shared" ref="AL387" si="628">SUM(AE387:AK387)</f>
        <v>0</v>
      </c>
      <c r="AM387" s="11">
        <f t="shared" si="558"/>
        <v>0</v>
      </c>
      <c r="AN387" s="25"/>
      <c r="AO387" s="10" t="str">
        <f t="shared" si="356"/>
        <v>OutubroSEMANA 4Vagem Francesa Org. Feirinha</v>
      </c>
      <c r="AP387" s="7">
        <f>SUMIF(NF!$A:$A,$AO387,NF!$I:$I)</f>
        <v>0</v>
      </c>
      <c r="AQ387" s="6"/>
      <c r="AR387" s="6"/>
      <c r="AS387" s="6"/>
      <c r="AT387" s="6"/>
      <c r="AU387" s="6"/>
      <c r="AV387" s="6"/>
      <c r="AW387" s="6"/>
      <c r="AX387" s="7">
        <f t="shared" ref="AX387" si="629">SUM(AQ387:AW387)</f>
        <v>0</v>
      </c>
      <c r="AY387" s="11">
        <f t="shared" si="560"/>
        <v>0</v>
      </c>
      <c r="AZ387" s="25"/>
      <c r="BA387" s="10" t="str">
        <f t="shared" si="359"/>
        <v>OutubroSEMANA 5Vagem Francesa Org. Feirinha</v>
      </c>
      <c r="BB387" s="7">
        <f>SUMIF(NF!$A:$A,$BA387,NF!$I:$I)</f>
        <v>0</v>
      </c>
      <c r="BC387" s="6"/>
      <c r="BD387" s="6"/>
      <c r="BE387" s="6"/>
      <c r="BF387" s="74"/>
      <c r="BG387" s="74"/>
      <c r="BH387" s="74"/>
      <c r="BI387" s="74"/>
      <c r="BJ387" s="74"/>
      <c r="BK387" s="7">
        <f t="shared" ref="BK387" si="630">SUM(BC387:BJ387)</f>
        <v>0</v>
      </c>
      <c r="BL387" s="8">
        <f t="shared" si="562"/>
        <v>0</v>
      </c>
      <c r="BM387" s="51" t="str">
        <f>IFERROR(VLOOKUP(A387,NF!$M:$O,3,0),"")</f>
        <v>Feirinha</v>
      </c>
      <c r="BN387" s="7">
        <f t="shared" si="563"/>
        <v>0</v>
      </c>
      <c r="BO387" s="8">
        <f t="array" ref="BO387">IFERROR(LARGE(IF(NF!$G$2:$G$3137='Mês atual'!A387,NF!$J$2:$J$3137),1),0)*BN387</f>
        <v>0</v>
      </c>
      <c r="BP387" s="50"/>
      <c r="BR387" s="147">
        <f t="array" ref="BR387">IFERROR(LARGE(IF(NF!$G$2:$G$3137='Mês atual'!A387,NF!$J$2:$J$3137),1),0)</f>
        <v>0</v>
      </c>
      <c r="BS387" s="143" t="str">
        <f>VLOOKUP(A387,NF!M:O,3,0)</f>
        <v>Feirinha</v>
      </c>
    </row>
    <row r="388" spans="1:74" s="16" customFormat="1" ht="30" customHeight="1" thickBot="1" x14ac:dyDescent="0.3">
      <c r="A388" s="139" t="s">
        <v>924</v>
      </c>
      <c r="B388" s="130"/>
      <c r="C388" s="131"/>
      <c r="D388" s="132"/>
      <c r="E388" s="133"/>
      <c r="F388" s="134"/>
      <c r="G388" s="133"/>
      <c r="H388" s="133"/>
      <c r="I388" s="133"/>
      <c r="J388" s="133"/>
      <c r="K388" s="133"/>
      <c r="L388" s="133"/>
      <c r="M388" s="133"/>
      <c r="N388" s="134"/>
      <c r="O388" s="134"/>
      <c r="P388" s="132"/>
      <c r="Q388" s="133"/>
      <c r="R388" s="134"/>
      <c r="S388" s="133"/>
      <c r="T388" s="133"/>
      <c r="U388" s="133"/>
      <c r="V388" s="133"/>
      <c r="W388" s="133"/>
      <c r="X388" s="133"/>
      <c r="Y388" s="133"/>
      <c r="Z388" s="134"/>
      <c r="AA388" s="134"/>
      <c r="AB388" s="132"/>
      <c r="AC388" s="133"/>
      <c r="AD388" s="134"/>
      <c r="AE388" s="133"/>
      <c r="AF388" s="133"/>
      <c r="AG388" s="133"/>
      <c r="AH388" s="133"/>
      <c r="AI388" s="133"/>
      <c r="AJ388" s="133"/>
      <c r="AK388" s="133"/>
      <c r="AL388" s="134"/>
      <c r="AM388" s="134"/>
      <c r="AN388" s="132"/>
      <c r="AO388" s="133"/>
      <c r="AP388" s="134"/>
      <c r="AQ388" s="133"/>
      <c r="AR388" s="133"/>
      <c r="AS388" s="133"/>
      <c r="AT388" s="133"/>
      <c r="AU388" s="133"/>
      <c r="AV388" s="133"/>
      <c r="AW388" s="133"/>
      <c r="AX388" s="134"/>
      <c r="AY388" s="134"/>
      <c r="AZ388" s="132"/>
      <c r="BA388" s="133"/>
      <c r="BB388" s="134"/>
      <c r="BC388" s="133"/>
      <c r="BD388" s="133"/>
      <c r="BE388" s="133"/>
      <c r="BF388" s="135"/>
      <c r="BG388" s="135"/>
      <c r="BH388" s="135"/>
      <c r="BI388" s="135"/>
      <c r="BJ388" s="135"/>
      <c r="BK388" s="134"/>
      <c r="BL388" s="134"/>
      <c r="BM388" s="136"/>
      <c r="BN388" s="137"/>
      <c r="BO388" s="137"/>
      <c r="BP388" s="138"/>
      <c r="BQ388" s="145"/>
      <c r="BR388" s="145"/>
      <c r="BS388" s="145"/>
      <c r="BT388" s="146"/>
      <c r="BU388" s="146"/>
      <c r="BV388" s="146"/>
    </row>
    <row r="389" spans="1:74" x14ac:dyDescent="0.25">
      <c r="A389" s="108" t="s">
        <v>62</v>
      </c>
      <c r="B389" s="12"/>
      <c r="C389" s="9"/>
      <c r="D389" s="25"/>
      <c r="E389" s="10" t="str">
        <f t="shared" ref="E389:E557" si="631">CONCATENATE($C$2,$F$1,$A389)</f>
        <v xml:space="preserve">OutubroSEMANA 1Abacate </v>
      </c>
      <c r="F389" s="7">
        <f>SUMIF(NF!$A:$A,$E389,NF!$I:$I)</f>
        <v>4</v>
      </c>
      <c r="G389" s="6"/>
      <c r="H389" s="6"/>
      <c r="I389" s="6"/>
      <c r="J389" s="6"/>
      <c r="K389" s="6"/>
      <c r="L389" s="6"/>
      <c r="M389" s="6">
        <v>4</v>
      </c>
      <c r="N389" s="7">
        <f t="shared" ref="N389:N408" si="632">SUM(G389:M389)</f>
        <v>4</v>
      </c>
      <c r="O389" s="11">
        <f t="shared" ref="O389:O557" si="633">F389+C389-N389</f>
        <v>0</v>
      </c>
      <c r="P389" s="25"/>
      <c r="Q389" s="10" t="str">
        <f t="shared" ref="Q389:Q557" si="634">CONCATENATE($C$2,$R$1,$A389)</f>
        <v xml:space="preserve">OutubroSEMANA 2Abacate </v>
      </c>
      <c r="R389" s="7">
        <f>SUMIF(NF!$A:$A,$Q389,NF!$I:$I)</f>
        <v>7</v>
      </c>
      <c r="S389" s="6"/>
      <c r="T389" s="6"/>
      <c r="U389" s="6"/>
      <c r="V389" s="6"/>
      <c r="W389" s="6"/>
      <c r="X389" s="6">
        <v>7</v>
      </c>
      <c r="Y389" s="6"/>
      <c r="Z389" s="7">
        <f t="shared" ref="Z389:Z408" si="635">SUM(S389:Y389)</f>
        <v>7</v>
      </c>
      <c r="AA389" s="11">
        <f t="shared" ref="AA389:AA557" si="636">R389+O389-Z389</f>
        <v>0</v>
      </c>
      <c r="AB389" s="25"/>
      <c r="AC389" s="10" t="str">
        <f t="shared" ref="AC389:AC557" si="637">CONCATENATE($C$2,$AD$1,$A389)</f>
        <v xml:space="preserve">OutubroSEMANA 3Abacate </v>
      </c>
      <c r="AD389" s="7">
        <f>SUMIF(NF!$A:$A,$AC389,NF!$I:$I)</f>
        <v>10</v>
      </c>
      <c r="AE389" s="6"/>
      <c r="AF389" s="6"/>
      <c r="AG389" s="6"/>
      <c r="AH389" s="6"/>
      <c r="AI389" s="6">
        <v>7</v>
      </c>
      <c r="AJ389" s="6"/>
      <c r="AK389" s="6">
        <v>3</v>
      </c>
      <c r="AL389" s="7">
        <f t="shared" ref="AL389:AL408" si="638">SUM(AE389:AK389)</f>
        <v>10</v>
      </c>
      <c r="AM389" s="11">
        <f t="shared" ref="AM389:AM557" si="639">AD389+AA389-AL389</f>
        <v>0</v>
      </c>
      <c r="AN389" s="25"/>
      <c r="AO389" s="10" t="str">
        <f t="shared" ref="AO389:AO557" si="640">CONCATENATE($C$2,$AP$1,$A389)</f>
        <v xml:space="preserve">OutubroSEMANA 4Abacate </v>
      </c>
      <c r="AP389" s="7">
        <f>SUMIF(NF!$A:$A,$AO389,NF!$I:$I)</f>
        <v>17</v>
      </c>
      <c r="AQ389" s="6"/>
      <c r="AR389" s="6"/>
      <c r="AS389" s="6">
        <v>9</v>
      </c>
      <c r="AT389" s="6"/>
      <c r="AU389" s="6"/>
      <c r="AV389" s="6">
        <v>8</v>
      </c>
      <c r="AW389" s="6"/>
      <c r="AX389" s="7">
        <f t="shared" ref="AX389:AX408" si="641">SUM(AQ389:AW389)</f>
        <v>17</v>
      </c>
      <c r="AY389" s="11">
        <f t="shared" ref="AY389:AY557" si="642">AP389+AM389-AX389</f>
        <v>0</v>
      </c>
      <c r="AZ389" s="25"/>
      <c r="BA389" s="10" t="str">
        <f t="shared" ref="BA389:BA557" si="643">CONCATENATE($C$2,$BB$1,$A389)</f>
        <v xml:space="preserve">OutubroSEMANA 5Abacate </v>
      </c>
      <c r="BB389" s="7">
        <f>SUMIF(NF!$A:$A,$BA389,NF!$I:$I)</f>
        <v>13</v>
      </c>
      <c r="BC389" s="6"/>
      <c r="BD389" s="6"/>
      <c r="BE389" s="6">
        <v>13</v>
      </c>
      <c r="BF389" s="74"/>
      <c r="BG389" s="74"/>
      <c r="BH389" s="74"/>
      <c r="BI389" s="74"/>
      <c r="BJ389" s="74"/>
      <c r="BK389" s="7">
        <f t="shared" ref="BK389:BK408" si="644">SUM(BC389:BJ389)</f>
        <v>13</v>
      </c>
      <c r="BL389" s="8">
        <f t="shared" ref="BL389:BL557" si="645">BB389+AY389-BK389</f>
        <v>0</v>
      </c>
      <c r="BM389" s="51" t="str">
        <f>IFERROR(VLOOKUP(A389,NF!$M:$O,3,0),"")</f>
        <v>Hortifruti</v>
      </c>
      <c r="BN389" s="7">
        <f t="shared" ref="BN389:BN557" si="646">SUM(N389,Z389,AL389,AX389,BK389)</f>
        <v>51</v>
      </c>
      <c r="BO389" s="8">
        <f t="array" ref="BO389">IFERROR(LARGE(IF(NF!$G$2:$G$3137='Mês atual'!A389,NF!$J$2:$J$3137),1),0)*BN389</f>
        <v>408</v>
      </c>
      <c r="BP389" s="50"/>
      <c r="BR389" s="147">
        <f t="array" ref="BR389">IFERROR(LARGE(IF(NF!$G$2:$G$3137='Mês atual'!A389,NF!$J$2:$J$3137),1),0)</f>
        <v>8</v>
      </c>
      <c r="BS389" s="143" t="str">
        <f>VLOOKUP(A389,NF!M:O,3,0)</f>
        <v>Hortifruti</v>
      </c>
    </row>
    <row r="390" spans="1:74" x14ac:dyDescent="0.25">
      <c r="A390" s="108" t="s">
        <v>63</v>
      </c>
      <c r="B390" s="12"/>
      <c r="C390" s="9"/>
      <c r="D390" s="25"/>
      <c r="E390" s="10" t="str">
        <f t="shared" si="631"/>
        <v>OutubroSEMANA 1Abacate Organico</v>
      </c>
      <c r="F390" s="7">
        <f>SUMIF(NF!$A:$A,$E390,NF!$I:$I)</f>
        <v>0</v>
      </c>
      <c r="G390" s="6"/>
      <c r="H390" s="6"/>
      <c r="I390" s="6"/>
      <c r="J390" s="6"/>
      <c r="K390" s="6"/>
      <c r="L390" s="6"/>
      <c r="M390" s="6"/>
      <c r="N390" s="7">
        <f t="shared" si="632"/>
        <v>0</v>
      </c>
      <c r="O390" s="11">
        <f t="shared" si="633"/>
        <v>0</v>
      </c>
      <c r="P390" s="25"/>
      <c r="Q390" s="10" t="str">
        <f t="shared" si="634"/>
        <v>OutubroSEMANA 2Abacate Organico</v>
      </c>
      <c r="R390" s="7">
        <f>SUMIF(NF!$A:$A,$Q390,NF!$I:$I)</f>
        <v>0</v>
      </c>
      <c r="S390" s="6"/>
      <c r="T390" s="6"/>
      <c r="U390" s="6"/>
      <c r="V390" s="6"/>
      <c r="W390" s="6"/>
      <c r="X390" s="6"/>
      <c r="Y390" s="6"/>
      <c r="Z390" s="7">
        <f t="shared" si="635"/>
        <v>0</v>
      </c>
      <c r="AA390" s="11">
        <f t="shared" si="636"/>
        <v>0</v>
      </c>
      <c r="AB390" s="25"/>
      <c r="AC390" s="10" t="str">
        <f t="shared" si="637"/>
        <v>OutubroSEMANA 3Abacate Organico</v>
      </c>
      <c r="AD390" s="7">
        <f>SUMIF(NF!$A:$A,$AC390,NF!$I:$I)</f>
        <v>0</v>
      </c>
      <c r="AE390" s="6"/>
      <c r="AF390" s="6"/>
      <c r="AG390" s="6"/>
      <c r="AH390" s="6"/>
      <c r="AI390" s="6"/>
      <c r="AJ390" s="6"/>
      <c r="AK390" s="6"/>
      <c r="AL390" s="7">
        <f t="shared" si="638"/>
        <v>0</v>
      </c>
      <c r="AM390" s="11">
        <f t="shared" si="639"/>
        <v>0</v>
      </c>
      <c r="AN390" s="25"/>
      <c r="AO390" s="10" t="str">
        <f t="shared" si="640"/>
        <v>OutubroSEMANA 4Abacate Organico</v>
      </c>
      <c r="AP390" s="7">
        <f>SUMIF(NF!$A:$A,$AO390,NF!$I:$I)</f>
        <v>0</v>
      </c>
      <c r="AQ390" s="6"/>
      <c r="AR390" s="6"/>
      <c r="AS390" s="6"/>
      <c r="AT390" s="6"/>
      <c r="AU390" s="6"/>
      <c r="AV390" s="6"/>
      <c r="AW390" s="6"/>
      <c r="AX390" s="7">
        <f t="shared" si="641"/>
        <v>0</v>
      </c>
      <c r="AY390" s="11">
        <f t="shared" si="642"/>
        <v>0</v>
      </c>
      <c r="AZ390" s="25"/>
      <c r="BA390" s="10" t="str">
        <f t="shared" si="643"/>
        <v>OutubroSEMANA 5Abacate Organico</v>
      </c>
      <c r="BB390" s="7">
        <f>SUMIF(NF!$A:$A,$BA390,NF!$I:$I)</f>
        <v>0</v>
      </c>
      <c r="BC390" s="6"/>
      <c r="BD390" s="6"/>
      <c r="BE390" s="6"/>
      <c r="BF390" s="74"/>
      <c r="BG390" s="74"/>
      <c r="BH390" s="74"/>
      <c r="BI390" s="74"/>
      <c r="BJ390" s="74"/>
      <c r="BK390" s="7">
        <f t="shared" si="644"/>
        <v>0</v>
      </c>
      <c r="BL390" s="8">
        <f t="shared" si="645"/>
        <v>0</v>
      </c>
      <c r="BM390" s="51" t="str">
        <f>IFERROR(VLOOKUP(A390,NF!$M:$O,3,0),"")</f>
        <v>Hortifruti</v>
      </c>
      <c r="BN390" s="7">
        <f t="shared" si="646"/>
        <v>0</v>
      </c>
      <c r="BO390" s="8">
        <f t="array" ref="BO390">IFERROR(LARGE(IF(NF!$G$2:$G$3137='Mês atual'!A390,NF!$J$2:$J$3137),1),0)*BN390</f>
        <v>0</v>
      </c>
      <c r="BP390" s="50"/>
      <c r="BR390" s="147">
        <f t="array" ref="BR390">IFERROR(LARGE(IF(NF!$G$2:$G$3137='Mês atual'!A390,NF!$J$2:$J$3137),1),0)</f>
        <v>0</v>
      </c>
      <c r="BS390" s="143" t="str">
        <f>VLOOKUP(A390,NF!M:O,3,0)</f>
        <v>Hortifruti</v>
      </c>
    </row>
    <row r="391" spans="1:74" x14ac:dyDescent="0.25">
      <c r="A391" s="108" t="s">
        <v>65</v>
      </c>
      <c r="B391" s="12"/>
      <c r="C391" s="9">
        <v>10</v>
      </c>
      <c r="D391" s="25"/>
      <c r="E391" s="10" t="str">
        <f t="shared" si="631"/>
        <v xml:space="preserve">OutubroSEMANA 1Abacaxi </v>
      </c>
      <c r="F391" s="7">
        <f>SUMIF(NF!$A:$A,$E391,NF!$I:$I)</f>
        <v>53</v>
      </c>
      <c r="G391" s="6">
        <v>10</v>
      </c>
      <c r="H391" s="6">
        <v>6</v>
      </c>
      <c r="I391" s="6">
        <v>15</v>
      </c>
      <c r="J391" s="6">
        <v>6</v>
      </c>
      <c r="K391" s="6"/>
      <c r="L391" s="6">
        <v>6</v>
      </c>
      <c r="M391" s="6"/>
      <c r="N391" s="7">
        <f t="shared" si="632"/>
        <v>43</v>
      </c>
      <c r="O391" s="11">
        <f t="shared" si="633"/>
        <v>20</v>
      </c>
      <c r="P391" s="25"/>
      <c r="Q391" s="10" t="str">
        <f t="shared" si="634"/>
        <v xml:space="preserve">OutubroSEMANA 2Abacaxi </v>
      </c>
      <c r="R391" s="7">
        <f>SUMIF(NF!$A:$A,$Q391,NF!$I:$I)</f>
        <v>58</v>
      </c>
      <c r="S391" s="6">
        <v>10</v>
      </c>
      <c r="T391" s="6">
        <v>10</v>
      </c>
      <c r="U391" s="6">
        <v>10</v>
      </c>
      <c r="V391" s="6">
        <v>6</v>
      </c>
      <c r="W391" s="6">
        <v>12</v>
      </c>
      <c r="X391" s="6"/>
      <c r="Y391" s="6">
        <v>10</v>
      </c>
      <c r="Z391" s="7">
        <f t="shared" si="635"/>
        <v>58</v>
      </c>
      <c r="AA391" s="11">
        <f t="shared" si="636"/>
        <v>20</v>
      </c>
      <c r="AB391" s="25"/>
      <c r="AC391" s="10" t="str">
        <f t="shared" si="637"/>
        <v xml:space="preserve">OutubroSEMANA 3Abacaxi </v>
      </c>
      <c r="AD391" s="7">
        <f>SUMIF(NF!$A:$A,$AC391,NF!$I:$I)</f>
        <v>48</v>
      </c>
      <c r="AE391" s="6">
        <v>10</v>
      </c>
      <c r="AF391" s="6">
        <v>10</v>
      </c>
      <c r="AG391" s="6">
        <v>6</v>
      </c>
      <c r="AH391" s="6">
        <v>6</v>
      </c>
      <c r="AI391" s="6">
        <v>6</v>
      </c>
      <c r="AJ391" s="6">
        <v>10</v>
      </c>
      <c r="AK391" s="6">
        <v>10</v>
      </c>
      <c r="AL391" s="7">
        <f t="shared" si="638"/>
        <v>58</v>
      </c>
      <c r="AM391" s="11">
        <f t="shared" si="639"/>
        <v>10</v>
      </c>
      <c r="AN391" s="25"/>
      <c r="AO391" s="10" t="str">
        <f t="shared" si="640"/>
        <v xml:space="preserve">OutubroSEMANA 4Abacaxi </v>
      </c>
      <c r="AP391" s="7">
        <f>SUMIF(NF!$A:$A,$AO391,NF!$I:$I)</f>
        <v>36</v>
      </c>
      <c r="AQ391" s="6">
        <v>10</v>
      </c>
      <c r="AR391" s="6"/>
      <c r="AS391" s="6"/>
      <c r="AT391" s="6">
        <v>6</v>
      </c>
      <c r="AU391" s="6">
        <v>10</v>
      </c>
      <c r="AV391" s="6"/>
      <c r="AW391" s="6">
        <v>5</v>
      </c>
      <c r="AX391" s="7">
        <f t="shared" si="641"/>
        <v>31</v>
      </c>
      <c r="AY391" s="11">
        <f t="shared" si="642"/>
        <v>15</v>
      </c>
      <c r="AZ391" s="25"/>
      <c r="BA391" s="10" t="str">
        <f t="shared" si="643"/>
        <v xml:space="preserve">OutubroSEMANA 5Abacaxi </v>
      </c>
      <c r="BB391" s="7">
        <f>SUMIF(NF!$A:$A,$BA391,NF!$I:$I)</f>
        <v>20</v>
      </c>
      <c r="BC391" s="6">
        <v>15</v>
      </c>
      <c r="BD391" s="6">
        <v>10</v>
      </c>
      <c r="BE391" s="6"/>
      <c r="BF391" s="74"/>
      <c r="BG391" s="74"/>
      <c r="BH391" s="74"/>
      <c r="BI391" s="74"/>
      <c r="BJ391" s="74"/>
      <c r="BK391" s="7">
        <f t="shared" si="644"/>
        <v>25</v>
      </c>
      <c r="BL391" s="8">
        <f t="shared" si="645"/>
        <v>10</v>
      </c>
      <c r="BM391" s="51" t="str">
        <f>IFERROR(VLOOKUP(A391,NF!$M:$O,3,0),"")</f>
        <v>Hortifruti</v>
      </c>
      <c r="BN391" s="7">
        <f t="shared" si="646"/>
        <v>215</v>
      </c>
      <c r="BO391" s="8">
        <f t="array" ref="BO391">IFERROR(LARGE(IF(NF!$G$2:$G$3137='Mês atual'!A391,NF!$J$2:$J$3137),1),0)*BN391</f>
        <v>537.5</v>
      </c>
      <c r="BP391" s="50"/>
      <c r="BR391" s="147">
        <f t="array" ref="BR391">IFERROR(LARGE(IF(NF!$G$2:$G$3137='Mês atual'!A391,NF!$J$2:$J$3137),1),0)</f>
        <v>2.5</v>
      </c>
      <c r="BS391" s="143" t="str">
        <f>VLOOKUP(A391,NF!M:O,3,0)</f>
        <v>Hortifruti</v>
      </c>
    </row>
    <row r="392" spans="1:74" x14ac:dyDescent="0.25">
      <c r="A392" s="108" t="s">
        <v>68</v>
      </c>
      <c r="B392" s="12"/>
      <c r="C392" s="9">
        <v>4.88</v>
      </c>
      <c r="D392" s="25"/>
      <c r="E392" s="10" t="str">
        <f t="shared" si="631"/>
        <v>OutubroSEMANA 1Abobora</v>
      </c>
      <c r="F392" s="7">
        <f>SUMIF(NF!$A:$A,$E392,NF!$I:$I)</f>
        <v>10.6</v>
      </c>
      <c r="G392" s="6"/>
      <c r="H392" s="6"/>
      <c r="I392" s="6">
        <v>4.88</v>
      </c>
      <c r="J392" s="6"/>
      <c r="K392" s="6">
        <v>3.1</v>
      </c>
      <c r="L392" s="6"/>
      <c r="M392" s="6">
        <f>4+3.5</f>
        <v>7.5</v>
      </c>
      <c r="N392" s="7">
        <f t="shared" si="632"/>
        <v>15.48</v>
      </c>
      <c r="O392" s="11">
        <f t="shared" si="633"/>
        <v>0</v>
      </c>
      <c r="P392" s="25"/>
      <c r="Q392" s="10" t="str">
        <f t="shared" si="634"/>
        <v>OutubroSEMANA 2Abobora</v>
      </c>
      <c r="R392" s="7">
        <f>SUMIF(NF!$A:$A,$Q392,NF!$I:$I)</f>
        <v>25.5</v>
      </c>
      <c r="S392" s="6"/>
      <c r="T392" s="6"/>
      <c r="U392" s="6"/>
      <c r="V392" s="6">
        <v>6</v>
      </c>
      <c r="W392" s="6"/>
      <c r="X392" s="6">
        <v>10</v>
      </c>
      <c r="Y392" s="6"/>
      <c r="Z392" s="7">
        <f t="shared" si="635"/>
        <v>16</v>
      </c>
      <c r="AA392" s="11">
        <f t="shared" si="636"/>
        <v>9.5</v>
      </c>
      <c r="AB392" s="25"/>
      <c r="AC392" s="10" t="str">
        <f t="shared" si="637"/>
        <v>OutubroSEMANA 3Abobora</v>
      </c>
      <c r="AD392" s="7">
        <f>SUMIF(NF!$A:$A,$AC392,NF!$I:$I)</f>
        <v>33.700000000000003</v>
      </c>
      <c r="AE392" s="6"/>
      <c r="AF392" s="6">
        <f>4.7+2</f>
        <v>6.7</v>
      </c>
      <c r="AG392" s="6"/>
      <c r="AH392" s="6">
        <f>2.14+2</f>
        <v>4.1400000000000006</v>
      </c>
      <c r="AI392" s="6"/>
      <c r="AJ392" s="6"/>
      <c r="AK392" s="6">
        <v>10.72</v>
      </c>
      <c r="AL392" s="7">
        <f t="shared" si="638"/>
        <v>21.560000000000002</v>
      </c>
      <c r="AM392" s="11">
        <f t="shared" si="639"/>
        <v>21.64</v>
      </c>
      <c r="AN392" s="25"/>
      <c r="AO392" s="10" t="str">
        <f t="shared" si="640"/>
        <v>OutubroSEMANA 4Abobora</v>
      </c>
      <c r="AP392" s="7">
        <f>SUMIF(NF!$A:$A,$AO392,NF!$I:$I)</f>
        <v>25.86</v>
      </c>
      <c r="AQ392" s="6">
        <f>8.62+4.68</f>
        <v>13.299999999999999</v>
      </c>
      <c r="AR392" s="6">
        <f>5+0.54</f>
        <v>5.54</v>
      </c>
      <c r="AS392" s="6"/>
      <c r="AT392" s="6">
        <v>8.4</v>
      </c>
      <c r="AU392" s="6"/>
      <c r="AV392" s="6">
        <f>10+2.4</f>
        <v>12.4</v>
      </c>
      <c r="AW392" s="6">
        <v>2</v>
      </c>
      <c r="AX392" s="7">
        <f t="shared" si="641"/>
        <v>41.64</v>
      </c>
      <c r="AY392" s="11">
        <f t="shared" si="642"/>
        <v>5.8599999999999994</v>
      </c>
      <c r="AZ392" s="25"/>
      <c r="BA392" s="10" t="str">
        <f t="shared" si="643"/>
        <v>OutubroSEMANA 5Abobora</v>
      </c>
      <c r="BB392" s="7">
        <f>SUMIF(NF!$A:$A,$BA392,NF!$I:$I)</f>
        <v>10</v>
      </c>
      <c r="BC392" s="6">
        <v>5.86</v>
      </c>
      <c r="BD392" s="6">
        <v>4.7</v>
      </c>
      <c r="BE392" s="6">
        <v>5.3</v>
      </c>
      <c r="BF392" s="74"/>
      <c r="BG392" s="74"/>
      <c r="BH392" s="74"/>
      <c r="BI392" s="74"/>
      <c r="BJ392" s="74"/>
      <c r="BK392" s="7">
        <f t="shared" si="644"/>
        <v>15.86</v>
      </c>
      <c r="BL392" s="8">
        <f t="shared" si="645"/>
        <v>0</v>
      </c>
      <c r="BM392" s="51" t="str">
        <f>IFERROR(VLOOKUP(A392,NF!$M:$O,3,0),"")</f>
        <v>Hortifruti</v>
      </c>
      <c r="BN392" s="7">
        <f t="shared" si="646"/>
        <v>110.54</v>
      </c>
      <c r="BO392" s="8">
        <f t="array" ref="BO392">IFERROR(LARGE(IF(NF!$G$2:$G$3137='Mês atual'!A392,NF!$J$2:$J$3137),1),0)*BN392</f>
        <v>353.72800000000007</v>
      </c>
      <c r="BP392" s="50"/>
      <c r="BR392" s="147">
        <f t="array" ref="BR392">IFERROR(LARGE(IF(NF!$G$2:$G$3137='Mês atual'!A392,NF!$J$2:$J$3137),1),0)</f>
        <v>3.2</v>
      </c>
      <c r="BS392" s="143" t="str">
        <f>VLOOKUP(A392,NF!M:O,3,0)</f>
        <v>Hortifruti</v>
      </c>
    </row>
    <row r="393" spans="1:74" x14ac:dyDescent="0.25">
      <c r="A393" s="108" t="s">
        <v>69</v>
      </c>
      <c r="B393" s="12"/>
      <c r="C393" s="9">
        <v>2.38</v>
      </c>
      <c r="D393" s="25"/>
      <c r="E393" s="10" t="str">
        <f t="shared" si="631"/>
        <v>OutubroSEMANA 1Abobora Japonesa</v>
      </c>
      <c r="F393" s="7">
        <f>SUMIF(NF!$A:$A,$E393,NF!$I:$I)</f>
        <v>12</v>
      </c>
      <c r="G393" s="6"/>
      <c r="H393" s="6"/>
      <c r="I393" s="6"/>
      <c r="J393" s="6"/>
      <c r="K393" s="6"/>
      <c r="L393" s="6"/>
      <c r="M393" s="6"/>
      <c r="N393" s="7">
        <f t="shared" si="632"/>
        <v>0</v>
      </c>
      <c r="O393" s="11">
        <f t="shared" si="633"/>
        <v>14.379999999999999</v>
      </c>
      <c r="P393" s="25"/>
      <c r="Q393" s="10" t="str">
        <f t="shared" si="634"/>
        <v>OutubroSEMANA 2Abobora Japonesa</v>
      </c>
      <c r="R393" s="7">
        <f>SUMIF(NF!$A:$A,$Q393,NF!$I:$I)</f>
        <v>0</v>
      </c>
      <c r="S393" s="6"/>
      <c r="T393" s="6">
        <v>10</v>
      </c>
      <c r="U393" s="6"/>
      <c r="V393" s="6"/>
      <c r="W393" s="6"/>
      <c r="X393" s="6"/>
      <c r="Y393" s="6"/>
      <c r="Z393" s="7">
        <f t="shared" si="635"/>
        <v>10</v>
      </c>
      <c r="AA393" s="11">
        <f t="shared" si="636"/>
        <v>4.379999999999999</v>
      </c>
      <c r="AB393" s="25"/>
      <c r="AC393" s="10" t="str">
        <f t="shared" si="637"/>
        <v>OutubroSEMANA 3Abobora Japonesa</v>
      </c>
      <c r="AD393" s="7">
        <f>SUMIF(NF!$A:$A,$AC393,NF!$I:$I)</f>
        <v>0</v>
      </c>
      <c r="AE393" s="6">
        <v>4.38</v>
      </c>
      <c r="AF393" s="6"/>
      <c r="AG393" s="6"/>
      <c r="AH393" s="6"/>
      <c r="AI393" s="6"/>
      <c r="AJ393" s="6"/>
      <c r="AK393" s="6"/>
      <c r="AL393" s="7">
        <f t="shared" si="638"/>
        <v>4.38</v>
      </c>
      <c r="AM393" s="11">
        <f t="shared" si="639"/>
        <v>0</v>
      </c>
      <c r="AN393" s="25"/>
      <c r="AO393" s="10" t="str">
        <f t="shared" si="640"/>
        <v>OutubroSEMANA 4Abobora Japonesa</v>
      </c>
      <c r="AP393" s="7">
        <f>SUMIF(NF!$A:$A,$AO393,NF!$I:$I)</f>
        <v>4</v>
      </c>
      <c r="AQ393" s="6"/>
      <c r="AR393" s="6"/>
      <c r="AS393" s="6"/>
      <c r="AT393" s="6"/>
      <c r="AU393" s="6"/>
      <c r="AV393" s="6"/>
      <c r="AW393" s="6">
        <v>4</v>
      </c>
      <c r="AX393" s="7">
        <f t="shared" si="641"/>
        <v>4</v>
      </c>
      <c r="AY393" s="11">
        <f t="shared" si="642"/>
        <v>0</v>
      </c>
      <c r="AZ393" s="25"/>
      <c r="BA393" s="10" t="str">
        <f t="shared" si="643"/>
        <v>OutubroSEMANA 5Abobora Japonesa</v>
      </c>
      <c r="BB393" s="7">
        <f>SUMIF(NF!$A:$A,$BA393,NF!$I:$I)</f>
        <v>3</v>
      </c>
      <c r="BC393" s="6"/>
      <c r="BD393" s="6">
        <v>3</v>
      </c>
      <c r="BE393" s="6"/>
      <c r="BF393" s="74"/>
      <c r="BG393" s="74"/>
      <c r="BH393" s="74"/>
      <c r="BI393" s="74"/>
      <c r="BJ393" s="74"/>
      <c r="BK393" s="7">
        <f t="shared" si="644"/>
        <v>3</v>
      </c>
      <c r="BL393" s="8">
        <f t="shared" si="645"/>
        <v>0</v>
      </c>
      <c r="BM393" s="51" t="str">
        <f>IFERROR(VLOOKUP(A393,NF!$M:$O,3,0),"")</f>
        <v>Hortifruti</v>
      </c>
      <c r="BN393" s="7">
        <f t="shared" si="646"/>
        <v>21.38</v>
      </c>
      <c r="BO393" s="8">
        <f t="array" ref="BO393">IFERROR(LARGE(IF(NF!$G$2:$G$3137='Mês atual'!A393,NF!$J$2:$J$3137),1),0)*BN393</f>
        <v>60.719199999999994</v>
      </c>
      <c r="BP393" s="50"/>
      <c r="BR393" s="147">
        <f t="array" ref="BR393">IFERROR(LARGE(IF(NF!$G$2:$G$3137='Mês atual'!A393,NF!$J$2:$J$3137),1),0)</f>
        <v>2.84</v>
      </c>
      <c r="BS393" s="143" t="str">
        <f>VLOOKUP(A393,NF!M:O,3,0)</f>
        <v>Hortifruti</v>
      </c>
    </row>
    <row r="394" spans="1:74" x14ac:dyDescent="0.25">
      <c r="A394" s="108" t="s">
        <v>70</v>
      </c>
      <c r="B394" s="12"/>
      <c r="C394" s="9"/>
      <c r="D394" s="25"/>
      <c r="E394" s="10" t="str">
        <f t="shared" si="631"/>
        <v>OutubroSEMANA 1Abobora Moranga</v>
      </c>
      <c r="F394" s="7">
        <f>SUMIF(NF!$A:$A,$E394,NF!$I:$I)</f>
        <v>0</v>
      </c>
      <c r="G394" s="6"/>
      <c r="H394" s="6"/>
      <c r="I394" s="6"/>
      <c r="J394" s="6"/>
      <c r="K394" s="6"/>
      <c r="L394" s="6"/>
      <c r="M394" s="6"/>
      <c r="N394" s="7">
        <f t="shared" si="632"/>
        <v>0</v>
      </c>
      <c r="O394" s="11">
        <f t="shared" si="633"/>
        <v>0</v>
      </c>
      <c r="P394" s="25"/>
      <c r="Q394" s="10" t="str">
        <f t="shared" si="634"/>
        <v>OutubroSEMANA 2Abobora Moranga</v>
      </c>
      <c r="R394" s="7">
        <f>SUMIF(NF!$A:$A,$Q394,NF!$I:$I)</f>
        <v>0</v>
      </c>
      <c r="S394" s="6"/>
      <c r="T394" s="6"/>
      <c r="U394" s="6"/>
      <c r="V394" s="6"/>
      <c r="W394" s="6"/>
      <c r="X394" s="6"/>
      <c r="Y394" s="6"/>
      <c r="Z394" s="7">
        <f t="shared" si="635"/>
        <v>0</v>
      </c>
      <c r="AA394" s="11">
        <f t="shared" si="636"/>
        <v>0</v>
      </c>
      <c r="AB394" s="25"/>
      <c r="AC394" s="10" t="str">
        <f t="shared" si="637"/>
        <v>OutubroSEMANA 3Abobora Moranga</v>
      </c>
      <c r="AD394" s="7">
        <f>SUMIF(NF!$A:$A,$AC394,NF!$I:$I)</f>
        <v>0</v>
      </c>
      <c r="AE394" s="6"/>
      <c r="AF394" s="6"/>
      <c r="AG394" s="6"/>
      <c r="AH394" s="6"/>
      <c r="AI394" s="6"/>
      <c r="AJ394" s="6"/>
      <c r="AK394" s="6"/>
      <c r="AL394" s="7">
        <f t="shared" si="638"/>
        <v>0</v>
      </c>
      <c r="AM394" s="11">
        <f t="shared" si="639"/>
        <v>0</v>
      </c>
      <c r="AN394" s="25"/>
      <c r="AO394" s="10" t="str">
        <f t="shared" si="640"/>
        <v>OutubroSEMANA 4Abobora Moranga</v>
      </c>
      <c r="AP394" s="7">
        <f>SUMIF(NF!$A:$A,$AO394,NF!$I:$I)</f>
        <v>0</v>
      </c>
      <c r="AQ394" s="6"/>
      <c r="AR394" s="6"/>
      <c r="AS394" s="6"/>
      <c r="AT394" s="6"/>
      <c r="AU394" s="6"/>
      <c r="AV394" s="6"/>
      <c r="AW394" s="6"/>
      <c r="AX394" s="7">
        <f t="shared" si="641"/>
        <v>0</v>
      </c>
      <c r="AY394" s="11">
        <f t="shared" si="642"/>
        <v>0</v>
      </c>
      <c r="AZ394" s="25"/>
      <c r="BA394" s="10" t="str">
        <f t="shared" si="643"/>
        <v>OutubroSEMANA 5Abobora Moranga</v>
      </c>
      <c r="BB394" s="7">
        <f>SUMIF(NF!$A:$A,$BA394,NF!$I:$I)</f>
        <v>0</v>
      </c>
      <c r="BC394" s="6"/>
      <c r="BD394" s="6"/>
      <c r="BE394" s="6"/>
      <c r="BF394" s="74"/>
      <c r="BG394" s="74"/>
      <c r="BH394" s="74"/>
      <c r="BI394" s="74"/>
      <c r="BJ394" s="74"/>
      <c r="BK394" s="7">
        <f t="shared" si="644"/>
        <v>0</v>
      </c>
      <c r="BL394" s="8">
        <f t="shared" si="645"/>
        <v>0</v>
      </c>
      <c r="BM394" s="51" t="str">
        <f>IFERROR(VLOOKUP(A394,NF!$M:$O,3,0),"")</f>
        <v>Hortifruti</v>
      </c>
      <c r="BN394" s="7">
        <f t="shared" si="646"/>
        <v>0</v>
      </c>
      <c r="BO394" s="8">
        <f t="array" ref="BO394">IFERROR(LARGE(IF(NF!$G$2:$G$3137='Mês atual'!A394,NF!$J$2:$J$3137),1),0)*BN394</f>
        <v>0</v>
      </c>
      <c r="BP394" s="50"/>
      <c r="BR394" s="147">
        <f t="array" ref="BR394">IFERROR(LARGE(IF(NF!$G$2:$G$3137='Mês atual'!A394,NF!$J$2:$J$3137),1),0)</f>
        <v>0</v>
      </c>
      <c r="BS394" s="143" t="str">
        <f>VLOOKUP(A394,NF!M:O,3,0)</f>
        <v>Hortifruti</v>
      </c>
    </row>
    <row r="395" spans="1:74" x14ac:dyDescent="0.25">
      <c r="A395" s="108" t="s">
        <v>71</v>
      </c>
      <c r="B395" s="12"/>
      <c r="C395" s="9"/>
      <c r="D395" s="25"/>
      <c r="E395" s="10" t="str">
        <f t="shared" si="631"/>
        <v>OutubroSEMANA 1Abobora Organica</v>
      </c>
      <c r="F395" s="7">
        <f>SUMIF(NF!$A:$A,$E395,NF!$I:$I)</f>
        <v>0</v>
      </c>
      <c r="G395" s="6"/>
      <c r="H395" s="6"/>
      <c r="I395" s="6"/>
      <c r="J395" s="6"/>
      <c r="K395" s="6"/>
      <c r="L395" s="6"/>
      <c r="M395" s="6"/>
      <c r="N395" s="7">
        <f t="shared" si="632"/>
        <v>0</v>
      </c>
      <c r="O395" s="11">
        <f t="shared" si="633"/>
        <v>0</v>
      </c>
      <c r="P395" s="25"/>
      <c r="Q395" s="10" t="str">
        <f t="shared" si="634"/>
        <v>OutubroSEMANA 2Abobora Organica</v>
      </c>
      <c r="R395" s="7">
        <f>SUMIF(NF!$A:$A,$Q395,NF!$I:$I)</f>
        <v>0</v>
      </c>
      <c r="S395" s="6"/>
      <c r="T395" s="6"/>
      <c r="U395" s="6"/>
      <c r="V395" s="6"/>
      <c r="W395" s="6"/>
      <c r="X395" s="6"/>
      <c r="Y395" s="6"/>
      <c r="Z395" s="7">
        <f t="shared" si="635"/>
        <v>0</v>
      </c>
      <c r="AA395" s="11">
        <f t="shared" si="636"/>
        <v>0</v>
      </c>
      <c r="AB395" s="25"/>
      <c r="AC395" s="10" t="str">
        <f t="shared" si="637"/>
        <v>OutubroSEMANA 3Abobora Organica</v>
      </c>
      <c r="AD395" s="7">
        <f>SUMIF(NF!$A:$A,$AC395,NF!$I:$I)</f>
        <v>0</v>
      </c>
      <c r="AE395" s="6"/>
      <c r="AF395" s="6"/>
      <c r="AG395" s="6"/>
      <c r="AH395" s="6"/>
      <c r="AI395" s="6"/>
      <c r="AJ395" s="6"/>
      <c r="AK395" s="6"/>
      <c r="AL395" s="7">
        <f t="shared" si="638"/>
        <v>0</v>
      </c>
      <c r="AM395" s="11">
        <f t="shared" si="639"/>
        <v>0</v>
      </c>
      <c r="AN395" s="25"/>
      <c r="AO395" s="10" t="str">
        <f t="shared" si="640"/>
        <v>OutubroSEMANA 4Abobora Organica</v>
      </c>
      <c r="AP395" s="7">
        <f>SUMIF(NF!$A:$A,$AO395,NF!$I:$I)</f>
        <v>0</v>
      </c>
      <c r="AQ395" s="6"/>
      <c r="AR395" s="6"/>
      <c r="AS395" s="6"/>
      <c r="AT395" s="6"/>
      <c r="AU395" s="6"/>
      <c r="AV395" s="6"/>
      <c r="AW395" s="6"/>
      <c r="AX395" s="7">
        <f t="shared" si="641"/>
        <v>0</v>
      </c>
      <c r="AY395" s="11">
        <f t="shared" si="642"/>
        <v>0</v>
      </c>
      <c r="AZ395" s="25"/>
      <c r="BA395" s="10" t="str">
        <f t="shared" si="643"/>
        <v>OutubroSEMANA 5Abobora Organica</v>
      </c>
      <c r="BB395" s="7">
        <f>SUMIF(NF!$A:$A,$BA395,NF!$I:$I)</f>
        <v>0</v>
      </c>
      <c r="BC395" s="6"/>
      <c r="BD395" s="6"/>
      <c r="BE395" s="6"/>
      <c r="BF395" s="74"/>
      <c r="BG395" s="74"/>
      <c r="BH395" s="74"/>
      <c r="BI395" s="74"/>
      <c r="BJ395" s="74"/>
      <c r="BK395" s="7">
        <f t="shared" si="644"/>
        <v>0</v>
      </c>
      <c r="BL395" s="8">
        <f t="shared" si="645"/>
        <v>0</v>
      </c>
      <c r="BM395" s="51" t="str">
        <f>IFERROR(VLOOKUP(A395,NF!$M:$O,3,0),"")</f>
        <v>Hortifruti</v>
      </c>
      <c r="BN395" s="7">
        <f t="shared" si="646"/>
        <v>0</v>
      </c>
      <c r="BO395" s="8">
        <f t="array" ref="BO395">IFERROR(LARGE(IF(NF!$G$2:$G$3137='Mês atual'!A395,NF!$J$2:$J$3137),1),0)*BN395</f>
        <v>0</v>
      </c>
      <c r="BP395" s="50"/>
      <c r="BR395" s="147">
        <f t="array" ref="BR395">IFERROR(LARGE(IF(NF!$G$2:$G$3137='Mês atual'!A395,NF!$J$2:$J$3137),1),0)</f>
        <v>0</v>
      </c>
      <c r="BS395" s="143" t="str">
        <f>VLOOKUP(A395,NF!M:O,3,0)</f>
        <v>Hortifruti</v>
      </c>
    </row>
    <row r="396" spans="1:74" x14ac:dyDescent="0.25">
      <c r="A396" s="108" t="s">
        <v>72</v>
      </c>
      <c r="B396" s="12"/>
      <c r="C396" s="9">
        <v>8.1999999999999993</v>
      </c>
      <c r="D396" s="25"/>
      <c r="E396" s="10" t="str">
        <f t="shared" si="631"/>
        <v xml:space="preserve">OutubroSEMANA 1Abobrinha </v>
      </c>
      <c r="F396" s="7">
        <f>SUMIF(NF!$A:$A,$E396,NF!$I:$I)</f>
        <v>15.4</v>
      </c>
      <c r="G396" s="6">
        <v>3.42</v>
      </c>
      <c r="H396" s="6"/>
      <c r="I396" s="6">
        <v>1.5</v>
      </c>
      <c r="J396" s="6"/>
      <c r="K396" s="6"/>
      <c r="L396" s="6">
        <v>2</v>
      </c>
      <c r="M396" s="6">
        <f>4.17+0.65</f>
        <v>4.82</v>
      </c>
      <c r="N396" s="7">
        <f t="shared" si="632"/>
        <v>11.74</v>
      </c>
      <c r="O396" s="11">
        <f t="shared" si="633"/>
        <v>11.860000000000001</v>
      </c>
      <c r="P396" s="25"/>
      <c r="Q396" s="10" t="str">
        <f t="shared" si="634"/>
        <v xml:space="preserve">OutubroSEMANA 2Abobrinha </v>
      </c>
      <c r="R396" s="7">
        <f>SUMIF(NF!$A:$A,$Q396,NF!$I:$I)</f>
        <v>49.699999999999996</v>
      </c>
      <c r="S396" s="6">
        <f>4.5+1</f>
        <v>5.5</v>
      </c>
      <c r="T396" s="6">
        <f>4.5+1</f>
        <v>5.5</v>
      </c>
      <c r="U396" s="6">
        <f>4.22+3.96</f>
        <v>8.18</v>
      </c>
      <c r="V396" s="6">
        <f>6.04+1.3</f>
        <v>7.34</v>
      </c>
      <c r="W396" s="6">
        <f>1.02+1</f>
        <v>2.02</v>
      </c>
      <c r="X396" s="6">
        <f>4.18+1.5</f>
        <v>5.68</v>
      </c>
      <c r="Y396" s="6"/>
      <c r="Z396" s="7">
        <f t="shared" si="635"/>
        <v>34.22</v>
      </c>
      <c r="AA396" s="11">
        <f t="shared" si="636"/>
        <v>27.339999999999996</v>
      </c>
      <c r="AB396" s="25"/>
      <c r="AC396" s="10" t="str">
        <f t="shared" si="637"/>
        <v xml:space="preserve">OutubroSEMANA 3Abobrinha </v>
      </c>
      <c r="AD396" s="7">
        <f>SUMIF(NF!$A:$A,$AC396,NF!$I:$I)</f>
        <v>0</v>
      </c>
      <c r="AE396" s="6">
        <f>3.08+1.05+1</f>
        <v>5.13</v>
      </c>
      <c r="AF396" s="6">
        <f>7.2+1</f>
        <v>8.1999999999999993</v>
      </c>
      <c r="AG396" s="6"/>
      <c r="AH396" s="6"/>
      <c r="AI396" s="6"/>
      <c r="AJ396" s="6">
        <f>1.5+1</f>
        <v>2.5</v>
      </c>
      <c r="AK396" s="6"/>
      <c r="AL396" s="7">
        <f t="shared" si="638"/>
        <v>15.829999999999998</v>
      </c>
      <c r="AM396" s="11">
        <f t="shared" si="639"/>
        <v>11.509999999999998</v>
      </c>
      <c r="AN396" s="25"/>
      <c r="AO396" s="10" t="str">
        <f t="shared" si="640"/>
        <v xml:space="preserve">OutubroSEMANA 4Abobrinha </v>
      </c>
      <c r="AP396" s="7">
        <f>SUMIF(NF!$A:$A,$AO396,NF!$I:$I)</f>
        <v>48.54</v>
      </c>
      <c r="AQ396" s="6"/>
      <c r="AR396" s="6">
        <f>3.29+0.6+1</f>
        <v>4.8900000000000006</v>
      </c>
      <c r="AS396" s="6"/>
      <c r="AT396" s="6">
        <f>2.124+7.14+1</f>
        <v>10.263999999999999</v>
      </c>
      <c r="AU396" s="6">
        <f>2.436+3.08+6.04+1</f>
        <v>12.556000000000001</v>
      </c>
      <c r="AV396" s="6"/>
      <c r="AW396" s="6"/>
      <c r="AX396" s="7">
        <f t="shared" si="641"/>
        <v>27.71</v>
      </c>
      <c r="AY396" s="11">
        <f t="shared" si="642"/>
        <v>32.339999999999996</v>
      </c>
      <c r="AZ396" s="25"/>
      <c r="BA396" s="10" t="str">
        <f t="shared" si="643"/>
        <v xml:space="preserve">OutubroSEMANA 5Abobrinha </v>
      </c>
      <c r="BB396" s="7">
        <f>SUMIF(NF!$A:$A,$BA396,NF!$I:$I)</f>
        <v>0</v>
      </c>
      <c r="BC396" s="6">
        <f>4.24+1</f>
        <v>5.24</v>
      </c>
      <c r="BD396" s="6">
        <f>4.07+3.82+4.58+1</f>
        <v>13.47</v>
      </c>
      <c r="BE396" s="6">
        <f>5.03+4.42+1</f>
        <v>10.45</v>
      </c>
      <c r="BF396" s="74"/>
      <c r="BG396" s="74"/>
      <c r="BH396" s="74"/>
      <c r="BI396" s="74"/>
      <c r="BJ396" s="74"/>
      <c r="BK396" s="7">
        <f t="shared" si="644"/>
        <v>29.16</v>
      </c>
      <c r="BL396" s="8">
        <f t="shared" si="645"/>
        <v>3.1799999999999962</v>
      </c>
      <c r="BM396" s="51" t="str">
        <f>IFERROR(VLOOKUP(A396,NF!$M:$O,3,0),"")</f>
        <v>Hortifruti</v>
      </c>
      <c r="BN396" s="7">
        <f t="shared" si="646"/>
        <v>118.66</v>
      </c>
      <c r="BO396" s="8">
        <f t="array" ref="BO396">IFERROR(LARGE(IF(NF!$G$2:$G$3137='Mês atual'!A396,NF!$J$2:$J$3137),1),0)*BN396</f>
        <v>157.37400530503979</v>
      </c>
      <c r="BP396" s="50"/>
      <c r="BR396" s="147">
        <f t="array" ref="BR396">IFERROR(LARGE(IF(NF!$G$2:$G$3137='Mês atual'!A396,NF!$J$2:$J$3137),1),0)</f>
        <v>1.3262599469496021</v>
      </c>
      <c r="BS396" s="143" t="str">
        <f>VLOOKUP(A396,NF!M:O,3,0)</f>
        <v>Hortifruti</v>
      </c>
    </row>
    <row r="397" spans="1:74" x14ac:dyDescent="0.25">
      <c r="A397" s="108" t="s">
        <v>73</v>
      </c>
      <c r="B397" s="12"/>
      <c r="C397" s="9"/>
      <c r="D397" s="25"/>
      <c r="E397" s="10" t="str">
        <f t="shared" si="631"/>
        <v>OutubroSEMANA 1Abobrinha Organica</v>
      </c>
      <c r="F397" s="7">
        <f>SUMIF(NF!$A:$A,$E397,NF!$I:$I)</f>
        <v>0</v>
      </c>
      <c r="G397" s="6"/>
      <c r="H397" s="6"/>
      <c r="I397" s="6"/>
      <c r="J397" s="6"/>
      <c r="K397" s="6"/>
      <c r="L397" s="6"/>
      <c r="M397" s="6"/>
      <c r="N397" s="7">
        <f t="shared" si="632"/>
        <v>0</v>
      </c>
      <c r="O397" s="11">
        <f t="shared" si="633"/>
        <v>0</v>
      </c>
      <c r="P397" s="25"/>
      <c r="Q397" s="10" t="str">
        <f t="shared" si="634"/>
        <v>OutubroSEMANA 2Abobrinha Organica</v>
      </c>
      <c r="R397" s="7">
        <f>SUMIF(NF!$A:$A,$Q397,NF!$I:$I)</f>
        <v>0</v>
      </c>
      <c r="S397" s="6"/>
      <c r="T397" s="6"/>
      <c r="U397" s="6"/>
      <c r="V397" s="6"/>
      <c r="W397" s="6"/>
      <c r="X397" s="6"/>
      <c r="Y397" s="6"/>
      <c r="Z397" s="7">
        <f t="shared" si="635"/>
        <v>0</v>
      </c>
      <c r="AA397" s="11">
        <f t="shared" si="636"/>
        <v>0</v>
      </c>
      <c r="AB397" s="25"/>
      <c r="AC397" s="10" t="str">
        <f t="shared" si="637"/>
        <v>OutubroSEMANA 3Abobrinha Organica</v>
      </c>
      <c r="AD397" s="7">
        <f>SUMIF(NF!$A:$A,$AC397,NF!$I:$I)</f>
        <v>0</v>
      </c>
      <c r="AE397" s="6"/>
      <c r="AF397" s="6"/>
      <c r="AG397" s="6"/>
      <c r="AH397" s="6"/>
      <c r="AI397" s="6"/>
      <c r="AJ397" s="6"/>
      <c r="AK397" s="6"/>
      <c r="AL397" s="7">
        <f t="shared" si="638"/>
        <v>0</v>
      </c>
      <c r="AM397" s="11">
        <f t="shared" si="639"/>
        <v>0</v>
      </c>
      <c r="AN397" s="25"/>
      <c r="AO397" s="10" t="str">
        <f t="shared" si="640"/>
        <v>OutubroSEMANA 4Abobrinha Organica</v>
      </c>
      <c r="AP397" s="7">
        <f>SUMIF(NF!$A:$A,$AO397,NF!$I:$I)</f>
        <v>0</v>
      </c>
      <c r="AQ397" s="6"/>
      <c r="AR397" s="6"/>
      <c r="AS397" s="6"/>
      <c r="AT397" s="6"/>
      <c r="AU397" s="6"/>
      <c r="AV397" s="6"/>
      <c r="AW397" s="6"/>
      <c r="AX397" s="7">
        <f t="shared" si="641"/>
        <v>0</v>
      </c>
      <c r="AY397" s="11">
        <f t="shared" si="642"/>
        <v>0</v>
      </c>
      <c r="AZ397" s="25"/>
      <c r="BA397" s="10" t="str">
        <f t="shared" si="643"/>
        <v>OutubroSEMANA 5Abobrinha Organica</v>
      </c>
      <c r="BB397" s="7">
        <f>SUMIF(NF!$A:$A,$BA397,NF!$I:$I)</f>
        <v>0</v>
      </c>
      <c r="BC397" s="6"/>
      <c r="BD397" s="6"/>
      <c r="BE397" s="6"/>
      <c r="BF397" s="74"/>
      <c r="BG397" s="74"/>
      <c r="BH397" s="74"/>
      <c r="BI397" s="74"/>
      <c r="BJ397" s="74"/>
      <c r="BK397" s="7">
        <f t="shared" si="644"/>
        <v>0</v>
      </c>
      <c r="BL397" s="8">
        <f t="shared" si="645"/>
        <v>0</v>
      </c>
      <c r="BM397" s="51" t="str">
        <f>IFERROR(VLOOKUP(A397,NF!$M:$O,3,0),"")</f>
        <v>Hortifruti</v>
      </c>
      <c r="BN397" s="7">
        <f t="shared" si="646"/>
        <v>0</v>
      </c>
      <c r="BO397" s="8">
        <f t="array" ref="BO397">IFERROR(LARGE(IF(NF!$G$2:$G$3137='Mês atual'!A397,NF!$J$2:$J$3137),1),0)*BN397</f>
        <v>0</v>
      </c>
      <c r="BP397" s="50"/>
      <c r="BR397" s="147">
        <f t="array" ref="BR397">IFERROR(LARGE(IF(NF!$G$2:$G$3137='Mês atual'!A397,NF!$J$2:$J$3137),1),0)</f>
        <v>0</v>
      </c>
      <c r="BS397" s="143" t="str">
        <f>VLOOKUP(A397,NF!M:O,3,0)</f>
        <v>Hortifruti</v>
      </c>
    </row>
    <row r="398" spans="1:74" x14ac:dyDescent="0.25">
      <c r="A398" s="108" t="s">
        <v>75</v>
      </c>
      <c r="B398" s="12"/>
      <c r="C398" s="9"/>
      <c r="D398" s="25"/>
      <c r="E398" s="10" t="str">
        <f t="shared" si="631"/>
        <v>OutubroSEMANA 1Acelga</v>
      </c>
      <c r="F398" s="7">
        <f>SUMIF(NF!$A:$A,$E398,NF!$I:$I)</f>
        <v>4.0999999999999996</v>
      </c>
      <c r="G398" s="6"/>
      <c r="H398" s="6">
        <v>4.0999999999999996</v>
      </c>
      <c r="I398" s="6"/>
      <c r="J398" s="6"/>
      <c r="K398" s="6"/>
      <c r="L398" s="6"/>
      <c r="M398" s="6"/>
      <c r="N398" s="7">
        <f t="shared" si="632"/>
        <v>4.0999999999999996</v>
      </c>
      <c r="O398" s="11">
        <f t="shared" si="633"/>
        <v>0</v>
      </c>
      <c r="P398" s="25"/>
      <c r="Q398" s="10" t="str">
        <f t="shared" si="634"/>
        <v>OutubroSEMANA 2Acelga</v>
      </c>
      <c r="R398" s="7">
        <f>SUMIF(NF!$A:$A,$Q398,NF!$I:$I)</f>
        <v>6</v>
      </c>
      <c r="S398" s="6"/>
      <c r="T398" s="6"/>
      <c r="U398" s="6"/>
      <c r="V398" s="6">
        <v>4</v>
      </c>
      <c r="W398" s="6"/>
      <c r="X398" s="6"/>
      <c r="Y398" s="6">
        <v>2</v>
      </c>
      <c r="Z398" s="7">
        <f t="shared" si="635"/>
        <v>6</v>
      </c>
      <c r="AA398" s="11">
        <f t="shared" si="636"/>
        <v>0</v>
      </c>
      <c r="AB398" s="25"/>
      <c r="AC398" s="10" t="str">
        <f t="shared" si="637"/>
        <v>OutubroSEMANA 3Acelga</v>
      </c>
      <c r="AD398" s="7">
        <f>SUMIF(NF!$A:$A,$AC398,NF!$I:$I)</f>
        <v>7</v>
      </c>
      <c r="AE398" s="6"/>
      <c r="AF398" s="6"/>
      <c r="AG398" s="6">
        <v>4</v>
      </c>
      <c r="AH398" s="6"/>
      <c r="AI398" s="6"/>
      <c r="AJ398" s="6"/>
      <c r="AK398" s="6"/>
      <c r="AL398" s="7">
        <f t="shared" si="638"/>
        <v>4</v>
      </c>
      <c r="AM398" s="11">
        <f t="shared" si="639"/>
        <v>3</v>
      </c>
      <c r="AN398" s="25"/>
      <c r="AO398" s="10" t="str">
        <f t="shared" si="640"/>
        <v>OutubroSEMANA 4Acelga</v>
      </c>
      <c r="AP398" s="7">
        <f>SUMIF(NF!$A:$A,$AO398,NF!$I:$I)</f>
        <v>3</v>
      </c>
      <c r="AQ398" s="6">
        <v>3</v>
      </c>
      <c r="AR398" s="6"/>
      <c r="AS398" s="6"/>
      <c r="AT398" s="6"/>
      <c r="AU398" s="6"/>
      <c r="AV398" s="6">
        <v>3</v>
      </c>
      <c r="AW398" s="6"/>
      <c r="AX398" s="7">
        <f t="shared" si="641"/>
        <v>6</v>
      </c>
      <c r="AY398" s="11">
        <f t="shared" si="642"/>
        <v>0</v>
      </c>
      <c r="AZ398" s="25"/>
      <c r="BA398" s="10" t="str">
        <f t="shared" si="643"/>
        <v>OutubroSEMANA 5Acelga</v>
      </c>
      <c r="BB398" s="7">
        <f>SUMIF(NF!$A:$A,$BA398,NF!$I:$I)</f>
        <v>2</v>
      </c>
      <c r="BC398" s="6"/>
      <c r="BD398" s="6"/>
      <c r="BE398" s="6"/>
      <c r="BF398" s="74"/>
      <c r="BG398" s="74"/>
      <c r="BH398" s="74"/>
      <c r="BI398" s="74"/>
      <c r="BJ398" s="74"/>
      <c r="BK398" s="7">
        <f t="shared" si="644"/>
        <v>0</v>
      </c>
      <c r="BL398" s="8">
        <f t="shared" si="645"/>
        <v>2</v>
      </c>
      <c r="BM398" s="51" t="str">
        <f>IFERROR(VLOOKUP(A398,NF!$M:$O,3,0),"")</f>
        <v>Hortifruti</v>
      </c>
      <c r="BN398" s="7">
        <f t="shared" si="646"/>
        <v>20.100000000000001</v>
      </c>
      <c r="BO398" s="8">
        <f t="array" ref="BO398">IFERROR(LARGE(IF(NF!$G$2:$G$3137='Mês atual'!A398,NF!$J$2:$J$3137),1),0)*BN398</f>
        <v>80.400000000000006</v>
      </c>
      <c r="BP398" s="50"/>
      <c r="BR398" s="147">
        <f t="array" ref="BR398">IFERROR(LARGE(IF(NF!$G$2:$G$3137='Mês atual'!A398,NF!$J$2:$J$3137),1),0)</f>
        <v>4</v>
      </c>
      <c r="BS398" s="143" t="str">
        <f>VLOOKUP(A398,NF!M:O,3,0)</f>
        <v>Hortifruti</v>
      </c>
    </row>
    <row r="399" spans="1:74" x14ac:dyDescent="0.25">
      <c r="A399" s="108" t="s">
        <v>85</v>
      </c>
      <c r="B399" s="12"/>
      <c r="C399" s="9"/>
      <c r="D399" s="25"/>
      <c r="E399" s="10" t="str">
        <f t="shared" si="631"/>
        <v>OutubroSEMANA 1Agrião</v>
      </c>
      <c r="F399" s="7">
        <f>SUMIF(NF!$A:$A,$E399,NF!$I:$I)</f>
        <v>0</v>
      </c>
      <c r="G399" s="6"/>
      <c r="H399" s="6"/>
      <c r="I399" s="6"/>
      <c r="J399" s="6"/>
      <c r="K399" s="6"/>
      <c r="L399" s="6"/>
      <c r="M399" s="6"/>
      <c r="N399" s="7">
        <f t="shared" si="632"/>
        <v>0</v>
      </c>
      <c r="O399" s="11">
        <f t="shared" si="633"/>
        <v>0</v>
      </c>
      <c r="P399" s="25"/>
      <c r="Q399" s="10" t="str">
        <f t="shared" si="634"/>
        <v>OutubroSEMANA 2Agrião</v>
      </c>
      <c r="R399" s="7">
        <f>SUMIF(NF!$A:$A,$Q399,NF!$I:$I)</f>
        <v>3</v>
      </c>
      <c r="S399" s="6"/>
      <c r="T399" s="6"/>
      <c r="U399" s="6">
        <v>3</v>
      </c>
      <c r="V399" s="6"/>
      <c r="W399" s="6"/>
      <c r="X399" s="6"/>
      <c r="Y399" s="6"/>
      <c r="Z399" s="7">
        <f t="shared" si="635"/>
        <v>3</v>
      </c>
      <c r="AA399" s="11">
        <f t="shared" si="636"/>
        <v>0</v>
      </c>
      <c r="AB399" s="25"/>
      <c r="AC399" s="10" t="str">
        <f t="shared" si="637"/>
        <v>OutubroSEMANA 3Agrião</v>
      </c>
      <c r="AD399" s="7">
        <f>SUMIF(NF!$A:$A,$AC399,NF!$I:$I)</f>
        <v>0</v>
      </c>
      <c r="AE399" s="6"/>
      <c r="AF399" s="6"/>
      <c r="AG399" s="6"/>
      <c r="AH399" s="6"/>
      <c r="AI399" s="6"/>
      <c r="AJ399" s="6"/>
      <c r="AK399" s="6"/>
      <c r="AL399" s="7">
        <f t="shared" si="638"/>
        <v>0</v>
      </c>
      <c r="AM399" s="11">
        <f t="shared" si="639"/>
        <v>0</v>
      </c>
      <c r="AN399" s="25"/>
      <c r="AO399" s="10" t="str">
        <f t="shared" si="640"/>
        <v>OutubroSEMANA 4Agrião</v>
      </c>
      <c r="AP399" s="7">
        <f>SUMIF(NF!$A:$A,$AO399,NF!$I:$I)</f>
        <v>0</v>
      </c>
      <c r="AQ399" s="6"/>
      <c r="AR399" s="6"/>
      <c r="AS399" s="6"/>
      <c r="AT399" s="6"/>
      <c r="AU399" s="6"/>
      <c r="AV399" s="6"/>
      <c r="AW399" s="6"/>
      <c r="AX399" s="7">
        <f t="shared" si="641"/>
        <v>0</v>
      </c>
      <c r="AY399" s="11">
        <f t="shared" si="642"/>
        <v>0</v>
      </c>
      <c r="AZ399" s="25"/>
      <c r="BA399" s="10" t="str">
        <f t="shared" si="643"/>
        <v>OutubroSEMANA 5Agrião</v>
      </c>
      <c r="BB399" s="7">
        <f>SUMIF(NF!$A:$A,$BA399,NF!$I:$I)</f>
        <v>0</v>
      </c>
      <c r="BC399" s="6"/>
      <c r="BD399" s="6"/>
      <c r="BE399" s="6"/>
      <c r="BF399" s="74"/>
      <c r="BG399" s="74"/>
      <c r="BH399" s="74"/>
      <c r="BI399" s="74"/>
      <c r="BJ399" s="74"/>
      <c r="BK399" s="7">
        <f t="shared" si="644"/>
        <v>0</v>
      </c>
      <c r="BL399" s="8">
        <f t="shared" si="645"/>
        <v>0</v>
      </c>
      <c r="BM399" s="51" t="str">
        <f>IFERROR(VLOOKUP(A399,NF!$M:$O,3,0),"")</f>
        <v>Hortifruti</v>
      </c>
      <c r="BN399" s="7">
        <f t="shared" si="646"/>
        <v>3</v>
      </c>
      <c r="BO399" s="8">
        <f t="array" ref="BO399">IFERROR(LARGE(IF(NF!$G$2:$G$3137='Mês atual'!A399,NF!$J$2:$J$3137),1),0)*BN399</f>
        <v>9.75</v>
      </c>
      <c r="BP399" s="50"/>
      <c r="BR399" s="147">
        <f t="array" ref="BR399">IFERROR(LARGE(IF(NF!$G$2:$G$3137='Mês atual'!A399,NF!$J$2:$J$3137),1),0)</f>
        <v>3.25</v>
      </c>
      <c r="BS399" s="143" t="str">
        <f>VLOOKUP(A399,NF!M:O,3,0)</f>
        <v>Hortifruti</v>
      </c>
    </row>
    <row r="400" spans="1:74" x14ac:dyDescent="0.25">
      <c r="A400" s="108" t="s">
        <v>86</v>
      </c>
      <c r="B400" s="12"/>
      <c r="C400" s="9"/>
      <c r="D400" s="25"/>
      <c r="E400" s="10" t="str">
        <f t="shared" si="631"/>
        <v>OutubroSEMANA 1Agrião Orgânico</v>
      </c>
      <c r="F400" s="7">
        <f>SUMIF(NF!$A:$A,$E400,NF!$I:$I)</f>
        <v>0</v>
      </c>
      <c r="G400" s="6"/>
      <c r="H400" s="6"/>
      <c r="I400" s="6"/>
      <c r="J400" s="6"/>
      <c r="K400" s="6"/>
      <c r="L400" s="6"/>
      <c r="M400" s="6"/>
      <c r="N400" s="7">
        <f t="shared" si="632"/>
        <v>0</v>
      </c>
      <c r="O400" s="11">
        <f t="shared" si="633"/>
        <v>0</v>
      </c>
      <c r="P400" s="25"/>
      <c r="Q400" s="10" t="str">
        <f t="shared" si="634"/>
        <v>OutubroSEMANA 2Agrião Orgânico</v>
      </c>
      <c r="R400" s="7">
        <f>SUMIF(NF!$A:$A,$Q400,NF!$I:$I)</f>
        <v>0</v>
      </c>
      <c r="S400" s="6"/>
      <c r="T400" s="6"/>
      <c r="U400" s="6"/>
      <c r="V400" s="6"/>
      <c r="W400" s="6"/>
      <c r="X400" s="6"/>
      <c r="Y400" s="6"/>
      <c r="Z400" s="7">
        <f t="shared" si="635"/>
        <v>0</v>
      </c>
      <c r="AA400" s="11">
        <f t="shared" si="636"/>
        <v>0</v>
      </c>
      <c r="AB400" s="25"/>
      <c r="AC400" s="10" t="str">
        <f t="shared" si="637"/>
        <v>OutubroSEMANA 3Agrião Orgânico</v>
      </c>
      <c r="AD400" s="7">
        <f>SUMIF(NF!$A:$A,$AC400,NF!$I:$I)</f>
        <v>0</v>
      </c>
      <c r="AE400" s="6"/>
      <c r="AF400" s="6"/>
      <c r="AG400" s="6"/>
      <c r="AH400" s="6"/>
      <c r="AI400" s="6"/>
      <c r="AJ400" s="6"/>
      <c r="AK400" s="6"/>
      <c r="AL400" s="7">
        <f t="shared" si="638"/>
        <v>0</v>
      </c>
      <c r="AM400" s="11">
        <f t="shared" si="639"/>
        <v>0</v>
      </c>
      <c r="AN400" s="25"/>
      <c r="AO400" s="10" t="str">
        <f t="shared" si="640"/>
        <v>OutubroSEMANA 4Agrião Orgânico</v>
      </c>
      <c r="AP400" s="7">
        <f>SUMIF(NF!$A:$A,$AO400,NF!$I:$I)</f>
        <v>0</v>
      </c>
      <c r="AQ400" s="6"/>
      <c r="AR400" s="6"/>
      <c r="AS400" s="6"/>
      <c r="AT400" s="6"/>
      <c r="AU400" s="6"/>
      <c r="AV400" s="6"/>
      <c r="AW400" s="6"/>
      <c r="AX400" s="7">
        <f t="shared" si="641"/>
        <v>0</v>
      </c>
      <c r="AY400" s="11">
        <f t="shared" si="642"/>
        <v>0</v>
      </c>
      <c r="AZ400" s="25"/>
      <c r="BA400" s="10" t="str">
        <f t="shared" si="643"/>
        <v>OutubroSEMANA 5Agrião Orgânico</v>
      </c>
      <c r="BB400" s="7">
        <f>SUMIF(NF!$A:$A,$BA400,NF!$I:$I)</f>
        <v>0</v>
      </c>
      <c r="BC400" s="6"/>
      <c r="BD400" s="6"/>
      <c r="BE400" s="6"/>
      <c r="BF400" s="74"/>
      <c r="BG400" s="74"/>
      <c r="BH400" s="74"/>
      <c r="BI400" s="74"/>
      <c r="BJ400" s="74"/>
      <c r="BK400" s="7">
        <f t="shared" si="644"/>
        <v>0</v>
      </c>
      <c r="BL400" s="8">
        <f t="shared" si="645"/>
        <v>0</v>
      </c>
      <c r="BM400" s="51" t="str">
        <f>IFERROR(VLOOKUP(A400,NF!$M:$O,3,0),"")</f>
        <v>Hortifruti</v>
      </c>
      <c r="BN400" s="7">
        <f t="shared" si="646"/>
        <v>0</v>
      </c>
      <c r="BO400" s="8">
        <f t="array" ref="BO400">IFERROR(LARGE(IF(NF!$G$2:$G$3137='Mês atual'!A400,NF!$J$2:$J$3137),1),0)*BN400</f>
        <v>0</v>
      </c>
      <c r="BP400" s="50"/>
      <c r="BR400" s="147">
        <f t="array" ref="BR400">IFERROR(LARGE(IF(NF!$G$2:$G$3137='Mês atual'!A400,NF!$J$2:$J$3137),1),0)</f>
        <v>0</v>
      </c>
      <c r="BS400" s="143" t="str">
        <f>VLOOKUP(A400,NF!M:O,3,0)</f>
        <v>Hortifruti</v>
      </c>
    </row>
    <row r="401" spans="1:71" x14ac:dyDescent="0.25">
      <c r="A401" s="108" t="s">
        <v>88</v>
      </c>
      <c r="B401" s="12"/>
      <c r="C401" s="9"/>
      <c r="D401" s="25"/>
      <c r="E401" s="10" t="str">
        <f t="shared" si="631"/>
        <v>OutubroSEMANA 1Água de Côco</v>
      </c>
      <c r="F401" s="7">
        <f>SUMIF(NF!$A:$A,$E401,NF!$I:$I)</f>
        <v>0</v>
      </c>
      <c r="G401" s="6"/>
      <c r="H401" s="6"/>
      <c r="I401" s="6"/>
      <c r="J401" s="6"/>
      <c r="K401" s="6"/>
      <c r="L401" s="6"/>
      <c r="M401" s="6"/>
      <c r="N401" s="7">
        <f t="shared" si="632"/>
        <v>0</v>
      </c>
      <c r="O401" s="11">
        <f t="shared" si="633"/>
        <v>0</v>
      </c>
      <c r="P401" s="25"/>
      <c r="Q401" s="10" t="str">
        <f t="shared" si="634"/>
        <v>OutubroSEMANA 2Água de Côco</v>
      </c>
      <c r="R401" s="7">
        <f>SUMIF(NF!$A:$A,$Q401,NF!$I:$I)</f>
        <v>0</v>
      </c>
      <c r="S401" s="6"/>
      <c r="T401" s="6"/>
      <c r="U401" s="6"/>
      <c r="V401" s="6"/>
      <c r="W401" s="6"/>
      <c r="X401" s="6"/>
      <c r="Y401" s="6"/>
      <c r="Z401" s="7">
        <f t="shared" si="635"/>
        <v>0</v>
      </c>
      <c r="AA401" s="11">
        <f t="shared" si="636"/>
        <v>0</v>
      </c>
      <c r="AB401" s="25"/>
      <c r="AC401" s="10" t="str">
        <f t="shared" si="637"/>
        <v>OutubroSEMANA 3Água de Côco</v>
      </c>
      <c r="AD401" s="7">
        <f>SUMIF(NF!$A:$A,$AC401,NF!$I:$I)</f>
        <v>0</v>
      </c>
      <c r="AE401" s="6"/>
      <c r="AF401" s="6"/>
      <c r="AG401" s="6"/>
      <c r="AH401" s="6"/>
      <c r="AI401" s="6"/>
      <c r="AJ401" s="6"/>
      <c r="AK401" s="6"/>
      <c r="AL401" s="7">
        <f t="shared" si="638"/>
        <v>0</v>
      </c>
      <c r="AM401" s="11">
        <f t="shared" si="639"/>
        <v>0</v>
      </c>
      <c r="AN401" s="25"/>
      <c r="AO401" s="10" t="str">
        <f t="shared" si="640"/>
        <v>OutubroSEMANA 4Água de Côco</v>
      </c>
      <c r="AP401" s="7">
        <f>SUMIF(NF!$A:$A,$AO401,NF!$I:$I)</f>
        <v>0</v>
      </c>
      <c r="AQ401" s="6"/>
      <c r="AR401" s="6"/>
      <c r="AS401" s="6"/>
      <c r="AT401" s="6"/>
      <c r="AU401" s="6"/>
      <c r="AV401" s="6"/>
      <c r="AW401" s="6"/>
      <c r="AX401" s="7">
        <f t="shared" si="641"/>
        <v>0</v>
      </c>
      <c r="AY401" s="11">
        <f t="shared" si="642"/>
        <v>0</v>
      </c>
      <c r="AZ401" s="25"/>
      <c r="BA401" s="10" t="str">
        <f t="shared" si="643"/>
        <v>OutubroSEMANA 5Água de Côco</v>
      </c>
      <c r="BB401" s="7">
        <f>SUMIF(NF!$A:$A,$BA401,NF!$I:$I)</f>
        <v>0</v>
      </c>
      <c r="BC401" s="6"/>
      <c r="BD401" s="6"/>
      <c r="BE401" s="6"/>
      <c r="BF401" s="74"/>
      <c r="BG401" s="74"/>
      <c r="BH401" s="74"/>
      <c r="BI401" s="74"/>
      <c r="BJ401" s="74"/>
      <c r="BK401" s="7">
        <f t="shared" si="644"/>
        <v>0</v>
      </c>
      <c r="BL401" s="8">
        <f t="shared" si="645"/>
        <v>0</v>
      </c>
      <c r="BM401" s="51" t="str">
        <f>IFERROR(VLOOKUP(A401,NF!$M:$O,3,0),"")</f>
        <v>Hortifruti</v>
      </c>
      <c r="BN401" s="7">
        <f t="shared" si="646"/>
        <v>0</v>
      </c>
      <c r="BO401" s="8">
        <f t="array" ref="BO401">IFERROR(LARGE(IF(NF!$G$2:$G$3137='Mês atual'!A401,NF!$J$2:$J$3137),1),0)*BN401</f>
        <v>0</v>
      </c>
      <c r="BP401" s="50"/>
      <c r="BR401" s="147">
        <f t="array" ref="BR401">IFERROR(LARGE(IF(NF!$G$2:$G$3137='Mês atual'!A401,NF!$J$2:$J$3137),1),0)</f>
        <v>0</v>
      </c>
      <c r="BS401" s="143" t="str">
        <f>VLOOKUP(A401,NF!M:O,3,0)</f>
        <v>Hortifruti</v>
      </c>
    </row>
    <row r="402" spans="1:71" x14ac:dyDescent="0.25">
      <c r="A402" s="108" t="s">
        <v>95</v>
      </c>
      <c r="B402" s="12"/>
      <c r="C402" s="9">
        <v>20</v>
      </c>
      <c r="D402" s="25"/>
      <c r="E402" s="10" t="str">
        <f t="shared" si="631"/>
        <v>OutubroSEMANA 1Aipim</v>
      </c>
      <c r="F402" s="7">
        <f>SUMIF(NF!$A:$A,$E402,NF!$I:$I)</f>
        <v>40</v>
      </c>
      <c r="G402" s="6"/>
      <c r="H402" s="6">
        <v>10</v>
      </c>
      <c r="I402" s="6">
        <v>10</v>
      </c>
      <c r="J402" s="6"/>
      <c r="K402" s="6">
        <v>10</v>
      </c>
      <c r="L402" s="6">
        <v>10</v>
      </c>
      <c r="M402" s="6"/>
      <c r="N402" s="7">
        <f t="shared" si="632"/>
        <v>40</v>
      </c>
      <c r="O402" s="11">
        <f t="shared" si="633"/>
        <v>20</v>
      </c>
      <c r="P402" s="25"/>
      <c r="Q402" s="10" t="str">
        <f t="shared" si="634"/>
        <v>OutubroSEMANA 2Aipim</v>
      </c>
      <c r="R402" s="7">
        <f>SUMIF(NF!$A:$A,$Q402,NF!$I:$I)</f>
        <v>30</v>
      </c>
      <c r="S402" s="6"/>
      <c r="T402" s="6">
        <v>10</v>
      </c>
      <c r="U402" s="6">
        <v>10</v>
      </c>
      <c r="V402" s="6">
        <v>10</v>
      </c>
      <c r="W402" s="6">
        <v>10</v>
      </c>
      <c r="X402" s="6">
        <v>5</v>
      </c>
      <c r="Y402" s="6"/>
      <c r="Z402" s="7">
        <f t="shared" si="635"/>
        <v>45</v>
      </c>
      <c r="AA402" s="11">
        <f t="shared" si="636"/>
        <v>5</v>
      </c>
      <c r="AB402" s="25"/>
      <c r="AC402" s="10" t="str">
        <f t="shared" si="637"/>
        <v>OutubroSEMANA 3Aipim</v>
      </c>
      <c r="AD402" s="7">
        <f>SUMIF(NF!$A:$A,$AC402,NF!$I:$I)</f>
        <v>20</v>
      </c>
      <c r="AE402" s="6"/>
      <c r="AF402" s="6">
        <v>5</v>
      </c>
      <c r="AG402" s="6"/>
      <c r="AH402" s="6"/>
      <c r="AI402" s="6"/>
      <c r="AJ402" s="6">
        <v>5</v>
      </c>
      <c r="AK402" s="6">
        <v>5</v>
      </c>
      <c r="AL402" s="7">
        <f t="shared" si="638"/>
        <v>15</v>
      </c>
      <c r="AM402" s="11">
        <f t="shared" si="639"/>
        <v>10</v>
      </c>
      <c r="AN402" s="25"/>
      <c r="AO402" s="10" t="str">
        <f t="shared" si="640"/>
        <v>OutubroSEMANA 4Aipim</v>
      </c>
      <c r="AP402" s="7">
        <f>SUMIF(NF!$A:$A,$AO402,NF!$I:$I)</f>
        <v>40</v>
      </c>
      <c r="AQ402" s="6">
        <v>10</v>
      </c>
      <c r="AR402" s="6">
        <v>10</v>
      </c>
      <c r="AS402" s="6">
        <v>10</v>
      </c>
      <c r="AT402" s="6">
        <v>10</v>
      </c>
      <c r="AU402" s="6">
        <v>10</v>
      </c>
      <c r="AV402" s="6"/>
      <c r="AW402" s="6"/>
      <c r="AX402" s="7">
        <f t="shared" si="641"/>
        <v>50</v>
      </c>
      <c r="AY402" s="11">
        <f t="shared" si="642"/>
        <v>0</v>
      </c>
      <c r="AZ402" s="25"/>
      <c r="BA402" s="10" t="str">
        <f t="shared" si="643"/>
        <v>OutubroSEMANA 5Aipim</v>
      </c>
      <c r="BB402" s="7">
        <f>SUMIF(NF!$A:$A,$BA402,NF!$I:$I)</f>
        <v>30</v>
      </c>
      <c r="BC402" s="6">
        <v>10</v>
      </c>
      <c r="BD402" s="6">
        <v>10</v>
      </c>
      <c r="BE402" s="6"/>
      <c r="BF402" s="74"/>
      <c r="BG402" s="74"/>
      <c r="BH402" s="74"/>
      <c r="BI402" s="74"/>
      <c r="BJ402" s="74"/>
      <c r="BK402" s="7">
        <f t="shared" si="644"/>
        <v>20</v>
      </c>
      <c r="BL402" s="8">
        <f t="shared" si="645"/>
        <v>10</v>
      </c>
      <c r="BM402" s="51" t="str">
        <f>IFERROR(VLOOKUP(A402,NF!$M:$O,3,0),"")</f>
        <v>Hortifruti</v>
      </c>
      <c r="BN402" s="7">
        <f t="shared" si="646"/>
        <v>170</v>
      </c>
      <c r="BO402" s="8">
        <f t="array" ref="BO402">IFERROR(LARGE(IF(NF!$G$2:$G$3137='Mês atual'!A402,NF!$J$2:$J$3137),1),0)*BN402</f>
        <v>850</v>
      </c>
      <c r="BP402" s="50"/>
      <c r="BR402" s="147">
        <f t="array" ref="BR402">IFERROR(LARGE(IF(NF!$G$2:$G$3137='Mês atual'!A402,NF!$J$2:$J$3137),1),0)</f>
        <v>5</v>
      </c>
      <c r="BS402" s="143" t="str">
        <f>VLOOKUP(A402,NF!M:O,3,0)</f>
        <v>Hortifruti</v>
      </c>
    </row>
    <row r="403" spans="1:71" x14ac:dyDescent="0.25">
      <c r="A403" s="108" t="s">
        <v>96</v>
      </c>
      <c r="B403" s="12"/>
      <c r="C403" s="9">
        <v>1</v>
      </c>
      <c r="D403" s="25"/>
      <c r="E403" s="10" t="str">
        <f t="shared" si="631"/>
        <v>OutubroSEMANA 1Aipo</v>
      </c>
      <c r="F403" s="7">
        <f>SUMIF(NF!$A:$A,$E403,NF!$I:$I)</f>
        <v>2</v>
      </c>
      <c r="G403" s="6">
        <v>1</v>
      </c>
      <c r="H403" s="6"/>
      <c r="I403" s="6"/>
      <c r="J403" s="6">
        <v>1</v>
      </c>
      <c r="K403" s="6"/>
      <c r="L403" s="6"/>
      <c r="M403" s="6"/>
      <c r="N403" s="7">
        <f t="shared" si="632"/>
        <v>2</v>
      </c>
      <c r="O403" s="11">
        <f t="shared" si="633"/>
        <v>1</v>
      </c>
      <c r="P403" s="25"/>
      <c r="Q403" s="10" t="str">
        <f t="shared" si="634"/>
        <v>OutubroSEMANA 2Aipo</v>
      </c>
      <c r="R403" s="7">
        <f>SUMIF(NF!$A:$A,$Q403,NF!$I:$I)</f>
        <v>2.4</v>
      </c>
      <c r="S403" s="6">
        <v>1</v>
      </c>
      <c r="T403" s="6"/>
      <c r="U403" s="6"/>
      <c r="V403" s="6"/>
      <c r="W403" s="6">
        <v>1.4</v>
      </c>
      <c r="X403" s="6"/>
      <c r="Y403" s="6"/>
      <c r="Z403" s="7">
        <f t="shared" si="635"/>
        <v>2.4</v>
      </c>
      <c r="AA403" s="11">
        <f t="shared" si="636"/>
        <v>1</v>
      </c>
      <c r="AB403" s="25"/>
      <c r="AC403" s="10" t="str">
        <f t="shared" si="637"/>
        <v>OutubroSEMANA 3Aipo</v>
      </c>
      <c r="AD403" s="7">
        <f>SUMIF(NF!$A:$A,$AC403,NF!$I:$I)</f>
        <v>3.4</v>
      </c>
      <c r="AE403" s="6">
        <v>1</v>
      </c>
      <c r="AF403" s="6"/>
      <c r="AG403" s="6">
        <v>1.4</v>
      </c>
      <c r="AH403" s="6">
        <v>1</v>
      </c>
      <c r="AI403" s="6"/>
      <c r="AJ403" s="6"/>
      <c r="AK403" s="6">
        <v>1</v>
      </c>
      <c r="AL403" s="7">
        <f t="shared" si="638"/>
        <v>4.4000000000000004</v>
      </c>
      <c r="AM403" s="11">
        <f t="shared" si="639"/>
        <v>0</v>
      </c>
      <c r="AN403" s="25"/>
      <c r="AO403" s="10" t="str">
        <f t="shared" si="640"/>
        <v>OutubroSEMANA 4Aipo</v>
      </c>
      <c r="AP403" s="7">
        <f>SUMIF(NF!$A:$A,$AO403,NF!$I:$I)</f>
        <v>3.8</v>
      </c>
      <c r="AQ403" s="6"/>
      <c r="AR403" s="6"/>
      <c r="AS403" s="6">
        <v>1.8</v>
      </c>
      <c r="AT403" s="6"/>
      <c r="AU403" s="6">
        <v>0.5</v>
      </c>
      <c r="AV403" s="6">
        <v>0.5</v>
      </c>
      <c r="AW403" s="6">
        <v>1</v>
      </c>
      <c r="AX403" s="7">
        <f t="shared" si="641"/>
        <v>3.8</v>
      </c>
      <c r="AY403" s="11">
        <f t="shared" si="642"/>
        <v>0</v>
      </c>
      <c r="AZ403" s="25"/>
      <c r="BA403" s="10" t="str">
        <f t="shared" si="643"/>
        <v>OutubroSEMANA 5Aipo</v>
      </c>
      <c r="BB403" s="7">
        <f>SUMIF(NF!$A:$A,$BA403,NF!$I:$I)</f>
        <v>0</v>
      </c>
      <c r="BC403" s="6"/>
      <c r="BD403" s="6"/>
      <c r="BE403" s="6"/>
      <c r="BF403" s="74"/>
      <c r="BG403" s="74"/>
      <c r="BH403" s="74"/>
      <c r="BI403" s="74"/>
      <c r="BJ403" s="74"/>
      <c r="BK403" s="7">
        <f t="shared" si="644"/>
        <v>0</v>
      </c>
      <c r="BL403" s="8">
        <f t="shared" si="645"/>
        <v>0</v>
      </c>
      <c r="BM403" s="51" t="str">
        <f>IFERROR(VLOOKUP(A403,NF!$M:$O,3,0),"")</f>
        <v>Hortifruti</v>
      </c>
      <c r="BN403" s="7">
        <f t="shared" si="646"/>
        <v>12.600000000000001</v>
      </c>
      <c r="BO403" s="8">
        <f t="array" ref="BO403">IFERROR(LARGE(IF(NF!$G$2:$G$3137='Mês atual'!A403,NF!$J$2:$J$3137),1),0)*BN403</f>
        <v>50.400000000000006</v>
      </c>
      <c r="BP403" s="50"/>
      <c r="BR403" s="147">
        <f t="array" ref="BR403">IFERROR(LARGE(IF(NF!$G$2:$G$3137='Mês atual'!A403,NF!$J$2:$J$3137),1),0)</f>
        <v>4</v>
      </c>
      <c r="BS403" s="143" t="str">
        <f>VLOOKUP(A403,NF!M:O,3,0)</f>
        <v>Hortifruti</v>
      </c>
    </row>
    <row r="404" spans="1:71" x14ac:dyDescent="0.25">
      <c r="A404" s="108" t="s">
        <v>101</v>
      </c>
      <c r="B404" s="12"/>
      <c r="C404" s="9"/>
      <c r="D404" s="25"/>
      <c r="E404" s="10" t="str">
        <f t="shared" si="631"/>
        <v>OutubroSEMANA 1Alecrim</v>
      </c>
      <c r="F404" s="7">
        <f>SUMIF(NF!$A:$A,$E404,NF!$I:$I)</f>
        <v>0</v>
      </c>
      <c r="G404" s="6"/>
      <c r="H404" s="6"/>
      <c r="I404" s="6"/>
      <c r="J404" s="6"/>
      <c r="K404" s="6"/>
      <c r="L404" s="6"/>
      <c r="M404" s="6"/>
      <c r="N404" s="7">
        <f t="shared" si="632"/>
        <v>0</v>
      </c>
      <c r="O404" s="11">
        <f t="shared" si="633"/>
        <v>0</v>
      </c>
      <c r="P404" s="25"/>
      <c r="Q404" s="10" t="str">
        <f t="shared" si="634"/>
        <v>OutubroSEMANA 2Alecrim</v>
      </c>
      <c r="R404" s="7">
        <f>SUMIF(NF!$A:$A,$Q404,NF!$I:$I)</f>
        <v>0.2</v>
      </c>
      <c r="S404" s="6"/>
      <c r="T404" s="6"/>
      <c r="U404" s="6"/>
      <c r="V404" s="6">
        <v>0.2</v>
      </c>
      <c r="W404" s="6"/>
      <c r="X404" s="6"/>
      <c r="Y404" s="6"/>
      <c r="Z404" s="7">
        <f t="shared" si="635"/>
        <v>0.2</v>
      </c>
      <c r="AA404" s="11">
        <f t="shared" si="636"/>
        <v>0</v>
      </c>
      <c r="AB404" s="25"/>
      <c r="AC404" s="10" t="str">
        <f t="shared" si="637"/>
        <v>OutubroSEMANA 3Alecrim</v>
      </c>
      <c r="AD404" s="7">
        <f>SUMIF(NF!$A:$A,$AC404,NF!$I:$I)</f>
        <v>0.2</v>
      </c>
      <c r="AE404" s="6"/>
      <c r="AF404" s="6"/>
      <c r="AG404" s="6"/>
      <c r="AH404" s="6"/>
      <c r="AI404" s="6"/>
      <c r="AJ404" s="6"/>
      <c r="AK404" s="6">
        <v>0.2</v>
      </c>
      <c r="AL404" s="7">
        <f t="shared" si="638"/>
        <v>0.2</v>
      </c>
      <c r="AM404" s="11">
        <f t="shared" si="639"/>
        <v>0</v>
      </c>
      <c r="AN404" s="25"/>
      <c r="AO404" s="10" t="str">
        <f t="shared" si="640"/>
        <v>OutubroSEMANA 4Alecrim</v>
      </c>
      <c r="AP404" s="7">
        <f>SUMIF(NF!$A:$A,$AO404,NF!$I:$I)</f>
        <v>0.2</v>
      </c>
      <c r="AQ404" s="6"/>
      <c r="AR404" s="6"/>
      <c r="AS404" s="6"/>
      <c r="AT404" s="6">
        <v>0.2</v>
      </c>
      <c r="AU404" s="6"/>
      <c r="AV404" s="6"/>
      <c r="AW404" s="6"/>
      <c r="AX404" s="7">
        <f t="shared" si="641"/>
        <v>0.2</v>
      </c>
      <c r="AY404" s="11">
        <f t="shared" si="642"/>
        <v>0</v>
      </c>
      <c r="AZ404" s="25"/>
      <c r="BA404" s="10" t="str">
        <f t="shared" si="643"/>
        <v>OutubroSEMANA 5Alecrim</v>
      </c>
      <c r="BB404" s="7">
        <f>SUMIF(NF!$A:$A,$BA404,NF!$I:$I)</f>
        <v>0</v>
      </c>
      <c r="BC404" s="6"/>
      <c r="BD404" s="6"/>
      <c r="BE404" s="6"/>
      <c r="BF404" s="74"/>
      <c r="BG404" s="74"/>
      <c r="BH404" s="74"/>
      <c r="BI404" s="74"/>
      <c r="BJ404" s="74"/>
      <c r="BK404" s="7">
        <f t="shared" si="644"/>
        <v>0</v>
      </c>
      <c r="BL404" s="8">
        <f t="shared" si="645"/>
        <v>0</v>
      </c>
      <c r="BM404" s="51" t="str">
        <f>IFERROR(VLOOKUP(A404,NF!$M:$O,3,0),"")</f>
        <v>Hortifruti</v>
      </c>
      <c r="BN404" s="7">
        <f t="shared" si="646"/>
        <v>0.60000000000000009</v>
      </c>
      <c r="BO404" s="8">
        <f t="array" ref="BO404">IFERROR(LARGE(IF(NF!$G$2:$G$3137='Mês atual'!A404,NF!$J$2:$J$3137),1),0)*BN404</f>
        <v>11.100000000000001</v>
      </c>
      <c r="BP404" s="50"/>
      <c r="BR404" s="147">
        <f t="array" ref="BR404">IFERROR(LARGE(IF(NF!$G$2:$G$3137='Mês atual'!A404,NF!$J$2:$J$3137),1),0)</f>
        <v>18.5</v>
      </c>
      <c r="BS404" s="143" t="str">
        <f>VLOOKUP(A404,NF!M:O,3,0)</f>
        <v>Hortifruti</v>
      </c>
    </row>
    <row r="405" spans="1:71" x14ac:dyDescent="0.25">
      <c r="A405" s="108" t="s">
        <v>102</v>
      </c>
      <c r="B405" s="12"/>
      <c r="C405" s="9"/>
      <c r="D405" s="25"/>
      <c r="E405" s="10" t="str">
        <f t="shared" si="631"/>
        <v xml:space="preserve">OutubroSEMANA 1Alface Americana    </v>
      </c>
      <c r="F405" s="7">
        <f>SUMIF(NF!$A:$A,$E405,NF!$I:$I)</f>
        <v>0</v>
      </c>
      <c r="G405" s="6"/>
      <c r="H405" s="6"/>
      <c r="I405" s="6"/>
      <c r="J405" s="6"/>
      <c r="K405" s="6"/>
      <c r="L405" s="6"/>
      <c r="M405" s="6"/>
      <c r="N405" s="7">
        <f t="shared" si="632"/>
        <v>0</v>
      </c>
      <c r="O405" s="11">
        <f t="shared" si="633"/>
        <v>0</v>
      </c>
      <c r="P405" s="25"/>
      <c r="Q405" s="10" t="str">
        <f t="shared" si="634"/>
        <v xml:space="preserve">OutubroSEMANA 2Alface Americana    </v>
      </c>
      <c r="R405" s="7">
        <f>SUMIF(NF!$A:$A,$Q405,NF!$I:$I)</f>
        <v>0</v>
      </c>
      <c r="S405" s="6"/>
      <c r="T405" s="6"/>
      <c r="U405" s="6"/>
      <c r="V405" s="6"/>
      <c r="W405" s="6"/>
      <c r="X405" s="6"/>
      <c r="Y405" s="6"/>
      <c r="Z405" s="7">
        <f t="shared" si="635"/>
        <v>0</v>
      </c>
      <c r="AA405" s="11">
        <f t="shared" si="636"/>
        <v>0</v>
      </c>
      <c r="AB405" s="25"/>
      <c r="AC405" s="10" t="str">
        <f t="shared" si="637"/>
        <v xml:space="preserve">OutubroSEMANA 3Alface Americana    </v>
      </c>
      <c r="AD405" s="7">
        <f>SUMIF(NF!$A:$A,$AC405,NF!$I:$I)</f>
        <v>0</v>
      </c>
      <c r="AE405" s="6"/>
      <c r="AF405" s="6"/>
      <c r="AG405" s="6"/>
      <c r="AH405" s="6"/>
      <c r="AI405" s="6"/>
      <c r="AJ405" s="6"/>
      <c r="AK405" s="6"/>
      <c r="AL405" s="7">
        <f t="shared" si="638"/>
        <v>0</v>
      </c>
      <c r="AM405" s="11">
        <f t="shared" si="639"/>
        <v>0</v>
      </c>
      <c r="AN405" s="25"/>
      <c r="AO405" s="10" t="str">
        <f t="shared" si="640"/>
        <v xml:space="preserve">OutubroSEMANA 4Alface Americana    </v>
      </c>
      <c r="AP405" s="7">
        <f>SUMIF(NF!$A:$A,$AO405,NF!$I:$I)</f>
        <v>18.239999999999998</v>
      </c>
      <c r="AQ405" s="6"/>
      <c r="AR405" s="6"/>
      <c r="AS405" s="6"/>
      <c r="AT405" s="6"/>
      <c r="AU405" s="6">
        <v>7.64</v>
      </c>
      <c r="AV405" s="6">
        <v>3.14</v>
      </c>
      <c r="AW405" s="6">
        <v>3.73</v>
      </c>
      <c r="AX405" s="7">
        <f t="shared" si="641"/>
        <v>14.51</v>
      </c>
      <c r="AY405" s="11">
        <f t="shared" si="642"/>
        <v>3.7299999999999986</v>
      </c>
      <c r="AZ405" s="25"/>
      <c r="BA405" s="10" t="str">
        <f t="shared" si="643"/>
        <v xml:space="preserve">OutubroSEMANA 5Alface Americana    </v>
      </c>
      <c r="BB405" s="7">
        <f>SUMIF(NF!$A:$A,$BA405,NF!$I:$I)</f>
        <v>0</v>
      </c>
      <c r="BC405" s="6">
        <v>3.73</v>
      </c>
      <c r="BD405" s="6"/>
      <c r="BE405" s="6"/>
      <c r="BF405" s="74"/>
      <c r="BG405" s="74"/>
      <c r="BH405" s="74"/>
      <c r="BI405" s="74"/>
      <c r="BJ405" s="74"/>
      <c r="BK405" s="7">
        <f t="shared" si="644"/>
        <v>3.73</v>
      </c>
      <c r="BL405" s="8">
        <f t="shared" si="645"/>
        <v>0</v>
      </c>
      <c r="BM405" s="51" t="str">
        <f>IFERROR(VLOOKUP(A405,NF!$M:$O,3,0),"")</f>
        <v>Hortifruti</v>
      </c>
      <c r="BN405" s="7">
        <f t="shared" si="646"/>
        <v>18.239999999999998</v>
      </c>
      <c r="BO405" s="8">
        <f t="array" ref="BO405">IFERROR(LARGE(IF(NF!$G$2:$G$3137='Mês atual'!A405,NF!$J$2:$J$3137),1),0)*BN405</f>
        <v>97.589808917197445</v>
      </c>
      <c r="BP405" s="50"/>
      <c r="BR405" s="147">
        <f t="array" ref="BR405">IFERROR(LARGE(IF(NF!$G$2:$G$3137='Mês atual'!A405,NF!$J$2:$J$3137),1),0)</f>
        <v>5.3503184713375793</v>
      </c>
      <c r="BS405" s="143" t="str">
        <f>VLOOKUP(A405,NF!M:O,3,0)</f>
        <v>Hortifruti</v>
      </c>
    </row>
    <row r="406" spans="1:71" x14ac:dyDescent="0.25">
      <c r="A406" s="108" t="s">
        <v>103</v>
      </c>
      <c r="B406" s="12"/>
      <c r="C406" s="9">
        <v>4.6100000000000003</v>
      </c>
      <c r="D406" s="25"/>
      <c r="E406" s="10" t="str">
        <f t="shared" si="631"/>
        <v>OutubroSEMANA 1Alface Americana Orgânica</v>
      </c>
      <c r="F406" s="7">
        <f>SUMIF(NF!$A:$A,$E406,NF!$I:$I)</f>
        <v>21.439999999999998</v>
      </c>
      <c r="G406" s="6">
        <v>4.6100000000000003</v>
      </c>
      <c r="H406" s="6"/>
      <c r="I406" s="6">
        <v>5.72</v>
      </c>
      <c r="J406" s="6">
        <v>5.72</v>
      </c>
      <c r="K406" s="6"/>
      <c r="L406" s="6"/>
      <c r="M406" s="6">
        <v>5</v>
      </c>
      <c r="N406" s="7">
        <f t="shared" si="632"/>
        <v>21.05</v>
      </c>
      <c r="O406" s="11">
        <f t="shared" si="633"/>
        <v>4.9999999999999964</v>
      </c>
      <c r="P406" s="25"/>
      <c r="Q406" s="10" t="str">
        <f t="shared" si="634"/>
        <v>OutubroSEMANA 2Alface Americana Orgânica</v>
      </c>
      <c r="R406" s="7">
        <f>SUMIF(NF!$A:$A,$Q406,NF!$I:$I)</f>
        <v>18.84</v>
      </c>
      <c r="S406" s="6">
        <v>5</v>
      </c>
      <c r="T406" s="6"/>
      <c r="U406" s="6">
        <v>5</v>
      </c>
      <c r="V406" s="6">
        <v>5</v>
      </c>
      <c r="W406" s="6"/>
      <c r="X406" s="6"/>
      <c r="Y406" s="6"/>
      <c r="Z406" s="7">
        <f t="shared" si="635"/>
        <v>15</v>
      </c>
      <c r="AA406" s="11">
        <f t="shared" si="636"/>
        <v>8.8399999999999963</v>
      </c>
      <c r="AB406" s="25"/>
      <c r="AC406" s="10" t="str">
        <f t="shared" si="637"/>
        <v>OutubroSEMANA 3Alface Americana Orgânica</v>
      </c>
      <c r="AD406" s="7">
        <f>SUMIF(NF!$A:$A,$AC406,NF!$I:$I)</f>
        <v>23.22</v>
      </c>
      <c r="AE406" s="6">
        <v>4.84</v>
      </c>
      <c r="AF406" s="6">
        <v>4</v>
      </c>
      <c r="AG406" s="6">
        <v>3</v>
      </c>
      <c r="AH406" s="6">
        <v>4.58</v>
      </c>
      <c r="AI406" s="6">
        <v>3.43</v>
      </c>
      <c r="AJ406" s="6">
        <v>3.43</v>
      </c>
      <c r="AK406" s="6">
        <v>4.3899999999999997</v>
      </c>
      <c r="AL406" s="7">
        <f t="shared" si="638"/>
        <v>27.67</v>
      </c>
      <c r="AM406" s="11">
        <f t="shared" si="639"/>
        <v>4.3899999999999935</v>
      </c>
      <c r="AN406" s="25"/>
      <c r="AO406" s="10" t="str">
        <f t="shared" si="640"/>
        <v>OutubroSEMANA 4Alface Americana Orgânica</v>
      </c>
      <c r="AP406" s="7">
        <f>SUMIF(NF!$A:$A,$AO406,NF!$I:$I)</f>
        <v>6.84</v>
      </c>
      <c r="AQ406" s="6">
        <v>4.3899999999999997</v>
      </c>
      <c r="AR406" s="6"/>
      <c r="AS406" s="6">
        <v>4</v>
      </c>
      <c r="AT406" s="6">
        <v>2.84</v>
      </c>
      <c r="AU406" s="6"/>
      <c r="AV406" s="6"/>
      <c r="AW406" s="6"/>
      <c r="AX406" s="7">
        <f t="shared" si="641"/>
        <v>11.23</v>
      </c>
      <c r="AY406" s="11">
        <f t="shared" si="642"/>
        <v>0</v>
      </c>
      <c r="AZ406" s="25"/>
      <c r="BA406" s="10" t="str">
        <f t="shared" si="643"/>
        <v>OutubroSEMANA 5Alface Americana Orgânica</v>
      </c>
      <c r="BB406" s="7">
        <f>SUMIF(NF!$A:$A,$BA406,NF!$I:$I)</f>
        <v>8.34</v>
      </c>
      <c r="BC406" s="6"/>
      <c r="BD406" s="6"/>
      <c r="BE406" s="6">
        <v>4</v>
      </c>
      <c r="BF406" s="74"/>
      <c r="BG406" s="74"/>
      <c r="BH406" s="74"/>
      <c r="BI406" s="74"/>
      <c r="BJ406" s="74"/>
      <c r="BK406" s="7">
        <f t="shared" si="644"/>
        <v>4</v>
      </c>
      <c r="BL406" s="8">
        <f t="shared" si="645"/>
        <v>4.34</v>
      </c>
      <c r="BM406" s="51" t="str">
        <f>IFERROR(VLOOKUP(A406,NF!$M:$O,3,0),"")</f>
        <v>Hortifruti</v>
      </c>
      <c r="BN406" s="7">
        <f t="shared" si="646"/>
        <v>78.95</v>
      </c>
      <c r="BO406" s="8">
        <f t="array" ref="BO406">IFERROR(LARGE(IF(NF!$G$2:$G$3137='Mês atual'!A406,NF!$J$2:$J$3137),1),0)*BN406</f>
        <v>686.31594724220622</v>
      </c>
      <c r="BP406" s="50"/>
      <c r="BR406" s="147">
        <f t="array" ref="BR406">IFERROR(LARGE(IF(NF!$G$2:$G$3137='Mês atual'!A406,NF!$J$2:$J$3137),1),0)</f>
        <v>8.6930455635491608</v>
      </c>
      <c r="BS406" s="143" t="str">
        <f>VLOOKUP(A406,NF!M:O,3,0)</f>
        <v>Hortifruti</v>
      </c>
    </row>
    <row r="407" spans="1:71" x14ac:dyDescent="0.25">
      <c r="A407" s="108" t="s">
        <v>104</v>
      </c>
      <c r="B407" s="12"/>
      <c r="C407" s="9"/>
      <c r="D407" s="25"/>
      <c r="E407" s="10" t="str">
        <f t="shared" si="631"/>
        <v>OutubroSEMANA 1Alface crespa</v>
      </c>
      <c r="F407" s="7">
        <f>SUMIF(NF!$A:$A,$E407,NF!$I:$I)</f>
        <v>0</v>
      </c>
      <c r="G407" s="6"/>
      <c r="H407" s="6"/>
      <c r="I407" s="6"/>
      <c r="J407" s="6"/>
      <c r="K407" s="6"/>
      <c r="L407" s="6"/>
      <c r="M407" s="6"/>
      <c r="N407" s="7">
        <f t="shared" si="632"/>
        <v>0</v>
      </c>
      <c r="O407" s="11">
        <f t="shared" si="633"/>
        <v>0</v>
      </c>
      <c r="P407" s="25"/>
      <c r="Q407" s="10" t="str">
        <f t="shared" si="634"/>
        <v>OutubroSEMANA 2Alface crespa</v>
      </c>
      <c r="R407" s="7">
        <f>SUMIF(NF!$A:$A,$Q407,NF!$I:$I)</f>
        <v>0</v>
      </c>
      <c r="S407" s="6"/>
      <c r="T407" s="6"/>
      <c r="U407" s="6"/>
      <c r="V407" s="6"/>
      <c r="W407" s="6"/>
      <c r="X407" s="6"/>
      <c r="Y407" s="6"/>
      <c r="Z407" s="7">
        <f t="shared" si="635"/>
        <v>0</v>
      </c>
      <c r="AA407" s="11">
        <f t="shared" si="636"/>
        <v>0</v>
      </c>
      <c r="AB407" s="25"/>
      <c r="AC407" s="10" t="str">
        <f t="shared" si="637"/>
        <v>OutubroSEMANA 3Alface crespa</v>
      </c>
      <c r="AD407" s="7">
        <f>SUMIF(NF!$A:$A,$AC407,NF!$I:$I)</f>
        <v>0</v>
      </c>
      <c r="AE407" s="6"/>
      <c r="AF407" s="6"/>
      <c r="AG407" s="6"/>
      <c r="AH407" s="6"/>
      <c r="AI407" s="6"/>
      <c r="AJ407" s="6"/>
      <c r="AK407" s="6"/>
      <c r="AL407" s="7">
        <f t="shared" si="638"/>
        <v>0</v>
      </c>
      <c r="AM407" s="11">
        <f t="shared" si="639"/>
        <v>0</v>
      </c>
      <c r="AN407" s="25"/>
      <c r="AO407" s="10" t="str">
        <f t="shared" si="640"/>
        <v>OutubroSEMANA 4Alface crespa</v>
      </c>
      <c r="AP407" s="7">
        <f>SUMIF(NF!$A:$A,$AO407,NF!$I:$I)</f>
        <v>0</v>
      </c>
      <c r="AQ407" s="6"/>
      <c r="AR407" s="6"/>
      <c r="AS407" s="6"/>
      <c r="AT407" s="6"/>
      <c r="AU407" s="6"/>
      <c r="AV407" s="6"/>
      <c r="AW407" s="6"/>
      <c r="AX407" s="7">
        <f t="shared" si="641"/>
        <v>0</v>
      </c>
      <c r="AY407" s="11">
        <f t="shared" si="642"/>
        <v>0</v>
      </c>
      <c r="AZ407" s="25"/>
      <c r="BA407" s="10" t="str">
        <f t="shared" si="643"/>
        <v>OutubroSEMANA 5Alface crespa</v>
      </c>
      <c r="BB407" s="7">
        <f>SUMIF(NF!$A:$A,$BA407,NF!$I:$I)</f>
        <v>0</v>
      </c>
      <c r="BC407" s="6"/>
      <c r="BD407" s="6"/>
      <c r="BE407" s="6"/>
      <c r="BF407" s="74"/>
      <c r="BG407" s="74"/>
      <c r="BH407" s="74"/>
      <c r="BI407" s="74"/>
      <c r="BJ407" s="74"/>
      <c r="BK407" s="7">
        <f t="shared" si="644"/>
        <v>0</v>
      </c>
      <c r="BL407" s="8">
        <f t="shared" si="645"/>
        <v>0</v>
      </c>
      <c r="BM407" s="51" t="str">
        <f>IFERROR(VLOOKUP(A407,NF!$M:$O,3,0),"")</f>
        <v>Hortifruti</v>
      </c>
      <c r="BN407" s="7">
        <f t="shared" si="646"/>
        <v>0</v>
      </c>
      <c r="BO407" s="8">
        <f t="array" ref="BO407">IFERROR(LARGE(IF(NF!$G$2:$G$3137='Mês atual'!A407,NF!$J$2:$J$3137),1),0)*BN407</f>
        <v>0</v>
      </c>
      <c r="BP407" s="50"/>
      <c r="BR407" s="147">
        <f t="array" ref="BR407">IFERROR(LARGE(IF(NF!$G$2:$G$3137='Mês atual'!A407,NF!$J$2:$J$3137),1),0)</f>
        <v>0</v>
      </c>
      <c r="BS407" s="143" t="str">
        <f>VLOOKUP(A407,NF!M:O,3,0)</f>
        <v>Hortifruti</v>
      </c>
    </row>
    <row r="408" spans="1:71" x14ac:dyDescent="0.25">
      <c r="A408" s="108" t="s">
        <v>105</v>
      </c>
      <c r="B408" s="12"/>
      <c r="C408" s="9">
        <v>2.42</v>
      </c>
      <c r="D408" s="25"/>
      <c r="E408" s="10" t="str">
        <f t="shared" si="631"/>
        <v>OutubroSEMANA 1Alface crespa Orgânica</v>
      </c>
      <c r="F408" s="7">
        <f>SUMIF(NF!$A:$A,$E408,NF!$I:$I)</f>
        <v>7</v>
      </c>
      <c r="G408" s="6">
        <v>2.42</v>
      </c>
      <c r="H408" s="6"/>
      <c r="I408" s="6"/>
      <c r="J408" s="6">
        <v>3.84</v>
      </c>
      <c r="K408" s="6"/>
      <c r="L408" s="6"/>
      <c r="M408" s="6">
        <v>1.58</v>
      </c>
      <c r="N408" s="7">
        <f t="shared" si="632"/>
        <v>7.84</v>
      </c>
      <c r="O408" s="11">
        <f t="shared" si="633"/>
        <v>1.58</v>
      </c>
      <c r="P408" s="25"/>
      <c r="Q408" s="10" t="str">
        <f t="shared" si="634"/>
        <v>OutubroSEMANA 2Alface crespa Orgânica</v>
      </c>
      <c r="R408" s="7">
        <f>SUMIF(NF!$A:$A,$Q408,NF!$I:$I)</f>
        <v>6.14</v>
      </c>
      <c r="S408" s="6">
        <v>1.58</v>
      </c>
      <c r="T408" s="6"/>
      <c r="U408" s="6">
        <v>1.34</v>
      </c>
      <c r="V408" s="6">
        <v>1.34</v>
      </c>
      <c r="W408" s="6"/>
      <c r="X408" s="6">
        <v>1.4</v>
      </c>
      <c r="Y408" s="6"/>
      <c r="Z408" s="7">
        <f t="shared" si="635"/>
        <v>5.66</v>
      </c>
      <c r="AA408" s="11">
        <f t="shared" si="636"/>
        <v>2.0599999999999996</v>
      </c>
      <c r="AB408" s="25"/>
      <c r="AC408" s="10" t="str">
        <f t="shared" si="637"/>
        <v>OutubroSEMANA 3Alface crespa Orgânica</v>
      </c>
      <c r="AD408" s="7">
        <f>SUMIF(NF!$A:$A,$AC408,NF!$I:$I)</f>
        <v>8.8000000000000007</v>
      </c>
      <c r="AE408" s="6">
        <v>1.06</v>
      </c>
      <c r="AF408" s="6">
        <v>1</v>
      </c>
      <c r="AG408" s="6">
        <v>1.99</v>
      </c>
      <c r="AH408" s="6">
        <v>1.99</v>
      </c>
      <c r="AI408" s="6">
        <v>1.08</v>
      </c>
      <c r="AJ408" s="6">
        <v>1.08</v>
      </c>
      <c r="AK408" s="6">
        <v>1.33</v>
      </c>
      <c r="AL408" s="7">
        <f t="shared" si="638"/>
        <v>9.5299999999999994</v>
      </c>
      <c r="AM408" s="11">
        <f t="shared" si="639"/>
        <v>1.33</v>
      </c>
      <c r="AN408" s="25"/>
      <c r="AO408" s="10" t="str">
        <f t="shared" si="640"/>
        <v>OutubroSEMANA 4Alface crespa Orgânica</v>
      </c>
      <c r="AP408" s="7">
        <f>SUMIF(NF!$A:$A,$AO408,NF!$I:$I)</f>
        <v>2.5599999999999996</v>
      </c>
      <c r="AQ408" s="6">
        <v>1.33</v>
      </c>
      <c r="AR408" s="6"/>
      <c r="AS408" s="6">
        <v>1.1399999999999999</v>
      </c>
      <c r="AT408" s="6"/>
      <c r="AU408" s="6"/>
      <c r="AV408" s="6"/>
      <c r="AW408" s="6"/>
      <c r="AX408" s="7">
        <f t="shared" si="641"/>
        <v>2.4699999999999998</v>
      </c>
      <c r="AY408" s="11">
        <f t="shared" si="642"/>
        <v>1.42</v>
      </c>
      <c r="AZ408" s="25"/>
      <c r="BA408" s="10" t="str">
        <f t="shared" si="643"/>
        <v>OutubroSEMANA 5Alface crespa Orgânica</v>
      </c>
      <c r="BB408" s="7">
        <f>SUMIF(NF!$A:$A,$BA408,NF!$I:$I)</f>
        <v>1.94</v>
      </c>
      <c r="BC408" s="6">
        <v>1.42</v>
      </c>
      <c r="BD408" s="6"/>
      <c r="BE408" s="6"/>
      <c r="BF408" s="74"/>
      <c r="BG408" s="74"/>
      <c r="BH408" s="74"/>
      <c r="BI408" s="74"/>
      <c r="BJ408" s="74"/>
      <c r="BK408" s="7">
        <f t="shared" si="644"/>
        <v>1.42</v>
      </c>
      <c r="BL408" s="8">
        <f t="shared" si="645"/>
        <v>1.94</v>
      </c>
      <c r="BM408" s="51" t="str">
        <f>IFERROR(VLOOKUP(A408,NF!$M:$O,3,0),"")</f>
        <v>Hortifruti</v>
      </c>
      <c r="BN408" s="7">
        <f t="shared" si="646"/>
        <v>26.92</v>
      </c>
      <c r="BO408" s="8">
        <f t="array" ref="BO408">IFERROR(LARGE(IF(NF!$G$2:$G$3137='Mês atual'!A408,NF!$J$2:$J$3137),1),0)*BN408</f>
        <v>413.24561403508778</v>
      </c>
      <c r="BP408" s="50"/>
      <c r="BR408" s="147">
        <f t="array" ref="BR408">IFERROR(LARGE(IF(NF!$G$2:$G$3137='Mês atual'!A408,NF!$J$2:$J$3137),1),0)</f>
        <v>15.350877192982457</v>
      </c>
      <c r="BS408" s="143" t="str">
        <f>VLOOKUP(A408,NF!M:O,3,0)</f>
        <v>Hortifruti</v>
      </c>
    </row>
    <row r="409" spans="1:71" x14ac:dyDescent="0.25">
      <c r="A409" s="108" t="s">
        <v>961</v>
      </c>
      <c r="B409" s="12"/>
      <c r="C409" s="9"/>
      <c r="D409" s="25"/>
      <c r="E409" s="10" t="str">
        <f t="shared" si="631"/>
        <v>OutubroSEMANA 1Alface Romana</v>
      </c>
      <c r="F409" s="7">
        <f>SUMIF(NF!$A:$A,$E409,NF!$I:$I)</f>
        <v>0</v>
      </c>
      <c r="G409" s="6"/>
      <c r="H409" s="6"/>
      <c r="I409" s="6"/>
      <c r="J409" s="6"/>
      <c r="K409" s="6"/>
      <c r="L409" s="6"/>
      <c r="M409" s="6"/>
      <c r="N409" s="7">
        <f t="shared" ref="N409" si="647">SUM(G409:M409)</f>
        <v>0</v>
      </c>
      <c r="O409" s="11">
        <f t="shared" si="633"/>
        <v>0</v>
      </c>
      <c r="P409" s="25"/>
      <c r="Q409" s="10" t="str">
        <f t="shared" si="634"/>
        <v>OutubroSEMANA 2Alface Romana</v>
      </c>
      <c r="R409" s="7">
        <f>SUMIF(NF!$A:$A,$Q409,NF!$I:$I)</f>
        <v>0</v>
      </c>
      <c r="S409" s="6"/>
      <c r="T409" s="6"/>
      <c r="U409" s="6"/>
      <c r="V409" s="6"/>
      <c r="W409" s="6"/>
      <c r="X409" s="6"/>
      <c r="Y409" s="6"/>
      <c r="Z409" s="7">
        <f t="shared" ref="Z409" si="648">SUM(S409:Y409)</f>
        <v>0</v>
      </c>
      <c r="AA409" s="11">
        <f t="shared" si="636"/>
        <v>0</v>
      </c>
      <c r="AB409" s="25"/>
      <c r="AC409" s="10" t="str">
        <f t="shared" si="637"/>
        <v>OutubroSEMANA 3Alface Romana</v>
      </c>
      <c r="AD409" s="7">
        <f>SUMIF(NF!$A:$A,$AC409,NF!$I:$I)</f>
        <v>0</v>
      </c>
      <c r="AE409" s="6"/>
      <c r="AF409" s="6"/>
      <c r="AG409" s="6"/>
      <c r="AH409" s="6"/>
      <c r="AI409" s="6"/>
      <c r="AJ409" s="6"/>
      <c r="AK409" s="6"/>
      <c r="AL409" s="7">
        <f t="shared" ref="AL409" si="649">SUM(AE409:AK409)</f>
        <v>0</v>
      </c>
      <c r="AM409" s="11">
        <f t="shared" si="639"/>
        <v>0</v>
      </c>
      <c r="AN409" s="25"/>
      <c r="AO409" s="10" t="str">
        <f t="shared" si="640"/>
        <v>OutubroSEMANA 4Alface Romana</v>
      </c>
      <c r="AP409" s="7">
        <f>SUMIF(NF!$A:$A,$AO409,NF!$I:$I)</f>
        <v>0</v>
      </c>
      <c r="AQ409" s="6"/>
      <c r="AR409" s="6"/>
      <c r="AS409" s="6"/>
      <c r="AT409" s="6"/>
      <c r="AU409" s="6"/>
      <c r="AV409" s="6"/>
      <c r="AW409" s="6"/>
      <c r="AX409" s="7">
        <f t="shared" ref="AX409" si="650">SUM(AQ409:AW409)</f>
        <v>0</v>
      </c>
      <c r="AY409" s="11">
        <f t="shared" si="642"/>
        <v>0</v>
      </c>
      <c r="AZ409" s="25"/>
      <c r="BA409" s="10" t="str">
        <f t="shared" si="643"/>
        <v>OutubroSEMANA 5Alface Romana</v>
      </c>
      <c r="BB409" s="7">
        <f>SUMIF(NF!$A:$A,$BA409,NF!$I:$I)</f>
        <v>0</v>
      </c>
      <c r="BC409" s="6"/>
      <c r="BD409" s="6"/>
      <c r="BE409" s="6"/>
      <c r="BF409" s="74"/>
      <c r="BG409" s="74"/>
      <c r="BH409" s="74"/>
      <c r="BI409" s="74"/>
      <c r="BJ409" s="74"/>
      <c r="BK409" s="7">
        <f t="shared" ref="BK409" si="651">SUM(BC409:BJ409)</f>
        <v>0</v>
      </c>
      <c r="BL409" s="8">
        <f t="shared" si="645"/>
        <v>0</v>
      </c>
      <c r="BM409" s="51" t="str">
        <f>IFERROR(VLOOKUP(A409,NF!$M:$O,3,0),"")</f>
        <v>Hortifruti</v>
      </c>
      <c r="BN409" s="7">
        <f t="shared" si="646"/>
        <v>0</v>
      </c>
      <c r="BO409" s="8">
        <f t="array" ref="BO409">IFERROR(LARGE(IF(NF!$G$2:$G$3137='Mês atual'!A409,NF!$J$2:$J$3137),1),0)*BN409</f>
        <v>0</v>
      </c>
      <c r="BP409" s="50"/>
      <c r="BR409" s="147">
        <f t="array" ref="BR409">IFERROR(LARGE(IF(NF!$G$2:$G$3137='Mês atual'!A409,NF!$J$2:$J$3137),1),0)</f>
        <v>0</v>
      </c>
      <c r="BS409" s="143" t="str">
        <f>VLOOKUP(A409,NF!M:O,3,0)</f>
        <v>Hortifruti</v>
      </c>
    </row>
    <row r="410" spans="1:71" x14ac:dyDescent="0.25">
      <c r="A410" s="108" t="s">
        <v>107</v>
      </c>
      <c r="B410" s="12"/>
      <c r="C410" s="9"/>
      <c r="D410" s="25"/>
      <c r="E410" s="10" t="str">
        <f t="shared" si="631"/>
        <v>OutubroSEMANA 1Alface Romana Orgânica</v>
      </c>
      <c r="F410" s="7">
        <f>SUMIF(NF!$A:$A,$E410,NF!$I:$I)</f>
        <v>0</v>
      </c>
      <c r="G410" s="6"/>
      <c r="H410" s="6"/>
      <c r="I410" s="6"/>
      <c r="J410" s="6"/>
      <c r="K410" s="6"/>
      <c r="L410" s="6"/>
      <c r="M410" s="6"/>
      <c r="N410" s="7">
        <f t="shared" ref="N410:N416" si="652">SUM(G410:M410)</f>
        <v>0</v>
      </c>
      <c r="O410" s="11">
        <f t="shared" si="633"/>
        <v>0</v>
      </c>
      <c r="P410" s="25"/>
      <c r="Q410" s="10" t="str">
        <f t="shared" si="634"/>
        <v>OutubroSEMANA 2Alface Romana Orgânica</v>
      </c>
      <c r="R410" s="7">
        <f>SUMIF(NF!$A:$A,$Q410,NF!$I:$I)</f>
        <v>0</v>
      </c>
      <c r="S410" s="6"/>
      <c r="T410" s="6"/>
      <c r="U410" s="6"/>
      <c r="V410" s="6"/>
      <c r="W410" s="6"/>
      <c r="X410" s="6"/>
      <c r="Y410" s="6"/>
      <c r="Z410" s="7">
        <f t="shared" ref="Z410:Z414" si="653">SUM(S410:Y410)</f>
        <v>0</v>
      </c>
      <c r="AA410" s="11">
        <f t="shared" si="636"/>
        <v>0</v>
      </c>
      <c r="AB410" s="25"/>
      <c r="AC410" s="10" t="str">
        <f t="shared" si="637"/>
        <v>OutubroSEMANA 3Alface Romana Orgânica</v>
      </c>
      <c r="AD410" s="7">
        <f>SUMIF(NF!$A:$A,$AC410,NF!$I:$I)</f>
        <v>0</v>
      </c>
      <c r="AE410" s="6"/>
      <c r="AF410" s="6"/>
      <c r="AG410" s="6"/>
      <c r="AH410" s="6"/>
      <c r="AI410" s="6"/>
      <c r="AJ410" s="6"/>
      <c r="AK410" s="6"/>
      <c r="AL410" s="7">
        <f t="shared" ref="AL410:AL414" si="654">SUM(AE410:AK410)</f>
        <v>0</v>
      </c>
      <c r="AM410" s="11">
        <f t="shared" si="639"/>
        <v>0</v>
      </c>
      <c r="AN410" s="25"/>
      <c r="AO410" s="10" t="str">
        <f t="shared" si="640"/>
        <v>OutubroSEMANA 4Alface Romana Orgânica</v>
      </c>
      <c r="AP410" s="7">
        <f>SUMIF(NF!$A:$A,$AO410,NF!$I:$I)</f>
        <v>0</v>
      </c>
      <c r="AQ410" s="6"/>
      <c r="AR410" s="6"/>
      <c r="AS410" s="6"/>
      <c r="AT410" s="6"/>
      <c r="AU410" s="6"/>
      <c r="AV410" s="6"/>
      <c r="AW410" s="6"/>
      <c r="AX410" s="7">
        <f t="shared" ref="AX410:AX414" si="655">SUM(AQ410:AW410)</f>
        <v>0</v>
      </c>
      <c r="AY410" s="11">
        <f t="shared" si="642"/>
        <v>0</v>
      </c>
      <c r="AZ410" s="25"/>
      <c r="BA410" s="10" t="str">
        <f t="shared" si="643"/>
        <v>OutubroSEMANA 5Alface Romana Orgânica</v>
      </c>
      <c r="BB410" s="7">
        <f>SUMIF(NF!$A:$A,$BA410,NF!$I:$I)</f>
        <v>0</v>
      </c>
      <c r="BC410" s="6"/>
      <c r="BD410" s="6"/>
      <c r="BE410" s="6"/>
      <c r="BF410" s="74"/>
      <c r="BG410" s="74"/>
      <c r="BH410" s="74"/>
      <c r="BI410" s="74"/>
      <c r="BJ410" s="74"/>
      <c r="BK410" s="7">
        <f t="shared" ref="BK410:BK414" si="656">SUM(BC410:BJ410)</f>
        <v>0</v>
      </c>
      <c r="BL410" s="8">
        <f t="shared" si="645"/>
        <v>0</v>
      </c>
      <c r="BM410" s="51" t="str">
        <f>IFERROR(VLOOKUP(A410,NF!$M:$O,3,0),"")</f>
        <v>Hortifruti</v>
      </c>
      <c r="BN410" s="7">
        <f t="shared" si="646"/>
        <v>0</v>
      </c>
      <c r="BO410" s="8">
        <f t="array" ref="BO410">IFERROR(LARGE(IF(NF!$G$2:$G$3137='Mês atual'!A410,NF!$J$2:$J$3137),1),0)*BN410</f>
        <v>0</v>
      </c>
      <c r="BP410" s="50"/>
      <c r="BR410" s="147">
        <f t="array" ref="BR410">IFERROR(LARGE(IF(NF!$G$2:$G$3137='Mês atual'!A410,NF!$J$2:$J$3137),1),0)</f>
        <v>0</v>
      </c>
      <c r="BS410" s="143" t="str">
        <f>VLOOKUP(A410,NF!M:O,3,0)</f>
        <v>Hortifruti</v>
      </c>
    </row>
    <row r="411" spans="1:71" x14ac:dyDescent="0.25">
      <c r="A411" s="108" t="s">
        <v>108</v>
      </c>
      <c r="B411" s="12"/>
      <c r="C411" s="9"/>
      <c r="D411" s="25"/>
      <c r="E411" s="10" t="str">
        <f t="shared" si="631"/>
        <v>OutubroSEMANA 1Alface Roxa</v>
      </c>
      <c r="F411" s="7">
        <f>SUMIF(NF!$A:$A,$E411,NF!$I:$I)</f>
        <v>0</v>
      </c>
      <c r="G411" s="6"/>
      <c r="H411" s="6"/>
      <c r="I411" s="6"/>
      <c r="J411" s="6"/>
      <c r="K411" s="6"/>
      <c r="L411" s="6"/>
      <c r="M411" s="6"/>
      <c r="N411" s="7">
        <f t="shared" si="652"/>
        <v>0</v>
      </c>
      <c r="O411" s="11">
        <f t="shared" si="633"/>
        <v>0</v>
      </c>
      <c r="P411" s="25"/>
      <c r="Q411" s="10" t="str">
        <f t="shared" si="634"/>
        <v>OutubroSEMANA 2Alface Roxa</v>
      </c>
      <c r="R411" s="7">
        <f>SUMIF(NF!$A:$A,$Q411,NF!$I:$I)</f>
        <v>0</v>
      </c>
      <c r="S411" s="6"/>
      <c r="T411" s="6"/>
      <c r="U411" s="6"/>
      <c r="V411" s="6"/>
      <c r="W411" s="6"/>
      <c r="X411" s="6"/>
      <c r="Y411" s="6"/>
      <c r="Z411" s="7">
        <f t="shared" si="653"/>
        <v>0</v>
      </c>
      <c r="AA411" s="11">
        <f t="shared" si="636"/>
        <v>0</v>
      </c>
      <c r="AB411" s="25"/>
      <c r="AC411" s="10" t="str">
        <f t="shared" si="637"/>
        <v>OutubroSEMANA 3Alface Roxa</v>
      </c>
      <c r="AD411" s="7">
        <f>SUMIF(NF!$A:$A,$AC411,NF!$I:$I)</f>
        <v>0</v>
      </c>
      <c r="AE411" s="6"/>
      <c r="AF411" s="6"/>
      <c r="AG411" s="6"/>
      <c r="AH411" s="6"/>
      <c r="AI411" s="6"/>
      <c r="AJ411" s="6"/>
      <c r="AK411" s="6"/>
      <c r="AL411" s="7">
        <f t="shared" si="654"/>
        <v>0</v>
      </c>
      <c r="AM411" s="11">
        <f t="shared" si="639"/>
        <v>0</v>
      </c>
      <c r="AN411" s="25"/>
      <c r="AO411" s="10" t="str">
        <f t="shared" si="640"/>
        <v>OutubroSEMANA 4Alface Roxa</v>
      </c>
      <c r="AP411" s="7">
        <f>SUMIF(NF!$A:$A,$AO411,NF!$I:$I)</f>
        <v>0</v>
      </c>
      <c r="AQ411" s="6"/>
      <c r="AR411" s="6"/>
      <c r="AS411" s="6"/>
      <c r="AT411" s="6"/>
      <c r="AU411" s="6"/>
      <c r="AV411" s="6"/>
      <c r="AW411" s="6"/>
      <c r="AX411" s="7">
        <f t="shared" si="655"/>
        <v>0</v>
      </c>
      <c r="AY411" s="11">
        <f t="shared" si="642"/>
        <v>0</v>
      </c>
      <c r="AZ411" s="25"/>
      <c r="BA411" s="10" t="str">
        <f t="shared" si="643"/>
        <v>OutubroSEMANA 5Alface Roxa</v>
      </c>
      <c r="BB411" s="7">
        <f>SUMIF(NF!$A:$A,$BA411,NF!$I:$I)</f>
        <v>0</v>
      </c>
      <c r="BC411" s="6"/>
      <c r="BD411" s="6"/>
      <c r="BE411" s="6"/>
      <c r="BF411" s="74"/>
      <c r="BG411" s="74"/>
      <c r="BH411" s="74"/>
      <c r="BI411" s="74"/>
      <c r="BJ411" s="74"/>
      <c r="BK411" s="7">
        <f t="shared" si="656"/>
        <v>0</v>
      </c>
      <c r="BL411" s="8">
        <f t="shared" si="645"/>
        <v>0</v>
      </c>
      <c r="BM411" s="51" t="str">
        <f>IFERROR(VLOOKUP(A411,NF!$M:$O,3,0),"")</f>
        <v>Hortifruti</v>
      </c>
      <c r="BN411" s="7">
        <f t="shared" si="646"/>
        <v>0</v>
      </c>
      <c r="BO411" s="8">
        <f t="array" ref="BO411">IFERROR(LARGE(IF(NF!$G$2:$G$3137='Mês atual'!A411,NF!$J$2:$J$3137),1),0)*BN411</f>
        <v>0</v>
      </c>
      <c r="BP411" s="50"/>
      <c r="BR411" s="147">
        <f t="array" ref="BR411">IFERROR(LARGE(IF(NF!$G$2:$G$3137='Mês atual'!A411,NF!$J$2:$J$3137),1),0)</f>
        <v>0</v>
      </c>
      <c r="BS411" s="143" t="str">
        <f>VLOOKUP(A411,NF!M:O,3,0)</f>
        <v>Hortifruti</v>
      </c>
    </row>
    <row r="412" spans="1:71" x14ac:dyDescent="0.25">
      <c r="A412" s="108" t="s">
        <v>109</v>
      </c>
      <c r="B412" s="12"/>
      <c r="C412" s="9">
        <v>1.4</v>
      </c>
      <c r="D412" s="25"/>
      <c r="E412" s="10" t="str">
        <f t="shared" si="631"/>
        <v>OutubroSEMANA 1Alface Roxa Orgânica</v>
      </c>
      <c r="F412" s="7">
        <f>SUMIF(NF!$A:$A,$E412,NF!$I:$I)</f>
        <v>4.12</v>
      </c>
      <c r="G412" s="6">
        <v>1.4</v>
      </c>
      <c r="H412" s="6"/>
      <c r="I412" s="6"/>
      <c r="J412" s="6">
        <v>1.44</v>
      </c>
      <c r="K412" s="6"/>
      <c r="L412" s="6"/>
      <c r="M412" s="6">
        <v>1.34</v>
      </c>
      <c r="N412" s="7">
        <f t="shared" si="652"/>
        <v>4.18</v>
      </c>
      <c r="O412" s="11">
        <f t="shared" si="633"/>
        <v>1.3399999999999999</v>
      </c>
      <c r="P412" s="25"/>
      <c r="Q412" s="10" t="str">
        <f t="shared" si="634"/>
        <v>OutubroSEMANA 2Alface Roxa Orgânica</v>
      </c>
      <c r="R412" s="7">
        <f>SUMIF(NF!$A:$A,$Q412,NF!$I:$I)</f>
        <v>6.78</v>
      </c>
      <c r="S412" s="6">
        <v>1.34</v>
      </c>
      <c r="T412" s="6"/>
      <c r="U412" s="6">
        <v>0.9</v>
      </c>
      <c r="V412" s="6">
        <v>0.9</v>
      </c>
      <c r="W412" s="6"/>
      <c r="X412" s="6">
        <v>2.1</v>
      </c>
      <c r="Y412" s="6"/>
      <c r="Z412" s="7">
        <f t="shared" si="653"/>
        <v>5.24</v>
      </c>
      <c r="AA412" s="11">
        <f t="shared" si="636"/>
        <v>2.8800000000000008</v>
      </c>
      <c r="AB412" s="25"/>
      <c r="AC412" s="10" t="str">
        <f t="shared" si="637"/>
        <v>OutubroSEMANA 3Alface Roxa Orgânica</v>
      </c>
      <c r="AD412" s="7">
        <f>SUMIF(NF!$A:$A,$AC412,NF!$I:$I)</f>
        <v>3.42</v>
      </c>
      <c r="AE412" s="6">
        <v>1.88</v>
      </c>
      <c r="AF412" s="6">
        <v>1</v>
      </c>
      <c r="AG412" s="6">
        <v>0.83</v>
      </c>
      <c r="AH412" s="6">
        <v>0.83</v>
      </c>
      <c r="AI412" s="6"/>
      <c r="AJ412" s="6"/>
      <c r="AK412" s="6"/>
      <c r="AL412" s="7">
        <f t="shared" si="654"/>
        <v>4.54</v>
      </c>
      <c r="AM412" s="11">
        <f t="shared" si="639"/>
        <v>1.7600000000000007</v>
      </c>
      <c r="AN412" s="25"/>
      <c r="AO412" s="10" t="str">
        <f t="shared" si="640"/>
        <v>OutubroSEMANA 4Alface Roxa Orgânica</v>
      </c>
      <c r="AP412" s="7">
        <f>SUMIF(NF!$A:$A,$AO412,NF!$I:$I)</f>
        <v>1.08</v>
      </c>
      <c r="AQ412" s="6">
        <v>1.76</v>
      </c>
      <c r="AR412" s="6"/>
      <c r="AS412" s="6">
        <v>1.08</v>
      </c>
      <c r="AT412" s="6"/>
      <c r="AU412" s="6"/>
      <c r="AV412" s="6"/>
      <c r="AW412" s="6"/>
      <c r="AX412" s="7">
        <f t="shared" si="655"/>
        <v>2.84</v>
      </c>
      <c r="AY412" s="11">
        <f t="shared" si="642"/>
        <v>0</v>
      </c>
      <c r="AZ412" s="25"/>
      <c r="BA412" s="10" t="str">
        <f t="shared" si="643"/>
        <v>OutubroSEMANA 5Alface Roxa Orgânica</v>
      </c>
      <c r="BB412" s="7">
        <f>SUMIF(NF!$A:$A,$BA412,NF!$I:$I)</f>
        <v>0.64</v>
      </c>
      <c r="BC412" s="6"/>
      <c r="BD412" s="6"/>
      <c r="BE412" s="6"/>
      <c r="BF412" s="74"/>
      <c r="BG412" s="74"/>
      <c r="BH412" s="74"/>
      <c r="BI412" s="74"/>
      <c r="BJ412" s="74"/>
      <c r="BK412" s="7">
        <f t="shared" si="656"/>
        <v>0</v>
      </c>
      <c r="BL412" s="8">
        <f t="shared" si="645"/>
        <v>0.64</v>
      </c>
      <c r="BM412" s="51" t="str">
        <f>IFERROR(VLOOKUP(A412,NF!$M:$O,3,0),"")</f>
        <v>Hortifruti</v>
      </c>
      <c r="BN412" s="7">
        <f t="shared" si="646"/>
        <v>16.8</v>
      </c>
      <c r="BO412" s="8">
        <f t="array" ref="BO412">IFERROR(LARGE(IF(NF!$G$2:$G$3137='Mês atual'!A412,NF!$J$2:$J$3137),1),0)*BN412</f>
        <v>262.5</v>
      </c>
      <c r="BP412" s="50"/>
      <c r="BR412" s="147">
        <f t="array" ref="BR412">IFERROR(LARGE(IF(NF!$G$2:$G$3137='Mês atual'!A412,NF!$J$2:$J$3137),1),0)</f>
        <v>15.625</v>
      </c>
      <c r="BS412" s="143" t="str">
        <f>VLOOKUP(A412,NF!M:O,3,0)</f>
        <v>Hortifruti</v>
      </c>
    </row>
    <row r="413" spans="1:71" x14ac:dyDescent="0.25">
      <c r="A413" s="108" t="s">
        <v>110</v>
      </c>
      <c r="B413" s="12"/>
      <c r="C413" s="9"/>
      <c r="D413" s="25"/>
      <c r="E413" s="10" t="str">
        <f t="shared" si="631"/>
        <v>OutubroSEMANA 1Alfafa</v>
      </c>
      <c r="F413" s="7">
        <f>SUMIF(NF!$A:$A,$E413,NF!$I:$I)</f>
        <v>0.6</v>
      </c>
      <c r="G413" s="6"/>
      <c r="H413" s="6"/>
      <c r="I413" s="6">
        <v>0.6</v>
      </c>
      <c r="J413" s="6"/>
      <c r="K413" s="6"/>
      <c r="L413" s="6"/>
      <c r="M413" s="6"/>
      <c r="N413" s="7">
        <f t="shared" si="652"/>
        <v>0.6</v>
      </c>
      <c r="O413" s="11">
        <f t="shared" si="633"/>
        <v>0</v>
      </c>
      <c r="P413" s="25"/>
      <c r="Q413" s="10" t="str">
        <f t="shared" si="634"/>
        <v>OutubroSEMANA 2Alfafa</v>
      </c>
      <c r="R413" s="7">
        <f>SUMIF(NF!$A:$A,$Q413,NF!$I:$I)</f>
        <v>0.44999999999999996</v>
      </c>
      <c r="S413" s="6"/>
      <c r="T413" s="6"/>
      <c r="U413" s="6"/>
      <c r="V413" s="6">
        <v>0.3</v>
      </c>
      <c r="W413" s="6"/>
      <c r="X413" s="6"/>
      <c r="Y413" s="6">
        <v>0.15</v>
      </c>
      <c r="Z413" s="7">
        <f t="shared" si="653"/>
        <v>0.44999999999999996</v>
      </c>
      <c r="AA413" s="11">
        <f t="shared" si="636"/>
        <v>0</v>
      </c>
      <c r="AB413" s="25"/>
      <c r="AC413" s="10" t="str">
        <f t="shared" si="637"/>
        <v>OutubroSEMANA 3Alfafa</v>
      </c>
      <c r="AD413" s="7">
        <f>SUMIF(NF!$A:$A,$AC413,NF!$I:$I)</f>
        <v>0</v>
      </c>
      <c r="AE413" s="6"/>
      <c r="AF413" s="6"/>
      <c r="AG413" s="6"/>
      <c r="AH413" s="6"/>
      <c r="AI413" s="6"/>
      <c r="AJ413" s="6"/>
      <c r="AK413" s="6"/>
      <c r="AL413" s="7">
        <f t="shared" si="654"/>
        <v>0</v>
      </c>
      <c r="AM413" s="11">
        <f t="shared" si="639"/>
        <v>0</v>
      </c>
      <c r="AN413" s="25"/>
      <c r="AO413" s="10" t="str">
        <f t="shared" si="640"/>
        <v>OutubroSEMANA 4Alfafa</v>
      </c>
      <c r="AP413" s="7">
        <f>SUMIF(NF!$A:$A,$AO413,NF!$I:$I)</f>
        <v>0</v>
      </c>
      <c r="AQ413" s="6"/>
      <c r="AR413" s="6"/>
      <c r="AS413" s="6"/>
      <c r="AT413" s="6"/>
      <c r="AU413" s="6"/>
      <c r="AV413" s="6"/>
      <c r="AW413" s="6"/>
      <c r="AX413" s="7">
        <f t="shared" si="655"/>
        <v>0</v>
      </c>
      <c r="AY413" s="11">
        <f t="shared" si="642"/>
        <v>0</v>
      </c>
      <c r="AZ413" s="25"/>
      <c r="BA413" s="10" t="str">
        <f t="shared" si="643"/>
        <v>OutubroSEMANA 5Alfafa</v>
      </c>
      <c r="BB413" s="7">
        <f>SUMIF(NF!$A:$A,$BA413,NF!$I:$I)</f>
        <v>0.3</v>
      </c>
      <c r="BC413" s="6"/>
      <c r="BD413" s="6"/>
      <c r="BE413" s="6"/>
      <c r="BF413" s="74"/>
      <c r="BG413" s="74"/>
      <c r="BH413" s="74"/>
      <c r="BI413" s="74"/>
      <c r="BJ413" s="74"/>
      <c r="BK413" s="7">
        <f t="shared" si="656"/>
        <v>0</v>
      </c>
      <c r="BL413" s="8">
        <f t="shared" si="645"/>
        <v>0.3</v>
      </c>
      <c r="BM413" s="51" t="str">
        <f>IFERROR(VLOOKUP(A413,NF!$M:$O,3,0),"")</f>
        <v>Hortifruti</v>
      </c>
      <c r="BN413" s="7">
        <f t="shared" si="646"/>
        <v>1.0499999999999998</v>
      </c>
      <c r="BO413" s="8">
        <f t="array" ref="BO413">IFERROR(LARGE(IF(NF!$G$2:$G$3137='Mês atual'!A413,NF!$J$2:$J$3137),1),0)*BN413</f>
        <v>45.499999999999993</v>
      </c>
      <c r="BP413" s="50"/>
      <c r="BR413" s="147">
        <f t="array" ref="BR413">IFERROR(LARGE(IF(NF!$G$2:$G$3137='Mês atual'!A413,NF!$J$2:$J$3137),1),0)</f>
        <v>43.333333333333336</v>
      </c>
      <c r="BS413" s="143" t="str">
        <f>VLOOKUP(A413,NF!M:O,3,0)</f>
        <v>Hortifruti</v>
      </c>
    </row>
    <row r="414" spans="1:71" x14ac:dyDescent="0.25">
      <c r="A414" s="108" t="s">
        <v>111</v>
      </c>
      <c r="B414" s="12"/>
      <c r="C414" s="9"/>
      <c r="D414" s="25"/>
      <c r="E414" s="10" t="str">
        <f t="shared" si="631"/>
        <v>OutubroSEMANA 1Alho</v>
      </c>
      <c r="F414" s="7">
        <f>SUMIF(NF!$A:$A,$E414,NF!$I:$I)</f>
        <v>0</v>
      </c>
      <c r="G414" s="6"/>
      <c r="H414" s="6"/>
      <c r="I414" s="6"/>
      <c r="J414" s="6"/>
      <c r="K414" s="6"/>
      <c r="L414" s="6"/>
      <c r="M414" s="6"/>
      <c r="N414" s="7">
        <f t="shared" si="652"/>
        <v>0</v>
      </c>
      <c r="O414" s="11">
        <f t="shared" si="633"/>
        <v>0</v>
      </c>
      <c r="P414" s="25"/>
      <c r="Q414" s="10" t="str">
        <f t="shared" si="634"/>
        <v>OutubroSEMANA 2Alho</v>
      </c>
      <c r="R414" s="7">
        <f>SUMIF(NF!$A:$A,$Q414,NF!$I:$I)</f>
        <v>0</v>
      </c>
      <c r="S414" s="6"/>
      <c r="T414" s="6"/>
      <c r="U414" s="6"/>
      <c r="V414" s="6"/>
      <c r="W414" s="6"/>
      <c r="X414" s="6"/>
      <c r="Y414" s="6"/>
      <c r="Z414" s="7">
        <f t="shared" si="653"/>
        <v>0</v>
      </c>
      <c r="AA414" s="11">
        <f t="shared" si="636"/>
        <v>0</v>
      </c>
      <c r="AB414" s="25"/>
      <c r="AC414" s="10" t="str">
        <f t="shared" si="637"/>
        <v>OutubroSEMANA 3Alho</v>
      </c>
      <c r="AD414" s="7">
        <f>SUMIF(NF!$A:$A,$AC414,NF!$I:$I)</f>
        <v>0</v>
      </c>
      <c r="AE414" s="6"/>
      <c r="AF414" s="6"/>
      <c r="AG414" s="6"/>
      <c r="AH414" s="6"/>
      <c r="AI414" s="6"/>
      <c r="AJ414" s="6"/>
      <c r="AK414" s="6"/>
      <c r="AL414" s="7">
        <f t="shared" si="654"/>
        <v>0</v>
      </c>
      <c r="AM414" s="11">
        <f t="shared" si="639"/>
        <v>0</v>
      </c>
      <c r="AN414" s="25"/>
      <c r="AO414" s="10" t="str">
        <f t="shared" si="640"/>
        <v>OutubroSEMANA 4Alho</v>
      </c>
      <c r="AP414" s="7">
        <f>SUMIF(NF!$A:$A,$AO414,NF!$I:$I)</f>
        <v>0</v>
      </c>
      <c r="AQ414" s="6"/>
      <c r="AR414" s="6"/>
      <c r="AS414" s="6"/>
      <c r="AT414" s="6"/>
      <c r="AU414" s="6"/>
      <c r="AV414" s="6"/>
      <c r="AW414" s="6"/>
      <c r="AX414" s="7">
        <f t="shared" si="655"/>
        <v>0</v>
      </c>
      <c r="AY414" s="11">
        <f t="shared" si="642"/>
        <v>0</v>
      </c>
      <c r="AZ414" s="25"/>
      <c r="BA414" s="10" t="str">
        <f t="shared" si="643"/>
        <v>OutubroSEMANA 5Alho</v>
      </c>
      <c r="BB414" s="7">
        <f>SUMIF(NF!$A:$A,$BA414,NF!$I:$I)</f>
        <v>0</v>
      </c>
      <c r="BC414" s="6"/>
      <c r="BD414" s="6"/>
      <c r="BE414" s="6"/>
      <c r="BF414" s="74"/>
      <c r="BG414" s="74"/>
      <c r="BH414" s="74"/>
      <c r="BI414" s="74"/>
      <c r="BJ414" s="74"/>
      <c r="BK414" s="7">
        <f t="shared" si="656"/>
        <v>0</v>
      </c>
      <c r="BL414" s="8">
        <f t="shared" si="645"/>
        <v>0</v>
      </c>
      <c r="BM414" s="51" t="str">
        <f>IFERROR(VLOOKUP(A414,NF!$M:$O,3,0),"")</f>
        <v>Hortifruti</v>
      </c>
      <c r="BN414" s="7">
        <f t="shared" si="646"/>
        <v>0</v>
      </c>
      <c r="BO414" s="8">
        <f t="array" ref="BO414">IFERROR(LARGE(IF(NF!$G$2:$G$3137='Mês atual'!A414,NF!$J$2:$J$3137),1),0)*BN414</f>
        <v>0</v>
      </c>
      <c r="BP414" s="50"/>
      <c r="BR414" s="147">
        <f t="array" ref="BR414">IFERROR(LARGE(IF(NF!$G$2:$G$3137='Mês atual'!A414,NF!$J$2:$J$3137),1),0)</f>
        <v>0</v>
      </c>
      <c r="BS414" s="143" t="str">
        <f>VLOOKUP(A414,NF!M:O,3,0)</f>
        <v>Hortifruti</v>
      </c>
    </row>
    <row r="415" spans="1:71" x14ac:dyDescent="0.25">
      <c r="A415" s="108" t="s">
        <v>112</v>
      </c>
      <c r="B415" s="12"/>
      <c r="C415" s="9">
        <v>20</v>
      </c>
      <c r="D415" s="25"/>
      <c r="E415" s="10" t="str">
        <f t="shared" si="631"/>
        <v>OutubroSEMANA 1Alho Descascado</v>
      </c>
      <c r="F415" s="7">
        <f>SUMIF(NF!$A:$A,$E415,NF!$I:$I)</f>
        <v>20</v>
      </c>
      <c r="G415" s="6"/>
      <c r="H415" s="6">
        <v>1</v>
      </c>
      <c r="I415" s="6">
        <v>3</v>
      </c>
      <c r="J415" s="6">
        <v>3</v>
      </c>
      <c r="K415" s="6">
        <v>7</v>
      </c>
      <c r="L415" s="6"/>
      <c r="M415" s="6">
        <v>4</v>
      </c>
      <c r="N415" s="7">
        <f t="shared" si="652"/>
        <v>18</v>
      </c>
      <c r="O415" s="11">
        <f t="shared" si="633"/>
        <v>22</v>
      </c>
      <c r="P415" s="25"/>
      <c r="Q415" s="10" t="str">
        <f t="shared" si="634"/>
        <v>OutubroSEMANA 2Alho Descascado</v>
      </c>
      <c r="R415" s="7">
        <f>SUMIF(NF!$A:$A,$Q415,NF!$I:$I)</f>
        <v>20</v>
      </c>
      <c r="S415" s="6"/>
      <c r="T415" s="6">
        <v>8</v>
      </c>
      <c r="U415" s="6">
        <v>6</v>
      </c>
      <c r="V415" s="6"/>
      <c r="W415" s="6"/>
      <c r="X415" s="6">
        <v>2</v>
      </c>
      <c r="Y415" s="6">
        <v>4</v>
      </c>
      <c r="Z415" s="7">
        <f t="shared" ref="Z415" si="657">SUM(S415:Y415)</f>
        <v>20</v>
      </c>
      <c r="AA415" s="11">
        <f t="shared" si="636"/>
        <v>22</v>
      </c>
      <c r="AB415" s="25"/>
      <c r="AC415" s="10" t="str">
        <f t="shared" si="637"/>
        <v>OutubroSEMANA 3Alho Descascado</v>
      </c>
      <c r="AD415" s="7">
        <f>SUMIF(NF!$A:$A,$AC415,NF!$I:$I)</f>
        <v>20</v>
      </c>
      <c r="AE415" s="6"/>
      <c r="AF415" s="6">
        <v>2</v>
      </c>
      <c r="AG415" s="6"/>
      <c r="AH415" s="6">
        <v>7</v>
      </c>
      <c r="AI415" s="6"/>
      <c r="AJ415" s="6">
        <v>6</v>
      </c>
      <c r="AK415" s="6"/>
      <c r="AL415" s="7">
        <f t="shared" ref="AL415" si="658">SUM(AE415:AK415)</f>
        <v>15</v>
      </c>
      <c r="AM415" s="11">
        <f t="shared" si="639"/>
        <v>27</v>
      </c>
      <c r="AN415" s="25"/>
      <c r="AO415" s="10" t="str">
        <f t="shared" si="640"/>
        <v>OutubroSEMANA 4Alho Descascado</v>
      </c>
      <c r="AP415" s="7">
        <f>SUMIF(NF!$A:$A,$AO415,NF!$I:$I)</f>
        <v>15</v>
      </c>
      <c r="AQ415" s="6">
        <v>3</v>
      </c>
      <c r="AR415" s="6"/>
      <c r="AS415" s="6">
        <v>3</v>
      </c>
      <c r="AT415" s="6">
        <v>6</v>
      </c>
      <c r="AU415" s="6">
        <v>8</v>
      </c>
      <c r="AV415" s="6"/>
      <c r="AW415" s="6"/>
      <c r="AX415" s="7">
        <f t="shared" ref="AX415" si="659">SUM(AQ415:AW415)</f>
        <v>20</v>
      </c>
      <c r="AY415" s="11">
        <f t="shared" si="642"/>
        <v>22</v>
      </c>
      <c r="AZ415" s="25"/>
      <c r="BA415" s="10" t="str">
        <f t="shared" si="643"/>
        <v>OutubroSEMANA 5Alho Descascado</v>
      </c>
      <c r="BB415" s="7">
        <f>SUMIF(NF!$A:$A,$BA415,NF!$I:$I)</f>
        <v>0</v>
      </c>
      <c r="BC415" s="6">
        <v>3</v>
      </c>
      <c r="BD415" s="6">
        <v>2</v>
      </c>
      <c r="BE415" s="6">
        <v>3</v>
      </c>
      <c r="BF415" s="74"/>
      <c r="BG415" s="74"/>
      <c r="BH415" s="74"/>
      <c r="BI415" s="74"/>
      <c r="BJ415" s="74"/>
      <c r="BK415" s="7">
        <f>SUM(BC415:BJ415)</f>
        <v>8</v>
      </c>
      <c r="BL415" s="8">
        <f t="shared" si="645"/>
        <v>14</v>
      </c>
      <c r="BM415" s="51" t="str">
        <f>IFERROR(VLOOKUP(A415,NF!$M:$O,3,0),"")</f>
        <v>Hortifruti</v>
      </c>
      <c r="BN415" s="7">
        <f t="shared" si="646"/>
        <v>81</v>
      </c>
      <c r="BO415" s="8">
        <f t="array" ref="BO415">IFERROR(LARGE(IF(NF!$G$2:$G$3137='Mês atual'!A415,NF!$J$2:$J$3137),1),0)*BN415</f>
        <v>1255.5</v>
      </c>
      <c r="BP415" s="50"/>
      <c r="BR415" s="147">
        <f t="array" ref="BR415">IFERROR(LARGE(IF(NF!$G$2:$G$3137='Mês atual'!A415,NF!$J$2:$J$3137),1),0)</f>
        <v>15.5</v>
      </c>
      <c r="BS415" s="143" t="str">
        <f>VLOOKUP(A415,NF!M:O,3,0)</f>
        <v>Hortifruti</v>
      </c>
    </row>
    <row r="416" spans="1:71" x14ac:dyDescent="0.25">
      <c r="A416" s="108" t="s">
        <v>113</v>
      </c>
      <c r="B416" s="12"/>
      <c r="C416" s="9"/>
      <c r="D416" s="25"/>
      <c r="E416" s="10" t="str">
        <f t="shared" si="631"/>
        <v xml:space="preserve">OutubroSEMANA 1Alho Poró </v>
      </c>
      <c r="F416" s="7">
        <f>SUMIF(NF!$A:$A,$E416,NF!$I:$I)</f>
        <v>3</v>
      </c>
      <c r="G416" s="6"/>
      <c r="H416" s="6"/>
      <c r="I416" s="6">
        <v>2</v>
      </c>
      <c r="J416" s="6"/>
      <c r="K416" s="6"/>
      <c r="L416" s="6"/>
      <c r="M416" s="6">
        <v>1</v>
      </c>
      <c r="N416" s="7">
        <f t="shared" si="652"/>
        <v>3</v>
      </c>
      <c r="O416" s="11">
        <f t="shared" si="633"/>
        <v>0</v>
      </c>
      <c r="P416" s="25"/>
      <c r="Q416" s="10" t="str">
        <f t="shared" si="634"/>
        <v xml:space="preserve">OutubroSEMANA 2Alho Poró </v>
      </c>
      <c r="R416" s="7">
        <f>SUMIF(NF!$A:$A,$Q416,NF!$I:$I)</f>
        <v>3</v>
      </c>
      <c r="S416" s="6"/>
      <c r="T416" s="6"/>
      <c r="U416" s="6"/>
      <c r="V416" s="6"/>
      <c r="W416" s="6">
        <v>1</v>
      </c>
      <c r="X416" s="6"/>
      <c r="Y416" s="6"/>
      <c r="Z416" s="7">
        <f t="shared" ref="Z416" si="660">SUM(S416:Y416)</f>
        <v>1</v>
      </c>
      <c r="AA416" s="11">
        <f t="shared" si="636"/>
        <v>2</v>
      </c>
      <c r="AB416" s="25"/>
      <c r="AC416" s="10" t="str">
        <f t="shared" si="637"/>
        <v xml:space="preserve">OutubroSEMANA 3Alho Poró </v>
      </c>
      <c r="AD416" s="7">
        <f>SUMIF(NF!$A:$A,$AC416,NF!$I:$I)</f>
        <v>2</v>
      </c>
      <c r="AE416" s="6">
        <v>2</v>
      </c>
      <c r="AF416" s="6"/>
      <c r="AG416" s="6"/>
      <c r="AH416" s="6">
        <v>1</v>
      </c>
      <c r="AI416" s="6"/>
      <c r="AJ416" s="6"/>
      <c r="AK416" s="6"/>
      <c r="AL416" s="7">
        <f t="shared" ref="AL416" si="661">SUM(AE416:AK416)</f>
        <v>3</v>
      </c>
      <c r="AM416" s="11">
        <f t="shared" si="639"/>
        <v>1</v>
      </c>
      <c r="AN416" s="25"/>
      <c r="AO416" s="10" t="str">
        <f t="shared" si="640"/>
        <v xml:space="preserve">OutubroSEMANA 4Alho Poró </v>
      </c>
      <c r="AP416" s="7">
        <f>SUMIF(NF!$A:$A,$AO416,NF!$I:$I)</f>
        <v>0</v>
      </c>
      <c r="AQ416" s="6">
        <v>1</v>
      </c>
      <c r="AR416" s="6"/>
      <c r="AS416" s="6"/>
      <c r="AT416" s="6"/>
      <c r="AU416" s="6"/>
      <c r="AV416" s="6"/>
      <c r="AW416" s="6"/>
      <c r="AX416" s="7">
        <f t="shared" ref="AX416" si="662">SUM(AQ416:AW416)</f>
        <v>1</v>
      </c>
      <c r="AY416" s="11">
        <f t="shared" si="642"/>
        <v>0</v>
      </c>
      <c r="AZ416" s="25"/>
      <c r="BA416" s="10" t="str">
        <f t="shared" si="643"/>
        <v xml:space="preserve">OutubroSEMANA 5Alho Poró </v>
      </c>
      <c r="BB416" s="7">
        <f>SUMIF(NF!$A:$A,$BA416,NF!$I:$I)</f>
        <v>4</v>
      </c>
      <c r="BC416" s="6"/>
      <c r="BD416" s="6"/>
      <c r="BE416" s="6"/>
      <c r="BF416" s="74"/>
      <c r="BG416" s="74"/>
      <c r="BH416" s="74"/>
      <c r="BI416" s="74"/>
      <c r="BJ416" s="74"/>
      <c r="BK416" s="7">
        <f t="shared" ref="BK416" si="663">SUM(BC416:BJ416)</f>
        <v>0</v>
      </c>
      <c r="BL416" s="8">
        <f t="shared" si="645"/>
        <v>4</v>
      </c>
      <c r="BM416" s="51" t="str">
        <f>IFERROR(VLOOKUP(A416,NF!$M:$O,3,0),"")</f>
        <v>Hortifruti</v>
      </c>
      <c r="BN416" s="7">
        <f t="shared" si="646"/>
        <v>8</v>
      </c>
      <c r="BO416" s="8">
        <f t="array" ref="BO416">IFERROR(LARGE(IF(NF!$G$2:$G$3137='Mês atual'!A416,NF!$J$2:$J$3137),1),0)*BN416</f>
        <v>79.2</v>
      </c>
      <c r="BP416" s="50"/>
      <c r="BR416" s="147">
        <f t="array" ref="BR416">IFERROR(LARGE(IF(NF!$G$2:$G$3137='Mês atual'!A416,NF!$J$2:$J$3137),1),0)</f>
        <v>9.9</v>
      </c>
      <c r="BS416" s="143" t="str">
        <f>VLOOKUP(A416,NF!M:O,3,0)</f>
        <v>Hortifruti</v>
      </c>
    </row>
    <row r="417" spans="1:71" x14ac:dyDescent="0.25">
      <c r="A417" s="108" t="s">
        <v>114</v>
      </c>
      <c r="B417" s="12"/>
      <c r="C417" s="9"/>
      <c r="D417" s="25"/>
      <c r="E417" s="10" t="str">
        <f t="shared" si="631"/>
        <v>OutubroSEMANA 1Alho Poró Orgânico</v>
      </c>
      <c r="F417" s="7">
        <f>SUMIF(NF!$A:$A,$E417,NF!$I:$I)</f>
        <v>0</v>
      </c>
      <c r="G417" s="6"/>
      <c r="H417" s="6"/>
      <c r="I417" s="6"/>
      <c r="J417" s="6"/>
      <c r="K417" s="6"/>
      <c r="L417" s="6"/>
      <c r="M417" s="6"/>
      <c r="N417" s="7">
        <f t="shared" ref="N417" si="664">SUM(G417:M417)</f>
        <v>0</v>
      </c>
      <c r="O417" s="11">
        <f t="shared" si="633"/>
        <v>0</v>
      </c>
      <c r="P417" s="25"/>
      <c r="Q417" s="10" t="str">
        <f t="shared" si="634"/>
        <v>OutubroSEMANA 2Alho Poró Orgânico</v>
      </c>
      <c r="R417" s="7">
        <f>SUMIF(NF!$A:$A,$Q417,NF!$I:$I)</f>
        <v>0</v>
      </c>
      <c r="S417" s="6"/>
      <c r="T417" s="6"/>
      <c r="U417" s="6"/>
      <c r="V417" s="6"/>
      <c r="W417" s="6"/>
      <c r="X417" s="6"/>
      <c r="Y417" s="6"/>
      <c r="Z417" s="7">
        <f t="shared" ref="Z417" si="665">SUM(S417:Y417)</f>
        <v>0</v>
      </c>
      <c r="AA417" s="11">
        <f t="shared" si="636"/>
        <v>0</v>
      </c>
      <c r="AB417" s="25"/>
      <c r="AC417" s="10" t="str">
        <f t="shared" si="637"/>
        <v>OutubroSEMANA 3Alho Poró Orgânico</v>
      </c>
      <c r="AD417" s="7">
        <f>SUMIF(NF!$A:$A,$AC417,NF!$I:$I)</f>
        <v>0</v>
      </c>
      <c r="AE417" s="6"/>
      <c r="AF417" s="6"/>
      <c r="AG417" s="6"/>
      <c r="AH417" s="6"/>
      <c r="AI417" s="6"/>
      <c r="AJ417" s="6"/>
      <c r="AK417" s="6"/>
      <c r="AL417" s="7">
        <f t="shared" ref="AL417" si="666">SUM(AE417:AK417)</f>
        <v>0</v>
      </c>
      <c r="AM417" s="11">
        <f t="shared" si="639"/>
        <v>0</v>
      </c>
      <c r="AN417" s="25"/>
      <c r="AO417" s="10" t="str">
        <f t="shared" si="640"/>
        <v>OutubroSEMANA 4Alho Poró Orgânico</v>
      </c>
      <c r="AP417" s="7">
        <f>SUMIF(NF!$A:$A,$AO417,NF!$I:$I)</f>
        <v>0</v>
      </c>
      <c r="AQ417" s="6"/>
      <c r="AR417" s="6"/>
      <c r="AS417" s="6"/>
      <c r="AT417" s="6"/>
      <c r="AU417" s="6"/>
      <c r="AV417" s="6"/>
      <c r="AW417" s="6"/>
      <c r="AX417" s="7">
        <f t="shared" ref="AX417" si="667">SUM(AQ417:AW417)</f>
        <v>0</v>
      </c>
      <c r="AY417" s="11">
        <f t="shared" si="642"/>
        <v>0</v>
      </c>
      <c r="AZ417" s="25"/>
      <c r="BA417" s="10" t="str">
        <f t="shared" si="643"/>
        <v>OutubroSEMANA 5Alho Poró Orgânico</v>
      </c>
      <c r="BB417" s="7">
        <f>SUMIF(NF!$A:$A,$BA417,NF!$I:$I)</f>
        <v>0</v>
      </c>
      <c r="BC417" s="6"/>
      <c r="BD417" s="6"/>
      <c r="BE417" s="6"/>
      <c r="BF417" s="74"/>
      <c r="BG417" s="74"/>
      <c r="BH417" s="74"/>
      <c r="BI417" s="74"/>
      <c r="BJ417" s="74"/>
      <c r="BK417" s="7">
        <f t="shared" ref="BK417" si="668">SUM(BC417:BJ417)</f>
        <v>0</v>
      </c>
      <c r="BL417" s="8">
        <f t="shared" si="645"/>
        <v>0</v>
      </c>
      <c r="BM417" s="51" t="str">
        <f>IFERROR(VLOOKUP(A417,NF!$M:$O,3,0),"")</f>
        <v>Hortifruti</v>
      </c>
      <c r="BN417" s="7">
        <f t="shared" si="646"/>
        <v>0</v>
      </c>
      <c r="BO417" s="8">
        <f t="array" ref="BO417">IFERROR(LARGE(IF(NF!$G$2:$G$3137='Mês atual'!A417,NF!$J$2:$J$3137),1),0)*BN417</f>
        <v>0</v>
      </c>
      <c r="BP417" s="50"/>
      <c r="BR417" s="147">
        <f t="array" ref="BR417">IFERROR(LARGE(IF(NF!$G$2:$G$3137='Mês atual'!A417,NF!$J$2:$J$3137),1),0)</f>
        <v>0</v>
      </c>
      <c r="BS417" s="143" t="str">
        <f>VLOOKUP(A417,NF!M:O,3,0)</f>
        <v>Hortifruti</v>
      </c>
    </row>
    <row r="418" spans="1:71" x14ac:dyDescent="0.25">
      <c r="A418" s="108" t="s">
        <v>985</v>
      </c>
      <c r="B418" s="12"/>
      <c r="C418" s="9"/>
      <c r="D418" s="25"/>
      <c r="E418" s="10" t="str">
        <f t="shared" si="631"/>
        <v>OutubroSEMANA 1Ameixa</v>
      </c>
      <c r="F418" s="7">
        <f>SUMIF(NF!$A:$A,$E418,NF!$I:$I)</f>
        <v>0</v>
      </c>
      <c r="G418" s="6"/>
      <c r="H418" s="6"/>
      <c r="I418" s="6"/>
      <c r="J418" s="6"/>
      <c r="K418" s="6"/>
      <c r="L418" s="6"/>
      <c r="M418" s="6"/>
      <c r="N418" s="7">
        <f t="shared" ref="N418" si="669">SUM(G418:M418)</f>
        <v>0</v>
      </c>
      <c r="O418" s="11">
        <f t="shared" si="633"/>
        <v>0</v>
      </c>
      <c r="P418" s="25"/>
      <c r="Q418" s="10" t="str">
        <f t="shared" si="634"/>
        <v>OutubroSEMANA 2Ameixa</v>
      </c>
      <c r="R418" s="7">
        <f>SUMIF(NF!$A:$A,$Q418,NF!$I:$I)</f>
        <v>0</v>
      </c>
      <c r="S418" s="6"/>
      <c r="T418" s="6"/>
      <c r="U418" s="6"/>
      <c r="V418" s="6"/>
      <c r="W418" s="6"/>
      <c r="X418" s="6"/>
      <c r="Y418" s="6"/>
      <c r="Z418" s="7">
        <f t="shared" ref="Z418" si="670">SUM(S418:Y418)</f>
        <v>0</v>
      </c>
      <c r="AA418" s="11">
        <f t="shared" si="636"/>
        <v>0</v>
      </c>
      <c r="AB418" s="25"/>
      <c r="AC418" s="10" t="str">
        <f t="shared" si="637"/>
        <v>OutubroSEMANA 3Ameixa</v>
      </c>
      <c r="AD418" s="7">
        <f>SUMIF(NF!$A:$A,$AC418,NF!$I:$I)</f>
        <v>0</v>
      </c>
      <c r="AE418" s="6"/>
      <c r="AF418" s="6"/>
      <c r="AG418" s="6"/>
      <c r="AH418" s="6"/>
      <c r="AI418" s="6"/>
      <c r="AJ418" s="6"/>
      <c r="AK418" s="6"/>
      <c r="AL418" s="7">
        <f t="shared" ref="AL418" si="671">SUM(AE418:AK418)</f>
        <v>0</v>
      </c>
      <c r="AM418" s="11">
        <f t="shared" si="639"/>
        <v>0</v>
      </c>
      <c r="AN418" s="25"/>
      <c r="AO418" s="10" t="str">
        <f t="shared" si="640"/>
        <v>OutubroSEMANA 4Ameixa</v>
      </c>
      <c r="AP418" s="7">
        <f>SUMIF(NF!$A:$A,$AO418,NF!$I:$I)</f>
        <v>0</v>
      </c>
      <c r="AQ418" s="6"/>
      <c r="AR418" s="6"/>
      <c r="AS418" s="6"/>
      <c r="AT418" s="6"/>
      <c r="AU418" s="6"/>
      <c r="AV418" s="6"/>
      <c r="AW418" s="6"/>
      <c r="AX418" s="7">
        <f t="shared" ref="AX418" si="672">SUM(AQ418:AW418)</f>
        <v>0</v>
      </c>
      <c r="AY418" s="11">
        <f t="shared" si="642"/>
        <v>0</v>
      </c>
      <c r="AZ418" s="25"/>
      <c r="BA418" s="10" t="str">
        <f t="shared" si="643"/>
        <v>OutubroSEMANA 5Ameixa</v>
      </c>
      <c r="BB418" s="7">
        <f>SUMIF(NF!$A:$A,$BA418,NF!$I:$I)</f>
        <v>0</v>
      </c>
      <c r="BC418" s="6"/>
      <c r="BD418" s="6"/>
      <c r="BE418" s="6"/>
      <c r="BF418" s="74"/>
      <c r="BG418" s="74"/>
      <c r="BH418" s="74"/>
      <c r="BI418" s="74"/>
      <c r="BJ418" s="74"/>
      <c r="BK418" s="7">
        <f t="shared" ref="BK418" si="673">SUM(BC418:BJ418)</f>
        <v>0</v>
      </c>
      <c r="BL418" s="8">
        <f t="shared" si="645"/>
        <v>0</v>
      </c>
      <c r="BM418" s="51" t="str">
        <f>IFERROR(VLOOKUP(A418,NF!$M:$O,3,0),"")</f>
        <v>Hortifruti</v>
      </c>
      <c r="BN418" s="7">
        <f t="shared" si="646"/>
        <v>0</v>
      </c>
      <c r="BO418" s="8">
        <f t="array" ref="BO418">IFERROR(LARGE(IF(NF!$G$2:$G$3137='Mês atual'!A418,NF!$J$2:$J$3137),1),0)*BN418</f>
        <v>0</v>
      </c>
      <c r="BP418" s="50"/>
      <c r="BR418" s="147">
        <f t="array" ref="BR418">IFERROR(LARGE(IF(NF!$G$2:$G$3137='Mês atual'!A418,NF!$J$2:$J$3137),1),0)</f>
        <v>0</v>
      </c>
      <c r="BS418" s="143" t="str">
        <f>VLOOKUP(A418,NF!M:O,3,0)</f>
        <v>Hortifruti</v>
      </c>
    </row>
    <row r="419" spans="1:71" x14ac:dyDescent="0.25">
      <c r="A419" s="108" t="s">
        <v>121</v>
      </c>
      <c r="B419" s="12"/>
      <c r="C419" s="9"/>
      <c r="D419" s="25"/>
      <c r="E419" s="10" t="str">
        <f t="shared" si="631"/>
        <v>OutubroSEMANA 1Amora</v>
      </c>
      <c r="F419" s="7">
        <f>SUMIF(NF!$A:$A,$E419,NF!$I:$I)</f>
        <v>0</v>
      </c>
      <c r="G419" s="6"/>
      <c r="H419" s="6"/>
      <c r="I419" s="6"/>
      <c r="J419" s="6"/>
      <c r="K419" s="6"/>
      <c r="L419" s="6"/>
      <c r="M419" s="6"/>
      <c r="N419" s="7">
        <f t="shared" ref="N419:N424" si="674">SUM(G419:M419)</f>
        <v>0</v>
      </c>
      <c r="O419" s="11">
        <f t="shared" si="633"/>
        <v>0</v>
      </c>
      <c r="P419" s="25"/>
      <c r="Q419" s="10" t="str">
        <f t="shared" si="634"/>
        <v>OutubroSEMANA 2Amora</v>
      </c>
      <c r="R419" s="7">
        <f>SUMIF(NF!$A:$A,$Q419,NF!$I:$I)</f>
        <v>0</v>
      </c>
      <c r="S419" s="6"/>
      <c r="T419" s="6"/>
      <c r="U419" s="6"/>
      <c r="V419" s="6"/>
      <c r="W419" s="6"/>
      <c r="X419" s="6"/>
      <c r="Y419" s="6"/>
      <c r="Z419" s="7">
        <f t="shared" ref="Z419:Z424" si="675">SUM(S419:Y419)</f>
        <v>0</v>
      </c>
      <c r="AA419" s="11">
        <f t="shared" si="636"/>
        <v>0</v>
      </c>
      <c r="AB419" s="25"/>
      <c r="AC419" s="10" t="str">
        <f t="shared" si="637"/>
        <v>OutubroSEMANA 3Amora</v>
      </c>
      <c r="AD419" s="7">
        <f>SUMIF(NF!$A:$A,$AC419,NF!$I:$I)</f>
        <v>0</v>
      </c>
      <c r="AE419" s="6"/>
      <c r="AF419" s="6"/>
      <c r="AG419" s="6"/>
      <c r="AH419" s="6"/>
      <c r="AI419" s="6"/>
      <c r="AJ419" s="6"/>
      <c r="AK419" s="6"/>
      <c r="AL419" s="7">
        <f t="shared" ref="AL419:AL424" si="676">SUM(AE419:AK419)</f>
        <v>0</v>
      </c>
      <c r="AM419" s="11">
        <f t="shared" si="639"/>
        <v>0</v>
      </c>
      <c r="AN419" s="25"/>
      <c r="AO419" s="10" t="str">
        <f t="shared" si="640"/>
        <v>OutubroSEMANA 4Amora</v>
      </c>
      <c r="AP419" s="7">
        <f>SUMIF(NF!$A:$A,$AO419,NF!$I:$I)</f>
        <v>0</v>
      </c>
      <c r="AQ419" s="6"/>
      <c r="AR419" s="6"/>
      <c r="AS419" s="6"/>
      <c r="AT419" s="6"/>
      <c r="AU419" s="6"/>
      <c r="AV419" s="6"/>
      <c r="AW419" s="6"/>
      <c r="AX419" s="7">
        <f t="shared" ref="AX419:AX424" si="677">SUM(AQ419:AW419)</f>
        <v>0</v>
      </c>
      <c r="AY419" s="11">
        <f t="shared" si="642"/>
        <v>0</v>
      </c>
      <c r="AZ419" s="25"/>
      <c r="BA419" s="10" t="str">
        <f t="shared" si="643"/>
        <v>OutubroSEMANA 5Amora</v>
      </c>
      <c r="BB419" s="7">
        <f>SUMIF(NF!$A:$A,$BA419,NF!$I:$I)</f>
        <v>0</v>
      </c>
      <c r="BC419" s="6"/>
      <c r="BD419" s="6"/>
      <c r="BE419" s="6"/>
      <c r="BF419" s="74"/>
      <c r="BG419" s="74"/>
      <c r="BH419" s="74"/>
      <c r="BI419" s="74"/>
      <c r="BJ419" s="74"/>
      <c r="BK419" s="7">
        <f t="shared" ref="BK419:BK424" si="678">SUM(BC419:BJ419)</f>
        <v>0</v>
      </c>
      <c r="BL419" s="8">
        <f t="shared" si="645"/>
        <v>0</v>
      </c>
      <c r="BM419" s="51" t="str">
        <f>IFERROR(VLOOKUP(A419,NF!$M:$O,3,0),"")</f>
        <v>Hortifruti</v>
      </c>
      <c r="BN419" s="7">
        <f t="shared" si="646"/>
        <v>0</v>
      </c>
      <c r="BO419" s="8">
        <f t="array" ref="BO419">IFERROR(LARGE(IF(NF!$G$2:$G$3137='Mês atual'!A419,NF!$J$2:$J$3137),1),0)*BN419</f>
        <v>0</v>
      </c>
      <c r="BP419" s="50"/>
      <c r="BR419" s="147">
        <f t="array" ref="BR419">IFERROR(LARGE(IF(NF!$G$2:$G$3137='Mês atual'!A419,NF!$J$2:$J$3137),1),0)</f>
        <v>0</v>
      </c>
      <c r="BS419" s="143" t="str">
        <f>VLOOKUP(A419,NF!M:O,3,0)</f>
        <v>Hortifruti</v>
      </c>
    </row>
    <row r="420" spans="1:71" x14ac:dyDescent="0.25">
      <c r="A420" s="108" t="s">
        <v>123</v>
      </c>
      <c r="B420" s="12"/>
      <c r="C420" s="9"/>
      <c r="D420" s="25"/>
      <c r="E420" s="10" t="str">
        <f t="shared" si="631"/>
        <v>OutubroSEMANA 1Aneto</v>
      </c>
      <c r="F420" s="7">
        <f>SUMIF(NF!$A:$A,$E420,NF!$I:$I)</f>
        <v>0</v>
      </c>
      <c r="G420" s="6"/>
      <c r="H420" s="6"/>
      <c r="I420" s="6"/>
      <c r="J420" s="6"/>
      <c r="K420" s="6"/>
      <c r="L420" s="6"/>
      <c r="M420" s="6"/>
      <c r="N420" s="7">
        <f t="shared" si="674"/>
        <v>0</v>
      </c>
      <c r="O420" s="11">
        <f t="shared" si="633"/>
        <v>0</v>
      </c>
      <c r="P420" s="25"/>
      <c r="Q420" s="10" t="str">
        <f t="shared" si="634"/>
        <v>OutubroSEMANA 2Aneto</v>
      </c>
      <c r="R420" s="7">
        <f>SUMIF(NF!$A:$A,$Q420,NF!$I:$I)</f>
        <v>0</v>
      </c>
      <c r="S420" s="6"/>
      <c r="T420" s="6"/>
      <c r="U420" s="6"/>
      <c r="V420" s="6"/>
      <c r="W420" s="6"/>
      <c r="X420" s="6"/>
      <c r="Y420" s="6"/>
      <c r="Z420" s="7">
        <f t="shared" si="675"/>
        <v>0</v>
      </c>
      <c r="AA420" s="11">
        <f t="shared" si="636"/>
        <v>0</v>
      </c>
      <c r="AB420" s="25"/>
      <c r="AC420" s="10" t="str">
        <f t="shared" si="637"/>
        <v>OutubroSEMANA 3Aneto</v>
      </c>
      <c r="AD420" s="7">
        <f>SUMIF(NF!$A:$A,$AC420,NF!$I:$I)</f>
        <v>0</v>
      </c>
      <c r="AE420" s="6"/>
      <c r="AF420" s="6"/>
      <c r="AG420" s="6"/>
      <c r="AH420" s="6"/>
      <c r="AI420" s="6"/>
      <c r="AJ420" s="6"/>
      <c r="AK420" s="6"/>
      <c r="AL420" s="7">
        <f t="shared" si="676"/>
        <v>0</v>
      </c>
      <c r="AM420" s="11">
        <f t="shared" si="639"/>
        <v>0</v>
      </c>
      <c r="AN420" s="25"/>
      <c r="AO420" s="10" t="str">
        <f t="shared" si="640"/>
        <v>OutubroSEMANA 4Aneto</v>
      </c>
      <c r="AP420" s="7">
        <f>SUMIF(NF!$A:$A,$AO420,NF!$I:$I)</f>
        <v>0.1</v>
      </c>
      <c r="AQ420" s="6"/>
      <c r="AR420" s="6"/>
      <c r="AS420" s="6"/>
      <c r="AT420" s="6"/>
      <c r="AU420" s="6"/>
      <c r="AV420" s="6"/>
      <c r="AW420" s="6">
        <v>0.1</v>
      </c>
      <c r="AX420" s="7">
        <f t="shared" si="677"/>
        <v>0.1</v>
      </c>
      <c r="AY420" s="11">
        <f t="shared" si="642"/>
        <v>0</v>
      </c>
      <c r="AZ420" s="25"/>
      <c r="BA420" s="10" t="str">
        <f t="shared" si="643"/>
        <v>OutubroSEMANA 5Aneto</v>
      </c>
      <c r="BB420" s="7">
        <f>SUMIF(NF!$A:$A,$BA420,NF!$I:$I)</f>
        <v>0</v>
      </c>
      <c r="BC420" s="6"/>
      <c r="BD420" s="6"/>
      <c r="BE420" s="6"/>
      <c r="BF420" s="74"/>
      <c r="BG420" s="74"/>
      <c r="BH420" s="74"/>
      <c r="BI420" s="74"/>
      <c r="BJ420" s="74"/>
      <c r="BK420" s="7">
        <f t="shared" si="678"/>
        <v>0</v>
      </c>
      <c r="BL420" s="8">
        <f t="shared" si="645"/>
        <v>0</v>
      </c>
      <c r="BM420" s="51" t="str">
        <f>IFERROR(VLOOKUP(A420,NF!$M:$O,3,0),"")</f>
        <v>Hortifruti</v>
      </c>
      <c r="BN420" s="7">
        <f t="shared" si="646"/>
        <v>0.1</v>
      </c>
      <c r="BO420" s="8">
        <f t="array" ref="BO420">IFERROR(LARGE(IF(NF!$G$2:$G$3137='Mês atual'!A420,NF!$J$2:$J$3137),1),0)*BN420</f>
        <v>3</v>
      </c>
      <c r="BP420" s="50"/>
      <c r="BR420" s="147">
        <f t="array" ref="BR420">IFERROR(LARGE(IF(NF!$G$2:$G$3137='Mês atual'!A420,NF!$J$2:$J$3137),1),0)</f>
        <v>30</v>
      </c>
      <c r="BS420" s="143" t="str">
        <f>VLOOKUP(A420,NF!M:O,3,0)</f>
        <v>Hortifruti</v>
      </c>
    </row>
    <row r="421" spans="1:71" x14ac:dyDescent="0.25">
      <c r="A421" s="108" t="s">
        <v>1303</v>
      </c>
      <c r="B421" s="12"/>
      <c r="C421" s="9">
        <v>1</v>
      </c>
      <c r="D421" s="25"/>
      <c r="E421" s="10" t="str">
        <f t="shared" si="631"/>
        <v>OutubroSEMANA 1Aspargos Frescos</v>
      </c>
      <c r="F421" s="7">
        <f>SUMIF(NF!$A:$A,$E421,NF!$I:$I)</f>
        <v>0</v>
      </c>
      <c r="G421" s="6">
        <v>1</v>
      </c>
      <c r="H421" s="6"/>
      <c r="I421" s="6"/>
      <c r="J421" s="6"/>
      <c r="K421" s="6"/>
      <c r="L421" s="6"/>
      <c r="M421" s="6"/>
      <c r="N421" s="7">
        <f t="shared" si="674"/>
        <v>1</v>
      </c>
      <c r="O421" s="11">
        <f t="shared" si="633"/>
        <v>0</v>
      </c>
      <c r="P421" s="25"/>
      <c r="Q421" s="10" t="str">
        <f t="shared" si="634"/>
        <v>OutubroSEMANA 2Aspargos Frescos</v>
      </c>
      <c r="R421" s="7">
        <f>SUMIF(NF!$A:$A,$Q421,NF!$I:$I)</f>
        <v>1.5</v>
      </c>
      <c r="S421" s="6"/>
      <c r="T421" s="6"/>
      <c r="U421" s="6"/>
      <c r="V421" s="6"/>
      <c r="W421" s="6"/>
      <c r="X421" s="6"/>
      <c r="Y421" s="6"/>
      <c r="Z421" s="7">
        <f t="shared" si="675"/>
        <v>0</v>
      </c>
      <c r="AA421" s="11">
        <f t="shared" si="636"/>
        <v>1.5</v>
      </c>
      <c r="AB421" s="25"/>
      <c r="AC421" s="10" t="str">
        <f t="shared" si="637"/>
        <v>OutubroSEMANA 3Aspargos Frescos</v>
      </c>
      <c r="AD421" s="7">
        <f>SUMIF(NF!$A:$A,$AC421,NF!$I:$I)</f>
        <v>0</v>
      </c>
      <c r="AE421" s="6">
        <v>1.5</v>
      </c>
      <c r="AF421" s="6"/>
      <c r="AG421" s="6"/>
      <c r="AH421" s="6"/>
      <c r="AI421" s="6"/>
      <c r="AJ421" s="6"/>
      <c r="AK421" s="6"/>
      <c r="AL421" s="7">
        <f t="shared" si="676"/>
        <v>1.5</v>
      </c>
      <c r="AM421" s="11">
        <f t="shared" si="639"/>
        <v>0</v>
      </c>
      <c r="AN421" s="25"/>
      <c r="AO421" s="10" t="str">
        <f t="shared" si="640"/>
        <v>OutubroSEMANA 4Aspargos Frescos</v>
      </c>
      <c r="AP421" s="7">
        <f>SUMIF(NF!$A:$A,$AO421,NF!$I:$I)</f>
        <v>1</v>
      </c>
      <c r="AQ421" s="6"/>
      <c r="AR421" s="6"/>
      <c r="AS421" s="6"/>
      <c r="AT421" s="6"/>
      <c r="AU421" s="6"/>
      <c r="AV421" s="6"/>
      <c r="AW421" s="6"/>
      <c r="AX421" s="7">
        <f t="shared" si="677"/>
        <v>0</v>
      </c>
      <c r="AY421" s="11">
        <f t="shared" si="642"/>
        <v>1</v>
      </c>
      <c r="AZ421" s="25"/>
      <c r="BA421" s="10" t="str">
        <f t="shared" si="643"/>
        <v>OutubroSEMANA 5Aspargos Frescos</v>
      </c>
      <c r="BB421" s="7">
        <f>SUMIF(NF!$A:$A,$BA421,NF!$I:$I)</f>
        <v>0</v>
      </c>
      <c r="BC421" s="6">
        <v>1</v>
      </c>
      <c r="BD421" s="6"/>
      <c r="BE421" s="6"/>
      <c r="BF421" s="74"/>
      <c r="BG421" s="74"/>
      <c r="BH421" s="74"/>
      <c r="BI421" s="74"/>
      <c r="BJ421" s="74"/>
      <c r="BK421" s="7">
        <f t="shared" si="678"/>
        <v>1</v>
      </c>
      <c r="BL421" s="8">
        <f t="shared" si="645"/>
        <v>0</v>
      </c>
      <c r="BM421" s="51" t="str">
        <f>IFERROR(VLOOKUP(A421,NF!$M:$O,3,0),"")</f>
        <v>Hortifruti</v>
      </c>
      <c r="BN421" s="7">
        <f t="shared" si="646"/>
        <v>3.5</v>
      </c>
      <c r="BO421" s="8">
        <f t="array" ref="BO421">IFERROR(LARGE(IF(NF!$G$2:$G$3137='Mês atual'!A421,NF!$J$2:$J$3137),1),0)*BN421</f>
        <v>112</v>
      </c>
      <c r="BP421" s="50"/>
      <c r="BR421" s="147">
        <f t="array" ref="BR421">IFERROR(LARGE(IF(NF!$G$2:$G$3137='Mês atual'!A421,NF!$J$2:$J$3137),1),0)</f>
        <v>32</v>
      </c>
      <c r="BS421" s="143" t="str">
        <f>VLOOKUP(A421,NF!M:O,3,0)</f>
        <v>Hortifruti</v>
      </c>
    </row>
    <row r="422" spans="1:71" x14ac:dyDescent="0.25">
      <c r="A422" s="108" t="s">
        <v>161</v>
      </c>
      <c r="B422" s="12"/>
      <c r="C422" s="9"/>
      <c r="D422" s="25"/>
      <c r="E422" s="10" t="str">
        <f t="shared" si="631"/>
        <v>OutubroSEMANA 1Banana da Terra</v>
      </c>
      <c r="F422" s="7">
        <f>SUMIF(NF!$A:$A,$E422,NF!$I:$I)</f>
        <v>0</v>
      </c>
      <c r="G422" s="6"/>
      <c r="H422" s="6"/>
      <c r="I422" s="6"/>
      <c r="J422" s="6"/>
      <c r="K422" s="6"/>
      <c r="L422" s="6"/>
      <c r="M422" s="6"/>
      <c r="N422" s="7">
        <f t="shared" si="674"/>
        <v>0</v>
      </c>
      <c r="O422" s="11">
        <f t="shared" si="633"/>
        <v>0</v>
      </c>
      <c r="P422" s="25"/>
      <c r="Q422" s="10" t="str">
        <f t="shared" si="634"/>
        <v>OutubroSEMANA 2Banana da Terra</v>
      </c>
      <c r="R422" s="7">
        <f>SUMIF(NF!$A:$A,$Q422,NF!$I:$I)</f>
        <v>6.4649999999999999</v>
      </c>
      <c r="S422" s="6">
        <v>4.4649999999999999</v>
      </c>
      <c r="T422" s="6"/>
      <c r="U422" s="6">
        <v>2</v>
      </c>
      <c r="V422" s="6"/>
      <c r="W422" s="6"/>
      <c r="X422" s="6"/>
      <c r="Y422" s="6"/>
      <c r="Z422" s="7">
        <f t="shared" si="675"/>
        <v>6.4649999999999999</v>
      </c>
      <c r="AA422" s="11">
        <f t="shared" si="636"/>
        <v>0</v>
      </c>
      <c r="AB422" s="25"/>
      <c r="AC422" s="10" t="str">
        <f t="shared" si="637"/>
        <v>OutubroSEMANA 3Banana da Terra</v>
      </c>
      <c r="AD422" s="7">
        <f>SUMIF(NF!$A:$A,$AC422,NF!$I:$I)</f>
        <v>14.5</v>
      </c>
      <c r="AE422" s="6"/>
      <c r="AF422" s="6"/>
      <c r="AG422" s="6"/>
      <c r="AH422" s="6">
        <v>2.5</v>
      </c>
      <c r="AI422" s="6"/>
      <c r="AJ422" s="6"/>
      <c r="AK422" s="6"/>
      <c r="AL422" s="7">
        <f t="shared" si="676"/>
        <v>2.5</v>
      </c>
      <c r="AM422" s="11">
        <f t="shared" si="639"/>
        <v>12</v>
      </c>
      <c r="AN422" s="25"/>
      <c r="AO422" s="10" t="str">
        <f t="shared" si="640"/>
        <v>OutubroSEMANA 4Banana da Terra</v>
      </c>
      <c r="AP422" s="7">
        <f>SUMIF(NF!$A:$A,$AO422,NF!$I:$I)</f>
        <v>4</v>
      </c>
      <c r="AQ422" s="6"/>
      <c r="AR422" s="6"/>
      <c r="AS422" s="6">
        <v>12</v>
      </c>
      <c r="AT422" s="6"/>
      <c r="AU422" s="6"/>
      <c r="AV422" s="6"/>
      <c r="AW422" s="6"/>
      <c r="AX422" s="7">
        <f t="shared" si="677"/>
        <v>12</v>
      </c>
      <c r="AY422" s="11">
        <f t="shared" si="642"/>
        <v>4</v>
      </c>
      <c r="AZ422" s="25"/>
      <c r="BA422" s="10" t="str">
        <f t="shared" si="643"/>
        <v>OutubroSEMANA 5Banana da Terra</v>
      </c>
      <c r="BB422" s="7">
        <f>SUMIF(NF!$A:$A,$BA422,NF!$I:$I)</f>
        <v>0</v>
      </c>
      <c r="BC422" s="6">
        <v>4</v>
      </c>
      <c r="BD422" s="6"/>
      <c r="BE422" s="6"/>
      <c r="BF422" s="74"/>
      <c r="BG422" s="74"/>
      <c r="BH422" s="74"/>
      <c r="BI422" s="74"/>
      <c r="BJ422" s="74"/>
      <c r="BK422" s="7">
        <f t="shared" si="678"/>
        <v>4</v>
      </c>
      <c r="BL422" s="8">
        <f t="shared" si="645"/>
        <v>0</v>
      </c>
      <c r="BM422" s="51" t="str">
        <f>IFERROR(VLOOKUP(A422,NF!$M:$O,3,0),"")</f>
        <v>Hortifruti</v>
      </c>
      <c r="BN422" s="7">
        <f t="shared" si="646"/>
        <v>24.965</v>
      </c>
      <c r="BO422" s="8">
        <f t="array" ref="BO422">IFERROR(LARGE(IF(NF!$G$2:$G$3137='Mês atual'!A422,NF!$J$2:$J$3137),1),0)*BN422</f>
        <v>174.25570000000002</v>
      </c>
      <c r="BP422" s="50"/>
      <c r="BR422" s="147">
        <f t="array" ref="BR422">IFERROR(LARGE(IF(NF!$G$2:$G$3137='Mês atual'!A422,NF!$J$2:$J$3137),1),0)</f>
        <v>6.98</v>
      </c>
      <c r="BS422" s="143" t="str">
        <f>VLOOKUP(A422,NF!M:O,3,0)</f>
        <v>Hortifruti</v>
      </c>
    </row>
    <row r="423" spans="1:71" x14ac:dyDescent="0.25">
      <c r="A423" s="108" t="s">
        <v>162</v>
      </c>
      <c r="B423" s="12"/>
      <c r="C423" s="9">
        <v>1.125</v>
      </c>
      <c r="D423" s="25"/>
      <c r="E423" s="10" t="str">
        <f t="shared" si="631"/>
        <v>OutubroSEMANA 1Banana D'Água</v>
      </c>
      <c r="F423" s="7">
        <f>SUMIF(NF!$A:$A,$E423,NF!$I:$I)</f>
        <v>22.549999999999997</v>
      </c>
      <c r="G423" s="6">
        <v>1.125</v>
      </c>
      <c r="H423" s="6">
        <v>2</v>
      </c>
      <c r="I423" s="6">
        <v>2</v>
      </c>
      <c r="J423" s="6">
        <v>5</v>
      </c>
      <c r="K423" s="6">
        <v>4.7</v>
      </c>
      <c r="L423" s="6">
        <v>1.85</v>
      </c>
      <c r="M423" s="6">
        <v>4</v>
      </c>
      <c r="N423" s="7">
        <f t="shared" si="674"/>
        <v>20.675000000000001</v>
      </c>
      <c r="O423" s="11">
        <f t="shared" si="633"/>
        <v>2.9999999999999964</v>
      </c>
      <c r="P423" s="25"/>
      <c r="Q423" s="10" t="str">
        <f t="shared" si="634"/>
        <v>OutubroSEMANA 2Banana D'Água</v>
      </c>
      <c r="R423" s="7">
        <f>SUMIF(NF!$A:$A,$Q423,NF!$I:$I)</f>
        <v>8</v>
      </c>
      <c r="S423" s="6">
        <v>2.9990000000000001</v>
      </c>
      <c r="T423" s="6"/>
      <c r="U423" s="6"/>
      <c r="V423" s="6"/>
      <c r="W423" s="6">
        <v>2</v>
      </c>
      <c r="X423" s="6"/>
      <c r="Y423" s="6">
        <v>3</v>
      </c>
      <c r="Z423" s="7">
        <f t="shared" si="675"/>
        <v>7.9990000000000006</v>
      </c>
      <c r="AA423" s="11">
        <f t="shared" si="636"/>
        <v>3.0009999999999959</v>
      </c>
      <c r="AB423" s="25"/>
      <c r="AC423" s="10" t="str">
        <f t="shared" si="637"/>
        <v>OutubroSEMANA 3Banana D'Água</v>
      </c>
      <c r="AD423" s="7">
        <f>SUMIF(NF!$A:$A,$AC423,NF!$I:$I)</f>
        <v>14</v>
      </c>
      <c r="AE423" s="6">
        <v>3</v>
      </c>
      <c r="AF423" s="6"/>
      <c r="AG423" s="6"/>
      <c r="AH423" s="6">
        <v>7</v>
      </c>
      <c r="AI423" s="6"/>
      <c r="AJ423" s="6">
        <v>2</v>
      </c>
      <c r="AK423" s="6">
        <v>5</v>
      </c>
      <c r="AL423" s="7">
        <f t="shared" si="676"/>
        <v>17</v>
      </c>
      <c r="AM423" s="11">
        <f t="shared" si="639"/>
        <v>9.9999999999766942E-4</v>
      </c>
      <c r="AN423" s="25"/>
      <c r="AO423" s="10" t="str">
        <f t="shared" si="640"/>
        <v>OutubroSEMANA 4Banana D'Água</v>
      </c>
      <c r="AP423" s="7">
        <f>SUMIF(NF!$A:$A,$AO423,NF!$I:$I)</f>
        <v>14</v>
      </c>
      <c r="AQ423" s="6">
        <v>2</v>
      </c>
      <c r="AR423" s="6">
        <v>2</v>
      </c>
      <c r="AS423" s="6"/>
      <c r="AT423" s="6">
        <v>3</v>
      </c>
      <c r="AU423" s="6"/>
      <c r="AV423" s="6">
        <v>2</v>
      </c>
      <c r="AW423" s="6">
        <v>2</v>
      </c>
      <c r="AX423" s="7">
        <f t="shared" si="677"/>
        <v>11</v>
      </c>
      <c r="AY423" s="11">
        <f t="shared" si="642"/>
        <v>3.0009999999999977</v>
      </c>
      <c r="AZ423" s="25"/>
      <c r="BA423" s="10" t="str">
        <f t="shared" si="643"/>
        <v>OutubroSEMANA 5Banana D'Água</v>
      </c>
      <c r="BB423" s="7">
        <f>SUMIF(NF!$A:$A,$BA423,NF!$I:$I)</f>
        <v>3</v>
      </c>
      <c r="BC423" s="6">
        <v>3</v>
      </c>
      <c r="BD423" s="6"/>
      <c r="BE423" s="6">
        <v>3</v>
      </c>
      <c r="BF423" s="74"/>
      <c r="BG423" s="74"/>
      <c r="BH423" s="74"/>
      <c r="BI423" s="74"/>
      <c r="BJ423" s="74"/>
      <c r="BK423" s="7">
        <f t="shared" si="678"/>
        <v>6</v>
      </c>
      <c r="BL423" s="8">
        <f t="shared" si="645"/>
        <v>9.9999999999766942E-4</v>
      </c>
      <c r="BM423" s="51" t="str">
        <f>IFERROR(VLOOKUP(A423,NF!$M:$O,3,0),"")</f>
        <v>Hortifruti</v>
      </c>
      <c r="BN423" s="7">
        <f t="shared" si="646"/>
        <v>62.673999999999999</v>
      </c>
      <c r="BO423" s="8">
        <f t="array" ref="BO423">IFERROR(LARGE(IF(NF!$G$2:$G$3137='Mês atual'!A423,NF!$J$2:$J$3137),1),0)*BN423</f>
        <v>213.0916</v>
      </c>
      <c r="BP423" s="50"/>
      <c r="BR423" s="147">
        <f t="array" ref="BR423">IFERROR(LARGE(IF(NF!$G$2:$G$3137='Mês atual'!A423,NF!$J$2:$J$3137),1),0)</f>
        <v>3.4</v>
      </c>
      <c r="BS423" s="143" t="str">
        <f>VLOOKUP(A423,NF!M:O,3,0)</f>
        <v>Hortifruti</v>
      </c>
    </row>
    <row r="424" spans="1:71" x14ac:dyDescent="0.25">
      <c r="A424" s="108" t="s">
        <v>163</v>
      </c>
      <c r="B424" s="12"/>
      <c r="C424" s="9"/>
      <c r="D424" s="25"/>
      <c r="E424" s="10" t="str">
        <f t="shared" si="631"/>
        <v>OutubroSEMANA 1Banana Prata</v>
      </c>
      <c r="F424" s="7">
        <f>SUMIF(NF!$A:$A,$E424,NF!$I:$I)</f>
        <v>0</v>
      </c>
      <c r="G424" s="6"/>
      <c r="H424" s="6"/>
      <c r="I424" s="6"/>
      <c r="J424" s="6"/>
      <c r="K424" s="6"/>
      <c r="L424" s="6"/>
      <c r="M424" s="6"/>
      <c r="N424" s="7">
        <f t="shared" si="674"/>
        <v>0</v>
      </c>
      <c r="O424" s="11">
        <f t="shared" si="633"/>
        <v>0</v>
      </c>
      <c r="P424" s="25"/>
      <c r="Q424" s="10" t="str">
        <f t="shared" si="634"/>
        <v>OutubroSEMANA 2Banana Prata</v>
      </c>
      <c r="R424" s="7">
        <f>SUMIF(NF!$A:$A,$Q424,NF!$I:$I)</f>
        <v>0</v>
      </c>
      <c r="S424" s="6"/>
      <c r="T424" s="6"/>
      <c r="U424" s="6"/>
      <c r="V424" s="6"/>
      <c r="W424" s="6"/>
      <c r="X424" s="6"/>
      <c r="Y424" s="6"/>
      <c r="Z424" s="7">
        <f t="shared" si="675"/>
        <v>0</v>
      </c>
      <c r="AA424" s="11">
        <f t="shared" si="636"/>
        <v>0</v>
      </c>
      <c r="AB424" s="25"/>
      <c r="AC424" s="10" t="str">
        <f t="shared" si="637"/>
        <v>OutubroSEMANA 3Banana Prata</v>
      </c>
      <c r="AD424" s="7">
        <f>SUMIF(NF!$A:$A,$AC424,NF!$I:$I)</f>
        <v>0</v>
      </c>
      <c r="AE424" s="6"/>
      <c r="AF424" s="6"/>
      <c r="AG424" s="6"/>
      <c r="AH424" s="6"/>
      <c r="AI424" s="6"/>
      <c r="AJ424" s="6"/>
      <c r="AK424" s="6"/>
      <c r="AL424" s="7">
        <f t="shared" si="676"/>
        <v>0</v>
      </c>
      <c r="AM424" s="11">
        <f t="shared" si="639"/>
        <v>0</v>
      </c>
      <c r="AN424" s="25"/>
      <c r="AO424" s="10" t="str">
        <f t="shared" si="640"/>
        <v>OutubroSEMANA 4Banana Prata</v>
      </c>
      <c r="AP424" s="7">
        <f>SUMIF(NF!$A:$A,$AO424,NF!$I:$I)</f>
        <v>0</v>
      </c>
      <c r="AQ424" s="6"/>
      <c r="AR424" s="6"/>
      <c r="AS424" s="6"/>
      <c r="AT424" s="6"/>
      <c r="AU424" s="6"/>
      <c r="AV424" s="6"/>
      <c r="AW424" s="6"/>
      <c r="AX424" s="7">
        <f t="shared" si="677"/>
        <v>0</v>
      </c>
      <c r="AY424" s="11">
        <f t="shared" si="642"/>
        <v>0</v>
      </c>
      <c r="AZ424" s="25"/>
      <c r="BA424" s="10" t="str">
        <f t="shared" si="643"/>
        <v>OutubroSEMANA 5Banana Prata</v>
      </c>
      <c r="BB424" s="7">
        <f>SUMIF(NF!$A:$A,$BA424,NF!$I:$I)</f>
        <v>0</v>
      </c>
      <c r="BC424" s="6"/>
      <c r="BD424" s="6"/>
      <c r="BE424" s="6"/>
      <c r="BF424" s="74"/>
      <c r="BG424" s="74"/>
      <c r="BH424" s="74"/>
      <c r="BI424" s="74"/>
      <c r="BJ424" s="74"/>
      <c r="BK424" s="7">
        <f t="shared" si="678"/>
        <v>0</v>
      </c>
      <c r="BL424" s="8">
        <f t="shared" si="645"/>
        <v>0</v>
      </c>
      <c r="BM424" s="51" t="str">
        <f>IFERROR(VLOOKUP(A424,NF!$M:$O,3,0),"")</f>
        <v>Hortifruti</v>
      </c>
      <c r="BN424" s="7">
        <f t="shared" si="646"/>
        <v>0</v>
      </c>
      <c r="BO424" s="8">
        <f t="array" ref="BO424">IFERROR(LARGE(IF(NF!$G$2:$G$3137='Mês atual'!A424,NF!$J$2:$J$3137),1),0)*BN424</f>
        <v>0</v>
      </c>
      <c r="BP424" s="50"/>
      <c r="BR424" s="147">
        <f t="array" ref="BR424">IFERROR(LARGE(IF(NF!$G$2:$G$3137='Mês atual'!A424,NF!$J$2:$J$3137),1),0)</f>
        <v>0</v>
      </c>
      <c r="BS424" s="143" t="str">
        <f>VLOOKUP(A424,NF!M:O,3,0)</f>
        <v>Hortifruti</v>
      </c>
    </row>
    <row r="425" spans="1:71" x14ac:dyDescent="0.25">
      <c r="A425" s="108" t="s">
        <v>164</v>
      </c>
      <c r="B425" s="12"/>
      <c r="C425" s="9"/>
      <c r="D425" s="25"/>
      <c r="E425" s="10" t="str">
        <f t="shared" si="631"/>
        <v>OutubroSEMANA 1Banana Prata Orgânica</v>
      </c>
      <c r="F425" s="7">
        <f>SUMIF(NF!$A:$A,$E425,NF!$I:$I)</f>
        <v>0</v>
      </c>
      <c r="G425" s="6"/>
      <c r="H425" s="6"/>
      <c r="I425" s="6"/>
      <c r="J425" s="6"/>
      <c r="K425" s="6"/>
      <c r="L425" s="6"/>
      <c r="M425" s="6"/>
      <c r="N425" s="7">
        <f t="shared" ref="N425" si="679">SUM(G425:M425)</f>
        <v>0</v>
      </c>
      <c r="O425" s="11">
        <f t="shared" si="633"/>
        <v>0</v>
      </c>
      <c r="P425" s="25"/>
      <c r="Q425" s="10" t="str">
        <f t="shared" si="634"/>
        <v>OutubroSEMANA 2Banana Prata Orgânica</v>
      </c>
      <c r="R425" s="7">
        <f>SUMIF(NF!$A:$A,$Q425,NF!$I:$I)</f>
        <v>0</v>
      </c>
      <c r="S425" s="6"/>
      <c r="T425" s="6"/>
      <c r="U425" s="6"/>
      <c r="V425" s="6"/>
      <c r="W425" s="6"/>
      <c r="X425" s="6"/>
      <c r="Y425" s="6"/>
      <c r="Z425" s="7">
        <f t="shared" ref="Z425" si="680">SUM(S425:Y425)</f>
        <v>0</v>
      </c>
      <c r="AA425" s="11">
        <f t="shared" si="636"/>
        <v>0</v>
      </c>
      <c r="AB425" s="25"/>
      <c r="AC425" s="10" t="str">
        <f t="shared" si="637"/>
        <v>OutubroSEMANA 3Banana Prata Orgânica</v>
      </c>
      <c r="AD425" s="7">
        <f>SUMIF(NF!$A:$A,$AC425,NF!$I:$I)</f>
        <v>0</v>
      </c>
      <c r="AE425" s="6"/>
      <c r="AF425" s="6"/>
      <c r="AG425" s="6"/>
      <c r="AH425" s="6"/>
      <c r="AI425" s="6"/>
      <c r="AJ425" s="6"/>
      <c r="AK425" s="6"/>
      <c r="AL425" s="7">
        <f t="shared" ref="AL425" si="681">SUM(AE425:AK425)</f>
        <v>0</v>
      </c>
      <c r="AM425" s="11">
        <f t="shared" si="639"/>
        <v>0</v>
      </c>
      <c r="AN425" s="25"/>
      <c r="AO425" s="10" t="str">
        <f t="shared" si="640"/>
        <v>OutubroSEMANA 4Banana Prata Orgânica</v>
      </c>
      <c r="AP425" s="7">
        <f>SUMIF(NF!$A:$A,$AO425,NF!$I:$I)</f>
        <v>0</v>
      </c>
      <c r="AQ425" s="6"/>
      <c r="AR425" s="6"/>
      <c r="AS425" s="6"/>
      <c r="AT425" s="6"/>
      <c r="AU425" s="6"/>
      <c r="AV425" s="6"/>
      <c r="AW425" s="6"/>
      <c r="AX425" s="7">
        <f t="shared" ref="AX425" si="682">SUM(AQ425:AW425)</f>
        <v>0</v>
      </c>
      <c r="AY425" s="11">
        <f t="shared" si="642"/>
        <v>0</v>
      </c>
      <c r="AZ425" s="25"/>
      <c r="BA425" s="10" t="str">
        <f t="shared" si="643"/>
        <v>OutubroSEMANA 5Banana Prata Orgânica</v>
      </c>
      <c r="BB425" s="7">
        <f>SUMIF(NF!$A:$A,$BA425,NF!$I:$I)</f>
        <v>0</v>
      </c>
      <c r="BC425" s="6"/>
      <c r="BD425" s="6"/>
      <c r="BE425" s="6"/>
      <c r="BF425" s="74"/>
      <c r="BG425" s="74"/>
      <c r="BH425" s="74"/>
      <c r="BI425" s="74"/>
      <c r="BJ425" s="74"/>
      <c r="BK425" s="7">
        <f t="shared" ref="BK425" si="683">SUM(BC425:BJ425)</f>
        <v>0</v>
      </c>
      <c r="BL425" s="8">
        <f t="shared" si="645"/>
        <v>0</v>
      </c>
      <c r="BM425" s="51" t="str">
        <f>IFERROR(VLOOKUP(A425,NF!$M:$O,3,0),"")</f>
        <v>Hortifruti</v>
      </c>
      <c r="BN425" s="7">
        <f t="shared" si="646"/>
        <v>0</v>
      </c>
      <c r="BO425" s="8">
        <f t="array" ref="BO425">IFERROR(LARGE(IF(NF!$G$2:$G$3137='Mês atual'!A425,NF!$J$2:$J$3137),1),0)*BN425</f>
        <v>0</v>
      </c>
      <c r="BP425" s="50"/>
      <c r="BR425" s="147">
        <f t="array" ref="BR425">IFERROR(LARGE(IF(NF!$G$2:$G$3137='Mês atual'!A425,NF!$J$2:$J$3137),1),0)</f>
        <v>0</v>
      </c>
      <c r="BS425" s="143" t="str">
        <f>VLOOKUP(A425,NF!M:O,3,0)</f>
        <v>Hortifruti</v>
      </c>
    </row>
    <row r="426" spans="1:71" x14ac:dyDescent="0.25">
      <c r="A426" s="108" t="s">
        <v>169</v>
      </c>
      <c r="B426" s="12"/>
      <c r="C426" s="9"/>
      <c r="D426" s="25"/>
      <c r="E426" s="10" t="str">
        <f t="shared" si="631"/>
        <v>OutubroSEMANA 1Batata Baroa</v>
      </c>
      <c r="F426" s="7">
        <f>SUMIF(NF!$A:$A,$E426,NF!$I:$I)</f>
        <v>8</v>
      </c>
      <c r="G426" s="6"/>
      <c r="H426" s="6"/>
      <c r="I426" s="6"/>
      <c r="J426" s="6">
        <v>2</v>
      </c>
      <c r="K426" s="6"/>
      <c r="L426" s="6"/>
      <c r="M426" s="6">
        <v>6</v>
      </c>
      <c r="N426" s="7">
        <f t="shared" ref="N426:N440" si="684">SUM(G426:M426)</f>
        <v>8</v>
      </c>
      <c r="O426" s="11">
        <f t="shared" si="633"/>
        <v>0</v>
      </c>
      <c r="P426" s="25"/>
      <c r="Q426" s="10" t="str">
        <f t="shared" si="634"/>
        <v>OutubroSEMANA 2Batata Baroa</v>
      </c>
      <c r="R426" s="7">
        <f>SUMIF(NF!$A:$A,$Q426,NF!$I:$I)</f>
        <v>12</v>
      </c>
      <c r="S426" s="6"/>
      <c r="T426" s="6"/>
      <c r="U426" s="6">
        <v>10</v>
      </c>
      <c r="V426" s="6">
        <v>2</v>
      </c>
      <c r="W426" s="6"/>
      <c r="X426" s="6"/>
      <c r="Y426" s="6"/>
      <c r="Z426" s="7">
        <f t="shared" ref="Z426:Z440" si="685">SUM(S426:Y426)</f>
        <v>12</v>
      </c>
      <c r="AA426" s="11">
        <f t="shared" si="636"/>
        <v>0</v>
      </c>
      <c r="AB426" s="25"/>
      <c r="AC426" s="10" t="str">
        <f t="shared" si="637"/>
        <v>OutubroSEMANA 3Batata Baroa</v>
      </c>
      <c r="AD426" s="7">
        <f>SUMIF(NF!$A:$A,$AC426,NF!$I:$I)</f>
        <v>14.92</v>
      </c>
      <c r="AE426" s="6"/>
      <c r="AF426" s="6"/>
      <c r="AG426" s="6"/>
      <c r="AH426" s="6">
        <v>10</v>
      </c>
      <c r="AI426" s="6"/>
      <c r="AJ426" s="6"/>
      <c r="AK426" s="6"/>
      <c r="AL426" s="7">
        <f t="shared" ref="AL426:AL440" si="686">SUM(AE426:AK426)</f>
        <v>10</v>
      </c>
      <c r="AM426" s="11">
        <f t="shared" si="639"/>
        <v>4.92</v>
      </c>
      <c r="AN426" s="25"/>
      <c r="AO426" s="10" t="str">
        <f t="shared" si="640"/>
        <v>OutubroSEMANA 4Batata Baroa</v>
      </c>
      <c r="AP426" s="7">
        <f>SUMIF(NF!$A:$A,$AO426,NF!$I:$I)</f>
        <v>10</v>
      </c>
      <c r="AQ426" s="6"/>
      <c r="AR426" s="6">
        <v>2.02</v>
      </c>
      <c r="AS426" s="6"/>
      <c r="AT426" s="6"/>
      <c r="AU426" s="6">
        <v>2</v>
      </c>
      <c r="AV426" s="6"/>
      <c r="AW426" s="6">
        <v>6</v>
      </c>
      <c r="AX426" s="7">
        <f t="shared" ref="AX426:AX440" si="687">SUM(AQ426:AW426)</f>
        <v>10.02</v>
      </c>
      <c r="AY426" s="11">
        <f t="shared" si="642"/>
        <v>4.9000000000000004</v>
      </c>
      <c r="AZ426" s="25"/>
      <c r="BA426" s="10" t="str">
        <f t="shared" si="643"/>
        <v>OutubroSEMANA 5Batata Baroa</v>
      </c>
      <c r="BB426" s="7">
        <f>SUMIF(NF!$A:$A,$BA426,NF!$I:$I)</f>
        <v>0</v>
      </c>
      <c r="BC426" s="6">
        <v>2</v>
      </c>
      <c r="BD426" s="6">
        <v>2.9</v>
      </c>
      <c r="BE426" s="6"/>
      <c r="BF426" s="74"/>
      <c r="BG426" s="74"/>
      <c r="BH426" s="74"/>
      <c r="BI426" s="74"/>
      <c r="BJ426" s="74"/>
      <c r="BK426" s="7">
        <f t="shared" ref="BK426:BK440" si="688">SUM(BC426:BJ426)</f>
        <v>4.9000000000000004</v>
      </c>
      <c r="BL426" s="8">
        <f t="shared" si="645"/>
        <v>0</v>
      </c>
      <c r="BM426" s="51" t="str">
        <f>IFERROR(VLOOKUP(A426,NF!$M:$O,3,0),"")</f>
        <v>Hortifruti</v>
      </c>
      <c r="BN426" s="7">
        <f t="shared" si="646"/>
        <v>44.919999999999995</v>
      </c>
      <c r="BO426" s="8">
        <f t="array" ref="BO426">IFERROR(LARGE(IF(NF!$G$2:$G$3137='Mês atual'!A426,NF!$J$2:$J$3137),1),0)*BN426</f>
        <v>198.70777479892757</v>
      </c>
      <c r="BP426" s="50"/>
      <c r="BR426" s="147">
        <f t="array" ref="BR426">IFERROR(LARGE(IF(NF!$G$2:$G$3137='Mês atual'!A426,NF!$J$2:$J$3137),1),0)</f>
        <v>4.423592493297587</v>
      </c>
      <c r="BS426" s="143" t="str">
        <f>VLOOKUP(A426,NF!M:O,3,0)</f>
        <v>Hortifruti</v>
      </c>
    </row>
    <row r="427" spans="1:71" x14ac:dyDescent="0.25">
      <c r="A427" s="108" t="s">
        <v>903</v>
      </c>
      <c r="B427" s="12"/>
      <c r="C427" s="9"/>
      <c r="D427" s="25"/>
      <c r="E427" s="10" t="str">
        <f t="shared" si="631"/>
        <v>OutubroSEMANA 1Batata Calabresa</v>
      </c>
      <c r="F427" s="7">
        <f>SUMIF(NF!$A:$A,$E427,NF!$I:$I)</f>
        <v>6</v>
      </c>
      <c r="G427" s="6"/>
      <c r="H427" s="6"/>
      <c r="I427" s="6"/>
      <c r="J427" s="6">
        <v>3.5</v>
      </c>
      <c r="K427" s="6"/>
      <c r="L427" s="6">
        <v>2.5</v>
      </c>
      <c r="M427" s="6"/>
      <c r="N427" s="7">
        <f t="shared" si="684"/>
        <v>6</v>
      </c>
      <c r="O427" s="11">
        <f t="shared" si="633"/>
        <v>0</v>
      </c>
      <c r="P427" s="25"/>
      <c r="Q427" s="10" t="str">
        <f t="shared" si="634"/>
        <v>OutubroSEMANA 2Batata Calabresa</v>
      </c>
      <c r="R427" s="7">
        <f>SUMIF(NF!$A:$A,$Q427,NF!$I:$I)</f>
        <v>2.5</v>
      </c>
      <c r="S427" s="6"/>
      <c r="T427" s="6"/>
      <c r="U427" s="6"/>
      <c r="V427" s="6"/>
      <c r="W427" s="6"/>
      <c r="X427" s="6">
        <v>2.5</v>
      </c>
      <c r="Y427" s="6"/>
      <c r="Z427" s="7">
        <f t="shared" si="685"/>
        <v>2.5</v>
      </c>
      <c r="AA427" s="11">
        <f t="shared" si="636"/>
        <v>0</v>
      </c>
      <c r="AB427" s="25"/>
      <c r="AC427" s="10" t="str">
        <f t="shared" si="637"/>
        <v>OutubroSEMANA 3Batata Calabresa</v>
      </c>
      <c r="AD427" s="7">
        <f>SUMIF(NF!$A:$A,$AC427,NF!$I:$I)</f>
        <v>12</v>
      </c>
      <c r="AE427" s="6"/>
      <c r="AF427" s="6"/>
      <c r="AG427" s="6"/>
      <c r="AH427" s="6"/>
      <c r="AI427" s="6"/>
      <c r="AJ427" s="6"/>
      <c r="AK427" s="6">
        <v>8</v>
      </c>
      <c r="AL427" s="7">
        <f t="shared" si="686"/>
        <v>8</v>
      </c>
      <c r="AM427" s="11">
        <f t="shared" si="639"/>
        <v>4</v>
      </c>
      <c r="AN427" s="25"/>
      <c r="AO427" s="10" t="str">
        <f t="shared" si="640"/>
        <v>OutubroSEMANA 4Batata Calabresa</v>
      </c>
      <c r="AP427" s="7">
        <f>SUMIF(NF!$A:$A,$AO427,NF!$I:$I)</f>
        <v>7</v>
      </c>
      <c r="AQ427" s="6"/>
      <c r="AR427" s="6">
        <v>4</v>
      </c>
      <c r="AS427" s="6"/>
      <c r="AT427" s="6"/>
      <c r="AU427" s="6"/>
      <c r="AV427" s="6"/>
      <c r="AW427" s="6">
        <v>7</v>
      </c>
      <c r="AX427" s="7">
        <f t="shared" si="687"/>
        <v>11</v>
      </c>
      <c r="AY427" s="11">
        <f t="shared" si="642"/>
        <v>0</v>
      </c>
      <c r="AZ427" s="25"/>
      <c r="BA427" s="10" t="str">
        <f t="shared" si="643"/>
        <v>OutubroSEMANA 5Batata Calabresa</v>
      </c>
      <c r="BB427" s="7">
        <f>SUMIF(NF!$A:$A,$BA427,NF!$I:$I)</f>
        <v>0</v>
      </c>
      <c r="BC427" s="6"/>
      <c r="BD427" s="6"/>
      <c r="BE427" s="6"/>
      <c r="BF427" s="74"/>
      <c r="BG427" s="74"/>
      <c r="BH427" s="74"/>
      <c r="BI427" s="74"/>
      <c r="BJ427" s="74"/>
      <c r="BK427" s="7">
        <f t="shared" si="688"/>
        <v>0</v>
      </c>
      <c r="BL427" s="8">
        <f t="shared" si="645"/>
        <v>0</v>
      </c>
      <c r="BM427" s="51" t="str">
        <f>IFERROR(VLOOKUP(A427,NF!$M:$O,3,0),"")</f>
        <v>Hortifruti</v>
      </c>
      <c r="BN427" s="7">
        <f t="shared" si="646"/>
        <v>27.5</v>
      </c>
      <c r="BO427" s="8">
        <f t="array" ref="BO427">IFERROR(LARGE(IF(NF!$G$2:$G$3137='Mês atual'!A427,NF!$J$2:$J$3137),1),0)*BN427</f>
        <v>61.325000000000003</v>
      </c>
      <c r="BP427" s="50"/>
      <c r="BR427" s="147">
        <f t="array" ref="BR427">IFERROR(LARGE(IF(NF!$G$2:$G$3137='Mês atual'!A427,NF!$J$2:$J$3137),1),0)</f>
        <v>2.23</v>
      </c>
      <c r="BS427" s="143" t="str">
        <f>VLOOKUP(A427,NF!M:O,3,0)</f>
        <v>Hortifruti</v>
      </c>
    </row>
    <row r="428" spans="1:71" x14ac:dyDescent="0.25">
      <c r="A428" s="108" t="s">
        <v>170</v>
      </c>
      <c r="B428" s="12"/>
      <c r="C428" s="9">
        <v>26.8</v>
      </c>
      <c r="D428" s="25"/>
      <c r="E428" s="10" t="str">
        <f t="shared" si="631"/>
        <v>OutubroSEMANA 1Batata Doce</v>
      </c>
      <c r="F428" s="7">
        <f>SUMIF(NF!$A:$A,$E428,NF!$I:$I)</f>
        <v>35.46</v>
      </c>
      <c r="G428" s="6">
        <v>8.5399999999999991</v>
      </c>
      <c r="H428" s="6">
        <v>2.66</v>
      </c>
      <c r="I428" s="6">
        <v>23.08</v>
      </c>
      <c r="J428" s="6"/>
      <c r="K428" s="6">
        <f>7.44+1.1</f>
        <v>8.5400000000000009</v>
      </c>
      <c r="L428" s="6"/>
      <c r="M428" s="6"/>
      <c r="N428" s="7">
        <f t="shared" si="684"/>
        <v>42.82</v>
      </c>
      <c r="O428" s="11">
        <f t="shared" si="633"/>
        <v>19.440000000000005</v>
      </c>
      <c r="P428" s="25"/>
      <c r="Q428" s="10" t="str">
        <f t="shared" si="634"/>
        <v>OutubroSEMANA 2Batata Doce</v>
      </c>
      <c r="R428" s="7">
        <f>SUMIF(NF!$A:$A,$Q428,NF!$I:$I)</f>
        <v>55.8</v>
      </c>
      <c r="S428" s="6">
        <v>8.94</v>
      </c>
      <c r="T428" s="6">
        <v>2.74</v>
      </c>
      <c r="U428" s="6">
        <v>23.3</v>
      </c>
      <c r="V428" s="6">
        <v>7.26</v>
      </c>
      <c r="W428" s="6">
        <v>3.3</v>
      </c>
      <c r="X428" s="6"/>
      <c r="Y428" s="6">
        <v>8.5399999999999991</v>
      </c>
      <c r="Z428" s="7">
        <f t="shared" si="685"/>
        <v>54.08</v>
      </c>
      <c r="AA428" s="11">
        <f t="shared" si="636"/>
        <v>21.160000000000011</v>
      </c>
      <c r="AB428" s="25"/>
      <c r="AC428" s="10" t="str">
        <f t="shared" si="637"/>
        <v>OutubroSEMANA 3Batata Doce</v>
      </c>
      <c r="AD428" s="7">
        <f>SUMIF(NF!$A:$A,$AC428,NF!$I:$I)</f>
        <v>59.040000000000006</v>
      </c>
      <c r="AE428" s="6">
        <v>2</v>
      </c>
      <c r="AF428" s="6"/>
      <c r="AG428" s="6">
        <v>23.32</v>
      </c>
      <c r="AH428" s="6">
        <v>3.02</v>
      </c>
      <c r="AI428" s="6">
        <v>4</v>
      </c>
      <c r="AJ428" s="6">
        <v>7.02</v>
      </c>
      <c r="AK428" s="6">
        <v>8.06</v>
      </c>
      <c r="AL428" s="7">
        <f t="shared" si="686"/>
        <v>47.42</v>
      </c>
      <c r="AM428" s="11">
        <f t="shared" si="639"/>
        <v>32.780000000000015</v>
      </c>
      <c r="AN428" s="25"/>
      <c r="AO428" s="10" t="str">
        <f t="shared" si="640"/>
        <v>OutubroSEMANA 4Batata Doce</v>
      </c>
      <c r="AP428" s="7">
        <f>SUMIF(NF!$A:$A,$AO428,NF!$I:$I)</f>
        <v>35.82</v>
      </c>
      <c r="AQ428" s="6">
        <v>8.3800000000000008</v>
      </c>
      <c r="AR428" s="6">
        <v>23.34</v>
      </c>
      <c r="AS428" s="6">
        <v>16.399999999999999</v>
      </c>
      <c r="AT428" s="6"/>
      <c r="AU428" s="6">
        <v>3.4</v>
      </c>
      <c r="AV428" s="6">
        <v>6.14</v>
      </c>
      <c r="AW428" s="6"/>
      <c r="AX428" s="7">
        <f t="shared" si="687"/>
        <v>57.66</v>
      </c>
      <c r="AY428" s="11">
        <f t="shared" si="642"/>
        <v>10.940000000000026</v>
      </c>
      <c r="AZ428" s="25"/>
      <c r="BA428" s="10" t="str">
        <f t="shared" si="643"/>
        <v>OutubroSEMANA 5Batata Doce</v>
      </c>
      <c r="BB428" s="7">
        <f>SUMIF(NF!$A:$A,$BA428,NF!$I:$I)</f>
        <v>39.120000000000005</v>
      </c>
      <c r="BC428" s="6">
        <v>8.6</v>
      </c>
      <c r="BD428" s="6"/>
      <c r="BE428" s="6">
        <f>24.54-2.56</f>
        <v>21.98</v>
      </c>
      <c r="BF428" s="74"/>
      <c r="BG428" s="74"/>
      <c r="BH428" s="74"/>
      <c r="BI428" s="74"/>
      <c r="BJ428" s="74"/>
      <c r="BK428" s="7">
        <f t="shared" si="688"/>
        <v>30.58</v>
      </c>
      <c r="BL428" s="8">
        <f t="shared" si="645"/>
        <v>19.480000000000032</v>
      </c>
      <c r="BM428" s="51" t="str">
        <f>IFERROR(VLOOKUP(A428,NF!$M:$O,3,0),"")</f>
        <v>Hortifruti</v>
      </c>
      <c r="BN428" s="7">
        <f t="shared" si="646"/>
        <v>232.56</v>
      </c>
      <c r="BO428" s="8">
        <f t="array" ref="BO428">IFERROR(LARGE(IF(NF!$G$2:$G$3137='Mês atual'!A428,NF!$J$2:$J$3137),1),0)*BN428</f>
        <v>435.8604954367666</v>
      </c>
      <c r="BP428" s="50"/>
      <c r="BR428" s="147">
        <f t="array" ref="BR428">IFERROR(LARGE(IF(NF!$G$2:$G$3137='Mês atual'!A428,NF!$J$2:$J$3137),1),0)</f>
        <v>1.8741851368970013</v>
      </c>
      <c r="BS428" s="143" t="str">
        <f>VLOOKUP(A428,NF!M:O,3,0)</f>
        <v>Hortifruti</v>
      </c>
    </row>
    <row r="429" spans="1:71" x14ac:dyDescent="0.25">
      <c r="A429" s="108" t="s">
        <v>171</v>
      </c>
      <c r="B429" s="12"/>
      <c r="C429" s="9">
        <v>47.48</v>
      </c>
      <c r="D429" s="25"/>
      <c r="E429" s="10" t="str">
        <f t="shared" si="631"/>
        <v>OutubroSEMANA 1Batata HBT</v>
      </c>
      <c r="F429" s="7">
        <f>SUMIF(NF!$A:$A,$E429,NF!$I:$I)</f>
        <v>75</v>
      </c>
      <c r="G429" s="6">
        <f>2.88+7.12</f>
        <v>10</v>
      </c>
      <c r="H429" s="6">
        <f>4+6.08</f>
        <v>10.08</v>
      </c>
      <c r="I429" s="6">
        <f>3+6.1</f>
        <v>9.1</v>
      </c>
      <c r="J429" s="6">
        <f>2+6.22+2.04</f>
        <v>10.259999999999998</v>
      </c>
      <c r="K429" s="6">
        <f>4.16+7+2+7.06</f>
        <v>20.22</v>
      </c>
      <c r="L429" s="6">
        <f>2+9.324</f>
        <v>11.324</v>
      </c>
      <c r="M429" s="6">
        <f>2+2</f>
        <v>4</v>
      </c>
      <c r="N429" s="7">
        <f t="shared" si="684"/>
        <v>74.983999999999995</v>
      </c>
      <c r="O429" s="11">
        <f t="shared" si="633"/>
        <v>47.495999999999995</v>
      </c>
      <c r="P429" s="25"/>
      <c r="Q429" s="10" t="str">
        <f t="shared" si="634"/>
        <v>OutubroSEMANA 2Batata HBT</v>
      </c>
      <c r="R429" s="7">
        <f>SUMIF(NF!$A:$A,$Q429,NF!$I:$I)</f>
        <v>75</v>
      </c>
      <c r="S429" s="6">
        <f>4.48+7+2</f>
        <v>13.48</v>
      </c>
      <c r="T429" s="6">
        <f>9.16+3.66</f>
        <v>12.82</v>
      </c>
      <c r="U429" s="6">
        <v>7</v>
      </c>
      <c r="V429" s="6">
        <f>2.26+2</f>
        <v>4.26</v>
      </c>
      <c r="W429" s="6">
        <f>2.08+8.36+2.12+6.12</f>
        <v>18.68</v>
      </c>
      <c r="X429" s="6">
        <f>1.3+3.75</f>
        <v>5.05</v>
      </c>
      <c r="Y429" s="6">
        <f>8.6+7.2+2</f>
        <v>17.8</v>
      </c>
      <c r="Z429" s="7">
        <f t="shared" si="685"/>
        <v>79.089999999999989</v>
      </c>
      <c r="AA429" s="11">
        <f t="shared" si="636"/>
        <v>43.406000000000006</v>
      </c>
      <c r="AB429" s="25"/>
      <c r="AC429" s="10" t="str">
        <f t="shared" si="637"/>
        <v>OutubroSEMANA 3Batata HBT</v>
      </c>
      <c r="AD429" s="7">
        <f>SUMIF(NF!$A:$A,$AC429,NF!$I:$I)</f>
        <v>50</v>
      </c>
      <c r="AE429" s="6">
        <f>2.12+4.02</f>
        <v>6.14</v>
      </c>
      <c r="AF429" s="6">
        <v>9.1199999999999992</v>
      </c>
      <c r="AG429" s="6">
        <v>1.1000000000000001</v>
      </c>
      <c r="AH429" s="6">
        <f>1.3+8.06+2.5</f>
        <v>11.860000000000001</v>
      </c>
      <c r="AI429" s="6">
        <f>4.1+2.52+6.12</f>
        <v>12.739999999999998</v>
      </c>
      <c r="AJ429" s="6">
        <f>11.2+0.8</f>
        <v>12</v>
      </c>
      <c r="AK429" s="6">
        <f>1.9+3.75</f>
        <v>5.65</v>
      </c>
      <c r="AL429" s="7">
        <f t="shared" si="686"/>
        <v>58.609999999999992</v>
      </c>
      <c r="AM429" s="11">
        <f t="shared" si="639"/>
        <v>34.796000000000014</v>
      </c>
      <c r="AN429" s="25"/>
      <c r="AO429" s="10" t="str">
        <f t="shared" si="640"/>
        <v>OutubroSEMANA 4Batata HBT</v>
      </c>
      <c r="AP429" s="7">
        <f>SUMIF(NF!$A:$A,$AO429,NF!$I:$I)</f>
        <v>50</v>
      </c>
      <c r="AQ429" s="6"/>
      <c r="AR429" s="6">
        <v>2.5</v>
      </c>
      <c r="AS429" s="6">
        <v>8</v>
      </c>
      <c r="AT429" s="6">
        <v>6</v>
      </c>
      <c r="AU429" s="6">
        <f>2.12+1.04+0.36</f>
        <v>3.52</v>
      </c>
      <c r="AV429" s="6">
        <v>4.1399999999999997</v>
      </c>
      <c r="AW429" s="6">
        <f>12+1.9+2</f>
        <v>15.9</v>
      </c>
      <c r="AX429" s="7">
        <f t="shared" si="687"/>
        <v>40.06</v>
      </c>
      <c r="AY429" s="11">
        <f t="shared" si="642"/>
        <v>44.736000000000018</v>
      </c>
      <c r="AZ429" s="25"/>
      <c r="BA429" s="10" t="str">
        <f t="shared" si="643"/>
        <v>OutubroSEMANA 5Batata HBT</v>
      </c>
      <c r="BB429" s="7">
        <f>SUMIF(NF!$A:$A,$BA429,NF!$I:$I)</f>
        <v>25</v>
      </c>
      <c r="BC429" s="6">
        <f>10.12+2.06+2</f>
        <v>14.18</v>
      </c>
      <c r="BD429" s="6"/>
      <c r="BE429" s="6">
        <v>16.02</v>
      </c>
      <c r="BF429" s="74"/>
      <c r="BG429" s="74"/>
      <c r="BH429" s="74"/>
      <c r="BI429" s="74"/>
      <c r="BJ429" s="74"/>
      <c r="BK429" s="7">
        <f t="shared" si="688"/>
        <v>30.2</v>
      </c>
      <c r="BL429" s="8">
        <f t="shared" si="645"/>
        <v>39.536000000000016</v>
      </c>
      <c r="BM429" s="51" t="str">
        <f>IFERROR(VLOOKUP(A429,NF!$M:$O,3,0),"")</f>
        <v>Hortifruti</v>
      </c>
      <c r="BN429" s="7">
        <f t="shared" si="646"/>
        <v>282.94399999999996</v>
      </c>
      <c r="BO429" s="8">
        <f t="array" ref="BO429">IFERROR(LARGE(IF(NF!$G$2:$G$3137='Mês atual'!A429,NF!$J$2:$J$3137),1),0)*BN429</f>
        <v>636.62399999999991</v>
      </c>
      <c r="BP429" s="50"/>
      <c r="BR429" s="147">
        <f t="array" ref="BR429">IFERROR(LARGE(IF(NF!$G$2:$G$3137='Mês atual'!A429,NF!$J$2:$J$3137),1),0)</f>
        <v>2.25</v>
      </c>
      <c r="BS429" s="143" t="str">
        <f>VLOOKUP(A429,NF!M:O,3,0)</f>
        <v>Hortifruti</v>
      </c>
    </row>
    <row r="430" spans="1:71" x14ac:dyDescent="0.25">
      <c r="A430" s="108" t="s">
        <v>172</v>
      </c>
      <c r="B430" s="12"/>
      <c r="C430" s="9"/>
      <c r="D430" s="25"/>
      <c r="E430" s="10" t="str">
        <f t="shared" si="631"/>
        <v>OutubroSEMANA 1Batata Inglesa</v>
      </c>
      <c r="F430" s="7">
        <f>SUMIF(NF!$A:$A,$E430,NF!$I:$I)</f>
        <v>0</v>
      </c>
      <c r="G430" s="6"/>
      <c r="H430" s="6"/>
      <c r="I430" s="6"/>
      <c r="J430" s="6"/>
      <c r="K430" s="6"/>
      <c r="L430" s="6"/>
      <c r="M430" s="6"/>
      <c r="N430" s="7">
        <f t="shared" si="684"/>
        <v>0</v>
      </c>
      <c r="O430" s="11">
        <f t="shared" si="633"/>
        <v>0</v>
      </c>
      <c r="P430" s="25"/>
      <c r="Q430" s="10" t="str">
        <f t="shared" si="634"/>
        <v>OutubroSEMANA 2Batata Inglesa</v>
      </c>
      <c r="R430" s="7">
        <f>SUMIF(NF!$A:$A,$Q430,NF!$I:$I)</f>
        <v>7</v>
      </c>
      <c r="S430" s="6"/>
      <c r="T430" s="6"/>
      <c r="U430" s="6"/>
      <c r="V430" s="6"/>
      <c r="W430" s="6"/>
      <c r="X430" s="6"/>
      <c r="Y430" s="6"/>
      <c r="Z430" s="7">
        <f t="shared" si="685"/>
        <v>0</v>
      </c>
      <c r="AA430" s="11">
        <f t="shared" si="636"/>
        <v>7</v>
      </c>
      <c r="AB430" s="25"/>
      <c r="AC430" s="10" t="str">
        <f t="shared" si="637"/>
        <v>OutubroSEMANA 3Batata Inglesa</v>
      </c>
      <c r="AD430" s="7">
        <f>SUMIF(NF!$A:$A,$AC430,NF!$I:$I)</f>
        <v>8</v>
      </c>
      <c r="AE430" s="6">
        <v>7</v>
      </c>
      <c r="AF430" s="6"/>
      <c r="AG430" s="6"/>
      <c r="AH430" s="6"/>
      <c r="AI430" s="6">
        <v>8</v>
      </c>
      <c r="AJ430" s="6"/>
      <c r="AK430" s="6"/>
      <c r="AL430" s="7">
        <f t="shared" si="686"/>
        <v>15</v>
      </c>
      <c r="AM430" s="11">
        <f t="shared" si="639"/>
        <v>0</v>
      </c>
      <c r="AN430" s="25"/>
      <c r="AO430" s="10" t="str">
        <f t="shared" si="640"/>
        <v>OutubroSEMANA 4Batata Inglesa</v>
      </c>
      <c r="AP430" s="7">
        <f>SUMIF(NF!$A:$A,$AO430,NF!$I:$I)</f>
        <v>0</v>
      </c>
      <c r="AQ430" s="6"/>
      <c r="AR430" s="6"/>
      <c r="AS430" s="6"/>
      <c r="AT430" s="6"/>
      <c r="AU430" s="6"/>
      <c r="AV430" s="6"/>
      <c r="AW430" s="6"/>
      <c r="AX430" s="7">
        <f t="shared" si="687"/>
        <v>0</v>
      </c>
      <c r="AY430" s="11">
        <f t="shared" si="642"/>
        <v>0</v>
      </c>
      <c r="AZ430" s="25"/>
      <c r="BA430" s="10" t="str">
        <f t="shared" si="643"/>
        <v>OutubroSEMANA 5Batata Inglesa</v>
      </c>
      <c r="BB430" s="7">
        <f>SUMIF(NF!$A:$A,$BA430,NF!$I:$I)</f>
        <v>0</v>
      </c>
      <c r="BC430" s="6"/>
      <c r="BD430" s="6"/>
      <c r="BE430" s="6"/>
      <c r="BF430" s="74"/>
      <c r="BG430" s="74"/>
      <c r="BH430" s="74"/>
      <c r="BI430" s="74"/>
      <c r="BJ430" s="74"/>
      <c r="BK430" s="7">
        <f t="shared" si="688"/>
        <v>0</v>
      </c>
      <c r="BL430" s="8">
        <f t="shared" si="645"/>
        <v>0</v>
      </c>
      <c r="BM430" s="51" t="str">
        <f>IFERROR(VLOOKUP(A430,NF!$M:$O,3,0),"")</f>
        <v>Hortifruti</v>
      </c>
      <c r="BN430" s="7">
        <f t="shared" si="646"/>
        <v>15</v>
      </c>
      <c r="BO430" s="8">
        <f t="array" ref="BO430">IFERROR(LARGE(IF(NF!$G$2:$G$3137='Mês atual'!A430,NF!$J$2:$J$3137),1),0)*BN430</f>
        <v>27</v>
      </c>
      <c r="BP430" s="50"/>
      <c r="BR430" s="147">
        <f t="array" ref="BR430">IFERROR(LARGE(IF(NF!$G$2:$G$3137='Mês atual'!A430,NF!$J$2:$J$3137),1),0)</f>
        <v>1.8</v>
      </c>
      <c r="BS430" s="143" t="str">
        <f>VLOOKUP(A430,NF!M:O,3,0)</f>
        <v>Hortifruti</v>
      </c>
    </row>
    <row r="431" spans="1:71" x14ac:dyDescent="0.25">
      <c r="A431" s="108" t="s">
        <v>177</v>
      </c>
      <c r="B431" s="12"/>
      <c r="C431" s="9"/>
      <c r="D431" s="25"/>
      <c r="E431" s="10" t="str">
        <f t="shared" si="631"/>
        <v>OutubroSEMANA 1Batata Yacon</v>
      </c>
      <c r="F431" s="7">
        <f>SUMIF(NF!$A:$A,$E431,NF!$I:$I)</f>
        <v>0.5</v>
      </c>
      <c r="G431" s="6"/>
      <c r="H431" s="6"/>
      <c r="I431" s="6"/>
      <c r="J431" s="6"/>
      <c r="K431" s="6">
        <v>0.5</v>
      </c>
      <c r="L431" s="6"/>
      <c r="M431" s="6"/>
      <c r="N431" s="7">
        <f t="shared" si="684"/>
        <v>0.5</v>
      </c>
      <c r="O431" s="11">
        <f t="shared" si="633"/>
        <v>0</v>
      </c>
      <c r="P431" s="25"/>
      <c r="Q431" s="10" t="str">
        <f t="shared" si="634"/>
        <v>OutubroSEMANA 2Batata Yacon</v>
      </c>
      <c r="R431" s="7">
        <f>SUMIF(NF!$A:$A,$Q431,NF!$I:$I)</f>
        <v>1</v>
      </c>
      <c r="S431" s="6"/>
      <c r="T431" s="6"/>
      <c r="U431" s="6">
        <v>0.5</v>
      </c>
      <c r="V431" s="6"/>
      <c r="W431" s="6"/>
      <c r="X431" s="6"/>
      <c r="Y431" s="6"/>
      <c r="Z431" s="7">
        <f t="shared" si="685"/>
        <v>0.5</v>
      </c>
      <c r="AA431" s="11">
        <f t="shared" si="636"/>
        <v>0.5</v>
      </c>
      <c r="AB431" s="25"/>
      <c r="AC431" s="10" t="str">
        <f t="shared" si="637"/>
        <v>OutubroSEMANA 3Batata Yacon</v>
      </c>
      <c r="AD431" s="7">
        <f>SUMIF(NF!$A:$A,$AC431,NF!$I:$I)</f>
        <v>1</v>
      </c>
      <c r="AE431" s="6">
        <v>0.5</v>
      </c>
      <c r="AF431" s="6"/>
      <c r="AG431" s="6"/>
      <c r="AH431" s="6">
        <v>0.5</v>
      </c>
      <c r="AI431" s="6"/>
      <c r="AJ431" s="6"/>
      <c r="AK431" s="6"/>
      <c r="AL431" s="7">
        <f t="shared" si="686"/>
        <v>1</v>
      </c>
      <c r="AM431" s="11">
        <f t="shared" si="639"/>
        <v>0.5</v>
      </c>
      <c r="AN431" s="25"/>
      <c r="AO431" s="10" t="str">
        <f t="shared" si="640"/>
        <v>OutubroSEMANA 4Batata Yacon</v>
      </c>
      <c r="AP431" s="7">
        <f>SUMIF(NF!$A:$A,$AO431,NF!$I:$I)</f>
        <v>0.5</v>
      </c>
      <c r="AQ431" s="6">
        <v>0.5</v>
      </c>
      <c r="AR431" s="6"/>
      <c r="AS431" s="6"/>
      <c r="AT431" s="6"/>
      <c r="AU431" s="6"/>
      <c r="AV431" s="6"/>
      <c r="AW431" s="6"/>
      <c r="AX431" s="7">
        <f t="shared" si="687"/>
        <v>0.5</v>
      </c>
      <c r="AY431" s="11">
        <f t="shared" si="642"/>
        <v>0.5</v>
      </c>
      <c r="AZ431" s="25"/>
      <c r="BA431" s="10" t="str">
        <f t="shared" si="643"/>
        <v>OutubroSEMANA 5Batata Yacon</v>
      </c>
      <c r="BB431" s="7">
        <f>SUMIF(NF!$A:$A,$BA431,NF!$I:$I)</f>
        <v>0</v>
      </c>
      <c r="BC431" s="6"/>
      <c r="BD431" s="6">
        <v>0.5</v>
      </c>
      <c r="BE431" s="6"/>
      <c r="BF431" s="74"/>
      <c r="BG431" s="74"/>
      <c r="BH431" s="74"/>
      <c r="BI431" s="74"/>
      <c r="BJ431" s="74"/>
      <c r="BK431" s="7">
        <f t="shared" si="688"/>
        <v>0.5</v>
      </c>
      <c r="BL431" s="8">
        <f t="shared" si="645"/>
        <v>0</v>
      </c>
      <c r="BM431" s="51" t="str">
        <f>IFERROR(VLOOKUP(A431,NF!$M:$O,3,0),"")</f>
        <v>Hortifruti</v>
      </c>
      <c r="BN431" s="7">
        <f t="shared" si="646"/>
        <v>3</v>
      </c>
      <c r="BO431" s="8">
        <f t="array" ref="BO431">IFERROR(LARGE(IF(NF!$G$2:$G$3137='Mês atual'!A431,NF!$J$2:$J$3137),1),0)*BN431</f>
        <v>24</v>
      </c>
      <c r="BP431" s="50"/>
      <c r="BR431" s="147">
        <f t="array" ref="BR431">IFERROR(LARGE(IF(NF!$G$2:$G$3137='Mês atual'!A431,NF!$J$2:$J$3137),1),0)</f>
        <v>8</v>
      </c>
      <c r="BS431" s="143" t="str">
        <f>VLOOKUP(A431,NF!M:O,3,0)</f>
        <v>Hortifruti</v>
      </c>
    </row>
    <row r="432" spans="1:71" x14ac:dyDescent="0.25">
      <c r="A432" s="108" t="s">
        <v>178</v>
      </c>
      <c r="B432" s="12"/>
      <c r="C432" s="9">
        <v>7.36</v>
      </c>
      <c r="D432" s="25"/>
      <c r="E432" s="10" t="str">
        <f t="shared" si="631"/>
        <v>OutubroSEMANA 1Berinjela</v>
      </c>
      <c r="F432" s="7">
        <f>SUMIF(NF!$A:$A,$E432,NF!$I:$I)</f>
        <v>46.06</v>
      </c>
      <c r="G432" s="6">
        <v>2.1</v>
      </c>
      <c r="H432" s="6"/>
      <c r="I432" s="6"/>
      <c r="J432" s="6">
        <v>13</v>
      </c>
      <c r="K432" s="6">
        <f>2+1.368</f>
        <v>3.3680000000000003</v>
      </c>
      <c r="L432" s="6">
        <v>7.46</v>
      </c>
      <c r="M432" s="6">
        <v>4.0999999999999996</v>
      </c>
      <c r="N432" s="7">
        <f t="shared" si="684"/>
        <v>30.027999999999999</v>
      </c>
      <c r="O432" s="11">
        <f t="shared" si="633"/>
        <v>23.392000000000003</v>
      </c>
      <c r="P432" s="25"/>
      <c r="Q432" s="10" t="str">
        <f t="shared" si="634"/>
        <v>OutubroSEMANA 2Berinjela</v>
      </c>
      <c r="R432" s="7">
        <f>SUMIF(NF!$A:$A,$Q432,NF!$I:$I)</f>
        <v>30.779999999999998</v>
      </c>
      <c r="S432" s="6">
        <v>2.2599999999999998</v>
      </c>
      <c r="T432" s="6">
        <f>7.2+3</f>
        <v>10.199999999999999</v>
      </c>
      <c r="U432" s="6">
        <f>1.3+1.77</f>
        <v>3.0700000000000003</v>
      </c>
      <c r="V432" s="6">
        <v>6</v>
      </c>
      <c r="W432" s="6"/>
      <c r="X432" s="6">
        <f>4.32+7.34</f>
        <v>11.66</v>
      </c>
      <c r="Y432" s="6">
        <v>7.42</v>
      </c>
      <c r="Z432" s="7">
        <f t="shared" si="685"/>
        <v>40.61</v>
      </c>
      <c r="AA432" s="11">
        <f t="shared" si="636"/>
        <v>13.561999999999998</v>
      </c>
      <c r="AB432" s="25"/>
      <c r="AC432" s="10" t="str">
        <f t="shared" si="637"/>
        <v>OutubroSEMANA 3Berinjela</v>
      </c>
      <c r="AD432" s="7">
        <f>SUMIF(NF!$A:$A,$AC432,NF!$I:$I)</f>
        <v>23.259999999999998</v>
      </c>
      <c r="AE432" s="6"/>
      <c r="AF432" s="6"/>
      <c r="AG432" s="6">
        <f>7.66+1</f>
        <v>8.66</v>
      </c>
      <c r="AH432" s="6">
        <v>15</v>
      </c>
      <c r="AI432" s="6"/>
      <c r="AJ432" s="6"/>
      <c r="AK432" s="6"/>
      <c r="AL432" s="7">
        <f t="shared" si="686"/>
        <v>23.66</v>
      </c>
      <c r="AM432" s="11">
        <f t="shared" si="639"/>
        <v>13.161999999999995</v>
      </c>
      <c r="AN432" s="25"/>
      <c r="AO432" s="10" t="str">
        <f t="shared" si="640"/>
        <v>OutubroSEMANA 4Berinjela</v>
      </c>
      <c r="AP432" s="7">
        <f>SUMIF(NF!$A:$A,$AO432,NF!$I:$I)</f>
        <v>35.619999999999997</v>
      </c>
      <c r="AQ432" s="6">
        <f>7+2.12</f>
        <v>9.120000000000001</v>
      </c>
      <c r="AR432" s="6"/>
      <c r="AS432" s="6"/>
      <c r="AT432" s="6"/>
      <c r="AU432" s="6">
        <f>5.48+1</f>
        <v>6.48</v>
      </c>
      <c r="AV432" s="6"/>
      <c r="AW432" s="6">
        <f>6.14+2.1+2.2</f>
        <v>10.440000000000001</v>
      </c>
      <c r="AX432" s="7">
        <f t="shared" si="687"/>
        <v>26.040000000000003</v>
      </c>
      <c r="AY432" s="11">
        <f t="shared" si="642"/>
        <v>22.741999999999994</v>
      </c>
      <c r="AZ432" s="25"/>
      <c r="BA432" s="10" t="str">
        <f t="shared" si="643"/>
        <v>OutubroSEMANA 5Berinjela</v>
      </c>
      <c r="BB432" s="7">
        <f>SUMIF(NF!$A:$A,$BA432,NF!$I:$I)</f>
        <v>10.84</v>
      </c>
      <c r="BC432" s="6">
        <f>4.12+2.028+1</f>
        <v>7.1479999999999997</v>
      </c>
      <c r="BD432" s="6">
        <f>4.01+1</f>
        <v>5.01</v>
      </c>
      <c r="BE432" s="6">
        <f>5.4+1</f>
        <v>6.4</v>
      </c>
      <c r="BF432" s="74"/>
      <c r="BG432" s="74"/>
      <c r="BH432" s="74"/>
      <c r="BI432" s="74"/>
      <c r="BJ432" s="74"/>
      <c r="BK432" s="7">
        <f t="shared" si="688"/>
        <v>18.558</v>
      </c>
      <c r="BL432" s="8">
        <f t="shared" si="645"/>
        <v>15.023999999999994</v>
      </c>
      <c r="BM432" s="51" t="str">
        <f>IFERROR(VLOOKUP(A432,NF!$M:$O,3,0),"")</f>
        <v>Hortifruti</v>
      </c>
      <c r="BN432" s="7">
        <f t="shared" si="646"/>
        <v>138.89600000000002</v>
      </c>
      <c r="BO432" s="8">
        <f t="array" ref="BO432">IFERROR(LARGE(IF(NF!$G$2:$G$3137='Mês atual'!A432,NF!$J$2:$J$3137),1),0)*BN432</f>
        <v>662.72445328031813</v>
      </c>
      <c r="BP432" s="50"/>
      <c r="BR432" s="147">
        <f t="array" ref="BR432">IFERROR(LARGE(IF(NF!$G$2:$G$3137='Mês atual'!A432,NF!$J$2:$J$3137),1),0)</f>
        <v>4.7713717693836974</v>
      </c>
      <c r="BS432" s="143" t="str">
        <f>VLOOKUP(A432,NF!M:O,3,0)</f>
        <v>Hortifruti</v>
      </c>
    </row>
    <row r="433" spans="1:71" x14ac:dyDescent="0.25">
      <c r="A433" s="108" t="s">
        <v>179</v>
      </c>
      <c r="B433" s="12"/>
      <c r="C433" s="9"/>
      <c r="D433" s="25"/>
      <c r="E433" s="10" t="str">
        <f t="shared" si="631"/>
        <v>OutubroSEMANA 1Berinjela Orgânica</v>
      </c>
      <c r="F433" s="7">
        <f>SUMIF(NF!$A:$A,$E433,NF!$I:$I)</f>
        <v>0</v>
      </c>
      <c r="G433" s="6"/>
      <c r="H433" s="6"/>
      <c r="I433" s="6"/>
      <c r="J433" s="6"/>
      <c r="K433" s="6"/>
      <c r="L433" s="6"/>
      <c r="M433" s="6"/>
      <c r="N433" s="7">
        <f t="shared" si="684"/>
        <v>0</v>
      </c>
      <c r="O433" s="11">
        <f t="shared" si="633"/>
        <v>0</v>
      </c>
      <c r="P433" s="25"/>
      <c r="Q433" s="10" t="str">
        <f t="shared" si="634"/>
        <v>OutubroSEMANA 2Berinjela Orgânica</v>
      </c>
      <c r="R433" s="7">
        <f>SUMIF(NF!$A:$A,$Q433,NF!$I:$I)</f>
        <v>0</v>
      </c>
      <c r="S433" s="6"/>
      <c r="T433" s="6"/>
      <c r="U433" s="6"/>
      <c r="V433" s="6"/>
      <c r="W433" s="6"/>
      <c r="X433" s="6"/>
      <c r="Y433" s="6"/>
      <c r="Z433" s="7">
        <f t="shared" si="685"/>
        <v>0</v>
      </c>
      <c r="AA433" s="11">
        <f t="shared" si="636"/>
        <v>0</v>
      </c>
      <c r="AB433" s="25"/>
      <c r="AC433" s="10" t="str">
        <f t="shared" si="637"/>
        <v>OutubroSEMANA 3Berinjela Orgânica</v>
      </c>
      <c r="AD433" s="7">
        <f>SUMIF(NF!$A:$A,$AC433,NF!$I:$I)</f>
        <v>0</v>
      </c>
      <c r="AE433" s="6"/>
      <c r="AF433" s="6"/>
      <c r="AG433" s="6"/>
      <c r="AH433" s="6"/>
      <c r="AI433" s="6"/>
      <c r="AJ433" s="6"/>
      <c r="AK433" s="6"/>
      <c r="AL433" s="7">
        <f t="shared" si="686"/>
        <v>0</v>
      </c>
      <c r="AM433" s="11">
        <f t="shared" si="639"/>
        <v>0</v>
      </c>
      <c r="AN433" s="25"/>
      <c r="AO433" s="10" t="str">
        <f t="shared" si="640"/>
        <v>OutubroSEMANA 4Berinjela Orgânica</v>
      </c>
      <c r="AP433" s="7">
        <f>SUMIF(NF!$A:$A,$AO433,NF!$I:$I)</f>
        <v>0</v>
      </c>
      <c r="AQ433" s="6"/>
      <c r="AR433" s="6"/>
      <c r="AS433" s="6"/>
      <c r="AT433" s="6"/>
      <c r="AU433" s="6"/>
      <c r="AV433" s="6"/>
      <c r="AW433" s="6"/>
      <c r="AX433" s="7">
        <f t="shared" si="687"/>
        <v>0</v>
      </c>
      <c r="AY433" s="11">
        <f t="shared" si="642"/>
        <v>0</v>
      </c>
      <c r="AZ433" s="25"/>
      <c r="BA433" s="10" t="str">
        <f t="shared" si="643"/>
        <v>OutubroSEMANA 5Berinjela Orgânica</v>
      </c>
      <c r="BB433" s="7">
        <f>SUMIF(NF!$A:$A,$BA433,NF!$I:$I)</f>
        <v>0</v>
      </c>
      <c r="BC433" s="6"/>
      <c r="BD433" s="6"/>
      <c r="BE433" s="6"/>
      <c r="BF433" s="74"/>
      <c r="BG433" s="74"/>
      <c r="BH433" s="74"/>
      <c r="BI433" s="74"/>
      <c r="BJ433" s="74"/>
      <c r="BK433" s="7">
        <f t="shared" si="688"/>
        <v>0</v>
      </c>
      <c r="BL433" s="8">
        <f t="shared" si="645"/>
        <v>0</v>
      </c>
      <c r="BM433" s="51" t="str">
        <f>IFERROR(VLOOKUP(A433,NF!$M:$O,3,0),"")</f>
        <v>Hortifruti</v>
      </c>
      <c r="BN433" s="7">
        <f t="shared" si="646"/>
        <v>0</v>
      </c>
      <c r="BO433" s="8">
        <f t="array" ref="BO433">IFERROR(LARGE(IF(NF!$G$2:$G$3137='Mês atual'!A433,NF!$J$2:$J$3137),1),0)*BN433</f>
        <v>0</v>
      </c>
      <c r="BP433" s="50"/>
      <c r="BR433" s="147">
        <f t="array" ref="BR433">IFERROR(LARGE(IF(NF!$G$2:$G$3137='Mês atual'!A433,NF!$J$2:$J$3137),1),0)</f>
        <v>0</v>
      </c>
      <c r="BS433" s="143" t="str">
        <f>VLOOKUP(A433,NF!M:O,3,0)</f>
        <v>Hortifruti</v>
      </c>
    </row>
    <row r="434" spans="1:71" x14ac:dyDescent="0.25">
      <c r="A434" s="108" t="s">
        <v>180</v>
      </c>
      <c r="B434" s="12"/>
      <c r="C434" s="9">
        <v>3.32</v>
      </c>
      <c r="D434" s="25"/>
      <c r="E434" s="10" t="str">
        <f t="shared" si="631"/>
        <v>OutubroSEMANA 1Bertalha</v>
      </c>
      <c r="F434" s="7">
        <f>SUMIF(NF!$A:$A,$E434,NF!$I:$I)</f>
        <v>0</v>
      </c>
      <c r="G434" s="6">
        <v>3.32</v>
      </c>
      <c r="H434" s="6"/>
      <c r="I434" s="6"/>
      <c r="J434" s="6"/>
      <c r="K434" s="6"/>
      <c r="L434" s="6"/>
      <c r="M434" s="6"/>
      <c r="N434" s="7">
        <f t="shared" si="684"/>
        <v>3.32</v>
      </c>
      <c r="O434" s="11">
        <f t="shared" si="633"/>
        <v>0</v>
      </c>
      <c r="P434" s="25"/>
      <c r="Q434" s="10" t="str">
        <f t="shared" si="634"/>
        <v>OutubroSEMANA 2Bertalha</v>
      </c>
      <c r="R434" s="7">
        <f>SUMIF(NF!$A:$A,$Q434,NF!$I:$I)</f>
        <v>0</v>
      </c>
      <c r="S434" s="6"/>
      <c r="T434" s="6"/>
      <c r="U434" s="6"/>
      <c r="V434" s="6"/>
      <c r="W434" s="6"/>
      <c r="X434" s="6"/>
      <c r="Y434" s="6"/>
      <c r="Z434" s="7">
        <f t="shared" si="685"/>
        <v>0</v>
      </c>
      <c r="AA434" s="11">
        <f t="shared" si="636"/>
        <v>0</v>
      </c>
      <c r="AB434" s="25"/>
      <c r="AC434" s="10" t="str">
        <f t="shared" si="637"/>
        <v>OutubroSEMANA 3Bertalha</v>
      </c>
      <c r="AD434" s="7">
        <f>SUMIF(NF!$A:$A,$AC434,NF!$I:$I)</f>
        <v>5.72</v>
      </c>
      <c r="AE434" s="6"/>
      <c r="AF434" s="6"/>
      <c r="AG434" s="6"/>
      <c r="AH434" s="6"/>
      <c r="AI434" s="6"/>
      <c r="AJ434" s="6"/>
      <c r="AK434" s="6">
        <v>5.72</v>
      </c>
      <c r="AL434" s="7">
        <f t="shared" si="686"/>
        <v>5.72</v>
      </c>
      <c r="AM434" s="11">
        <f t="shared" si="639"/>
        <v>0</v>
      </c>
      <c r="AN434" s="25"/>
      <c r="AO434" s="10" t="str">
        <f t="shared" si="640"/>
        <v>OutubroSEMANA 4Bertalha</v>
      </c>
      <c r="AP434" s="7">
        <f>SUMIF(NF!$A:$A,$AO434,NF!$I:$I)</f>
        <v>0</v>
      </c>
      <c r="AQ434" s="6"/>
      <c r="AR434" s="6"/>
      <c r="AS434" s="6"/>
      <c r="AT434" s="6"/>
      <c r="AU434" s="6"/>
      <c r="AV434" s="6"/>
      <c r="AW434" s="6"/>
      <c r="AX434" s="7">
        <f t="shared" si="687"/>
        <v>0</v>
      </c>
      <c r="AY434" s="11">
        <f t="shared" si="642"/>
        <v>0</v>
      </c>
      <c r="AZ434" s="25"/>
      <c r="BA434" s="10" t="str">
        <f t="shared" si="643"/>
        <v>OutubroSEMANA 5Bertalha</v>
      </c>
      <c r="BB434" s="7">
        <f>SUMIF(NF!$A:$A,$BA434,NF!$I:$I)</f>
        <v>0</v>
      </c>
      <c r="BC434" s="6"/>
      <c r="BD434" s="6"/>
      <c r="BE434" s="6"/>
      <c r="BF434" s="74"/>
      <c r="BG434" s="74"/>
      <c r="BH434" s="74"/>
      <c r="BI434" s="74"/>
      <c r="BJ434" s="74"/>
      <c r="BK434" s="7">
        <f t="shared" si="688"/>
        <v>0</v>
      </c>
      <c r="BL434" s="8">
        <f t="shared" si="645"/>
        <v>0</v>
      </c>
      <c r="BM434" s="51" t="str">
        <f>IFERROR(VLOOKUP(A434,NF!$M:$O,3,0),"")</f>
        <v>Hortifruti</v>
      </c>
      <c r="BN434" s="7">
        <f t="shared" si="646"/>
        <v>9.0399999999999991</v>
      </c>
      <c r="BO434" s="8">
        <f t="array" ref="BO434">IFERROR(LARGE(IF(NF!$G$2:$G$3137='Mês atual'!A434,NF!$J$2:$J$3137),1),0)*BN434</f>
        <v>33.9</v>
      </c>
      <c r="BP434" s="50"/>
      <c r="BR434" s="147">
        <f t="array" ref="BR434">IFERROR(LARGE(IF(NF!$G$2:$G$3137='Mês atual'!A434,NF!$J$2:$J$3137),1),0)</f>
        <v>3.75</v>
      </c>
      <c r="BS434" s="143" t="str">
        <f>VLOOKUP(A434,NF!M:O,3,0)</f>
        <v>Hortifruti</v>
      </c>
    </row>
    <row r="435" spans="1:71" x14ac:dyDescent="0.25">
      <c r="A435" s="108" t="s">
        <v>181</v>
      </c>
      <c r="B435" s="12"/>
      <c r="C435" s="9">
        <v>8</v>
      </c>
      <c r="D435" s="25"/>
      <c r="E435" s="10" t="str">
        <f t="shared" si="631"/>
        <v>OutubroSEMANA 1Beterraba</v>
      </c>
      <c r="F435" s="7">
        <f>SUMIF(NF!$A:$A,$E435,NF!$I:$I)</f>
        <v>4</v>
      </c>
      <c r="G435" s="6"/>
      <c r="H435" s="6">
        <v>8</v>
      </c>
      <c r="I435" s="6"/>
      <c r="J435" s="6"/>
      <c r="K435" s="6"/>
      <c r="L435" s="6"/>
      <c r="M435" s="6"/>
      <c r="N435" s="7">
        <f t="shared" si="684"/>
        <v>8</v>
      </c>
      <c r="O435" s="11">
        <f t="shared" si="633"/>
        <v>4</v>
      </c>
      <c r="P435" s="25"/>
      <c r="Q435" s="10" t="str">
        <f t="shared" si="634"/>
        <v>OutubroSEMANA 2Beterraba</v>
      </c>
      <c r="R435" s="7">
        <f>SUMIF(NF!$A:$A,$Q435,NF!$I:$I)</f>
        <v>16</v>
      </c>
      <c r="S435" s="6">
        <v>4</v>
      </c>
      <c r="T435" s="6"/>
      <c r="U435" s="6"/>
      <c r="V435" s="6"/>
      <c r="W435" s="6">
        <v>4</v>
      </c>
      <c r="X435" s="6"/>
      <c r="Y435" s="6"/>
      <c r="Z435" s="7">
        <f t="shared" si="685"/>
        <v>8</v>
      </c>
      <c r="AA435" s="11">
        <f t="shared" si="636"/>
        <v>12</v>
      </c>
      <c r="AB435" s="25"/>
      <c r="AC435" s="10" t="str">
        <f t="shared" si="637"/>
        <v>OutubroSEMANA 3Beterraba</v>
      </c>
      <c r="AD435" s="7">
        <f>SUMIF(NF!$A:$A,$AC435,NF!$I:$I)</f>
        <v>0</v>
      </c>
      <c r="AE435" s="6">
        <v>4</v>
      </c>
      <c r="AF435" s="6">
        <v>8</v>
      </c>
      <c r="AG435" s="6"/>
      <c r="AH435" s="6"/>
      <c r="AI435" s="6"/>
      <c r="AJ435" s="6">
        <v>1.522</v>
      </c>
      <c r="AK435" s="6"/>
      <c r="AL435" s="7">
        <f t="shared" si="686"/>
        <v>13.522</v>
      </c>
      <c r="AM435" s="11">
        <f t="shared" si="639"/>
        <v>-1.5220000000000002</v>
      </c>
      <c r="AN435" s="25"/>
      <c r="AO435" s="10" t="str">
        <f t="shared" si="640"/>
        <v>OutubroSEMANA 4Beterraba</v>
      </c>
      <c r="AP435" s="7">
        <f>SUMIF(NF!$A:$A,$AO435,NF!$I:$I)</f>
        <v>11</v>
      </c>
      <c r="AQ435" s="6"/>
      <c r="AR435" s="6"/>
      <c r="AS435" s="6"/>
      <c r="AT435" s="6"/>
      <c r="AU435" s="6"/>
      <c r="AV435" s="6"/>
      <c r="AW435" s="6">
        <f>4</f>
        <v>4</v>
      </c>
      <c r="AX435" s="7">
        <f t="shared" si="687"/>
        <v>4</v>
      </c>
      <c r="AY435" s="11">
        <f t="shared" si="642"/>
        <v>5.4779999999999998</v>
      </c>
      <c r="AZ435" s="25"/>
      <c r="BA435" s="10" t="str">
        <f t="shared" si="643"/>
        <v>OutubroSEMANA 5Beterraba</v>
      </c>
      <c r="BB435" s="7">
        <f>SUMIF(NF!$A:$A,$BA435,NF!$I:$I)</f>
        <v>3</v>
      </c>
      <c r="BC435" s="6"/>
      <c r="BD435" s="6">
        <v>5.4749999999999996</v>
      </c>
      <c r="BE435" s="6">
        <v>3</v>
      </c>
      <c r="BF435" s="74"/>
      <c r="BG435" s="74"/>
      <c r="BH435" s="74"/>
      <c r="BI435" s="74"/>
      <c r="BJ435" s="74"/>
      <c r="BK435" s="7">
        <f t="shared" si="688"/>
        <v>8.4749999999999996</v>
      </c>
      <c r="BL435" s="8">
        <f t="shared" si="645"/>
        <v>3.0000000000001137E-3</v>
      </c>
      <c r="BM435" s="51" t="str">
        <f>IFERROR(VLOOKUP(A435,NF!$M:$O,3,0),"")</f>
        <v>Hortifruti</v>
      </c>
      <c r="BN435" s="7">
        <f t="shared" si="646"/>
        <v>41.997</v>
      </c>
      <c r="BO435" s="8">
        <f t="array" ref="BO435">IFERROR(LARGE(IF(NF!$G$2:$G$3137='Mês atual'!A435,NF!$J$2:$J$3137),1),0)*BN435</f>
        <v>75.5946</v>
      </c>
      <c r="BP435" s="50"/>
      <c r="BR435" s="147">
        <f t="array" ref="BR435">IFERROR(LARGE(IF(NF!$G$2:$G$3137='Mês atual'!A435,NF!$J$2:$J$3137),1),0)</f>
        <v>1.8</v>
      </c>
      <c r="BS435" s="143" t="str">
        <f>VLOOKUP(A435,NF!M:O,3,0)</f>
        <v>Hortifruti</v>
      </c>
    </row>
    <row r="436" spans="1:71" x14ac:dyDescent="0.25">
      <c r="A436" s="108" t="s">
        <v>182</v>
      </c>
      <c r="B436" s="12"/>
      <c r="C436" s="9">
        <v>6.74</v>
      </c>
      <c r="D436" s="25"/>
      <c r="E436" s="10" t="str">
        <f t="shared" si="631"/>
        <v>OutubroSEMANA 1Beterraba Orgânica</v>
      </c>
      <c r="F436" s="7">
        <f>SUMIF(NF!$A:$A,$E436,NF!$I:$I)</f>
        <v>9.6050000000000004</v>
      </c>
      <c r="G436" s="6">
        <v>1</v>
      </c>
      <c r="H436" s="6">
        <v>2.1440000000000001</v>
      </c>
      <c r="I436" s="6"/>
      <c r="J436" s="6">
        <v>1.02</v>
      </c>
      <c r="K436" s="6">
        <v>1.56</v>
      </c>
      <c r="L436" s="6">
        <v>1.532</v>
      </c>
      <c r="M436" s="6">
        <v>2.0139999999999998</v>
      </c>
      <c r="N436" s="7">
        <f t="shared" si="684"/>
        <v>9.27</v>
      </c>
      <c r="O436" s="11">
        <f t="shared" si="633"/>
        <v>7.0749999999999993</v>
      </c>
      <c r="P436" s="25"/>
      <c r="Q436" s="10" t="str">
        <f t="shared" si="634"/>
        <v>OutubroSEMANA 2Beterraba Orgânica</v>
      </c>
      <c r="R436" s="7">
        <f>SUMIF(NF!$A:$A,$Q436,NF!$I:$I)</f>
        <v>9.1499999999999986</v>
      </c>
      <c r="S436" s="6"/>
      <c r="T436" s="6">
        <v>2</v>
      </c>
      <c r="U436" s="6">
        <v>0.82</v>
      </c>
      <c r="V436" s="6">
        <v>1.0620000000000001</v>
      </c>
      <c r="W436" s="6">
        <v>1</v>
      </c>
      <c r="X436" s="6">
        <v>1.548</v>
      </c>
      <c r="Y436" s="6"/>
      <c r="Z436" s="7">
        <f t="shared" si="685"/>
        <v>6.43</v>
      </c>
      <c r="AA436" s="11">
        <f t="shared" si="636"/>
        <v>9.7949999999999982</v>
      </c>
      <c r="AB436" s="25"/>
      <c r="AC436" s="10" t="str">
        <f t="shared" si="637"/>
        <v>OutubroSEMANA 3Beterraba Orgânica</v>
      </c>
      <c r="AD436" s="7">
        <f>SUMIF(NF!$A:$A,$AC436,NF!$I:$I)</f>
        <v>10.3</v>
      </c>
      <c r="AE436" s="6">
        <v>1.5</v>
      </c>
      <c r="AF436" s="6">
        <v>1.54</v>
      </c>
      <c r="AG436" s="6"/>
      <c r="AH436" s="6">
        <v>2.02</v>
      </c>
      <c r="AI436" s="6">
        <v>1.56</v>
      </c>
      <c r="AJ436" s="6"/>
      <c r="AK436" s="6">
        <v>1.1200000000000001</v>
      </c>
      <c r="AL436" s="7">
        <f t="shared" si="686"/>
        <v>7.7400000000000011</v>
      </c>
      <c r="AM436" s="11">
        <f t="shared" si="639"/>
        <v>12.354999999999997</v>
      </c>
      <c r="AN436" s="25"/>
      <c r="AO436" s="10" t="str">
        <f t="shared" si="640"/>
        <v>OutubroSEMANA 4Beterraba Orgânica</v>
      </c>
      <c r="AP436" s="7">
        <f>SUMIF(NF!$A:$A,$AO436,NF!$I:$I)</f>
        <v>6.15</v>
      </c>
      <c r="AQ436" s="6"/>
      <c r="AR436" s="6">
        <v>1.5</v>
      </c>
      <c r="AS436" s="6">
        <v>0.81</v>
      </c>
      <c r="AT436" s="6">
        <v>2.2599999999999998</v>
      </c>
      <c r="AU436" s="6">
        <v>0.64</v>
      </c>
      <c r="AV436" s="6">
        <v>1.556</v>
      </c>
      <c r="AW436" s="6">
        <f>1.51+0.396+1</f>
        <v>2.9060000000000001</v>
      </c>
      <c r="AX436" s="7">
        <f t="shared" si="687"/>
        <v>9.6720000000000006</v>
      </c>
      <c r="AY436" s="11">
        <f t="shared" si="642"/>
        <v>8.8329999999999949</v>
      </c>
      <c r="AZ436" s="25"/>
      <c r="BA436" s="10" t="str">
        <f t="shared" si="643"/>
        <v>OutubroSEMANA 5Beterraba Orgânica</v>
      </c>
      <c r="BB436" s="7">
        <f>SUMIF(NF!$A:$A,$BA436,NF!$I:$I)</f>
        <v>2</v>
      </c>
      <c r="BC436" s="6">
        <f>1.014+1</f>
        <v>2.0140000000000002</v>
      </c>
      <c r="BD436" s="6">
        <v>1.56</v>
      </c>
      <c r="BE436" s="6">
        <v>1.08</v>
      </c>
      <c r="BF436" s="74"/>
      <c r="BG436" s="74"/>
      <c r="BH436" s="74"/>
      <c r="BI436" s="74"/>
      <c r="BJ436" s="74"/>
      <c r="BK436" s="7">
        <f t="shared" si="688"/>
        <v>4.6539999999999999</v>
      </c>
      <c r="BL436" s="8">
        <f t="shared" si="645"/>
        <v>6.1789999999999949</v>
      </c>
      <c r="BM436" s="51" t="str">
        <f>IFERROR(VLOOKUP(A436,NF!$M:$O,3,0),"")</f>
        <v>Hortifruti</v>
      </c>
      <c r="BN436" s="7">
        <f t="shared" si="646"/>
        <v>37.766000000000005</v>
      </c>
      <c r="BO436" s="8">
        <f t="array" ref="BO436">IFERROR(LARGE(IF(NF!$G$2:$G$3137='Mês atual'!A436,NF!$J$2:$J$3137),1),0)*BN436</f>
        <v>290.79820000000007</v>
      </c>
      <c r="BP436" s="50"/>
      <c r="BR436" s="147">
        <f t="array" ref="BR436">IFERROR(LARGE(IF(NF!$G$2:$G$3137='Mês atual'!A436,NF!$J$2:$J$3137),1),0)</f>
        <v>7.7</v>
      </c>
      <c r="BS436" s="143" t="str">
        <f>VLOOKUP(A436,NF!M:O,3,0)</f>
        <v>Hortifruti</v>
      </c>
    </row>
    <row r="437" spans="1:71" x14ac:dyDescent="0.25">
      <c r="A437" s="108" t="s">
        <v>194</v>
      </c>
      <c r="B437" s="12"/>
      <c r="C437" s="9">
        <v>5</v>
      </c>
      <c r="D437" s="25"/>
      <c r="E437" s="10" t="str">
        <f t="shared" si="631"/>
        <v>OutubroSEMANA 1Brócolis Americano</v>
      </c>
      <c r="F437" s="7">
        <f>SUMIF(NF!$A:$A,$E437,NF!$I:$I)</f>
        <v>25</v>
      </c>
      <c r="G437" s="6">
        <v>5</v>
      </c>
      <c r="H437" s="6"/>
      <c r="I437" s="6">
        <v>8</v>
      </c>
      <c r="J437" s="6"/>
      <c r="K437" s="6">
        <v>8</v>
      </c>
      <c r="L437" s="6"/>
      <c r="M437" s="6"/>
      <c r="N437" s="7">
        <f t="shared" si="684"/>
        <v>21</v>
      </c>
      <c r="O437" s="11">
        <f t="shared" si="633"/>
        <v>9</v>
      </c>
      <c r="P437" s="25"/>
      <c r="Q437" s="10" t="str">
        <f t="shared" si="634"/>
        <v>OutubroSEMANA 2Brócolis Americano</v>
      </c>
      <c r="R437" s="7">
        <f>SUMIF(NF!$A:$A,$Q437,NF!$I:$I)</f>
        <v>19</v>
      </c>
      <c r="S437" s="6">
        <v>4.22</v>
      </c>
      <c r="T437" s="6">
        <v>5</v>
      </c>
      <c r="U437" s="6">
        <v>2.78</v>
      </c>
      <c r="V437" s="6"/>
      <c r="W437" s="6">
        <v>10</v>
      </c>
      <c r="X437" s="6">
        <v>3</v>
      </c>
      <c r="Y437" s="6">
        <v>3</v>
      </c>
      <c r="Z437" s="7">
        <f t="shared" si="685"/>
        <v>28</v>
      </c>
      <c r="AA437" s="11">
        <f t="shared" si="636"/>
        <v>0</v>
      </c>
      <c r="AB437" s="25"/>
      <c r="AC437" s="10" t="str">
        <f t="shared" si="637"/>
        <v>OutubroSEMANA 3Brócolis Americano</v>
      </c>
      <c r="AD437" s="7">
        <f>SUMIF(NF!$A:$A,$AC437,NF!$I:$I)</f>
        <v>19</v>
      </c>
      <c r="AE437" s="6"/>
      <c r="AF437" s="6"/>
      <c r="AG437" s="6"/>
      <c r="AH437" s="6">
        <v>8</v>
      </c>
      <c r="AI437" s="6"/>
      <c r="AJ437" s="6"/>
      <c r="AK437" s="6"/>
      <c r="AL437" s="7">
        <f t="shared" si="686"/>
        <v>8</v>
      </c>
      <c r="AM437" s="11">
        <f t="shared" si="639"/>
        <v>11</v>
      </c>
      <c r="AN437" s="25"/>
      <c r="AO437" s="10" t="str">
        <f t="shared" si="640"/>
        <v>OutubroSEMANA 4Brócolis Americano</v>
      </c>
      <c r="AP437" s="7">
        <f>SUMIF(NF!$A:$A,$AO437,NF!$I:$I)</f>
        <v>17</v>
      </c>
      <c r="AQ437" s="6">
        <v>11</v>
      </c>
      <c r="AR437" s="6">
        <v>4</v>
      </c>
      <c r="AS437" s="6"/>
      <c r="AT437" s="6">
        <v>6</v>
      </c>
      <c r="AU437" s="6">
        <v>4</v>
      </c>
      <c r="AV437" s="6"/>
      <c r="AW437" s="6"/>
      <c r="AX437" s="7">
        <f t="shared" si="687"/>
        <v>25</v>
      </c>
      <c r="AY437" s="11">
        <f t="shared" si="642"/>
        <v>3</v>
      </c>
      <c r="AZ437" s="25"/>
      <c r="BA437" s="10" t="str">
        <f t="shared" si="643"/>
        <v>OutubroSEMANA 5Brócolis Americano</v>
      </c>
      <c r="BB437" s="7">
        <f>SUMIF(NF!$A:$A,$BA437,NF!$I:$I)</f>
        <v>7</v>
      </c>
      <c r="BC437" s="6">
        <v>3</v>
      </c>
      <c r="BD437" s="6"/>
      <c r="BE437" s="6"/>
      <c r="BF437" s="74"/>
      <c r="BG437" s="74"/>
      <c r="BH437" s="74"/>
      <c r="BI437" s="74"/>
      <c r="BJ437" s="74"/>
      <c r="BK437" s="7">
        <f t="shared" si="688"/>
        <v>3</v>
      </c>
      <c r="BL437" s="8">
        <f t="shared" si="645"/>
        <v>7</v>
      </c>
      <c r="BM437" s="51" t="str">
        <f>IFERROR(VLOOKUP(A437,NF!$M:$O,3,0),"")</f>
        <v>Hortifruti</v>
      </c>
      <c r="BN437" s="7">
        <f t="shared" si="646"/>
        <v>85</v>
      </c>
      <c r="BO437" s="8">
        <f t="array" ref="BO437">IFERROR(LARGE(IF(NF!$G$2:$G$3137='Mês atual'!A437,NF!$J$2:$J$3137),1),0)*BN437</f>
        <v>595</v>
      </c>
      <c r="BP437" s="50"/>
      <c r="BR437" s="147">
        <f t="array" ref="BR437">IFERROR(LARGE(IF(NF!$G$2:$G$3137='Mês atual'!A437,NF!$J$2:$J$3137),1),0)</f>
        <v>7</v>
      </c>
      <c r="BS437" s="143" t="str">
        <f>VLOOKUP(A437,NF!M:O,3,0)</f>
        <v>Hortifruti</v>
      </c>
    </row>
    <row r="438" spans="1:71" x14ac:dyDescent="0.25">
      <c r="A438" s="108" t="s">
        <v>891</v>
      </c>
      <c r="B438" s="12"/>
      <c r="C438" s="9">
        <v>6</v>
      </c>
      <c r="D438" s="25"/>
      <c r="E438" s="10" t="str">
        <f t="shared" si="631"/>
        <v>OutubroSEMANA 1Brócolis Nacional</v>
      </c>
      <c r="F438" s="7">
        <f>SUMIF(NF!$A:$A,$E438,NF!$I:$I)</f>
        <v>3</v>
      </c>
      <c r="G438" s="6"/>
      <c r="H438" s="6">
        <v>6</v>
      </c>
      <c r="I438" s="6"/>
      <c r="J438" s="6"/>
      <c r="K438" s="6"/>
      <c r="L438" s="6">
        <v>3</v>
      </c>
      <c r="M438" s="6"/>
      <c r="N438" s="7">
        <f t="shared" si="684"/>
        <v>9</v>
      </c>
      <c r="O438" s="11">
        <f t="shared" si="633"/>
        <v>0</v>
      </c>
      <c r="P438" s="25"/>
      <c r="Q438" s="10" t="str">
        <f t="shared" si="634"/>
        <v>OutubroSEMANA 2Brócolis Nacional</v>
      </c>
      <c r="R438" s="7">
        <f>SUMIF(NF!$A:$A,$Q438,NF!$I:$I)</f>
        <v>0</v>
      </c>
      <c r="S438" s="6"/>
      <c r="T438" s="6"/>
      <c r="U438" s="6"/>
      <c r="V438" s="6"/>
      <c r="W438" s="6"/>
      <c r="X438" s="6"/>
      <c r="Y438" s="6"/>
      <c r="Z438" s="7">
        <f t="shared" si="685"/>
        <v>0</v>
      </c>
      <c r="AA438" s="11">
        <f t="shared" si="636"/>
        <v>0</v>
      </c>
      <c r="AB438" s="25"/>
      <c r="AC438" s="10" t="str">
        <f t="shared" si="637"/>
        <v>OutubroSEMANA 3Brócolis Nacional</v>
      </c>
      <c r="AD438" s="7">
        <f>SUMIF(NF!$A:$A,$AC438,NF!$I:$I)</f>
        <v>0</v>
      </c>
      <c r="AE438" s="6"/>
      <c r="AF438" s="6"/>
      <c r="AG438" s="6"/>
      <c r="AH438" s="6"/>
      <c r="AI438" s="6"/>
      <c r="AJ438" s="6"/>
      <c r="AK438" s="6"/>
      <c r="AL438" s="7">
        <f t="shared" si="686"/>
        <v>0</v>
      </c>
      <c r="AM438" s="11">
        <f t="shared" si="639"/>
        <v>0</v>
      </c>
      <c r="AN438" s="25"/>
      <c r="AO438" s="10" t="str">
        <f t="shared" si="640"/>
        <v>OutubroSEMANA 4Brócolis Nacional</v>
      </c>
      <c r="AP438" s="7">
        <f>SUMIF(NF!$A:$A,$AO438,NF!$I:$I)</f>
        <v>4</v>
      </c>
      <c r="AQ438" s="6"/>
      <c r="AR438" s="6"/>
      <c r="AS438" s="6"/>
      <c r="AT438" s="6"/>
      <c r="AU438" s="6"/>
      <c r="AV438" s="6"/>
      <c r="AW438" s="6">
        <v>4</v>
      </c>
      <c r="AX438" s="7">
        <f t="shared" si="687"/>
        <v>4</v>
      </c>
      <c r="AY438" s="11">
        <f t="shared" si="642"/>
        <v>0</v>
      </c>
      <c r="AZ438" s="25"/>
      <c r="BA438" s="10" t="str">
        <f t="shared" si="643"/>
        <v>OutubroSEMANA 5Brócolis Nacional</v>
      </c>
      <c r="BB438" s="7">
        <f>SUMIF(NF!$A:$A,$BA438,NF!$I:$I)</f>
        <v>5</v>
      </c>
      <c r="BC438" s="6"/>
      <c r="BD438" s="6"/>
      <c r="BE438" s="6">
        <v>5</v>
      </c>
      <c r="BF438" s="74"/>
      <c r="BG438" s="74"/>
      <c r="BH438" s="74"/>
      <c r="BI438" s="74"/>
      <c r="BJ438" s="74"/>
      <c r="BK438" s="7">
        <f t="shared" si="688"/>
        <v>5</v>
      </c>
      <c r="BL438" s="8">
        <f t="shared" si="645"/>
        <v>0</v>
      </c>
      <c r="BM438" s="51" t="str">
        <f>IFERROR(VLOOKUP(A438,NF!$M:$O,3,0),"")</f>
        <v>Hortifruti</v>
      </c>
      <c r="BN438" s="7">
        <f t="shared" si="646"/>
        <v>18</v>
      </c>
      <c r="BO438" s="8">
        <f t="array" ref="BO438">IFERROR(LARGE(IF(NF!$G$2:$G$3137='Mês atual'!A438,NF!$J$2:$J$3137),1),0)*BN438</f>
        <v>63</v>
      </c>
      <c r="BP438" s="50"/>
      <c r="BR438" s="147">
        <f t="array" ref="BR438">IFERROR(LARGE(IF(NF!$G$2:$G$3137='Mês atual'!A438,NF!$J$2:$J$3137),1),0)</f>
        <v>3.5</v>
      </c>
      <c r="BS438" s="143" t="str">
        <f>VLOOKUP(A438,NF!M:O,3,0)</f>
        <v>Hortifruti</v>
      </c>
    </row>
    <row r="439" spans="1:71" x14ac:dyDescent="0.25">
      <c r="A439" s="108" t="s">
        <v>196</v>
      </c>
      <c r="B439" s="12"/>
      <c r="C439" s="9"/>
      <c r="D439" s="25"/>
      <c r="E439" s="10" t="str">
        <f t="shared" si="631"/>
        <v>OutubroSEMANA 1Brócolis Orgânico</v>
      </c>
      <c r="F439" s="7">
        <f>SUMIF(NF!$A:$A,$E439,NF!$I:$I)</f>
        <v>0</v>
      </c>
      <c r="G439" s="6"/>
      <c r="H439" s="6"/>
      <c r="I439" s="6"/>
      <c r="J439" s="6"/>
      <c r="K439" s="6"/>
      <c r="L439" s="6"/>
      <c r="M439" s="6"/>
      <c r="N439" s="7">
        <f t="shared" si="684"/>
        <v>0</v>
      </c>
      <c r="O439" s="11">
        <f t="shared" si="633"/>
        <v>0</v>
      </c>
      <c r="P439" s="25"/>
      <c r="Q439" s="10" t="str">
        <f t="shared" si="634"/>
        <v>OutubroSEMANA 2Brócolis Orgânico</v>
      </c>
      <c r="R439" s="7">
        <f>SUMIF(NF!$A:$A,$Q439,NF!$I:$I)</f>
        <v>0</v>
      </c>
      <c r="S439" s="6"/>
      <c r="T439" s="6"/>
      <c r="U439" s="6"/>
      <c r="V439" s="6"/>
      <c r="W439" s="6"/>
      <c r="X439" s="6"/>
      <c r="Y439" s="6"/>
      <c r="Z439" s="7">
        <f t="shared" si="685"/>
        <v>0</v>
      </c>
      <c r="AA439" s="11">
        <f t="shared" si="636"/>
        <v>0</v>
      </c>
      <c r="AB439" s="25"/>
      <c r="AC439" s="10" t="str">
        <f t="shared" si="637"/>
        <v>OutubroSEMANA 3Brócolis Orgânico</v>
      </c>
      <c r="AD439" s="7">
        <f>SUMIF(NF!$A:$A,$AC439,NF!$I:$I)</f>
        <v>0</v>
      </c>
      <c r="AE439" s="6"/>
      <c r="AF439" s="6"/>
      <c r="AG439" s="6"/>
      <c r="AH439" s="6"/>
      <c r="AI439" s="6"/>
      <c r="AJ439" s="6"/>
      <c r="AK439" s="6"/>
      <c r="AL439" s="7">
        <f t="shared" si="686"/>
        <v>0</v>
      </c>
      <c r="AM439" s="11">
        <f t="shared" si="639"/>
        <v>0</v>
      </c>
      <c r="AN439" s="25"/>
      <c r="AO439" s="10" t="str">
        <f t="shared" si="640"/>
        <v>OutubroSEMANA 4Brócolis Orgânico</v>
      </c>
      <c r="AP439" s="7">
        <f>SUMIF(NF!$A:$A,$AO439,NF!$I:$I)</f>
        <v>0</v>
      </c>
      <c r="AQ439" s="6"/>
      <c r="AR439" s="6"/>
      <c r="AS439" s="6"/>
      <c r="AT439" s="6"/>
      <c r="AU439" s="6"/>
      <c r="AV439" s="6"/>
      <c r="AW439" s="6"/>
      <c r="AX439" s="7">
        <f t="shared" si="687"/>
        <v>0</v>
      </c>
      <c r="AY439" s="11">
        <f t="shared" si="642"/>
        <v>0</v>
      </c>
      <c r="AZ439" s="25"/>
      <c r="BA439" s="10" t="str">
        <f t="shared" si="643"/>
        <v>OutubroSEMANA 5Brócolis Orgânico</v>
      </c>
      <c r="BB439" s="7">
        <f>SUMIF(NF!$A:$A,$BA439,NF!$I:$I)</f>
        <v>0</v>
      </c>
      <c r="BC439" s="6"/>
      <c r="BD439" s="6"/>
      <c r="BE439" s="6"/>
      <c r="BF439" s="74"/>
      <c r="BG439" s="74"/>
      <c r="BH439" s="74"/>
      <c r="BI439" s="74"/>
      <c r="BJ439" s="74"/>
      <c r="BK439" s="7">
        <f t="shared" si="688"/>
        <v>0</v>
      </c>
      <c r="BL439" s="8">
        <f t="shared" si="645"/>
        <v>0</v>
      </c>
      <c r="BM439" s="51" t="str">
        <f>IFERROR(VLOOKUP(A439,NF!$M:$O,3,0),"")</f>
        <v>Hortifruti</v>
      </c>
      <c r="BN439" s="7">
        <f t="shared" si="646"/>
        <v>0</v>
      </c>
      <c r="BO439" s="8">
        <f t="array" ref="BO439">IFERROR(LARGE(IF(NF!$G$2:$G$3137='Mês atual'!A439,NF!$J$2:$J$3137),1),0)*BN439</f>
        <v>0</v>
      </c>
      <c r="BP439" s="50"/>
      <c r="BR439" s="147">
        <f t="array" ref="BR439">IFERROR(LARGE(IF(NF!$G$2:$G$3137='Mês atual'!A439,NF!$J$2:$J$3137),1),0)</f>
        <v>0</v>
      </c>
      <c r="BS439" s="143" t="str">
        <f>VLOOKUP(A439,NF!M:O,3,0)</f>
        <v>Hortifruti</v>
      </c>
    </row>
    <row r="440" spans="1:71" x14ac:dyDescent="0.25">
      <c r="A440" s="108" t="s">
        <v>197</v>
      </c>
      <c r="B440" s="12"/>
      <c r="C440" s="9"/>
      <c r="D440" s="25"/>
      <c r="E440" s="10" t="str">
        <f t="shared" si="631"/>
        <v>OutubroSEMANA 1Broto de Feijão</v>
      </c>
      <c r="F440" s="7">
        <f>SUMIF(NF!$A:$A,$E440,NF!$I:$I)</f>
        <v>4.5</v>
      </c>
      <c r="G440" s="6"/>
      <c r="H440" s="6"/>
      <c r="I440" s="6"/>
      <c r="J440" s="6"/>
      <c r="K440" s="6">
        <v>4.5</v>
      </c>
      <c r="L440" s="6"/>
      <c r="M440" s="6"/>
      <c r="N440" s="7">
        <f t="shared" si="684"/>
        <v>4.5</v>
      </c>
      <c r="O440" s="11">
        <f t="shared" si="633"/>
        <v>0</v>
      </c>
      <c r="P440" s="25"/>
      <c r="Q440" s="10" t="str">
        <f t="shared" si="634"/>
        <v>OutubroSEMANA 2Broto de Feijão</v>
      </c>
      <c r="R440" s="7">
        <f>SUMIF(NF!$A:$A,$Q440,NF!$I:$I)</f>
        <v>2</v>
      </c>
      <c r="S440" s="6"/>
      <c r="T440" s="6"/>
      <c r="U440" s="6"/>
      <c r="V440" s="6"/>
      <c r="W440" s="6">
        <v>1</v>
      </c>
      <c r="X440" s="6"/>
      <c r="Y440" s="6"/>
      <c r="Z440" s="7">
        <f t="shared" si="685"/>
        <v>1</v>
      </c>
      <c r="AA440" s="11">
        <f t="shared" si="636"/>
        <v>1</v>
      </c>
      <c r="AB440" s="25"/>
      <c r="AC440" s="10" t="str">
        <f t="shared" si="637"/>
        <v>OutubroSEMANA 3Broto de Feijão</v>
      </c>
      <c r="AD440" s="7">
        <f>SUMIF(NF!$A:$A,$AC440,NF!$I:$I)</f>
        <v>4</v>
      </c>
      <c r="AE440" s="6">
        <v>1</v>
      </c>
      <c r="AF440" s="6"/>
      <c r="AG440" s="6"/>
      <c r="AH440" s="6"/>
      <c r="AI440" s="6">
        <v>3</v>
      </c>
      <c r="AJ440" s="6"/>
      <c r="AK440" s="6"/>
      <c r="AL440" s="7">
        <f t="shared" si="686"/>
        <v>4</v>
      </c>
      <c r="AM440" s="11">
        <f t="shared" si="639"/>
        <v>1</v>
      </c>
      <c r="AN440" s="25"/>
      <c r="AO440" s="10" t="str">
        <f t="shared" si="640"/>
        <v>OutubroSEMANA 4Broto de Feijão</v>
      </c>
      <c r="AP440" s="7">
        <f>SUMIF(NF!$A:$A,$AO440,NF!$I:$I)</f>
        <v>0</v>
      </c>
      <c r="AQ440" s="6">
        <v>1</v>
      </c>
      <c r="AR440" s="6"/>
      <c r="AS440" s="6"/>
      <c r="AT440" s="6"/>
      <c r="AU440" s="6"/>
      <c r="AV440" s="6"/>
      <c r="AW440" s="6"/>
      <c r="AX440" s="7">
        <f t="shared" si="687"/>
        <v>1</v>
      </c>
      <c r="AY440" s="11">
        <f t="shared" si="642"/>
        <v>0</v>
      </c>
      <c r="AZ440" s="25"/>
      <c r="BA440" s="10" t="str">
        <f t="shared" si="643"/>
        <v>OutubroSEMANA 5Broto de Feijão</v>
      </c>
      <c r="BB440" s="7">
        <f>SUMIF(NF!$A:$A,$BA440,NF!$I:$I)</f>
        <v>0</v>
      </c>
      <c r="BC440" s="6"/>
      <c r="BD440" s="6"/>
      <c r="BE440" s="6"/>
      <c r="BF440" s="74"/>
      <c r="BG440" s="74"/>
      <c r="BH440" s="74"/>
      <c r="BI440" s="74"/>
      <c r="BJ440" s="74"/>
      <c r="BK440" s="7">
        <f t="shared" si="688"/>
        <v>0</v>
      </c>
      <c r="BL440" s="8">
        <f t="shared" si="645"/>
        <v>0</v>
      </c>
      <c r="BM440" s="51" t="str">
        <f>IFERROR(VLOOKUP(A440,NF!$M:$O,3,0),"")</f>
        <v>Hortifruti</v>
      </c>
      <c r="BN440" s="7">
        <f t="shared" si="646"/>
        <v>10.5</v>
      </c>
      <c r="BO440" s="8">
        <f t="array" ref="BO440">IFERROR(LARGE(IF(NF!$G$2:$G$3137='Mês atual'!A440,NF!$J$2:$J$3137),1),0)*BN440</f>
        <v>147</v>
      </c>
      <c r="BP440" s="50"/>
      <c r="BR440" s="147">
        <f t="array" ref="BR440">IFERROR(LARGE(IF(NF!$G$2:$G$3137='Mês atual'!A440,NF!$J$2:$J$3137),1),0)</f>
        <v>14</v>
      </c>
      <c r="BS440" s="143" t="str">
        <f>VLOOKUP(A440,NF!M:O,3,0)</f>
        <v>Hortifruti</v>
      </c>
    </row>
    <row r="441" spans="1:71" x14ac:dyDescent="0.25">
      <c r="A441" s="108" t="s">
        <v>962</v>
      </c>
      <c r="B441" s="12"/>
      <c r="C441" s="9"/>
      <c r="D441" s="25"/>
      <c r="E441" s="10" t="str">
        <f t="shared" si="631"/>
        <v>OutubroSEMANA 1Caju</v>
      </c>
      <c r="F441" s="7">
        <f>SUMIF(NF!$A:$A,$E441,NF!$I:$I)</f>
        <v>0</v>
      </c>
      <c r="G441" s="6"/>
      <c r="H441" s="6"/>
      <c r="I441" s="6"/>
      <c r="J441" s="6"/>
      <c r="K441" s="6"/>
      <c r="L441" s="6"/>
      <c r="M441" s="6"/>
      <c r="N441" s="7">
        <f t="shared" ref="N441" si="689">SUM(G441:M441)</f>
        <v>0</v>
      </c>
      <c r="O441" s="11">
        <f t="shared" si="633"/>
        <v>0</v>
      </c>
      <c r="P441" s="25"/>
      <c r="Q441" s="10" t="str">
        <f t="shared" si="634"/>
        <v>OutubroSEMANA 2Caju</v>
      </c>
      <c r="R441" s="7">
        <f>SUMIF(NF!$A:$A,$Q441,NF!$I:$I)</f>
        <v>0</v>
      </c>
      <c r="S441" s="6"/>
      <c r="T441" s="6"/>
      <c r="U441" s="6"/>
      <c r="V441" s="6"/>
      <c r="W441" s="6"/>
      <c r="X441" s="6"/>
      <c r="Y441" s="6"/>
      <c r="Z441" s="7">
        <f t="shared" ref="Z441" si="690">SUM(S441:Y441)</f>
        <v>0</v>
      </c>
      <c r="AA441" s="11">
        <f t="shared" si="636"/>
        <v>0</v>
      </c>
      <c r="AB441" s="25"/>
      <c r="AC441" s="10" t="str">
        <f t="shared" si="637"/>
        <v>OutubroSEMANA 3Caju</v>
      </c>
      <c r="AD441" s="7">
        <f>SUMIF(NF!$A:$A,$AC441,NF!$I:$I)</f>
        <v>0</v>
      </c>
      <c r="AE441" s="6"/>
      <c r="AF441" s="6"/>
      <c r="AG441" s="6"/>
      <c r="AH441" s="6"/>
      <c r="AI441" s="6"/>
      <c r="AJ441" s="6"/>
      <c r="AK441" s="6"/>
      <c r="AL441" s="7">
        <f t="shared" ref="AL441" si="691">SUM(AE441:AK441)</f>
        <v>0</v>
      </c>
      <c r="AM441" s="11">
        <f t="shared" si="639"/>
        <v>0</v>
      </c>
      <c r="AN441" s="25"/>
      <c r="AO441" s="10" t="str">
        <f t="shared" si="640"/>
        <v>OutubroSEMANA 4Caju</v>
      </c>
      <c r="AP441" s="7">
        <f>SUMIF(NF!$A:$A,$AO441,NF!$I:$I)</f>
        <v>0</v>
      </c>
      <c r="AQ441" s="6"/>
      <c r="AR441" s="6"/>
      <c r="AS441" s="6"/>
      <c r="AT441" s="6"/>
      <c r="AU441" s="6"/>
      <c r="AV441" s="6"/>
      <c r="AW441" s="6"/>
      <c r="AX441" s="7">
        <f t="shared" ref="AX441" si="692">SUM(AQ441:AW441)</f>
        <v>0</v>
      </c>
      <c r="AY441" s="11">
        <f t="shared" si="642"/>
        <v>0</v>
      </c>
      <c r="AZ441" s="25"/>
      <c r="BA441" s="10" t="str">
        <f t="shared" si="643"/>
        <v>OutubroSEMANA 5Caju</v>
      </c>
      <c r="BB441" s="7">
        <f>SUMIF(NF!$A:$A,$BA441,NF!$I:$I)</f>
        <v>0</v>
      </c>
      <c r="BC441" s="6"/>
      <c r="BD441" s="6"/>
      <c r="BE441" s="6"/>
      <c r="BF441" s="74"/>
      <c r="BG441" s="74"/>
      <c r="BH441" s="74"/>
      <c r="BI441" s="74"/>
      <c r="BJ441" s="74"/>
      <c r="BK441" s="7">
        <f t="shared" ref="BK441" si="693">SUM(BC441:BJ441)</f>
        <v>0</v>
      </c>
      <c r="BL441" s="8">
        <f t="shared" si="645"/>
        <v>0</v>
      </c>
      <c r="BM441" s="51" t="str">
        <f>IFERROR(VLOOKUP(A441,NF!$M:$O,3,0),"")</f>
        <v>Hortifruti</v>
      </c>
      <c r="BN441" s="7">
        <f t="shared" si="646"/>
        <v>0</v>
      </c>
      <c r="BO441" s="8">
        <f t="array" ref="BO441">IFERROR(LARGE(IF(NF!$G$2:$G$3137='Mês atual'!A441,NF!$J$2:$J$3137),1),0)*BN441</f>
        <v>0</v>
      </c>
      <c r="BP441" s="50"/>
      <c r="BR441" s="147">
        <f t="array" ref="BR441">IFERROR(LARGE(IF(NF!$G$2:$G$3137='Mês atual'!A441,NF!$J$2:$J$3137),1),0)</f>
        <v>0</v>
      </c>
      <c r="BS441" s="143" t="str">
        <f>VLOOKUP(A441,NF!M:O,3,0)</f>
        <v>Hortifruti</v>
      </c>
    </row>
    <row r="442" spans="1:71" x14ac:dyDescent="0.25">
      <c r="A442" s="108" t="s">
        <v>211</v>
      </c>
      <c r="B442" s="12"/>
      <c r="C442" s="9"/>
      <c r="D442" s="25"/>
      <c r="E442" s="10" t="str">
        <f t="shared" si="631"/>
        <v>OutubroSEMANA 1Capim Limão</v>
      </c>
      <c r="F442" s="7">
        <f>SUMIF(NF!$A:$A,$E442,NF!$I:$I)</f>
        <v>0.1</v>
      </c>
      <c r="G442" s="6"/>
      <c r="H442" s="6"/>
      <c r="I442" s="6"/>
      <c r="J442" s="6"/>
      <c r="K442" s="6"/>
      <c r="L442" s="6"/>
      <c r="M442" s="6">
        <v>0.1</v>
      </c>
      <c r="N442" s="7">
        <f t="shared" ref="N442:N453" si="694">SUM(G442:M442)</f>
        <v>0.1</v>
      </c>
      <c r="O442" s="11">
        <f t="shared" si="633"/>
        <v>0</v>
      </c>
      <c r="P442" s="25"/>
      <c r="Q442" s="10" t="str">
        <f t="shared" si="634"/>
        <v>OutubroSEMANA 2Capim Limão</v>
      </c>
      <c r="R442" s="7">
        <f>SUMIF(NF!$A:$A,$Q442,NF!$I:$I)</f>
        <v>0.2</v>
      </c>
      <c r="S442" s="6"/>
      <c r="T442" s="6"/>
      <c r="U442" s="6"/>
      <c r="V442" s="6"/>
      <c r="W442" s="6">
        <v>0.1</v>
      </c>
      <c r="X442" s="6"/>
      <c r="Y442" s="6"/>
      <c r="Z442" s="7">
        <f t="shared" ref="Z442:Z453" si="695">SUM(S442:Y442)</f>
        <v>0.1</v>
      </c>
      <c r="AA442" s="11">
        <f t="shared" si="636"/>
        <v>0.1</v>
      </c>
      <c r="AB442" s="25"/>
      <c r="AC442" s="10" t="str">
        <f t="shared" si="637"/>
        <v>OutubroSEMANA 3Capim Limão</v>
      </c>
      <c r="AD442" s="7">
        <f>SUMIF(NF!$A:$A,$AC442,NF!$I:$I)</f>
        <v>0.1</v>
      </c>
      <c r="AE442" s="6">
        <v>0.1</v>
      </c>
      <c r="AF442" s="6"/>
      <c r="AG442" s="6"/>
      <c r="AH442" s="6"/>
      <c r="AI442" s="6"/>
      <c r="AJ442" s="6"/>
      <c r="AK442" s="6">
        <v>0.1</v>
      </c>
      <c r="AL442" s="7">
        <f t="shared" ref="AL442:AL453" si="696">SUM(AE442:AK442)</f>
        <v>0.2</v>
      </c>
      <c r="AM442" s="11">
        <f t="shared" si="639"/>
        <v>0</v>
      </c>
      <c r="AN442" s="25"/>
      <c r="AO442" s="10" t="str">
        <f t="shared" si="640"/>
        <v>OutubroSEMANA 4Capim Limão</v>
      </c>
      <c r="AP442" s="7">
        <f>SUMIF(NF!$A:$A,$AO442,NF!$I:$I)</f>
        <v>0</v>
      </c>
      <c r="AQ442" s="6"/>
      <c r="AR442" s="6"/>
      <c r="AS442" s="6"/>
      <c r="AT442" s="6"/>
      <c r="AU442" s="6"/>
      <c r="AV442" s="6"/>
      <c r="AW442" s="6"/>
      <c r="AX442" s="7">
        <f t="shared" ref="AX442:AX453" si="697">SUM(AQ442:AW442)</f>
        <v>0</v>
      </c>
      <c r="AY442" s="11">
        <f t="shared" si="642"/>
        <v>0</v>
      </c>
      <c r="AZ442" s="25"/>
      <c r="BA442" s="10" t="str">
        <f t="shared" si="643"/>
        <v>OutubroSEMANA 5Capim Limão</v>
      </c>
      <c r="BB442" s="7">
        <f>SUMIF(NF!$A:$A,$BA442,NF!$I:$I)</f>
        <v>0.1</v>
      </c>
      <c r="BC442" s="6"/>
      <c r="BD442" s="6"/>
      <c r="BE442" s="6">
        <v>0.1</v>
      </c>
      <c r="BF442" s="74"/>
      <c r="BG442" s="74"/>
      <c r="BH442" s="74"/>
      <c r="BI442" s="74"/>
      <c r="BJ442" s="74"/>
      <c r="BK442" s="7">
        <f t="shared" ref="BK442:BK453" si="698">SUM(BC442:BJ442)</f>
        <v>0.1</v>
      </c>
      <c r="BL442" s="8">
        <f t="shared" si="645"/>
        <v>0</v>
      </c>
      <c r="BM442" s="51" t="str">
        <f>IFERROR(VLOOKUP(A442,NF!$M:$O,3,0),"")</f>
        <v>Hortifruti</v>
      </c>
      <c r="BN442" s="7">
        <f t="shared" si="646"/>
        <v>0.5</v>
      </c>
      <c r="BO442" s="8">
        <f t="array" ref="BO442">IFERROR(LARGE(IF(NF!$G$2:$G$3137='Mês atual'!A442,NF!$J$2:$J$3137),1),0)*BN442</f>
        <v>7.5</v>
      </c>
      <c r="BP442" s="50"/>
      <c r="BR442" s="147">
        <f t="array" ref="BR442">IFERROR(LARGE(IF(NF!$G$2:$G$3137='Mês atual'!A442,NF!$J$2:$J$3137),1),0)</f>
        <v>15</v>
      </c>
      <c r="BS442" s="143" t="str">
        <f>VLOOKUP(A442,NF!M:O,3,0)</f>
        <v>Hortifruti</v>
      </c>
    </row>
    <row r="443" spans="1:71" x14ac:dyDescent="0.25">
      <c r="A443" s="108" t="s">
        <v>212</v>
      </c>
      <c r="B443" s="12"/>
      <c r="C443" s="9"/>
      <c r="D443" s="25"/>
      <c r="E443" s="10" t="str">
        <f t="shared" si="631"/>
        <v>OutubroSEMANA 1Caqui</v>
      </c>
      <c r="F443" s="7">
        <f>SUMIF(NF!$A:$A,$E443,NF!$I:$I)</f>
        <v>0</v>
      </c>
      <c r="G443" s="6"/>
      <c r="H443" s="6"/>
      <c r="I443" s="6"/>
      <c r="J443" s="6"/>
      <c r="K443" s="6"/>
      <c r="L443" s="6"/>
      <c r="M443" s="6"/>
      <c r="N443" s="7">
        <f t="shared" si="694"/>
        <v>0</v>
      </c>
      <c r="O443" s="11">
        <f t="shared" si="633"/>
        <v>0</v>
      </c>
      <c r="P443" s="25"/>
      <c r="Q443" s="10" t="str">
        <f t="shared" si="634"/>
        <v>OutubroSEMANA 2Caqui</v>
      </c>
      <c r="R443" s="7">
        <f>SUMIF(NF!$A:$A,$Q443,NF!$I:$I)</f>
        <v>0</v>
      </c>
      <c r="S443" s="6"/>
      <c r="T443" s="6"/>
      <c r="U443" s="6"/>
      <c r="V443" s="6"/>
      <c r="W443" s="6"/>
      <c r="X443" s="6"/>
      <c r="Y443" s="6"/>
      <c r="Z443" s="7">
        <f t="shared" si="695"/>
        <v>0</v>
      </c>
      <c r="AA443" s="11">
        <f t="shared" si="636"/>
        <v>0</v>
      </c>
      <c r="AB443" s="25"/>
      <c r="AC443" s="10" t="str">
        <f t="shared" si="637"/>
        <v>OutubroSEMANA 3Caqui</v>
      </c>
      <c r="AD443" s="7">
        <f>SUMIF(NF!$A:$A,$AC443,NF!$I:$I)</f>
        <v>0</v>
      </c>
      <c r="AE443" s="6"/>
      <c r="AF443" s="6"/>
      <c r="AG443" s="6"/>
      <c r="AH443" s="6"/>
      <c r="AI443" s="6"/>
      <c r="AJ443" s="6"/>
      <c r="AK443" s="6"/>
      <c r="AL443" s="7">
        <f t="shared" si="696"/>
        <v>0</v>
      </c>
      <c r="AM443" s="11">
        <f t="shared" si="639"/>
        <v>0</v>
      </c>
      <c r="AN443" s="25"/>
      <c r="AO443" s="10" t="str">
        <f t="shared" si="640"/>
        <v>OutubroSEMANA 4Caqui</v>
      </c>
      <c r="AP443" s="7">
        <f>SUMIF(NF!$A:$A,$AO443,NF!$I:$I)</f>
        <v>0</v>
      </c>
      <c r="AQ443" s="6"/>
      <c r="AR443" s="6"/>
      <c r="AS443" s="6"/>
      <c r="AT443" s="6"/>
      <c r="AU443" s="6"/>
      <c r="AV443" s="6"/>
      <c r="AW443" s="6"/>
      <c r="AX443" s="7">
        <f t="shared" si="697"/>
        <v>0</v>
      </c>
      <c r="AY443" s="11">
        <f t="shared" si="642"/>
        <v>0</v>
      </c>
      <c r="AZ443" s="25"/>
      <c r="BA443" s="10" t="str">
        <f t="shared" si="643"/>
        <v>OutubroSEMANA 5Caqui</v>
      </c>
      <c r="BB443" s="7">
        <f>SUMIF(NF!$A:$A,$BA443,NF!$I:$I)</f>
        <v>0</v>
      </c>
      <c r="BC443" s="6"/>
      <c r="BD443" s="6"/>
      <c r="BE443" s="6"/>
      <c r="BF443" s="74"/>
      <c r="BG443" s="74"/>
      <c r="BH443" s="74"/>
      <c r="BI443" s="74"/>
      <c r="BJ443" s="74"/>
      <c r="BK443" s="7">
        <f t="shared" si="698"/>
        <v>0</v>
      </c>
      <c r="BL443" s="8">
        <f t="shared" si="645"/>
        <v>0</v>
      </c>
      <c r="BM443" s="51" t="str">
        <f>IFERROR(VLOOKUP(A443,NF!$M:$O,3,0),"")</f>
        <v>Hortifruti</v>
      </c>
      <c r="BN443" s="7">
        <f t="shared" si="646"/>
        <v>0</v>
      </c>
      <c r="BO443" s="8">
        <f t="array" ref="BO443">IFERROR(LARGE(IF(NF!$G$2:$G$3137='Mês atual'!A443,NF!$J$2:$J$3137),1),0)*BN443</f>
        <v>0</v>
      </c>
      <c r="BP443" s="50"/>
      <c r="BR443" s="147">
        <f t="array" ref="BR443">IFERROR(LARGE(IF(NF!$G$2:$G$3137='Mês atual'!A443,NF!$J$2:$J$3137),1),0)</f>
        <v>0</v>
      </c>
      <c r="BS443" s="143" t="str">
        <f>VLOOKUP(A443,NF!M:O,3,0)</f>
        <v>Hortifruti</v>
      </c>
    </row>
    <row r="444" spans="1:71" x14ac:dyDescent="0.25">
      <c r="A444" s="108" t="s">
        <v>213</v>
      </c>
      <c r="B444" s="12"/>
      <c r="C444" s="9"/>
      <c r="D444" s="25"/>
      <c r="E444" s="10" t="str">
        <f t="shared" si="631"/>
        <v>OutubroSEMANA 1Cará</v>
      </c>
      <c r="F444" s="7">
        <f>SUMIF(NF!$A:$A,$E444,NF!$I:$I)</f>
        <v>2</v>
      </c>
      <c r="G444" s="6"/>
      <c r="H444" s="6"/>
      <c r="I444" s="6"/>
      <c r="J444" s="6">
        <v>2</v>
      </c>
      <c r="K444" s="6"/>
      <c r="L444" s="6"/>
      <c r="M444" s="6"/>
      <c r="N444" s="7">
        <f t="shared" si="694"/>
        <v>2</v>
      </c>
      <c r="O444" s="11">
        <f t="shared" si="633"/>
        <v>0</v>
      </c>
      <c r="P444" s="25"/>
      <c r="Q444" s="10" t="str">
        <f t="shared" si="634"/>
        <v>OutubroSEMANA 2Cará</v>
      </c>
      <c r="R444" s="7">
        <f>SUMIF(NF!$A:$A,$Q444,NF!$I:$I)</f>
        <v>4</v>
      </c>
      <c r="S444" s="6"/>
      <c r="T444" s="6"/>
      <c r="U444" s="6">
        <v>2</v>
      </c>
      <c r="V444" s="6"/>
      <c r="W444" s="6"/>
      <c r="X444" s="6"/>
      <c r="Y444" s="6"/>
      <c r="Z444" s="7">
        <f t="shared" si="695"/>
        <v>2</v>
      </c>
      <c r="AA444" s="11">
        <f t="shared" si="636"/>
        <v>2</v>
      </c>
      <c r="AB444" s="25"/>
      <c r="AC444" s="10" t="str">
        <f t="shared" si="637"/>
        <v>OutubroSEMANA 3Cará</v>
      </c>
      <c r="AD444" s="7">
        <f>SUMIF(NF!$A:$A,$AC444,NF!$I:$I)</f>
        <v>0</v>
      </c>
      <c r="AE444" s="6">
        <v>2</v>
      </c>
      <c r="AF444" s="6"/>
      <c r="AG444" s="6"/>
      <c r="AH444" s="6"/>
      <c r="AI444" s="6"/>
      <c r="AJ444" s="6"/>
      <c r="AK444" s="6"/>
      <c r="AL444" s="7">
        <f t="shared" si="696"/>
        <v>2</v>
      </c>
      <c r="AM444" s="11">
        <f t="shared" si="639"/>
        <v>0</v>
      </c>
      <c r="AN444" s="25"/>
      <c r="AO444" s="10" t="str">
        <f t="shared" si="640"/>
        <v>OutubroSEMANA 4Cará</v>
      </c>
      <c r="AP444" s="7">
        <f>SUMIF(NF!$A:$A,$AO444,NF!$I:$I)</f>
        <v>0</v>
      </c>
      <c r="AQ444" s="6"/>
      <c r="AR444" s="6"/>
      <c r="AS444" s="6"/>
      <c r="AT444" s="6"/>
      <c r="AU444" s="6"/>
      <c r="AV444" s="6"/>
      <c r="AW444" s="6"/>
      <c r="AX444" s="7">
        <f t="shared" si="697"/>
        <v>0</v>
      </c>
      <c r="AY444" s="11">
        <f t="shared" si="642"/>
        <v>0</v>
      </c>
      <c r="AZ444" s="25"/>
      <c r="BA444" s="10" t="str">
        <f t="shared" si="643"/>
        <v>OutubroSEMANA 5Cará</v>
      </c>
      <c r="BB444" s="7">
        <f>SUMIF(NF!$A:$A,$BA444,NF!$I:$I)</f>
        <v>0</v>
      </c>
      <c r="BC444" s="6"/>
      <c r="BD444" s="6"/>
      <c r="BE444" s="6"/>
      <c r="BF444" s="74"/>
      <c r="BG444" s="74"/>
      <c r="BH444" s="74"/>
      <c r="BI444" s="74"/>
      <c r="BJ444" s="74"/>
      <c r="BK444" s="7">
        <f t="shared" si="698"/>
        <v>0</v>
      </c>
      <c r="BL444" s="8">
        <f t="shared" si="645"/>
        <v>0</v>
      </c>
      <c r="BM444" s="51" t="str">
        <f>IFERROR(VLOOKUP(A444,NF!$M:$O,3,0),"")</f>
        <v>Hortifruti</v>
      </c>
      <c r="BN444" s="7">
        <f t="shared" si="646"/>
        <v>6</v>
      </c>
      <c r="BO444" s="8">
        <f t="array" ref="BO444">IFERROR(LARGE(IF(NF!$G$2:$G$3137='Mês atual'!A444,NF!$J$2:$J$3137),1),0)*BN444</f>
        <v>40.799999999999997</v>
      </c>
      <c r="BP444" s="50"/>
      <c r="BR444" s="147">
        <f t="array" ref="BR444">IFERROR(LARGE(IF(NF!$G$2:$G$3137='Mês atual'!A444,NF!$J$2:$J$3137),1),0)</f>
        <v>6.8</v>
      </c>
      <c r="BS444" s="143" t="str">
        <f>VLOOKUP(A444,NF!M:O,3,0)</f>
        <v>Hortifruti</v>
      </c>
    </row>
    <row r="445" spans="1:71" x14ac:dyDescent="0.25">
      <c r="A445" s="108" t="s">
        <v>241</v>
      </c>
      <c r="B445" s="12"/>
      <c r="C445" s="9">
        <v>19.22</v>
      </c>
      <c r="D445" s="25"/>
      <c r="E445" s="10" t="str">
        <f t="shared" si="631"/>
        <v>OutubroSEMANA 1Cebola</v>
      </c>
      <c r="F445" s="7">
        <f>SUMIF(NF!$A:$A,$E445,NF!$I:$I)</f>
        <v>59.42</v>
      </c>
      <c r="G445" s="6">
        <v>19.22</v>
      </c>
      <c r="H445" s="6"/>
      <c r="I445" s="6">
        <v>20.62</v>
      </c>
      <c r="J445" s="6"/>
      <c r="K445" s="6">
        <v>20.36</v>
      </c>
      <c r="L445" s="6"/>
      <c r="M445" s="6"/>
      <c r="N445" s="7">
        <f t="shared" si="694"/>
        <v>60.2</v>
      </c>
      <c r="O445" s="11">
        <f t="shared" si="633"/>
        <v>18.439999999999998</v>
      </c>
      <c r="P445" s="25"/>
      <c r="Q445" s="10" t="str">
        <f t="shared" si="634"/>
        <v>OutubroSEMANA 2Cebola</v>
      </c>
      <c r="R445" s="7">
        <f>SUMIF(NF!$A:$A,$Q445,NF!$I:$I)</f>
        <v>77.48</v>
      </c>
      <c r="S445" s="6">
        <v>18.440000000000001</v>
      </c>
      <c r="T445" s="6"/>
      <c r="U445" s="6">
        <v>20.260000000000002</v>
      </c>
      <c r="V445" s="6"/>
      <c r="W445" s="6">
        <v>20.440000000000001</v>
      </c>
      <c r="X445" s="6"/>
      <c r="Y445" s="6">
        <v>18.440000000000001</v>
      </c>
      <c r="Z445" s="7">
        <f t="shared" si="695"/>
        <v>77.58</v>
      </c>
      <c r="AA445" s="11">
        <f t="shared" si="636"/>
        <v>18.340000000000003</v>
      </c>
      <c r="AB445" s="25"/>
      <c r="AC445" s="10" t="str">
        <f t="shared" si="637"/>
        <v>OutubroSEMANA 3Cebola</v>
      </c>
      <c r="AD445" s="7">
        <f>SUMIF(NF!$A:$A,$AC445,NF!$I:$I)</f>
        <v>58.620000000000005</v>
      </c>
      <c r="AE445" s="6"/>
      <c r="AF445" s="6">
        <v>18.34</v>
      </c>
      <c r="AG445" s="6">
        <v>18.78</v>
      </c>
      <c r="AH445" s="6"/>
      <c r="AI445" s="6"/>
      <c r="AJ445" s="6">
        <v>19.72</v>
      </c>
      <c r="AK445" s="6"/>
      <c r="AL445" s="7">
        <f t="shared" si="696"/>
        <v>56.84</v>
      </c>
      <c r="AM445" s="11">
        <f t="shared" si="639"/>
        <v>20.120000000000005</v>
      </c>
      <c r="AN445" s="25"/>
      <c r="AO445" s="10" t="str">
        <f t="shared" si="640"/>
        <v>OutubroSEMANA 4Cebola</v>
      </c>
      <c r="AP445" s="7">
        <f>SUMIF(NF!$A:$A,$AO445,NF!$I:$I)</f>
        <v>58.359999999999992</v>
      </c>
      <c r="AQ445" s="6"/>
      <c r="AR445" s="6">
        <v>20.12</v>
      </c>
      <c r="AS445" s="6"/>
      <c r="AT445" s="6">
        <v>19.899999999999999</v>
      </c>
      <c r="AU445" s="6">
        <v>18.559999999999999</v>
      </c>
      <c r="AV445" s="6"/>
      <c r="AW445" s="6"/>
      <c r="AX445" s="7">
        <f t="shared" si="697"/>
        <v>58.58</v>
      </c>
      <c r="AY445" s="11">
        <f t="shared" si="642"/>
        <v>19.899999999999991</v>
      </c>
      <c r="AZ445" s="25"/>
      <c r="BA445" s="10" t="str">
        <f t="shared" si="643"/>
        <v>OutubroSEMANA 5Cebola</v>
      </c>
      <c r="BB445" s="7">
        <f>SUMIF(NF!$A:$A,$BA445,NF!$I:$I)</f>
        <v>19.7</v>
      </c>
      <c r="BC445" s="6">
        <v>19.899999999999999</v>
      </c>
      <c r="BD445" s="6"/>
      <c r="BE445" s="6">
        <v>19.7</v>
      </c>
      <c r="BF445" s="74"/>
      <c r="BG445" s="74"/>
      <c r="BH445" s="74"/>
      <c r="BI445" s="74"/>
      <c r="BJ445" s="74"/>
      <c r="BK445" s="7">
        <f t="shared" si="698"/>
        <v>39.599999999999994</v>
      </c>
      <c r="BL445" s="8">
        <f t="shared" si="645"/>
        <v>0</v>
      </c>
      <c r="BM445" s="51" t="str">
        <f>IFERROR(VLOOKUP(A445,NF!$M:$O,3,0),"")</f>
        <v>Hortifruti</v>
      </c>
      <c r="BN445" s="7">
        <f t="shared" si="646"/>
        <v>292.79999999999995</v>
      </c>
      <c r="BO445" s="8">
        <f t="array" ref="BO445">IFERROR(LARGE(IF(NF!$G$2:$G$3137='Mês atual'!A445,NF!$J$2:$J$3137),1),0)*BN445</f>
        <v>442.46653144016227</v>
      </c>
      <c r="BP445" s="50"/>
      <c r="BR445" s="147">
        <f t="array" ref="BR445">IFERROR(LARGE(IF(NF!$G$2:$G$3137='Mês atual'!A445,NF!$J$2:$J$3137),1),0)</f>
        <v>1.5111561866125762</v>
      </c>
      <c r="BS445" s="143" t="str">
        <f>VLOOKUP(A445,NF!M:O,3,0)</f>
        <v>Hortifruti</v>
      </c>
    </row>
    <row r="446" spans="1:71" x14ac:dyDescent="0.25">
      <c r="A446" s="108" t="s">
        <v>242</v>
      </c>
      <c r="B446" s="12"/>
      <c r="C446" s="9"/>
      <c r="D446" s="25"/>
      <c r="E446" s="10" t="str">
        <f t="shared" si="631"/>
        <v>OutubroSEMANA 1Cebola Calabresa</v>
      </c>
      <c r="F446" s="7">
        <f>SUMIF(NF!$A:$A,$E446,NF!$I:$I)</f>
        <v>3</v>
      </c>
      <c r="G446" s="6"/>
      <c r="H446" s="6"/>
      <c r="I446" s="6">
        <v>3</v>
      </c>
      <c r="J446" s="6"/>
      <c r="K446" s="6"/>
      <c r="L446" s="6"/>
      <c r="M446" s="6"/>
      <c r="N446" s="7">
        <f t="shared" si="694"/>
        <v>3</v>
      </c>
      <c r="O446" s="11">
        <f t="shared" si="633"/>
        <v>0</v>
      </c>
      <c r="P446" s="25"/>
      <c r="Q446" s="10" t="str">
        <f t="shared" si="634"/>
        <v>OutubroSEMANA 2Cebola Calabresa</v>
      </c>
      <c r="R446" s="7">
        <f>SUMIF(NF!$A:$A,$Q446,NF!$I:$I)</f>
        <v>0</v>
      </c>
      <c r="S446" s="6"/>
      <c r="T446" s="6"/>
      <c r="U446" s="6"/>
      <c r="V446" s="6"/>
      <c r="W446" s="6"/>
      <c r="X446" s="6"/>
      <c r="Y446" s="6"/>
      <c r="Z446" s="7">
        <f t="shared" si="695"/>
        <v>0</v>
      </c>
      <c r="AA446" s="11">
        <f t="shared" si="636"/>
        <v>0</v>
      </c>
      <c r="AB446" s="25"/>
      <c r="AC446" s="10" t="str">
        <f t="shared" si="637"/>
        <v>OutubroSEMANA 3Cebola Calabresa</v>
      </c>
      <c r="AD446" s="7">
        <f>SUMIF(NF!$A:$A,$AC446,NF!$I:$I)</f>
        <v>0</v>
      </c>
      <c r="AE446" s="6"/>
      <c r="AF446" s="6"/>
      <c r="AG446" s="6"/>
      <c r="AH446" s="6"/>
      <c r="AI446" s="6"/>
      <c r="AJ446" s="6"/>
      <c r="AK446" s="6"/>
      <c r="AL446" s="7">
        <f t="shared" si="696"/>
        <v>0</v>
      </c>
      <c r="AM446" s="11">
        <f t="shared" si="639"/>
        <v>0</v>
      </c>
      <c r="AN446" s="25"/>
      <c r="AO446" s="10" t="str">
        <f t="shared" si="640"/>
        <v>OutubroSEMANA 4Cebola Calabresa</v>
      </c>
      <c r="AP446" s="7">
        <f>SUMIF(NF!$A:$A,$AO446,NF!$I:$I)</f>
        <v>3</v>
      </c>
      <c r="AQ446" s="6"/>
      <c r="AR446" s="6"/>
      <c r="AS446" s="6"/>
      <c r="AT446" s="6"/>
      <c r="AU446" s="6"/>
      <c r="AV446" s="6"/>
      <c r="AW446" s="6"/>
      <c r="AX446" s="7">
        <f t="shared" si="697"/>
        <v>0</v>
      </c>
      <c r="AY446" s="11">
        <f t="shared" si="642"/>
        <v>3</v>
      </c>
      <c r="AZ446" s="25"/>
      <c r="BA446" s="10" t="str">
        <f t="shared" si="643"/>
        <v>OutubroSEMANA 5Cebola Calabresa</v>
      </c>
      <c r="BB446" s="7">
        <f>SUMIF(NF!$A:$A,$BA446,NF!$I:$I)</f>
        <v>0</v>
      </c>
      <c r="BC446" s="6">
        <v>3</v>
      </c>
      <c r="BD446" s="6"/>
      <c r="BE446" s="6"/>
      <c r="BF446" s="74"/>
      <c r="BG446" s="74"/>
      <c r="BH446" s="74"/>
      <c r="BI446" s="74"/>
      <c r="BJ446" s="74"/>
      <c r="BK446" s="7">
        <f t="shared" si="698"/>
        <v>3</v>
      </c>
      <c r="BL446" s="8">
        <f t="shared" si="645"/>
        <v>0</v>
      </c>
      <c r="BM446" s="51" t="str">
        <f>IFERROR(VLOOKUP(A446,NF!$M:$O,3,0),"")</f>
        <v>Hortifruti</v>
      </c>
      <c r="BN446" s="7">
        <f t="shared" si="646"/>
        <v>6</v>
      </c>
      <c r="BO446" s="8">
        <f t="array" ref="BO446">IFERROR(LARGE(IF(NF!$G$2:$G$3137='Mês atual'!A446,NF!$J$2:$J$3137),1),0)*BN446</f>
        <v>24</v>
      </c>
      <c r="BP446" s="50"/>
      <c r="BR446" s="147">
        <f t="array" ref="BR446">IFERROR(LARGE(IF(NF!$G$2:$G$3137='Mês atual'!A446,NF!$J$2:$J$3137),1),0)</f>
        <v>4</v>
      </c>
      <c r="BS446" s="143" t="str">
        <f>VLOOKUP(A446,NF!M:O,3,0)</f>
        <v>Hortifruti</v>
      </c>
    </row>
    <row r="447" spans="1:71" x14ac:dyDescent="0.25">
      <c r="A447" s="108" t="s">
        <v>243</v>
      </c>
      <c r="B447" s="12"/>
      <c r="C447" s="9"/>
      <c r="D447" s="25"/>
      <c r="E447" s="10" t="str">
        <f t="shared" si="631"/>
        <v>OutubroSEMANA 1Cebola Orgânica</v>
      </c>
      <c r="F447" s="7">
        <f>SUMIF(NF!$A:$A,$E447,NF!$I:$I)</f>
        <v>0</v>
      </c>
      <c r="G447" s="6"/>
      <c r="H447" s="6"/>
      <c r="I447" s="6"/>
      <c r="J447" s="6"/>
      <c r="K447" s="6"/>
      <c r="L447" s="6"/>
      <c r="M447" s="6"/>
      <c r="N447" s="7">
        <f t="shared" si="694"/>
        <v>0</v>
      </c>
      <c r="O447" s="11">
        <f t="shared" si="633"/>
        <v>0</v>
      </c>
      <c r="P447" s="25"/>
      <c r="Q447" s="10" t="str">
        <f t="shared" si="634"/>
        <v>OutubroSEMANA 2Cebola Orgânica</v>
      </c>
      <c r="R447" s="7">
        <f>SUMIF(NF!$A:$A,$Q447,NF!$I:$I)</f>
        <v>0</v>
      </c>
      <c r="S447" s="6"/>
      <c r="T447" s="6"/>
      <c r="U447" s="6"/>
      <c r="V447" s="6"/>
      <c r="W447" s="6"/>
      <c r="X447" s="6"/>
      <c r="Y447" s="6"/>
      <c r="Z447" s="7">
        <f t="shared" si="695"/>
        <v>0</v>
      </c>
      <c r="AA447" s="11">
        <f t="shared" si="636"/>
        <v>0</v>
      </c>
      <c r="AB447" s="25"/>
      <c r="AC447" s="10" t="str">
        <f t="shared" si="637"/>
        <v>OutubroSEMANA 3Cebola Orgânica</v>
      </c>
      <c r="AD447" s="7">
        <f>SUMIF(NF!$A:$A,$AC447,NF!$I:$I)</f>
        <v>0</v>
      </c>
      <c r="AE447" s="6"/>
      <c r="AF447" s="6"/>
      <c r="AG447" s="6"/>
      <c r="AH447" s="6"/>
      <c r="AI447" s="6"/>
      <c r="AJ447" s="6"/>
      <c r="AK447" s="6"/>
      <c r="AL447" s="7">
        <f t="shared" si="696"/>
        <v>0</v>
      </c>
      <c r="AM447" s="11">
        <f t="shared" si="639"/>
        <v>0</v>
      </c>
      <c r="AN447" s="25"/>
      <c r="AO447" s="10" t="str">
        <f t="shared" si="640"/>
        <v>OutubroSEMANA 4Cebola Orgânica</v>
      </c>
      <c r="AP447" s="7">
        <f>SUMIF(NF!$A:$A,$AO447,NF!$I:$I)</f>
        <v>0</v>
      </c>
      <c r="AQ447" s="6"/>
      <c r="AR447" s="6"/>
      <c r="AS447" s="6"/>
      <c r="AT447" s="6"/>
      <c r="AU447" s="6"/>
      <c r="AV447" s="6"/>
      <c r="AW447" s="6"/>
      <c r="AX447" s="7">
        <f t="shared" si="697"/>
        <v>0</v>
      </c>
      <c r="AY447" s="11">
        <f t="shared" si="642"/>
        <v>0</v>
      </c>
      <c r="AZ447" s="25"/>
      <c r="BA447" s="10" t="str">
        <f t="shared" si="643"/>
        <v>OutubroSEMANA 5Cebola Orgânica</v>
      </c>
      <c r="BB447" s="7">
        <f>SUMIF(NF!$A:$A,$BA447,NF!$I:$I)</f>
        <v>0</v>
      </c>
      <c r="BC447" s="6"/>
      <c r="BD447" s="6"/>
      <c r="BE447" s="6"/>
      <c r="BF447" s="74"/>
      <c r="BG447" s="74"/>
      <c r="BH447" s="74"/>
      <c r="BI447" s="74"/>
      <c r="BJ447" s="74"/>
      <c r="BK447" s="7">
        <f t="shared" si="698"/>
        <v>0</v>
      </c>
      <c r="BL447" s="8">
        <f t="shared" si="645"/>
        <v>0</v>
      </c>
      <c r="BM447" s="51" t="str">
        <f>IFERROR(VLOOKUP(A447,NF!$M:$O,3,0),"")</f>
        <v>Hortifruti</v>
      </c>
      <c r="BN447" s="7">
        <f t="shared" si="646"/>
        <v>0</v>
      </c>
      <c r="BO447" s="8">
        <f t="array" ref="BO447">IFERROR(LARGE(IF(NF!$G$2:$G$3137='Mês atual'!A447,NF!$J$2:$J$3137),1),0)*BN447</f>
        <v>0</v>
      </c>
      <c r="BP447" s="50"/>
      <c r="BR447" s="147">
        <f t="array" ref="BR447">IFERROR(LARGE(IF(NF!$G$2:$G$3137='Mês atual'!A447,NF!$J$2:$J$3137),1),0)</f>
        <v>0</v>
      </c>
      <c r="BS447" s="143" t="str">
        <f>VLOOKUP(A447,NF!M:O,3,0)</f>
        <v>Hortifruti</v>
      </c>
    </row>
    <row r="448" spans="1:71" x14ac:dyDescent="0.25">
      <c r="A448" s="108" t="s">
        <v>244</v>
      </c>
      <c r="B448" s="12"/>
      <c r="C448" s="9"/>
      <c r="D448" s="25"/>
      <c r="E448" s="10" t="str">
        <f t="shared" si="631"/>
        <v>OutubroSEMANA 1Cebola Roxa</v>
      </c>
      <c r="F448" s="7">
        <f>SUMIF(NF!$A:$A,$E448,NF!$I:$I)</f>
        <v>1</v>
      </c>
      <c r="G448" s="6"/>
      <c r="H448" s="6"/>
      <c r="I448" s="6"/>
      <c r="J448" s="6"/>
      <c r="K448" s="6"/>
      <c r="L448" s="6"/>
      <c r="M448" s="6">
        <v>1</v>
      </c>
      <c r="N448" s="7">
        <f t="shared" si="694"/>
        <v>1</v>
      </c>
      <c r="O448" s="11">
        <f t="shared" si="633"/>
        <v>0</v>
      </c>
      <c r="P448" s="25"/>
      <c r="Q448" s="10" t="str">
        <f t="shared" si="634"/>
        <v>OutubroSEMANA 2Cebola Roxa</v>
      </c>
      <c r="R448" s="7">
        <f>SUMIF(NF!$A:$A,$Q448,NF!$I:$I)</f>
        <v>1.5</v>
      </c>
      <c r="S448" s="6"/>
      <c r="T448" s="6"/>
      <c r="U448" s="6"/>
      <c r="V448" s="6"/>
      <c r="W448" s="6"/>
      <c r="X448" s="6">
        <v>1.5</v>
      </c>
      <c r="Y448" s="6"/>
      <c r="Z448" s="7">
        <f t="shared" si="695"/>
        <v>1.5</v>
      </c>
      <c r="AA448" s="11">
        <f t="shared" si="636"/>
        <v>0</v>
      </c>
      <c r="AB448" s="25"/>
      <c r="AC448" s="10" t="str">
        <f t="shared" si="637"/>
        <v>OutubroSEMANA 3Cebola Roxa</v>
      </c>
      <c r="AD448" s="7">
        <f>SUMIF(NF!$A:$A,$AC448,NF!$I:$I)</f>
        <v>1</v>
      </c>
      <c r="AE448" s="6"/>
      <c r="AF448" s="6"/>
      <c r="AG448" s="6"/>
      <c r="AH448" s="6"/>
      <c r="AI448" s="6">
        <v>1</v>
      </c>
      <c r="AJ448" s="6"/>
      <c r="AK448" s="6"/>
      <c r="AL448" s="7">
        <f t="shared" si="696"/>
        <v>1</v>
      </c>
      <c r="AM448" s="11">
        <f t="shared" si="639"/>
        <v>0</v>
      </c>
      <c r="AN448" s="25"/>
      <c r="AO448" s="10" t="str">
        <f t="shared" si="640"/>
        <v>OutubroSEMANA 4Cebola Roxa</v>
      </c>
      <c r="AP448" s="7">
        <f>SUMIF(NF!$A:$A,$AO448,NF!$I:$I)</f>
        <v>6</v>
      </c>
      <c r="AQ448" s="6"/>
      <c r="AR448" s="6"/>
      <c r="AS448" s="6"/>
      <c r="AT448" s="6"/>
      <c r="AU448" s="6">
        <v>5</v>
      </c>
      <c r="AV448" s="6">
        <v>1</v>
      </c>
      <c r="AW448" s="6"/>
      <c r="AX448" s="7">
        <f t="shared" si="697"/>
        <v>6</v>
      </c>
      <c r="AY448" s="11">
        <f t="shared" si="642"/>
        <v>0</v>
      </c>
      <c r="AZ448" s="25"/>
      <c r="BA448" s="10" t="str">
        <f t="shared" si="643"/>
        <v>OutubroSEMANA 5Cebola Roxa</v>
      </c>
      <c r="BB448" s="7">
        <f>SUMIF(NF!$A:$A,$BA448,NF!$I:$I)</f>
        <v>2</v>
      </c>
      <c r="BC448" s="6"/>
      <c r="BD448" s="6"/>
      <c r="BE448" s="6">
        <v>2</v>
      </c>
      <c r="BF448" s="74"/>
      <c r="BG448" s="74"/>
      <c r="BH448" s="74"/>
      <c r="BI448" s="74"/>
      <c r="BJ448" s="74"/>
      <c r="BK448" s="7">
        <f t="shared" si="698"/>
        <v>2</v>
      </c>
      <c r="BL448" s="8">
        <f t="shared" si="645"/>
        <v>0</v>
      </c>
      <c r="BM448" s="51" t="str">
        <f>IFERROR(VLOOKUP(A448,NF!$M:$O,3,0),"")</f>
        <v>Hortifruti</v>
      </c>
      <c r="BN448" s="7">
        <f t="shared" si="646"/>
        <v>11.5</v>
      </c>
      <c r="BO448" s="8">
        <f t="array" ref="BO448">IFERROR(LARGE(IF(NF!$G$2:$G$3137='Mês atual'!A448,NF!$J$2:$J$3137),1),0)*BN448</f>
        <v>57.5</v>
      </c>
      <c r="BP448" s="50"/>
      <c r="BR448" s="147">
        <f t="array" ref="BR448">IFERROR(LARGE(IF(NF!$G$2:$G$3137='Mês atual'!A448,NF!$J$2:$J$3137),1),0)</f>
        <v>5</v>
      </c>
      <c r="BS448" s="143" t="str">
        <f>VLOOKUP(A448,NF!M:O,3,0)</f>
        <v>Hortifruti</v>
      </c>
    </row>
    <row r="449" spans="1:71" x14ac:dyDescent="0.25">
      <c r="A449" s="108" t="s">
        <v>246</v>
      </c>
      <c r="B449" s="12"/>
      <c r="C449" s="9"/>
      <c r="D449" s="25"/>
      <c r="E449" s="10" t="str">
        <f t="shared" si="631"/>
        <v>OutubroSEMANA 1Cebolinha Orgânica</v>
      </c>
      <c r="F449" s="7">
        <f>SUMIF(NF!$A:$A,$E449,NF!$I:$I)</f>
        <v>0</v>
      </c>
      <c r="G449" s="6"/>
      <c r="H449" s="6"/>
      <c r="I449" s="6"/>
      <c r="J449" s="6"/>
      <c r="K449" s="6"/>
      <c r="L449" s="6"/>
      <c r="M449" s="6"/>
      <c r="N449" s="7">
        <f t="shared" si="694"/>
        <v>0</v>
      </c>
      <c r="O449" s="11">
        <f t="shared" si="633"/>
        <v>0</v>
      </c>
      <c r="P449" s="25"/>
      <c r="Q449" s="10" t="str">
        <f t="shared" si="634"/>
        <v>OutubroSEMANA 2Cebolinha Orgânica</v>
      </c>
      <c r="R449" s="7">
        <f>SUMIF(NF!$A:$A,$Q449,NF!$I:$I)</f>
        <v>0</v>
      </c>
      <c r="S449" s="6"/>
      <c r="T449" s="6"/>
      <c r="U449" s="6"/>
      <c r="V449" s="6"/>
      <c r="W449" s="6"/>
      <c r="X449" s="6"/>
      <c r="Y449" s="6"/>
      <c r="Z449" s="7">
        <f t="shared" si="695"/>
        <v>0</v>
      </c>
      <c r="AA449" s="11">
        <f t="shared" si="636"/>
        <v>0</v>
      </c>
      <c r="AB449" s="25"/>
      <c r="AC449" s="10" t="str">
        <f t="shared" si="637"/>
        <v>OutubroSEMANA 3Cebolinha Orgânica</v>
      </c>
      <c r="AD449" s="7">
        <f>SUMIF(NF!$A:$A,$AC449,NF!$I:$I)</f>
        <v>0</v>
      </c>
      <c r="AE449" s="6"/>
      <c r="AF449" s="6"/>
      <c r="AG449" s="6"/>
      <c r="AH449" s="6"/>
      <c r="AI449" s="6"/>
      <c r="AJ449" s="6"/>
      <c r="AK449" s="6"/>
      <c r="AL449" s="7">
        <f t="shared" si="696"/>
        <v>0</v>
      </c>
      <c r="AM449" s="11">
        <f t="shared" si="639"/>
        <v>0</v>
      </c>
      <c r="AN449" s="25"/>
      <c r="AO449" s="10" t="str">
        <f t="shared" si="640"/>
        <v>OutubroSEMANA 4Cebolinha Orgânica</v>
      </c>
      <c r="AP449" s="7">
        <f>SUMIF(NF!$A:$A,$AO449,NF!$I:$I)</f>
        <v>0</v>
      </c>
      <c r="AQ449" s="6"/>
      <c r="AR449" s="6"/>
      <c r="AS449" s="6"/>
      <c r="AT449" s="6"/>
      <c r="AU449" s="6"/>
      <c r="AV449" s="6"/>
      <c r="AW449" s="6"/>
      <c r="AX449" s="7">
        <f t="shared" si="697"/>
        <v>0</v>
      </c>
      <c r="AY449" s="11">
        <f t="shared" si="642"/>
        <v>0</v>
      </c>
      <c r="AZ449" s="25"/>
      <c r="BA449" s="10" t="str">
        <f t="shared" si="643"/>
        <v>OutubroSEMANA 5Cebolinha Orgânica</v>
      </c>
      <c r="BB449" s="7">
        <f>SUMIF(NF!$A:$A,$BA449,NF!$I:$I)</f>
        <v>0</v>
      </c>
      <c r="BC449" s="6"/>
      <c r="BD449" s="6"/>
      <c r="BE449" s="6"/>
      <c r="BF449" s="74"/>
      <c r="BG449" s="74"/>
      <c r="BH449" s="74"/>
      <c r="BI449" s="74"/>
      <c r="BJ449" s="74"/>
      <c r="BK449" s="7">
        <f t="shared" si="698"/>
        <v>0</v>
      </c>
      <c r="BL449" s="8">
        <f t="shared" si="645"/>
        <v>0</v>
      </c>
      <c r="BM449" s="51" t="str">
        <f>IFERROR(VLOOKUP(A449,NF!$M:$O,3,0),"")</f>
        <v>Hortifruti</v>
      </c>
      <c r="BN449" s="7">
        <f t="shared" si="646"/>
        <v>0</v>
      </c>
      <c r="BO449" s="8">
        <f t="array" ref="BO449">IFERROR(LARGE(IF(NF!$G$2:$G$3137='Mês atual'!A449,NF!$J$2:$J$3137),1),0)*BN449</f>
        <v>0</v>
      </c>
      <c r="BP449" s="50"/>
      <c r="BR449" s="147">
        <f t="array" ref="BR449">IFERROR(LARGE(IF(NF!$G$2:$G$3137='Mês atual'!A449,NF!$J$2:$J$3137),1),0)</f>
        <v>0</v>
      </c>
      <c r="BS449" s="143" t="str">
        <f>VLOOKUP(A449,NF!M:O,3,0)</f>
        <v>Hortifruti</v>
      </c>
    </row>
    <row r="450" spans="1:71" x14ac:dyDescent="0.25">
      <c r="A450" s="108" t="s">
        <v>247</v>
      </c>
      <c r="B450" s="12"/>
      <c r="C450" s="9">
        <v>0.5</v>
      </c>
      <c r="D450" s="25"/>
      <c r="E450" s="10" t="str">
        <f t="shared" si="631"/>
        <v>OutubroSEMANA 1Cebolinha Verde</v>
      </c>
      <c r="F450" s="7">
        <f>SUMIF(NF!$A:$A,$E450,NF!$I:$I)</f>
        <v>6</v>
      </c>
      <c r="G450" s="6">
        <v>0.5</v>
      </c>
      <c r="H450" s="6">
        <v>1</v>
      </c>
      <c r="I450" s="6">
        <v>1</v>
      </c>
      <c r="J450" s="6">
        <v>1</v>
      </c>
      <c r="K450" s="6"/>
      <c r="L450" s="6">
        <v>1</v>
      </c>
      <c r="M450" s="6">
        <v>1</v>
      </c>
      <c r="N450" s="7">
        <f t="shared" si="694"/>
        <v>5.5</v>
      </c>
      <c r="O450" s="11">
        <f t="shared" si="633"/>
        <v>1</v>
      </c>
      <c r="P450" s="25"/>
      <c r="Q450" s="10" t="str">
        <f t="shared" si="634"/>
        <v>OutubroSEMANA 2Cebolinha Verde</v>
      </c>
      <c r="R450" s="7">
        <f>SUMIF(NF!$A:$A,$Q450,NF!$I:$I)</f>
        <v>4.05</v>
      </c>
      <c r="S450" s="6">
        <v>1</v>
      </c>
      <c r="T450" s="6">
        <v>1</v>
      </c>
      <c r="U450" s="6">
        <v>1.5</v>
      </c>
      <c r="V450" s="6"/>
      <c r="W450" s="6"/>
      <c r="X450" s="6">
        <v>1</v>
      </c>
      <c r="Y450" s="6"/>
      <c r="Z450" s="7">
        <f t="shared" si="695"/>
        <v>4.5</v>
      </c>
      <c r="AA450" s="11">
        <f t="shared" si="636"/>
        <v>0.54999999999999982</v>
      </c>
      <c r="AB450" s="25"/>
      <c r="AC450" s="10" t="str">
        <f t="shared" si="637"/>
        <v>OutubroSEMANA 3Cebolinha Verde</v>
      </c>
      <c r="AD450" s="7">
        <f>SUMIF(NF!$A:$A,$AC450,NF!$I:$I)</f>
        <v>3.1940000000000004</v>
      </c>
      <c r="AE450" s="6">
        <v>0.55000000000000004</v>
      </c>
      <c r="AF450" s="6">
        <v>1</v>
      </c>
      <c r="AG450" s="6">
        <f>1-0.432</f>
        <v>0.56800000000000006</v>
      </c>
      <c r="AH450" s="6"/>
      <c r="AI450" s="6">
        <v>1</v>
      </c>
      <c r="AJ450" s="6">
        <f>1-0.41</f>
        <v>0.59000000000000008</v>
      </c>
      <c r="AK450" s="6">
        <v>3.5999999999999997E-2</v>
      </c>
      <c r="AL450" s="7">
        <f t="shared" si="696"/>
        <v>3.7440000000000002</v>
      </c>
      <c r="AM450" s="11">
        <f t="shared" si="639"/>
        <v>0</v>
      </c>
      <c r="AN450" s="25"/>
      <c r="AO450" s="10" t="str">
        <f t="shared" si="640"/>
        <v>OutubroSEMANA 4Cebolinha Verde</v>
      </c>
      <c r="AP450" s="7">
        <f>SUMIF(NF!$A:$A,$AO450,NF!$I:$I)</f>
        <v>5.9219999999999997</v>
      </c>
      <c r="AQ450" s="6">
        <v>0.78</v>
      </c>
      <c r="AR450" s="6">
        <v>1</v>
      </c>
      <c r="AS450" s="6"/>
      <c r="AT450" s="6">
        <f>1.5-0.358</f>
        <v>1.1419999999999999</v>
      </c>
      <c r="AU450" s="6">
        <v>1</v>
      </c>
      <c r="AV450" s="6">
        <v>1</v>
      </c>
      <c r="AW450" s="6"/>
      <c r="AX450" s="7">
        <f t="shared" si="697"/>
        <v>4.9219999999999997</v>
      </c>
      <c r="AY450" s="11">
        <f t="shared" si="642"/>
        <v>1</v>
      </c>
      <c r="AZ450" s="25"/>
      <c r="BA450" s="10" t="str">
        <f t="shared" si="643"/>
        <v>OutubroSEMANA 5Cebolinha Verde</v>
      </c>
      <c r="BB450" s="7">
        <f>SUMIF(NF!$A:$A,$BA450,NF!$I:$I)</f>
        <v>1.712</v>
      </c>
      <c r="BC450" s="6">
        <v>1</v>
      </c>
      <c r="BD450" s="6">
        <v>1</v>
      </c>
      <c r="BE450" s="6"/>
      <c r="BF450" s="74"/>
      <c r="BG450" s="74"/>
      <c r="BH450" s="74"/>
      <c r="BI450" s="74"/>
      <c r="BJ450" s="74"/>
      <c r="BK450" s="7">
        <f t="shared" si="698"/>
        <v>2</v>
      </c>
      <c r="BL450" s="8">
        <f t="shared" si="645"/>
        <v>0.71199999999999974</v>
      </c>
      <c r="BM450" s="51" t="str">
        <f>IFERROR(VLOOKUP(A450,NF!$M:$O,3,0),"")</f>
        <v>Hortifruti</v>
      </c>
      <c r="BN450" s="7">
        <f t="shared" si="646"/>
        <v>20.666</v>
      </c>
      <c r="BO450" s="8">
        <f t="array" ref="BO450">IFERROR(LARGE(IF(NF!$G$2:$G$3137='Mês atual'!A450,NF!$J$2:$J$3137),1),0)*BN450</f>
        <v>210.89917948717948</v>
      </c>
      <c r="BP450" s="50"/>
      <c r="BR450" s="147">
        <f t="array" ref="BR450">IFERROR(LARGE(IF(NF!$G$2:$G$3137='Mês atual'!A450,NF!$J$2:$J$3137),1),0)</f>
        <v>10.205128205128204</v>
      </c>
      <c r="BS450" s="143" t="str">
        <f>VLOOKUP(A450,NF!M:O,3,0)</f>
        <v>Hortifruti</v>
      </c>
    </row>
    <row r="451" spans="1:71" x14ac:dyDescent="0.25">
      <c r="A451" s="108" t="s">
        <v>249</v>
      </c>
      <c r="B451" s="12"/>
      <c r="C451" s="9">
        <v>23.68</v>
      </c>
      <c r="D451" s="25"/>
      <c r="E451" s="10" t="str">
        <f t="shared" si="631"/>
        <v>OutubroSEMANA 1Cenoura</v>
      </c>
      <c r="F451" s="7">
        <f>SUMIF(NF!$A:$A,$E451,NF!$I:$I)</f>
        <v>36.769999999999996</v>
      </c>
      <c r="G451" s="6">
        <f>2.14+2.08+1</f>
        <v>5.2200000000000006</v>
      </c>
      <c r="H451" s="6">
        <f>2.01+1</f>
        <v>3.01</v>
      </c>
      <c r="I451" s="6">
        <f>6+1</f>
        <v>7</v>
      </c>
      <c r="J451" s="6">
        <f>2.14+2+6.206+2.42+1</f>
        <v>13.766</v>
      </c>
      <c r="K451" s="6">
        <f>4+1</f>
        <v>5</v>
      </c>
      <c r="L451" s="6">
        <f>2.13+2.64+1</f>
        <v>5.77</v>
      </c>
      <c r="M451" s="6">
        <v>1.2</v>
      </c>
      <c r="N451" s="7">
        <f t="shared" si="694"/>
        <v>40.966000000000008</v>
      </c>
      <c r="O451" s="11">
        <f t="shared" si="633"/>
        <v>19.483999999999988</v>
      </c>
      <c r="P451" s="25"/>
      <c r="Q451" s="10" t="str">
        <f t="shared" si="634"/>
        <v>OutubroSEMANA 2Cenoura</v>
      </c>
      <c r="R451" s="7">
        <f>SUMIF(NF!$A:$A,$Q451,NF!$I:$I)</f>
        <v>37.64</v>
      </c>
      <c r="S451" s="6">
        <f>2.108+2+1</f>
        <v>5.1080000000000005</v>
      </c>
      <c r="T451" s="6">
        <f>1.32+1</f>
        <v>2.3200000000000003</v>
      </c>
      <c r="U451" s="6">
        <f>1.9+6.14+1.62+1</f>
        <v>10.66</v>
      </c>
      <c r="V451" s="6">
        <f>1.33+1.1+2.42+1</f>
        <v>5.85</v>
      </c>
      <c r="W451" s="6">
        <f>1.02+1.68+1.07+1</f>
        <v>4.7700000000000005</v>
      </c>
      <c r="X451" s="6">
        <f>0.508+1.5+1</f>
        <v>3.008</v>
      </c>
      <c r="Y451" s="6">
        <f>1.33+4.5+3.04+1</f>
        <v>9.870000000000001</v>
      </c>
      <c r="Z451" s="7">
        <f t="shared" si="695"/>
        <v>41.585999999999999</v>
      </c>
      <c r="AA451" s="11">
        <f t="shared" si="636"/>
        <v>15.53799999999999</v>
      </c>
      <c r="AB451" s="25"/>
      <c r="AC451" s="10" t="str">
        <f t="shared" si="637"/>
        <v>OutubroSEMANA 3Cenoura</v>
      </c>
      <c r="AD451" s="7">
        <f>SUMIF(NF!$A:$A,$AC451,NF!$I:$I)</f>
        <v>59.144000000000005</v>
      </c>
      <c r="AE451" s="6">
        <f>1.134+2.38+2+1</f>
        <v>6.5139999999999993</v>
      </c>
      <c r="AF451" s="6">
        <f>4.32+2.08+1</f>
        <v>7.4</v>
      </c>
      <c r="AG451" s="6">
        <f>1.762+1.07+1</f>
        <v>3.8319999999999999</v>
      </c>
      <c r="AH451" s="6">
        <f>6.5+1.74+1</f>
        <v>9.24</v>
      </c>
      <c r="AI451" s="6">
        <v>2.68</v>
      </c>
      <c r="AJ451" s="6">
        <f>2.32+7.5+1.3</f>
        <v>11.120000000000001</v>
      </c>
      <c r="AK451" s="6">
        <f>3.21+1</f>
        <v>4.21</v>
      </c>
      <c r="AL451" s="7">
        <f t="shared" si="696"/>
        <v>44.996000000000002</v>
      </c>
      <c r="AM451" s="11">
        <f t="shared" si="639"/>
        <v>29.685999999999986</v>
      </c>
      <c r="AN451" s="25"/>
      <c r="AO451" s="10" t="str">
        <f t="shared" si="640"/>
        <v>OutubroSEMANA 4Cenoura</v>
      </c>
      <c r="AP451" s="7">
        <f>SUMIF(NF!$A:$A,$AO451,NF!$I:$I)</f>
        <v>35.78</v>
      </c>
      <c r="AQ451" s="6">
        <f>2.18+1.7+0.64</f>
        <v>4.5199999999999996</v>
      </c>
      <c r="AR451" s="6">
        <v>11.56</v>
      </c>
      <c r="AS451" s="6">
        <f>2+5.5</f>
        <v>7.5</v>
      </c>
      <c r="AT451" s="6">
        <f>1.78+1.36+2</f>
        <v>5.1400000000000006</v>
      </c>
      <c r="AU451" s="6">
        <f>2.28+0.7</f>
        <v>2.9799999999999995</v>
      </c>
      <c r="AV451" s="6">
        <f>2.2+1.5+3</f>
        <v>6.7</v>
      </c>
      <c r="AW451" s="6">
        <v>2.04</v>
      </c>
      <c r="AX451" s="7">
        <f t="shared" si="697"/>
        <v>40.44</v>
      </c>
      <c r="AY451" s="11">
        <f t="shared" si="642"/>
        <v>25.025999999999982</v>
      </c>
      <c r="AZ451" s="25"/>
      <c r="BA451" s="10" t="str">
        <f t="shared" si="643"/>
        <v>OutubroSEMANA 5Cenoura</v>
      </c>
      <c r="BB451" s="7">
        <f>SUMIF(NF!$A:$A,$BA451,NF!$I:$I)</f>
        <v>18.16</v>
      </c>
      <c r="BC451" s="6"/>
      <c r="BD451" s="6">
        <f>2.46+2.678+1.1</f>
        <v>6.2379999999999995</v>
      </c>
      <c r="BE451" s="6">
        <f>8+1.426</f>
        <v>9.4260000000000002</v>
      </c>
      <c r="BF451" s="74"/>
      <c r="BG451" s="74"/>
      <c r="BH451" s="74"/>
      <c r="BI451" s="74"/>
      <c r="BJ451" s="74"/>
      <c r="BK451" s="7">
        <f t="shared" si="698"/>
        <v>15.664</v>
      </c>
      <c r="BL451" s="8">
        <f t="shared" si="645"/>
        <v>27.521999999999977</v>
      </c>
      <c r="BM451" s="51" t="str">
        <f>IFERROR(VLOOKUP(A451,NF!$M:$O,3,0),"")</f>
        <v>Hortifruti</v>
      </c>
      <c r="BN451" s="7">
        <f t="shared" si="646"/>
        <v>183.65199999999999</v>
      </c>
      <c r="BO451" s="8">
        <f t="array" ref="BO451">IFERROR(LARGE(IF(NF!$G$2:$G$3137='Mês atual'!A451,NF!$J$2:$J$3137),1),0)*BN451</f>
        <v>493.57760358342665</v>
      </c>
      <c r="BP451" s="50"/>
      <c r="BR451" s="147">
        <f t="array" ref="BR451">IFERROR(LARGE(IF(NF!$G$2:$G$3137='Mês atual'!A451,NF!$J$2:$J$3137),1),0)</f>
        <v>2.6875699888017919</v>
      </c>
      <c r="BS451" s="143" t="str">
        <f>VLOOKUP(A451,NF!M:O,3,0)</f>
        <v>Hortifruti</v>
      </c>
    </row>
    <row r="452" spans="1:71" x14ac:dyDescent="0.25">
      <c r="A452" s="108" t="s">
        <v>252</v>
      </c>
      <c r="B452" s="12"/>
      <c r="C452" s="9">
        <v>2.62</v>
      </c>
      <c r="D452" s="25"/>
      <c r="E452" s="10" t="str">
        <f t="shared" si="631"/>
        <v>OutubroSEMANA 1Cenoura Orgânica</v>
      </c>
      <c r="F452" s="7">
        <f>SUMIF(NF!$A:$A,$E452,NF!$I:$I)</f>
        <v>12.015000000000001</v>
      </c>
      <c r="G452" s="6">
        <v>1.5</v>
      </c>
      <c r="H452" s="6">
        <v>1.1200000000000001</v>
      </c>
      <c r="I452" s="6"/>
      <c r="J452" s="6"/>
      <c r="K452" s="6">
        <v>2.04</v>
      </c>
      <c r="L452" s="6">
        <v>1.514</v>
      </c>
      <c r="M452" s="6">
        <v>2.1080000000000001</v>
      </c>
      <c r="N452" s="7">
        <f t="shared" si="694"/>
        <v>8.282</v>
      </c>
      <c r="O452" s="11">
        <f t="shared" si="633"/>
        <v>6.3530000000000015</v>
      </c>
      <c r="P452" s="25"/>
      <c r="Q452" s="10" t="str">
        <f t="shared" si="634"/>
        <v>OutubroSEMANA 2Cenoura Orgânica</v>
      </c>
      <c r="R452" s="7">
        <f>SUMIF(NF!$A:$A,$Q452,NF!$I:$I)</f>
        <v>15.055</v>
      </c>
      <c r="S452" s="6">
        <v>2.0619999999999998</v>
      </c>
      <c r="T452" s="6">
        <v>1.94</v>
      </c>
      <c r="U452" s="6">
        <v>2.06</v>
      </c>
      <c r="V452" s="6">
        <v>2.5859999999999999</v>
      </c>
      <c r="W452" s="6">
        <v>2.008</v>
      </c>
      <c r="X452" s="6">
        <v>1.512</v>
      </c>
      <c r="Y452" s="6"/>
      <c r="Z452" s="7">
        <f t="shared" si="695"/>
        <v>12.167999999999999</v>
      </c>
      <c r="AA452" s="11">
        <f t="shared" si="636"/>
        <v>9.240000000000002</v>
      </c>
      <c r="AB452" s="25"/>
      <c r="AC452" s="10" t="str">
        <f t="shared" si="637"/>
        <v>OutubroSEMANA 3Cenoura Orgânica</v>
      </c>
      <c r="AD452" s="7">
        <f>SUMIF(NF!$A:$A,$AC452,NF!$I:$I)</f>
        <v>10.26</v>
      </c>
      <c r="AE452" s="6">
        <v>1.52</v>
      </c>
      <c r="AF452" s="6">
        <v>2.04</v>
      </c>
      <c r="AG452" s="6">
        <v>1.5</v>
      </c>
      <c r="AH452" s="6">
        <v>2</v>
      </c>
      <c r="AI452" s="6">
        <v>2.56</v>
      </c>
      <c r="AJ452" s="6">
        <v>1.026</v>
      </c>
      <c r="AK452" s="6">
        <v>1.6</v>
      </c>
      <c r="AL452" s="7">
        <f t="shared" si="696"/>
        <v>12.246</v>
      </c>
      <c r="AM452" s="11">
        <f t="shared" si="639"/>
        <v>7.2539999999999996</v>
      </c>
      <c r="AN452" s="25"/>
      <c r="AO452" s="10" t="str">
        <f t="shared" si="640"/>
        <v>OutubroSEMANA 4Cenoura Orgânica</v>
      </c>
      <c r="AP452" s="7">
        <f>SUMIF(NF!$A:$A,$AO452,NF!$I:$I)</f>
        <v>9.07</v>
      </c>
      <c r="AQ452" s="6"/>
      <c r="AR452" s="6">
        <v>1.5940000000000001</v>
      </c>
      <c r="AS452" s="6">
        <v>1.552</v>
      </c>
      <c r="AT452" s="6">
        <v>1.08</v>
      </c>
      <c r="AU452" s="6">
        <v>2.02</v>
      </c>
      <c r="AV452" s="6">
        <v>1.538</v>
      </c>
      <c r="AW452" s="6">
        <v>2.1</v>
      </c>
      <c r="AX452" s="7">
        <f t="shared" si="697"/>
        <v>9.8840000000000003</v>
      </c>
      <c r="AY452" s="11">
        <f t="shared" si="642"/>
        <v>6.4399999999999977</v>
      </c>
      <c r="AZ452" s="25"/>
      <c r="BA452" s="10" t="str">
        <f t="shared" si="643"/>
        <v>OutubroSEMANA 5Cenoura Orgânica</v>
      </c>
      <c r="BB452" s="7">
        <f>SUMIF(NF!$A:$A,$BA452,NF!$I:$I)</f>
        <v>2</v>
      </c>
      <c r="BC452" s="6">
        <v>2.504</v>
      </c>
      <c r="BD452" s="6">
        <v>1.9</v>
      </c>
      <c r="BE452" s="6">
        <f>2.59-0.07</f>
        <v>2.52</v>
      </c>
      <c r="BF452" s="74"/>
      <c r="BG452" s="74"/>
      <c r="BH452" s="74"/>
      <c r="BI452" s="74"/>
      <c r="BJ452" s="74"/>
      <c r="BK452" s="7">
        <f t="shared" si="698"/>
        <v>6.9239999999999995</v>
      </c>
      <c r="BL452" s="8">
        <f t="shared" si="645"/>
        <v>1.5159999999999982</v>
      </c>
      <c r="BM452" s="51" t="str">
        <f>IFERROR(VLOOKUP(A452,NF!$M:$O,3,0),"")</f>
        <v>Hortifruti</v>
      </c>
      <c r="BN452" s="7">
        <f t="shared" si="646"/>
        <v>49.503999999999998</v>
      </c>
      <c r="BO452" s="8">
        <f t="array" ref="BO452">IFERROR(LARGE(IF(NF!$G$2:$G$3137='Mês atual'!A452,NF!$J$2:$J$3137),1),0)*BN452</f>
        <v>383.65600000000001</v>
      </c>
      <c r="BP452" s="50"/>
      <c r="BR452" s="147">
        <f t="array" ref="BR452">IFERROR(LARGE(IF(NF!$G$2:$G$3137='Mês atual'!A452,NF!$J$2:$J$3137),1),0)</f>
        <v>7.75</v>
      </c>
      <c r="BS452" s="143" t="str">
        <f>VLOOKUP(A452,NF!M:O,3,0)</f>
        <v>Hortifruti</v>
      </c>
    </row>
    <row r="453" spans="1:71" x14ac:dyDescent="0.25">
      <c r="A453" s="108" t="s">
        <v>275</v>
      </c>
      <c r="B453" s="12"/>
      <c r="C453" s="9"/>
      <c r="D453" s="25"/>
      <c r="E453" s="10" t="str">
        <f t="shared" si="631"/>
        <v>OutubroSEMANA 1Chicória</v>
      </c>
      <c r="F453" s="7">
        <f>SUMIF(NF!$A:$A,$E453,NF!$I:$I)</f>
        <v>8</v>
      </c>
      <c r="G453" s="6"/>
      <c r="H453" s="6"/>
      <c r="I453" s="6"/>
      <c r="J453" s="6">
        <v>8</v>
      </c>
      <c r="K453" s="6"/>
      <c r="L453" s="6"/>
      <c r="M453" s="6"/>
      <c r="N453" s="7">
        <f t="shared" si="694"/>
        <v>8</v>
      </c>
      <c r="O453" s="11">
        <f t="shared" si="633"/>
        <v>0</v>
      </c>
      <c r="P453" s="25"/>
      <c r="Q453" s="10" t="str">
        <f t="shared" si="634"/>
        <v>OutubroSEMANA 2Chicória</v>
      </c>
      <c r="R453" s="7">
        <f>SUMIF(NF!$A:$A,$Q453,NF!$I:$I)</f>
        <v>0</v>
      </c>
      <c r="S453" s="6"/>
      <c r="T453" s="6"/>
      <c r="U453" s="6"/>
      <c r="V453" s="6"/>
      <c r="W453" s="6"/>
      <c r="X453" s="6"/>
      <c r="Y453" s="6"/>
      <c r="Z453" s="7">
        <f t="shared" si="695"/>
        <v>0</v>
      </c>
      <c r="AA453" s="11">
        <f t="shared" si="636"/>
        <v>0</v>
      </c>
      <c r="AB453" s="25"/>
      <c r="AC453" s="10" t="str">
        <f t="shared" si="637"/>
        <v>OutubroSEMANA 3Chicória</v>
      </c>
      <c r="AD453" s="7">
        <f>SUMIF(NF!$A:$A,$AC453,NF!$I:$I)</f>
        <v>0</v>
      </c>
      <c r="AE453" s="6"/>
      <c r="AF453" s="6"/>
      <c r="AG453" s="6"/>
      <c r="AH453" s="6"/>
      <c r="AI453" s="6"/>
      <c r="AJ453" s="6"/>
      <c r="AK453" s="6"/>
      <c r="AL453" s="7">
        <f t="shared" si="696"/>
        <v>0</v>
      </c>
      <c r="AM453" s="11">
        <f t="shared" si="639"/>
        <v>0</v>
      </c>
      <c r="AN453" s="25"/>
      <c r="AO453" s="10" t="str">
        <f t="shared" si="640"/>
        <v>OutubroSEMANA 4Chicória</v>
      </c>
      <c r="AP453" s="7">
        <f>SUMIF(NF!$A:$A,$AO453,NF!$I:$I)</f>
        <v>8</v>
      </c>
      <c r="AQ453" s="6"/>
      <c r="AR453" s="6"/>
      <c r="AS453" s="6">
        <v>8</v>
      </c>
      <c r="AT453" s="6"/>
      <c r="AU453" s="6"/>
      <c r="AV453" s="6"/>
      <c r="AW453" s="6"/>
      <c r="AX453" s="7">
        <f t="shared" si="697"/>
        <v>8</v>
      </c>
      <c r="AY453" s="11">
        <f t="shared" si="642"/>
        <v>0</v>
      </c>
      <c r="AZ453" s="25"/>
      <c r="BA453" s="10" t="str">
        <f t="shared" si="643"/>
        <v>OutubroSEMANA 5Chicória</v>
      </c>
      <c r="BB453" s="7">
        <f>SUMIF(NF!$A:$A,$BA453,NF!$I:$I)</f>
        <v>0</v>
      </c>
      <c r="BC453" s="6"/>
      <c r="BD453" s="6"/>
      <c r="BE453" s="6"/>
      <c r="BF453" s="74"/>
      <c r="BG453" s="74"/>
      <c r="BH453" s="74"/>
      <c r="BI453" s="74"/>
      <c r="BJ453" s="74"/>
      <c r="BK453" s="7">
        <f t="shared" si="698"/>
        <v>0</v>
      </c>
      <c r="BL453" s="8">
        <f t="shared" si="645"/>
        <v>0</v>
      </c>
      <c r="BM453" s="51" t="str">
        <f>IFERROR(VLOOKUP(A453,NF!$M:$O,3,0),"")</f>
        <v>Hortifruti</v>
      </c>
      <c r="BN453" s="7">
        <f t="shared" si="646"/>
        <v>16</v>
      </c>
      <c r="BO453" s="8">
        <f t="array" ref="BO453">IFERROR(LARGE(IF(NF!$G$2:$G$3137='Mês atual'!A453,NF!$J$2:$J$3137),1),0)*BN453</f>
        <v>56</v>
      </c>
      <c r="BP453" s="50"/>
      <c r="BR453" s="147">
        <f t="array" ref="BR453">IFERROR(LARGE(IF(NF!$G$2:$G$3137='Mês atual'!A453,NF!$J$2:$J$3137),1),0)</f>
        <v>3.5</v>
      </c>
      <c r="BS453" s="143" t="str">
        <f>VLOOKUP(A453,NF!M:O,3,0)</f>
        <v>Hortifruti</v>
      </c>
    </row>
    <row r="454" spans="1:71" x14ac:dyDescent="0.25">
      <c r="A454" s="108" t="s">
        <v>963</v>
      </c>
      <c r="B454" s="12"/>
      <c r="C454" s="9"/>
      <c r="D454" s="25"/>
      <c r="E454" s="10" t="str">
        <f t="shared" si="631"/>
        <v>OutubroSEMANA 1Chicória Frizé</v>
      </c>
      <c r="F454" s="7">
        <f>SUMIF(NF!$A:$A,$E454,NF!$I:$I)</f>
        <v>0</v>
      </c>
      <c r="G454" s="6"/>
      <c r="H454" s="6"/>
      <c r="I454" s="6"/>
      <c r="J454" s="6"/>
      <c r="K454" s="6"/>
      <c r="L454" s="6"/>
      <c r="M454" s="6"/>
      <c r="N454" s="7">
        <f t="shared" ref="N454" si="699">SUM(G454:M454)</f>
        <v>0</v>
      </c>
      <c r="O454" s="11">
        <f t="shared" si="633"/>
        <v>0</v>
      </c>
      <c r="P454" s="25"/>
      <c r="Q454" s="10" t="str">
        <f t="shared" si="634"/>
        <v>OutubroSEMANA 2Chicória Frizé</v>
      </c>
      <c r="R454" s="7">
        <f>SUMIF(NF!$A:$A,$Q454,NF!$I:$I)</f>
        <v>0</v>
      </c>
      <c r="S454" s="6"/>
      <c r="T454" s="6"/>
      <c r="U454" s="6"/>
      <c r="V454" s="6"/>
      <c r="W454" s="6"/>
      <c r="X454" s="6"/>
      <c r="Y454" s="6"/>
      <c r="Z454" s="7">
        <f t="shared" ref="Z454" si="700">SUM(S454:Y454)</f>
        <v>0</v>
      </c>
      <c r="AA454" s="11">
        <f t="shared" si="636"/>
        <v>0</v>
      </c>
      <c r="AB454" s="25"/>
      <c r="AC454" s="10" t="str">
        <f t="shared" si="637"/>
        <v>OutubroSEMANA 3Chicória Frizé</v>
      </c>
      <c r="AD454" s="7">
        <f>SUMIF(NF!$A:$A,$AC454,NF!$I:$I)</f>
        <v>0</v>
      </c>
      <c r="AE454" s="6"/>
      <c r="AF454" s="6"/>
      <c r="AG454" s="6"/>
      <c r="AH454" s="6"/>
      <c r="AI454" s="6"/>
      <c r="AJ454" s="6"/>
      <c r="AK454" s="6"/>
      <c r="AL454" s="7">
        <f t="shared" ref="AL454" si="701">SUM(AE454:AK454)</f>
        <v>0</v>
      </c>
      <c r="AM454" s="11">
        <f t="shared" si="639"/>
        <v>0</v>
      </c>
      <c r="AN454" s="25"/>
      <c r="AO454" s="10" t="str">
        <f t="shared" si="640"/>
        <v>OutubroSEMANA 4Chicória Frizé</v>
      </c>
      <c r="AP454" s="7">
        <f>SUMIF(NF!$A:$A,$AO454,NF!$I:$I)</f>
        <v>0</v>
      </c>
      <c r="AQ454" s="6"/>
      <c r="AR454" s="6"/>
      <c r="AS454" s="6"/>
      <c r="AT454" s="6"/>
      <c r="AU454" s="6"/>
      <c r="AV454" s="6"/>
      <c r="AW454" s="6"/>
      <c r="AX454" s="7">
        <f t="shared" ref="AX454" si="702">SUM(AQ454:AW454)</f>
        <v>0</v>
      </c>
      <c r="AY454" s="11">
        <f t="shared" si="642"/>
        <v>0</v>
      </c>
      <c r="AZ454" s="25"/>
      <c r="BA454" s="10" t="str">
        <f t="shared" si="643"/>
        <v>OutubroSEMANA 5Chicória Frizé</v>
      </c>
      <c r="BB454" s="7">
        <f>SUMIF(NF!$A:$A,$BA454,NF!$I:$I)</f>
        <v>0</v>
      </c>
      <c r="BC454" s="6"/>
      <c r="BD454" s="6"/>
      <c r="BE454" s="6"/>
      <c r="BF454" s="74"/>
      <c r="BG454" s="74"/>
      <c r="BH454" s="74"/>
      <c r="BI454" s="74"/>
      <c r="BJ454" s="74"/>
      <c r="BK454" s="7">
        <f t="shared" ref="BK454" si="703">SUM(BC454:BJ454)</f>
        <v>0</v>
      </c>
      <c r="BL454" s="8">
        <f t="shared" si="645"/>
        <v>0</v>
      </c>
      <c r="BM454" s="51" t="str">
        <f>IFERROR(VLOOKUP(A454,NF!$M:$O,3,0),"")</f>
        <v>Hortifruti</v>
      </c>
      <c r="BN454" s="7">
        <f t="shared" si="646"/>
        <v>0</v>
      </c>
      <c r="BO454" s="8">
        <f t="array" ref="BO454">IFERROR(LARGE(IF(NF!$G$2:$G$3137='Mês atual'!A454,NF!$J$2:$J$3137),1),0)*BN454</f>
        <v>0</v>
      </c>
      <c r="BP454" s="50"/>
      <c r="BR454" s="147">
        <f t="array" ref="BR454">IFERROR(LARGE(IF(NF!$G$2:$G$3137='Mês atual'!A454,NF!$J$2:$J$3137),1),0)</f>
        <v>0</v>
      </c>
      <c r="BS454" s="143" t="str">
        <f>VLOOKUP(A454,NF!M:O,3,0)</f>
        <v>Hortifruti</v>
      </c>
    </row>
    <row r="455" spans="1:71" x14ac:dyDescent="0.25">
      <c r="A455" s="108" t="s">
        <v>276</v>
      </c>
      <c r="B455" s="12"/>
      <c r="C455" s="9"/>
      <c r="D455" s="25"/>
      <c r="E455" s="10" t="str">
        <f t="shared" si="631"/>
        <v>OutubroSEMANA 1Chicória Orgânica</v>
      </c>
      <c r="F455" s="7">
        <f>SUMIF(NF!$A:$A,$E455,NF!$I:$I)</f>
        <v>0</v>
      </c>
      <c r="G455" s="6"/>
      <c r="H455" s="6"/>
      <c r="I455" s="6"/>
      <c r="J455" s="6"/>
      <c r="K455" s="6"/>
      <c r="L455" s="6"/>
      <c r="M455" s="6"/>
      <c r="N455" s="7">
        <f t="shared" ref="N455:N467" si="704">SUM(G455:M455)</f>
        <v>0</v>
      </c>
      <c r="O455" s="11">
        <f t="shared" si="633"/>
        <v>0</v>
      </c>
      <c r="P455" s="25"/>
      <c r="Q455" s="10" t="str">
        <f t="shared" si="634"/>
        <v>OutubroSEMANA 2Chicória Orgânica</v>
      </c>
      <c r="R455" s="7">
        <f>SUMIF(NF!$A:$A,$Q455,NF!$I:$I)</f>
        <v>0</v>
      </c>
      <c r="S455" s="6"/>
      <c r="T455" s="6"/>
      <c r="U455" s="6"/>
      <c r="V455" s="6"/>
      <c r="W455" s="6"/>
      <c r="X455" s="6"/>
      <c r="Y455" s="6"/>
      <c r="Z455" s="7">
        <f t="shared" ref="Z455:Z467" si="705">SUM(S455:Y455)</f>
        <v>0</v>
      </c>
      <c r="AA455" s="11">
        <f t="shared" si="636"/>
        <v>0</v>
      </c>
      <c r="AB455" s="25"/>
      <c r="AC455" s="10" t="str">
        <f t="shared" si="637"/>
        <v>OutubroSEMANA 3Chicória Orgânica</v>
      </c>
      <c r="AD455" s="7">
        <f>SUMIF(NF!$A:$A,$AC455,NF!$I:$I)</f>
        <v>0</v>
      </c>
      <c r="AE455" s="6"/>
      <c r="AF455" s="6"/>
      <c r="AG455" s="6"/>
      <c r="AH455" s="6"/>
      <c r="AI455" s="6"/>
      <c r="AJ455" s="6"/>
      <c r="AK455" s="6"/>
      <c r="AL455" s="7">
        <f t="shared" ref="AL455:AL467" si="706">SUM(AE455:AK455)</f>
        <v>0</v>
      </c>
      <c r="AM455" s="11">
        <f t="shared" si="639"/>
        <v>0</v>
      </c>
      <c r="AN455" s="25"/>
      <c r="AO455" s="10" t="str">
        <f t="shared" si="640"/>
        <v>OutubroSEMANA 4Chicória Orgânica</v>
      </c>
      <c r="AP455" s="7">
        <f>SUMIF(NF!$A:$A,$AO455,NF!$I:$I)</f>
        <v>0</v>
      </c>
      <c r="AQ455" s="6"/>
      <c r="AR455" s="6"/>
      <c r="AS455" s="6"/>
      <c r="AT455" s="6"/>
      <c r="AU455" s="6"/>
      <c r="AV455" s="6"/>
      <c r="AW455" s="6"/>
      <c r="AX455" s="7">
        <f t="shared" ref="AX455:AX467" si="707">SUM(AQ455:AW455)</f>
        <v>0</v>
      </c>
      <c r="AY455" s="11">
        <f t="shared" si="642"/>
        <v>0</v>
      </c>
      <c r="AZ455" s="25"/>
      <c r="BA455" s="10" t="str">
        <f t="shared" si="643"/>
        <v>OutubroSEMANA 5Chicória Orgânica</v>
      </c>
      <c r="BB455" s="7">
        <f>SUMIF(NF!$A:$A,$BA455,NF!$I:$I)</f>
        <v>0</v>
      </c>
      <c r="BC455" s="6"/>
      <c r="BD455" s="6"/>
      <c r="BE455" s="6"/>
      <c r="BF455" s="74"/>
      <c r="BG455" s="74"/>
      <c r="BH455" s="74"/>
      <c r="BI455" s="74"/>
      <c r="BJ455" s="74"/>
      <c r="BK455" s="7">
        <f t="shared" ref="BK455:BK467" si="708">SUM(BC455:BJ455)</f>
        <v>0</v>
      </c>
      <c r="BL455" s="8">
        <f t="shared" si="645"/>
        <v>0</v>
      </c>
      <c r="BM455" s="51" t="str">
        <f>IFERROR(VLOOKUP(A455,NF!$M:$O,3,0),"")</f>
        <v>Hortifruti</v>
      </c>
      <c r="BN455" s="7">
        <f t="shared" si="646"/>
        <v>0</v>
      </c>
      <c r="BO455" s="8">
        <f t="array" ref="BO455">IFERROR(LARGE(IF(NF!$G$2:$G$3137='Mês atual'!A455,NF!$J$2:$J$3137),1),0)*BN455</f>
        <v>0</v>
      </c>
      <c r="BP455" s="50"/>
      <c r="BR455" s="147">
        <f t="array" ref="BR455">IFERROR(LARGE(IF(NF!$G$2:$G$3137='Mês atual'!A455,NF!$J$2:$J$3137),1),0)</f>
        <v>0</v>
      </c>
      <c r="BS455" s="143" t="str">
        <f>VLOOKUP(A455,NF!M:O,3,0)</f>
        <v>Hortifruti</v>
      </c>
    </row>
    <row r="456" spans="1:71" x14ac:dyDescent="0.25">
      <c r="A456" s="108" t="s">
        <v>280</v>
      </c>
      <c r="B456" s="12"/>
      <c r="C456" s="9">
        <v>3.42</v>
      </c>
      <c r="D456" s="25"/>
      <c r="E456" s="10" t="str">
        <f t="shared" si="631"/>
        <v>OutubroSEMANA 1Chuchu</v>
      </c>
      <c r="F456" s="7">
        <f>SUMIF(NF!$A:$A,$E456,NF!$I:$I)</f>
        <v>17.82</v>
      </c>
      <c r="G456" s="6"/>
      <c r="H456" s="6">
        <v>2.2999999999999998</v>
      </c>
      <c r="I456" s="6"/>
      <c r="J456" s="6">
        <v>2</v>
      </c>
      <c r="K456" s="6">
        <v>1</v>
      </c>
      <c r="L456" s="6">
        <v>2.08</v>
      </c>
      <c r="M456" s="6">
        <v>2.2000000000000002</v>
      </c>
      <c r="N456" s="7">
        <f t="shared" si="704"/>
        <v>9.58</v>
      </c>
      <c r="O456" s="11">
        <f t="shared" si="633"/>
        <v>11.660000000000002</v>
      </c>
      <c r="P456" s="25"/>
      <c r="Q456" s="10" t="str">
        <f t="shared" si="634"/>
        <v>OutubroSEMANA 2Chuchu</v>
      </c>
      <c r="R456" s="7">
        <f>SUMIF(NF!$A:$A,$Q456,NF!$I:$I)</f>
        <v>0</v>
      </c>
      <c r="S456" s="6"/>
      <c r="T456" s="6">
        <v>1.4</v>
      </c>
      <c r="U456" s="6"/>
      <c r="V456" s="6">
        <v>2.2000000000000002</v>
      </c>
      <c r="W456" s="6"/>
      <c r="X456" s="6">
        <v>1.9</v>
      </c>
      <c r="Y456" s="6"/>
      <c r="Z456" s="7">
        <f t="shared" si="705"/>
        <v>5.5</v>
      </c>
      <c r="AA456" s="11">
        <f t="shared" si="636"/>
        <v>6.1600000000000019</v>
      </c>
      <c r="AB456" s="25"/>
      <c r="AC456" s="10" t="str">
        <f t="shared" si="637"/>
        <v>OutubroSEMANA 3Chuchu</v>
      </c>
      <c r="AD456" s="7">
        <f>SUMIF(NF!$A:$A,$AC456,NF!$I:$I)</f>
        <v>16.239999999999998</v>
      </c>
      <c r="AE456" s="6"/>
      <c r="AF456" s="6">
        <v>2.1</v>
      </c>
      <c r="AG456" s="6">
        <f>3.2+1.08</f>
        <v>4.28</v>
      </c>
      <c r="AH456" s="6">
        <v>1.4419999999999999</v>
      </c>
      <c r="AI456" s="6">
        <v>3.78</v>
      </c>
      <c r="AJ456" s="6">
        <v>2.1</v>
      </c>
      <c r="AK456" s="6"/>
      <c r="AL456" s="7">
        <f t="shared" si="706"/>
        <v>13.702</v>
      </c>
      <c r="AM456" s="11">
        <f t="shared" si="639"/>
        <v>8.6979999999999986</v>
      </c>
      <c r="AN456" s="25"/>
      <c r="AO456" s="10" t="str">
        <f t="shared" si="640"/>
        <v>OutubroSEMANA 4Chuchu</v>
      </c>
      <c r="AP456" s="7">
        <f>SUMIF(NF!$A:$A,$AO456,NF!$I:$I)</f>
        <v>16.739999999999998</v>
      </c>
      <c r="AQ456" s="6"/>
      <c r="AR456" s="6">
        <f>2.02+2.02</f>
        <v>4.04</v>
      </c>
      <c r="AS456" s="6"/>
      <c r="AT456" s="6">
        <v>1.72</v>
      </c>
      <c r="AU456" s="6">
        <v>2.9350000000000001</v>
      </c>
      <c r="AV456" s="6">
        <v>3</v>
      </c>
      <c r="AW456" s="6">
        <v>2.0979999999999999</v>
      </c>
      <c r="AX456" s="7">
        <f t="shared" si="707"/>
        <v>13.792999999999999</v>
      </c>
      <c r="AY456" s="11">
        <f t="shared" si="642"/>
        <v>11.644999999999996</v>
      </c>
      <c r="AZ456" s="25"/>
      <c r="BA456" s="10" t="str">
        <f t="shared" si="643"/>
        <v>OutubroSEMANA 5Chuchu</v>
      </c>
      <c r="BB456" s="7">
        <f>SUMIF(NF!$A:$A,$BA456,NF!$I:$I)</f>
        <v>0</v>
      </c>
      <c r="BC456" s="6">
        <f>2.12+0.11</f>
        <v>2.23</v>
      </c>
      <c r="BD456" s="6"/>
      <c r="BE456" s="6"/>
      <c r="BF456" s="74"/>
      <c r="BG456" s="74"/>
      <c r="BH456" s="74"/>
      <c r="BI456" s="74"/>
      <c r="BJ456" s="74"/>
      <c r="BK456" s="7">
        <f t="shared" si="708"/>
        <v>2.23</v>
      </c>
      <c r="BL456" s="8">
        <f t="shared" si="645"/>
        <v>9.4149999999999956</v>
      </c>
      <c r="BM456" s="51" t="str">
        <f>IFERROR(VLOOKUP(A456,NF!$M:$O,3,0),"")</f>
        <v>Hortifruti</v>
      </c>
      <c r="BN456" s="7">
        <f t="shared" si="646"/>
        <v>44.805</v>
      </c>
      <c r="BO456" s="8">
        <f t="array" ref="BO456">IFERROR(LARGE(IF(NF!$G$2:$G$3137='Mês atual'!A456,NF!$J$2:$J$3137),1),0)*BN456</f>
        <v>93.678315412186379</v>
      </c>
      <c r="BP456" s="50"/>
      <c r="BR456" s="147">
        <f t="array" ref="BR456">IFERROR(LARGE(IF(NF!$G$2:$G$3137='Mês atual'!A456,NF!$J$2:$J$3137),1),0)</f>
        <v>2.0908004778972522</v>
      </c>
      <c r="BS456" s="143" t="str">
        <f>VLOOKUP(A456,NF!M:O,3,0)</f>
        <v>Hortifruti</v>
      </c>
    </row>
    <row r="457" spans="1:71" x14ac:dyDescent="0.25">
      <c r="A457" s="108" t="s">
        <v>281</v>
      </c>
      <c r="B457" s="12"/>
      <c r="C457" s="9"/>
      <c r="D457" s="25"/>
      <c r="E457" s="10" t="str">
        <f t="shared" si="631"/>
        <v>OutubroSEMANA 1Chuchu Orgânico</v>
      </c>
      <c r="F457" s="7">
        <f>SUMIF(NF!$A:$A,$E457,NF!$I:$I)</f>
        <v>0</v>
      </c>
      <c r="G457" s="6"/>
      <c r="H457" s="6"/>
      <c r="I457" s="6"/>
      <c r="J457" s="6"/>
      <c r="K457" s="6"/>
      <c r="L457" s="6"/>
      <c r="M457" s="6"/>
      <c r="N457" s="7">
        <f t="shared" si="704"/>
        <v>0</v>
      </c>
      <c r="O457" s="11">
        <f t="shared" si="633"/>
        <v>0</v>
      </c>
      <c r="P457" s="25"/>
      <c r="Q457" s="10" t="str">
        <f t="shared" si="634"/>
        <v>OutubroSEMANA 2Chuchu Orgânico</v>
      </c>
      <c r="R457" s="7">
        <f>SUMIF(NF!$A:$A,$Q457,NF!$I:$I)</f>
        <v>0</v>
      </c>
      <c r="S457" s="6"/>
      <c r="T457" s="6"/>
      <c r="U457" s="6"/>
      <c r="V457" s="6"/>
      <c r="W457" s="6"/>
      <c r="X457" s="6"/>
      <c r="Y457" s="6"/>
      <c r="Z457" s="7">
        <f t="shared" si="705"/>
        <v>0</v>
      </c>
      <c r="AA457" s="11">
        <f t="shared" si="636"/>
        <v>0</v>
      </c>
      <c r="AB457" s="25"/>
      <c r="AC457" s="10" t="str">
        <f t="shared" si="637"/>
        <v>OutubroSEMANA 3Chuchu Orgânico</v>
      </c>
      <c r="AD457" s="7">
        <f>SUMIF(NF!$A:$A,$AC457,NF!$I:$I)</f>
        <v>0</v>
      </c>
      <c r="AE457" s="6"/>
      <c r="AF457" s="6"/>
      <c r="AG457" s="6"/>
      <c r="AH457" s="6"/>
      <c r="AI457" s="6"/>
      <c r="AJ457" s="6"/>
      <c r="AK457" s="6"/>
      <c r="AL457" s="7">
        <f t="shared" si="706"/>
        <v>0</v>
      </c>
      <c r="AM457" s="11">
        <f t="shared" si="639"/>
        <v>0</v>
      </c>
      <c r="AN457" s="25"/>
      <c r="AO457" s="10" t="str">
        <f t="shared" si="640"/>
        <v>OutubroSEMANA 4Chuchu Orgânico</v>
      </c>
      <c r="AP457" s="7">
        <f>SUMIF(NF!$A:$A,$AO457,NF!$I:$I)</f>
        <v>0</v>
      </c>
      <c r="AQ457" s="6"/>
      <c r="AR457" s="6"/>
      <c r="AS457" s="6"/>
      <c r="AT457" s="6"/>
      <c r="AU457" s="6"/>
      <c r="AV457" s="6"/>
      <c r="AW457" s="6"/>
      <c r="AX457" s="7">
        <f t="shared" si="707"/>
        <v>0</v>
      </c>
      <c r="AY457" s="11">
        <f t="shared" si="642"/>
        <v>0</v>
      </c>
      <c r="AZ457" s="25"/>
      <c r="BA457" s="10" t="str">
        <f t="shared" si="643"/>
        <v>OutubroSEMANA 5Chuchu Orgânico</v>
      </c>
      <c r="BB457" s="7">
        <f>SUMIF(NF!$A:$A,$BA457,NF!$I:$I)</f>
        <v>0</v>
      </c>
      <c r="BC457" s="6"/>
      <c r="BD457" s="6"/>
      <c r="BE457" s="6"/>
      <c r="BF457" s="74"/>
      <c r="BG457" s="74"/>
      <c r="BH457" s="74"/>
      <c r="BI457" s="74"/>
      <c r="BJ457" s="74"/>
      <c r="BK457" s="7">
        <f t="shared" si="708"/>
        <v>0</v>
      </c>
      <c r="BL457" s="8">
        <f t="shared" si="645"/>
        <v>0</v>
      </c>
      <c r="BM457" s="51" t="str">
        <f>IFERROR(VLOOKUP(A457,NF!$M:$O,3,0),"")</f>
        <v>Hortifruti</v>
      </c>
      <c r="BN457" s="7">
        <f t="shared" si="646"/>
        <v>0</v>
      </c>
      <c r="BO457" s="8">
        <f t="array" ref="BO457">IFERROR(LARGE(IF(NF!$G$2:$G$3137='Mês atual'!A457,NF!$J$2:$J$3137),1),0)*BN457</f>
        <v>0</v>
      </c>
      <c r="BP457" s="50"/>
      <c r="BR457" s="147">
        <f t="array" ref="BR457">IFERROR(LARGE(IF(NF!$G$2:$G$3137='Mês atual'!A457,NF!$J$2:$J$3137),1),0)</f>
        <v>0</v>
      </c>
      <c r="BS457" s="143" t="str">
        <f>VLOOKUP(A457,NF!M:O,3,0)</f>
        <v>Hortifruti</v>
      </c>
    </row>
    <row r="458" spans="1:71" x14ac:dyDescent="0.25">
      <c r="A458" s="108" t="s">
        <v>287</v>
      </c>
      <c r="B458" s="12"/>
      <c r="C458" s="9"/>
      <c r="D458" s="25"/>
      <c r="E458" s="10" t="str">
        <f t="shared" si="631"/>
        <v>OutubroSEMANA 1Côco Seco</v>
      </c>
      <c r="F458" s="7">
        <f>SUMIF(NF!$A:$A,$E458,NF!$I:$I)</f>
        <v>5.63</v>
      </c>
      <c r="G458" s="6"/>
      <c r="H458" s="6"/>
      <c r="I458" s="6">
        <v>1.63</v>
      </c>
      <c r="J458" s="6">
        <v>2</v>
      </c>
      <c r="K458" s="6"/>
      <c r="L458" s="6">
        <v>2</v>
      </c>
      <c r="M458" s="6"/>
      <c r="N458" s="7">
        <f t="shared" ref="N458" si="709">SUM(G458:M458)</f>
        <v>5.63</v>
      </c>
      <c r="O458" s="11">
        <f t="shared" si="633"/>
        <v>0</v>
      </c>
      <c r="P458" s="25"/>
      <c r="Q458" s="10" t="str">
        <f t="shared" si="634"/>
        <v>OutubroSEMANA 2Côco Seco</v>
      </c>
      <c r="R458" s="7">
        <f>SUMIF(NF!$A:$A,$Q458,NF!$I:$I)</f>
        <v>4</v>
      </c>
      <c r="S458" s="6"/>
      <c r="T458" s="6"/>
      <c r="U458" s="6"/>
      <c r="V458" s="6"/>
      <c r="W458" s="6">
        <v>3</v>
      </c>
      <c r="X458" s="6"/>
      <c r="Y458" s="6">
        <v>1</v>
      </c>
      <c r="Z458" s="7">
        <f t="shared" ref="Z458" si="710">SUM(S458:Y458)</f>
        <v>4</v>
      </c>
      <c r="AA458" s="11">
        <f t="shared" si="636"/>
        <v>0</v>
      </c>
      <c r="AB458" s="25"/>
      <c r="AC458" s="10" t="str">
        <f t="shared" si="637"/>
        <v>OutubroSEMANA 3Côco Seco</v>
      </c>
      <c r="AD458" s="7">
        <f>SUMIF(NF!$A:$A,$AC458,NF!$I:$I)</f>
        <v>3</v>
      </c>
      <c r="AE458" s="6"/>
      <c r="AF458" s="6"/>
      <c r="AG458" s="6"/>
      <c r="AH458" s="6"/>
      <c r="AI458" s="6">
        <v>3</v>
      </c>
      <c r="AJ458" s="6"/>
      <c r="AK458" s="6"/>
      <c r="AL458" s="7">
        <f t="shared" ref="AL458" si="711">SUM(AE458:AK458)</f>
        <v>3</v>
      </c>
      <c r="AM458" s="11">
        <f t="shared" si="639"/>
        <v>0</v>
      </c>
      <c r="AN458" s="25"/>
      <c r="AO458" s="10" t="str">
        <f t="shared" si="640"/>
        <v>OutubroSEMANA 4Côco Seco</v>
      </c>
      <c r="AP458" s="7">
        <f>SUMIF(NF!$A:$A,$AO458,NF!$I:$I)</f>
        <v>6</v>
      </c>
      <c r="AQ458" s="6"/>
      <c r="AR458" s="6"/>
      <c r="AS458" s="6"/>
      <c r="AT458" s="6">
        <v>1</v>
      </c>
      <c r="AU458" s="6">
        <v>3</v>
      </c>
      <c r="AV458" s="6">
        <v>1</v>
      </c>
      <c r="AW458" s="6"/>
      <c r="AX458" s="7">
        <f t="shared" ref="AX458" si="712">SUM(AQ458:AW458)</f>
        <v>5</v>
      </c>
      <c r="AY458" s="11">
        <f t="shared" si="642"/>
        <v>1</v>
      </c>
      <c r="AZ458" s="25"/>
      <c r="BA458" s="10" t="str">
        <f t="shared" si="643"/>
        <v>OutubroSEMANA 5Côco Seco</v>
      </c>
      <c r="BB458" s="7">
        <f>SUMIF(NF!$A:$A,$BA458,NF!$I:$I)</f>
        <v>0</v>
      </c>
      <c r="BC458" s="6"/>
      <c r="BD458" s="6">
        <v>1</v>
      </c>
      <c r="BE458" s="6"/>
      <c r="BF458" s="74"/>
      <c r="BG458" s="74"/>
      <c r="BH458" s="74"/>
      <c r="BI458" s="74"/>
      <c r="BJ458" s="74"/>
      <c r="BK458" s="7">
        <f t="shared" ref="BK458" si="713">SUM(BC458:BJ458)</f>
        <v>1</v>
      </c>
      <c r="BL458" s="8">
        <f t="shared" si="645"/>
        <v>0</v>
      </c>
      <c r="BM458" s="51" t="str">
        <f>IFERROR(VLOOKUP(A458,NF!$M:$O,3,0),"")</f>
        <v>Mercado</v>
      </c>
      <c r="BN458" s="7">
        <f t="shared" si="646"/>
        <v>18.63</v>
      </c>
      <c r="BO458" s="8">
        <f t="array" ref="BO458">IFERROR(LARGE(IF(NF!$G$2:$G$3137='Mês atual'!A458,NF!$J$2:$J$3137),1),0)*BN458</f>
        <v>167.4837</v>
      </c>
      <c r="BP458" s="50"/>
      <c r="BR458" s="147">
        <f t="array" ref="BR458">IFERROR(LARGE(IF(NF!$G$2:$G$3137='Mês atual'!A458,NF!$J$2:$J$3137),1),0)</f>
        <v>8.99</v>
      </c>
      <c r="BS458" s="143" t="str">
        <f>VLOOKUP(A458,NF!M:O,3,0)</f>
        <v>Mercado</v>
      </c>
    </row>
    <row r="459" spans="1:71" x14ac:dyDescent="0.25">
      <c r="A459" s="108" t="s">
        <v>288</v>
      </c>
      <c r="B459" s="12"/>
      <c r="C459" s="9">
        <v>25</v>
      </c>
      <c r="D459" s="25"/>
      <c r="E459" s="10" t="str">
        <f t="shared" si="631"/>
        <v>OutubroSEMANA 1Côco Verde</v>
      </c>
      <c r="F459" s="7">
        <f>SUMIF(NF!$A:$A,$E459,NF!$I:$I)</f>
        <v>59</v>
      </c>
      <c r="G459" s="6">
        <v>10</v>
      </c>
      <c r="H459" s="6">
        <v>10</v>
      </c>
      <c r="I459" s="6">
        <v>10</v>
      </c>
      <c r="J459" s="6">
        <v>5</v>
      </c>
      <c r="K459" s="6">
        <v>10</v>
      </c>
      <c r="L459" s="6">
        <v>9</v>
      </c>
      <c r="M459" s="6">
        <v>15</v>
      </c>
      <c r="N459" s="7">
        <f t="shared" si="704"/>
        <v>69</v>
      </c>
      <c r="O459" s="11">
        <f t="shared" si="633"/>
        <v>15</v>
      </c>
      <c r="P459" s="25"/>
      <c r="Q459" s="10" t="str">
        <f t="shared" si="634"/>
        <v>OutubroSEMANA 2Côco Verde</v>
      </c>
      <c r="R459" s="7">
        <f>SUMIF(NF!$A:$A,$Q459,NF!$I:$I)</f>
        <v>105</v>
      </c>
      <c r="S459" s="6">
        <v>15</v>
      </c>
      <c r="T459" s="6">
        <v>20</v>
      </c>
      <c r="U459" s="6">
        <v>5</v>
      </c>
      <c r="V459" s="6">
        <v>10</v>
      </c>
      <c r="W459" s="6">
        <v>10</v>
      </c>
      <c r="X459" s="6">
        <v>20</v>
      </c>
      <c r="Y459" s="6">
        <v>10</v>
      </c>
      <c r="Z459" s="7">
        <f t="shared" si="705"/>
        <v>90</v>
      </c>
      <c r="AA459" s="11">
        <f t="shared" si="636"/>
        <v>30</v>
      </c>
      <c r="AB459" s="25"/>
      <c r="AC459" s="10" t="str">
        <f t="shared" si="637"/>
        <v>OutubroSEMANA 3Côco Verde</v>
      </c>
      <c r="AD459" s="7">
        <f>SUMIF(NF!$A:$A,$AC459,NF!$I:$I)</f>
        <v>70</v>
      </c>
      <c r="AE459" s="6">
        <v>10</v>
      </c>
      <c r="AF459" s="6">
        <v>10</v>
      </c>
      <c r="AG459" s="6">
        <v>10</v>
      </c>
      <c r="AH459" s="6">
        <v>10</v>
      </c>
      <c r="AI459" s="6"/>
      <c r="AJ459" s="6">
        <v>10</v>
      </c>
      <c r="AK459" s="6">
        <v>20</v>
      </c>
      <c r="AL459" s="7">
        <f t="shared" si="706"/>
        <v>70</v>
      </c>
      <c r="AM459" s="11">
        <f t="shared" si="639"/>
        <v>30</v>
      </c>
      <c r="AN459" s="25"/>
      <c r="AO459" s="10" t="str">
        <f t="shared" si="640"/>
        <v>OutubroSEMANA 4Côco Verde</v>
      </c>
      <c r="AP459" s="7">
        <f>SUMIF(NF!$A:$A,$AO459,NF!$I:$I)</f>
        <v>65</v>
      </c>
      <c r="AQ459" s="6">
        <v>20</v>
      </c>
      <c r="AR459" s="6">
        <v>10</v>
      </c>
      <c r="AS459" s="6">
        <v>10</v>
      </c>
      <c r="AT459" s="6">
        <v>5</v>
      </c>
      <c r="AU459" s="6">
        <v>10</v>
      </c>
      <c r="AV459" s="6">
        <v>10</v>
      </c>
      <c r="AW459" s="6">
        <v>10</v>
      </c>
      <c r="AX459" s="7">
        <f t="shared" si="707"/>
        <v>75</v>
      </c>
      <c r="AY459" s="11">
        <f t="shared" si="642"/>
        <v>20</v>
      </c>
      <c r="AZ459" s="25"/>
      <c r="BA459" s="10" t="str">
        <f t="shared" si="643"/>
        <v>OutubroSEMANA 5Côco Verde</v>
      </c>
      <c r="BB459" s="7">
        <f>SUMIF(NF!$A:$A,$BA459,NF!$I:$I)</f>
        <v>25</v>
      </c>
      <c r="BC459" s="6">
        <v>20</v>
      </c>
      <c r="BD459" s="6">
        <v>10</v>
      </c>
      <c r="BE459" s="6">
        <v>10</v>
      </c>
      <c r="BF459" s="74"/>
      <c r="BG459" s="74"/>
      <c r="BH459" s="74"/>
      <c r="BI459" s="74"/>
      <c r="BJ459" s="74"/>
      <c r="BK459" s="7">
        <f t="shared" si="708"/>
        <v>40</v>
      </c>
      <c r="BL459" s="8">
        <f t="shared" si="645"/>
        <v>5</v>
      </c>
      <c r="BM459" s="51" t="str">
        <f>IFERROR(VLOOKUP(A459,NF!$M:$O,3,0),"")</f>
        <v>Hortifruti</v>
      </c>
      <c r="BN459" s="7">
        <f t="shared" si="646"/>
        <v>344</v>
      </c>
      <c r="BO459" s="8">
        <f t="array" ref="BO459">IFERROR(LARGE(IF(NF!$G$2:$G$3137='Mês atual'!A459,NF!$J$2:$J$3137),1),0)*BN459</f>
        <v>681.12</v>
      </c>
      <c r="BP459" s="50"/>
      <c r="BR459" s="147">
        <f t="array" ref="BR459">IFERROR(LARGE(IF(NF!$G$2:$G$3137='Mês atual'!A459,NF!$J$2:$J$3137),1),0)</f>
        <v>1.98</v>
      </c>
      <c r="BS459" s="143" t="str">
        <f>VLOOKUP(A459,NF!M:O,3,0)</f>
        <v>Hortifruti</v>
      </c>
    </row>
    <row r="460" spans="1:71" x14ac:dyDescent="0.25">
      <c r="A460" s="108" t="s">
        <v>289</v>
      </c>
      <c r="B460" s="12"/>
      <c r="C460" s="9">
        <v>1</v>
      </c>
      <c r="D460" s="25"/>
      <c r="E460" s="10" t="str">
        <f t="shared" si="631"/>
        <v>OutubroSEMANA 1Coentro</v>
      </c>
      <c r="F460" s="7">
        <f>SUMIF(NF!$A:$A,$E460,NF!$I:$I)</f>
        <v>2</v>
      </c>
      <c r="G460" s="6">
        <v>1</v>
      </c>
      <c r="H460" s="6"/>
      <c r="I460" s="6"/>
      <c r="J460" s="6">
        <v>0.5</v>
      </c>
      <c r="K460" s="6">
        <v>0.5</v>
      </c>
      <c r="L460" s="6"/>
      <c r="M460" s="6"/>
      <c r="N460" s="7">
        <f t="shared" si="704"/>
        <v>2</v>
      </c>
      <c r="O460" s="11">
        <f t="shared" si="633"/>
        <v>1</v>
      </c>
      <c r="P460" s="25"/>
      <c r="Q460" s="10" t="str">
        <f t="shared" si="634"/>
        <v>OutubroSEMANA 2Coentro</v>
      </c>
      <c r="R460" s="7">
        <f>SUMIF(NF!$A:$A,$Q460,NF!$I:$I)</f>
        <v>1.5</v>
      </c>
      <c r="S460" s="6">
        <v>1</v>
      </c>
      <c r="T460" s="6"/>
      <c r="U460" s="6"/>
      <c r="V460" s="6"/>
      <c r="W460" s="6">
        <v>0.5</v>
      </c>
      <c r="X460" s="6">
        <v>0.5</v>
      </c>
      <c r="Y460" s="6"/>
      <c r="Z460" s="7">
        <f t="shared" si="705"/>
        <v>2</v>
      </c>
      <c r="AA460" s="11">
        <f t="shared" si="636"/>
        <v>0.5</v>
      </c>
      <c r="AB460" s="25"/>
      <c r="AC460" s="10" t="str">
        <f t="shared" si="637"/>
        <v>OutubroSEMANA 3Coentro</v>
      </c>
      <c r="AD460" s="7">
        <f>SUMIF(NF!$A:$A,$AC460,NF!$I:$I)</f>
        <v>1.5</v>
      </c>
      <c r="AE460" s="6">
        <v>0.5</v>
      </c>
      <c r="AF460" s="6">
        <v>0.5</v>
      </c>
      <c r="AG460" s="6"/>
      <c r="AH460" s="6"/>
      <c r="AI460" s="6">
        <v>1</v>
      </c>
      <c r="AJ460" s="6"/>
      <c r="AK460" s="6"/>
      <c r="AL460" s="7">
        <f t="shared" si="706"/>
        <v>2</v>
      </c>
      <c r="AM460" s="11">
        <f t="shared" si="639"/>
        <v>0</v>
      </c>
      <c r="AN460" s="25"/>
      <c r="AO460" s="10" t="str">
        <f t="shared" si="640"/>
        <v>OutubroSEMANA 4Coentro</v>
      </c>
      <c r="AP460" s="7">
        <f>SUMIF(NF!$A:$A,$AO460,NF!$I:$I)</f>
        <v>2.58</v>
      </c>
      <c r="AQ460" s="6"/>
      <c r="AR460" s="6">
        <v>0.5</v>
      </c>
      <c r="AS460" s="6"/>
      <c r="AT460" s="6">
        <v>0.5</v>
      </c>
      <c r="AU460" s="6">
        <v>1</v>
      </c>
      <c r="AV460" s="6">
        <v>0.5</v>
      </c>
      <c r="AW460" s="6">
        <v>0.1</v>
      </c>
      <c r="AX460" s="7">
        <f t="shared" si="707"/>
        <v>2.6</v>
      </c>
      <c r="AY460" s="11">
        <f t="shared" si="642"/>
        <v>-2.0000000000000018E-2</v>
      </c>
      <c r="AZ460" s="25"/>
      <c r="BA460" s="10" t="str">
        <f t="shared" si="643"/>
        <v>OutubroSEMANA 5Coentro</v>
      </c>
      <c r="BB460" s="7">
        <f>SUMIF(NF!$A:$A,$BA460,NF!$I:$I)</f>
        <v>1.74</v>
      </c>
      <c r="BC460" s="6">
        <v>0.74</v>
      </c>
      <c r="BD460" s="6">
        <v>1</v>
      </c>
      <c r="BE460" s="6"/>
      <c r="BF460" s="74"/>
      <c r="BG460" s="74"/>
      <c r="BH460" s="74"/>
      <c r="BI460" s="74"/>
      <c r="BJ460" s="74"/>
      <c r="BK460" s="7">
        <f t="shared" si="708"/>
        <v>1.74</v>
      </c>
      <c r="BL460" s="8">
        <f t="shared" si="645"/>
        <v>-2.0000000000000018E-2</v>
      </c>
      <c r="BM460" s="51" t="str">
        <f>IFERROR(VLOOKUP(A460,NF!$M:$O,3,0),"")</f>
        <v>Hortifruti</v>
      </c>
      <c r="BN460" s="7">
        <f t="shared" si="646"/>
        <v>10.34</v>
      </c>
      <c r="BO460" s="8">
        <f t="array" ref="BO460">IFERROR(LARGE(IF(NF!$G$2:$G$3137='Mês atual'!A460,NF!$J$2:$J$3137),1),0)*BN460</f>
        <v>278.06216216216217</v>
      </c>
      <c r="BP460" s="50"/>
      <c r="BR460" s="147">
        <f t="array" ref="BR460">IFERROR(LARGE(IF(NF!$G$2:$G$3137='Mês atual'!A460,NF!$J$2:$J$3137),1),0)</f>
        <v>26.891891891891891</v>
      </c>
      <c r="BS460" s="143" t="str">
        <f>VLOOKUP(A460,NF!M:O,3,0)</f>
        <v>Hortifruti</v>
      </c>
    </row>
    <row r="461" spans="1:71" x14ac:dyDescent="0.25">
      <c r="A461" s="108" t="s">
        <v>290</v>
      </c>
      <c r="B461" s="12"/>
      <c r="C461" s="9"/>
      <c r="D461" s="25"/>
      <c r="E461" s="10" t="str">
        <f t="shared" si="631"/>
        <v>OutubroSEMANA 1Coentro Orgânico</v>
      </c>
      <c r="F461" s="7">
        <f>SUMIF(NF!$A:$A,$E461,NF!$I:$I)</f>
        <v>0</v>
      </c>
      <c r="G461" s="6"/>
      <c r="H461" s="6"/>
      <c r="I461" s="6"/>
      <c r="J461" s="6"/>
      <c r="K461" s="6"/>
      <c r="L461" s="6"/>
      <c r="M461" s="6"/>
      <c r="N461" s="7">
        <f t="shared" si="704"/>
        <v>0</v>
      </c>
      <c r="O461" s="11">
        <f t="shared" si="633"/>
        <v>0</v>
      </c>
      <c r="P461" s="25"/>
      <c r="Q461" s="10" t="str">
        <f t="shared" si="634"/>
        <v>OutubroSEMANA 2Coentro Orgânico</v>
      </c>
      <c r="R461" s="7">
        <f>SUMIF(NF!$A:$A,$Q461,NF!$I:$I)</f>
        <v>0</v>
      </c>
      <c r="S461" s="6"/>
      <c r="T461" s="6"/>
      <c r="U461" s="6"/>
      <c r="V461" s="6"/>
      <c r="W461" s="6"/>
      <c r="X461" s="6"/>
      <c r="Y461" s="6"/>
      <c r="Z461" s="7">
        <f t="shared" si="705"/>
        <v>0</v>
      </c>
      <c r="AA461" s="11">
        <f t="shared" si="636"/>
        <v>0</v>
      </c>
      <c r="AB461" s="25"/>
      <c r="AC461" s="10" t="str">
        <f t="shared" si="637"/>
        <v>OutubroSEMANA 3Coentro Orgânico</v>
      </c>
      <c r="AD461" s="7">
        <f>SUMIF(NF!$A:$A,$AC461,NF!$I:$I)</f>
        <v>0</v>
      </c>
      <c r="AE461" s="6"/>
      <c r="AF461" s="6"/>
      <c r="AG461" s="6"/>
      <c r="AH461" s="6"/>
      <c r="AI461" s="6"/>
      <c r="AJ461" s="6"/>
      <c r="AK461" s="6"/>
      <c r="AL461" s="7">
        <f t="shared" si="706"/>
        <v>0</v>
      </c>
      <c r="AM461" s="11">
        <f t="shared" si="639"/>
        <v>0</v>
      </c>
      <c r="AN461" s="25"/>
      <c r="AO461" s="10" t="str">
        <f t="shared" si="640"/>
        <v>OutubroSEMANA 4Coentro Orgânico</v>
      </c>
      <c r="AP461" s="7">
        <f>SUMIF(NF!$A:$A,$AO461,NF!$I:$I)</f>
        <v>0</v>
      </c>
      <c r="AQ461" s="6"/>
      <c r="AR461" s="6"/>
      <c r="AS461" s="6"/>
      <c r="AT461" s="6"/>
      <c r="AU461" s="6"/>
      <c r="AV461" s="6"/>
      <c r="AW461" s="6"/>
      <c r="AX461" s="7">
        <f t="shared" si="707"/>
        <v>0</v>
      </c>
      <c r="AY461" s="11">
        <f t="shared" si="642"/>
        <v>0</v>
      </c>
      <c r="AZ461" s="25"/>
      <c r="BA461" s="10" t="str">
        <f t="shared" si="643"/>
        <v>OutubroSEMANA 5Coentro Orgânico</v>
      </c>
      <c r="BB461" s="7">
        <f>SUMIF(NF!$A:$A,$BA461,NF!$I:$I)</f>
        <v>0</v>
      </c>
      <c r="BC461" s="6"/>
      <c r="BD461" s="6"/>
      <c r="BE461" s="6"/>
      <c r="BF461" s="74"/>
      <c r="BG461" s="74"/>
      <c r="BH461" s="74"/>
      <c r="BI461" s="74"/>
      <c r="BJ461" s="74"/>
      <c r="BK461" s="7">
        <f t="shared" si="708"/>
        <v>0</v>
      </c>
      <c r="BL461" s="8">
        <f t="shared" si="645"/>
        <v>0</v>
      </c>
      <c r="BM461" s="51" t="str">
        <f>IFERROR(VLOOKUP(A461,NF!$M:$O,3,0),"")</f>
        <v>Hortifruti</v>
      </c>
      <c r="BN461" s="7">
        <f t="shared" si="646"/>
        <v>0</v>
      </c>
      <c r="BO461" s="8">
        <f t="array" ref="BO461">IFERROR(LARGE(IF(NF!$G$2:$G$3137='Mês atual'!A461,NF!$J$2:$J$3137),1),0)*BN461</f>
        <v>0</v>
      </c>
      <c r="BP461" s="50"/>
      <c r="BR461" s="147">
        <f t="array" ref="BR461">IFERROR(LARGE(IF(NF!$G$2:$G$3137='Mês atual'!A461,NF!$J$2:$J$3137),1),0)</f>
        <v>0</v>
      </c>
      <c r="BS461" s="143" t="str">
        <f>VLOOKUP(A461,NF!M:O,3,0)</f>
        <v>Hortifruti</v>
      </c>
    </row>
    <row r="462" spans="1:71" x14ac:dyDescent="0.25">
      <c r="A462" s="108" t="s">
        <v>305</v>
      </c>
      <c r="B462" s="12"/>
      <c r="C462" s="9"/>
      <c r="D462" s="25"/>
      <c r="E462" s="10" t="str">
        <f t="shared" si="631"/>
        <v>OutubroSEMANA 1Couve de Bruxelas</v>
      </c>
      <c r="F462" s="7">
        <f>SUMIF(NF!$A:$A,$E462,NF!$I:$I)</f>
        <v>0</v>
      </c>
      <c r="G462" s="6"/>
      <c r="H462" s="6"/>
      <c r="I462" s="6"/>
      <c r="J462" s="6"/>
      <c r="K462" s="6"/>
      <c r="L462" s="6"/>
      <c r="M462" s="6"/>
      <c r="N462" s="7">
        <f t="shared" si="704"/>
        <v>0</v>
      </c>
      <c r="O462" s="11">
        <f t="shared" si="633"/>
        <v>0</v>
      </c>
      <c r="P462" s="25"/>
      <c r="Q462" s="10" t="str">
        <f t="shared" si="634"/>
        <v>OutubroSEMANA 2Couve de Bruxelas</v>
      </c>
      <c r="R462" s="7">
        <f>SUMIF(NF!$A:$A,$Q462,NF!$I:$I)</f>
        <v>0</v>
      </c>
      <c r="S462" s="6"/>
      <c r="T462" s="6"/>
      <c r="U462" s="6"/>
      <c r="V462" s="6"/>
      <c r="W462" s="6"/>
      <c r="X462" s="6"/>
      <c r="Y462" s="6"/>
      <c r="Z462" s="7">
        <f t="shared" si="705"/>
        <v>0</v>
      </c>
      <c r="AA462" s="11">
        <f t="shared" si="636"/>
        <v>0</v>
      </c>
      <c r="AB462" s="25"/>
      <c r="AC462" s="10" t="str">
        <f t="shared" si="637"/>
        <v>OutubroSEMANA 3Couve de Bruxelas</v>
      </c>
      <c r="AD462" s="7">
        <f>SUMIF(NF!$A:$A,$AC462,NF!$I:$I)</f>
        <v>0</v>
      </c>
      <c r="AE462" s="6"/>
      <c r="AF462" s="6"/>
      <c r="AG462" s="6"/>
      <c r="AH462" s="6"/>
      <c r="AI462" s="6"/>
      <c r="AJ462" s="6"/>
      <c r="AK462" s="6"/>
      <c r="AL462" s="7">
        <f t="shared" si="706"/>
        <v>0</v>
      </c>
      <c r="AM462" s="11">
        <f t="shared" si="639"/>
        <v>0</v>
      </c>
      <c r="AN462" s="25"/>
      <c r="AO462" s="10" t="str">
        <f t="shared" si="640"/>
        <v>OutubroSEMANA 4Couve de Bruxelas</v>
      </c>
      <c r="AP462" s="7">
        <f>SUMIF(NF!$A:$A,$AO462,NF!$I:$I)</f>
        <v>0</v>
      </c>
      <c r="AQ462" s="6"/>
      <c r="AR462" s="6"/>
      <c r="AS462" s="6"/>
      <c r="AT462" s="6"/>
      <c r="AU462" s="6"/>
      <c r="AV462" s="6"/>
      <c r="AW462" s="6"/>
      <c r="AX462" s="7">
        <f t="shared" si="707"/>
        <v>0</v>
      </c>
      <c r="AY462" s="11">
        <f t="shared" si="642"/>
        <v>0</v>
      </c>
      <c r="AZ462" s="25"/>
      <c r="BA462" s="10" t="str">
        <f t="shared" si="643"/>
        <v>OutubroSEMANA 5Couve de Bruxelas</v>
      </c>
      <c r="BB462" s="7">
        <f>SUMIF(NF!$A:$A,$BA462,NF!$I:$I)</f>
        <v>0</v>
      </c>
      <c r="BC462" s="6"/>
      <c r="BD462" s="6"/>
      <c r="BE462" s="6"/>
      <c r="BF462" s="74"/>
      <c r="BG462" s="74"/>
      <c r="BH462" s="74"/>
      <c r="BI462" s="74"/>
      <c r="BJ462" s="74"/>
      <c r="BK462" s="7">
        <f t="shared" si="708"/>
        <v>0</v>
      </c>
      <c r="BL462" s="8">
        <f t="shared" si="645"/>
        <v>0</v>
      </c>
      <c r="BM462" s="51" t="str">
        <f>IFERROR(VLOOKUP(A462,NF!$M:$O,3,0),"")</f>
        <v>Hortifruti</v>
      </c>
      <c r="BN462" s="7">
        <f t="shared" si="646"/>
        <v>0</v>
      </c>
      <c r="BO462" s="8">
        <f t="array" ref="BO462">IFERROR(LARGE(IF(NF!$G$2:$G$3137='Mês atual'!A462,NF!$J$2:$J$3137),1),0)*BN462</f>
        <v>0</v>
      </c>
      <c r="BP462" s="50"/>
      <c r="BR462" s="147">
        <f t="array" ref="BR462">IFERROR(LARGE(IF(NF!$G$2:$G$3137='Mês atual'!A462,NF!$J$2:$J$3137),1),0)</f>
        <v>0</v>
      </c>
      <c r="BS462" s="143" t="str">
        <f>VLOOKUP(A462,NF!M:O,3,0)</f>
        <v>Hortifruti</v>
      </c>
    </row>
    <row r="463" spans="1:71" x14ac:dyDescent="0.25">
      <c r="A463" s="108" t="s">
        <v>306</v>
      </c>
      <c r="B463" s="12"/>
      <c r="C463" s="9">
        <v>6</v>
      </c>
      <c r="D463" s="25"/>
      <c r="E463" s="10" t="str">
        <f t="shared" si="631"/>
        <v>OutubroSEMANA 1Couve Flor</v>
      </c>
      <c r="F463" s="7">
        <f>SUMIF(NF!$A:$A,$E463,NF!$I:$I)</f>
        <v>8.4</v>
      </c>
      <c r="G463" s="6">
        <v>3.726</v>
      </c>
      <c r="H463" s="6"/>
      <c r="I463" s="6">
        <v>5.27</v>
      </c>
      <c r="J463" s="6"/>
      <c r="K463" s="6"/>
      <c r="L463" s="6">
        <v>2.4</v>
      </c>
      <c r="M463" s="6">
        <v>3</v>
      </c>
      <c r="N463" s="7">
        <f t="shared" si="704"/>
        <v>14.395999999999999</v>
      </c>
      <c r="O463" s="11">
        <f t="shared" si="633"/>
        <v>4.0000000000013358E-3</v>
      </c>
      <c r="P463" s="25"/>
      <c r="Q463" s="10" t="str">
        <f t="shared" si="634"/>
        <v>OutubroSEMANA 2Couve Flor</v>
      </c>
      <c r="R463" s="7">
        <f>SUMIF(NF!$A:$A,$Q463,NF!$I:$I)</f>
        <v>7.5</v>
      </c>
      <c r="S463" s="6"/>
      <c r="T463" s="6"/>
      <c r="U463" s="6">
        <v>4</v>
      </c>
      <c r="V463" s="6"/>
      <c r="W463" s="6"/>
      <c r="X463" s="6"/>
      <c r="Y463" s="6"/>
      <c r="Z463" s="7">
        <f t="shared" si="705"/>
        <v>4</v>
      </c>
      <c r="AA463" s="11">
        <f t="shared" si="636"/>
        <v>3.5040000000000013</v>
      </c>
      <c r="AB463" s="25"/>
      <c r="AC463" s="10" t="str">
        <f t="shared" si="637"/>
        <v>OutubroSEMANA 3Couve Flor</v>
      </c>
      <c r="AD463" s="7">
        <f>SUMIF(NF!$A:$A,$AC463,NF!$I:$I)</f>
        <v>7.5</v>
      </c>
      <c r="AE463" s="6">
        <v>3.5</v>
      </c>
      <c r="AF463" s="6"/>
      <c r="AG463" s="6"/>
      <c r="AH463" s="6"/>
      <c r="AI463" s="6">
        <v>4.5</v>
      </c>
      <c r="AJ463" s="6"/>
      <c r="AK463" s="6">
        <v>3</v>
      </c>
      <c r="AL463" s="7">
        <f t="shared" si="706"/>
        <v>11</v>
      </c>
      <c r="AM463" s="11">
        <f t="shared" si="639"/>
        <v>4.0000000000013358E-3</v>
      </c>
      <c r="AN463" s="25"/>
      <c r="AO463" s="10" t="str">
        <f t="shared" si="640"/>
        <v>OutubroSEMANA 4Couve Flor</v>
      </c>
      <c r="AP463" s="7">
        <f>SUMIF(NF!$A:$A,$AO463,NF!$I:$I)</f>
        <v>12</v>
      </c>
      <c r="AQ463" s="6"/>
      <c r="AR463" s="6"/>
      <c r="AS463" s="6"/>
      <c r="AT463" s="6">
        <v>4</v>
      </c>
      <c r="AU463" s="6"/>
      <c r="AV463" s="6"/>
      <c r="AW463" s="6"/>
      <c r="AX463" s="7">
        <f t="shared" si="707"/>
        <v>4</v>
      </c>
      <c r="AY463" s="11">
        <f t="shared" si="642"/>
        <v>8.0040000000000013</v>
      </c>
      <c r="AZ463" s="25"/>
      <c r="BA463" s="10" t="str">
        <f t="shared" si="643"/>
        <v>OutubroSEMANA 5Couve Flor</v>
      </c>
      <c r="BB463" s="7">
        <f>SUMIF(NF!$A:$A,$BA463,NF!$I:$I)</f>
        <v>0</v>
      </c>
      <c r="BC463" s="6">
        <v>3</v>
      </c>
      <c r="BD463" s="6">
        <v>5</v>
      </c>
      <c r="BE463" s="6"/>
      <c r="BF463" s="74"/>
      <c r="BG463" s="74"/>
      <c r="BH463" s="74"/>
      <c r="BI463" s="74"/>
      <c r="BJ463" s="74"/>
      <c r="BK463" s="7">
        <f t="shared" si="708"/>
        <v>8</v>
      </c>
      <c r="BL463" s="8">
        <f t="shared" si="645"/>
        <v>4.0000000000013358E-3</v>
      </c>
      <c r="BM463" s="51" t="str">
        <f>IFERROR(VLOOKUP(A463,NF!$M:$O,3,0),"")</f>
        <v>Hortifruti</v>
      </c>
      <c r="BN463" s="7">
        <f t="shared" si="646"/>
        <v>41.396000000000001</v>
      </c>
      <c r="BO463" s="8">
        <f t="array" ref="BO463">IFERROR(LARGE(IF(NF!$G$2:$G$3137='Mês atual'!A463,NF!$J$2:$J$3137),1),0)*BN463</f>
        <v>175.93299999999999</v>
      </c>
      <c r="BP463" s="50"/>
      <c r="BR463" s="147">
        <f t="array" ref="BR463">IFERROR(LARGE(IF(NF!$G$2:$G$3137='Mês atual'!A463,NF!$J$2:$J$3137),1),0)</f>
        <v>4.25</v>
      </c>
      <c r="BS463" s="143" t="str">
        <f>VLOOKUP(A463,NF!M:O,3,0)</f>
        <v>Hortifruti</v>
      </c>
    </row>
    <row r="464" spans="1:71" x14ac:dyDescent="0.25">
      <c r="A464" s="108" t="s">
        <v>307</v>
      </c>
      <c r="B464" s="12"/>
      <c r="C464" s="9"/>
      <c r="D464" s="25"/>
      <c r="E464" s="10" t="str">
        <f t="shared" si="631"/>
        <v>OutubroSEMANA 1Couve Manteiga</v>
      </c>
      <c r="F464" s="7">
        <f>SUMIF(NF!$A:$A,$E464,NF!$I:$I)</f>
        <v>17</v>
      </c>
      <c r="G464" s="6"/>
      <c r="H464" s="6"/>
      <c r="I464" s="6"/>
      <c r="J464" s="6"/>
      <c r="K464" s="6">
        <v>5</v>
      </c>
      <c r="L464" s="6">
        <v>7</v>
      </c>
      <c r="M464" s="6">
        <v>5</v>
      </c>
      <c r="N464" s="7">
        <f t="shared" si="704"/>
        <v>17</v>
      </c>
      <c r="O464" s="11">
        <f t="shared" si="633"/>
        <v>0</v>
      </c>
      <c r="P464" s="25"/>
      <c r="Q464" s="10" t="str">
        <f t="shared" si="634"/>
        <v>OutubroSEMANA 2Couve Manteiga</v>
      </c>
      <c r="R464" s="7">
        <f>SUMIF(NF!$A:$A,$Q464,NF!$I:$I)</f>
        <v>11.3</v>
      </c>
      <c r="S464" s="6"/>
      <c r="T464" s="6"/>
      <c r="U464" s="6">
        <v>3</v>
      </c>
      <c r="V464" s="6"/>
      <c r="W464" s="6"/>
      <c r="X464" s="6">
        <v>5</v>
      </c>
      <c r="Y464" s="6">
        <f>3+0.3</f>
        <v>3.3</v>
      </c>
      <c r="Z464" s="7">
        <f t="shared" si="705"/>
        <v>11.3</v>
      </c>
      <c r="AA464" s="11">
        <f t="shared" si="636"/>
        <v>0</v>
      </c>
      <c r="AB464" s="25"/>
      <c r="AC464" s="10" t="str">
        <f t="shared" si="637"/>
        <v>OutubroSEMANA 3Couve Manteiga</v>
      </c>
      <c r="AD464" s="7">
        <f>SUMIF(NF!$A:$A,$AC464,NF!$I:$I)</f>
        <v>12</v>
      </c>
      <c r="AE464" s="6"/>
      <c r="AF464" s="6"/>
      <c r="AG464" s="6"/>
      <c r="AH464" s="6"/>
      <c r="AI464" s="6"/>
      <c r="AJ464" s="6">
        <v>7</v>
      </c>
      <c r="AK464" s="6">
        <v>5</v>
      </c>
      <c r="AL464" s="7">
        <f t="shared" si="706"/>
        <v>12</v>
      </c>
      <c r="AM464" s="11">
        <f t="shared" si="639"/>
        <v>0</v>
      </c>
      <c r="AN464" s="25"/>
      <c r="AO464" s="10" t="str">
        <f t="shared" si="640"/>
        <v>OutubroSEMANA 4Couve Manteiga</v>
      </c>
      <c r="AP464" s="7">
        <f>SUMIF(NF!$A:$A,$AO464,NF!$I:$I)</f>
        <v>14</v>
      </c>
      <c r="AQ464" s="6"/>
      <c r="AR464" s="6"/>
      <c r="AS464" s="6">
        <v>2</v>
      </c>
      <c r="AT464" s="6"/>
      <c r="AU464" s="6"/>
      <c r="AV464" s="6">
        <v>7</v>
      </c>
      <c r="AW464" s="6">
        <v>5</v>
      </c>
      <c r="AX464" s="7">
        <f t="shared" si="707"/>
        <v>14</v>
      </c>
      <c r="AY464" s="11">
        <f t="shared" si="642"/>
        <v>0</v>
      </c>
      <c r="AZ464" s="25"/>
      <c r="BA464" s="10" t="str">
        <f t="shared" si="643"/>
        <v>OutubroSEMANA 5Couve Manteiga</v>
      </c>
      <c r="BB464" s="7">
        <f>SUMIF(NF!$A:$A,$BA464,NF!$I:$I)</f>
        <v>0</v>
      </c>
      <c r="BC464" s="6"/>
      <c r="BD464" s="6"/>
      <c r="BE464" s="6"/>
      <c r="BF464" s="74"/>
      <c r="BG464" s="74"/>
      <c r="BH464" s="74"/>
      <c r="BI464" s="74"/>
      <c r="BJ464" s="74"/>
      <c r="BK464" s="7">
        <f t="shared" si="708"/>
        <v>0</v>
      </c>
      <c r="BL464" s="8">
        <f t="shared" si="645"/>
        <v>0</v>
      </c>
      <c r="BM464" s="51" t="str">
        <f>IFERROR(VLOOKUP(A464,NF!$M:$O,3,0),"")</f>
        <v>Hortifruti</v>
      </c>
      <c r="BN464" s="7">
        <f t="shared" si="646"/>
        <v>54.3</v>
      </c>
      <c r="BO464" s="8">
        <f t="array" ref="BO464">IFERROR(LARGE(IF(NF!$G$2:$G$3137='Mês atual'!A464,NF!$J$2:$J$3137),1),0)*BN464</f>
        <v>298.64999999999998</v>
      </c>
      <c r="BP464" s="50"/>
      <c r="BR464" s="147">
        <f t="array" ref="BR464">IFERROR(LARGE(IF(NF!$G$2:$G$3137='Mês atual'!A464,NF!$J$2:$J$3137),1),0)</f>
        <v>5.5</v>
      </c>
      <c r="BS464" s="143" t="str">
        <f>VLOOKUP(A464,NF!M:O,3,0)</f>
        <v>Hortifruti</v>
      </c>
    </row>
    <row r="465" spans="1:71" x14ac:dyDescent="0.25">
      <c r="A465" s="108" t="s">
        <v>308</v>
      </c>
      <c r="B465" s="12"/>
      <c r="C465" s="9"/>
      <c r="D465" s="25"/>
      <c r="E465" s="10" t="str">
        <f t="shared" si="631"/>
        <v>OutubroSEMANA 1Couve Orgânica</v>
      </c>
      <c r="F465" s="7">
        <f>SUMIF(NF!$A:$A,$E465,NF!$I:$I)</f>
        <v>0</v>
      </c>
      <c r="G465" s="6"/>
      <c r="H465" s="6"/>
      <c r="I465" s="6"/>
      <c r="J465" s="6"/>
      <c r="K465" s="6"/>
      <c r="L465" s="6"/>
      <c r="M465" s="6"/>
      <c r="N465" s="7">
        <f t="shared" si="704"/>
        <v>0</v>
      </c>
      <c r="O465" s="11">
        <f t="shared" si="633"/>
        <v>0</v>
      </c>
      <c r="P465" s="25"/>
      <c r="Q465" s="10" t="str">
        <f t="shared" si="634"/>
        <v>OutubroSEMANA 2Couve Orgânica</v>
      </c>
      <c r="R465" s="7">
        <f>SUMIF(NF!$A:$A,$Q465,NF!$I:$I)</f>
        <v>0</v>
      </c>
      <c r="S465" s="6"/>
      <c r="T465" s="6"/>
      <c r="U465" s="6"/>
      <c r="V465" s="6"/>
      <c r="W465" s="6"/>
      <c r="X465" s="6"/>
      <c r="Y465" s="6"/>
      <c r="Z465" s="7">
        <f t="shared" si="705"/>
        <v>0</v>
      </c>
      <c r="AA465" s="11">
        <f t="shared" si="636"/>
        <v>0</v>
      </c>
      <c r="AB465" s="25"/>
      <c r="AC465" s="10" t="str">
        <f t="shared" si="637"/>
        <v>OutubroSEMANA 3Couve Orgânica</v>
      </c>
      <c r="AD465" s="7">
        <f>SUMIF(NF!$A:$A,$AC465,NF!$I:$I)</f>
        <v>0</v>
      </c>
      <c r="AE465" s="6"/>
      <c r="AF465" s="6"/>
      <c r="AG465" s="6"/>
      <c r="AH465" s="6"/>
      <c r="AI465" s="6"/>
      <c r="AJ465" s="6"/>
      <c r="AK465" s="6"/>
      <c r="AL465" s="7">
        <f t="shared" si="706"/>
        <v>0</v>
      </c>
      <c r="AM465" s="11">
        <f t="shared" si="639"/>
        <v>0</v>
      </c>
      <c r="AN465" s="25"/>
      <c r="AO465" s="10" t="str">
        <f t="shared" si="640"/>
        <v>OutubroSEMANA 4Couve Orgânica</v>
      </c>
      <c r="AP465" s="7">
        <f>SUMIF(NF!$A:$A,$AO465,NF!$I:$I)</f>
        <v>0</v>
      </c>
      <c r="AQ465" s="6"/>
      <c r="AR465" s="6"/>
      <c r="AS465" s="6"/>
      <c r="AT465" s="6"/>
      <c r="AU465" s="6"/>
      <c r="AV465" s="6"/>
      <c r="AW465" s="6"/>
      <c r="AX465" s="7">
        <f t="shared" si="707"/>
        <v>0</v>
      </c>
      <c r="AY465" s="11">
        <f t="shared" si="642"/>
        <v>0</v>
      </c>
      <c r="AZ465" s="25"/>
      <c r="BA465" s="10" t="str">
        <f t="shared" si="643"/>
        <v>OutubroSEMANA 5Couve Orgânica</v>
      </c>
      <c r="BB465" s="7">
        <f>SUMIF(NF!$A:$A,$BA465,NF!$I:$I)</f>
        <v>0</v>
      </c>
      <c r="BC465" s="6"/>
      <c r="BD465" s="6"/>
      <c r="BE465" s="6"/>
      <c r="BF465" s="74"/>
      <c r="BG465" s="74"/>
      <c r="BH465" s="74"/>
      <c r="BI465" s="74"/>
      <c r="BJ465" s="74"/>
      <c r="BK465" s="7">
        <f t="shared" si="708"/>
        <v>0</v>
      </c>
      <c r="BL465" s="8">
        <f t="shared" si="645"/>
        <v>0</v>
      </c>
      <c r="BM465" s="51" t="str">
        <f>IFERROR(VLOOKUP(A465,NF!$M:$O,3,0),"")</f>
        <v>Hortifruti</v>
      </c>
      <c r="BN465" s="7">
        <f t="shared" si="646"/>
        <v>0</v>
      </c>
      <c r="BO465" s="8">
        <f t="array" ref="BO465">IFERROR(LARGE(IF(NF!$G$2:$G$3137='Mês atual'!A465,NF!$J$2:$J$3137),1),0)*BN465</f>
        <v>0</v>
      </c>
      <c r="BP465" s="50"/>
      <c r="BR465" s="147">
        <f t="array" ref="BR465">IFERROR(LARGE(IF(NF!$G$2:$G$3137='Mês atual'!A465,NF!$J$2:$J$3137),1),0)</f>
        <v>0</v>
      </c>
      <c r="BS465" s="143" t="str">
        <f>VLOOKUP(A465,NF!M:O,3,0)</f>
        <v>Hortifruti</v>
      </c>
    </row>
    <row r="466" spans="1:71" x14ac:dyDescent="0.25">
      <c r="A466" s="108" t="s">
        <v>326</v>
      </c>
      <c r="B466" s="12"/>
      <c r="C466" s="9"/>
      <c r="D466" s="25"/>
      <c r="E466" s="10" t="str">
        <f t="shared" si="631"/>
        <v>OutubroSEMANA 1Endivia</v>
      </c>
      <c r="F466" s="7">
        <f>SUMIF(NF!$A:$A,$E466,NF!$I:$I)</f>
        <v>2.5</v>
      </c>
      <c r="G466" s="6"/>
      <c r="H466" s="6"/>
      <c r="I466" s="6">
        <v>2.5</v>
      </c>
      <c r="J466" s="6"/>
      <c r="K466" s="6"/>
      <c r="L466" s="6"/>
      <c r="M466" s="6"/>
      <c r="N466" s="7">
        <f t="shared" si="704"/>
        <v>2.5</v>
      </c>
      <c r="O466" s="11">
        <f t="shared" si="633"/>
        <v>0</v>
      </c>
      <c r="P466" s="25"/>
      <c r="Q466" s="10" t="str">
        <f t="shared" si="634"/>
        <v>OutubroSEMANA 2Endivia</v>
      </c>
      <c r="R466" s="7">
        <f>SUMIF(NF!$A:$A,$Q466,NF!$I:$I)</f>
        <v>0</v>
      </c>
      <c r="S466" s="6"/>
      <c r="T466" s="6"/>
      <c r="U466" s="6"/>
      <c r="V466" s="6"/>
      <c r="W466" s="6"/>
      <c r="X466" s="6"/>
      <c r="Y466" s="6"/>
      <c r="Z466" s="7">
        <f t="shared" si="705"/>
        <v>0</v>
      </c>
      <c r="AA466" s="11">
        <f t="shared" si="636"/>
        <v>0</v>
      </c>
      <c r="AB466" s="25"/>
      <c r="AC466" s="10" t="str">
        <f t="shared" si="637"/>
        <v>OutubroSEMANA 3Endivia</v>
      </c>
      <c r="AD466" s="7">
        <f>SUMIF(NF!$A:$A,$AC466,NF!$I:$I)</f>
        <v>2.5</v>
      </c>
      <c r="AE466" s="6"/>
      <c r="AF466" s="6"/>
      <c r="AG466" s="6"/>
      <c r="AH466" s="6">
        <v>2.5</v>
      </c>
      <c r="AI466" s="6"/>
      <c r="AJ466" s="6"/>
      <c r="AK466" s="6"/>
      <c r="AL466" s="7">
        <f t="shared" si="706"/>
        <v>2.5</v>
      </c>
      <c r="AM466" s="11">
        <f t="shared" si="639"/>
        <v>0</v>
      </c>
      <c r="AN466" s="25"/>
      <c r="AO466" s="10" t="str">
        <f t="shared" si="640"/>
        <v>OutubroSEMANA 4Endivia</v>
      </c>
      <c r="AP466" s="7">
        <f>SUMIF(NF!$A:$A,$AO466,NF!$I:$I)</f>
        <v>2.5</v>
      </c>
      <c r="AQ466" s="6"/>
      <c r="AR466" s="6"/>
      <c r="AS466" s="6">
        <v>2.5</v>
      </c>
      <c r="AT466" s="6"/>
      <c r="AU466" s="6"/>
      <c r="AV466" s="6"/>
      <c r="AW466" s="6"/>
      <c r="AX466" s="7">
        <f t="shared" si="707"/>
        <v>2.5</v>
      </c>
      <c r="AY466" s="11">
        <f t="shared" si="642"/>
        <v>0</v>
      </c>
      <c r="AZ466" s="25"/>
      <c r="BA466" s="10" t="str">
        <f t="shared" si="643"/>
        <v>OutubroSEMANA 5Endivia</v>
      </c>
      <c r="BB466" s="7">
        <f>SUMIF(NF!$A:$A,$BA466,NF!$I:$I)</f>
        <v>0</v>
      </c>
      <c r="BC466" s="6"/>
      <c r="BD466" s="6"/>
      <c r="BE466" s="6"/>
      <c r="BF466" s="74"/>
      <c r="BG466" s="74"/>
      <c r="BH466" s="74"/>
      <c r="BI466" s="74"/>
      <c r="BJ466" s="74"/>
      <c r="BK466" s="7">
        <f t="shared" si="708"/>
        <v>0</v>
      </c>
      <c r="BL466" s="8">
        <f t="shared" si="645"/>
        <v>0</v>
      </c>
      <c r="BM466" s="51" t="str">
        <f>IFERROR(VLOOKUP(A466,NF!$M:$O,3,0),"")</f>
        <v>Hortifruti</v>
      </c>
      <c r="BN466" s="7">
        <f t="shared" si="646"/>
        <v>7.5</v>
      </c>
      <c r="BO466" s="8">
        <f t="array" ref="BO466">IFERROR(LARGE(IF(NF!$G$2:$G$3137='Mês atual'!A466,NF!$J$2:$J$3137),1),0)*BN466</f>
        <v>150</v>
      </c>
      <c r="BP466" s="50"/>
      <c r="BR466" s="147">
        <f t="array" ref="BR466">IFERROR(LARGE(IF(NF!$G$2:$G$3137='Mês atual'!A466,NF!$J$2:$J$3137),1),0)</f>
        <v>20</v>
      </c>
      <c r="BS466" s="143" t="str">
        <f>VLOOKUP(A466,NF!M:O,3,0)</f>
        <v>Hortifruti</v>
      </c>
    </row>
    <row r="467" spans="1:71" x14ac:dyDescent="0.25">
      <c r="A467" s="108" t="s">
        <v>328</v>
      </c>
      <c r="B467" s="12"/>
      <c r="C467" s="9"/>
      <c r="D467" s="25"/>
      <c r="E467" s="10" t="str">
        <f t="shared" si="631"/>
        <v>OutubroSEMANA 1Erva doce</v>
      </c>
      <c r="F467" s="7">
        <f>SUMIF(NF!$A:$A,$E467,NF!$I:$I)</f>
        <v>0</v>
      </c>
      <c r="G467" s="6"/>
      <c r="H467" s="6"/>
      <c r="I467" s="6"/>
      <c r="J467" s="6"/>
      <c r="K467" s="6"/>
      <c r="L467" s="6"/>
      <c r="M467" s="6"/>
      <c r="N467" s="7">
        <f t="shared" si="704"/>
        <v>0</v>
      </c>
      <c r="O467" s="11">
        <f t="shared" si="633"/>
        <v>0</v>
      </c>
      <c r="P467" s="25"/>
      <c r="Q467" s="10" t="str">
        <f t="shared" si="634"/>
        <v>OutubroSEMANA 2Erva doce</v>
      </c>
      <c r="R467" s="7">
        <f>SUMIF(NF!$A:$A,$Q467,NF!$I:$I)</f>
        <v>0</v>
      </c>
      <c r="S467" s="6"/>
      <c r="T467" s="6"/>
      <c r="U467" s="6"/>
      <c r="V467" s="6"/>
      <c r="W467" s="6"/>
      <c r="X467" s="6"/>
      <c r="Y467" s="6"/>
      <c r="Z467" s="7">
        <f t="shared" si="705"/>
        <v>0</v>
      </c>
      <c r="AA467" s="11">
        <f t="shared" si="636"/>
        <v>0</v>
      </c>
      <c r="AB467" s="25"/>
      <c r="AC467" s="10" t="str">
        <f t="shared" si="637"/>
        <v>OutubroSEMANA 3Erva doce</v>
      </c>
      <c r="AD467" s="7">
        <f>SUMIF(NF!$A:$A,$AC467,NF!$I:$I)</f>
        <v>0</v>
      </c>
      <c r="AE467" s="6"/>
      <c r="AF467" s="6"/>
      <c r="AG467" s="6"/>
      <c r="AH467" s="6"/>
      <c r="AI467" s="6"/>
      <c r="AJ467" s="6"/>
      <c r="AK467" s="6"/>
      <c r="AL467" s="7">
        <f t="shared" si="706"/>
        <v>0</v>
      </c>
      <c r="AM467" s="11">
        <f t="shared" si="639"/>
        <v>0</v>
      </c>
      <c r="AN467" s="25"/>
      <c r="AO467" s="10" t="str">
        <f t="shared" si="640"/>
        <v>OutubroSEMANA 4Erva doce</v>
      </c>
      <c r="AP467" s="7">
        <f>SUMIF(NF!$A:$A,$AO467,NF!$I:$I)</f>
        <v>0</v>
      </c>
      <c r="AQ467" s="6"/>
      <c r="AR467" s="6"/>
      <c r="AS467" s="6"/>
      <c r="AT467" s="6"/>
      <c r="AU467" s="6"/>
      <c r="AV467" s="6"/>
      <c r="AW467" s="6"/>
      <c r="AX467" s="7">
        <f t="shared" si="707"/>
        <v>0</v>
      </c>
      <c r="AY467" s="11">
        <f t="shared" si="642"/>
        <v>0</v>
      </c>
      <c r="AZ467" s="25"/>
      <c r="BA467" s="10" t="str">
        <f t="shared" si="643"/>
        <v>OutubroSEMANA 5Erva doce</v>
      </c>
      <c r="BB467" s="7">
        <f>SUMIF(NF!$A:$A,$BA467,NF!$I:$I)</f>
        <v>0</v>
      </c>
      <c r="BC467" s="6"/>
      <c r="BD467" s="6"/>
      <c r="BE467" s="6"/>
      <c r="BF467" s="74"/>
      <c r="BG467" s="74"/>
      <c r="BH467" s="74"/>
      <c r="BI467" s="74"/>
      <c r="BJ467" s="74"/>
      <c r="BK467" s="7">
        <f t="shared" si="708"/>
        <v>0</v>
      </c>
      <c r="BL467" s="8">
        <f t="shared" si="645"/>
        <v>0</v>
      </c>
      <c r="BM467" s="51" t="str">
        <f>IFERROR(VLOOKUP(A467,NF!$M:$O,3,0),"")</f>
        <v>Hortifruti</v>
      </c>
      <c r="BN467" s="7">
        <f t="shared" si="646"/>
        <v>0</v>
      </c>
      <c r="BO467" s="8">
        <f t="array" ref="BO467">IFERROR(LARGE(IF(NF!$G$2:$G$3137='Mês atual'!A467,NF!$J$2:$J$3137),1),0)*BN467</f>
        <v>0</v>
      </c>
      <c r="BP467" s="50"/>
      <c r="BR467" s="147">
        <f t="array" ref="BR467">IFERROR(LARGE(IF(NF!$G$2:$G$3137='Mês atual'!A467,NF!$J$2:$J$3137),1),0)</f>
        <v>0</v>
      </c>
      <c r="BS467" s="143" t="str">
        <f>VLOOKUP(A467,NF!M:O,3,0)</f>
        <v>Hortifruti</v>
      </c>
    </row>
    <row r="468" spans="1:71" x14ac:dyDescent="0.25">
      <c r="A468" s="108" t="s">
        <v>932</v>
      </c>
      <c r="B468" s="12"/>
      <c r="C468" s="9"/>
      <c r="D468" s="25"/>
      <c r="E468" s="10" t="str">
        <f t="shared" si="631"/>
        <v>OutubroSEMANA 1Ervilha Torta</v>
      </c>
      <c r="F468" s="7">
        <f>SUMIF(NF!$A:$A,$E468,NF!$I:$I)</f>
        <v>0</v>
      </c>
      <c r="G468" s="6"/>
      <c r="H468" s="6"/>
      <c r="I468" s="6"/>
      <c r="J468" s="6"/>
      <c r="K468" s="6"/>
      <c r="L468" s="6"/>
      <c r="M468" s="6"/>
      <c r="N468" s="7">
        <f t="shared" ref="N468" si="714">SUM(G468:M468)</f>
        <v>0</v>
      </c>
      <c r="O468" s="11">
        <f t="shared" si="633"/>
        <v>0</v>
      </c>
      <c r="P468" s="25"/>
      <c r="Q468" s="10" t="str">
        <f t="shared" si="634"/>
        <v>OutubroSEMANA 2Ervilha Torta</v>
      </c>
      <c r="R468" s="7">
        <f>SUMIF(NF!$A:$A,$Q468,NF!$I:$I)</f>
        <v>0.34399999999999997</v>
      </c>
      <c r="S468" s="6"/>
      <c r="T468" s="6"/>
      <c r="U468" s="6"/>
      <c r="V468" s="6"/>
      <c r="W468" s="6">
        <v>0.34399999999999997</v>
      </c>
      <c r="X468" s="6"/>
      <c r="Y468" s="6"/>
      <c r="Z468" s="7">
        <f t="shared" ref="Z468" si="715">SUM(S468:Y468)</f>
        <v>0.34399999999999997</v>
      </c>
      <c r="AA468" s="11">
        <f t="shared" si="636"/>
        <v>0</v>
      </c>
      <c r="AB468" s="25"/>
      <c r="AC468" s="10" t="str">
        <f t="shared" si="637"/>
        <v>OutubroSEMANA 3Ervilha Torta</v>
      </c>
      <c r="AD468" s="7">
        <f>SUMIF(NF!$A:$A,$AC468,NF!$I:$I)</f>
        <v>0</v>
      </c>
      <c r="AE468" s="6"/>
      <c r="AF468" s="6"/>
      <c r="AG468" s="6"/>
      <c r="AH468" s="6"/>
      <c r="AI468" s="6"/>
      <c r="AJ468" s="6"/>
      <c r="AK468" s="6"/>
      <c r="AL468" s="7">
        <f t="shared" ref="AL468" si="716">SUM(AE468:AK468)</f>
        <v>0</v>
      </c>
      <c r="AM468" s="11">
        <f t="shared" si="639"/>
        <v>0</v>
      </c>
      <c r="AN468" s="25"/>
      <c r="AO468" s="10" t="str">
        <f t="shared" si="640"/>
        <v>OutubroSEMANA 4Ervilha Torta</v>
      </c>
      <c r="AP468" s="7">
        <f>SUMIF(NF!$A:$A,$AO468,NF!$I:$I)</f>
        <v>0</v>
      </c>
      <c r="AQ468" s="6"/>
      <c r="AR468" s="6"/>
      <c r="AS468" s="6"/>
      <c r="AT468" s="6"/>
      <c r="AU468" s="6"/>
      <c r="AV468" s="6"/>
      <c r="AW468" s="6"/>
      <c r="AX468" s="7">
        <f t="shared" ref="AX468" si="717">SUM(AQ468:AW468)</f>
        <v>0</v>
      </c>
      <c r="AY468" s="11">
        <f t="shared" si="642"/>
        <v>0</v>
      </c>
      <c r="AZ468" s="25"/>
      <c r="BA468" s="10" t="str">
        <f t="shared" si="643"/>
        <v>OutubroSEMANA 5Ervilha Torta</v>
      </c>
      <c r="BB468" s="7">
        <f>SUMIF(NF!$A:$A,$BA468,NF!$I:$I)</f>
        <v>0</v>
      </c>
      <c r="BC468" s="6"/>
      <c r="BD468" s="6"/>
      <c r="BE468" s="6"/>
      <c r="BF468" s="74"/>
      <c r="BG468" s="74"/>
      <c r="BH468" s="74"/>
      <c r="BI468" s="74"/>
      <c r="BJ468" s="74"/>
      <c r="BK468" s="7">
        <f t="shared" ref="BK468" si="718">SUM(BC468:BJ468)</f>
        <v>0</v>
      </c>
      <c r="BL468" s="8">
        <f t="shared" si="645"/>
        <v>0</v>
      </c>
      <c r="BM468" s="51" t="str">
        <f>IFERROR(VLOOKUP(A468,NF!$M:$O,3,0),"")</f>
        <v>Hortifruti</v>
      </c>
      <c r="BN468" s="7">
        <f t="shared" si="646"/>
        <v>0.34399999999999997</v>
      </c>
      <c r="BO468" s="8">
        <f t="array" ref="BO468">IFERROR(LARGE(IF(NF!$G$2:$G$3137='Mês atual'!A468,NF!$J$2:$J$3137),1),0)*BN468</f>
        <v>2.4011200000000001</v>
      </c>
      <c r="BP468" s="50"/>
      <c r="BR468" s="147">
        <f t="array" ref="BR468">IFERROR(LARGE(IF(NF!$G$2:$G$3137='Mês atual'!A468,NF!$J$2:$J$3137),1),0)</f>
        <v>6.98</v>
      </c>
      <c r="BS468" s="143" t="str">
        <f>VLOOKUP(A468,NF!M:O,3,0)</f>
        <v>Hortifruti</v>
      </c>
    </row>
    <row r="469" spans="1:71" x14ac:dyDescent="0.25">
      <c r="A469" s="108" t="s">
        <v>332</v>
      </c>
      <c r="B469" s="12"/>
      <c r="C469" s="9"/>
      <c r="D469" s="25"/>
      <c r="E469" s="10" t="str">
        <f t="shared" si="631"/>
        <v>OutubroSEMANA 1Espinafre</v>
      </c>
      <c r="F469" s="7">
        <f>SUMIF(NF!$A:$A,$E469,NF!$I:$I)</f>
        <v>22.3</v>
      </c>
      <c r="G469" s="6"/>
      <c r="H469" s="6">
        <v>2.2999999999999998</v>
      </c>
      <c r="I469" s="6">
        <v>2</v>
      </c>
      <c r="J469" s="6"/>
      <c r="K469" s="6">
        <v>6</v>
      </c>
      <c r="L469" s="6">
        <v>7</v>
      </c>
      <c r="M469" s="6">
        <v>5</v>
      </c>
      <c r="N469" s="7">
        <f t="shared" ref="N469:N486" si="719">SUM(G469:M469)</f>
        <v>22.3</v>
      </c>
      <c r="O469" s="11">
        <f t="shared" si="633"/>
        <v>0</v>
      </c>
      <c r="P469" s="25"/>
      <c r="Q469" s="10" t="str">
        <f t="shared" si="634"/>
        <v>OutubroSEMANA 2Espinafre</v>
      </c>
      <c r="R469" s="7">
        <f>SUMIF(NF!$A:$A,$Q469,NF!$I:$I)</f>
        <v>8</v>
      </c>
      <c r="S469" s="6"/>
      <c r="T469" s="6"/>
      <c r="U469" s="6">
        <v>6</v>
      </c>
      <c r="V469" s="6"/>
      <c r="W469" s="6"/>
      <c r="X469" s="6"/>
      <c r="Y469" s="6">
        <v>2</v>
      </c>
      <c r="Z469" s="7">
        <f t="shared" ref="Z469:Z486" si="720">SUM(S469:Y469)</f>
        <v>8</v>
      </c>
      <c r="AA469" s="11">
        <f t="shared" si="636"/>
        <v>0</v>
      </c>
      <c r="AB469" s="25"/>
      <c r="AC469" s="10" t="str">
        <f t="shared" si="637"/>
        <v>OutubroSEMANA 3Espinafre</v>
      </c>
      <c r="AD469" s="7">
        <f>SUMIF(NF!$A:$A,$AC469,NF!$I:$I)</f>
        <v>3</v>
      </c>
      <c r="AE469" s="6"/>
      <c r="AF469" s="6"/>
      <c r="AG469" s="6"/>
      <c r="AH469" s="6"/>
      <c r="AI469" s="6">
        <v>3</v>
      </c>
      <c r="AJ469" s="6"/>
      <c r="AK469" s="6"/>
      <c r="AL469" s="7">
        <f t="shared" ref="AL469:AL486" si="721">SUM(AE469:AK469)</f>
        <v>3</v>
      </c>
      <c r="AM469" s="11">
        <f t="shared" si="639"/>
        <v>0</v>
      </c>
      <c r="AN469" s="25"/>
      <c r="AO469" s="10" t="str">
        <f t="shared" si="640"/>
        <v>OutubroSEMANA 4Espinafre</v>
      </c>
      <c r="AP469" s="7">
        <f>SUMIF(NF!$A:$A,$AO469,NF!$I:$I)</f>
        <v>11.2</v>
      </c>
      <c r="AQ469" s="6"/>
      <c r="AR469" s="6"/>
      <c r="AS469" s="6"/>
      <c r="AT469" s="6">
        <v>4</v>
      </c>
      <c r="AU469" s="6">
        <v>5</v>
      </c>
      <c r="AV469" s="6"/>
      <c r="AW469" s="6"/>
      <c r="AX469" s="7">
        <f t="shared" ref="AX469:AX486" si="722">SUM(AQ469:AW469)</f>
        <v>9</v>
      </c>
      <c r="AY469" s="11">
        <f t="shared" si="642"/>
        <v>2.1999999999999993</v>
      </c>
      <c r="AZ469" s="25"/>
      <c r="BA469" s="10" t="str">
        <f t="shared" si="643"/>
        <v>OutubroSEMANA 5Espinafre</v>
      </c>
      <c r="BB469" s="7">
        <f>SUMIF(NF!$A:$A,$BA469,NF!$I:$I)</f>
        <v>2</v>
      </c>
      <c r="BC469" s="6">
        <v>2.2000000000000002</v>
      </c>
      <c r="BD469" s="6"/>
      <c r="BE469" s="6">
        <v>2</v>
      </c>
      <c r="BF469" s="74"/>
      <c r="BG469" s="74"/>
      <c r="BH469" s="74"/>
      <c r="BI469" s="74"/>
      <c r="BJ469" s="74"/>
      <c r="BK469" s="7">
        <f t="shared" ref="BK469:BK486" si="723">SUM(BC469:BJ469)</f>
        <v>4.2</v>
      </c>
      <c r="BL469" s="8">
        <f t="shared" si="645"/>
        <v>0</v>
      </c>
      <c r="BM469" s="51" t="str">
        <f>IFERROR(VLOOKUP(A469,NF!$M:$O,3,0),"")</f>
        <v>Hortifruti</v>
      </c>
      <c r="BN469" s="7">
        <f t="shared" si="646"/>
        <v>46.5</v>
      </c>
      <c r="BO469" s="8">
        <f t="array" ref="BO469">IFERROR(LARGE(IF(NF!$G$2:$G$3137='Mês atual'!A469,NF!$J$2:$J$3137),1),0)*BN469</f>
        <v>274.35000000000002</v>
      </c>
      <c r="BP469" s="50"/>
      <c r="BR469" s="147">
        <f t="array" ref="BR469">IFERROR(LARGE(IF(NF!$G$2:$G$3137='Mês atual'!A469,NF!$J$2:$J$3137),1),0)</f>
        <v>5.9</v>
      </c>
      <c r="BS469" s="143" t="str">
        <f>VLOOKUP(A469,NF!M:O,3,0)</f>
        <v>Hortifruti</v>
      </c>
    </row>
    <row r="470" spans="1:71" x14ac:dyDescent="0.25">
      <c r="A470" s="108" t="s">
        <v>333</v>
      </c>
      <c r="B470" s="12"/>
      <c r="C470" s="9"/>
      <c r="D470" s="25"/>
      <c r="E470" s="10" t="str">
        <f t="shared" si="631"/>
        <v>OutubroSEMANA 1Espinafre Orgânico</v>
      </c>
      <c r="F470" s="7">
        <f>SUMIF(NF!$A:$A,$E470,NF!$I:$I)</f>
        <v>0</v>
      </c>
      <c r="G470" s="6"/>
      <c r="H470" s="6"/>
      <c r="I470" s="6"/>
      <c r="J470" s="6"/>
      <c r="K470" s="6"/>
      <c r="L470" s="6"/>
      <c r="M470" s="6"/>
      <c r="N470" s="7">
        <f t="shared" si="719"/>
        <v>0</v>
      </c>
      <c r="O470" s="11">
        <f t="shared" si="633"/>
        <v>0</v>
      </c>
      <c r="P470" s="25"/>
      <c r="Q470" s="10" t="str">
        <f t="shared" si="634"/>
        <v>OutubroSEMANA 2Espinafre Orgânico</v>
      </c>
      <c r="R470" s="7">
        <f>SUMIF(NF!$A:$A,$Q470,NF!$I:$I)</f>
        <v>0</v>
      </c>
      <c r="S470" s="6"/>
      <c r="T470" s="6"/>
      <c r="U470" s="6"/>
      <c r="V470" s="6"/>
      <c r="W470" s="6"/>
      <c r="X470" s="6"/>
      <c r="Y470" s="6"/>
      <c r="Z470" s="7">
        <f t="shared" si="720"/>
        <v>0</v>
      </c>
      <c r="AA470" s="11">
        <f t="shared" si="636"/>
        <v>0</v>
      </c>
      <c r="AB470" s="25"/>
      <c r="AC470" s="10" t="str">
        <f t="shared" si="637"/>
        <v>OutubroSEMANA 3Espinafre Orgânico</v>
      </c>
      <c r="AD470" s="7">
        <f>SUMIF(NF!$A:$A,$AC470,NF!$I:$I)</f>
        <v>0</v>
      </c>
      <c r="AE470" s="6"/>
      <c r="AF470" s="6"/>
      <c r="AG470" s="6"/>
      <c r="AH470" s="6"/>
      <c r="AI470" s="6"/>
      <c r="AJ470" s="6"/>
      <c r="AK470" s="6"/>
      <c r="AL470" s="7">
        <f t="shared" si="721"/>
        <v>0</v>
      </c>
      <c r="AM470" s="11">
        <f t="shared" si="639"/>
        <v>0</v>
      </c>
      <c r="AN470" s="25"/>
      <c r="AO470" s="10" t="str">
        <f t="shared" si="640"/>
        <v>OutubroSEMANA 4Espinafre Orgânico</v>
      </c>
      <c r="AP470" s="7">
        <f>SUMIF(NF!$A:$A,$AO470,NF!$I:$I)</f>
        <v>0</v>
      </c>
      <c r="AQ470" s="6"/>
      <c r="AR470" s="6"/>
      <c r="AS470" s="6"/>
      <c r="AT470" s="6"/>
      <c r="AU470" s="6"/>
      <c r="AV470" s="6"/>
      <c r="AW470" s="6"/>
      <c r="AX470" s="7">
        <f t="shared" si="722"/>
        <v>0</v>
      </c>
      <c r="AY470" s="11">
        <f t="shared" si="642"/>
        <v>0</v>
      </c>
      <c r="AZ470" s="25"/>
      <c r="BA470" s="10" t="str">
        <f t="shared" si="643"/>
        <v>OutubroSEMANA 5Espinafre Orgânico</v>
      </c>
      <c r="BB470" s="7">
        <f>SUMIF(NF!$A:$A,$BA470,NF!$I:$I)</f>
        <v>0</v>
      </c>
      <c r="BC470" s="6"/>
      <c r="BD470" s="6"/>
      <c r="BE470" s="6"/>
      <c r="BF470" s="74"/>
      <c r="BG470" s="74"/>
      <c r="BH470" s="74"/>
      <c r="BI470" s="74"/>
      <c r="BJ470" s="74"/>
      <c r="BK470" s="7">
        <f t="shared" si="723"/>
        <v>0</v>
      </c>
      <c r="BL470" s="8">
        <f t="shared" si="645"/>
        <v>0</v>
      </c>
      <c r="BM470" s="51" t="str">
        <f>IFERROR(VLOOKUP(A470,NF!$M:$O,3,0),"")</f>
        <v>Hortifruti</v>
      </c>
      <c r="BN470" s="7">
        <f t="shared" si="646"/>
        <v>0</v>
      </c>
      <c r="BO470" s="8">
        <f t="array" ref="BO470">IFERROR(LARGE(IF(NF!$G$2:$G$3137='Mês atual'!A470,NF!$J$2:$J$3137),1),0)*BN470</f>
        <v>0</v>
      </c>
      <c r="BP470" s="50"/>
      <c r="BR470" s="147">
        <f t="array" ref="BR470">IFERROR(LARGE(IF(NF!$G$2:$G$3137='Mês atual'!A470,NF!$J$2:$J$3137),1),0)</f>
        <v>0</v>
      </c>
      <c r="BS470" s="143" t="str">
        <f>VLOOKUP(A470,NF!M:O,3,0)</f>
        <v>Hortifruti</v>
      </c>
    </row>
    <row r="471" spans="1:71" x14ac:dyDescent="0.25">
      <c r="A471" s="108" t="s">
        <v>336</v>
      </c>
      <c r="B471" s="12"/>
      <c r="C471" s="9"/>
      <c r="D471" s="25"/>
      <c r="E471" s="10" t="str">
        <f t="shared" si="631"/>
        <v xml:space="preserve">OutubroSEMANA 1Estragão </v>
      </c>
      <c r="F471" s="7">
        <f>SUMIF(NF!$A:$A,$E471,NF!$I:$I)</f>
        <v>0</v>
      </c>
      <c r="G471" s="6"/>
      <c r="H471" s="6"/>
      <c r="I471" s="6"/>
      <c r="J471" s="6"/>
      <c r="K471" s="6"/>
      <c r="L471" s="6"/>
      <c r="M471" s="6"/>
      <c r="N471" s="7">
        <f t="shared" si="719"/>
        <v>0</v>
      </c>
      <c r="O471" s="11">
        <f t="shared" si="633"/>
        <v>0</v>
      </c>
      <c r="P471" s="25"/>
      <c r="Q471" s="10" t="str">
        <f t="shared" si="634"/>
        <v xml:space="preserve">OutubroSEMANA 2Estragão </v>
      </c>
      <c r="R471" s="7">
        <f>SUMIF(NF!$A:$A,$Q471,NF!$I:$I)</f>
        <v>0</v>
      </c>
      <c r="S471" s="6"/>
      <c r="T471" s="6"/>
      <c r="U471" s="6"/>
      <c r="V471" s="6"/>
      <c r="W471" s="6"/>
      <c r="X471" s="6"/>
      <c r="Y471" s="6"/>
      <c r="Z471" s="7">
        <f t="shared" si="720"/>
        <v>0</v>
      </c>
      <c r="AA471" s="11">
        <f t="shared" si="636"/>
        <v>0</v>
      </c>
      <c r="AB471" s="25"/>
      <c r="AC471" s="10" t="str">
        <f t="shared" si="637"/>
        <v xml:space="preserve">OutubroSEMANA 3Estragão </v>
      </c>
      <c r="AD471" s="7">
        <f>SUMIF(NF!$A:$A,$AC471,NF!$I:$I)</f>
        <v>0</v>
      </c>
      <c r="AE471" s="6"/>
      <c r="AF471" s="6"/>
      <c r="AG471" s="6"/>
      <c r="AH471" s="6"/>
      <c r="AI471" s="6"/>
      <c r="AJ471" s="6"/>
      <c r="AK471" s="6"/>
      <c r="AL471" s="7">
        <f t="shared" si="721"/>
        <v>0</v>
      </c>
      <c r="AM471" s="11">
        <f t="shared" si="639"/>
        <v>0</v>
      </c>
      <c r="AN471" s="25"/>
      <c r="AO471" s="10" t="str">
        <f t="shared" si="640"/>
        <v xml:space="preserve">OutubroSEMANA 4Estragão </v>
      </c>
      <c r="AP471" s="7">
        <f>SUMIF(NF!$A:$A,$AO471,NF!$I:$I)</f>
        <v>0</v>
      </c>
      <c r="AQ471" s="6"/>
      <c r="AR471" s="6"/>
      <c r="AS471" s="6"/>
      <c r="AT471" s="6"/>
      <c r="AU471" s="6"/>
      <c r="AV471" s="6"/>
      <c r="AW471" s="6"/>
      <c r="AX471" s="7">
        <f t="shared" si="722"/>
        <v>0</v>
      </c>
      <c r="AY471" s="11">
        <f t="shared" si="642"/>
        <v>0</v>
      </c>
      <c r="AZ471" s="25"/>
      <c r="BA471" s="10" t="str">
        <f t="shared" si="643"/>
        <v xml:space="preserve">OutubroSEMANA 5Estragão </v>
      </c>
      <c r="BB471" s="7">
        <f>SUMIF(NF!$A:$A,$BA471,NF!$I:$I)</f>
        <v>0</v>
      </c>
      <c r="BC471" s="6"/>
      <c r="BD471" s="6"/>
      <c r="BE471" s="6"/>
      <c r="BF471" s="74"/>
      <c r="BG471" s="74"/>
      <c r="BH471" s="74"/>
      <c r="BI471" s="74"/>
      <c r="BJ471" s="74"/>
      <c r="BK471" s="7">
        <f t="shared" si="723"/>
        <v>0</v>
      </c>
      <c r="BL471" s="8">
        <f t="shared" si="645"/>
        <v>0</v>
      </c>
      <c r="BM471" s="51" t="str">
        <f>IFERROR(VLOOKUP(A471,NF!$M:$O,3,0),"")</f>
        <v>Hortifruti</v>
      </c>
      <c r="BN471" s="7">
        <f t="shared" si="646"/>
        <v>0</v>
      </c>
      <c r="BO471" s="8">
        <f t="array" ref="BO471">IFERROR(LARGE(IF(NF!$G$2:$G$3137='Mês atual'!A471,NF!$J$2:$J$3137),1),0)*BN471</f>
        <v>0</v>
      </c>
      <c r="BP471" s="50"/>
      <c r="BR471" s="147">
        <f t="array" ref="BR471">IFERROR(LARGE(IF(NF!$G$2:$G$3137='Mês atual'!A471,NF!$J$2:$J$3137),1),0)</f>
        <v>0</v>
      </c>
      <c r="BS471" s="143" t="str">
        <f>VLOOKUP(A471,NF!M:O,3,0)</f>
        <v>Hortifruti</v>
      </c>
    </row>
    <row r="472" spans="1:71" x14ac:dyDescent="0.25">
      <c r="A472" s="108" t="s">
        <v>357</v>
      </c>
      <c r="B472" s="12"/>
      <c r="C472" s="9"/>
      <c r="D472" s="25"/>
      <c r="E472" s="10" t="str">
        <f t="shared" si="631"/>
        <v>OutubroSEMANA 1Figo Fresco</v>
      </c>
      <c r="F472" s="7">
        <f>SUMIF(NF!$A:$A,$E472,NF!$I:$I)</f>
        <v>0</v>
      </c>
      <c r="G472" s="6"/>
      <c r="H472" s="6"/>
      <c r="I472" s="6"/>
      <c r="J472" s="6"/>
      <c r="K472" s="6"/>
      <c r="L472" s="6"/>
      <c r="M472" s="6"/>
      <c r="N472" s="7">
        <f t="shared" si="719"/>
        <v>0</v>
      </c>
      <c r="O472" s="11">
        <f t="shared" si="633"/>
        <v>0</v>
      </c>
      <c r="P472" s="25"/>
      <c r="Q472" s="10" t="str">
        <f t="shared" si="634"/>
        <v>OutubroSEMANA 2Figo Fresco</v>
      </c>
      <c r="R472" s="7">
        <f>SUMIF(NF!$A:$A,$Q472,NF!$I:$I)</f>
        <v>0</v>
      </c>
      <c r="S472" s="6"/>
      <c r="T472" s="6"/>
      <c r="U472" s="6"/>
      <c r="V472" s="6"/>
      <c r="W472" s="6"/>
      <c r="X472" s="6"/>
      <c r="Y472" s="6"/>
      <c r="Z472" s="7">
        <f t="shared" si="720"/>
        <v>0</v>
      </c>
      <c r="AA472" s="11">
        <f t="shared" si="636"/>
        <v>0</v>
      </c>
      <c r="AB472" s="25"/>
      <c r="AC472" s="10" t="str">
        <f t="shared" si="637"/>
        <v>OutubroSEMANA 3Figo Fresco</v>
      </c>
      <c r="AD472" s="7">
        <f>SUMIF(NF!$A:$A,$AC472,NF!$I:$I)</f>
        <v>0</v>
      </c>
      <c r="AE472" s="6"/>
      <c r="AF472" s="6"/>
      <c r="AG472" s="6"/>
      <c r="AH472" s="6"/>
      <c r="AI472" s="6"/>
      <c r="AJ472" s="6"/>
      <c r="AK472" s="6"/>
      <c r="AL472" s="7">
        <f t="shared" si="721"/>
        <v>0</v>
      </c>
      <c r="AM472" s="11">
        <f t="shared" si="639"/>
        <v>0</v>
      </c>
      <c r="AN472" s="25"/>
      <c r="AO472" s="10" t="str">
        <f t="shared" si="640"/>
        <v>OutubroSEMANA 4Figo Fresco</v>
      </c>
      <c r="AP472" s="7">
        <f>SUMIF(NF!$A:$A,$AO472,NF!$I:$I)</f>
        <v>0</v>
      </c>
      <c r="AQ472" s="6"/>
      <c r="AR472" s="6"/>
      <c r="AS472" s="6"/>
      <c r="AT472" s="6"/>
      <c r="AU472" s="6"/>
      <c r="AV472" s="6"/>
      <c r="AW472" s="6"/>
      <c r="AX472" s="7">
        <f t="shared" si="722"/>
        <v>0</v>
      </c>
      <c r="AY472" s="11">
        <f t="shared" si="642"/>
        <v>0</v>
      </c>
      <c r="AZ472" s="25"/>
      <c r="BA472" s="10" t="str">
        <f t="shared" si="643"/>
        <v>OutubroSEMANA 5Figo Fresco</v>
      </c>
      <c r="BB472" s="7">
        <f>SUMIF(NF!$A:$A,$BA472,NF!$I:$I)</f>
        <v>0</v>
      </c>
      <c r="BC472" s="6"/>
      <c r="BD472" s="6"/>
      <c r="BE472" s="6"/>
      <c r="BF472" s="74"/>
      <c r="BG472" s="74"/>
      <c r="BH472" s="74"/>
      <c r="BI472" s="74"/>
      <c r="BJ472" s="74"/>
      <c r="BK472" s="7">
        <f t="shared" si="723"/>
        <v>0</v>
      </c>
      <c r="BL472" s="8">
        <f t="shared" si="645"/>
        <v>0</v>
      </c>
      <c r="BM472" s="51" t="str">
        <f>IFERROR(VLOOKUP(A472,NF!$M:$O,3,0),"")</f>
        <v>Hortifruti</v>
      </c>
      <c r="BN472" s="7">
        <f t="shared" si="646"/>
        <v>0</v>
      </c>
      <c r="BO472" s="8">
        <f t="array" ref="BO472">IFERROR(LARGE(IF(NF!$G$2:$G$3137='Mês atual'!A472,NF!$J$2:$J$3137),1),0)*BN472</f>
        <v>0</v>
      </c>
      <c r="BP472" s="50"/>
      <c r="BR472" s="147">
        <f t="array" ref="BR472">IFERROR(LARGE(IF(NF!$G$2:$G$3137='Mês atual'!A472,NF!$J$2:$J$3137),1),0)</f>
        <v>0</v>
      </c>
      <c r="BS472" s="143" t="str">
        <f>VLOOKUP(A472,NF!M:O,3,0)</f>
        <v>Hortifruti</v>
      </c>
    </row>
    <row r="473" spans="1:71" x14ac:dyDescent="0.25">
      <c r="A473" s="108" t="s">
        <v>365</v>
      </c>
      <c r="B473" s="12"/>
      <c r="C473" s="9"/>
      <c r="D473" s="25"/>
      <c r="E473" s="10" t="str">
        <f t="shared" si="631"/>
        <v>OutubroSEMANA 1Flores Comestíveis</v>
      </c>
      <c r="F473" s="7">
        <f>SUMIF(NF!$A:$A,$E473,NF!$I:$I)</f>
        <v>0</v>
      </c>
      <c r="G473" s="6"/>
      <c r="H473" s="6"/>
      <c r="I473" s="6"/>
      <c r="J473" s="6"/>
      <c r="K473" s="6"/>
      <c r="L473" s="6"/>
      <c r="M473" s="6"/>
      <c r="N473" s="7">
        <f t="shared" si="719"/>
        <v>0</v>
      </c>
      <c r="O473" s="11">
        <f t="shared" si="633"/>
        <v>0</v>
      </c>
      <c r="P473" s="25"/>
      <c r="Q473" s="10" t="str">
        <f t="shared" si="634"/>
        <v>OutubroSEMANA 2Flores Comestíveis</v>
      </c>
      <c r="R473" s="7">
        <f>SUMIF(NF!$A:$A,$Q473,NF!$I:$I)</f>
        <v>0</v>
      </c>
      <c r="S473" s="6"/>
      <c r="T473" s="6"/>
      <c r="U473" s="6"/>
      <c r="V473" s="6"/>
      <c r="W473" s="6"/>
      <c r="X473" s="6"/>
      <c r="Y473" s="6"/>
      <c r="Z473" s="7">
        <f t="shared" si="720"/>
        <v>0</v>
      </c>
      <c r="AA473" s="11">
        <f t="shared" si="636"/>
        <v>0</v>
      </c>
      <c r="AB473" s="25"/>
      <c r="AC473" s="10" t="str">
        <f t="shared" si="637"/>
        <v>OutubroSEMANA 3Flores Comestíveis</v>
      </c>
      <c r="AD473" s="7">
        <f>SUMIF(NF!$A:$A,$AC473,NF!$I:$I)</f>
        <v>0</v>
      </c>
      <c r="AE473" s="6"/>
      <c r="AF473" s="6"/>
      <c r="AG473" s="6"/>
      <c r="AH473" s="6"/>
      <c r="AI473" s="6"/>
      <c r="AJ473" s="6"/>
      <c r="AK473" s="6"/>
      <c r="AL473" s="7">
        <f t="shared" si="721"/>
        <v>0</v>
      </c>
      <c r="AM473" s="11">
        <f t="shared" si="639"/>
        <v>0</v>
      </c>
      <c r="AN473" s="25"/>
      <c r="AO473" s="10" t="str">
        <f t="shared" si="640"/>
        <v>OutubroSEMANA 4Flores Comestíveis</v>
      </c>
      <c r="AP473" s="7">
        <f>SUMIF(NF!$A:$A,$AO473,NF!$I:$I)</f>
        <v>0</v>
      </c>
      <c r="AQ473" s="6"/>
      <c r="AR473" s="6"/>
      <c r="AS473" s="6"/>
      <c r="AT473" s="6"/>
      <c r="AU473" s="6"/>
      <c r="AV473" s="6"/>
      <c r="AW473" s="6"/>
      <c r="AX473" s="7">
        <f t="shared" si="722"/>
        <v>0</v>
      </c>
      <c r="AY473" s="11">
        <f t="shared" si="642"/>
        <v>0</v>
      </c>
      <c r="AZ473" s="25"/>
      <c r="BA473" s="10" t="str">
        <f t="shared" si="643"/>
        <v>OutubroSEMANA 5Flores Comestíveis</v>
      </c>
      <c r="BB473" s="7">
        <f>SUMIF(NF!$A:$A,$BA473,NF!$I:$I)</f>
        <v>0</v>
      </c>
      <c r="BC473" s="6"/>
      <c r="BD473" s="6"/>
      <c r="BE473" s="6"/>
      <c r="BF473" s="74"/>
      <c r="BG473" s="74"/>
      <c r="BH473" s="74"/>
      <c r="BI473" s="74"/>
      <c r="BJ473" s="74"/>
      <c r="BK473" s="7">
        <f t="shared" si="723"/>
        <v>0</v>
      </c>
      <c r="BL473" s="8">
        <f t="shared" si="645"/>
        <v>0</v>
      </c>
      <c r="BM473" s="51" t="str">
        <f>IFERROR(VLOOKUP(A473,NF!$M:$O,3,0),"")</f>
        <v>Hortifruti</v>
      </c>
      <c r="BN473" s="7">
        <f t="shared" si="646"/>
        <v>0</v>
      </c>
      <c r="BO473" s="8">
        <f t="array" ref="BO473">IFERROR(LARGE(IF(NF!$G$2:$G$3137='Mês atual'!A473,NF!$J$2:$J$3137),1),0)*BN473</f>
        <v>0</v>
      </c>
      <c r="BP473" s="50"/>
      <c r="BR473" s="147">
        <f t="array" ref="BR473">IFERROR(LARGE(IF(NF!$G$2:$G$3137='Mês atual'!A473,NF!$J$2:$J$3137),1),0)</f>
        <v>0</v>
      </c>
      <c r="BS473" s="143" t="str">
        <f>VLOOKUP(A473,NF!M:O,3,0)</f>
        <v>Hortifruti</v>
      </c>
    </row>
    <row r="474" spans="1:71" x14ac:dyDescent="0.25">
      <c r="A474" s="108" t="s">
        <v>371</v>
      </c>
      <c r="B474" s="12"/>
      <c r="C474" s="9"/>
      <c r="D474" s="25"/>
      <c r="E474" s="10" t="str">
        <f t="shared" si="631"/>
        <v>OutubroSEMANA 1Fruta do Conde</v>
      </c>
      <c r="F474" s="7">
        <f>SUMIF(NF!$A:$A,$E474,NF!$I:$I)</f>
        <v>0</v>
      </c>
      <c r="G474" s="6"/>
      <c r="H474" s="6"/>
      <c r="I474" s="6"/>
      <c r="J474" s="6"/>
      <c r="K474" s="6"/>
      <c r="L474" s="6"/>
      <c r="M474" s="6"/>
      <c r="N474" s="7">
        <f t="shared" si="719"/>
        <v>0</v>
      </c>
      <c r="O474" s="11">
        <f t="shared" si="633"/>
        <v>0</v>
      </c>
      <c r="P474" s="25"/>
      <c r="Q474" s="10" t="str">
        <f t="shared" si="634"/>
        <v>OutubroSEMANA 2Fruta do Conde</v>
      </c>
      <c r="R474" s="7">
        <f>SUMIF(NF!$A:$A,$Q474,NF!$I:$I)</f>
        <v>0</v>
      </c>
      <c r="S474" s="6"/>
      <c r="T474" s="6"/>
      <c r="U474" s="6"/>
      <c r="V474" s="6"/>
      <c r="W474" s="6"/>
      <c r="X474" s="6"/>
      <c r="Y474" s="6"/>
      <c r="Z474" s="7">
        <f t="shared" si="720"/>
        <v>0</v>
      </c>
      <c r="AA474" s="11">
        <f t="shared" si="636"/>
        <v>0</v>
      </c>
      <c r="AB474" s="25"/>
      <c r="AC474" s="10" t="str">
        <f t="shared" si="637"/>
        <v>OutubroSEMANA 3Fruta do Conde</v>
      </c>
      <c r="AD474" s="7">
        <f>SUMIF(NF!$A:$A,$AC474,NF!$I:$I)</f>
        <v>0</v>
      </c>
      <c r="AE474" s="6"/>
      <c r="AF474" s="6"/>
      <c r="AG474" s="6"/>
      <c r="AH474" s="6"/>
      <c r="AI474" s="6"/>
      <c r="AJ474" s="6"/>
      <c r="AK474" s="6"/>
      <c r="AL474" s="7">
        <f t="shared" si="721"/>
        <v>0</v>
      </c>
      <c r="AM474" s="11">
        <f t="shared" si="639"/>
        <v>0</v>
      </c>
      <c r="AN474" s="25"/>
      <c r="AO474" s="10" t="str">
        <f t="shared" si="640"/>
        <v>OutubroSEMANA 4Fruta do Conde</v>
      </c>
      <c r="AP474" s="7">
        <f>SUMIF(NF!$A:$A,$AO474,NF!$I:$I)</f>
        <v>0</v>
      </c>
      <c r="AQ474" s="6"/>
      <c r="AR474" s="6"/>
      <c r="AS474" s="6"/>
      <c r="AT474" s="6"/>
      <c r="AU474" s="6"/>
      <c r="AV474" s="6"/>
      <c r="AW474" s="6"/>
      <c r="AX474" s="7">
        <f t="shared" si="722"/>
        <v>0</v>
      </c>
      <c r="AY474" s="11">
        <f t="shared" si="642"/>
        <v>0</v>
      </c>
      <c r="AZ474" s="25"/>
      <c r="BA474" s="10" t="str">
        <f t="shared" si="643"/>
        <v>OutubroSEMANA 5Fruta do Conde</v>
      </c>
      <c r="BB474" s="7">
        <f>SUMIF(NF!$A:$A,$BA474,NF!$I:$I)</f>
        <v>0</v>
      </c>
      <c r="BC474" s="6"/>
      <c r="BD474" s="6"/>
      <c r="BE474" s="6"/>
      <c r="BF474" s="74"/>
      <c r="BG474" s="74"/>
      <c r="BH474" s="74"/>
      <c r="BI474" s="74"/>
      <c r="BJ474" s="74"/>
      <c r="BK474" s="7">
        <f t="shared" si="723"/>
        <v>0</v>
      </c>
      <c r="BL474" s="8">
        <f t="shared" si="645"/>
        <v>0</v>
      </c>
      <c r="BM474" s="51" t="str">
        <f>IFERROR(VLOOKUP(A474,NF!$M:$O,3,0),"")</f>
        <v>Hortifruti</v>
      </c>
      <c r="BN474" s="7">
        <f t="shared" si="646"/>
        <v>0</v>
      </c>
      <c r="BO474" s="8">
        <f t="array" ref="BO474">IFERROR(LARGE(IF(NF!$G$2:$G$3137='Mês atual'!A474,NF!$J$2:$J$3137),1),0)*BN474</f>
        <v>0</v>
      </c>
      <c r="BP474" s="50"/>
      <c r="BR474" s="147">
        <f t="array" ref="BR474">IFERROR(LARGE(IF(NF!$G$2:$G$3137='Mês atual'!A474,NF!$J$2:$J$3137),1),0)</f>
        <v>0</v>
      </c>
      <c r="BS474" s="143" t="str">
        <f>VLOOKUP(A474,NF!M:O,3,0)</f>
        <v>Hortifruti</v>
      </c>
    </row>
    <row r="475" spans="1:71" x14ac:dyDescent="0.25">
      <c r="A475" s="108" t="s">
        <v>374</v>
      </c>
      <c r="B475" s="12"/>
      <c r="C475" s="9"/>
      <c r="D475" s="25"/>
      <c r="E475" s="10" t="str">
        <f t="shared" si="631"/>
        <v>OutubroSEMANA 1Funcho</v>
      </c>
      <c r="F475" s="7">
        <f>SUMIF(NF!$A:$A,$E475,NF!$I:$I)</f>
        <v>0</v>
      </c>
      <c r="G475" s="6"/>
      <c r="H475" s="6"/>
      <c r="I475" s="6"/>
      <c r="J475" s="6"/>
      <c r="K475" s="6"/>
      <c r="L475" s="6"/>
      <c r="M475" s="6"/>
      <c r="N475" s="7">
        <f t="shared" ref="N475" si="724">SUM(G475:M475)</f>
        <v>0</v>
      </c>
      <c r="O475" s="11">
        <f t="shared" si="633"/>
        <v>0</v>
      </c>
      <c r="P475" s="25"/>
      <c r="Q475" s="10" t="str">
        <f t="shared" si="634"/>
        <v>OutubroSEMANA 2Funcho</v>
      </c>
      <c r="R475" s="7">
        <f>SUMIF(NF!$A:$A,$Q475,NF!$I:$I)</f>
        <v>2</v>
      </c>
      <c r="S475" s="6"/>
      <c r="T475" s="6">
        <v>1</v>
      </c>
      <c r="U475" s="6"/>
      <c r="V475" s="6"/>
      <c r="W475" s="6"/>
      <c r="X475" s="6"/>
      <c r="Y475" s="6">
        <v>1</v>
      </c>
      <c r="Z475" s="7">
        <f t="shared" ref="Z475" si="725">SUM(S475:Y475)</f>
        <v>2</v>
      </c>
      <c r="AA475" s="11">
        <f t="shared" si="636"/>
        <v>0</v>
      </c>
      <c r="AB475" s="25"/>
      <c r="AC475" s="10" t="str">
        <f t="shared" si="637"/>
        <v>OutubroSEMANA 3Funcho</v>
      </c>
      <c r="AD475" s="7">
        <f>SUMIF(NF!$A:$A,$AC475,NF!$I:$I)</f>
        <v>0</v>
      </c>
      <c r="AE475" s="6"/>
      <c r="AF475" s="6"/>
      <c r="AG475" s="6"/>
      <c r="AH475" s="6"/>
      <c r="AI475" s="6"/>
      <c r="AJ475" s="6"/>
      <c r="AK475" s="6"/>
      <c r="AL475" s="7">
        <f t="shared" ref="AL475" si="726">SUM(AE475:AK475)</f>
        <v>0</v>
      </c>
      <c r="AM475" s="11">
        <f t="shared" si="639"/>
        <v>0</v>
      </c>
      <c r="AN475" s="25"/>
      <c r="AO475" s="10" t="str">
        <f t="shared" si="640"/>
        <v>OutubroSEMANA 4Funcho</v>
      </c>
      <c r="AP475" s="7">
        <f>SUMIF(NF!$A:$A,$AO475,NF!$I:$I)</f>
        <v>0</v>
      </c>
      <c r="AQ475" s="6"/>
      <c r="AR475" s="6"/>
      <c r="AS475" s="6"/>
      <c r="AT475" s="6"/>
      <c r="AU475" s="6"/>
      <c r="AV475" s="6"/>
      <c r="AW475" s="6"/>
      <c r="AX475" s="7">
        <f t="shared" ref="AX475" si="727">SUM(AQ475:AW475)</f>
        <v>0</v>
      </c>
      <c r="AY475" s="11">
        <f t="shared" si="642"/>
        <v>0</v>
      </c>
      <c r="AZ475" s="25"/>
      <c r="BA475" s="10" t="str">
        <f t="shared" si="643"/>
        <v>OutubroSEMANA 5Funcho</v>
      </c>
      <c r="BB475" s="7">
        <f>SUMIF(NF!$A:$A,$BA475,NF!$I:$I)</f>
        <v>0</v>
      </c>
      <c r="BC475" s="6"/>
      <c r="BD475" s="6"/>
      <c r="BE475" s="6"/>
      <c r="BF475" s="74"/>
      <c r="BG475" s="74"/>
      <c r="BH475" s="74"/>
      <c r="BI475" s="74"/>
      <c r="BJ475" s="74"/>
      <c r="BK475" s="7">
        <f t="shared" ref="BK475" si="728">SUM(BC475:BJ475)</f>
        <v>0</v>
      </c>
      <c r="BL475" s="8">
        <f t="shared" si="645"/>
        <v>0</v>
      </c>
      <c r="BM475" s="51" t="str">
        <f>IFERROR(VLOOKUP(A475,NF!$M:$O,3,0),"")</f>
        <v>Hortifruti</v>
      </c>
      <c r="BN475" s="7">
        <f t="shared" si="646"/>
        <v>2</v>
      </c>
      <c r="BO475" s="8">
        <f t="array" ref="BO475">IFERROR(LARGE(IF(NF!$G$2:$G$3137='Mês atual'!A475,NF!$J$2:$J$3137),1),0)*BN475</f>
        <v>20</v>
      </c>
      <c r="BP475" s="50"/>
      <c r="BR475" s="147">
        <f t="array" ref="BR475">IFERROR(LARGE(IF(NF!$G$2:$G$3137='Mês atual'!A475,NF!$J$2:$J$3137),1),0)</f>
        <v>10</v>
      </c>
      <c r="BS475" s="143" t="str">
        <f>VLOOKUP(A475,NF!M:O,3,0)</f>
        <v>Hortifruti</v>
      </c>
    </row>
    <row r="476" spans="1:71" x14ac:dyDescent="0.25">
      <c r="A476" s="108" t="s">
        <v>385</v>
      </c>
      <c r="B476" s="12"/>
      <c r="C476" s="9"/>
      <c r="D476" s="25"/>
      <c r="E476" s="10" t="str">
        <f t="shared" si="631"/>
        <v>OutubroSEMANA 1Gengibre</v>
      </c>
      <c r="F476" s="7">
        <f>SUMIF(NF!$A:$A,$E476,NF!$I:$I)</f>
        <v>0</v>
      </c>
      <c r="G476" s="6"/>
      <c r="H476" s="6"/>
      <c r="I476" s="6"/>
      <c r="J476" s="6"/>
      <c r="K476" s="6"/>
      <c r="L476" s="6"/>
      <c r="M476" s="6"/>
      <c r="N476" s="7">
        <f t="shared" si="719"/>
        <v>0</v>
      </c>
      <c r="O476" s="11">
        <f t="shared" si="633"/>
        <v>0</v>
      </c>
      <c r="P476" s="25"/>
      <c r="Q476" s="10" t="str">
        <f t="shared" si="634"/>
        <v>OutubroSEMANA 2Gengibre</v>
      </c>
      <c r="R476" s="7">
        <f>SUMIF(NF!$A:$A,$Q476,NF!$I:$I)</f>
        <v>0</v>
      </c>
      <c r="S476" s="6"/>
      <c r="T476" s="6"/>
      <c r="U476" s="6"/>
      <c r="V476" s="6"/>
      <c r="W476" s="6"/>
      <c r="X476" s="6"/>
      <c r="Y476" s="6"/>
      <c r="Z476" s="7">
        <f t="shared" si="720"/>
        <v>0</v>
      </c>
      <c r="AA476" s="11">
        <f t="shared" si="636"/>
        <v>0</v>
      </c>
      <c r="AB476" s="25"/>
      <c r="AC476" s="10" t="str">
        <f t="shared" si="637"/>
        <v>OutubroSEMANA 3Gengibre</v>
      </c>
      <c r="AD476" s="7">
        <f>SUMIF(NF!$A:$A,$AC476,NF!$I:$I)</f>
        <v>0</v>
      </c>
      <c r="AE476" s="6"/>
      <c r="AF476" s="6"/>
      <c r="AG476" s="6"/>
      <c r="AH476" s="6"/>
      <c r="AI476" s="6"/>
      <c r="AJ476" s="6"/>
      <c r="AK476" s="6"/>
      <c r="AL476" s="7">
        <f t="shared" si="721"/>
        <v>0</v>
      </c>
      <c r="AM476" s="11">
        <f t="shared" si="639"/>
        <v>0</v>
      </c>
      <c r="AN476" s="25"/>
      <c r="AO476" s="10" t="str">
        <f t="shared" si="640"/>
        <v>OutubroSEMANA 4Gengibre</v>
      </c>
      <c r="AP476" s="7">
        <f>SUMIF(NF!$A:$A,$AO476,NF!$I:$I)</f>
        <v>11.78</v>
      </c>
      <c r="AQ476" s="6"/>
      <c r="AR476" s="6"/>
      <c r="AS476" s="6"/>
      <c r="AT476" s="6"/>
      <c r="AU476" s="6"/>
      <c r="AV476" s="6"/>
      <c r="AW476" s="6"/>
      <c r="AX476" s="7">
        <f t="shared" si="722"/>
        <v>0</v>
      </c>
      <c r="AY476" s="11">
        <f t="shared" si="642"/>
        <v>11.78</v>
      </c>
      <c r="AZ476" s="25"/>
      <c r="BA476" s="10" t="str">
        <f t="shared" si="643"/>
        <v>OutubroSEMANA 5Gengibre</v>
      </c>
      <c r="BB476" s="7">
        <f>SUMIF(NF!$A:$A,$BA476,NF!$I:$I)</f>
        <v>0</v>
      </c>
      <c r="BC476" s="6"/>
      <c r="BD476" s="6"/>
      <c r="BE476" s="6"/>
      <c r="BF476" s="74"/>
      <c r="BG476" s="74"/>
      <c r="BH476" s="74"/>
      <c r="BI476" s="74"/>
      <c r="BJ476" s="74"/>
      <c r="BK476" s="7">
        <f t="shared" si="723"/>
        <v>0</v>
      </c>
      <c r="BL476" s="8">
        <f t="shared" si="645"/>
        <v>11.78</v>
      </c>
      <c r="BM476" s="51" t="str">
        <f>IFERROR(VLOOKUP(A476,NF!$M:$O,3,0),"")</f>
        <v>Hortifruti</v>
      </c>
      <c r="BN476" s="7">
        <f t="shared" si="646"/>
        <v>0</v>
      </c>
      <c r="BO476" s="8">
        <f t="array" ref="BO476">IFERROR(LARGE(IF(NF!$G$2:$G$3137='Mês atual'!A476,NF!$J$2:$J$3137),1),0)*BN476</f>
        <v>0</v>
      </c>
      <c r="BP476" s="50"/>
      <c r="BR476" s="147">
        <f t="array" ref="BR476">IFERROR(LARGE(IF(NF!$G$2:$G$3137='Mês atual'!A476,NF!$J$2:$J$3137),1),0)</f>
        <v>6.7911714770797964</v>
      </c>
      <c r="BS476" s="143" t="str">
        <f>VLOOKUP(A476,NF!M:O,3,0)</f>
        <v>Hortifruti</v>
      </c>
    </row>
    <row r="477" spans="1:71" x14ac:dyDescent="0.25">
      <c r="A477" s="108" t="s">
        <v>391</v>
      </c>
      <c r="B477" s="12"/>
      <c r="C477" s="9"/>
      <c r="D477" s="25"/>
      <c r="E477" s="10" t="str">
        <f t="shared" si="631"/>
        <v>OutubroSEMANA 1Goiaba</v>
      </c>
      <c r="F477" s="7">
        <f>SUMIF(NF!$A:$A,$E477,NF!$I:$I)</f>
        <v>5</v>
      </c>
      <c r="G477" s="6"/>
      <c r="H477" s="6"/>
      <c r="I477" s="6">
        <v>2.5</v>
      </c>
      <c r="J477" s="6"/>
      <c r="K477" s="6"/>
      <c r="L477" s="6"/>
      <c r="M477" s="6">
        <v>2.5</v>
      </c>
      <c r="N477" s="7">
        <f t="shared" si="719"/>
        <v>5</v>
      </c>
      <c r="O477" s="11">
        <f t="shared" si="633"/>
        <v>0</v>
      </c>
      <c r="P477" s="25"/>
      <c r="Q477" s="10" t="str">
        <f t="shared" si="634"/>
        <v>OutubroSEMANA 2Goiaba</v>
      </c>
      <c r="R477" s="7">
        <f>SUMIF(NF!$A:$A,$Q477,NF!$I:$I)</f>
        <v>5</v>
      </c>
      <c r="S477" s="6"/>
      <c r="T477" s="6"/>
      <c r="U477" s="6"/>
      <c r="V477" s="6"/>
      <c r="W477" s="6">
        <v>2.5</v>
      </c>
      <c r="X477" s="6"/>
      <c r="Y477" s="6"/>
      <c r="Z477" s="7">
        <f t="shared" si="720"/>
        <v>2.5</v>
      </c>
      <c r="AA477" s="11">
        <f t="shared" si="636"/>
        <v>2.5</v>
      </c>
      <c r="AB477" s="25"/>
      <c r="AC477" s="10" t="str">
        <f t="shared" si="637"/>
        <v>OutubroSEMANA 3Goiaba</v>
      </c>
      <c r="AD477" s="7">
        <f>SUMIF(NF!$A:$A,$AC477,NF!$I:$I)</f>
        <v>2.5</v>
      </c>
      <c r="AE477" s="6">
        <v>2.5</v>
      </c>
      <c r="AF477" s="6"/>
      <c r="AG477" s="6"/>
      <c r="AH477" s="6"/>
      <c r="AI477" s="6"/>
      <c r="AJ477" s="6">
        <v>2.5</v>
      </c>
      <c r="AK477" s="6"/>
      <c r="AL477" s="7">
        <f t="shared" si="721"/>
        <v>5</v>
      </c>
      <c r="AM477" s="11">
        <f t="shared" si="639"/>
        <v>0</v>
      </c>
      <c r="AN477" s="25"/>
      <c r="AO477" s="10" t="str">
        <f t="shared" si="640"/>
        <v>OutubroSEMANA 4Goiaba</v>
      </c>
      <c r="AP477" s="7">
        <f>SUMIF(NF!$A:$A,$AO477,NF!$I:$I)</f>
        <v>2.5</v>
      </c>
      <c r="AQ477" s="6"/>
      <c r="AR477" s="6"/>
      <c r="AS477" s="6">
        <v>2.5</v>
      </c>
      <c r="AT477" s="6"/>
      <c r="AU477" s="6"/>
      <c r="AV477" s="6"/>
      <c r="AW477" s="6"/>
      <c r="AX477" s="7">
        <f t="shared" si="722"/>
        <v>2.5</v>
      </c>
      <c r="AY477" s="11">
        <f t="shared" si="642"/>
        <v>0</v>
      </c>
      <c r="AZ477" s="25"/>
      <c r="BA477" s="10" t="str">
        <f t="shared" si="643"/>
        <v>OutubroSEMANA 5Goiaba</v>
      </c>
      <c r="BB477" s="7">
        <f>SUMIF(NF!$A:$A,$BA477,NF!$I:$I)</f>
        <v>3.16</v>
      </c>
      <c r="BC477" s="6">
        <v>0.66</v>
      </c>
      <c r="BD477" s="6">
        <v>2.5</v>
      </c>
      <c r="BE477" s="6"/>
      <c r="BF477" s="74"/>
      <c r="BG477" s="74"/>
      <c r="BH477" s="74"/>
      <c r="BI477" s="74"/>
      <c r="BJ477" s="74"/>
      <c r="BK477" s="7">
        <f t="shared" si="723"/>
        <v>3.16</v>
      </c>
      <c r="BL477" s="8">
        <f t="shared" si="645"/>
        <v>0</v>
      </c>
      <c r="BM477" s="51" t="str">
        <f>IFERROR(VLOOKUP(A477,NF!$M:$O,3,0),"")</f>
        <v>Hortifruti</v>
      </c>
      <c r="BN477" s="7">
        <f t="shared" si="646"/>
        <v>18.16</v>
      </c>
      <c r="BO477" s="8">
        <f t="array" ref="BO477">IFERROR(LARGE(IF(NF!$G$2:$G$3137='Mês atual'!A477,NF!$J$2:$J$3137),1),0)*BN477</f>
        <v>217.73840000000001</v>
      </c>
      <c r="BP477" s="50"/>
      <c r="BR477" s="147">
        <f t="array" ref="BR477">IFERROR(LARGE(IF(NF!$G$2:$G$3137='Mês atual'!A477,NF!$J$2:$J$3137),1),0)</f>
        <v>11.99</v>
      </c>
      <c r="BS477" s="143" t="str">
        <f>VLOOKUP(A477,NF!M:O,3,0)</f>
        <v>Hortifruti</v>
      </c>
    </row>
    <row r="478" spans="1:71" x14ac:dyDescent="0.25">
      <c r="A478" s="108" t="s">
        <v>405</v>
      </c>
      <c r="B478" s="12"/>
      <c r="C478" s="9">
        <v>0.5</v>
      </c>
      <c r="D478" s="25"/>
      <c r="E478" s="10" t="str">
        <f t="shared" si="631"/>
        <v>OutubroSEMANA 1Hortelã</v>
      </c>
      <c r="F478" s="7">
        <f>SUMIF(NF!$A:$A,$E478,NF!$I:$I)</f>
        <v>1.8</v>
      </c>
      <c r="G478" s="6">
        <v>0.5</v>
      </c>
      <c r="H478" s="6"/>
      <c r="I478" s="6"/>
      <c r="J478" s="6">
        <v>0.8</v>
      </c>
      <c r="K478" s="6"/>
      <c r="L478" s="6">
        <v>0.5</v>
      </c>
      <c r="M478" s="6">
        <v>0.5</v>
      </c>
      <c r="N478" s="7">
        <f t="shared" si="719"/>
        <v>2.2999999999999998</v>
      </c>
      <c r="O478" s="11">
        <f t="shared" si="633"/>
        <v>0</v>
      </c>
      <c r="P478" s="25"/>
      <c r="Q478" s="10" t="str">
        <f t="shared" si="634"/>
        <v>OutubroSEMANA 2Hortelã</v>
      </c>
      <c r="R478" s="7">
        <f>SUMIF(NF!$A:$A,$Q478,NF!$I:$I)</f>
        <v>1</v>
      </c>
      <c r="S478" s="6"/>
      <c r="T478" s="6"/>
      <c r="U478" s="6"/>
      <c r="V478" s="6">
        <v>0.5</v>
      </c>
      <c r="W478" s="6"/>
      <c r="X478" s="6"/>
      <c r="Y478" s="6">
        <v>0.5</v>
      </c>
      <c r="Z478" s="7">
        <f t="shared" si="720"/>
        <v>1</v>
      </c>
      <c r="AA478" s="11">
        <f t="shared" si="636"/>
        <v>0</v>
      </c>
      <c r="AB478" s="25"/>
      <c r="AC478" s="10" t="str">
        <f t="shared" si="637"/>
        <v>OutubroSEMANA 3Hortelã</v>
      </c>
      <c r="AD478" s="7">
        <f>SUMIF(NF!$A:$A,$AC478,NF!$I:$I)</f>
        <v>2</v>
      </c>
      <c r="AE478" s="6"/>
      <c r="AF478" s="6">
        <v>0.5</v>
      </c>
      <c r="AG478" s="6"/>
      <c r="AH478" s="6">
        <v>0.5</v>
      </c>
      <c r="AI478" s="6"/>
      <c r="AJ478" s="6">
        <v>1</v>
      </c>
      <c r="AK478" s="6"/>
      <c r="AL478" s="7">
        <f t="shared" si="721"/>
        <v>2</v>
      </c>
      <c r="AM478" s="11">
        <f t="shared" si="639"/>
        <v>0</v>
      </c>
      <c r="AN478" s="25"/>
      <c r="AO478" s="10" t="str">
        <f t="shared" si="640"/>
        <v>OutubroSEMANA 4Hortelã</v>
      </c>
      <c r="AP478" s="7">
        <f>SUMIF(NF!$A:$A,$AO478,NF!$I:$I)</f>
        <v>3</v>
      </c>
      <c r="AQ478" s="6"/>
      <c r="AR478" s="6">
        <v>1</v>
      </c>
      <c r="AS478" s="6"/>
      <c r="AT478" s="6">
        <v>0.5</v>
      </c>
      <c r="AU478" s="6">
        <v>0.5</v>
      </c>
      <c r="AV478" s="6">
        <v>0.5</v>
      </c>
      <c r="AW478" s="6"/>
      <c r="AX478" s="7">
        <f t="shared" si="722"/>
        <v>2.5</v>
      </c>
      <c r="AY478" s="11">
        <f t="shared" si="642"/>
        <v>0.5</v>
      </c>
      <c r="AZ478" s="25"/>
      <c r="BA478" s="10" t="str">
        <f t="shared" si="643"/>
        <v>OutubroSEMANA 5Hortelã</v>
      </c>
      <c r="BB478" s="7">
        <f>SUMIF(NF!$A:$A,$BA478,NF!$I:$I)</f>
        <v>0.5</v>
      </c>
      <c r="BC478" s="6">
        <v>0.5</v>
      </c>
      <c r="BD478" s="6"/>
      <c r="BE478" s="6">
        <v>0.5</v>
      </c>
      <c r="BF478" s="74"/>
      <c r="BG478" s="74"/>
      <c r="BH478" s="74"/>
      <c r="BI478" s="74"/>
      <c r="BJ478" s="74"/>
      <c r="BK478" s="7">
        <f t="shared" si="723"/>
        <v>1</v>
      </c>
      <c r="BL478" s="8">
        <f t="shared" si="645"/>
        <v>0</v>
      </c>
      <c r="BM478" s="51" t="str">
        <f>IFERROR(VLOOKUP(A478,NF!$M:$O,3,0),"")</f>
        <v>Hortifruti</v>
      </c>
      <c r="BN478" s="7">
        <f t="shared" si="646"/>
        <v>8.8000000000000007</v>
      </c>
      <c r="BO478" s="8">
        <f t="array" ref="BO478">IFERROR(LARGE(IF(NF!$G$2:$G$3137='Mês atual'!A478,NF!$J$2:$J$3137),1),0)*BN478</f>
        <v>39.6</v>
      </c>
      <c r="BP478" s="50"/>
      <c r="BR478" s="147">
        <f t="array" ref="BR478">IFERROR(LARGE(IF(NF!$G$2:$G$3137='Mês atual'!A478,NF!$J$2:$J$3137),1),0)</f>
        <v>4.5</v>
      </c>
      <c r="BS478" s="143" t="str">
        <f>VLOOKUP(A478,NF!M:O,3,0)</f>
        <v>Hortifruti</v>
      </c>
    </row>
    <row r="479" spans="1:71" x14ac:dyDescent="0.25">
      <c r="A479" s="108" t="s">
        <v>406</v>
      </c>
      <c r="B479" s="12"/>
      <c r="C479" s="9"/>
      <c r="D479" s="25"/>
      <c r="E479" s="10" t="str">
        <f t="shared" si="631"/>
        <v>OutubroSEMANA 1Hortelã Orgânica</v>
      </c>
      <c r="F479" s="7">
        <f>SUMIF(NF!$A:$A,$E479,NF!$I:$I)</f>
        <v>0</v>
      </c>
      <c r="G479" s="6"/>
      <c r="H479" s="6"/>
      <c r="I479" s="6"/>
      <c r="J479" s="6"/>
      <c r="K479" s="6"/>
      <c r="L479" s="6"/>
      <c r="M479" s="6"/>
      <c r="N479" s="7">
        <f t="shared" si="719"/>
        <v>0</v>
      </c>
      <c r="O479" s="11">
        <f t="shared" si="633"/>
        <v>0</v>
      </c>
      <c r="P479" s="25"/>
      <c r="Q479" s="10" t="str">
        <f t="shared" si="634"/>
        <v>OutubroSEMANA 2Hortelã Orgânica</v>
      </c>
      <c r="R479" s="7">
        <f>SUMIF(NF!$A:$A,$Q479,NF!$I:$I)</f>
        <v>0</v>
      </c>
      <c r="S479" s="6"/>
      <c r="T479" s="6"/>
      <c r="U479" s="6"/>
      <c r="V479" s="6"/>
      <c r="W479" s="6"/>
      <c r="X479" s="6"/>
      <c r="Y479" s="6"/>
      <c r="Z479" s="7">
        <f t="shared" si="720"/>
        <v>0</v>
      </c>
      <c r="AA479" s="11">
        <f t="shared" si="636"/>
        <v>0</v>
      </c>
      <c r="AB479" s="25"/>
      <c r="AC479" s="10" t="str">
        <f t="shared" si="637"/>
        <v>OutubroSEMANA 3Hortelã Orgânica</v>
      </c>
      <c r="AD479" s="7">
        <f>SUMIF(NF!$A:$A,$AC479,NF!$I:$I)</f>
        <v>0</v>
      </c>
      <c r="AE479" s="6"/>
      <c r="AF479" s="6"/>
      <c r="AG479" s="6"/>
      <c r="AH479" s="6"/>
      <c r="AI479" s="6"/>
      <c r="AJ479" s="6"/>
      <c r="AK479" s="6"/>
      <c r="AL479" s="7">
        <f t="shared" si="721"/>
        <v>0</v>
      </c>
      <c r="AM479" s="11">
        <f t="shared" si="639"/>
        <v>0</v>
      </c>
      <c r="AN479" s="25"/>
      <c r="AO479" s="10" t="str">
        <f t="shared" si="640"/>
        <v>OutubroSEMANA 4Hortelã Orgânica</v>
      </c>
      <c r="AP479" s="7">
        <f>SUMIF(NF!$A:$A,$AO479,NF!$I:$I)</f>
        <v>0</v>
      </c>
      <c r="AQ479" s="6"/>
      <c r="AR479" s="6"/>
      <c r="AS479" s="6"/>
      <c r="AT479" s="6"/>
      <c r="AU479" s="6"/>
      <c r="AV479" s="6"/>
      <c r="AW479" s="6"/>
      <c r="AX479" s="7">
        <f t="shared" si="722"/>
        <v>0</v>
      </c>
      <c r="AY479" s="11">
        <f t="shared" si="642"/>
        <v>0</v>
      </c>
      <c r="AZ479" s="25"/>
      <c r="BA479" s="10" t="str">
        <f t="shared" si="643"/>
        <v>OutubroSEMANA 5Hortelã Orgânica</v>
      </c>
      <c r="BB479" s="7">
        <f>SUMIF(NF!$A:$A,$BA479,NF!$I:$I)</f>
        <v>0</v>
      </c>
      <c r="BC479" s="6"/>
      <c r="BD479" s="6"/>
      <c r="BE479" s="6"/>
      <c r="BF479" s="74"/>
      <c r="BG479" s="74"/>
      <c r="BH479" s="74"/>
      <c r="BI479" s="74"/>
      <c r="BJ479" s="74"/>
      <c r="BK479" s="7">
        <f t="shared" si="723"/>
        <v>0</v>
      </c>
      <c r="BL479" s="8">
        <f t="shared" si="645"/>
        <v>0</v>
      </c>
      <c r="BM479" s="51" t="str">
        <f>IFERROR(VLOOKUP(A479,NF!$M:$O,3,0),"")</f>
        <v>Hortifruti</v>
      </c>
      <c r="BN479" s="7">
        <f t="shared" si="646"/>
        <v>0</v>
      </c>
      <c r="BO479" s="8">
        <f t="array" ref="BO479">IFERROR(LARGE(IF(NF!$G$2:$G$3137='Mês atual'!A479,NF!$J$2:$J$3137),1),0)*BN479</f>
        <v>0</v>
      </c>
      <c r="BP479" s="50"/>
      <c r="BR479" s="147">
        <f t="array" ref="BR479">IFERROR(LARGE(IF(NF!$G$2:$G$3137='Mês atual'!A479,NF!$J$2:$J$3137),1),0)</f>
        <v>0</v>
      </c>
      <c r="BS479" s="143" t="str">
        <f>VLOOKUP(A479,NF!M:O,3,0)</f>
        <v>Hortifruti</v>
      </c>
    </row>
    <row r="480" spans="1:71" x14ac:dyDescent="0.25">
      <c r="A480" s="108" t="s">
        <v>448</v>
      </c>
      <c r="B480" s="12"/>
      <c r="C480" s="9"/>
      <c r="D480" s="25"/>
      <c r="E480" s="10" t="str">
        <f t="shared" si="631"/>
        <v>OutubroSEMANA 1Inhame</v>
      </c>
      <c r="F480" s="7">
        <f>SUMIF(NF!$A:$A,$E480,NF!$I:$I)</f>
        <v>6</v>
      </c>
      <c r="G480" s="6"/>
      <c r="H480" s="6"/>
      <c r="I480" s="6"/>
      <c r="J480" s="6">
        <v>6</v>
      </c>
      <c r="K480" s="6"/>
      <c r="L480" s="6"/>
      <c r="M480" s="6"/>
      <c r="N480" s="7">
        <f t="shared" si="719"/>
        <v>6</v>
      </c>
      <c r="O480" s="11">
        <f t="shared" si="633"/>
        <v>0</v>
      </c>
      <c r="P480" s="25"/>
      <c r="Q480" s="10" t="str">
        <f t="shared" si="634"/>
        <v>OutubroSEMANA 2Inhame</v>
      </c>
      <c r="R480" s="7">
        <f>SUMIF(NF!$A:$A,$Q480,NF!$I:$I)</f>
        <v>2</v>
      </c>
      <c r="S480" s="6"/>
      <c r="T480" s="6"/>
      <c r="U480" s="6"/>
      <c r="V480" s="6"/>
      <c r="W480" s="6"/>
      <c r="X480" s="6">
        <v>2</v>
      </c>
      <c r="Y480" s="6"/>
      <c r="Z480" s="7">
        <f t="shared" si="720"/>
        <v>2</v>
      </c>
      <c r="AA480" s="11">
        <f t="shared" si="636"/>
        <v>0</v>
      </c>
      <c r="AB480" s="25"/>
      <c r="AC480" s="10" t="str">
        <f t="shared" si="637"/>
        <v>OutubroSEMANA 3Inhame</v>
      </c>
      <c r="AD480" s="7">
        <f>SUMIF(NF!$A:$A,$AC480,NF!$I:$I)</f>
        <v>12</v>
      </c>
      <c r="AE480" s="6"/>
      <c r="AF480" s="6">
        <v>1.5</v>
      </c>
      <c r="AG480" s="6">
        <v>6.1</v>
      </c>
      <c r="AH480" s="6">
        <v>2.4</v>
      </c>
      <c r="AI480" s="6"/>
      <c r="AJ480" s="6"/>
      <c r="AK480" s="6">
        <v>2</v>
      </c>
      <c r="AL480" s="7">
        <f t="shared" si="721"/>
        <v>12</v>
      </c>
      <c r="AM480" s="11">
        <f t="shared" si="639"/>
        <v>0</v>
      </c>
      <c r="AN480" s="25"/>
      <c r="AO480" s="10" t="str">
        <f t="shared" si="640"/>
        <v>OutubroSEMANA 4Inhame</v>
      </c>
      <c r="AP480" s="7">
        <f>SUMIF(NF!$A:$A,$AO480,NF!$I:$I)</f>
        <v>6</v>
      </c>
      <c r="AQ480" s="6"/>
      <c r="AR480" s="6"/>
      <c r="AS480" s="6">
        <v>6</v>
      </c>
      <c r="AT480" s="6"/>
      <c r="AU480" s="6"/>
      <c r="AV480" s="6"/>
      <c r="AW480" s="6"/>
      <c r="AX480" s="7">
        <f t="shared" si="722"/>
        <v>6</v>
      </c>
      <c r="AY480" s="11">
        <f t="shared" si="642"/>
        <v>0</v>
      </c>
      <c r="AZ480" s="25"/>
      <c r="BA480" s="10" t="str">
        <f t="shared" si="643"/>
        <v>OutubroSEMANA 5Inhame</v>
      </c>
      <c r="BB480" s="7">
        <f>SUMIF(NF!$A:$A,$BA480,NF!$I:$I)</f>
        <v>2</v>
      </c>
      <c r="BC480" s="6"/>
      <c r="BD480" s="6"/>
      <c r="BE480" s="6"/>
      <c r="BF480" s="74"/>
      <c r="BG480" s="74"/>
      <c r="BH480" s="74"/>
      <c r="BI480" s="74"/>
      <c r="BJ480" s="74"/>
      <c r="BK480" s="7">
        <f t="shared" si="723"/>
        <v>0</v>
      </c>
      <c r="BL480" s="8">
        <f t="shared" si="645"/>
        <v>2</v>
      </c>
      <c r="BM480" s="51" t="str">
        <f>IFERROR(VLOOKUP(A480,NF!$M:$O,3,0),"")</f>
        <v>Hortifruti</v>
      </c>
      <c r="BN480" s="7">
        <f t="shared" si="646"/>
        <v>26</v>
      </c>
      <c r="BO480" s="8">
        <f t="array" ref="BO480">IFERROR(LARGE(IF(NF!$G$2:$G$3137='Mês atual'!A480,NF!$J$2:$J$3137),1),0)*BN480</f>
        <v>62.4</v>
      </c>
      <c r="BP480" s="50"/>
      <c r="BR480" s="147">
        <f t="array" ref="BR480">IFERROR(LARGE(IF(NF!$G$2:$G$3137='Mês atual'!A480,NF!$J$2:$J$3137),1),0)</f>
        <v>2.4</v>
      </c>
      <c r="BS480" s="143" t="str">
        <f>VLOOKUP(A480,NF!M:O,3,0)</f>
        <v>Hortifruti</v>
      </c>
    </row>
    <row r="481" spans="1:71" x14ac:dyDescent="0.25">
      <c r="A481" s="108" t="s">
        <v>451</v>
      </c>
      <c r="B481" s="12"/>
      <c r="C481" s="9"/>
      <c r="D481" s="25"/>
      <c r="E481" s="10" t="str">
        <f t="shared" si="631"/>
        <v>OutubroSEMANA 1Jiló</v>
      </c>
      <c r="F481" s="7">
        <f>SUMIF(NF!$A:$A,$E481,NF!$I:$I)</f>
        <v>0</v>
      </c>
      <c r="G481" s="6"/>
      <c r="H481" s="6"/>
      <c r="I481" s="6"/>
      <c r="J481" s="6"/>
      <c r="K481" s="6"/>
      <c r="L481" s="6"/>
      <c r="M481" s="6"/>
      <c r="N481" s="7">
        <f t="shared" si="719"/>
        <v>0</v>
      </c>
      <c r="O481" s="11">
        <f t="shared" si="633"/>
        <v>0</v>
      </c>
      <c r="P481" s="25"/>
      <c r="Q481" s="10" t="str">
        <f t="shared" si="634"/>
        <v>OutubroSEMANA 2Jiló</v>
      </c>
      <c r="R481" s="7">
        <f>SUMIF(NF!$A:$A,$Q481,NF!$I:$I)</f>
        <v>5</v>
      </c>
      <c r="S481" s="6"/>
      <c r="T481" s="6"/>
      <c r="U481" s="6">
        <v>5</v>
      </c>
      <c r="V481" s="6"/>
      <c r="W481" s="6"/>
      <c r="X481" s="6"/>
      <c r="Y481" s="6"/>
      <c r="Z481" s="7">
        <f t="shared" si="720"/>
        <v>5</v>
      </c>
      <c r="AA481" s="11">
        <f t="shared" si="636"/>
        <v>0</v>
      </c>
      <c r="AB481" s="25"/>
      <c r="AC481" s="10" t="str">
        <f t="shared" si="637"/>
        <v>OutubroSEMANA 3Jiló</v>
      </c>
      <c r="AD481" s="7">
        <f>SUMIF(NF!$A:$A,$AC481,NF!$I:$I)</f>
        <v>2</v>
      </c>
      <c r="AE481" s="6"/>
      <c r="AF481" s="6"/>
      <c r="AG481" s="6"/>
      <c r="AH481" s="6">
        <v>2</v>
      </c>
      <c r="AI481" s="6"/>
      <c r="AJ481" s="6"/>
      <c r="AK481" s="6"/>
      <c r="AL481" s="7">
        <f t="shared" si="721"/>
        <v>2</v>
      </c>
      <c r="AM481" s="11">
        <f t="shared" si="639"/>
        <v>0</v>
      </c>
      <c r="AN481" s="25"/>
      <c r="AO481" s="10" t="str">
        <f t="shared" si="640"/>
        <v>OutubroSEMANA 4Jiló</v>
      </c>
      <c r="AP481" s="7">
        <f>SUMIF(NF!$A:$A,$AO481,NF!$I:$I)</f>
        <v>0</v>
      </c>
      <c r="AQ481" s="6"/>
      <c r="AR481" s="6"/>
      <c r="AS481" s="6"/>
      <c r="AT481" s="6"/>
      <c r="AU481" s="6"/>
      <c r="AV481" s="6"/>
      <c r="AW481" s="6"/>
      <c r="AX481" s="7">
        <f t="shared" si="722"/>
        <v>0</v>
      </c>
      <c r="AY481" s="11">
        <f t="shared" si="642"/>
        <v>0</v>
      </c>
      <c r="AZ481" s="25"/>
      <c r="BA481" s="10" t="str">
        <f t="shared" si="643"/>
        <v>OutubroSEMANA 5Jiló</v>
      </c>
      <c r="BB481" s="7">
        <f>SUMIF(NF!$A:$A,$BA481,NF!$I:$I)</f>
        <v>0</v>
      </c>
      <c r="BC481" s="6"/>
      <c r="BD481" s="6"/>
      <c r="BE481" s="6"/>
      <c r="BF481" s="74"/>
      <c r="BG481" s="74"/>
      <c r="BH481" s="74"/>
      <c r="BI481" s="74"/>
      <c r="BJ481" s="74"/>
      <c r="BK481" s="7">
        <f t="shared" si="723"/>
        <v>0</v>
      </c>
      <c r="BL481" s="8">
        <f t="shared" si="645"/>
        <v>0</v>
      </c>
      <c r="BM481" s="51" t="str">
        <f>IFERROR(VLOOKUP(A481,NF!$M:$O,3,0),"")</f>
        <v>Hortifruti</v>
      </c>
      <c r="BN481" s="7">
        <f t="shared" si="646"/>
        <v>7</v>
      </c>
      <c r="BO481" s="8">
        <f t="array" ref="BO481">IFERROR(LARGE(IF(NF!$G$2:$G$3137='Mês atual'!A481,NF!$J$2:$J$3137),1),0)*BN481</f>
        <v>35</v>
      </c>
      <c r="BP481" s="50"/>
      <c r="BR481" s="147">
        <f t="array" ref="BR481">IFERROR(LARGE(IF(NF!$G$2:$G$3137='Mês atual'!A481,NF!$J$2:$J$3137),1),0)</f>
        <v>5</v>
      </c>
      <c r="BS481" s="143" t="str">
        <f>VLOOKUP(A481,NF!M:O,3,0)</f>
        <v>Hortifruti</v>
      </c>
    </row>
    <row r="482" spans="1:71" x14ac:dyDescent="0.25">
      <c r="A482" s="108" t="s">
        <v>454</v>
      </c>
      <c r="B482" s="12"/>
      <c r="C482" s="9">
        <v>1</v>
      </c>
      <c r="D482" s="25"/>
      <c r="E482" s="10" t="str">
        <f t="shared" si="631"/>
        <v>OutubroSEMANA 1Kiwi</v>
      </c>
      <c r="F482" s="7">
        <f>SUMIF(NF!$A:$A,$E482,NF!$I:$I)</f>
        <v>3</v>
      </c>
      <c r="G482" s="6">
        <v>1</v>
      </c>
      <c r="H482" s="6"/>
      <c r="I482" s="6"/>
      <c r="J482" s="6">
        <v>1</v>
      </c>
      <c r="K482" s="6"/>
      <c r="L482" s="6"/>
      <c r="M482" s="6">
        <v>1</v>
      </c>
      <c r="N482" s="7">
        <f t="shared" si="719"/>
        <v>3</v>
      </c>
      <c r="O482" s="11">
        <f t="shared" si="633"/>
        <v>1</v>
      </c>
      <c r="P482" s="25"/>
      <c r="Q482" s="10" t="str">
        <f t="shared" si="634"/>
        <v>OutubroSEMANA 2Kiwi</v>
      </c>
      <c r="R482" s="7">
        <f>SUMIF(NF!$A:$A,$Q482,NF!$I:$I)</f>
        <v>2</v>
      </c>
      <c r="S482" s="6">
        <v>1</v>
      </c>
      <c r="T482" s="6"/>
      <c r="U482" s="6"/>
      <c r="V482" s="6"/>
      <c r="W482" s="6">
        <v>1</v>
      </c>
      <c r="X482" s="6"/>
      <c r="Y482" s="6">
        <v>1</v>
      </c>
      <c r="Z482" s="7">
        <f t="shared" si="720"/>
        <v>3</v>
      </c>
      <c r="AA482" s="11">
        <f t="shared" si="636"/>
        <v>0</v>
      </c>
      <c r="AB482" s="25"/>
      <c r="AC482" s="10" t="str">
        <f t="shared" si="637"/>
        <v>OutubroSEMANA 3Kiwi</v>
      </c>
      <c r="AD482" s="7">
        <f>SUMIF(NF!$A:$A,$AC482,NF!$I:$I)</f>
        <v>4</v>
      </c>
      <c r="AE482" s="6"/>
      <c r="AF482" s="6"/>
      <c r="AG482" s="6">
        <v>1</v>
      </c>
      <c r="AH482" s="6">
        <v>1</v>
      </c>
      <c r="AI482" s="6"/>
      <c r="AJ482" s="6">
        <v>1</v>
      </c>
      <c r="AK482" s="6"/>
      <c r="AL482" s="7">
        <f t="shared" si="721"/>
        <v>3</v>
      </c>
      <c r="AM482" s="11">
        <f t="shared" si="639"/>
        <v>1</v>
      </c>
      <c r="AN482" s="25"/>
      <c r="AO482" s="10" t="str">
        <f t="shared" si="640"/>
        <v>OutubroSEMANA 4Kiwi</v>
      </c>
      <c r="AP482" s="7">
        <f>SUMIF(NF!$A:$A,$AO482,NF!$I:$I)</f>
        <v>2</v>
      </c>
      <c r="AQ482" s="6">
        <v>1</v>
      </c>
      <c r="AR482" s="6"/>
      <c r="AS482" s="6"/>
      <c r="AT482" s="6">
        <v>1</v>
      </c>
      <c r="AU482" s="6"/>
      <c r="AV482" s="6">
        <v>1</v>
      </c>
      <c r="AW482" s="6"/>
      <c r="AX482" s="7">
        <f t="shared" si="722"/>
        <v>3</v>
      </c>
      <c r="AY482" s="11">
        <f t="shared" si="642"/>
        <v>0</v>
      </c>
      <c r="AZ482" s="25"/>
      <c r="BA482" s="10" t="str">
        <f t="shared" si="643"/>
        <v>OutubroSEMANA 5Kiwi</v>
      </c>
      <c r="BB482" s="7">
        <f>SUMIF(NF!$A:$A,$BA482,NF!$I:$I)</f>
        <v>2.52</v>
      </c>
      <c r="BC482" s="6">
        <v>0.52</v>
      </c>
      <c r="BD482" s="6">
        <v>1</v>
      </c>
      <c r="BE482" s="6"/>
      <c r="BF482" s="74"/>
      <c r="BG482" s="74"/>
      <c r="BH482" s="74"/>
      <c r="BI482" s="74"/>
      <c r="BJ482" s="74"/>
      <c r="BK482" s="7">
        <f t="shared" si="723"/>
        <v>1.52</v>
      </c>
      <c r="BL482" s="8">
        <f t="shared" si="645"/>
        <v>1</v>
      </c>
      <c r="BM482" s="51" t="str">
        <f>IFERROR(VLOOKUP(A482,NF!$M:$O,3,0),"")</f>
        <v>Hortifruti</v>
      </c>
      <c r="BN482" s="7">
        <f t="shared" si="646"/>
        <v>13.52</v>
      </c>
      <c r="BO482" s="8">
        <f t="array" ref="BO482">IFERROR(LARGE(IF(NF!$G$2:$G$3137='Mês atual'!A482,NF!$J$2:$J$3137),1),0)*BN482</f>
        <v>270.26479999999998</v>
      </c>
      <c r="BP482" s="50"/>
      <c r="BR482" s="147">
        <f t="array" ref="BR482">IFERROR(LARGE(IF(NF!$G$2:$G$3137='Mês atual'!A482,NF!$J$2:$J$3137),1),0)</f>
        <v>19.989999999999998</v>
      </c>
      <c r="BS482" s="143" t="str">
        <f>VLOOKUP(A482,NF!M:O,3,0)</f>
        <v>Hortifruti</v>
      </c>
    </row>
    <row r="483" spans="1:71" x14ac:dyDescent="0.25">
      <c r="A483" s="108" t="s">
        <v>457</v>
      </c>
      <c r="B483" s="12"/>
      <c r="C483" s="9">
        <v>42.68</v>
      </c>
      <c r="D483" s="25"/>
      <c r="E483" s="10" t="str">
        <f t="shared" si="631"/>
        <v>OutubroSEMANA 1Laranja Pera</v>
      </c>
      <c r="F483" s="7">
        <f>SUMIF(NF!$A:$A,$E483,NF!$I:$I)</f>
        <v>83.56</v>
      </c>
      <c r="G483" s="6">
        <v>21.22</v>
      </c>
      <c r="H483" s="6">
        <v>21.46</v>
      </c>
      <c r="I483" s="6">
        <v>21.42</v>
      </c>
      <c r="J483" s="6"/>
      <c r="K483" s="6">
        <v>20.68</v>
      </c>
      <c r="L483" s="6"/>
      <c r="M483" s="6"/>
      <c r="N483" s="7">
        <f t="shared" si="719"/>
        <v>84.78</v>
      </c>
      <c r="O483" s="11">
        <f t="shared" si="633"/>
        <v>41.460000000000008</v>
      </c>
      <c r="P483" s="25"/>
      <c r="Q483" s="10" t="str">
        <f t="shared" si="634"/>
        <v>OutubroSEMANA 2Laranja Pera</v>
      </c>
      <c r="R483" s="7">
        <f>SUMIF(NF!$A:$A,$Q483,NF!$I:$I)</f>
        <v>145.14999999999998</v>
      </c>
      <c r="S483" s="6">
        <v>20.2</v>
      </c>
      <c r="T483" s="6">
        <v>21.26</v>
      </c>
      <c r="U483" s="6">
        <v>21.026</v>
      </c>
      <c r="V483" s="6">
        <v>21.026</v>
      </c>
      <c r="W483" s="6">
        <v>18.72</v>
      </c>
      <c r="X483" s="6">
        <v>21.06</v>
      </c>
      <c r="Y483" s="6">
        <v>21.3</v>
      </c>
      <c r="Z483" s="7">
        <f t="shared" si="720"/>
        <v>144.59200000000001</v>
      </c>
      <c r="AA483" s="11">
        <f t="shared" si="636"/>
        <v>42.017999999999972</v>
      </c>
      <c r="AB483" s="25"/>
      <c r="AC483" s="10" t="str">
        <f t="shared" si="637"/>
        <v>OutubroSEMANA 3Laranja Pera</v>
      </c>
      <c r="AD483" s="7">
        <f>SUMIF(NF!$A:$A,$AC483,NF!$I:$I)</f>
        <v>84.9</v>
      </c>
      <c r="AE483" s="6">
        <v>11</v>
      </c>
      <c r="AF483" s="6">
        <v>10</v>
      </c>
      <c r="AG483" s="6">
        <v>21</v>
      </c>
      <c r="AH483" s="6">
        <v>22.28</v>
      </c>
      <c r="AI483" s="6">
        <v>21.675000000000001</v>
      </c>
      <c r="AJ483" s="6"/>
      <c r="AK483" s="6">
        <v>19.260000000000002</v>
      </c>
      <c r="AL483" s="7">
        <f t="shared" si="721"/>
        <v>105.215</v>
      </c>
      <c r="AM483" s="11">
        <f t="shared" si="639"/>
        <v>21.702999999999975</v>
      </c>
      <c r="AN483" s="25"/>
      <c r="AO483" s="10" t="str">
        <f t="shared" si="640"/>
        <v>OutubroSEMANA 4Laranja Pera</v>
      </c>
      <c r="AP483" s="7">
        <f>SUMIF(NF!$A:$A,$AO483,NF!$I:$I)</f>
        <v>146.30000000000001</v>
      </c>
      <c r="AQ483" s="6">
        <v>21.7</v>
      </c>
      <c r="AR483" s="6">
        <v>20.85</v>
      </c>
      <c r="AS483" s="6">
        <v>20.85</v>
      </c>
      <c r="AT483" s="6">
        <v>21.24</v>
      </c>
      <c r="AU483" s="6">
        <v>21.76</v>
      </c>
      <c r="AV483" s="6"/>
      <c r="AW483" s="6">
        <v>20.04</v>
      </c>
      <c r="AX483" s="7">
        <f t="shared" si="722"/>
        <v>126.44</v>
      </c>
      <c r="AY483" s="11">
        <f t="shared" si="642"/>
        <v>41.562999999999988</v>
      </c>
      <c r="AZ483" s="25"/>
      <c r="BA483" s="10" t="str">
        <f t="shared" si="643"/>
        <v>OutubroSEMANA 5Laranja Pera</v>
      </c>
      <c r="BB483" s="7">
        <f>SUMIF(NF!$A:$A,$BA483,NF!$I:$I)</f>
        <v>20.46</v>
      </c>
      <c r="BC483" s="6">
        <v>21.02</v>
      </c>
      <c r="BD483" s="6">
        <v>20.54</v>
      </c>
      <c r="BE483" s="6">
        <v>20.46</v>
      </c>
      <c r="BF483" s="74"/>
      <c r="BG483" s="74"/>
      <c r="BH483" s="74"/>
      <c r="BI483" s="74"/>
      <c r="BJ483" s="74"/>
      <c r="BK483" s="7">
        <f t="shared" si="723"/>
        <v>62.02</v>
      </c>
      <c r="BL483" s="8">
        <f t="shared" si="645"/>
        <v>2.9999999999859028E-3</v>
      </c>
      <c r="BM483" s="51" t="str">
        <f>IFERROR(VLOOKUP(A483,NF!$M:$O,3,0),"")</f>
        <v>Hortifruti</v>
      </c>
      <c r="BN483" s="7">
        <f t="shared" si="646"/>
        <v>523.04700000000003</v>
      </c>
      <c r="BO483" s="8">
        <f t="array" ref="BO483">IFERROR(LARGE(IF(NF!$G$2:$G$3137='Mês atual'!A483,NF!$J$2:$J$3137),1),0)*BN483</f>
        <v>836.87520000000006</v>
      </c>
      <c r="BP483" s="50"/>
      <c r="BR483" s="147">
        <f t="array" ref="BR483">IFERROR(LARGE(IF(NF!$G$2:$G$3137='Mês atual'!A483,NF!$J$2:$J$3137),1),0)</f>
        <v>1.6</v>
      </c>
      <c r="BS483" s="143" t="str">
        <f>VLOOKUP(A483,NF!M:O,3,0)</f>
        <v>Hortifruti</v>
      </c>
    </row>
    <row r="484" spans="1:71" x14ac:dyDescent="0.25">
      <c r="A484" s="108" t="s">
        <v>458</v>
      </c>
      <c r="B484" s="12"/>
      <c r="C484" s="9"/>
      <c r="D484" s="25"/>
      <c r="E484" s="10" t="str">
        <f t="shared" si="631"/>
        <v>OutubroSEMANA 1Laranja Seleta</v>
      </c>
      <c r="F484" s="7">
        <f>SUMIF(NF!$A:$A,$E484,NF!$I:$I)</f>
        <v>0</v>
      </c>
      <c r="G484" s="6"/>
      <c r="H484" s="6"/>
      <c r="I484" s="6"/>
      <c r="J484" s="6"/>
      <c r="K484" s="6"/>
      <c r="L484" s="6"/>
      <c r="M484" s="6"/>
      <c r="N484" s="7">
        <f t="shared" si="719"/>
        <v>0</v>
      </c>
      <c r="O484" s="11">
        <f t="shared" si="633"/>
        <v>0</v>
      </c>
      <c r="P484" s="25"/>
      <c r="Q484" s="10" t="str">
        <f t="shared" si="634"/>
        <v>OutubroSEMANA 2Laranja Seleta</v>
      </c>
      <c r="R484" s="7">
        <f>SUMIF(NF!$A:$A,$Q484,NF!$I:$I)</f>
        <v>0</v>
      </c>
      <c r="S484" s="6"/>
      <c r="T484" s="6"/>
      <c r="U484" s="6"/>
      <c r="V484" s="6"/>
      <c r="W484" s="6"/>
      <c r="X484" s="6"/>
      <c r="Y484" s="6"/>
      <c r="Z484" s="7">
        <f t="shared" si="720"/>
        <v>0</v>
      </c>
      <c r="AA484" s="11">
        <f t="shared" si="636"/>
        <v>0</v>
      </c>
      <c r="AB484" s="25"/>
      <c r="AC484" s="10" t="str">
        <f t="shared" si="637"/>
        <v>OutubroSEMANA 3Laranja Seleta</v>
      </c>
      <c r="AD484" s="7">
        <f>SUMIF(NF!$A:$A,$AC484,NF!$I:$I)</f>
        <v>0</v>
      </c>
      <c r="AE484" s="6"/>
      <c r="AF484" s="6"/>
      <c r="AG484" s="6"/>
      <c r="AH484" s="6"/>
      <c r="AI484" s="6"/>
      <c r="AJ484" s="6"/>
      <c r="AK484" s="6"/>
      <c r="AL484" s="7">
        <f t="shared" si="721"/>
        <v>0</v>
      </c>
      <c r="AM484" s="11">
        <f t="shared" si="639"/>
        <v>0</v>
      </c>
      <c r="AN484" s="25"/>
      <c r="AO484" s="10" t="str">
        <f t="shared" si="640"/>
        <v>OutubroSEMANA 4Laranja Seleta</v>
      </c>
      <c r="AP484" s="7">
        <f>SUMIF(NF!$A:$A,$AO484,NF!$I:$I)</f>
        <v>0</v>
      </c>
      <c r="AQ484" s="6"/>
      <c r="AR484" s="6"/>
      <c r="AS484" s="6"/>
      <c r="AT484" s="6"/>
      <c r="AU484" s="6"/>
      <c r="AV484" s="6"/>
      <c r="AW484" s="6"/>
      <c r="AX484" s="7">
        <f t="shared" si="722"/>
        <v>0</v>
      </c>
      <c r="AY484" s="11">
        <f t="shared" si="642"/>
        <v>0</v>
      </c>
      <c r="AZ484" s="25"/>
      <c r="BA484" s="10" t="str">
        <f t="shared" si="643"/>
        <v>OutubroSEMANA 5Laranja Seleta</v>
      </c>
      <c r="BB484" s="7">
        <f>SUMIF(NF!$A:$A,$BA484,NF!$I:$I)</f>
        <v>0</v>
      </c>
      <c r="BC484" s="6"/>
      <c r="BD484" s="6"/>
      <c r="BE484" s="6"/>
      <c r="BF484" s="74"/>
      <c r="BG484" s="74"/>
      <c r="BH484" s="74"/>
      <c r="BI484" s="74"/>
      <c r="BJ484" s="74"/>
      <c r="BK484" s="7">
        <f t="shared" si="723"/>
        <v>0</v>
      </c>
      <c r="BL484" s="8">
        <f t="shared" si="645"/>
        <v>0</v>
      </c>
      <c r="BM484" s="51" t="str">
        <f>IFERROR(VLOOKUP(A484,NF!$M:$O,3,0),"")</f>
        <v>Hortifruti</v>
      </c>
      <c r="BN484" s="7">
        <f t="shared" si="646"/>
        <v>0</v>
      </c>
      <c r="BO484" s="8">
        <f t="array" ref="BO484">IFERROR(LARGE(IF(NF!$G$2:$G$3137='Mês atual'!A484,NF!$J$2:$J$3137),1),0)*BN484</f>
        <v>0</v>
      </c>
      <c r="BP484" s="50"/>
      <c r="BR484" s="147">
        <f t="array" ref="BR484">IFERROR(LARGE(IF(NF!$G$2:$G$3137='Mês atual'!A484,NF!$J$2:$J$3137),1),0)</f>
        <v>0</v>
      </c>
      <c r="BS484" s="143" t="str">
        <f>VLOOKUP(A484,NF!M:O,3,0)</f>
        <v>Hortifruti</v>
      </c>
    </row>
    <row r="485" spans="1:71" x14ac:dyDescent="0.25">
      <c r="A485" s="108" t="s">
        <v>464</v>
      </c>
      <c r="B485" s="12"/>
      <c r="C485" s="9">
        <v>5.22</v>
      </c>
      <c r="D485" s="25"/>
      <c r="E485" s="10" t="str">
        <f t="shared" si="631"/>
        <v>OutubroSEMANA 1Limão</v>
      </c>
      <c r="F485" s="7">
        <f>SUMIF(NF!$A:$A,$E485,NF!$I:$I)</f>
        <v>44.3</v>
      </c>
      <c r="G485" s="6">
        <v>5.22</v>
      </c>
      <c r="H485" s="6">
        <v>2.6579999999999999</v>
      </c>
      <c r="I485" s="6">
        <v>2.0099999999999998</v>
      </c>
      <c r="J485" s="6">
        <v>2.9870000000000001</v>
      </c>
      <c r="K485" s="6">
        <v>3.5049999999999999</v>
      </c>
      <c r="L485" s="6">
        <v>4.2380000000000004</v>
      </c>
      <c r="M485" s="6">
        <v>3.246</v>
      </c>
      <c r="N485" s="7">
        <f t="shared" si="719"/>
        <v>23.863999999999997</v>
      </c>
      <c r="O485" s="11">
        <f t="shared" si="633"/>
        <v>25.655999999999999</v>
      </c>
      <c r="P485" s="25"/>
      <c r="Q485" s="10" t="str">
        <f t="shared" si="634"/>
        <v>OutubroSEMANA 2Limão</v>
      </c>
      <c r="R485" s="7">
        <f>SUMIF(NF!$A:$A,$Q485,NF!$I:$I)</f>
        <v>23.88</v>
      </c>
      <c r="S485" s="6">
        <v>2.8559999999999999</v>
      </c>
      <c r="T485" s="6">
        <v>3.2410000000000001</v>
      </c>
      <c r="U485" s="6">
        <v>3.0590000000000002</v>
      </c>
      <c r="V485" s="6">
        <v>2.6579999999999999</v>
      </c>
      <c r="W485" s="6">
        <v>5.0019999999999998</v>
      </c>
      <c r="X485" s="6">
        <v>3.18</v>
      </c>
      <c r="Y485" s="6">
        <v>5.66</v>
      </c>
      <c r="Z485" s="7">
        <f t="shared" si="720"/>
        <v>25.655999999999999</v>
      </c>
      <c r="AA485" s="11">
        <f t="shared" si="636"/>
        <v>23.880000000000003</v>
      </c>
      <c r="AB485" s="25"/>
      <c r="AC485" s="10" t="str">
        <f t="shared" si="637"/>
        <v>OutubroSEMANA 3Limão</v>
      </c>
      <c r="AD485" s="7">
        <f>SUMIF(NF!$A:$A,$AC485,NF!$I:$I)</f>
        <v>24.98</v>
      </c>
      <c r="AE485" s="6">
        <v>3.5680000000000001</v>
      </c>
      <c r="AF485" s="6">
        <v>4.2649999999999997</v>
      </c>
      <c r="AG485" s="6">
        <v>2.6070000000000002</v>
      </c>
      <c r="AH485" s="6">
        <v>3.6</v>
      </c>
      <c r="AI485" s="6">
        <v>3.1080000000000001</v>
      </c>
      <c r="AJ485" s="6">
        <v>3.8260000000000001</v>
      </c>
      <c r="AK485" s="6">
        <v>5.9059999999999997</v>
      </c>
      <c r="AL485" s="7">
        <f t="shared" si="721"/>
        <v>26.88</v>
      </c>
      <c r="AM485" s="11">
        <f t="shared" si="639"/>
        <v>21.98</v>
      </c>
      <c r="AN485" s="25"/>
      <c r="AO485" s="10" t="str">
        <f t="shared" si="640"/>
        <v>OutubroSEMANA 4Limão</v>
      </c>
      <c r="AP485" s="7">
        <f>SUMIF(NF!$A:$A,$AO485,NF!$I:$I)</f>
        <v>23.08</v>
      </c>
      <c r="AQ485" s="6">
        <v>3.7149999999999999</v>
      </c>
      <c r="AR485" s="6">
        <v>1.2849999999999999</v>
      </c>
      <c r="AS485" s="6">
        <v>3.5870000000000002</v>
      </c>
      <c r="AT485" s="6">
        <v>2.5329999999999999</v>
      </c>
      <c r="AU485" s="6">
        <v>1.94</v>
      </c>
      <c r="AV485" s="6">
        <v>3.62</v>
      </c>
      <c r="AW485" s="6">
        <v>4.7</v>
      </c>
      <c r="AX485" s="7">
        <f t="shared" si="722"/>
        <v>21.38</v>
      </c>
      <c r="AY485" s="11">
        <f t="shared" si="642"/>
        <v>23.680000000000003</v>
      </c>
      <c r="AZ485" s="25"/>
      <c r="BA485" s="10" t="str">
        <f t="shared" si="643"/>
        <v>OutubroSEMANA 5Limão</v>
      </c>
      <c r="BB485" s="7">
        <f>SUMIF(NF!$A:$A,$BA485,NF!$I:$I)</f>
        <v>0</v>
      </c>
      <c r="BC485" s="6">
        <v>3.1070000000000002</v>
      </c>
      <c r="BD485" s="6">
        <v>6.8330000000000002</v>
      </c>
      <c r="BE485" s="6">
        <v>3.94</v>
      </c>
      <c r="BF485" s="74"/>
      <c r="BG485" s="74"/>
      <c r="BH485" s="74"/>
      <c r="BI485" s="74"/>
      <c r="BJ485" s="74"/>
      <c r="BK485" s="7">
        <f t="shared" si="723"/>
        <v>13.88</v>
      </c>
      <c r="BL485" s="8">
        <f t="shared" si="645"/>
        <v>9.8000000000000025</v>
      </c>
      <c r="BM485" s="51" t="str">
        <f>IFERROR(VLOOKUP(A485,NF!$M:$O,3,0),"")</f>
        <v>Hortifruti</v>
      </c>
      <c r="BN485" s="7">
        <f t="shared" si="646"/>
        <v>111.65999999999998</v>
      </c>
      <c r="BO485" s="8">
        <f t="array" ref="BO485">IFERROR(LARGE(IF(NF!$G$2:$G$3137='Mês atual'!A485,NF!$J$2:$J$3137),1),0)*BN485</f>
        <v>631.24371859296468</v>
      </c>
      <c r="BP485" s="50"/>
      <c r="BR485" s="147">
        <f t="array" ref="BR485">IFERROR(LARGE(IF(NF!$G$2:$G$3137='Mês atual'!A485,NF!$J$2:$J$3137),1),0)</f>
        <v>5.6532663316582914</v>
      </c>
      <c r="BS485" s="143" t="str">
        <f>VLOOKUP(A485,NF!M:O,3,0)</f>
        <v>Hortifruti</v>
      </c>
    </row>
    <row r="486" spans="1:71" x14ac:dyDescent="0.25">
      <c r="A486" s="108" t="s">
        <v>465</v>
      </c>
      <c r="B486" s="12"/>
      <c r="C486" s="9"/>
      <c r="D486" s="25"/>
      <c r="E486" s="10" t="str">
        <f t="shared" si="631"/>
        <v>OutubroSEMANA 1Limão Orgânico</v>
      </c>
      <c r="F486" s="7">
        <f>SUMIF(NF!$A:$A,$E486,NF!$I:$I)</f>
        <v>0</v>
      </c>
      <c r="G486" s="6"/>
      <c r="H486" s="6"/>
      <c r="I486" s="6"/>
      <c r="J486" s="6"/>
      <c r="K486" s="6"/>
      <c r="L486" s="6"/>
      <c r="M486" s="6"/>
      <c r="N486" s="7">
        <f t="shared" si="719"/>
        <v>0</v>
      </c>
      <c r="O486" s="11">
        <f t="shared" si="633"/>
        <v>0</v>
      </c>
      <c r="P486" s="25"/>
      <c r="Q486" s="10" t="str">
        <f t="shared" si="634"/>
        <v>OutubroSEMANA 2Limão Orgânico</v>
      </c>
      <c r="R486" s="7">
        <f>SUMIF(NF!$A:$A,$Q486,NF!$I:$I)</f>
        <v>0</v>
      </c>
      <c r="S486" s="6"/>
      <c r="T486" s="6"/>
      <c r="U486" s="6"/>
      <c r="V486" s="6"/>
      <c r="W486" s="6"/>
      <c r="X486" s="6"/>
      <c r="Y486" s="6"/>
      <c r="Z486" s="7">
        <f t="shared" si="720"/>
        <v>0</v>
      </c>
      <c r="AA486" s="11">
        <f t="shared" si="636"/>
        <v>0</v>
      </c>
      <c r="AB486" s="25"/>
      <c r="AC486" s="10" t="str">
        <f t="shared" si="637"/>
        <v>OutubroSEMANA 3Limão Orgânico</v>
      </c>
      <c r="AD486" s="7">
        <f>SUMIF(NF!$A:$A,$AC486,NF!$I:$I)</f>
        <v>0</v>
      </c>
      <c r="AE486" s="6"/>
      <c r="AF486" s="6"/>
      <c r="AG486" s="6"/>
      <c r="AH486" s="6"/>
      <c r="AI486" s="6"/>
      <c r="AJ486" s="6"/>
      <c r="AK486" s="6"/>
      <c r="AL486" s="7">
        <f t="shared" si="721"/>
        <v>0</v>
      </c>
      <c r="AM486" s="11">
        <f t="shared" si="639"/>
        <v>0</v>
      </c>
      <c r="AN486" s="25"/>
      <c r="AO486" s="10" t="str">
        <f t="shared" si="640"/>
        <v>OutubroSEMANA 4Limão Orgânico</v>
      </c>
      <c r="AP486" s="7">
        <f>SUMIF(NF!$A:$A,$AO486,NF!$I:$I)</f>
        <v>0</v>
      </c>
      <c r="AQ486" s="6"/>
      <c r="AR486" s="6"/>
      <c r="AS486" s="6"/>
      <c r="AT486" s="6"/>
      <c r="AU486" s="6"/>
      <c r="AV486" s="6"/>
      <c r="AW486" s="6"/>
      <c r="AX486" s="7">
        <f t="shared" si="722"/>
        <v>0</v>
      </c>
      <c r="AY486" s="11">
        <f t="shared" si="642"/>
        <v>0</v>
      </c>
      <c r="AZ486" s="25"/>
      <c r="BA486" s="10" t="str">
        <f t="shared" si="643"/>
        <v>OutubroSEMANA 5Limão Orgânico</v>
      </c>
      <c r="BB486" s="7">
        <f>SUMIF(NF!$A:$A,$BA486,NF!$I:$I)</f>
        <v>0</v>
      </c>
      <c r="BC486" s="6"/>
      <c r="BD486" s="6"/>
      <c r="BE486" s="6"/>
      <c r="BF486" s="74"/>
      <c r="BG486" s="74"/>
      <c r="BH486" s="74"/>
      <c r="BI486" s="74"/>
      <c r="BJ486" s="74"/>
      <c r="BK486" s="7">
        <f t="shared" si="723"/>
        <v>0</v>
      </c>
      <c r="BL486" s="8">
        <f t="shared" si="645"/>
        <v>0</v>
      </c>
      <c r="BM486" s="51" t="str">
        <f>IFERROR(VLOOKUP(A486,NF!$M:$O,3,0),"")</f>
        <v>Hortifruti</v>
      </c>
      <c r="BN486" s="7">
        <f t="shared" si="646"/>
        <v>0</v>
      </c>
      <c r="BO486" s="8">
        <f t="array" ref="BO486">IFERROR(LARGE(IF(NF!$G$2:$G$3137='Mês atual'!A486,NF!$J$2:$J$3137),1),0)*BN486</f>
        <v>0</v>
      </c>
      <c r="BP486" s="50"/>
      <c r="BR486" s="147">
        <f t="array" ref="BR486">IFERROR(LARGE(IF(NF!$G$2:$G$3137='Mês atual'!A486,NF!$J$2:$J$3137),1),0)</f>
        <v>0</v>
      </c>
      <c r="BS486" s="143" t="str">
        <f>VLOOKUP(A486,NF!M:O,3,0)</f>
        <v>Hortifruti</v>
      </c>
    </row>
    <row r="487" spans="1:71" x14ac:dyDescent="0.25">
      <c r="A487" s="108" t="s">
        <v>466</v>
      </c>
      <c r="B487" s="12"/>
      <c r="C487" s="9"/>
      <c r="D487" s="25"/>
      <c r="E487" s="10" t="str">
        <f t="shared" si="631"/>
        <v>OutubroSEMANA 1Limão Siciliano</v>
      </c>
      <c r="F487" s="7">
        <f>SUMIF(NF!$A:$A,$E487,NF!$I:$I)</f>
        <v>2</v>
      </c>
      <c r="G487" s="6"/>
      <c r="H487" s="6"/>
      <c r="I487" s="6"/>
      <c r="J487" s="6"/>
      <c r="K487" s="6">
        <v>1</v>
      </c>
      <c r="L487" s="6"/>
      <c r="M487" s="6">
        <v>1</v>
      </c>
      <c r="N487" s="7">
        <f t="shared" ref="N487:N554" si="729">SUM(G487:M487)</f>
        <v>2</v>
      </c>
      <c r="O487" s="11">
        <f t="shared" si="633"/>
        <v>0</v>
      </c>
      <c r="P487" s="25"/>
      <c r="Q487" s="10" t="str">
        <f t="shared" si="634"/>
        <v>OutubroSEMANA 2Limão Siciliano</v>
      </c>
      <c r="R487" s="7">
        <f>SUMIF(NF!$A:$A,$Q487,NF!$I:$I)</f>
        <v>1.7250000000000001</v>
      </c>
      <c r="S487" s="6"/>
      <c r="T487" s="6"/>
      <c r="U487" s="6"/>
      <c r="V487" s="6"/>
      <c r="W487" s="6"/>
      <c r="X487" s="6">
        <v>1</v>
      </c>
      <c r="Y487" s="6"/>
      <c r="Z487" s="7">
        <f t="shared" ref="Z487:Z554" si="730">SUM(S487:Y487)</f>
        <v>1</v>
      </c>
      <c r="AA487" s="11">
        <f t="shared" si="636"/>
        <v>0.72500000000000009</v>
      </c>
      <c r="AB487" s="25"/>
      <c r="AC487" s="10" t="str">
        <f t="shared" si="637"/>
        <v>OutubroSEMANA 3Limão Siciliano</v>
      </c>
      <c r="AD487" s="7">
        <f>SUMIF(NF!$A:$A,$AC487,NF!$I:$I)</f>
        <v>3</v>
      </c>
      <c r="AE487" s="6">
        <v>0.72499999999999998</v>
      </c>
      <c r="AF487" s="6">
        <v>1</v>
      </c>
      <c r="AG487" s="6"/>
      <c r="AH487" s="6">
        <v>1</v>
      </c>
      <c r="AI487" s="6"/>
      <c r="AJ487" s="6"/>
      <c r="AK487" s="6">
        <v>1</v>
      </c>
      <c r="AL487" s="7">
        <f t="shared" ref="AL487:AL554" si="731">SUM(AE487:AK487)</f>
        <v>3.7250000000000001</v>
      </c>
      <c r="AM487" s="11">
        <f t="shared" si="639"/>
        <v>0</v>
      </c>
      <c r="AN487" s="25"/>
      <c r="AO487" s="10" t="str">
        <f t="shared" si="640"/>
        <v>OutubroSEMANA 4Limão Siciliano</v>
      </c>
      <c r="AP487" s="7">
        <f>SUMIF(NF!$A:$A,$AO487,NF!$I:$I)</f>
        <v>2</v>
      </c>
      <c r="AQ487" s="6"/>
      <c r="AR487" s="6"/>
      <c r="AS487" s="6"/>
      <c r="AT487" s="6"/>
      <c r="AU487" s="6"/>
      <c r="AV487" s="6"/>
      <c r="AW487" s="6">
        <v>1</v>
      </c>
      <c r="AX487" s="7">
        <f t="shared" ref="AX487:AX554" si="732">SUM(AQ487:AW487)</f>
        <v>1</v>
      </c>
      <c r="AY487" s="11">
        <f t="shared" si="642"/>
        <v>1</v>
      </c>
      <c r="AZ487" s="25"/>
      <c r="BA487" s="10" t="str">
        <f t="shared" si="643"/>
        <v>OutubroSEMANA 5Limão Siciliano</v>
      </c>
      <c r="BB487" s="7">
        <f>SUMIF(NF!$A:$A,$BA487,NF!$I:$I)</f>
        <v>0</v>
      </c>
      <c r="BC487" s="6">
        <v>1</v>
      </c>
      <c r="BD487" s="6"/>
      <c r="BE487" s="6"/>
      <c r="BF487" s="74"/>
      <c r="BG487" s="74"/>
      <c r="BH487" s="74"/>
      <c r="BI487" s="74"/>
      <c r="BJ487" s="74"/>
      <c r="BK487" s="7">
        <f t="shared" ref="BK487:BK554" si="733">SUM(BC487:BJ487)</f>
        <v>1</v>
      </c>
      <c r="BL487" s="8">
        <f t="shared" si="645"/>
        <v>0</v>
      </c>
      <c r="BM487" s="51" t="str">
        <f>IFERROR(VLOOKUP(A487,NF!$M:$O,3,0),"")</f>
        <v>Hortifruti</v>
      </c>
      <c r="BN487" s="7">
        <f t="shared" si="646"/>
        <v>8.7249999999999996</v>
      </c>
      <c r="BO487" s="8">
        <f t="array" ref="BO487">IFERROR(LARGE(IF(NF!$G$2:$G$3137='Mês atual'!A487,NF!$J$2:$J$3137),1),0)*BN487</f>
        <v>87.25</v>
      </c>
      <c r="BP487" s="50"/>
      <c r="BR487" s="147">
        <f t="array" ref="BR487">IFERROR(LARGE(IF(NF!$G$2:$G$3137='Mês atual'!A487,NF!$J$2:$J$3137),1),0)</f>
        <v>10</v>
      </c>
      <c r="BS487" s="143" t="str">
        <f>VLOOKUP(A487,NF!M:O,3,0)</f>
        <v>Hortifruti</v>
      </c>
    </row>
    <row r="488" spans="1:71" x14ac:dyDescent="0.25">
      <c r="A488" s="108" t="s">
        <v>469</v>
      </c>
      <c r="B488" s="12"/>
      <c r="C488" s="9"/>
      <c r="D488" s="25"/>
      <c r="E488" s="10" t="str">
        <f t="shared" si="631"/>
        <v>OutubroSEMANA 1Louro</v>
      </c>
      <c r="F488" s="7">
        <f>SUMIF(NF!$A:$A,$E488,NF!$I:$I)</f>
        <v>0</v>
      </c>
      <c r="G488" s="6"/>
      <c r="H488" s="6"/>
      <c r="I488" s="6"/>
      <c r="J488" s="6"/>
      <c r="K488" s="6"/>
      <c r="L488" s="6"/>
      <c r="M488" s="6"/>
      <c r="N488" s="7">
        <f t="shared" si="729"/>
        <v>0</v>
      </c>
      <c r="O488" s="11">
        <f t="shared" si="633"/>
        <v>0</v>
      </c>
      <c r="P488" s="25"/>
      <c r="Q488" s="10" t="str">
        <f t="shared" si="634"/>
        <v>OutubroSEMANA 2Louro</v>
      </c>
      <c r="R488" s="7">
        <f>SUMIF(NF!$A:$A,$Q488,NF!$I:$I)</f>
        <v>0</v>
      </c>
      <c r="S488" s="6"/>
      <c r="T488" s="6"/>
      <c r="U488" s="6"/>
      <c r="V488" s="6"/>
      <c r="W488" s="6"/>
      <c r="X488" s="6"/>
      <c r="Y488" s="6"/>
      <c r="Z488" s="7">
        <f t="shared" si="730"/>
        <v>0</v>
      </c>
      <c r="AA488" s="11">
        <f t="shared" si="636"/>
        <v>0</v>
      </c>
      <c r="AB488" s="25"/>
      <c r="AC488" s="10" t="str">
        <f t="shared" si="637"/>
        <v>OutubroSEMANA 3Louro</v>
      </c>
      <c r="AD488" s="7">
        <f>SUMIF(NF!$A:$A,$AC488,NF!$I:$I)</f>
        <v>0</v>
      </c>
      <c r="AE488" s="6"/>
      <c r="AF488" s="6"/>
      <c r="AG488" s="6"/>
      <c r="AH488" s="6"/>
      <c r="AI488" s="6"/>
      <c r="AJ488" s="6"/>
      <c r="AK488" s="6"/>
      <c r="AL488" s="7">
        <f t="shared" si="731"/>
        <v>0</v>
      </c>
      <c r="AM488" s="11">
        <f t="shared" si="639"/>
        <v>0</v>
      </c>
      <c r="AN488" s="25"/>
      <c r="AO488" s="10" t="str">
        <f t="shared" si="640"/>
        <v>OutubroSEMANA 4Louro</v>
      </c>
      <c r="AP488" s="7">
        <f>SUMIF(NF!$A:$A,$AO488,NF!$I:$I)</f>
        <v>0.3</v>
      </c>
      <c r="AQ488" s="6"/>
      <c r="AR488" s="6"/>
      <c r="AS488" s="6"/>
      <c r="AT488" s="6"/>
      <c r="AU488" s="6">
        <v>0.3</v>
      </c>
      <c r="AV488" s="6"/>
      <c r="AW488" s="6"/>
      <c r="AX488" s="7">
        <f t="shared" si="732"/>
        <v>0.3</v>
      </c>
      <c r="AY488" s="11">
        <f t="shared" si="642"/>
        <v>0</v>
      </c>
      <c r="AZ488" s="25"/>
      <c r="BA488" s="10" t="str">
        <f t="shared" si="643"/>
        <v>OutubroSEMANA 5Louro</v>
      </c>
      <c r="BB488" s="7">
        <f>SUMIF(NF!$A:$A,$BA488,NF!$I:$I)</f>
        <v>0</v>
      </c>
      <c r="BC488" s="6"/>
      <c r="BD488" s="6"/>
      <c r="BE488" s="6"/>
      <c r="BF488" s="74"/>
      <c r="BG488" s="74"/>
      <c r="BH488" s="74"/>
      <c r="BI488" s="74"/>
      <c r="BJ488" s="74"/>
      <c r="BK488" s="7">
        <f t="shared" si="733"/>
        <v>0</v>
      </c>
      <c r="BL488" s="8">
        <f t="shared" si="645"/>
        <v>0</v>
      </c>
      <c r="BM488" s="51" t="str">
        <f>IFERROR(VLOOKUP(A488,NF!$M:$O,3,0),"")</f>
        <v>Hortifruti</v>
      </c>
      <c r="BN488" s="7">
        <f t="shared" si="646"/>
        <v>0.3</v>
      </c>
      <c r="BO488" s="8">
        <f t="array" ref="BO488">IFERROR(LARGE(IF(NF!$G$2:$G$3137='Mês atual'!A488,NF!$J$2:$J$3137),1),0)*BN488</f>
        <v>6</v>
      </c>
      <c r="BP488" s="50"/>
      <c r="BR488" s="147">
        <f t="array" ref="BR488">IFERROR(LARGE(IF(NF!$G$2:$G$3137='Mês atual'!A488,NF!$J$2:$J$3137),1),0)</f>
        <v>20</v>
      </c>
      <c r="BS488" s="143" t="str">
        <f>VLOOKUP(A488,NF!M:O,3,0)</f>
        <v>Hortifruti</v>
      </c>
    </row>
    <row r="489" spans="1:71" x14ac:dyDescent="0.25">
      <c r="A489" s="108" t="s">
        <v>475</v>
      </c>
      <c r="B489" s="12"/>
      <c r="C489" s="9"/>
      <c r="D489" s="25"/>
      <c r="E489" s="10" t="str">
        <f t="shared" si="631"/>
        <v>OutubroSEMANA 1Maçã Ácida</v>
      </c>
      <c r="F489" s="7">
        <f>SUMIF(NF!$A:$A,$E489,NF!$I:$I)</f>
        <v>0</v>
      </c>
      <c r="G489" s="6"/>
      <c r="H489" s="6"/>
      <c r="I489" s="6"/>
      <c r="J489" s="6"/>
      <c r="K489" s="6"/>
      <c r="L489" s="6"/>
      <c r="M489" s="6"/>
      <c r="N489" s="7">
        <f t="shared" si="729"/>
        <v>0</v>
      </c>
      <c r="O489" s="11">
        <f t="shared" si="633"/>
        <v>0</v>
      </c>
      <c r="P489" s="25"/>
      <c r="Q489" s="10" t="str">
        <f t="shared" si="634"/>
        <v>OutubroSEMANA 2Maçã Ácida</v>
      </c>
      <c r="R489" s="7">
        <f>SUMIF(NF!$A:$A,$Q489,NF!$I:$I)</f>
        <v>0</v>
      </c>
      <c r="S489" s="6"/>
      <c r="T489" s="6"/>
      <c r="U489" s="6"/>
      <c r="V489" s="6"/>
      <c r="W489" s="6"/>
      <c r="X489" s="6"/>
      <c r="Y489" s="6"/>
      <c r="Z489" s="7">
        <f t="shared" si="730"/>
        <v>0</v>
      </c>
      <c r="AA489" s="11">
        <f t="shared" si="636"/>
        <v>0</v>
      </c>
      <c r="AB489" s="25"/>
      <c r="AC489" s="10" t="str">
        <f t="shared" si="637"/>
        <v>OutubroSEMANA 3Maçã Ácida</v>
      </c>
      <c r="AD489" s="7">
        <f>SUMIF(NF!$A:$A,$AC489,NF!$I:$I)</f>
        <v>0</v>
      </c>
      <c r="AE489" s="6"/>
      <c r="AF489" s="6"/>
      <c r="AG489" s="6"/>
      <c r="AH489" s="6"/>
      <c r="AI489" s="6"/>
      <c r="AJ489" s="6"/>
      <c r="AK489" s="6"/>
      <c r="AL489" s="7">
        <f t="shared" si="731"/>
        <v>0</v>
      </c>
      <c r="AM489" s="11">
        <f t="shared" si="639"/>
        <v>0</v>
      </c>
      <c r="AN489" s="25"/>
      <c r="AO489" s="10" t="str">
        <f t="shared" si="640"/>
        <v>OutubroSEMANA 4Maçã Ácida</v>
      </c>
      <c r="AP489" s="7">
        <f>SUMIF(NF!$A:$A,$AO489,NF!$I:$I)</f>
        <v>1.5</v>
      </c>
      <c r="AQ489" s="6"/>
      <c r="AR489" s="6"/>
      <c r="AS489" s="6"/>
      <c r="AT489" s="6"/>
      <c r="AU489" s="6"/>
      <c r="AV489" s="6"/>
      <c r="AW489" s="6">
        <v>1.5</v>
      </c>
      <c r="AX489" s="7">
        <f t="shared" si="732"/>
        <v>1.5</v>
      </c>
      <c r="AY489" s="11">
        <f t="shared" si="642"/>
        <v>0</v>
      </c>
      <c r="AZ489" s="25"/>
      <c r="BA489" s="10" t="str">
        <f t="shared" si="643"/>
        <v>OutubroSEMANA 5Maçã Ácida</v>
      </c>
      <c r="BB489" s="7">
        <f>SUMIF(NF!$A:$A,$BA489,NF!$I:$I)</f>
        <v>0</v>
      </c>
      <c r="BC489" s="6"/>
      <c r="BD489" s="6"/>
      <c r="BE489" s="6"/>
      <c r="BF489" s="74"/>
      <c r="BG489" s="74"/>
      <c r="BH489" s="74"/>
      <c r="BI489" s="74"/>
      <c r="BJ489" s="74"/>
      <c r="BK489" s="7">
        <f t="shared" si="733"/>
        <v>0</v>
      </c>
      <c r="BL489" s="8">
        <f t="shared" si="645"/>
        <v>0</v>
      </c>
      <c r="BM489" s="51" t="str">
        <f>IFERROR(VLOOKUP(A489,NF!$M:$O,3,0),"")</f>
        <v>Hortifruti</v>
      </c>
      <c r="BN489" s="7">
        <f t="shared" si="646"/>
        <v>1.5</v>
      </c>
      <c r="BO489" s="8">
        <f t="array" ref="BO489">IFERROR(LARGE(IF(NF!$G$2:$G$3137='Mês atual'!A489,NF!$J$2:$J$3137),1),0)*BN489</f>
        <v>10.95</v>
      </c>
      <c r="BP489" s="50"/>
      <c r="BR489" s="147">
        <f t="array" ref="BR489">IFERROR(LARGE(IF(NF!$G$2:$G$3137='Mês atual'!A489,NF!$J$2:$J$3137),1),0)</f>
        <v>7.3</v>
      </c>
      <c r="BS489" s="143" t="str">
        <f>VLOOKUP(A489,NF!M:O,3,0)</f>
        <v>Hortifruti</v>
      </c>
    </row>
    <row r="490" spans="1:71" x14ac:dyDescent="0.25">
      <c r="A490" s="108" t="s">
        <v>477</v>
      </c>
      <c r="B490" s="12"/>
      <c r="C490" s="9">
        <v>10.7</v>
      </c>
      <c r="D490" s="25"/>
      <c r="E490" s="10" t="str">
        <f t="shared" si="631"/>
        <v>OutubroSEMANA 1Maçã Nacional</v>
      </c>
      <c r="F490" s="7">
        <f>SUMIF(NF!$A:$A,$E490,NF!$I:$I)</f>
        <v>19.98</v>
      </c>
      <c r="G490" s="6"/>
      <c r="H490" s="6">
        <f>2.42+2.26</f>
        <v>4.68</v>
      </c>
      <c r="I490" s="6"/>
      <c r="J490" s="6">
        <f>1.62+1</f>
        <v>2.62</v>
      </c>
      <c r="K490" s="6">
        <v>1</v>
      </c>
      <c r="L490" s="6">
        <v>0.30499999999999999</v>
      </c>
      <c r="M490" s="6">
        <v>1</v>
      </c>
      <c r="N490" s="7">
        <f t="shared" si="729"/>
        <v>9.6050000000000004</v>
      </c>
      <c r="O490" s="11">
        <f t="shared" si="633"/>
        <v>21.074999999999999</v>
      </c>
      <c r="P490" s="25"/>
      <c r="Q490" s="10" t="str">
        <f t="shared" si="634"/>
        <v>OutubroSEMANA 2Maçã Nacional</v>
      </c>
      <c r="R490" s="7">
        <f>SUMIF(NF!$A:$A,$Q490,NF!$I:$I)</f>
        <v>18.420000000000002</v>
      </c>
      <c r="S490" s="6">
        <f>0.606+1.03+1</f>
        <v>2.6360000000000001</v>
      </c>
      <c r="T490" s="6">
        <f>3.58+1.25+0.892+1</f>
        <v>6.7220000000000004</v>
      </c>
      <c r="U490" s="6">
        <v>1.76</v>
      </c>
      <c r="V490" s="6">
        <v>1</v>
      </c>
      <c r="W490" s="6">
        <v>1.1000000000000001</v>
      </c>
      <c r="X490" s="6">
        <v>0.57999999999999996</v>
      </c>
      <c r="Y490" s="6">
        <f>2.04+0.535+1</f>
        <v>3.5750000000000002</v>
      </c>
      <c r="Z490" s="7">
        <f t="shared" si="730"/>
        <v>17.373000000000001</v>
      </c>
      <c r="AA490" s="11">
        <f t="shared" si="636"/>
        <v>22.122000000000003</v>
      </c>
      <c r="AB490" s="25"/>
      <c r="AC490" s="10" t="str">
        <f t="shared" si="637"/>
        <v>OutubroSEMANA 3Maçã Nacional</v>
      </c>
      <c r="AD490" s="7">
        <f>SUMIF(NF!$A:$A,$AC490,NF!$I:$I)</f>
        <v>17.86</v>
      </c>
      <c r="AE490" s="6">
        <v>2</v>
      </c>
      <c r="AF490" s="6">
        <v>1</v>
      </c>
      <c r="AG490" s="6">
        <v>1.08</v>
      </c>
      <c r="AH490" s="6">
        <f>0.4+0.56+1.62+1</f>
        <v>3.58</v>
      </c>
      <c r="AI490" s="6">
        <v>2</v>
      </c>
      <c r="AJ490" s="6">
        <f>1.88+0.4+1</f>
        <v>3.28</v>
      </c>
      <c r="AK490" s="6">
        <f>3.118+1</f>
        <v>4.1180000000000003</v>
      </c>
      <c r="AL490" s="7">
        <f t="shared" si="731"/>
        <v>17.058</v>
      </c>
      <c r="AM490" s="11">
        <f t="shared" si="639"/>
        <v>22.923999999999999</v>
      </c>
      <c r="AN490" s="25"/>
      <c r="AO490" s="10" t="str">
        <f t="shared" si="640"/>
        <v>OutubroSEMANA 4Maçã Nacional</v>
      </c>
      <c r="AP490" s="7">
        <f>SUMIF(NF!$A:$A,$AO490,NF!$I:$I)</f>
        <v>17.66</v>
      </c>
      <c r="AQ490" s="6">
        <f>1.58+2.42</f>
        <v>4</v>
      </c>
      <c r="AR490" s="6">
        <f>3.12+1.48</f>
        <v>4.5999999999999996</v>
      </c>
      <c r="AS490" s="6">
        <v>1</v>
      </c>
      <c r="AT490" s="6">
        <v>1.08</v>
      </c>
      <c r="AU490" s="6">
        <v>2.2000000000000002</v>
      </c>
      <c r="AV490" s="6">
        <f>0.7+1.32</f>
        <v>2.02</v>
      </c>
      <c r="AW490" s="6">
        <f>1+2.14</f>
        <v>3.14</v>
      </c>
      <c r="AX490" s="7">
        <f t="shared" si="732"/>
        <v>18.04</v>
      </c>
      <c r="AY490" s="11">
        <f t="shared" si="642"/>
        <v>22.544000000000004</v>
      </c>
      <c r="AZ490" s="25"/>
      <c r="BA490" s="10" t="str">
        <f t="shared" si="643"/>
        <v>OutubroSEMANA 5Maçã Nacional</v>
      </c>
      <c r="BB490" s="7">
        <f>SUMIF(NF!$A:$A,$BA490,NF!$I:$I)</f>
        <v>0</v>
      </c>
      <c r="BC490" s="6">
        <f>2+1</f>
        <v>3</v>
      </c>
      <c r="BD490" s="6">
        <v>5</v>
      </c>
      <c r="BE490" s="6">
        <v>1.64</v>
      </c>
      <c r="BF490" s="74"/>
      <c r="BG490" s="74"/>
      <c r="BH490" s="74"/>
      <c r="BI490" s="74"/>
      <c r="BJ490" s="74"/>
      <c r="BK490" s="7">
        <f t="shared" si="733"/>
        <v>9.64</v>
      </c>
      <c r="BL490" s="8">
        <f t="shared" si="645"/>
        <v>12.904000000000003</v>
      </c>
      <c r="BM490" s="51" t="str">
        <f>IFERROR(VLOOKUP(A490,NF!$M:$O,3,0),"")</f>
        <v>Hortifruti</v>
      </c>
      <c r="BN490" s="7">
        <f t="shared" si="646"/>
        <v>71.716000000000008</v>
      </c>
      <c r="BO490" s="8">
        <f t="array" ref="BO490">IFERROR(LARGE(IF(NF!$G$2:$G$3137='Mês atual'!A490,NF!$J$2:$J$3137),1),0)*BN490</f>
        <v>266.6784897025172</v>
      </c>
      <c r="BP490" s="50"/>
      <c r="BR490" s="147">
        <f t="array" ref="BR490">IFERROR(LARGE(IF(NF!$G$2:$G$3137='Mês atual'!A490,NF!$J$2:$J$3137),1),0)</f>
        <v>3.7185354691075516</v>
      </c>
      <c r="BS490" s="143" t="str">
        <f>VLOOKUP(A490,NF!M:O,3,0)</f>
        <v>Hortifruti</v>
      </c>
    </row>
    <row r="491" spans="1:71" x14ac:dyDescent="0.25">
      <c r="A491" s="108" t="s">
        <v>494</v>
      </c>
      <c r="B491" s="12"/>
      <c r="C491" s="9">
        <v>2</v>
      </c>
      <c r="D491" s="25"/>
      <c r="E491" s="10" t="str">
        <f t="shared" si="631"/>
        <v>OutubroSEMANA 1Mamão Bahia</v>
      </c>
      <c r="F491" s="7">
        <f>SUMIF(NF!$A:$A,$E491,NF!$I:$I)</f>
        <v>12.4</v>
      </c>
      <c r="G491" s="6">
        <v>2</v>
      </c>
      <c r="H491" s="6"/>
      <c r="I491" s="6">
        <v>1.8</v>
      </c>
      <c r="J491" s="6">
        <v>2</v>
      </c>
      <c r="K491" s="6">
        <v>2</v>
      </c>
      <c r="L491" s="6">
        <v>2.7</v>
      </c>
      <c r="M491" s="6">
        <v>2</v>
      </c>
      <c r="N491" s="7">
        <f t="shared" si="729"/>
        <v>12.5</v>
      </c>
      <c r="O491" s="11">
        <f t="shared" si="633"/>
        <v>1.9000000000000004</v>
      </c>
      <c r="P491" s="25"/>
      <c r="Q491" s="10" t="str">
        <f t="shared" si="634"/>
        <v>OutubroSEMANA 2Mamão Bahia</v>
      </c>
      <c r="R491" s="7">
        <f>SUMIF(NF!$A:$A,$Q491,NF!$I:$I)</f>
        <v>9.5</v>
      </c>
      <c r="S491" s="6">
        <v>1.9</v>
      </c>
      <c r="T491" s="6">
        <v>2</v>
      </c>
      <c r="U491" s="6"/>
      <c r="V491" s="6"/>
      <c r="W491" s="6">
        <v>2</v>
      </c>
      <c r="X491" s="6">
        <v>2.6</v>
      </c>
      <c r="Y491" s="6">
        <v>2.9</v>
      </c>
      <c r="Z491" s="7">
        <f t="shared" si="730"/>
        <v>11.4</v>
      </c>
      <c r="AA491" s="11">
        <f t="shared" si="636"/>
        <v>0</v>
      </c>
      <c r="AB491" s="25"/>
      <c r="AC491" s="10" t="str">
        <f t="shared" si="637"/>
        <v>OutubroSEMANA 3Mamão Bahia</v>
      </c>
      <c r="AD491" s="7">
        <f>SUMIF(NF!$A:$A,$AC491,NF!$I:$I)</f>
        <v>8</v>
      </c>
      <c r="AE491" s="6"/>
      <c r="AF491" s="6"/>
      <c r="AG491" s="6"/>
      <c r="AH491" s="6">
        <v>2</v>
      </c>
      <c r="AI491" s="6"/>
      <c r="AJ491" s="6">
        <v>2</v>
      </c>
      <c r="AK491" s="6">
        <v>2</v>
      </c>
      <c r="AL491" s="7">
        <f t="shared" si="731"/>
        <v>6</v>
      </c>
      <c r="AM491" s="11">
        <f t="shared" si="639"/>
        <v>2</v>
      </c>
      <c r="AN491" s="25"/>
      <c r="AO491" s="10" t="str">
        <f t="shared" si="640"/>
        <v>OutubroSEMANA 4Mamão Bahia</v>
      </c>
      <c r="AP491" s="7">
        <f>SUMIF(NF!$A:$A,$AO491,NF!$I:$I)</f>
        <v>11.100000000000001</v>
      </c>
      <c r="AQ491" s="6">
        <v>2</v>
      </c>
      <c r="AR491" s="6"/>
      <c r="AS491" s="6">
        <v>2.2000000000000002</v>
      </c>
      <c r="AT491" s="6"/>
      <c r="AU491" s="6">
        <v>2</v>
      </c>
      <c r="AV491" s="6">
        <v>2.9</v>
      </c>
      <c r="AW491" s="6">
        <v>2</v>
      </c>
      <c r="AX491" s="7">
        <f t="shared" si="732"/>
        <v>11.1</v>
      </c>
      <c r="AY491" s="11">
        <f t="shared" si="642"/>
        <v>2.0000000000000018</v>
      </c>
      <c r="AZ491" s="25"/>
      <c r="BA491" s="10" t="str">
        <f t="shared" si="643"/>
        <v>OutubroSEMANA 5Mamão Bahia</v>
      </c>
      <c r="BB491" s="7">
        <f>SUMIF(NF!$A:$A,$BA491,NF!$I:$I)</f>
        <v>2</v>
      </c>
      <c r="BC491" s="6">
        <v>2</v>
      </c>
      <c r="BD491" s="6"/>
      <c r="BE491" s="6"/>
      <c r="BF491" s="74"/>
      <c r="BG491" s="74"/>
      <c r="BH491" s="74"/>
      <c r="BI491" s="74"/>
      <c r="BJ491" s="74"/>
      <c r="BK491" s="7">
        <f t="shared" si="733"/>
        <v>2</v>
      </c>
      <c r="BL491" s="8">
        <f t="shared" si="645"/>
        <v>2.0000000000000018</v>
      </c>
      <c r="BM491" s="51" t="str">
        <f>IFERROR(VLOOKUP(A491,NF!$M:$O,3,0),"")</f>
        <v>Hortifruti</v>
      </c>
      <c r="BN491" s="7">
        <f t="shared" si="646"/>
        <v>43</v>
      </c>
      <c r="BO491" s="8">
        <f t="array" ref="BO491">IFERROR(LARGE(IF(NF!$G$2:$G$3137='Mês atual'!A491,NF!$J$2:$J$3137),1),0)*BN491</f>
        <v>150.5</v>
      </c>
      <c r="BP491" s="50"/>
      <c r="BR491" s="147">
        <f t="array" ref="BR491">IFERROR(LARGE(IF(NF!$G$2:$G$3137='Mês atual'!A491,NF!$J$2:$J$3137),1),0)</f>
        <v>3.5</v>
      </c>
      <c r="BS491" s="143" t="str">
        <f>VLOOKUP(A491,NF!M:O,3,0)</f>
        <v>Hortifruti</v>
      </c>
    </row>
    <row r="492" spans="1:71" x14ac:dyDescent="0.25">
      <c r="A492" s="108" t="s">
        <v>495</v>
      </c>
      <c r="B492" s="12"/>
      <c r="C492" s="9"/>
      <c r="D492" s="25"/>
      <c r="E492" s="10" t="str">
        <f t="shared" si="631"/>
        <v>OutubroSEMANA 1Mamão Papaya</v>
      </c>
      <c r="F492" s="7">
        <f>SUMIF(NF!$A:$A,$E492,NF!$I:$I)</f>
        <v>0</v>
      </c>
      <c r="G492" s="6"/>
      <c r="H492" s="6"/>
      <c r="I492" s="6"/>
      <c r="J492" s="6"/>
      <c r="K492" s="6"/>
      <c r="L492" s="6"/>
      <c r="M492" s="6"/>
      <c r="N492" s="7">
        <f t="shared" si="729"/>
        <v>0</v>
      </c>
      <c r="O492" s="11">
        <f t="shared" si="633"/>
        <v>0</v>
      </c>
      <c r="P492" s="25"/>
      <c r="Q492" s="10" t="str">
        <f t="shared" si="634"/>
        <v>OutubroSEMANA 2Mamão Papaya</v>
      </c>
      <c r="R492" s="7">
        <f>SUMIF(NF!$A:$A,$Q492,NF!$I:$I)</f>
        <v>3.24</v>
      </c>
      <c r="S492" s="6"/>
      <c r="T492" s="6">
        <v>3.24</v>
      </c>
      <c r="U492" s="6"/>
      <c r="V492" s="6"/>
      <c r="W492" s="6"/>
      <c r="X492" s="6"/>
      <c r="Y492" s="6"/>
      <c r="Z492" s="7">
        <f t="shared" si="730"/>
        <v>3.24</v>
      </c>
      <c r="AA492" s="11">
        <f t="shared" si="636"/>
        <v>0</v>
      </c>
      <c r="AB492" s="25"/>
      <c r="AC492" s="10" t="str">
        <f t="shared" si="637"/>
        <v>OutubroSEMANA 3Mamão Papaya</v>
      </c>
      <c r="AD492" s="7">
        <f>SUMIF(NF!$A:$A,$AC492,NF!$I:$I)</f>
        <v>0</v>
      </c>
      <c r="AE492" s="6"/>
      <c r="AF492" s="6"/>
      <c r="AG492" s="6"/>
      <c r="AH492" s="6"/>
      <c r="AI492" s="6"/>
      <c r="AJ492" s="6"/>
      <c r="AK492" s="6"/>
      <c r="AL492" s="7">
        <f t="shared" si="731"/>
        <v>0</v>
      </c>
      <c r="AM492" s="11">
        <f t="shared" si="639"/>
        <v>0</v>
      </c>
      <c r="AN492" s="25"/>
      <c r="AO492" s="10" t="str">
        <f t="shared" si="640"/>
        <v>OutubroSEMANA 4Mamão Papaya</v>
      </c>
      <c r="AP492" s="7">
        <f>SUMIF(NF!$A:$A,$AO492,NF!$I:$I)</f>
        <v>3.5</v>
      </c>
      <c r="AQ492" s="6"/>
      <c r="AR492" s="6"/>
      <c r="AS492" s="6"/>
      <c r="AT492" s="6"/>
      <c r="AU492" s="6">
        <v>3.5</v>
      </c>
      <c r="AV492" s="6"/>
      <c r="AW492" s="6"/>
      <c r="AX492" s="7">
        <f t="shared" si="732"/>
        <v>3.5</v>
      </c>
      <c r="AY492" s="11">
        <f t="shared" si="642"/>
        <v>0</v>
      </c>
      <c r="AZ492" s="25"/>
      <c r="BA492" s="10" t="str">
        <f t="shared" si="643"/>
        <v>OutubroSEMANA 5Mamão Papaya</v>
      </c>
      <c r="BB492" s="7">
        <f>SUMIF(NF!$A:$A,$BA492,NF!$I:$I)</f>
        <v>0</v>
      </c>
      <c r="BC492" s="6"/>
      <c r="BD492" s="6"/>
      <c r="BE492" s="6"/>
      <c r="BF492" s="74"/>
      <c r="BG492" s="74"/>
      <c r="BH492" s="74"/>
      <c r="BI492" s="74"/>
      <c r="BJ492" s="74"/>
      <c r="BK492" s="7">
        <f t="shared" si="733"/>
        <v>0</v>
      </c>
      <c r="BL492" s="8">
        <f t="shared" si="645"/>
        <v>0</v>
      </c>
      <c r="BM492" s="51" t="str">
        <f>IFERROR(VLOOKUP(A492,NF!$M:$O,3,0),"")</f>
        <v>Hortifruti</v>
      </c>
      <c r="BN492" s="7">
        <f t="shared" si="646"/>
        <v>6.74</v>
      </c>
      <c r="BO492" s="8">
        <f t="array" ref="BO492">IFERROR(LARGE(IF(NF!$G$2:$G$3137='Mês atual'!A492,NF!$J$2:$J$3137),1),0)*BN492</f>
        <v>26.96</v>
      </c>
      <c r="BP492" s="50"/>
      <c r="BR492" s="147">
        <f t="array" ref="BR492">IFERROR(LARGE(IF(NF!$G$2:$G$3137='Mês atual'!A492,NF!$J$2:$J$3137),1),0)</f>
        <v>4</v>
      </c>
      <c r="BS492" s="143" t="str">
        <f>VLOOKUP(A492,NF!M:O,3,0)</f>
        <v>Hortifruti</v>
      </c>
    </row>
    <row r="493" spans="1:71" x14ac:dyDescent="0.25">
      <c r="A493" s="108" t="s">
        <v>496</v>
      </c>
      <c r="B493" s="12"/>
      <c r="C493" s="9">
        <v>6</v>
      </c>
      <c r="D493" s="25"/>
      <c r="E493" s="10" t="str">
        <f t="shared" si="631"/>
        <v>OutubroSEMANA 1Manga Palmer</v>
      </c>
      <c r="F493" s="7">
        <f>SUMIF(NF!$A:$A,$E493,NF!$I:$I)</f>
        <v>36.06</v>
      </c>
      <c r="G493" s="6">
        <v>6</v>
      </c>
      <c r="H493" s="6"/>
      <c r="I493" s="6">
        <v>5.5</v>
      </c>
      <c r="J493" s="6">
        <v>6</v>
      </c>
      <c r="K493" s="6">
        <v>6</v>
      </c>
      <c r="L493" s="6">
        <v>6</v>
      </c>
      <c r="M493" s="6"/>
      <c r="N493" s="7">
        <f t="shared" si="729"/>
        <v>29.5</v>
      </c>
      <c r="O493" s="11">
        <f t="shared" si="633"/>
        <v>12.560000000000002</v>
      </c>
      <c r="P493" s="25"/>
      <c r="Q493" s="10" t="str">
        <f t="shared" si="634"/>
        <v>OutubroSEMANA 2Manga Palmer</v>
      </c>
      <c r="R493" s="7">
        <f>SUMIF(NF!$A:$A,$Q493,NF!$I:$I)</f>
        <v>34.5</v>
      </c>
      <c r="S493" s="6">
        <v>6.28</v>
      </c>
      <c r="T493" s="6">
        <v>6.28</v>
      </c>
      <c r="U493" s="6">
        <v>5</v>
      </c>
      <c r="V493" s="6">
        <v>6</v>
      </c>
      <c r="W493" s="6">
        <v>5.5</v>
      </c>
      <c r="X493" s="6">
        <v>6</v>
      </c>
      <c r="Y493" s="6">
        <v>6</v>
      </c>
      <c r="Z493" s="7">
        <f t="shared" si="730"/>
        <v>41.06</v>
      </c>
      <c r="AA493" s="11">
        <f t="shared" si="636"/>
        <v>6</v>
      </c>
      <c r="AB493" s="25"/>
      <c r="AC493" s="10" t="str">
        <f t="shared" si="637"/>
        <v>OutubroSEMANA 3Manga Palmer</v>
      </c>
      <c r="AD493" s="7">
        <f>SUMIF(NF!$A:$A,$AC493,NF!$I:$I)</f>
        <v>34.6</v>
      </c>
      <c r="AE493" s="6"/>
      <c r="AF493" s="6">
        <v>6</v>
      </c>
      <c r="AG493" s="6">
        <v>5.6</v>
      </c>
      <c r="AH493" s="6">
        <v>6</v>
      </c>
      <c r="AI493" s="6">
        <v>5.5</v>
      </c>
      <c r="AJ493" s="6">
        <v>5.5</v>
      </c>
      <c r="AK493" s="6">
        <v>6</v>
      </c>
      <c r="AL493" s="7">
        <f t="shared" si="731"/>
        <v>34.6</v>
      </c>
      <c r="AM493" s="11">
        <f t="shared" si="639"/>
        <v>6</v>
      </c>
      <c r="AN493" s="25"/>
      <c r="AO493" s="10" t="str">
        <f t="shared" si="640"/>
        <v>OutubroSEMANA 4Manga Palmer</v>
      </c>
      <c r="AP493" s="7">
        <f>SUMIF(NF!$A:$A,$AO493,NF!$I:$I)</f>
        <v>29.6</v>
      </c>
      <c r="AQ493" s="6">
        <v>6</v>
      </c>
      <c r="AR493" s="6"/>
      <c r="AS493" s="6">
        <v>5.9</v>
      </c>
      <c r="AT493" s="6">
        <v>6</v>
      </c>
      <c r="AU493" s="6"/>
      <c r="AV493" s="6"/>
      <c r="AW493" s="6">
        <v>5.7</v>
      </c>
      <c r="AX493" s="7">
        <f t="shared" si="732"/>
        <v>23.599999999999998</v>
      </c>
      <c r="AY493" s="11">
        <f t="shared" si="642"/>
        <v>12.000000000000004</v>
      </c>
      <c r="AZ493" s="25"/>
      <c r="BA493" s="10" t="str">
        <f t="shared" si="643"/>
        <v>OutubroSEMANA 5Manga Palmer</v>
      </c>
      <c r="BB493" s="7">
        <f>SUMIF(NF!$A:$A,$BA493,NF!$I:$I)</f>
        <v>5.78</v>
      </c>
      <c r="BC493" s="6">
        <v>6</v>
      </c>
      <c r="BD493" s="6">
        <v>6</v>
      </c>
      <c r="BE493" s="6">
        <v>5.78</v>
      </c>
      <c r="BF493" s="74"/>
      <c r="BG493" s="74"/>
      <c r="BH493" s="74"/>
      <c r="BI493" s="74"/>
      <c r="BJ493" s="74"/>
      <c r="BK493" s="7">
        <f t="shared" si="733"/>
        <v>17.78</v>
      </c>
      <c r="BL493" s="8">
        <f t="shared" si="645"/>
        <v>0</v>
      </c>
      <c r="BM493" s="51" t="str">
        <f>IFERROR(VLOOKUP(A493,NF!$M:$O,3,0),"")</f>
        <v>Hortifruti</v>
      </c>
      <c r="BN493" s="7">
        <f t="shared" si="646"/>
        <v>146.54</v>
      </c>
      <c r="BO493" s="8">
        <f t="array" ref="BO493">IFERROR(LARGE(IF(NF!$G$2:$G$3137='Mês atual'!A493,NF!$J$2:$J$3137),1),0)*BN493</f>
        <v>799.30909090909086</v>
      </c>
      <c r="BP493" s="50"/>
      <c r="BR493" s="147">
        <f t="array" ref="BR493">IFERROR(LARGE(IF(NF!$G$2:$G$3137='Mês atual'!A493,NF!$J$2:$J$3137),1),0)</f>
        <v>5.4545454545454541</v>
      </c>
      <c r="BS493" s="143" t="str">
        <f>VLOOKUP(A493,NF!M:O,3,0)</f>
        <v>Hortifruti</v>
      </c>
    </row>
    <row r="494" spans="1:71" x14ac:dyDescent="0.25">
      <c r="A494" s="108" t="s">
        <v>497</v>
      </c>
      <c r="B494" s="12"/>
      <c r="C494" s="9"/>
      <c r="D494" s="25"/>
      <c r="E494" s="10" t="str">
        <f t="shared" si="631"/>
        <v>OutubroSEMANA 1Manga Tommy</v>
      </c>
      <c r="F494" s="7">
        <f>SUMIF(NF!$A:$A,$E494,NF!$I:$I)</f>
        <v>0</v>
      </c>
      <c r="G494" s="6"/>
      <c r="H494" s="6"/>
      <c r="I494" s="6"/>
      <c r="J494" s="6"/>
      <c r="K494" s="6"/>
      <c r="L494" s="6"/>
      <c r="M494" s="6"/>
      <c r="N494" s="7">
        <f t="shared" si="729"/>
        <v>0</v>
      </c>
      <c r="O494" s="11">
        <f t="shared" si="633"/>
        <v>0</v>
      </c>
      <c r="P494" s="25"/>
      <c r="Q494" s="10" t="str">
        <f t="shared" si="634"/>
        <v>OutubroSEMANA 2Manga Tommy</v>
      </c>
      <c r="R494" s="7">
        <f>SUMIF(NF!$A:$A,$Q494,NF!$I:$I)</f>
        <v>7.7799999999999994</v>
      </c>
      <c r="S494" s="6"/>
      <c r="T494" s="6">
        <v>2.78</v>
      </c>
      <c r="U494" s="6"/>
      <c r="V494" s="6"/>
      <c r="W494" s="6"/>
      <c r="X494" s="6">
        <v>5</v>
      </c>
      <c r="Y494" s="6"/>
      <c r="Z494" s="7">
        <f t="shared" si="730"/>
        <v>7.7799999999999994</v>
      </c>
      <c r="AA494" s="11">
        <f t="shared" si="636"/>
        <v>0</v>
      </c>
      <c r="AB494" s="25"/>
      <c r="AC494" s="10" t="str">
        <f t="shared" si="637"/>
        <v>OutubroSEMANA 3Manga Tommy</v>
      </c>
      <c r="AD494" s="7">
        <f>SUMIF(NF!$A:$A,$AC494,NF!$I:$I)</f>
        <v>7.25</v>
      </c>
      <c r="AE494" s="6"/>
      <c r="AF494" s="6"/>
      <c r="AG494" s="6">
        <v>1.55</v>
      </c>
      <c r="AH494" s="6"/>
      <c r="AI494" s="6"/>
      <c r="AJ494" s="6"/>
      <c r="AK494" s="6">
        <v>5.7</v>
      </c>
      <c r="AL494" s="7">
        <f t="shared" si="731"/>
        <v>7.25</v>
      </c>
      <c r="AM494" s="11">
        <f t="shared" si="639"/>
        <v>0</v>
      </c>
      <c r="AN494" s="25"/>
      <c r="AO494" s="10" t="str">
        <f t="shared" si="640"/>
        <v>OutubroSEMANA 4Manga Tommy</v>
      </c>
      <c r="AP494" s="7">
        <f>SUMIF(NF!$A:$A,$AO494,NF!$I:$I)</f>
        <v>0</v>
      </c>
      <c r="AQ494" s="6"/>
      <c r="AR494" s="6"/>
      <c r="AS494" s="6"/>
      <c r="AT494" s="6"/>
      <c r="AU494" s="6"/>
      <c r="AV494" s="6"/>
      <c r="AW494" s="6"/>
      <c r="AX494" s="7">
        <f t="shared" si="732"/>
        <v>0</v>
      </c>
      <c r="AY494" s="11">
        <f t="shared" si="642"/>
        <v>0</v>
      </c>
      <c r="AZ494" s="25"/>
      <c r="BA494" s="10" t="str">
        <f t="shared" si="643"/>
        <v>OutubroSEMANA 5Manga Tommy</v>
      </c>
      <c r="BB494" s="7">
        <f>SUMIF(NF!$A:$A,$BA494,NF!$I:$I)</f>
        <v>0</v>
      </c>
      <c r="BC494" s="6"/>
      <c r="BD494" s="6"/>
      <c r="BE494" s="6"/>
      <c r="BF494" s="74"/>
      <c r="BG494" s="74"/>
      <c r="BH494" s="74"/>
      <c r="BI494" s="74"/>
      <c r="BJ494" s="74"/>
      <c r="BK494" s="7">
        <f t="shared" si="733"/>
        <v>0</v>
      </c>
      <c r="BL494" s="8">
        <f t="shared" si="645"/>
        <v>0</v>
      </c>
      <c r="BM494" s="51" t="str">
        <f>IFERROR(VLOOKUP(A494,NF!$M:$O,3,0),"")</f>
        <v>Hortifruti</v>
      </c>
      <c r="BN494" s="7">
        <f t="shared" si="646"/>
        <v>15.03</v>
      </c>
      <c r="BO494" s="8">
        <f t="array" ref="BO494">IFERROR(LARGE(IF(NF!$G$2:$G$3137='Mês atual'!A494,NF!$J$2:$J$3137),1),0)*BN494</f>
        <v>60.12</v>
      </c>
      <c r="BP494" s="50"/>
      <c r="BR494" s="147">
        <f t="array" ref="BR494">IFERROR(LARGE(IF(NF!$G$2:$G$3137='Mês atual'!A494,NF!$J$2:$J$3137),1),0)</f>
        <v>4</v>
      </c>
      <c r="BS494" s="143" t="str">
        <f>VLOOKUP(A494,NF!M:O,3,0)</f>
        <v>Hortifruti</v>
      </c>
    </row>
    <row r="495" spans="1:71" x14ac:dyDescent="0.25">
      <c r="A495" s="108" t="s">
        <v>499</v>
      </c>
      <c r="B495" s="12"/>
      <c r="C495" s="9"/>
      <c r="D495" s="25"/>
      <c r="E495" s="10" t="str">
        <f t="shared" si="631"/>
        <v>OutubroSEMANA 1Manjericão</v>
      </c>
      <c r="F495" s="7">
        <f>SUMIF(NF!$A:$A,$E495,NF!$I:$I)</f>
        <v>1.4000000000000001</v>
      </c>
      <c r="G495" s="6">
        <v>0.1</v>
      </c>
      <c r="H495" s="6">
        <v>0.5</v>
      </c>
      <c r="I495" s="6"/>
      <c r="J495" s="6"/>
      <c r="K495" s="6"/>
      <c r="L495" s="6">
        <v>0.8</v>
      </c>
      <c r="M495" s="6"/>
      <c r="N495" s="7">
        <f t="shared" si="729"/>
        <v>1.4</v>
      </c>
      <c r="O495" s="11">
        <f t="shared" si="633"/>
        <v>0</v>
      </c>
      <c r="P495" s="25"/>
      <c r="Q495" s="10" t="str">
        <f t="shared" si="634"/>
        <v>OutubroSEMANA 2Manjericão</v>
      </c>
      <c r="R495" s="7">
        <f>SUMIF(NF!$A:$A,$Q495,NF!$I:$I)</f>
        <v>0.8</v>
      </c>
      <c r="S495" s="6"/>
      <c r="T495" s="6"/>
      <c r="U495" s="6"/>
      <c r="V495" s="6">
        <v>0.3</v>
      </c>
      <c r="W495" s="6">
        <v>0.5</v>
      </c>
      <c r="X495" s="6"/>
      <c r="Y495" s="6"/>
      <c r="Z495" s="7">
        <f t="shared" si="730"/>
        <v>0.8</v>
      </c>
      <c r="AA495" s="11">
        <f t="shared" si="636"/>
        <v>0</v>
      </c>
      <c r="AB495" s="25"/>
      <c r="AC495" s="10" t="str">
        <f t="shared" si="637"/>
        <v>OutubroSEMANA 3Manjericão</v>
      </c>
      <c r="AD495" s="7">
        <f>SUMIF(NF!$A:$A,$AC495,NF!$I:$I)</f>
        <v>1.6</v>
      </c>
      <c r="AE495" s="6"/>
      <c r="AF495" s="6"/>
      <c r="AG495" s="6">
        <v>0.3</v>
      </c>
      <c r="AH495" s="6"/>
      <c r="AI495" s="6">
        <v>0.5</v>
      </c>
      <c r="AJ495" s="6">
        <v>0.5</v>
      </c>
      <c r="AK495" s="6">
        <v>0.3</v>
      </c>
      <c r="AL495" s="7">
        <f t="shared" si="731"/>
        <v>1.6</v>
      </c>
      <c r="AM495" s="11">
        <f t="shared" si="639"/>
        <v>0</v>
      </c>
      <c r="AN495" s="25"/>
      <c r="AO495" s="10" t="str">
        <f t="shared" si="640"/>
        <v>OutubroSEMANA 4Manjericão</v>
      </c>
      <c r="AP495" s="7">
        <f>SUMIF(NF!$A:$A,$AO495,NF!$I:$I)</f>
        <v>0.6</v>
      </c>
      <c r="AQ495" s="6"/>
      <c r="AR495" s="6"/>
      <c r="AS495" s="6"/>
      <c r="AT495" s="6"/>
      <c r="AU495" s="6">
        <v>0.3</v>
      </c>
      <c r="AV495" s="6"/>
      <c r="AW495" s="6">
        <v>0.3</v>
      </c>
      <c r="AX495" s="7">
        <f t="shared" si="732"/>
        <v>0.6</v>
      </c>
      <c r="AY495" s="11">
        <f t="shared" si="642"/>
        <v>0</v>
      </c>
      <c r="AZ495" s="25"/>
      <c r="BA495" s="10" t="str">
        <f t="shared" si="643"/>
        <v>OutubroSEMANA 5Manjericão</v>
      </c>
      <c r="BB495" s="7">
        <f>SUMIF(NF!$A:$A,$BA495,NF!$I:$I)</f>
        <v>0.3</v>
      </c>
      <c r="BC495" s="6"/>
      <c r="BD495" s="6"/>
      <c r="BE495" s="6">
        <v>0.3</v>
      </c>
      <c r="BF495" s="74"/>
      <c r="BG495" s="74"/>
      <c r="BH495" s="74"/>
      <c r="BI495" s="74"/>
      <c r="BJ495" s="74"/>
      <c r="BK495" s="7">
        <f t="shared" si="733"/>
        <v>0.3</v>
      </c>
      <c r="BL495" s="8">
        <f t="shared" si="645"/>
        <v>0</v>
      </c>
      <c r="BM495" s="51" t="str">
        <f>IFERROR(VLOOKUP(A495,NF!$M:$O,3,0),"")</f>
        <v>Hortifruti</v>
      </c>
      <c r="BN495" s="7">
        <f t="shared" si="646"/>
        <v>4.7</v>
      </c>
      <c r="BO495" s="8">
        <f t="array" ref="BO495">IFERROR(LARGE(IF(NF!$G$2:$G$3137='Mês atual'!A495,NF!$J$2:$J$3137),1),0)*BN495</f>
        <v>155.09999999999997</v>
      </c>
      <c r="BP495" s="50"/>
      <c r="BR495" s="147">
        <f t="array" ref="BR495">IFERROR(LARGE(IF(NF!$G$2:$G$3137='Mês atual'!A495,NF!$J$2:$J$3137),1),0)</f>
        <v>32.999999999999993</v>
      </c>
      <c r="BS495" s="143" t="str">
        <f>VLOOKUP(A495,NF!M:O,3,0)</f>
        <v>Hortifruti</v>
      </c>
    </row>
    <row r="496" spans="1:71" x14ac:dyDescent="0.25">
      <c r="A496" s="108" t="s">
        <v>500</v>
      </c>
      <c r="B496" s="12"/>
      <c r="C496" s="9"/>
      <c r="D496" s="25"/>
      <c r="E496" s="10" t="str">
        <f t="shared" si="631"/>
        <v>OutubroSEMANA 1Manjericão Orgânico</v>
      </c>
      <c r="F496" s="7">
        <f>SUMIF(NF!$A:$A,$E496,NF!$I:$I)</f>
        <v>0</v>
      </c>
      <c r="G496" s="6"/>
      <c r="H496" s="6"/>
      <c r="I496" s="6"/>
      <c r="J496" s="6"/>
      <c r="K496" s="6"/>
      <c r="L496" s="6"/>
      <c r="M496" s="6"/>
      <c r="N496" s="7">
        <f t="shared" si="729"/>
        <v>0</v>
      </c>
      <c r="O496" s="11">
        <f t="shared" si="633"/>
        <v>0</v>
      </c>
      <c r="P496" s="25"/>
      <c r="Q496" s="10" t="str">
        <f t="shared" si="634"/>
        <v>OutubroSEMANA 2Manjericão Orgânico</v>
      </c>
      <c r="R496" s="7">
        <f>SUMIF(NF!$A:$A,$Q496,NF!$I:$I)</f>
        <v>0</v>
      </c>
      <c r="S496" s="6"/>
      <c r="T496" s="6"/>
      <c r="U496" s="6"/>
      <c r="V496" s="6"/>
      <c r="W496" s="6"/>
      <c r="X496" s="6"/>
      <c r="Y496" s="6"/>
      <c r="Z496" s="7">
        <f t="shared" si="730"/>
        <v>0</v>
      </c>
      <c r="AA496" s="11">
        <f t="shared" si="636"/>
        <v>0</v>
      </c>
      <c r="AB496" s="25"/>
      <c r="AC496" s="10" t="str">
        <f t="shared" si="637"/>
        <v>OutubroSEMANA 3Manjericão Orgânico</v>
      </c>
      <c r="AD496" s="7">
        <f>SUMIF(NF!$A:$A,$AC496,NF!$I:$I)</f>
        <v>0</v>
      </c>
      <c r="AE496" s="6"/>
      <c r="AF496" s="6"/>
      <c r="AG496" s="6"/>
      <c r="AH496" s="6"/>
      <c r="AI496" s="6"/>
      <c r="AJ496" s="6"/>
      <c r="AK496" s="6"/>
      <c r="AL496" s="7">
        <f t="shared" si="731"/>
        <v>0</v>
      </c>
      <c r="AM496" s="11">
        <f t="shared" si="639"/>
        <v>0</v>
      </c>
      <c r="AN496" s="25"/>
      <c r="AO496" s="10" t="str">
        <f t="shared" si="640"/>
        <v>OutubroSEMANA 4Manjericão Orgânico</v>
      </c>
      <c r="AP496" s="7">
        <f>SUMIF(NF!$A:$A,$AO496,NF!$I:$I)</f>
        <v>0</v>
      </c>
      <c r="AQ496" s="6"/>
      <c r="AR496" s="6"/>
      <c r="AS496" s="6"/>
      <c r="AT496" s="6"/>
      <c r="AU496" s="6"/>
      <c r="AV496" s="6"/>
      <c r="AW496" s="6"/>
      <c r="AX496" s="7">
        <f t="shared" si="732"/>
        <v>0</v>
      </c>
      <c r="AY496" s="11">
        <f t="shared" si="642"/>
        <v>0</v>
      </c>
      <c r="AZ496" s="25"/>
      <c r="BA496" s="10" t="str">
        <f t="shared" si="643"/>
        <v>OutubroSEMANA 5Manjericão Orgânico</v>
      </c>
      <c r="BB496" s="7">
        <f>SUMIF(NF!$A:$A,$BA496,NF!$I:$I)</f>
        <v>0</v>
      </c>
      <c r="BC496" s="6"/>
      <c r="BD496" s="6"/>
      <c r="BE496" s="6"/>
      <c r="BF496" s="74"/>
      <c r="BG496" s="74"/>
      <c r="BH496" s="74"/>
      <c r="BI496" s="74"/>
      <c r="BJ496" s="74"/>
      <c r="BK496" s="7">
        <f t="shared" si="733"/>
        <v>0</v>
      </c>
      <c r="BL496" s="8">
        <f t="shared" si="645"/>
        <v>0</v>
      </c>
      <c r="BM496" s="51" t="str">
        <f>IFERROR(VLOOKUP(A496,NF!$M:$O,3,0),"")</f>
        <v>Hortifruti</v>
      </c>
      <c r="BN496" s="7">
        <f t="shared" si="646"/>
        <v>0</v>
      </c>
      <c r="BO496" s="8">
        <f t="array" ref="BO496">IFERROR(LARGE(IF(NF!$G$2:$G$3137='Mês atual'!A496,NF!$J$2:$J$3137),1),0)*BN496</f>
        <v>0</v>
      </c>
      <c r="BP496" s="50"/>
      <c r="BR496" s="147">
        <f t="array" ref="BR496">IFERROR(LARGE(IF(NF!$G$2:$G$3137='Mês atual'!A496,NF!$J$2:$J$3137),1),0)</f>
        <v>0</v>
      </c>
      <c r="BS496" s="143" t="str">
        <f>VLOOKUP(A496,NF!M:O,3,0)</f>
        <v>Hortifruti</v>
      </c>
    </row>
    <row r="497" spans="1:71" x14ac:dyDescent="0.25">
      <c r="A497" s="108" t="s">
        <v>501</v>
      </c>
      <c r="B497" s="12"/>
      <c r="C497" s="9"/>
      <c r="D497" s="25"/>
      <c r="E497" s="10" t="str">
        <f t="shared" si="631"/>
        <v>OutubroSEMANA 1Manjericão Roxo</v>
      </c>
      <c r="F497" s="7">
        <f>SUMIF(NF!$A:$A,$E497,NF!$I:$I)</f>
        <v>0</v>
      </c>
      <c r="G497" s="6"/>
      <c r="H497" s="6"/>
      <c r="I497" s="6"/>
      <c r="J497" s="6"/>
      <c r="K497" s="6"/>
      <c r="L497" s="6"/>
      <c r="M497" s="6"/>
      <c r="N497" s="7">
        <f t="shared" si="729"/>
        <v>0</v>
      </c>
      <c r="O497" s="11">
        <f t="shared" si="633"/>
        <v>0</v>
      </c>
      <c r="P497" s="25"/>
      <c r="Q497" s="10" t="str">
        <f t="shared" si="634"/>
        <v>OutubroSEMANA 2Manjericão Roxo</v>
      </c>
      <c r="R497" s="7">
        <f>SUMIF(NF!$A:$A,$Q497,NF!$I:$I)</f>
        <v>0</v>
      </c>
      <c r="S497" s="6"/>
      <c r="T497" s="6"/>
      <c r="U497" s="6"/>
      <c r="V497" s="6"/>
      <c r="W497" s="6"/>
      <c r="X497" s="6"/>
      <c r="Y497" s="6"/>
      <c r="Z497" s="7">
        <f t="shared" si="730"/>
        <v>0</v>
      </c>
      <c r="AA497" s="11">
        <f t="shared" si="636"/>
        <v>0</v>
      </c>
      <c r="AB497" s="25"/>
      <c r="AC497" s="10" t="str">
        <f t="shared" si="637"/>
        <v>OutubroSEMANA 3Manjericão Roxo</v>
      </c>
      <c r="AD497" s="7">
        <f>SUMIF(NF!$A:$A,$AC497,NF!$I:$I)</f>
        <v>0</v>
      </c>
      <c r="AE497" s="6"/>
      <c r="AF497" s="6"/>
      <c r="AG497" s="6"/>
      <c r="AH497" s="6"/>
      <c r="AI497" s="6"/>
      <c r="AJ497" s="6"/>
      <c r="AK497" s="6"/>
      <c r="AL497" s="7">
        <f t="shared" si="731"/>
        <v>0</v>
      </c>
      <c r="AM497" s="11">
        <f t="shared" si="639"/>
        <v>0</v>
      </c>
      <c r="AN497" s="25"/>
      <c r="AO497" s="10" t="str">
        <f t="shared" si="640"/>
        <v>OutubroSEMANA 4Manjericão Roxo</v>
      </c>
      <c r="AP497" s="7">
        <f>SUMIF(NF!$A:$A,$AO497,NF!$I:$I)</f>
        <v>0</v>
      </c>
      <c r="AQ497" s="6"/>
      <c r="AR497" s="6"/>
      <c r="AS497" s="6"/>
      <c r="AT497" s="6"/>
      <c r="AU497" s="6"/>
      <c r="AV497" s="6"/>
      <c r="AW497" s="6"/>
      <c r="AX497" s="7">
        <f t="shared" si="732"/>
        <v>0</v>
      </c>
      <c r="AY497" s="11">
        <f t="shared" si="642"/>
        <v>0</v>
      </c>
      <c r="AZ497" s="25"/>
      <c r="BA497" s="10" t="str">
        <f t="shared" si="643"/>
        <v>OutubroSEMANA 5Manjericão Roxo</v>
      </c>
      <c r="BB497" s="7">
        <f>SUMIF(NF!$A:$A,$BA497,NF!$I:$I)</f>
        <v>0</v>
      </c>
      <c r="BC497" s="6"/>
      <c r="BD497" s="6"/>
      <c r="BE497" s="6"/>
      <c r="BF497" s="74"/>
      <c r="BG497" s="74"/>
      <c r="BH497" s="74"/>
      <c r="BI497" s="74"/>
      <c r="BJ497" s="74"/>
      <c r="BK497" s="7">
        <f t="shared" si="733"/>
        <v>0</v>
      </c>
      <c r="BL497" s="8">
        <f t="shared" si="645"/>
        <v>0</v>
      </c>
      <c r="BM497" s="51" t="str">
        <f>IFERROR(VLOOKUP(A497,NF!$M:$O,3,0),"")</f>
        <v>Hortifruti</v>
      </c>
      <c r="BN497" s="7">
        <f t="shared" si="646"/>
        <v>0</v>
      </c>
      <c r="BO497" s="8">
        <f t="array" ref="BO497">IFERROR(LARGE(IF(NF!$G$2:$G$3137='Mês atual'!A497,NF!$J$2:$J$3137),1),0)*BN497</f>
        <v>0</v>
      </c>
      <c r="BP497" s="50"/>
      <c r="BR497" s="147">
        <f t="array" ref="BR497">IFERROR(LARGE(IF(NF!$G$2:$G$3137='Mês atual'!A497,NF!$J$2:$J$3137),1),0)</f>
        <v>0</v>
      </c>
      <c r="BS497" s="143" t="str">
        <f>VLOOKUP(A497,NF!M:O,3,0)</f>
        <v>Hortifruti</v>
      </c>
    </row>
    <row r="498" spans="1:71" x14ac:dyDescent="0.25">
      <c r="A498" s="108" t="s">
        <v>502</v>
      </c>
      <c r="B498" s="12"/>
      <c r="C498" s="9"/>
      <c r="D498" s="25"/>
      <c r="E498" s="10" t="str">
        <f t="shared" si="631"/>
        <v>OutubroSEMANA 1Manjerona</v>
      </c>
      <c r="F498" s="7">
        <f>SUMIF(NF!$A:$A,$E498,NF!$I:$I)</f>
        <v>0</v>
      </c>
      <c r="G498" s="6"/>
      <c r="H498" s="6"/>
      <c r="I498" s="6"/>
      <c r="J498" s="6"/>
      <c r="K498" s="6"/>
      <c r="L498" s="6"/>
      <c r="M498" s="6"/>
      <c r="N498" s="7">
        <f t="shared" si="729"/>
        <v>0</v>
      </c>
      <c r="O498" s="11">
        <f t="shared" si="633"/>
        <v>0</v>
      </c>
      <c r="P498" s="25"/>
      <c r="Q498" s="10" t="str">
        <f t="shared" si="634"/>
        <v>OutubroSEMANA 2Manjerona</v>
      </c>
      <c r="R498" s="7">
        <f>SUMIF(NF!$A:$A,$Q498,NF!$I:$I)</f>
        <v>0</v>
      </c>
      <c r="S498" s="6"/>
      <c r="T498" s="6"/>
      <c r="U498" s="6"/>
      <c r="V498" s="6"/>
      <c r="W498" s="6"/>
      <c r="X498" s="6"/>
      <c r="Y498" s="6"/>
      <c r="Z498" s="7">
        <f t="shared" si="730"/>
        <v>0</v>
      </c>
      <c r="AA498" s="11">
        <f t="shared" si="636"/>
        <v>0</v>
      </c>
      <c r="AB498" s="25"/>
      <c r="AC498" s="10" t="str">
        <f t="shared" si="637"/>
        <v>OutubroSEMANA 3Manjerona</v>
      </c>
      <c r="AD498" s="7">
        <f>SUMIF(NF!$A:$A,$AC498,NF!$I:$I)</f>
        <v>0</v>
      </c>
      <c r="AE498" s="6"/>
      <c r="AF498" s="6"/>
      <c r="AG498" s="6"/>
      <c r="AH498" s="6"/>
      <c r="AI498" s="6"/>
      <c r="AJ498" s="6"/>
      <c r="AK498" s="6"/>
      <c r="AL498" s="7">
        <f t="shared" si="731"/>
        <v>0</v>
      </c>
      <c r="AM498" s="11">
        <f t="shared" si="639"/>
        <v>0</v>
      </c>
      <c r="AN498" s="25"/>
      <c r="AO498" s="10" t="str">
        <f t="shared" si="640"/>
        <v>OutubroSEMANA 4Manjerona</v>
      </c>
      <c r="AP498" s="7">
        <f>SUMIF(NF!$A:$A,$AO498,NF!$I:$I)</f>
        <v>0</v>
      </c>
      <c r="AQ498" s="6"/>
      <c r="AR498" s="6"/>
      <c r="AS498" s="6"/>
      <c r="AT498" s="6"/>
      <c r="AU498" s="6"/>
      <c r="AV498" s="6"/>
      <c r="AW498" s="6"/>
      <c r="AX498" s="7">
        <f t="shared" si="732"/>
        <v>0</v>
      </c>
      <c r="AY498" s="11">
        <f t="shared" si="642"/>
        <v>0</v>
      </c>
      <c r="AZ498" s="25"/>
      <c r="BA498" s="10" t="str">
        <f t="shared" si="643"/>
        <v>OutubroSEMANA 5Manjerona</v>
      </c>
      <c r="BB498" s="7">
        <f>SUMIF(NF!$A:$A,$BA498,NF!$I:$I)</f>
        <v>0</v>
      </c>
      <c r="BC498" s="6"/>
      <c r="BD498" s="6"/>
      <c r="BE498" s="6"/>
      <c r="BF498" s="74"/>
      <c r="BG498" s="74"/>
      <c r="BH498" s="74"/>
      <c r="BI498" s="74"/>
      <c r="BJ498" s="74"/>
      <c r="BK498" s="7">
        <f t="shared" si="733"/>
        <v>0</v>
      </c>
      <c r="BL498" s="8">
        <f t="shared" si="645"/>
        <v>0</v>
      </c>
      <c r="BM498" s="51" t="str">
        <f>IFERROR(VLOOKUP(A498,NF!$M:$O,3,0),"")</f>
        <v>Hortifruti</v>
      </c>
      <c r="BN498" s="7">
        <f t="shared" si="646"/>
        <v>0</v>
      </c>
      <c r="BO498" s="8">
        <f t="array" ref="BO498">IFERROR(LARGE(IF(NF!$G$2:$G$3137='Mês atual'!A498,NF!$J$2:$J$3137),1),0)*BN498</f>
        <v>0</v>
      </c>
      <c r="BP498" s="50"/>
      <c r="BR498" s="147">
        <f t="array" ref="BR498">IFERROR(LARGE(IF(NF!$G$2:$G$3137='Mês atual'!A498,NF!$J$2:$J$3137),1),0)</f>
        <v>0</v>
      </c>
      <c r="BS498" s="143" t="str">
        <f>VLOOKUP(A498,NF!M:O,3,0)</f>
        <v>Hortifruti</v>
      </c>
    </row>
    <row r="499" spans="1:71" x14ac:dyDescent="0.25">
      <c r="A499" s="108" t="s">
        <v>504</v>
      </c>
      <c r="B499" s="12"/>
      <c r="C499" s="9"/>
      <c r="D499" s="25"/>
      <c r="E499" s="10" t="str">
        <f t="shared" si="631"/>
        <v>OutubroSEMANA 1Maracujá</v>
      </c>
      <c r="F499" s="7">
        <f>SUMIF(NF!$A:$A,$E499,NF!$I:$I)</f>
        <v>0</v>
      </c>
      <c r="G499" s="6"/>
      <c r="H499" s="6"/>
      <c r="I499" s="6"/>
      <c r="J499" s="6"/>
      <c r="K499" s="6"/>
      <c r="L499" s="6"/>
      <c r="M499" s="6"/>
      <c r="N499" s="7">
        <f t="shared" si="729"/>
        <v>0</v>
      </c>
      <c r="O499" s="11">
        <f t="shared" si="633"/>
        <v>0</v>
      </c>
      <c r="P499" s="25"/>
      <c r="Q499" s="10" t="str">
        <f t="shared" si="634"/>
        <v>OutubroSEMANA 2Maracujá</v>
      </c>
      <c r="R499" s="7">
        <f>SUMIF(NF!$A:$A,$Q499,NF!$I:$I)</f>
        <v>0</v>
      </c>
      <c r="S499" s="6"/>
      <c r="T499" s="6"/>
      <c r="U499" s="6"/>
      <c r="V499" s="6"/>
      <c r="W499" s="6"/>
      <c r="X499" s="6"/>
      <c r="Y499" s="6"/>
      <c r="Z499" s="7">
        <f t="shared" si="730"/>
        <v>0</v>
      </c>
      <c r="AA499" s="11">
        <f t="shared" si="636"/>
        <v>0</v>
      </c>
      <c r="AB499" s="25"/>
      <c r="AC499" s="10" t="str">
        <f t="shared" si="637"/>
        <v>OutubroSEMANA 3Maracujá</v>
      </c>
      <c r="AD499" s="7">
        <f>SUMIF(NF!$A:$A,$AC499,NF!$I:$I)</f>
        <v>1</v>
      </c>
      <c r="AE499" s="6"/>
      <c r="AF499" s="6"/>
      <c r="AG499" s="6"/>
      <c r="AH499" s="6"/>
      <c r="AI499" s="6"/>
      <c r="AJ499" s="6"/>
      <c r="AK499" s="6">
        <v>1</v>
      </c>
      <c r="AL499" s="7">
        <f t="shared" si="731"/>
        <v>1</v>
      </c>
      <c r="AM499" s="11">
        <f t="shared" si="639"/>
        <v>0</v>
      </c>
      <c r="AN499" s="25"/>
      <c r="AO499" s="10" t="str">
        <f t="shared" si="640"/>
        <v>OutubroSEMANA 4Maracujá</v>
      </c>
      <c r="AP499" s="7">
        <f>SUMIF(NF!$A:$A,$AO499,NF!$I:$I)</f>
        <v>0</v>
      </c>
      <c r="AQ499" s="6"/>
      <c r="AR499" s="6"/>
      <c r="AS499" s="6"/>
      <c r="AT499" s="6"/>
      <c r="AU499" s="6"/>
      <c r="AV499" s="6"/>
      <c r="AW499" s="6"/>
      <c r="AX499" s="7">
        <f t="shared" si="732"/>
        <v>0</v>
      </c>
      <c r="AY499" s="11">
        <f t="shared" si="642"/>
        <v>0</v>
      </c>
      <c r="AZ499" s="25"/>
      <c r="BA499" s="10" t="str">
        <f t="shared" si="643"/>
        <v>OutubroSEMANA 5Maracujá</v>
      </c>
      <c r="BB499" s="7">
        <f>SUMIF(NF!$A:$A,$BA499,NF!$I:$I)</f>
        <v>0</v>
      </c>
      <c r="BC499" s="6"/>
      <c r="BD499" s="6"/>
      <c r="BE499" s="6"/>
      <c r="BF499" s="74"/>
      <c r="BG499" s="74"/>
      <c r="BH499" s="74"/>
      <c r="BI499" s="74"/>
      <c r="BJ499" s="74"/>
      <c r="BK499" s="7">
        <f t="shared" si="733"/>
        <v>0</v>
      </c>
      <c r="BL499" s="8">
        <f t="shared" si="645"/>
        <v>0</v>
      </c>
      <c r="BM499" s="51" t="str">
        <f>IFERROR(VLOOKUP(A499,NF!$M:$O,3,0),"")</f>
        <v>Hortifruti</v>
      </c>
      <c r="BN499" s="7">
        <f t="shared" si="646"/>
        <v>1</v>
      </c>
      <c r="BO499" s="8">
        <f t="array" ref="BO499">IFERROR(LARGE(IF(NF!$G$2:$G$3137='Mês atual'!A499,NF!$J$2:$J$3137),1),0)*BN499</f>
        <v>7.8</v>
      </c>
      <c r="BP499" s="50"/>
      <c r="BR499" s="147">
        <f t="array" ref="BR499">IFERROR(LARGE(IF(NF!$G$2:$G$3137='Mês atual'!A499,NF!$J$2:$J$3137),1),0)</f>
        <v>7.8</v>
      </c>
      <c r="BS499" s="143" t="str">
        <f>VLOOKUP(A499,NF!M:O,3,0)</f>
        <v>Hortifruti</v>
      </c>
    </row>
    <row r="500" spans="1:71" x14ac:dyDescent="0.25">
      <c r="A500" s="108" t="s">
        <v>515</v>
      </c>
      <c r="B500" s="12"/>
      <c r="C500" s="9"/>
      <c r="D500" s="25"/>
      <c r="E500" s="10" t="str">
        <f t="shared" si="631"/>
        <v>OutubroSEMANA 1Maxixe</v>
      </c>
      <c r="F500" s="7">
        <f>SUMIF(NF!$A:$A,$E500,NF!$I:$I)</f>
        <v>0</v>
      </c>
      <c r="G500" s="6"/>
      <c r="H500" s="6"/>
      <c r="I500" s="6"/>
      <c r="J500" s="6"/>
      <c r="K500" s="6"/>
      <c r="L500" s="6"/>
      <c r="M500" s="6"/>
      <c r="N500" s="7">
        <f t="shared" si="729"/>
        <v>0</v>
      </c>
      <c r="O500" s="11">
        <f t="shared" si="633"/>
        <v>0</v>
      </c>
      <c r="P500" s="25"/>
      <c r="Q500" s="10" t="str">
        <f t="shared" si="634"/>
        <v>OutubroSEMANA 2Maxixe</v>
      </c>
      <c r="R500" s="7">
        <f>SUMIF(NF!$A:$A,$Q500,NF!$I:$I)</f>
        <v>2.5</v>
      </c>
      <c r="S500" s="6"/>
      <c r="T500" s="6"/>
      <c r="U500" s="6"/>
      <c r="V500" s="6">
        <v>2.5</v>
      </c>
      <c r="W500" s="6"/>
      <c r="X500" s="6"/>
      <c r="Y500" s="6"/>
      <c r="Z500" s="7">
        <f t="shared" si="730"/>
        <v>2.5</v>
      </c>
      <c r="AA500" s="11">
        <f t="shared" si="636"/>
        <v>0</v>
      </c>
      <c r="AB500" s="25"/>
      <c r="AC500" s="10" t="str">
        <f t="shared" si="637"/>
        <v>OutubroSEMANA 3Maxixe</v>
      </c>
      <c r="AD500" s="7">
        <f>SUMIF(NF!$A:$A,$AC500,NF!$I:$I)</f>
        <v>0</v>
      </c>
      <c r="AE500" s="6"/>
      <c r="AF500" s="6"/>
      <c r="AG500" s="6"/>
      <c r="AH500" s="6"/>
      <c r="AI500" s="6"/>
      <c r="AJ500" s="6"/>
      <c r="AK500" s="6"/>
      <c r="AL500" s="7">
        <f t="shared" si="731"/>
        <v>0</v>
      </c>
      <c r="AM500" s="11">
        <f t="shared" si="639"/>
        <v>0</v>
      </c>
      <c r="AN500" s="25"/>
      <c r="AO500" s="10" t="str">
        <f t="shared" si="640"/>
        <v>OutubroSEMANA 4Maxixe</v>
      </c>
      <c r="AP500" s="7">
        <f>SUMIF(NF!$A:$A,$AO500,NF!$I:$I)</f>
        <v>0</v>
      </c>
      <c r="AQ500" s="6"/>
      <c r="AR500" s="6"/>
      <c r="AS500" s="6"/>
      <c r="AT500" s="6"/>
      <c r="AU500" s="6"/>
      <c r="AV500" s="6"/>
      <c r="AW500" s="6"/>
      <c r="AX500" s="7">
        <f t="shared" si="732"/>
        <v>0</v>
      </c>
      <c r="AY500" s="11">
        <f t="shared" si="642"/>
        <v>0</v>
      </c>
      <c r="AZ500" s="25"/>
      <c r="BA500" s="10" t="str">
        <f t="shared" si="643"/>
        <v>OutubroSEMANA 5Maxixe</v>
      </c>
      <c r="BB500" s="7">
        <f>SUMIF(NF!$A:$A,$BA500,NF!$I:$I)</f>
        <v>0</v>
      </c>
      <c r="BC500" s="6"/>
      <c r="BD500" s="6"/>
      <c r="BE500" s="6"/>
      <c r="BF500" s="74"/>
      <c r="BG500" s="74"/>
      <c r="BH500" s="74"/>
      <c r="BI500" s="74"/>
      <c r="BJ500" s="74"/>
      <c r="BK500" s="7">
        <f t="shared" si="733"/>
        <v>0</v>
      </c>
      <c r="BL500" s="8">
        <f t="shared" si="645"/>
        <v>0</v>
      </c>
      <c r="BM500" s="51" t="str">
        <f>IFERROR(VLOOKUP(A500,NF!$M:$O,3,0),"")</f>
        <v>Hortifruti</v>
      </c>
      <c r="BN500" s="7">
        <f t="shared" si="646"/>
        <v>2.5</v>
      </c>
      <c r="BO500" s="8">
        <f t="array" ref="BO500">IFERROR(LARGE(IF(NF!$G$2:$G$3137='Mês atual'!A500,NF!$J$2:$J$3137),1),0)*BN500</f>
        <v>10</v>
      </c>
      <c r="BP500" s="50"/>
      <c r="BR500" s="147">
        <f t="array" ref="BR500">IFERROR(LARGE(IF(NF!$G$2:$G$3137='Mês atual'!A500,NF!$J$2:$J$3137),1),0)</f>
        <v>4</v>
      </c>
      <c r="BS500" s="143" t="str">
        <f>VLOOKUP(A500,NF!M:O,3,0)</f>
        <v>Hortifruti</v>
      </c>
    </row>
    <row r="501" spans="1:71" x14ac:dyDescent="0.25">
      <c r="A501" s="108" t="s">
        <v>517</v>
      </c>
      <c r="B501" s="12"/>
      <c r="C501" s="9">
        <v>10</v>
      </c>
      <c r="D501" s="25"/>
      <c r="E501" s="10" t="str">
        <f t="shared" si="631"/>
        <v>OutubroSEMANA 1Melância</v>
      </c>
      <c r="F501" s="7">
        <f>SUMIF(NF!$A:$A,$E501,NF!$I:$I)</f>
        <v>32</v>
      </c>
      <c r="G501" s="6">
        <v>10</v>
      </c>
      <c r="H501" s="6"/>
      <c r="I501" s="6">
        <v>11</v>
      </c>
      <c r="J501" s="6"/>
      <c r="K501" s="6"/>
      <c r="L501" s="6">
        <v>11</v>
      </c>
      <c r="M501" s="6"/>
      <c r="N501" s="7">
        <f t="shared" si="729"/>
        <v>32</v>
      </c>
      <c r="O501" s="11">
        <f t="shared" si="633"/>
        <v>10</v>
      </c>
      <c r="P501" s="25"/>
      <c r="Q501" s="10" t="str">
        <f t="shared" si="634"/>
        <v>OutubroSEMANA 2Melância</v>
      </c>
      <c r="R501" s="7">
        <f>SUMIF(NF!$A:$A,$Q501,NF!$I:$I)</f>
        <v>30</v>
      </c>
      <c r="S501" s="6">
        <v>10</v>
      </c>
      <c r="T501" s="6"/>
      <c r="U501" s="6">
        <v>10</v>
      </c>
      <c r="V501" s="6"/>
      <c r="W501" s="6">
        <v>10</v>
      </c>
      <c r="X501" s="6"/>
      <c r="Y501" s="6">
        <v>10</v>
      </c>
      <c r="Z501" s="7">
        <f t="shared" si="730"/>
        <v>40</v>
      </c>
      <c r="AA501" s="11">
        <f t="shared" si="636"/>
        <v>0</v>
      </c>
      <c r="AB501" s="25"/>
      <c r="AC501" s="10" t="str">
        <f t="shared" si="637"/>
        <v>OutubroSEMANA 3Melância</v>
      </c>
      <c r="AD501" s="7">
        <f>SUMIF(NF!$A:$A,$AC501,NF!$I:$I)</f>
        <v>29</v>
      </c>
      <c r="AE501" s="6"/>
      <c r="AF501" s="6"/>
      <c r="AG501" s="6">
        <v>10</v>
      </c>
      <c r="AH501" s="6">
        <v>10</v>
      </c>
      <c r="AI501" s="6"/>
      <c r="AJ501" s="6"/>
      <c r="AK501" s="6"/>
      <c r="AL501" s="7">
        <f t="shared" si="731"/>
        <v>20</v>
      </c>
      <c r="AM501" s="11">
        <f t="shared" si="639"/>
        <v>9</v>
      </c>
      <c r="AN501" s="25"/>
      <c r="AO501" s="10" t="str">
        <f t="shared" si="640"/>
        <v>OutubroSEMANA 4Melância</v>
      </c>
      <c r="AP501" s="7">
        <f>SUMIF(NF!$A:$A,$AO501,NF!$I:$I)</f>
        <v>31</v>
      </c>
      <c r="AQ501" s="6">
        <v>9</v>
      </c>
      <c r="AR501" s="6">
        <v>10</v>
      </c>
      <c r="AS501" s="6"/>
      <c r="AT501" s="6"/>
      <c r="AU501" s="6">
        <v>10</v>
      </c>
      <c r="AV501" s="6"/>
      <c r="AW501" s="6"/>
      <c r="AX501" s="7">
        <f t="shared" si="732"/>
        <v>29</v>
      </c>
      <c r="AY501" s="11">
        <f t="shared" si="642"/>
        <v>11</v>
      </c>
      <c r="AZ501" s="25"/>
      <c r="BA501" s="10" t="str">
        <f t="shared" si="643"/>
        <v>OutubroSEMANA 5Melância</v>
      </c>
      <c r="BB501" s="7">
        <f>SUMIF(NF!$A:$A,$BA501,NF!$I:$I)</f>
        <v>21</v>
      </c>
      <c r="BC501" s="6">
        <v>11</v>
      </c>
      <c r="BD501" s="6">
        <v>10</v>
      </c>
      <c r="BE501" s="6"/>
      <c r="BF501" s="74"/>
      <c r="BG501" s="74"/>
      <c r="BH501" s="74"/>
      <c r="BI501" s="74"/>
      <c r="BJ501" s="74"/>
      <c r="BK501" s="7">
        <f t="shared" si="733"/>
        <v>21</v>
      </c>
      <c r="BL501" s="8">
        <f t="shared" si="645"/>
        <v>11</v>
      </c>
      <c r="BM501" s="51" t="str">
        <f>IFERROR(VLOOKUP(A501,NF!$M:$O,3,0),"")</f>
        <v>Hortifruti</v>
      </c>
      <c r="BN501" s="7">
        <f t="shared" si="646"/>
        <v>142</v>
      </c>
      <c r="BO501" s="8">
        <f t="array" ref="BO501">IFERROR(LARGE(IF(NF!$G$2:$G$3137='Mês atual'!A501,NF!$J$2:$J$3137),1),0)*BN501</f>
        <v>232.88</v>
      </c>
      <c r="BP501" s="50"/>
      <c r="BR501" s="147">
        <f t="array" ref="BR501">IFERROR(LARGE(IF(NF!$G$2:$G$3137='Mês atual'!A501,NF!$J$2:$J$3137),1),0)</f>
        <v>1.64</v>
      </c>
      <c r="BS501" s="143" t="str">
        <f>VLOOKUP(A501,NF!M:O,3,0)</f>
        <v>Hortifruti</v>
      </c>
    </row>
    <row r="502" spans="1:71" x14ac:dyDescent="0.25">
      <c r="A502" s="108" t="s">
        <v>518</v>
      </c>
      <c r="B502" s="12"/>
      <c r="C502" s="9"/>
      <c r="D502" s="25"/>
      <c r="E502" s="10" t="str">
        <f t="shared" si="631"/>
        <v xml:space="preserve">OutubroSEMANA 1Melão de Rede </v>
      </c>
      <c r="F502" s="7">
        <f>SUMIF(NF!$A:$A,$E502,NF!$I:$I)</f>
        <v>6.1</v>
      </c>
      <c r="G502" s="6"/>
      <c r="H502" s="6"/>
      <c r="I502" s="6">
        <v>1.8</v>
      </c>
      <c r="J502" s="6"/>
      <c r="K502" s="6">
        <v>2.2999999999999998</v>
      </c>
      <c r="L502" s="6"/>
      <c r="M502" s="6"/>
      <c r="N502" s="7">
        <f t="shared" si="729"/>
        <v>4.0999999999999996</v>
      </c>
      <c r="O502" s="11">
        <f t="shared" si="633"/>
        <v>2</v>
      </c>
      <c r="P502" s="25"/>
      <c r="Q502" s="10" t="str">
        <f t="shared" si="634"/>
        <v xml:space="preserve">OutubroSEMANA 2Melão de Rede </v>
      </c>
      <c r="R502" s="7">
        <f>SUMIF(NF!$A:$A,$Q502,NF!$I:$I)</f>
        <v>6.5</v>
      </c>
      <c r="S502" s="6">
        <v>2</v>
      </c>
      <c r="T502" s="6"/>
      <c r="U502" s="6">
        <v>2.5</v>
      </c>
      <c r="V502" s="6"/>
      <c r="W502" s="6">
        <v>2</v>
      </c>
      <c r="X502" s="6"/>
      <c r="Y502" s="6"/>
      <c r="Z502" s="7">
        <f t="shared" si="730"/>
        <v>6.5</v>
      </c>
      <c r="AA502" s="11">
        <f t="shared" si="636"/>
        <v>2</v>
      </c>
      <c r="AB502" s="25"/>
      <c r="AC502" s="10" t="str">
        <f t="shared" si="637"/>
        <v xml:space="preserve">OutubroSEMANA 3Melão de Rede </v>
      </c>
      <c r="AD502" s="7">
        <f>SUMIF(NF!$A:$A,$AC502,NF!$I:$I)</f>
        <v>8.2949999999999999</v>
      </c>
      <c r="AE502" s="6"/>
      <c r="AF502" s="6">
        <v>2</v>
      </c>
      <c r="AG502" s="6">
        <v>2</v>
      </c>
      <c r="AH502" s="6"/>
      <c r="AI502" s="6">
        <v>2.4550000000000001</v>
      </c>
      <c r="AJ502" s="6">
        <v>1.84</v>
      </c>
      <c r="AK502" s="6"/>
      <c r="AL502" s="7">
        <f t="shared" si="731"/>
        <v>8.2949999999999999</v>
      </c>
      <c r="AM502" s="11">
        <f t="shared" si="639"/>
        <v>2</v>
      </c>
      <c r="AN502" s="25"/>
      <c r="AO502" s="10" t="str">
        <f t="shared" si="640"/>
        <v xml:space="preserve">OutubroSEMANA 4Melão de Rede </v>
      </c>
      <c r="AP502" s="7">
        <f>SUMIF(NF!$A:$A,$AO502,NF!$I:$I)</f>
        <v>12.219999999999999</v>
      </c>
      <c r="AQ502" s="6">
        <v>2</v>
      </c>
      <c r="AR502" s="6"/>
      <c r="AS502" s="6">
        <v>1.86</v>
      </c>
      <c r="AT502" s="6">
        <v>2</v>
      </c>
      <c r="AU502" s="6">
        <v>2</v>
      </c>
      <c r="AV502" s="6">
        <v>2.14</v>
      </c>
      <c r="AW502" s="6"/>
      <c r="AX502" s="7">
        <f t="shared" si="732"/>
        <v>10</v>
      </c>
      <c r="AY502" s="11">
        <f t="shared" si="642"/>
        <v>4.2199999999999989</v>
      </c>
      <c r="AZ502" s="25"/>
      <c r="BA502" s="10" t="str">
        <f t="shared" si="643"/>
        <v xml:space="preserve">OutubroSEMANA 5Melão de Rede </v>
      </c>
      <c r="BB502" s="7">
        <f>SUMIF(NF!$A:$A,$BA502,NF!$I:$I)</f>
        <v>2</v>
      </c>
      <c r="BC502" s="6">
        <v>4.12</v>
      </c>
      <c r="BD502" s="6"/>
      <c r="BE502" s="6"/>
      <c r="BF502" s="74"/>
      <c r="BG502" s="74"/>
      <c r="BH502" s="74"/>
      <c r="BI502" s="74"/>
      <c r="BJ502" s="74"/>
      <c r="BK502" s="7">
        <f t="shared" si="733"/>
        <v>4.12</v>
      </c>
      <c r="BL502" s="8">
        <f t="shared" si="645"/>
        <v>2.0999999999999988</v>
      </c>
      <c r="BM502" s="51" t="str">
        <f>IFERROR(VLOOKUP(A502,NF!$M:$O,3,0),"")</f>
        <v>Hortifruti</v>
      </c>
      <c r="BN502" s="7">
        <f t="shared" si="646"/>
        <v>33.015000000000001</v>
      </c>
      <c r="BO502" s="8">
        <f t="array" ref="BO502">IFERROR(LARGE(IF(NF!$G$2:$G$3137='Mês atual'!A502,NF!$J$2:$J$3137),1),0)*BN502</f>
        <v>230.44470000000001</v>
      </c>
      <c r="BP502" s="50"/>
      <c r="BR502" s="147">
        <f t="array" ref="BR502">IFERROR(LARGE(IF(NF!$G$2:$G$3137='Mês atual'!A502,NF!$J$2:$J$3137),1),0)</f>
        <v>6.98</v>
      </c>
      <c r="BS502" s="143" t="str">
        <f>VLOOKUP(A502,NF!M:O,3,0)</f>
        <v>Hortifruti</v>
      </c>
    </row>
    <row r="503" spans="1:71" x14ac:dyDescent="0.25">
      <c r="A503" s="108" t="s">
        <v>519</v>
      </c>
      <c r="B503" s="12"/>
      <c r="C503" s="9"/>
      <c r="D503" s="25"/>
      <c r="E503" s="10" t="str">
        <f t="shared" si="631"/>
        <v>OutubroSEMANA 1Melão Orange</v>
      </c>
      <c r="F503" s="7">
        <f>SUMIF(NF!$A:$A,$E503,NF!$I:$I)</f>
        <v>0</v>
      </c>
      <c r="G503" s="6"/>
      <c r="H503" s="6"/>
      <c r="I503" s="6"/>
      <c r="J503" s="6"/>
      <c r="K503" s="6"/>
      <c r="L503" s="6"/>
      <c r="M503" s="6"/>
      <c r="N503" s="7">
        <f t="shared" si="729"/>
        <v>0</v>
      </c>
      <c r="O503" s="11">
        <f t="shared" si="633"/>
        <v>0</v>
      </c>
      <c r="P503" s="25"/>
      <c r="Q503" s="10" t="str">
        <f t="shared" si="634"/>
        <v>OutubroSEMANA 2Melão Orange</v>
      </c>
      <c r="R503" s="7">
        <f>SUMIF(NF!$A:$A,$Q503,NF!$I:$I)</f>
        <v>0</v>
      </c>
      <c r="S503" s="6"/>
      <c r="T503" s="6"/>
      <c r="U503" s="6"/>
      <c r="V503" s="6"/>
      <c r="W503" s="6"/>
      <c r="X503" s="6"/>
      <c r="Y503" s="6"/>
      <c r="Z503" s="7">
        <f t="shared" si="730"/>
        <v>0</v>
      </c>
      <c r="AA503" s="11">
        <f t="shared" si="636"/>
        <v>0</v>
      </c>
      <c r="AB503" s="25"/>
      <c r="AC503" s="10" t="str">
        <f t="shared" si="637"/>
        <v>OutubroSEMANA 3Melão Orange</v>
      </c>
      <c r="AD503" s="7">
        <f>SUMIF(NF!$A:$A,$AC503,NF!$I:$I)</f>
        <v>0</v>
      </c>
      <c r="AE503" s="6"/>
      <c r="AF503" s="6"/>
      <c r="AG503" s="6"/>
      <c r="AH503" s="6"/>
      <c r="AI503" s="6"/>
      <c r="AJ503" s="6"/>
      <c r="AK503" s="6"/>
      <c r="AL503" s="7">
        <f t="shared" si="731"/>
        <v>0</v>
      </c>
      <c r="AM503" s="11">
        <f t="shared" si="639"/>
        <v>0</v>
      </c>
      <c r="AN503" s="25"/>
      <c r="AO503" s="10" t="str">
        <f t="shared" si="640"/>
        <v>OutubroSEMANA 4Melão Orange</v>
      </c>
      <c r="AP503" s="7">
        <f>SUMIF(NF!$A:$A,$AO503,NF!$I:$I)</f>
        <v>0</v>
      </c>
      <c r="AQ503" s="6"/>
      <c r="AR503" s="6"/>
      <c r="AS503" s="6"/>
      <c r="AT503" s="6"/>
      <c r="AU503" s="6"/>
      <c r="AV503" s="6"/>
      <c r="AW503" s="6"/>
      <c r="AX503" s="7">
        <f t="shared" si="732"/>
        <v>0</v>
      </c>
      <c r="AY503" s="11">
        <f t="shared" si="642"/>
        <v>0</v>
      </c>
      <c r="AZ503" s="25"/>
      <c r="BA503" s="10" t="str">
        <f t="shared" si="643"/>
        <v>OutubroSEMANA 5Melão Orange</v>
      </c>
      <c r="BB503" s="7">
        <f>SUMIF(NF!$A:$A,$BA503,NF!$I:$I)</f>
        <v>0</v>
      </c>
      <c r="BC503" s="6"/>
      <c r="BD503" s="6"/>
      <c r="BE503" s="6"/>
      <c r="BF503" s="74"/>
      <c r="BG503" s="74"/>
      <c r="BH503" s="74"/>
      <c r="BI503" s="74"/>
      <c r="BJ503" s="74"/>
      <c r="BK503" s="7">
        <f t="shared" si="733"/>
        <v>0</v>
      </c>
      <c r="BL503" s="8">
        <f t="shared" si="645"/>
        <v>0</v>
      </c>
      <c r="BM503" s="51" t="str">
        <f>IFERROR(VLOOKUP(A503,NF!$M:$O,3,0),"")</f>
        <v>Hortifruti</v>
      </c>
      <c r="BN503" s="7">
        <f t="shared" si="646"/>
        <v>0</v>
      </c>
      <c r="BO503" s="8">
        <f t="array" ref="BO503">IFERROR(LARGE(IF(NF!$G$2:$G$3137='Mês atual'!A503,NF!$J$2:$J$3137),1),0)*BN503</f>
        <v>0</v>
      </c>
      <c r="BP503" s="50"/>
      <c r="BR503" s="147">
        <f t="array" ref="BR503">IFERROR(LARGE(IF(NF!$G$2:$G$3137='Mês atual'!A503,NF!$J$2:$J$3137),1),0)</f>
        <v>0</v>
      </c>
      <c r="BS503" s="143" t="str">
        <f>VLOOKUP(A503,NF!M:O,3,0)</f>
        <v>Hortifruti</v>
      </c>
    </row>
    <row r="504" spans="1:71" x14ac:dyDescent="0.25">
      <c r="A504" s="108" t="s">
        <v>901</v>
      </c>
      <c r="B504" s="12"/>
      <c r="C504" s="9"/>
      <c r="D504" s="25"/>
      <c r="E504" s="10" t="str">
        <f t="shared" si="631"/>
        <v>OutubroSEMANA 1Menta</v>
      </c>
      <c r="F504" s="7">
        <f>SUMIF(NF!$A:$A,$E504,NF!$I:$I)</f>
        <v>0</v>
      </c>
      <c r="G504" s="6"/>
      <c r="H504" s="6"/>
      <c r="I504" s="6"/>
      <c r="J504" s="6"/>
      <c r="K504" s="6"/>
      <c r="L504" s="6"/>
      <c r="M504" s="6"/>
      <c r="N504" s="7">
        <f t="shared" si="729"/>
        <v>0</v>
      </c>
      <c r="O504" s="11">
        <f t="shared" si="633"/>
        <v>0</v>
      </c>
      <c r="P504" s="25"/>
      <c r="Q504" s="10" t="str">
        <f t="shared" si="634"/>
        <v>OutubroSEMANA 2Menta</v>
      </c>
      <c r="R504" s="7">
        <f>SUMIF(NF!$A:$A,$Q504,NF!$I:$I)</f>
        <v>0</v>
      </c>
      <c r="S504" s="6"/>
      <c r="T504" s="6"/>
      <c r="U504" s="6"/>
      <c r="V504" s="6"/>
      <c r="W504" s="6"/>
      <c r="X504" s="6"/>
      <c r="Y504" s="6"/>
      <c r="Z504" s="7">
        <f t="shared" si="730"/>
        <v>0</v>
      </c>
      <c r="AA504" s="11">
        <f t="shared" si="636"/>
        <v>0</v>
      </c>
      <c r="AB504" s="25"/>
      <c r="AC504" s="10" t="str">
        <f t="shared" si="637"/>
        <v>OutubroSEMANA 3Menta</v>
      </c>
      <c r="AD504" s="7">
        <f>SUMIF(NF!$A:$A,$AC504,NF!$I:$I)</f>
        <v>0</v>
      </c>
      <c r="AE504" s="6"/>
      <c r="AF504" s="6"/>
      <c r="AG504" s="6"/>
      <c r="AH504" s="6"/>
      <c r="AI504" s="6"/>
      <c r="AJ504" s="6"/>
      <c r="AK504" s="6"/>
      <c r="AL504" s="7">
        <f t="shared" si="731"/>
        <v>0</v>
      </c>
      <c r="AM504" s="11">
        <f t="shared" si="639"/>
        <v>0</v>
      </c>
      <c r="AN504" s="25"/>
      <c r="AO504" s="10" t="str">
        <f t="shared" si="640"/>
        <v>OutubroSEMANA 4Menta</v>
      </c>
      <c r="AP504" s="7">
        <f>SUMIF(NF!$A:$A,$AO504,NF!$I:$I)</f>
        <v>0</v>
      </c>
      <c r="AQ504" s="6"/>
      <c r="AR504" s="6"/>
      <c r="AS504" s="6"/>
      <c r="AT504" s="6"/>
      <c r="AU504" s="6"/>
      <c r="AV504" s="6"/>
      <c r="AW504" s="6"/>
      <c r="AX504" s="7">
        <f t="shared" si="732"/>
        <v>0</v>
      </c>
      <c r="AY504" s="11">
        <f t="shared" si="642"/>
        <v>0</v>
      </c>
      <c r="AZ504" s="25"/>
      <c r="BA504" s="10" t="str">
        <f t="shared" si="643"/>
        <v>OutubroSEMANA 5Menta</v>
      </c>
      <c r="BB504" s="7">
        <f>SUMIF(NF!$A:$A,$BA504,NF!$I:$I)</f>
        <v>0</v>
      </c>
      <c r="BC504" s="6"/>
      <c r="BD504" s="6"/>
      <c r="BE504" s="6"/>
      <c r="BF504" s="74"/>
      <c r="BG504" s="74"/>
      <c r="BH504" s="74"/>
      <c r="BI504" s="74"/>
      <c r="BJ504" s="74"/>
      <c r="BK504" s="7">
        <f t="shared" si="733"/>
        <v>0</v>
      </c>
      <c r="BL504" s="8">
        <f t="shared" si="645"/>
        <v>0</v>
      </c>
      <c r="BM504" s="51" t="str">
        <f>IFERROR(VLOOKUP(A504,NF!$M:$O,3,0),"")</f>
        <v>Hortifruti</v>
      </c>
      <c r="BN504" s="7">
        <f t="shared" si="646"/>
        <v>0</v>
      </c>
      <c r="BO504" s="8">
        <f t="array" ref="BO504">IFERROR(LARGE(IF(NF!$G$2:$G$3137='Mês atual'!A504,NF!$J$2:$J$3137),1),0)*BN504</f>
        <v>0</v>
      </c>
      <c r="BP504" s="50"/>
      <c r="BR504" s="147">
        <f t="array" ref="BR504">IFERROR(LARGE(IF(NF!$G$2:$G$3137='Mês atual'!A504,NF!$J$2:$J$3137),1),0)</f>
        <v>0</v>
      </c>
      <c r="BS504" s="143" t="str">
        <f>VLOOKUP(A504,NF!M:O,3,0)</f>
        <v>Hortifruti</v>
      </c>
    </row>
    <row r="505" spans="1:71" x14ac:dyDescent="0.25">
      <c r="A505" s="108" t="s">
        <v>521</v>
      </c>
      <c r="B505" s="12"/>
      <c r="C505" s="9"/>
      <c r="D505" s="25"/>
      <c r="E505" s="10" t="str">
        <f t="shared" si="631"/>
        <v>OutubroSEMANA 1Milho espiga</v>
      </c>
      <c r="F505" s="7">
        <f>SUMIF(NF!$A:$A,$E505,NF!$I:$I)</f>
        <v>0</v>
      </c>
      <c r="G505" s="6"/>
      <c r="H505" s="6"/>
      <c r="I505" s="6"/>
      <c r="J505" s="6"/>
      <c r="K505" s="6"/>
      <c r="L505" s="6"/>
      <c r="M505" s="6"/>
      <c r="N505" s="7">
        <f t="shared" si="729"/>
        <v>0</v>
      </c>
      <c r="O505" s="11">
        <f t="shared" si="633"/>
        <v>0</v>
      </c>
      <c r="P505" s="25"/>
      <c r="Q505" s="10" t="str">
        <f t="shared" si="634"/>
        <v>OutubroSEMANA 2Milho espiga</v>
      </c>
      <c r="R505" s="7">
        <f>SUMIF(NF!$A:$A,$Q505,NF!$I:$I)</f>
        <v>0</v>
      </c>
      <c r="S505" s="6"/>
      <c r="T505" s="6"/>
      <c r="U505" s="6"/>
      <c r="V505" s="6"/>
      <c r="W505" s="6"/>
      <c r="X505" s="6"/>
      <c r="Y505" s="6"/>
      <c r="Z505" s="7">
        <f t="shared" si="730"/>
        <v>0</v>
      </c>
      <c r="AA505" s="11">
        <f t="shared" si="636"/>
        <v>0</v>
      </c>
      <c r="AB505" s="25"/>
      <c r="AC505" s="10" t="str">
        <f t="shared" si="637"/>
        <v>OutubroSEMANA 3Milho espiga</v>
      </c>
      <c r="AD505" s="7">
        <f>SUMIF(NF!$A:$A,$AC505,NF!$I:$I)</f>
        <v>0</v>
      </c>
      <c r="AE505" s="6"/>
      <c r="AF505" s="6"/>
      <c r="AG505" s="6"/>
      <c r="AH505" s="6"/>
      <c r="AI505" s="6"/>
      <c r="AJ505" s="6"/>
      <c r="AK505" s="6"/>
      <c r="AL505" s="7">
        <f t="shared" si="731"/>
        <v>0</v>
      </c>
      <c r="AM505" s="11">
        <f t="shared" si="639"/>
        <v>0</v>
      </c>
      <c r="AN505" s="25"/>
      <c r="AO505" s="10" t="str">
        <f t="shared" si="640"/>
        <v>OutubroSEMANA 4Milho espiga</v>
      </c>
      <c r="AP505" s="7">
        <f>SUMIF(NF!$A:$A,$AO505,NF!$I:$I)</f>
        <v>0</v>
      </c>
      <c r="AQ505" s="6"/>
      <c r="AR505" s="6"/>
      <c r="AS505" s="6"/>
      <c r="AT505" s="6"/>
      <c r="AU505" s="6"/>
      <c r="AV505" s="6"/>
      <c r="AW505" s="6"/>
      <c r="AX505" s="7">
        <f t="shared" si="732"/>
        <v>0</v>
      </c>
      <c r="AY505" s="11">
        <f t="shared" si="642"/>
        <v>0</v>
      </c>
      <c r="AZ505" s="25"/>
      <c r="BA505" s="10" t="str">
        <f t="shared" si="643"/>
        <v>OutubroSEMANA 5Milho espiga</v>
      </c>
      <c r="BB505" s="7">
        <f>SUMIF(NF!$A:$A,$BA505,NF!$I:$I)</f>
        <v>0</v>
      </c>
      <c r="BC505" s="6"/>
      <c r="BD505" s="6"/>
      <c r="BE505" s="6"/>
      <c r="BF505" s="74"/>
      <c r="BG505" s="74"/>
      <c r="BH505" s="74"/>
      <c r="BI505" s="74"/>
      <c r="BJ505" s="74"/>
      <c r="BK505" s="7">
        <f t="shared" si="733"/>
        <v>0</v>
      </c>
      <c r="BL505" s="8">
        <f t="shared" si="645"/>
        <v>0</v>
      </c>
      <c r="BM505" s="51" t="str">
        <f>IFERROR(VLOOKUP(A505,NF!$M:$O,3,0),"")</f>
        <v>Hortifruti</v>
      </c>
      <c r="BN505" s="7">
        <f t="shared" si="646"/>
        <v>0</v>
      </c>
      <c r="BO505" s="8">
        <f t="array" ref="BO505">IFERROR(LARGE(IF(NF!$G$2:$G$3137='Mês atual'!A505,NF!$J$2:$J$3137),1),0)*BN505</f>
        <v>0</v>
      </c>
      <c r="BP505" s="50"/>
      <c r="BR505" s="147">
        <f t="array" ref="BR505">IFERROR(LARGE(IF(NF!$G$2:$G$3137='Mês atual'!A505,NF!$J$2:$J$3137),1),0)</f>
        <v>0</v>
      </c>
      <c r="BS505" s="143" t="str">
        <f>VLOOKUP(A505,NF!M:O,3,0)</f>
        <v>Hortifruti</v>
      </c>
    </row>
    <row r="506" spans="1:71" x14ac:dyDescent="0.25">
      <c r="A506" s="108" t="s">
        <v>531</v>
      </c>
      <c r="B506" s="12"/>
      <c r="C506" s="9"/>
      <c r="D506" s="25"/>
      <c r="E506" s="10" t="str">
        <f t="shared" si="631"/>
        <v>OutubroSEMANA 1Morango</v>
      </c>
      <c r="F506" s="7">
        <f>SUMIF(NF!$A:$A,$E506,NF!$I:$I)</f>
        <v>0</v>
      </c>
      <c r="G506" s="6"/>
      <c r="H506" s="6"/>
      <c r="I506" s="6"/>
      <c r="J506" s="6"/>
      <c r="K506" s="6"/>
      <c r="L506" s="6"/>
      <c r="M506" s="6"/>
      <c r="N506" s="7">
        <f t="shared" si="729"/>
        <v>0</v>
      </c>
      <c r="O506" s="11">
        <f t="shared" si="633"/>
        <v>0</v>
      </c>
      <c r="P506" s="25"/>
      <c r="Q506" s="10" t="str">
        <f t="shared" si="634"/>
        <v>OutubroSEMANA 2Morango</v>
      </c>
      <c r="R506" s="7">
        <f>SUMIF(NF!$A:$A,$Q506,NF!$I:$I)</f>
        <v>0</v>
      </c>
      <c r="S506" s="6"/>
      <c r="T506" s="6"/>
      <c r="U506" s="6"/>
      <c r="V506" s="6"/>
      <c r="W506" s="6"/>
      <c r="X506" s="6"/>
      <c r="Y506" s="6"/>
      <c r="Z506" s="7">
        <f t="shared" si="730"/>
        <v>0</v>
      </c>
      <c r="AA506" s="11">
        <f t="shared" si="636"/>
        <v>0</v>
      </c>
      <c r="AB506" s="25"/>
      <c r="AC506" s="10" t="str">
        <f t="shared" si="637"/>
        <v>OutubroSEMANA 3Morango</v>
      </c>
      <c r="AD506" s="7">
        <f>SUMIF(NF!$A:$A,$AC506,NF!$I:$I)</f>
        <v>0</v>
      </c>
      <c r="AE506" s="6"/>
      <c r="AF506" s="6"/>
      <c r="AG506" s="6"/>
      <c r="AH506" s="6"/>
      <c r="AI506" s="6"/>
      <c r="AJ506" s="6"/>
      <c r="AK506" s="6"/>
      <c r="AL506" s="7">
        <f t="shared" si="731"/>
        <v>0</v>
      </c>
      <c r="AM506" s="11">
        <f t="shared" si="639"/>
        <v>0</v>
      </c>
      <c r="AN506" s="25"/>
      <c r="AO506" s="10" t="str">
        <f t="shared" si="640"/>
        <v>OutubroSEMANA 4Morango</v>
      </c>
      <c r="AP506" s="7">
        <f>SUMIF(NF!$A:$A,$AO506,NF!$I:$I)</f>
        <v>0</v>
      </c>
      <c r="AQ506" s="6"/>
      <c r="AR506" s="6"/>
      <c r="AS506" s="6"/>
      <c r="AT506" s="6"/>
      <c r="AU506" s="6"/>
      <c r="AV506" s="6"/>
      <c r="AW506" s="6"/>
      <c r="AX506" s="7">
        <f t="shared" si="732"/>
        <v>0</v>
      </c>
      <c r="AY506" s="11">
        <f t="shared" si="642"/>
        <v>0</v>
      </c>
      <c r="AZ506" s="25"/>
      <c r="BA506" s="10" t="str">
        <f t="shared" si="643"/>
        <v>OutubroSEMANA 5Morango</v>
      </c>
      <c r="BB506" s="7">
        <f>SUMIF(NF!$A:$A,$BA506,NF!$I:$I)</f>
        <v>0</v>
      </c>
      <c r="BC506" s="6"/>
      <c r="BD506" s="6"/>
      <c r="BE506" s="6"/>
      <c r="BF506" s="74"/>
      <c r="BG506" s="74"/>
      <c r="BH506" s="74"/>
      <c r="BI506" s="74"/>
      <c r="BJ506" s="74"/>
      <c r="BK506" s="7">
        <f t="shared" si="733"/>
        <v>0</v>
      </c>
      <c r="BL506" s="8">
        <f t="shared" si="645"/>
        <v>0</v>
      </c>
      <c r="BM506" s="51" t="str">
        <f>IFERROR(VLOOKUP(A506,NF!$M:$O,3,0),"")</f>
        <v>Hortifruti</v>
      </c>
      <c r="BN506" s="7">
        <f t="shared" si="646"/>
        <v>0</v>
      </c>
      <c r="BO506" s="8">
        <f t="array" ref="BO506">IFERROR(LARGE(IF(NF!$G$2:$G$3137='Mês atual'!A506,NF!$J$2:$J$3137),1),0)*BN506</f>
        <v>0</v>
      </c>
      <c r="BP506" s="50"/>
      <c r="BR506" s="147">
        <f t="array" ref="BR506">IFERROR(LARGE(IF(NF!$G$2:$G$3137='Mês atual'!A506,NF!$J$2:$J$3137),1),0)</f>
        <v>0</v>
      </c>
      <c r="BS506" s="143" t="str">
        <f>VLOOKUP(A506,NF!M:O,3,0)</f>
        <v>Hortifruti</v>
      </c>
    </row>
    <row r="507" spans="1:71" x14ac:dyDescent="0.25">
      <c r="A507" s="108" t="s">
        <v>535</v>
      </c>
      <c r="B507" s="12"/>
      <c r="C507" s="9"/>
      <c r="D507" s="25"/>
      <c r="E507" s="10" t="str">
        <f t="shared" si="631"/>
        <v>OutubroSEMANA 1Nabo</v>
      </c>
      <c r="F507" s="7">
        <f>SUMIF(NF!$A:$A,$E507,NF!$I:$I)</f>
        <v>0</v>
      </c>
      <c r="G507" s="6"/>
      <c r="H507" s="6"/>
      <c r="I507" s="6"/>
      <c r="J507" s="6"/>
      <c r="K507" s="6"/>
      <c r="L507" s="6"/>
      <c r="M507" s="6"/>
      <c r="N507" s="7">
        <f t="shared" si="729"/>
        <v>0</v>
      </c>
      <c r="O507" s="11">
        <f t="shared" si="633"/>
        <v>0</v>
      </c>
      <c r="P507" s="25"/>
      <c r="Q507" s="10" t="str">
        <f t="shared" si="634"/>
        <v>OutubroSEMANA 2Nabo</v>
      </c>
      <c r="R507" s="7">
        <f>SUMIF(NF!$A:$A,$Q507,NF!$I:$I)</f>
        <v>0</v>
      </c>
      <c r="S507" s="6"/>
      <c r="T507" s="6"/>
      <c r="U507" s="6"/>
      <c r="V507" s="6"/>
      <c r="W507" s="6"/>
      <c r="X507" s="6"/>
      <c r="Y507" s="6"/>
      <c r="Z507" s="7">
        <f t="shared" si="730"/>
        <v>0</v>
      </c>
      <c r="AA507" s="11">
        <f t="shared" si="636"/>
        <v>0</v>
      </c>
      <c r="AB507" s="25"/>
      <c r="AC507" s="10" t="str">
        <f t="shared" si="637"/>
        <v>OutubroSEMANA 3Nabo</v>
      </c>
      <c r="AD507" s="7">
        <f>SUMIF(NF!$A:$A,$AC507,NF!$I:$I)</f>
        <v>0</v>
      </c>
      <c r="AE507" s="6"/>
      <c r="AF507" s="6"/>
      <c r="AG507" s="6"/>
      <c r="AH507" s="6"/>
      <c r="AI507" s="6"/>
      <c r="AJ507" s="6"/>
      <c r="AK507" s="6"/>
      <c r="AL507" s="7">
        <f t="shared" si="731"/>
        <v>0</v>
      </c>
      <c r="AM507" s="11">
        <f t="shared" si="639"/>
        <v>0</v>
      </c>
      <c r="AN507" s="25"/>
      <c r="AO507" s="10" t="str">
        <f t="shared" si="640"/>
        <v>OutubroSEMANA 4Nabo</v>
      </c>
      <c r="AP507" s="7">
        <f>SUMIF(NF!$A:$A,$AO507,NF!$I:$I)</f>
        <v>0</v>
      </c>
      <c r="AQ507" s="6"/>
      <c r="AR507" s="6"/>
      <c r="AS507" s="6"/>
      <c r="AT507" s="6"/>
      <c r="AU507" s="6"/>
      <c r="AV507" s="6"/>
      <c r="AW507" s="6"/>
      <c r="AX507" s="7">
        <f t="shared" si="732"/>
        <v>0</v>
      </c>
      <c r="AY507" s="11">
        <f t="shared" si="642"/>
        <v>0</v>
      </c>
      <c r="AZ507" s="25"/>
      <c r="BA507" s="10" t="str">
        <f t="shared" si="643"/>
        <v>OutubroSEMANA 5Nabo</v>
      </c>
      <c r="BB507" s="7">
        <f>SUMIF(NF!$A:$A,$BA507,NF!$I:$I)</f>
        <v>0</v>
      </c>
      <c r="BC507" s="6"/>
      <c r="BD507" s="6"/>
      <c r="BE507" s="6"/>
      <c r="BF507" s="74"/>
      <c r="BG507" s="74"/>
      <c r="BH507" s="74"/>
      <c r="BI507" s="74"/>
      <c r="BJ507" s="74"/>
      <c r="BK507" s="7">
        <f t="shared" si="733"/>
        <v>0</v>
      </c>
      <c r="BL507" s="8">
        <f t="shared" si="645"/>
        <v>0</v>
      </c>
      <c r="BM507" s="51" t="str">
        <f>IFERROR(VLOOKUP(A507,NF!$M:$O,3,0),"")</f>
        <v>Hortifruti</v>
      </c>
      <c r="BN507" s="7">
        <f t="shared" si="646"/>
        <v>0</v>
      </c>
      <c r="BO507" s="8">
        <f t="array" ref="BO507">IFERROR(LARGE(IF(NF!$G$2:$G$3137='Mês atual'!A507,NF!$J$2:$J$3137),1),0)*BN507</f>
        <v>0</v>
      </c>
      <c r="BP507" s="50"/>
      <c r="BR507" s="147">
        <f t="array" ref="BR507">IFERROR(LARGE(IF(NF!$G$2:$G$3137='Mês atual'!A507,NF!$J$2:$J$3137),1),0)</f>
        <v>0</v>
      </c>
      <c r="BS507" s="143" t="str">
        <f>VLOOKUP(A507,NF!M:O,3,0)</f>
        <v>Hortifruti</v>
      </c>
    </row>
    <row r="508" spans="1:71" x14ac:dyDescent="0.25">
      <c r="A508" s="108" t="s">
        <v>536</v>
      </c>
      <c r="B508" s="12"/>
      <c r="C508" s="9">
        <v>3</v>
      </c>
      <c r="D508" s="25"/>
      <c r="E508" s="10" t="str">
        <f t="shared" si="631"/>
        <v>OutubroSEMANA 1Nabo Japonês</v>
      </c>
      <c r="F508" s="7">
        <f>SUMIF(NF!$A:$A,$E508,NF!$I:$I)</f>
        <v>0</v>
      </c>
      <c r="G508" s="6"/>
      <c r="H508" s="6">
        <v>3</v>
      </c>
      <c r="I508" s="6"/>
      <c r="J508" s="6"/>
      <c r="K508" s="6"/>
      <c r="L508" s="6"/>
      <c r="M508" s="6"/>
      <c r="N508" s="7">
        <f t="shared" si="729"/>
        <v>3</v>
      </c>
      <c r="O508" s="11">
        <f t="shared" si="633"/>
        <v>0</v>
      </c>
      <c r="P508" s="25"/>
      <c r="Q508" s="10" t="str">
        <f t="shared" si="634"/>
        <v>OutubroSEMANA 2Nabo Japonês</v>
      </c>
      <c r="R508" s="7">
        <f>SUMIF(NF!$A:$A,$Q508,NF!$I:$I)</f>
        <v>3.5</v>
      </c>
      <c r="S508" s="6"/>
      <c r="T508" s="6"/>
      <c r="U508" s="6"/>
      <c r="V508" s="6">
        <v>0.5</v>
      </c>
      <c r="W508" s="6"/>
      <c r="X508" s="6">
        <v>2</v>
      </c>
      <c r="Y508" s="6">
        <v>1</v>
      </c>
      <c r="Z508" s="7">
        <f t="shared" si="730"/>
        <v>3.5</v>
      </c>
      <c r="AA508" s="11">
        <f t="shared" si="636"/>
        <v>0</v>
      </c>
      <c r="AB508" s="25"/>
      <c r="AC508" s="10" t="str">
        <f t="shared" si="637"/>
        <v>OutubroSEMANA 3Nabo Japonês</v>
      </c>
      <c r="AD508" s="7">
        <f>SUMIF(NF!$A:$A,$AC508,NF!$I:$I)</f>
        <v>0</v>
      </c>
      <c r="AE508" s="6"/>
      <c r="AF508" s="6"/>
      <c r="AG508" s="6"/>
      <c r="AH508" s="6"/>
      <c r="AI508" s="6"/>
      <c r="AJ508" s="6"/>
      <c r="AK508" s="6"/>
      <c r="AL508" s="7">
        <f t="shared" si="731"/>
        <v>0</v>
      </c>
      <c r="AM508" s="11">
        <f t="shared" si="639"/>
        <v>0</v>
      </c>
      <c r="AN508" s="25"/>
      <c r="AO508" s="10" t="str">
        <f t="shared" si="640"/>
        <v>OutubroSEMANA 4Nabo Japonês</v>
      </c>
      <c r="AP508" s="7">
        <f>SUMIF(NF!$A:$A,$AO508,NF!$I:$I)</f>
        <v>2.5</v>
      </c>
      <c r="AQ508" s="6"/>
      <c r="AR508" s="6"/>
      <c r="AS508" s="6"/>
      <c r="AT508" s="6"/>
      <c r="AU508" s="6">
        <v>2.5</v>
      </c>
      <c r="AV508" s="6"/>
      <c r="AW508" s="6"/>
      <c r="AX508" s="7">
        <f t="shared" si="732"/>
        <v>2.5</v>
      </c>
      <c r="AY508" s="11">
        <f t="shared" si="642"/>
        <v>0</v>
      </c>
      <c r="AZ508" s="25"/>
      <c r="BA508" s="10" t="str">
        <f t="shared" si="643"/>
        <v>OutubroSEMANA 5Nabo Japonês</v>
      </c>
      <c r="BB508" s="7">
        <f>SUMIF(NF!$A:$A,$BA508,NF!$I:$I)</f>
        <v>0</v>
      </c>
      <c r="BC508" s="6"/>
      <c r="BD508" s="6"/>
      <c r="BE508" s="6"/>
      <c r="BF508" s="74"/>
      <c r="BG508" s="74"/>
      <c r="BH508" s="74"/>
      <c r="BI508" s="74"/>
      <c r="BJ508" s="74"/>
      <c r="BK508" s="7">
        <f t="shared" si="733"/>
        <v>0</v>
      </c>
      <c r="BL508" s="8">
        <f t="shared" si="645"/>
        <v>0</v>
      </c>
      <c r="BM508" s="51" t="str">
        <f>IFERROR(VLOOKUP(A508,NF!$M:$O,3,0),"")</f>
        <v>Hortifruti</v>
      </c>
      <c r="BN508" s="7">
        <f t="shared" si="646"/>
        <v>9</v>
      </c>
      <c r="BO508" s="8">
        <f t="array" ref="BO508">IFERROR(LARGE(IF(NF!$G$2:$G$3137='Mês atual'!A508,NF!$J$2:$J$3137),1),0)*BN508</f>
        <v>63</v>
      </c>
      <c r="BP508" s="50"/>
      <c r="BR508" s="147">
        <f t="array" ref="BR508">IFERROR(LARGE(IF(NF!$G$2:$G$3137='Mês atual'!A508,NF!$J$2:$J$3137),1),0)</f>
        <v>7</v>
      </c>
      <c r="BS508" s="143" t="str">
        <f>VLOOKUP(A508,NF!M:O,3,0)</f>
        <v>Hortifruti</v>
      </c>
    </row>
    <row r="509" spans="1:71" x14ac:dyDescent="0.25">
      <c r="A509" s="108" t="s">
        <v>539</v>
      </c>
      <c r="B509" s="12"/>
      <c r="C509" s="9"/>
      <c r="D509" s="25"/>
      <c r="E509" s="10" t="str">
        <f t="shared" si="631"/>
        <v>OutubroSEMANA 1Nirá</v>
      </c>
      <c r="F509" s="7">
        <f>SUMIF(NF!$A:$A,$E509,NF!$I:$I)</f>
        <v>0</v>
      </c>
      <c r="G509" s="6"/>
      <c r="H509" s="6"/>
      <c r="I509" s="6"/>
      <c r="J509" s="6"/>
      <c r="K509" s="6"/>
      <c r="L509" s="6"/>
      <c r="M509" s="6"/>
      <c r="N509" s="7">
        <f t="shared" si="729"/>
        <v>0</v>
      </c>
      <c r="O509" s="11">
        <f t="shared" si="633"/>
        <v>0</v>
      </c>
      <c r="P509" s="25"/>
      <c r="Q509" s="10" t="str">
        <f t="shared" si="634"/>
        <v>OutubroSEMANA 2Nirá</v>
      </c>
      <c r="R509" s="7">
        <f>SUMIF(NF!$A:$A,$Q509,NF!$I:$I)</f>
        <v>0</v>
      </c>
      <c r="S509" s="6"/>
      <c r="T509" s="6"/>
      <c r="U509" s="6"/>
      <c r="V509" s="6"/>
      <c r="W509" s="6"/>
      <c r="X509" s="6"/>
      <c r="Y509" s="6"/>
      <c r="Z509" s="7">
        <f t="shared" si="730"/>
        <v>0</v>
      </c>
      <c r="AA509" s="11">
        <f t="shared" si="636"/>
        <v>0</v>
      </c>
      <c r="AB509" s="25"/>
      <c r="AC509" s="10" t="str">
        <f t="shared" si="637"/>
        <v>OutubroSEMANA 3Nirá</v>
      </c>
      <c r="AD509" s="7">
        <f>SUMIF(NF!$A:$A,$AC509,NF!$I:$I)</f>
        <v>0</v>
      </c>
      <c r="AE509" s="6"/>
      <c r="AF509" s="6"/>
      <c r="AG509" s="6"/>
      <c r="AH509" s="6"/>
      <c r="AI509" s="6"/>
      <c r="AJ509" s="6"/>
      <c r="AK509" s="6"/>
      <c r="AL509" s="7">
        <f t="shared" si="731"/>
        <v>0</v>
      </c>
      <c r="AM509" s="11">
        <f t="shared" si="639"/>
        <v>0</v>
      </c>
      <c r="AN509" s="25"/>
      <c r="AO509" s="10" t="str">
        <f t="shared" si="640"/>
        <v>OutubroSEMANA 4Nirá</v>
      </c>
      <c r="AP509" s="7">
        <f>SUMIF(NF!$A:$A,$AO509,NF!$I:$I)</f>
        <v>0</v>
      </c>
      <c r="AQ509" s="6"/>
      <c r="AR509" s="6"/>
      <c r="AS509" s="6"/>
      <c r="AT509" s="6"/>
      <c r="AU509" s="6"/>
      <c r="AV509" s="6"/>
      <c r="AW509" s="6"/>
      <c r="AX509" s="7">
        <f t="shared" si="732"/>
        <v>0</v>
      </c>
      <c r="AY509" s="11">
        <f t="shared" si="642"/>
        <v>0</v>
      </c>
      <c r="AZ509" s="25"/>
      <c r="BA509" s="10" t="str">
        <f t="shared" si="643"/>
        <v>OutubroSEMANA 5Nirá</v>
      </c>
      <c r="BB509" s="7">
        <f>SUMIF(NF!$A:$A,$BA509,NF!$I:$I)</f>
        <v>0</v>
      </c>
      <c r="BC509" s="6"/>
      <c r="BD509" s="6"/>
      <c r="BE509" s="6"/>
      <c r="BF509" s="74"/>
      <c r="BG509" s="74"/>
      <c r="BH509" s="74"/>
      <c r="BI509" s="74"/>
      <c r="BJ509" s="74"/>
      <c r="BK509" s="7">
        <f t="shared" si="733"/>
        <v>0</v>
      </c>
      <c r="BL509" s="8">
        <f t="shared" si="645"/>
        <v>0</v>
      </c>
      <c r="BM509" s="51" t="str">
        <f>IFERROR(VLOOKUP(A509,NF!$M:$O,3,0),"")</f>
        <v>Hortifruti</v>
      </c>
      <c r="BN509" s="7">
        <f t="shared" si="646"/>
        <v>0</v>
      </c>
      <c r="BO509" s="8">
        <f t="array" ref="BO509">IFERROR(LARGE(IF(NF!$G$2:$G$3137='Mês atual'!A509,NF!$J$2:$J$3137),1),0)*BN509</f>
        <v>0</v>
      </c>
      <c r="BP509" s="50"/>
      <c r="BR509" s="147">
        <f t="array" ref="BR509">IFERROR(LARGE(IF(NF!$G$2:$G$3137='Mês atual'!A509,NF!$J$2:$J$3137),1),0)</f>
        <v>0</v>
      </c>
      <c r="BS509" s="143" t="str">
        <f>VLOOKUP(A509,NF!M:O,3,0)</f>
        <v>Hortifruti</v>
      </c>
    </row>
    <row r="510" spans="1:71" x14ac:dyDescent="0.25">
      <c r="A510" s="108" t="s">
        <v>1024</v>
      </c>
      <c r="B510" s="12"/>
      <c r="C510" s="9"/>
      <c r="D510" s="25"/>
      <c r="E510" s="10" t="str">
        <f t="shared" si="631"/>
        <v>OutubroSEMANA 1Orégano Fresco</v>
      </c>
      <c r="F510" s="7">
        <f>SUMIF(NF!$A:$A,$E510,NF!$I:$I)</f>
        <v>0</v>
      </c>
      <c r="G510" s="6"/>
      <c r="H510" s="6"/>
      <c r="I510" s="6"/>
      <c r="J510" s="6"/>
      <c r="K510" s="6"/>
      <c r="L510" s="6"/>
      <c r="M510" s="6"/>
      <c r="N510" s="7">
        <f t="shared" ref="N510" si="734">SUM(G510:M510)</f>
        <v>0</v>
      </c>
      <c r="O510" s="11">
        <f t="shared" ref="O510" si="735">F510+C510-N510</f>
        <v>0</v>
      </c>
      <c r="P510" s="25"/>
      <c r="Q510" s="10" t="str">
        <f t="shared" si="634"/>
        <v>OutubroSEMANA 2Orégano Fresco</v>
      </c>
      <c r="R510" s="7">
        <f>SUMIF(NF!$A:$A,$Q510,NF!$I:$I)</f>
        <v>0</v>
      </c>
      <c r="S510" s="6"/>
      <c r="T510" s="6"/>
      <c r="U510" s="6"/>
      <c r="V510" s="6"/>
      <c r="W510" s="6"/>
      <c r="X510" s="6"/>
      <c r="Y510" s="6"/>
      <c r="Z510" s="7">
        <f t="shared" ref="Z510" si="736">SUM(S510:Y510)</f>
        <v>0</v>
      </c>
      <c r="AA510" s="11">
        <f t="shared" ref="AA510" si="737">R510+O510-Z510</f>
        <v>0</v>
      </c>
      <c r="AB510" s="25"/>
      <c r="AC510" s="10" t="str">
        <f t="shared" si="637"/>
        <v>OutubroSEMANA 3Orégano Fresco</v>
      </c>
      <c r="AD510" s="7">
        <f>SUMIF(NF!$A:$A,$AC510,NF!$I:$I)</f>
        <v>0</v>
      </c>
      <c r="AE510" s="6"/>
      <c r="AF510" s="6"/>
      <c r="AG510" s="6"/>
      <c r="AH510" s="6"/>
      <c r="AI510" s="6"/>
      <c r="AJ510" s="6"/>
      <c r="AK510" s="6"/>
      <c r="AL510" s="7">
        <f t="shared" ref="AL510" si="738">SUM(AE510:AK510)</f>
        <v>0</v>
      </c>
      <c r="AM510" s="11">
        <f t="shared" ref="AM510" si="739">AD510+AA510-AL510</f>
        <v>0</v>
      </c>
      <c r="AN510" s="25"/>
      <c r="AO510" s="10" t="str">
        <f t="shared" si="640"/>
        <v>OutubroSEMANA 4Orégano Fresco</v>
      </c>
      <c r="AP510" s="7">
        <f>SUMIF(NF!$A:$A,$AO510,NF!$I:$I)</f>
        <v>0</v>
      </c>
      <c r="AQ510" s="6"/>
      <c r="AR510" s="6"/>
      <c r="AS510" s="6"/>
      <c r="AT510" s="6"/>
      <c r="AU510" s="6"/>
      <c r="AV510" s="6"/>
      <c r="AW510" s="6"/>
      <c r="AX510" s="7">
        <f t="shared" ref="AX510" si="740">SUM(AQ510:AW510)</f>
        <v>0</v>
      </c>
      <c r="AY510" s="11">
        <f t="shared" ref="AY510" si="741">AP510+AM510-AX510</f>
        <v>0</v>
      </c>
      <c r="AZ510" s="25"/>
      <c r="BA510" s="10" t="str">
        <f t="shared" si="643"/>
        <v>OutubroSEMANA 5Orégano Fresco</v>
      </c>
      <c r="BB510" s="7">
        <f>SUMIF(NF!$A:$A,$BA510,NF!$I:$I)</f>
        <v>0</v>
      </c>
      <c r="BC510" s="6"/>
      <c r="BD510" s="6"/>
      <c r="BE510" s="6"/>
      <c r="BF510" s="74"/>
      <c r="BG510" s="74"/>
      <c r="BH510" s="74"/>
      <c r="BI510" s="74"/>
      <c r="BJ510" s="74"/>
      <c r="BK510" s="7">
        <f t="shared" ref="BK510" si="742">SUM(BC510:BJ510)</f>
        <v>0</v>
      </c>
      <c r="BL510" s="8">
        <f t="shared" ref="BL510" si="743">BB510+AY510-BK510</f>
        <v>0</v>
      </c>
      <c r="BM510" s="51" t="str">
        <f>IFERROR(VLOOKUP(A510,NF!$M:$O,3,0),"")</f>
        <v>Hortifruti</v>
      </c>
      <c r="BN510" s="7">
        <f t="shared" ref="BN510" si="744">SUM(N510,Z510,AL510,AX510,BK510)</f>
        <v>0</v>
      </c>
      <c r="BO510" s="8">
        <f t="array" ref="BO510">IFERROR(LARGE(IF(NF!$G$2:$G$3137='Mês atual'!A510,NF!$J$2:$J$3137),1),0)*BN510</f>
        <v>0</v>
      </c>
      <c r="BP510" s="50"/>
      <c r="BR510" s="147">
        <f t="array" ref="BR510">IFERROR(LARGE(IF(NF!$G$2:$G$3137='Mês atual'!A510,NF!$J$2:$J$3137),1),0)</f>
        <v>0</v>
      </c>
      <c r="BS510" s="143" t="str">
        <f>VLOOKUP(A510,NF!M:O,3,0)</f>
        <v>Hortifruti</v>
      </c>
    </row>
    <row r="511" spans="1:71" x14ac:dyDescent="0.25">
      <c r="A511" s="108" t="s">
        <v>548</v>
      </c>
      <c r="B511" s="12"/>
      <c r="C511" s="9"/>
      <c r="D511" s="25"/>
      <c r="E511" s="10" t="str">
        <f t="shared" si="631"/>
        <v>OutubroSEMANA 1Ovo Caipira</v>
      </c>
      <c r="F511" s="7">
        <f>SUMIF(NF!$A:$A,$E511,NF!$I:$I)</f>
        <v>0</v>
      </c>
      <c r="G511" s="6"/>
      <c r="H511" s="6"/>
      <c r="I511" s="6"/>
      <c r="J511" s="6"/>
      <c r="K511" s="6"/>
      <c r="L511" s="6"/>
      <c r="M511" s="6"/>
      <c r="N511" s="7">
        <f t="shared" si="729"/>
        <v>0</v>
      </c>
      <c r="O511" s="11">
        <f t="shared" si="633"/>
        <v>0</v>
      </c>
      <c r="P511" s="25"/>
      <c r="Q511" s="10" t="str">
        <f t="shared" si="634"/>
        <v>OutubroSEMANA 2Ovo Caipira</v>
      </c>
      <c r="R511" s="7">
        <f>SUMIF(NF!$A:$A,$Q511,NF!$I:$I)</f>
        <v>0</v>
      </c>
      <c r="S511" s="6"/>
      <c r="T511" s="6"/>
      <c r="U511" s="6"/>
      <c r="V511" s="6"/>
      <c r="W511" s="6"/>
      <c r="X511" s="6"/>
      <c r="Y511" s="6"/>
      <c r="Z511" s="7">
        <f t="shared" si="730"/>
        <v>0</v>
      </c>
      <c r="AA511" s="11">
        <f t="shared" si="636"/>
        <v>0</v>
      </c>
      <c r="AB511" s="25"/>
      <c r="AC511" s="10" t="str">
        <f t="shared" si="637"/>
        <v>OutubroSEMANA 3Ovo Caipira</v>
      </c>
      <c r="AD511" s="7">
        <f>SUMIF(NF!$A:$A,$AC511,NF!$I:$I)</f>
        <v>0</v>
      </c>
      <c r="AE511" s="6"/>
      <c r="AF511" s="6"/>
      <c r="AG511" s="6"/>
      <c r="AH511" s="6"/>
      <c r="AI511" s="6"/>
      <c r="AJ511" s="6"/>
      <c r="AK511" s="6"/>
      <c r="AL511" s="7">
        <f t="shared" si="731"/>
        <v>0</v>
      </c>
      <c r="AM511" s="11">
        <f t="shared" si="639"/>
        <v>0</v>
      </c>
      <c r="AN511" s="25"/>
      <c r="AO511" s="10" t="str">
        <f t="shared" si="640"/>
        <v>OutubroSEMANA 4Ovo Caipira</v>
      </c>
      <c r="AP511" s="7">
        <f>SUMIF(NF!$A:$A,$AO511,NF!$I:$I)</f>
        <v>0</v>
      </c>
      <c r="AQ511" s="6"/>
      <c r="AR511" s="6"/>
      <c r="AS511" s="6"/>
      <c r="AT511" s="6"/>
      <c r="AU511" s="6"/>
      <c r="AV511" s="6"/>
      <c r="AW511" s="6"/>
      <c r="AX511" s="7">
        <f t="shared" si="732"/>
        <v>0</v>
      </c>
      <c r="AY511" s="11">
        <f t="shared" si="642"/>
        <v>0</v>
      </c>
      <c r="AZ511" s="25"/>
      <c r="BA511" s="10" t="str">
        <f t="shared" si="643"/>
        <v>OutubroSEMANA 5Ovo Caipira</v>
      </c>
      <c r="BB511" s="7">
        <f>SUMIF(NF!$A:$A,$BA511,NF!$I:$I)</f>
        <v>0</v>
      </c>
      <c r="BC511" s="6"/>
      <c r="BD511" s="6"/>
      <c r="BE511" s="6"/>
      <c r="BF511" s="74"/>
      <c r="BG511" s="74"/>
      <c r="BH511" s="74"/>
      <c r="BI511" s="74"/>
      <c r="BJ511" s="74"/>
      <c r="BK511" s="7">
        <f t="shared" si="733"/>
        <v>0</v>
      </c>
      <c r="BL511" s="8">
        <f t="shared" si="645"/>
        <v>0</v>
      </c>
      <c r="BM511" s="51" t="str">
        <f>IFERROR(VLOOKUP(A511,NF!$M:$O,3,0),"")</f>
        <v>Hortifruti</v>
      </c>
      <c r="BN511" s="7">
        <f t="shared" si="646"/>
        <v>0</v>
      </c>
      <c r="BO511" s="8">
        <f t="array" ref="BO511">IFERROR(LARGE(IF(NF!$G$2:$G$3137='Mês atual'!A511,NF!$J$2:$J$3137),1),0)*BN511</f>
        <v>0</v>
      </c>
      <c r="BP511" s="50"/>
      <c r="BR511" s="147">
        <f t="array" ref="BR511">IFERROR(LARGE(IF(NF!$G$2:$G$3137='Mês atual'!A511,NF!$J$2:$J$3137),1),0)</f>
        <v>0</v>
      </c>
      <c r="BS511" s="143" t="str">
        <f>VLOOKUP(A511,NF!M:O,3,0)</f>
        <v>Hortifruti</v>
      </c>
    </row>
    <row r="512" spans="1:71" x14ac:dyDescent="0.25">
      <c r="A512" s="108" t="s">
        <v>549</v>
      </c>
      <c r="B512" s="12"/>
      <c r="C512" s="9">
        <v>5</v>
      </c>
      <c r="D512" s="25"/>
      <c r="E512" s="10" t="str">
        <f t="shared" si="631"/>
        <v>OutubroSEMANA 1Ovo de Codorna</v>
      </c>
      <c r="F512" s="7">
        <f>SUMIF(NF!$A:$A,$E512,NF!$I:$I)</f>
        <v>16</v>
      </c>
      <c r="G512" s="6">
        <v>3</v>
      </c>
      <c r="H512" s="6">
        <v>2</v>
      </c>
      <c r="I512" s="6">
        <v>1</v>
      </c>
      <c r="J512" s="6">
        <v>2</v>
      </c>
      <c r="K512" s="6">
        <v>2</v>
      </c>
      <c r="L512" s="6">
        <v>5</v>
      </c>
      <c r="M512" s="6">
        <v>2</v>
      </c>
      <c r="N512" s="7">
        <f t="shared" si="729"/>
        <v>17</v>
      </c>
      <c r="O512" s="11">
        <f t="shared" si="633"/>
        <v>4</v>
      </c>
      <c r="P512" s="25"/>
      <c r="Q512" s="10" t="str">
        <f t="shared" si="634"/>
        <v>OutubroSEMANA 2Ovo de Codorna</v>
      </c>
      <c r="R512" s="7">
        <f>SUMIF(NF!$A:$A,$Q512,NF!$I:$I)</f>
        <v>16</v>
      </c>
      <c r="S512" s="6">
        <v>3</v>
      </c>
      <c r="T512" s="6">
        <v>1</v>
      </c>
      <c r="U512" s="6">
        <v>3</v>
      </c>
      <c r="V512" s="6">
        <v>2</v>
      </c>
      <c r="W512" s="6">
        <v>2</v>
      </c>
      <c r="X512" s="6">
        <v>2</v>
      </c>
      <c r="Y512" s="6">
        <v>2</v>
      </c>
      <c r="Z512" s="7">
        <f t="shared" si="730"/>
        <v>15</v>
      </c>
      <c r="AA512" s="11">
        <f t="shared" si="636"/>
        <v>5</v>
      </c>
      <c r="AB512" s="25"/>
      <c r="AC512" s="10" t="str">
        <f t="shared" si="637"/>
        <v>OutubroSEMANA 3Ovo de Codorna</v>
      </c>
      <c r="AD512" s="7">
        <f>SUMIF(NF!$A:$A,$AC512,NF!$I:$I)</f>
        <v>16</v>
      </c>
      <c r="AE512" s="6">
        <v>5</v>
      </c>
      <c r="AF512" s="6"/>
      <c r="AG512" s="6">
        <v>2</v>
      </c>
      <c r="AH512" s="6">
        <v>2</v>
      </c>
      <c r="AI512" s="6">
        <v>2</v>
      </c>
      <c r="AJ512" s="6">
        <v>3</v>
      </c>
      <c r="AK512" s="6">
        <v>2</v>
      </c>
      <c r="AL512" s="7">
        <f t="shared" si="731"/>
        <v>16</v>
      </c>
      <c r="AM512" s="11">
        <f t="shared" si="639"/>
        <v>5</v>
      </c>
      <c r="AN512" s="25"/>
      <c r="AO512" s="10" t="str">
        <f t="shared" si="640"/>
        <v>OutubroSEMANA 4Ovo de Codorna</v>
      </c>
      <c r="AP512" s="7">
        <f>SUMIF(NF!$A:$A,$AO512,NF!$I:$I)</f>
        <v>16</v>
      </c>
      <c r="AQ512" s="6">
        <v>3</v>
      </c>
      <c r="AR512" s="6">
        <v>1</v>
      </c>
      <c r="AS512" s="6">
        <v>1</v>
      </c>
      <c r="AT512" s="6">
        <v>1</v>
      </c>
      <c r="AU512" s="6">
        <v>2</v>
      </c>
      <c r="AV512" s="6">
        <v>2</v>
      </c>
      <c r="AW512" s="6">
        <v>4</v>
      </c>
      <c r="AX512" s="7">
        <f t="shared" si="732"/>
        <v>14</v>
      </c>
      <c r="AY512" s="11">
        <f t="shared" si="642"/>
        <v>7</v>
      </c>
      <c r="AZ512" s="25"/>
      <c r="BA512" s="10" t="str">
        <f t="shared" si="643"/>
        <v>OutubroSEMANA 5Ovo de Codorna</v>
      </c>
      <c r="BB512" s="7">
        <f>SUMIF(NF!$A:$A,$BA512,NF!$I:$I)</f>
        <v>16</v>
      </c>
      <c r="BC512" s="6">
        <v>4</v>
      </c>
      <c r="BD512" s="6">
        <v>3</v>
      </c>
      <c r="BE512" s="6">
        <v>2</v>
      </c>
      <c r="BF512" s="74"/>
      <c r="BG512" s="74"/>
      <c r="BH512" s="74"/>
      <c r="BI512" s="74"/>
      <c r="BJ512" s="74"/>
      <c r="BK512" s="7">
        <f t="shared" si="733"/>
        <v>9</v>
      </c>
      <c r="BL512" s="8">
        <f t="shared" si="645"/>
        <v>14</v>
      </c>
      <c r="BM512" s="51" t="str">
        <f>IFERROR(VLOOKUP(A512,NF!$M:$O,3,0),"")</f>
        <v>Hortifruti</v>
      </c>
      <c r="BN512" s="7">
        <f t="shared" si="646"/>
        <v>71</v>
      </c>
      <c r="BO512" s="8">
        <f t="array" ref="BO512">IFERROR(LARGE(IF(NF!$G$2:$G$3137='Mês atual'!A512,NF!$J$2:$J$3137),1),0)*BN512</f>
        <v>738.4</v>
      </c>
      <c r="BP512" s="50"/>
      <c r="BR512" s="147">
        <f t="array" ref="BR512">IFERROR(LARGE(IF(NF!$G$2:$G$3137='Mês atual'!A512,NF!$J$2:$J$3137),1),0)</f>
        <v>10.4</v>
      </c>
      <c r="BS512" s="143" t="str">
        <f>VLOOKUP(A512,NF!M:O,3,0)</f>
        <v>Hortifruti</v>
      </c>
    </row>
    <row r="513" spans="1:71" x14ac:dyDescent="0.25">
      <c r="A513" s="108" t="s">
        <v>550</v>
      </c>
      <c r="B513" s="12"/>
      <c r="C513" s="9">
        <f>521-14</f>
        <v>507</v>
      </c>
      <c r="D513" s="25"/>
      <c r="E513" s="10" t="str">
        <f t="shared" si="631"/>
        <v>OutubroSEMANA 1Ovos Extra</v>
      </c>
      <c r="F513" s="7">
        <f>SUMIF(NF!$A:$A,$E513,NF!$I:$I)</f>
        <v>706</v>
      </c>
      <c r="G513" s="6">
        <v>119</v>
      </c>
      <c r="H513" s="6">
        <v>49</v>
      </c>
      <c r="I513" s="6">
        <v>51</v>
      </c>
      <c r="J513" s="6">
        <v>278</v>
      </c>
      <c r="K513" s="6">
        <v>144</v>
      </c>
      <c r="L513" s="6">
        <v>106</v>
      </c>
      <c r="M513" s="6">
        <v>147</v>
      </c>
      <c r="N513" s="7">
        <f t="shared" si="729"/>
        <v>894</v>
      </c>
      <c r="O513" s="11">
        <f t="shared" si="633"/>
        <v>319</v>
      </c>
      <c r="P513" s="25"/>
      <c r="Q513" s="10" t="str">
        <f t="shared" si="634"/>
        <v>OutubroSEMANA 2Ovos Extra</v>
      </c>
      <c r="R513" s="7">
        <f>SUMIF(NF!$A:$A,$Q513,NF!$I:$I)</f>
        <v>710</v>
      </c>
      <c r="S513" s="6">
        <v>97</v>
      </c>
      <c r="T513" s="6">
        <v>192</v>
      </c>
      <c r="U513" s="6">
        <v>56</v>
      </c>
      <c r="V513" s="6">
        <v>122</v>
      </c>
      <c r="W513" s="6">
        <v>94</v>
      </c>
      <c r="X513" s="6">
        <v>91</v>
      </c>
      <c r="Y513" s="6">
        <v>47</v>
      </c>
      <c r="Z513" s="7">
        <f t="shared" si="730"/>
        <v>699</v>
      </c>
      <c r="AA513" s="11">
        <f t="shared" si="636"/>
        <v>330</v>
      </c>
      <c r="AB513" s="25"/>
      <c r="AC513" s="10" t="str">
        <f t="shared" si="637"/>
        <v>OutubroSEMANA 3Ovos Extra</v>
      </c>
      <c r="AD513" s="7">
        <f>SUMIF(NF!$A:$A,$AC513,NF!$I:$I)</f>
        <v>685</v>
      </c>
      <c r="AE513" s="6">
        <v>33</v>
      </c>
      <c r="AF513" s="6">
        <v>111</v>
      </c>
      <c r="AG513" s="6">
        <f>128-7</f>
        <v>121</v>
      </c>
      <c r="AH513" s="6">
        <v>88</v>
      </c>
      <c r="AI513" s="6">
        <v>263</v>
      </c>
      <c r="AJ513" s="6">
        <f>60-14</f>
        <v>46</v>
      </c>
      <c r="AK513" s="6">
        <v>116</v>
      </c>
      <c r="AL513" s="7">
        <f t="shared" si="731"/>
        <v>778</v>
      </c>
      <c r="AM513" s="11">
        <f t="shared" si="639"/>
        <v>237</v>
      </c>
      <c r="AN513" s="25"/>
      <c r="AO513" s="10" t="str">
        <f t="shared" si="640"/>
        <v>OutubroSEMANA 4Ovos Extra</v>
      </c>
      <c r="AP513" s="7">
        <f>SUMIF(NF!$A:$A,$AO513,NF!$I:$I)</f>
        <v>1080</v>
      </c>
      <c r="AQ513" s="6">
        <v>27</v>
      </c>
      <c r="AR513" s="6">
        <v>46</v>
      </c>
      <c r="AS513" s="6">
        <v>287</v>
      </c>
      <c r="AT513" s="6">
        <v>72</v>
      </c>
      <c r="AU513" s="6">
        <v>140</v>
      </c>
      <c r="AV513" s="6">
        <v>217</v>
      </c>
      <c r="AW513" s="6">
        <v>90</v>
      </c>
      <c r="AX513" s="7">
        <f t="shared" si="732"/>
        <v>879</v>
      </c>
      <c r="AY513" s="11">
        <f t="shared" si="642"/>
        <v>438</v>
      </c>
      <c r="AZ513" s="25"/>
      <c r="BA513" s="10" t="str">
        <f t="shared" si="643"/>
        <v>OutubroSEMANA 5Ovos Extra</v>
      </c>
      <c r="BB513" s="7">
        <f>SUMIF(NF!$A:$A,$BA513,NF!$I:$I)</f>
        <v>360</v>
      </c>
      <c r="BC513" s="6">
        <v>48</v>
      </c>
      <c r="BD513" s="6">
        <v>209</v>
      </c>
      <c r="BE513" s="6">
        <v>156</v>
      </c>
      <c r="BF513" s="74"/>
      <c r="BG513" s="74"/>
      <c r="BH513" s="74"/>
      <c r="BI513" s="74"/>
      <c r="BJ513" s="74"/>
      <c r="BK513" s="7">
        <f t="shared" si="733"/>
        <v>413</v>
      </c>
      <c r="BL513" s="8">
        <f t="shared" si="645"/>
        <v>385</v>
      </c>
      <c r="BM513" s="51" t="str">
        <f>IFERROR(VLOOKUP(A513,NF!$M:$O,3,0),"")</f>
        <v>Hortifruti</v>
      </c>
      <c r="BN513" s="7">
        <f t="shared" si="646"/>
        <v>3663</v>
      </c>
      <c r="BO513" s="8">
        <f t="array" ref="BO513">IFERROR(LARGE(IF(NF!$G$2:$G$3137='Mês atual'!A513,NF!$J$2:$J$3137),1),0)*BN513</f>
        <v>1170.125</v>
      </c>
      <c r="BP513" s="50"/>
      <c r="BR513" s="147">
        <f t="array" ref="BR513">IFERROR(LARGE(IF(NF!$G$2:$G$3137='Mês atual'!A513,NF!$J$2:$J$3137),1),0)</f>
        <v>0.31944444444444442</v>
      </c>
      <c r="BS513" s="143" t="str">
        <f>VLOOKUP(A513,NF!M:O,3,0)</f>
        <v>Hortifruti</v>
      </c>
    </row>
    <row r="514" spans="1:71" x14ac:dyDescent="0.25">
      <c r="A514" s="108" t="s">
        <v>557</v>
      </c>
      <c r="B514" s="12"/>
      <c r="C514" s="9"/>
      <c r="D514" s="25"/>
      <c r="E514" s="10" t="str">
        <f t="shared" si="631"/>
        <v>OutubroSEMANA 1Palmito Orgânico</v>
      </c>
      <c r="F514" s="7">
        <f>SUMIF(NF!$A:$A,$E514,NF!$I:$I)</f>
        <v>0</v>
      </c>
      <c r="G514" s="6"/>
      <c r="H514" s="6"/>
      <c r="I514" s="6"/>
      <c r="J514" s="6"/>
      <c r="K514" s="6"/>
      <c r="L514" s="6"/>
      <c r="M514" s="6"/>
      <c r="N514" s="7">
        <f t="shared" si="729"/>
        <v>0</v>
      </c>
      <c r="O514" s="11">
        <f t="shared" si="633"/>
        <v>0</v>
      </c>
      <c r="P514" s="25"/>
      <c r="Q514" s="10" t="str">
        <f t="shared" si="634"/>
        <v>OutubroSEMANA 2Palmito Orgânico</v>
      </c>
      <c r="R514" s="7">
        <f>SUMIF(NF!$A:$A,$Q514,NF!$I:$I)</f>
        <v>0</v>
      </c>
      <c r="S514" s="6"/>
      <c r="T514" s="6"/>
      <c r="U514" s="6"/>
      <c r="V514" s="6"/>
      <c r="W514" s="6"/>
      <c r="X514" s="6"/>
      <c r="Y514" s="6"/>
      <c r="Z514" s="7">
        <f t="shared" si="730"/>
        <v>0</v>
      </c>
      <c r="AA514" s="11">
        <f t="shared" si="636"/>
        <v>0</v>
      </c>
      <c r="AB514" s="25"/>
      <c r="AC514" s="10" t="str">
        <f t="shared" si="637"/>
        <v>OutubroSEMANA 3Palmito Orgânico</v>
      </c>
      <c r="AD514" s="7">
        <f>SUMIF(NF!$A:$A,$AC514,NF!$I:$I)</f>
        <v>0</v>
      </c>
      <c r="AE514" s="6"/>
      <c r="AF514" s="6"/>
      <c r="AG514" s="6"/>
      <c r="AH514" s="6"/>
      <c r="AI514" s="6"/>
      <c r="AJ514" s="6"/>
      <c r="AK514" s="6"/>
      <c r="AL514" s="7">
        <f t="shared" si="731"/>
        <v>0</v>
      </c>
      <c r="AM514" s="11">
        <f t="shared" si="639"/>
        <v>0</v>
      </c>
      <c r="AN514" s="25"/>
      <c r="AO514" s="10" t="str">
        <f t="shared" si="640"/>
        <v>OutubroSEMANA 4Palmito Orgânico</v>
      </c>
      <c r="AP514" s="7">
        <f>SUMIF(NF!$A:$A,$AO514,NF!$I:$I)</f>
        <v>0</v>
      </c>
      <c r="AQ514" s="6"/>
      <c r="AR514" s="6"/>
      <c r="AS514" s="6"/>
      <c r="AT514" s="6"/>
      <c r="AU514" s="6"/>
      <c r="AV514" s="6"/>
      <c r="AW514" s="6"/>
      <c r="AX514" s="7">
        <f t="shared" si="732"/>
        <v>0</v>
      </c>
      <c r="AY514" s="11">
        <f t="shared" si="642"/>
        <v>0</v>
      </c>
      <c r="AZ514" s="25"/>
      <c r="BA514" s="10" t="str">
        <f t="shared" si="643"/>
        <v>OutubroSEMANA 5Palmito Orgânico</v>
      </c>
      <c r="BB514" s="7">
        <f>SUMIF(NF!$A:$A,$BA514,NF!$I:$I)</f>
        <v>0</v>
      </c>
      <c r="BC514" s="6"/>
      <c r="BD514" s="6"/>
      <c r="BE514" s="6"/>
      <c r="BF514" s="74"/>
      <c r="BG514" s="74"/>
      <c r="BH514" s="74"/>
      <c r="BI514" s="74"/>
      <c r="BJ514" s="74"/>
      <c r="BK514" s="7">
        <f t="shared" si="733"/>
        <v>0</v>
      </c>
      <c r="BL514" s="8">
        <f t="shared" si="645"/>
        <v>0</v>
      </c>
      <c r="BM514" s="51" t="str">
        <f>IFERROR(VLOOKUP(A514,NF!$M:$O,3,0),"")</f>
        <v>Hortifruti</v>
      </c>
      <c r="BN514" s="7">
        <f t="shared" si="646"/>
        <v>0</v>
      </c>
      <c r="BO514" s="8">
        <f t="array" ref="BO514">IFERROR(LARGE(IF(NF!$G$2:$G$3137='Mês atual'!A514,NF!$J$2:$J$3137),1),0)*BN514</f>
        <v>0</v>
      </c>
      <c r="BP514" s="50"/>
      <c r="BR514" s="147">
        <f t="array" ref="BR514">IFERROR(LARGE(IF(NF!$G$2:$G$3137='Mês atual'!A514,NF!$J$2:$J$3137),1),0)</f>
        <v>0</v>
      </c>
      <c r="BS514" s="143" t="str">
        <f>VLOOKUP(A514,NF!M:O,3,0)</f>
        <v>Hortifruti</v>
      </c>
    </row>
    <row r="515" spans="1:71" x14ac:dyDescent="0.25">
      <c r="A515" s="108" t="s">
        <v>577</v>
      </c>
      <c r="B515" s="12"/>
      <c r="C515" s="9">
        <v>16.38</v>
      </c>
      <c r="D515" s="25"/>
      <c r="E515" s="10" t="str">
        <f t="shared" si="631"/>
        <v>OutubroSEMANA 1Pepino Japonês</v>
      </c>
      <c r="F515" s="7">
        <f>SUMIF(NF!$A:$A,$E515,NF!$I:$I)</f>
        <v>35.153999999999996</v>
      </c>
      <c r="G515" s="6">
        <f>2+1</f>
        <v>3</v>
      </c>
      <c r="H515" s="6">
        <f>3.05+1</f>
        <v>4.05</v>
      </c>
      <c r="I515" s="6">
        <f>2+1</f>
        <v>3</v>
      </c>
      <c r="J515" s="6">
        <f>2.08+1</f>
        <v>3.08</v>
      </c>
      <c r="K515" s="6">
        <v>2.52</v>
      </c>
      <c r="L515" s="6">
        <f>3.016+10.06+1.622</f>
        <v>14.698</v>
      </c>
      <c r="M515" s="6">
        <f>3.06+1.006+2.06</f>
        <v>6.1259999999999994</v>
      </c>
      <c r="N515" s="7">
        <f t="shared" si="729"/>
        <v>36.473999999999997</v>
      </c>
      <c r="O515" s="11">
        <f t="shared" si="633"/>
        <v>15.059999999999995</v>
      </c>
      <c r="P515" s="25"/>
      <c r="Q515" s="10" t="str">
        <f t="shared" si="634"/>
        <v>OutubroSEMANA 2Pepino Japonês</v>
      </c>
      <c r="R515" s="7">
        <f>SUMIF(NF!$A:$A,$Q515,NF!$I:$I)</f>
        <v>32.39</v>
      </c>
      <c r="S515" s="6">
        <f>3.954+1</f>
        <v>4.9540000000000006</v>
      </c>
      <c r="T515" s="6">
        <f>3+3.12+1</f>
        <v>7.12</v>
      </c>
      <c r="U515" s="6">
        <f>0.32+2.56+1</f>
        <v>3.88</v>
      </c>
      <c r="V515" s="6">
        <f>2.54+2.55+1</f>
        <v>6.09</v>
      </c>
      <c r="W515" s="6">
        <f>1.688+3.05+1</f>
        <v>5.7379999999999995</v>
      </c>
      <c r="X515" s="6">
        <f>2.1+1</f>
        <v>3.1</v>
      </c>
      <c r="Y515" s="6">
        <f>1.2+2.718+1</f>
        <v>4.9180000000000001</v>
      </c>
      <c r="Z515" s="7">
        <f t="shared" si="730"/>
        <v>35.800000000000004</v>
      </c>
      <c r="AA515" s="11">
        <f t="shared" si="636"/>
        <v>11.649999999999991</v>
      </c>
      <c r="AB515" s="25"/>
      <c r="AC515" s="10" t="str">
        <f t="shared" si="637"/>
        <v>OutubroSEMANA 3Pepino Japonês</v>
      </c>
      <c r="AD515" s="7">
        <f>SUMIF(NF!$A:$A,$AC515,NF!$I:$I)</f>
        <v>34.380000000000003</v>
      </c>
      <c r="AE515" s="6">
        <f>2.08+1</f>
        <v>3.08</v>
      </c>
      <c r="AF515" s="6">
        <f>5.32+0.62</f>
        <v>5.94</v>
      </c>
      <c r="AG515" s="6">
        <f>5.1+1</f>
        <v>6.1</v>
      </c>
      <c r="AH515" s="6">
        <v>2.02</v>
      </c>
      <c r="AI515" s="6">
        <v>2.08</v>
      </c>
      <c r="AJ515" s="6">
        <v>5</v>
      </c>
      <c r="AK515" s="6">
        <v>3.12</v>
      </c>
      <c r="AL515" s="7">
        <f t="shared" si="731"/>
        <v>27.34</v>
      </c>
      <c r="AM515" s="11">
        <f t="shared" si="639"/>
        <v>18.689999999999994</v>
      </c>
      <c r="AN515" s="25"/>
      <c r="AO515" s="10" t="str">
        <f t="shared" si="640"/>
        <v>OutubroSEMANA 4Pepino Japonês</v>
      </c>
      <c r="AP515" s="7">
        <f>SUMIF(NF!$A:$A,$AO515,NF!$I:$I)</f>
        <v>31.931999999999995</v>
      </c>
      <c r="AQ515" s="6">
        <v>2</v>
      </c>
      <c r="AR515" s="6">
        <f>3.67+2.508+1</f>
        <v>7.1779999999999999</v>
      </c>
      <c r="AS515" s="6">
        <v>1.6</v>
      </c>
      <c r="AT515" s="6">
        <f>10.1+3.026+1</f>
        <v>14.125999999999999</v>
      </c>
      <c r="AU515" s="6">
        <v>2.5</v>
      </c>
      <c r="AV515" s="6">
        <f>1.4+2.518</f>
        <v>3.9179999999999997</v>
      </c>
      <c r="AW515" s="6">
        <v>2.2000000000000002</v>
      </c>
      <c r="AX515" s="7">
        <f t="shared" si="732"/>
        <v>33.521999999999998</v>
      </c>
      <c r="AY515" s="11">
        <f t="shared" si="642"/>
        <v>17.099999999999987</v>
      </c>
      <c r="AZ515" s="25"/>
      <c r="BA515" s="10" t="str">
        <f t="shared" si="643"/>
        <v>OutubroSEMANA 5Pepino Japonês</v>
      </c>
      <c r="BB515" s="7">
        <f>SUMIF(NF!$A:$A,$BA515,NF!$I:$I)</f>
        <v>0</v>
      </c>
      <c r="BC515" s="6">
        <v>2.5</v>
      </c>
      <c r="BD515" s="6">
        <f>2.04+3.08</f>
        <v>5.12</v>
      </c>
      <c r="BE515" s="6">
        <v>2.52</v>
      </c>
      <c r="BF515" s="74"/>
      <c r="BG515" s="74"/>
      <c r="BH515" s="74"/>
      <c r="BI515" s="74"/>
      <c r="BJ515" s="74"/>
      <c r="BK515" s="7">
        <f t="shared" si="733"/>
        <v>10.14</v>
      </c>
      <c r="BL515" s="8">
        <f t="shared" si="645"/>
        <v>6.9599999999999866</v>
      </c>
      <c r="BM515" s="51" t="str">
        <f>IFERROR(VLOOKUP(A515,NF!$M:$O,3,0),"")</f>
        <v>Hortifruti</v>
      </c>
      <c r="BN515" s="7">
        <f t="shared" si="646"/>
        <v>143.27600000000001</v>
      </c>
      <c r="BO515" s="8">
        <f t="array" ref="BO515">IFERROR(LARGE(IF(NF!$G$2:$G$3137='Mês atual'!A515,NF!$J$2:$J$3137),1),0)*BN515</f>
        <v>492.6960110041266</v>
      </c>
      <c r="BP515" s="50"/>
      <c r="BR515" s="147">
        <f t="array" ref="BR515">IFERROR(LARGE(IF(NF!$G$2:$G$3137='Mês atual'!A515,NF!$J$2:$J$3137),1),0)</f>
        <v>3.4387895460797799</v>
      </c>
      <c r="BS515" s="143" t="str">
        <f>VLOOKUP(A515,NF!M:O,3,0)</f>
        <v>Hortifruti</v>
      </c>
    </row>
    <row r="516" spans="1:71" x14ac:dyDescent="0.25">
      <c r="A516" s="108" t="s">
        <v>578</v>
      </c>
      <c r="B516" s="12"/>
      <c r="C516" s="9"/>
      <c r="D516" s="25"/>
      <c r="E516" s="10" t="str">
        <f t="shared" si="631"/>
        <v>OutubroSEMANA 1Pepino Japonês Orgânico</v>
      </c>
      <c r="F516" s="7">
        <f>SUMIF(NF!$A:$A,$E516,NF!$I:$I)</f>
        <v>0</v>
      </c>
      <c r="G516" s="6"/>
      <c r="H516" s="6"/>
      <c r="I516" s="6"/>
      <c r="J516" s="6"/>
      <c r="K516" s="6"/>
      <c r="L516" s="6"/>
      <c r="M516" s="6"/>
      <c r="N516" s="7">
        <f t="shared" si="729"/>
        <v>0</v>
      </c>
      <c r="O516" s="11">
        <f t="shared" si="633"/>
        <v>0</v>
      </c>
      <c r="P516" s="25"/>
      <c r="Q516" s="10" t="str">
        <f t="shared" si="634"/>
        <v>OutubroSEMANA 2Pepino Japonês Orgânico</v>
      </c>
      <c r="R516" s="7">
        <f>SUMIF(NF!$A:$A,$Q516,NF!$I:$I)</f>
        <v>0</v>
      </c>
      <c r="S516" s="6"/>
      <c r="T516" s="6"/>
      <c r="U516" s="6"/>
      <c r="V516" s="6"/>
      <c r="W516" s="6"/>
      <c r="X516" s="6"/>
      <c r="Y516" s="6"/>
      <c r="Z516" s="7">
        <f t="shared" si="730"/>
        <v>0</v>
      </c>
      <c r="AA516" s="11">
        <f t="shared" si="636"/>
        <v>0</v>
      </c>
      <c r="AB516" s="25"/>
      <c r="AC516" s="10" t="str">
        <f t="shared" si="637"/>
        <v>OutubroSEMANA 3Pepino Japonês Orgânico</v>
      </c>
      <c r="AD516" s="7">
        <f>SUMIF(NF!$A:$A,$AC516,NF!$I:$I)</f>
        <v>0</v>
      </c>
      <c r="AE516" s="6"/>
      <c r="AF516" s="6"/>
      <c r="AG516" s="6"/>
      <c r="AH516" s="6"/>
      <c r="AI516" s="6"/>
      <c r="AJ516" s="6"/>
      <c r="AK516" s="6"/>
      <c r="AL516" s="7">
        <f t="shared" si="731"/>
        <v>0</v>
      </c>
      <c r="AM516" s="11">
        <f t="shared" si="639"/>
        <v>0</v>
      </c>
      <c r="AN516" s="25"/>
      <c r="AO516" s="10" t="str">
        <f t="shared" si="640"/>
        <v>OutubroSEMANA 4Pepino Japonês Orgânico</v>
      </c>
      <c r="AP516" s="7">
        <f>SUMIF(NF!$A:$A,$AO516,NF!$I:$I)</f>
        <v>0</v>
      </c>
      <c r="AQ516" s="6"/>
      <c r="AR516" s="6"/>
      <c r="AS516" s="6"/>
      <c r="AT516" s="6"/>
      <c r="AU516" s="6"/>
      <c r="AV516" s="6"/>
      <c r="AW516" s="6"/>
      <c r="AX516" s="7">
        <f t="shared" si="732"/>
        <v>0</v>
      </c>
      <c r="AY516" s="11">
        <f t="shared" si="642"/>
        <v>0</v>
      </c>
      <c r="AZ516" s="25"/>
      <c r="BA516" s="10" t="str">
        <f t="shared" si="643"/>
        <v>OutubroSEMANA 5Pepino Japonês Orgânico</v>
      </c>
      <c r="BB516" s="7">
        <f>SUMIF(NF!$A:$A,$BA516,NF!$I:$I)</f>
        <v>0</v>
      </c>
      <c r="BC516" s="6"/>
      <c r="BD516" s="6"/>
      <c r="BE516" s="6"/>
      <c r="BF516" s="74"/>
      <c r="BG516" s="74"/>
      <c r="BH516" s="74"/>
      <c r="BI516" s="74"/>
      <c r="BJ516" s="74"/>
      <c r="BK516" s="7">
        <f t="shared" si="733"/>
        <v>0</v>
      </c>
      <c r="BL516" s="8">
        <f t="shared" si="645"/>
        <v>0</v>
      </c>
      <c r="BM516" s="51" t="str">
        <f>IFERROR(VLOOKUP(A516,NF!$M:$O,3,0),"")</f>
        <v>Hortifruti</v>
      </c>
      <c r="BN516" s="7">
        <f t="shared" si="646"/>
        <v>0</v>
      </c>
      <c r="BO516" s="8">
        <f t="array" ref="BO516">IFERROR(LARGE(IF(NF!$G$2:$G$3137='Mês atual'!A516,NF!$J$2:$J$3137),1),0)*BN516</f>
        <v>0</v>
      </c>
      <c r="BP516" s="50"/>
      <c r="BR516" s="147">
        <f t="array" ref="BR516">IFERROR(LARGE(IF(NF!$G$2:$G$3137='Mês atual'!A516,NF!$J$2:$J$3137),1),0)</f>
        <v>0</v>
      </c>
      <c r="BS516" s="143" t="str">
        <f>VLOOKUP(A516,NF!M:O,3,0)</f>
        <v>Hortifruti</v>
      </c>
    </row>
    <row r="517" spans="1:71" x14ac:dyDescent="0.25">
      <c r="A517" s="108" t="s">
        <v>581</v>
      </c>
      <c r="B517" s="12"/>
      <c r="C517" s="9"/>
      <c r="D517" s="25"/>
      <c r="E517" s="10" t="str">
        <f t="shared" si="631"/>
        <v>OutubroSEMANA 1Pera</v>
      </c>
      <c r="F517" s="7">
        <f>SUMIF(NF!$A:$A,$E517,NF!$I:$I)</f>
        <v>3</v>
      </c>
      <c r="G517" s="6"/>
      <c r="H517" s="6"/>
      <c r="I517" s="6">
        <v>3</v>
      </c>
      <c r="J517" s="6"/>
      <c r="K517" s="6"/>
      <c r="L517" s="6"/>
      <c r="M517" s="6"/>
      <c r="N517" s="7">
        <f t="shared" si="729"/>
        <v>3</v>
      </c>
      <c r="O517" s="11">
        <f t="shared" si="633"/>
        <v>0</v>
      </c>
      <c r="P517" s="25"/>
      <c r="Q517" s="10" t="str">
        <f t="shared" si="634"/>
        <v>OutubroSEMANA 2Pera</v>
      </c>
      <c r="R517" s="7">
        <f>SUMIF(NF!$A:$A,$Q517,NF!$I:$I)</f>
        <v>1</v>
      </c>
      <c r="S517" s="6"/>
      <c r="T517" s="6"/>
      <c r="U517" s="6"/>
      <c r="V517" s="6">
        <v>1</v>
      </c>
      <c r="W517" s="6"/>
      <c r="X517" s="6"/>
      <c r="Y517" s="6"/>
      <c r="Z517" s="7">
        <f t="shared" si="730"/>
        <v>1</v>
      </c>
      <c r="AA517" s="11">
        <f t="shared" si="636"/>
        <v>0</v>
      </c>
      <c r="AB517" s="25"/>
      <c r="AC517" s="10" t="str">
        <f t="shared" si="637"/>
        <v>OutubroSEMANA 3Pera</v>
      </c>
      <c r="AD517" s="7">
        <f>SUMIF(NF!$A:$A,$AC517,NF!$I:$I)</f>
        <v>3</v>
      </c>
      <c r="AE517" s="6"/>
      <c r="AF517" s="6"/>
      <c r="AG517" s="6"/>
      <c r="AH517" s="6">
        <v>3</v>
      </c>
      <c r="AI517" s="6"/>
      <c r="AJ517" s="6"/>
      <c r="AK517" s="6"/>
      <c r="AL517" s="7">
        <f t="shared" si="731"/>
        <v>3</v>
      </c>
      <c r="AM517" s="11">
        <f t="shared" si="639"/>
        <v>0</v>
      </c>
      <c r="AN517" s="25"/>
      <c r="AO517" s="10" t="str">
        <f t="shared" si="640"/>
        <v>OutubroSEMANA 4Pera</v>
      </c>
      <c r="AP517" s="7">
        <f>SUMIF(NF!$A:$A,$AO517,NF!$I:$I)</f>
        <v>2</v>
      </c>
      <c r="AQ517" s="6"/>
      <c r="AR517" s="6"/>
      <c r="AS517" s="6">
        <v>2</v>
      </c>
      <c r="AT517" s="6"/>
      <c r="AU517" s="6"/>
      <c r="AV517" s="6"/>
      <c r="AW517" s="6"/>
      <c r="AX517" s="7">
        <f t="shared" si="732"/>
        <v>2</v>
      </c>
      <c r="AY517" s="11">
        <f t="shared" si="642"/>
        <v>0</v>
      </c>
      <c r="AZ517" s="25"/>
      <c r="BA517" s="10" t="str">
        <f t="shared" si="643"/>
        <v>OutubroSEMANA 5Pera</v>
      </c>
      <c r="BB517" s="7">
        <f>SUMIF(NF!$A:$A,$BA517,NF!$I:$I)</f>
        <v>0</v>
      </c>
      <c r="BC517" s="6"/>
      <c r="BD517" s="6"/>
      <c r="BE517" s="6"/>
      <c r="BF517" s="74"/>
      <c r="BG517" s="74"/>
      <c r="BH517" s="74"/>
      <c r="BI517" s="74"/>
      <c r="BJ517" s="74"/>
      <c r="BK517" s="7">
        <f t="shared" si="733"/>
        <v>0</v>
      </c>
      <c r="BL517" s="8">
        <f t="shared" si="645"/>
        <v>0</v>
      </c>
      <c r="BM517" s="51" t="str">
        <f>IFERROR(VLOOKUP(A517,NF!$M:$O,3,0),"")</f>
        <v>Hortifruti</v>
      </c>
      <c r="BN517" s="7">
        <f t="shared" si="646"/>
        <v>9</v>
      </c>
      <c r="BO517" s="8">
        <f t="array" ref="BO517">IFERROR(LARGE(IF(NF!$G$2:$G$3137='Mês atual'!A517,NF!$J$2:$J$3137),1),0)*BN517</f>
        <v>72</v>
      </c>
      <c r="BP517" s="50"/>
      <c r="BR517" s="147">
        <f t="array" ref="BR517">IFERROR(LARGE(IF(NF!$G$2:$G$3137='Mês atual'!A517,NF!$J$2:$J$3137),1),0)</f>
        <v>8</v>
      </c>
      <c r="BS517" s="143" t="str">
        <f>VLOOKUP(A517,NF!M:O,3,0)</f>
        <v>Hortifruti</v>
      </c>
    </row>
    <row r="518" spans="1:71" x14ac:dyDescent="0.25">
      <c r="A518" s="108" t="s">
        <v>651</v>
      </c>
      <c r="B518" s="12"/>
      <c r="C518" s="9"/>
      <c r="D518" s="25"/>
      <c r="E518" s="10" t="str">
        <f t="shared" si="631"/>
        <v>OutubroSEMANA 1Pessego</v>
      </c>
      <c r="F518" s="7">
        <f>SUMIF(NF!$A:$A,$E518,NF!$I:$I)</f>
        <v>0</v>
      </c>
      <c r="G518" s="6"/>
      <c r="H518" s="6"/>
      <c r="I518" s="6"/>
      <c r="J518" s="6"/>
      <c r="K518" s="6"/>
      <c r="L518" s="6"/>
      <c r="M518" s="6"/>
      <c r="N518" s="7">
        <f t="shared" si="729"/>
        <v>0</v>
      </c>
      <c r="O518" s="11">
        <f t="shared" si="633"/>
        <v>0</v>
      </c>
      <c r="P518" s="25"/>
      <c r="Q518" s="10" t="str">
        <f t="shared" si="634"/>
        <v>OutubroSEMANA 2Pessego</v>
      </c>
      <c r="R518" s="7">
        <f>SUMIF(NF!$A:$A,$Q518,NF!$I:$I)</f>
        <v>0</v>
      </c>
      <c r="S518" s="6"/>
      <c r="T518" s="6"/>
      <c r="U518" s="6"/>
      <c r="V518" s="6"/>
      <c r="W518" s="6"/>
      <c r="X518" s="6"/>
      <c r="Y518" s="6"/>
      <c r="Z518" s="7">
        <f t="shared" si="730"/>
        <v>0</v>
      </c>
      <c r="AA518" s="11">
        <f t="shared" si="636"/>
        <v>0</v>
      </c>
      <c r="AB518" s="25"/>
      <c r="AC518" s="10" t="str">
        <f t="shared" si="637"/>
        <v>OutubroSEMANA 3Pessego</v>
      </c>
      <c r="AD518" s="7">
        <f>SUMIF(NF!$A:$A,$AC518,NF!$I:$I)</f>
        <v>0</v>
      </c>
      <c r="AE518" s="6"/>
      <c r="AF518" s="6"/>
      <c r="AG518" s="6"/>
      <c r="AH518" s="6"/>
      <c r="AI518" s="6"/>
      <c r="AJ518" s="6"/>
      <c r="AK518" s="6"/>
      <c r="AL518" s="7">
        <f t="shared" si="731"/>
        <v>0</v>
      </c>
      <c r="AM518" s="11">
        <f t="shared" si="639"/>
        <v>0</v>
      </c>
      <c r="AN518" s="25"/>
      <c r="AO518" s="10" t="str">
        <f t="shared" si="640"/>
        <v>OutubroSEMANA 4Pessego</v>
      </c>
      <c r="AP518" s="7">
        <f>SUMIF(NF!$A:$A,$AO518,NF!$I:$I)</f>
        <v>0</v>
      </c>
      <c r="AQ518" s="6"/>
      <c r="AR518" s="6"/>
      <c r="AS518" s="6"/>
      <c r="AT518" s="6"/>
      <c r="AU518" s="6"/>
      <c r="AV518" s="6"/>
      <c r="AW518" s="6"/>
      <c r="AX518" s="7">
        <f t="shared" si="732"/>
        <v>0</v>
      </c>
      <c r="AY518" s="11">
        <f t="shared" si="642"/>
        <v>0</v>
      </c>
      <c r="AZ518" s="25"/>
      <c r="BA518" s="10" t="str">
        <f t="shared" si="643"/>
        <v>OutubroSEMANA 5Pessego</v>
      </c>
      <c r="BB518" s="7">
        <f>SUMIF(NF!$A:$A,$BA518,NF!$I:$I)</f>
        <v>0</v>
      </c>
      <c r="BC518" s="6"/>
      <c r="BD518" s="6"/>
      <c r="BE518" s="6"/>
      <c r="BF518" s="74"/>
      <c r="BG518" s="74"/>
      <c r="BH518" s="74"/>
      <c r="BI518" s="74"/>
      <c r="BJ518" s="74"/>
      <c r="BK518" s="7">
        <f t="shared" si="733"/>
        <v>0</v>
      </c>
      <c r="BL518" s="8">
        <f t="shared" si="645"/>
        <v>0</v>
      </c>
      <c r="BM518" s="51" t="str">
        <f>IFERROR(VLOOKUP(A518,NF!$M:$O,3,0),"")</f>
        <v>Hortifruti</v>
      </c>
      <c r="BN518" s="7">
        <f t="shared" si="646"/>
        <v>0</v>
      </c>
      <c r="BO518" s="8">
        <f t="array" ref="BO518">IFERROR(LARGE(IF(NF!$G$2:$G$3137='Mês atual'!A518,NF!$J$2:$J$3137),1),0)*BN518</f>
        <v>0</v>
      </c>
      <c r="BP518" s="50"/>
      <c r="BR518" s="147">
        <f t="array" ref="BR518">IFERROR(LARGE(IF(NF!$G$2:$G$3137='Mês atual'!A518,NF!$J$2:$J$3137),1),0)</f>
        <v>0</v>
      </c>
      <c r="BS518" s="143" t="str">
        <f>VLOOKUP(A518,NF!M:O,3,0)</f>
        <v>Hortifruti</v>
      </c>
    </row>
    <row r="519" spans="1:71" x14ac:dyDescent="0.25">
      <c r="A519" s="108" t="s">
        <v>654</v>
      </c>
      <c r="B519" s="12"/>
      <c r="C519" s="9"/>
      <c r="D519" s="25"/>
      <c r="E519" s="10" t="str">
        <f t="shared" si="631"/>
        <v>OutubroSEMANA 1Pimenta Biquinho</v>
      </c>
      <c r="F519" s="7">
        <f>SUMIF(NF!$A:$A,$E519,NF!$I:$I)</f>
        <v>0</v>
      </c>
      <c r="G519" s="6"/>
      <c r="H519" s="6"/>
      <c r="I519" s="6"/>
      <c r="J519" s="6"/>
      <c r="K519" s="6"/>
      <c r="L519" s="6"/>
      <c r="M519" s="6"/>
      <c r="N519" s="7">
        <f t="shared" ref="N519:N520" si="745">SUM(G519:M519)</f>
        <v>0</v>
      </c>
      <c r="O519" s="11">
        <f t="shared" si="633"/>
        <v>0</v>
      </c>
      <c r="P519" s="25"/>
      <c r="Q519" s="10" t="str">
        <f t="shared" si="634"/>
        <v>OutubroSEMANA 2Pimenta Biquinho</v>
      </c>
      <c r="R519" s="7">
        <f>SUMIF(NF!$A:$A,$Q519,NF!$I:$I)</f>
        <v>0.2</v>
      </c>
      <c r="S519" s="6"/>
      <c r="T519" s="6"/>
      <c r="U519" s="6">
        <v>0.2</v>
      </c>
      <c r="V519" s="6"/>
      <c r="W519" s="6"/>
      <c r="X519" s="6"/>
      <c r="Y519" s="6"/>
      <c r="Z519" s="7">
        <f t="shared" ref="Z519:Z520" si="746">SUM(S519:Y519)</f>
        <v>0.2</v>
      </c>
      <c r="AA519" s="11">
        <f t="shared" si="636"/>
        <v>0</v>
      </c>
      <c r="AB519" s="25"/>
      <c r="AC519" s="10" t="str">
        <f t="shared" si="637"/>
        <v>OutubroSEMANA 3Pimenta Biquinho</v>
      </c>
      <c r="AD519" s="7">
        <f>SUMIF(NF!$A:$A,$AC519,NF!$I:$I)</f>
        <v>0</v>
      </c>
      <c r="AE519" s="6"/>
      <c r="AF519" s="6"/>
      <c r="AG519" s="6"/>
      <c r="AH519" s="6"/>
      <c r="AI519" s="6"/>
      <c r="AJ519" s="6"/>
      <c r="AK519" s="6"/>
      <c r="AL519" s="7">
        <f t="shared" ref="AL519:AL520" si="747">SUM(AE519:AK519)</f>
        <v>0</v>
      </c>
      <c r="AM519" s="11">
        <f t="shared" si="639"/>
        <v>0</v>
      </c>
      <c r="AN519" s="25"/>
      <c r="AO519" s="10" t="str">
        <f t="shared" si="640"/>
        <v>OutubroSEMANA 4Pimenta Biquinho</v>
      </c>
      <c r="AP519" s="7">
        <f>SUMIF(NF!$A:$A,$AO519,NF!$I:$I)</f>
        <v>0</v>
      </c>
      <c r="AQ519" s="6"/>
      <c r="AR519" s="6"/>
      <c r="AS519" s="6"/>
      <c r="AT519" s="6"/>
      <c r="AU519" s="6"/>
      <c r="AV519" s="6"/>
      <c r="AW519" s="6"/>
      <c r="AX519" s="7">
        <f t="shared" ref="AX519:AX520" si="748">SUM(AQ519:AW519)</f>
        <v>0</v>
      </c>
      <c r="AY519" s="11">
        <f t="shared" si="642"/>
        <v>0</v>
      </c>
      <c r="AZ519" s="25"/>
      <c r="BA519" s="10" t="str">
        <f t="shared" si="643"/>
        <v>OutubroSEMANA 5Pimenta Biquinho</v>
      </c>
      <c r="BB519" s="7">
        <f>SUMIF(NF!$A:$A,$BA519,NF!$I:$I)</f>
        <v>0</v>
      </c>
      <c r="BC519" s="6"/>
      <c r="BD519" s="6"/>
      <c r="BE519" s="6"/>
      <c r="BF519" s="74"/>
      <c r="BG519" s="74"/>
      <c r="BH519" s="74"/>
      <c r="BI519" s="74"/>
      <c r="BJ519" s="74"/>
      <c r="BK519" s="7">
        <f t="shared" ref="BK519:BK520" si="749">SUM(BC519:BJ519)</f>
        <v>0</v>
      </c>
      <c r="BL519" s="8">
        <f t="shared" si="645"/>
        <v>0</v>
      </c>
      <c r="BM519" s="51" t="str">
        <f>IFERROR(VLOOKUP(A519,NF!$M:$O,3,0),"")</f>
        <v>Hortifruti</v>
      </c>
      <c r="BN519" s="7">
        <f t="shared" si="646"/>
        <v>0.2</v>
      </c>
      <c r="BO519" s="8">
        <f t="array" ref="BO519">IFERROR(LARGE(IF(NF!$G$2:$G$3137='Mês atual'!A519,NF!$J$2:$J$3137),1),0)*BN519</f>
        <v>10</v>
      </c>
      <c r="BP519" s="50"/>
      <c r="BR519" s="147">
        <f t="array" ref="BR519">IFERROR(LARGE(IF(NF!$G$2:$G$3137='Mês atual'!A519,NF!$J$2:$J$3137),1),0)</f>
        <v>50</v>
      </c>
      <c r="BS519" s="143" t="str">
        <f>VLOOKUP(A519,NF!M:O,3,0)</f>
        <v>Hortifruti</v>
      </c>
    </row>
    <row r="520" spans="1:71" x14ac:dyDescent="0.25">
      <c r="A520" s="108" t="s">
        <v>656</v>
      </c>
      <c r="B520" s="12"/>
      <c r="C520" s="9"/>
      <c r="D520" s="25"/>
      <c r="E520" s="10" t="str">
        <f t="shared" si="631"/>
        <v>OutubroSEMANA 1Pimenta de Cheiro</v>
      </c>
      <c r="F520" s="7">
        <f>SUMIF(NF!$A:$A,$E520,NF!$I:$I)</f>
        <v>0</v>
      </c>
      <c r="G520" s="6"/>
      <c r="H520" s="6"/>
      <c r="I520" s="6"/>
      <c r="J520" s="6"/>
      <c r="K520" s="6"/>
      <c r="L520" s="6"/>
      <c r="M520" s="6"/>
      <c r="N520" s="7">
        <f t="shared" si="745"/>
        <v>0</v>
      </c>
      <c r="O520" s="11">
        <f t="shared" si="633"/>
        <v>0</v>
      </c>
      <c r="P520" s="25"/>
      <c r="Q520" s="10" t="str">
        <f t="shared" si="634"/>
        <v>OutubroSEMANA 2Pimenta de Cheiro</v>
      </c>
      <c r="R520" s="7">
        <f>SUMIF(NF!$A:$A,$Q520,NF!$I:$I)</f>
        <v>0.2</v>
      </c>
      <c r="S520" s="6"/>
      <c r="T520" s="6"/>
      <c r="U520" s="6">
        <v>0.2</v>
      </c>
      <c r="V520" s="6"/>
      <c r="W520" s="6"/>
      <c r="X520" s="6"/>
      <c r="Y520" s="6"/>
      <c r="Z520" s="7">
        <f t="shared" si="746"/>
        <v>0.2</v>
      </c>
      <c r="AA520" s="11">
        <f t="shared" si="636"/>
        <v>0</v>
      </c>
      <c r="AB520" s="25"/>
      <c r="AC520" s="10" t="str">
        <f t="shared" si="637"/>
        <v>OutubroSEMANA 3Pimenta de Cheiro</v>
      </c>
      <c r="AD520" s="7">
        <f>SUMIF(NF!$A:$A,$AC520,NF!$I:$I)</f>
        <v>0</v>
      </c>
      <c r="AE520" s="6"/>
      <c r="AF520" s="6"/>
      <c r="AG520" s="6"/>
      <c r="AH520" s="6"/>
      <c r="AI520" s="6"/>
      <c r="AJ520" s="6"/>
      <c r="AK520" s="6"/>
      <c r="AL520" s="7">
        <f t="shared" si="747"/>
        <v>0</v>
      </c>
      <c r="AM520" s="11">
        <f t="shared" si="639"/>
        <v>0</v>
      </c>
      <c r="AN520" s="25"/>
      <c r="AO520" s="10" t="str">
        <f t="shared" si="640"/>
        <v>OutubroSEMANA 4Pimenta de Cheiro</v>
      </c>
      <c r="AP520" s="7">
        <f>SUMIF(NF!$A:$A,$AO520,NF!$I:$I)</f>
        <v>0</v>
      </c>
      <c r="AQ520" s="6"/>
      <c r="AR520" s="6"/>
      <c r="AS520" s="6"/>
      <c r="AT520" s="6"/>
      <c r="AU520" s="6"/>
      <c r="AV520" s="6"/>
      <c r="AW520" s="6"/>
      <c r="AX520" s="7">
        <f t="shared" si="748"/>
        <v>0</v>
      </c>
      <c r="AY520" s="11">
        <f t="shared" si="642"/>
        <v>0</v>
      </c>
      <c r="AZ520" s="25"/>
      <c r="BA520" s="10" t="str">
        <f t="shared" si="643"/>
        <v>OutubroSEMANA 5Pimenta de Cheiro</v>
      </c>
      <c r="BB520" s="7">
        <f>SUMIF(NF!$A:$A,$BA520,NF!$I:$I)</f>
        <v>0</v>
      </c>
      <c r="BC520" s="6"/>
      <c r="BD520" s="6"/>
      <c r="BE520" s="6"/>
      <c r="BF520" s="74"/>
      <c r="BG520" s="74"/>
      <c r="BH520" s="74"/>
      <c r="BI520" s="74"/>
      <c r="BJ520" s="74"/>
      <c r="BK520" s="7">
        <f t="shared" si="749"/>
        <v>0</v>
      </c>
      <c r="BL520" s="8">
        <f t="shared" si="645"/>
        <v>0</v>
      </c>
      <c r="BM520" s="51" t="str">
        <f>IFERROR(VLOOKUP(A520,NF!$M:$O,3,0),"")</f>
        <v>Hortifruti</v>
      </c>
      <c r="BN520" s="7">
        <f t="shared" si="646"/>
        <v>0.2</v>
      </c>
      <c r="BO520" s="8">
        <f t="array" ref="BO520">IFERROR(LARGE(IF(NF!$G$2:$G$3137='Mês atual'!A520,NF!$J$2:$J$3137),1),0)*BN520</f>
        <v>5</v>
      </c>
      <c r="BP520" s="50"/>
      <c r="BR520" s="147">
        <f t="array" ref="BR520">IFERROR(LARGE(IF(NF!$G$2:$G$3137='Mês atual'!A520,NF!$J$2:$J$3137),1),0)</f>
        <v>25</v>
      </c>
      <c r="BS520" s="143" t="str">
        <f>VLOOKUP(A520,NF!M:O,3,0)</f>
        <v>Hortifruti</v>
      </c>
    </row>
    <row r="521" spans="1:71" x14ac:dyDescent="0.25">
      <c r="A521" s="108" t="s">
        <v>657</v>
      </c>
      <c r="B521" s="12"/>
      <c r="C521" s="9"/>
      <c r="D521" s="25"/>
      <c r="E521" s="10" t="str">
        <f t="shared" si="631"/>
        <v>OutubroSEMANA 1Pimenta Dedo de Moça</v>
      </c>
      <c r="F521" s="7">
        <f>SUMIF(NF!$A:$A,$E521,NF!$I:$I)</f>
        <v>0</v>
      </c>
      <c r="G521" s="6"/>
      <c r="H521" s="6"/>
      <c r="I521" s="6"/>
      <c r="J521" s="6"/>
      <c r="K521" s="6"/>
      <c r="L521" s="6"/>
      <c r="M521" s="6"/>
      <c r="N521" s="7">
        <f t="shared" si="729"/>
        <v>0</v>
      </c>
      <c r="O521" s="11">
        <f t="shared" si="633"/>
        <v>0</v>
      </c>
      <c r="P521" s="25"/>
      <c r="Q521" s="10" t="str">
        <f t="shared" si="634"/>
        <v>OutubroSEMANA 2Pimenta Dedo de Moça</v>
      </c>
      <c r="R521" s="7">
        <f>SUMIF(NF!$A:$A,$Q521,NF!$I:$I)</f>
        <v>0.2</v>
      </c>
      <c r="S521" s="6"/>
      <c r="T521" s="6"/>
      <c r="U521" s="6">
        <v>0.2</v>
      </c>
      <c r="V521" s="6"/>
      <c r="W521" s="6"/>
      <c r="X521" s="6"/>
      <c r="Y521" s="6"/>
      <c r="Z521" s="7">
        <f t="shared" si="730"/>
        <v>0.2</v>
      </c>
      <c r="AA521" s="11">
        <f t="shared" si="636"/>
        <v>0</v>
      </c>
      <c r="AB521" s="25"/>
      <c r="AC521" s="10" t="str">
        <f t="shared" si="637"/>
        <v>OutubroSEMANA 3Pimenta Dedo de Moça</v>
      </c>
      <c r="AD521" s="7">
        <f>SUMIF(NF!$A:$A,$AC521,NF!$I:$I)</f>
        <v>1</v>
      </c>
      <c r="AE521" s="6"/>
      <c r="AF521" s="6"/>
      <c r="AG521" s="6">
        <v>1</v>
      </c>
      <c r="AH521" s="6"/>
      <c r="AI521" s="6"/>
      <c r="AJ521" s="6"/>
      <c r="AK521" s="6"/>
      <c r="AL521" s="7">
        <f t="shared" si="731"/>
        <v>1</v>
      </c>
      <c r="AM521" s="11">
        <f t="shared" si="639"/>
        <v>0</v>
      </c>
      <c r="AN521" s="25"/>
      <c r="AO521" s="10" t="str">
        <f t="shared" si="640"/>
        <v>OutubroSEMANA 4Pimenta Dedo de Moça</v>
      </c>
      <c r="AP521" s="7">
        <f>SUMIF(NF!$A:$A,$AO521,NF!$I:$I)</f>
        <v>0.1</v>
      </c>
      <c r="AQ521" s="6"/>
      <c r="AR521" s="6"/>
      <c r="AS521" s="6"/>
      <c r="AT521" s="6"/>
      <c r="AU521" s="6"/>
      <c r="AV521" s="6">
        <v>0.1</v>
      </c>
      <c r="AW521" s="6"/>
      <c r="AX521" s="7">
        <f t="shared" si="732"/>
        <v>0.1</v>
      </c>
      <c r="AY521" s="11">
        <f t="shared" si="642"/>
        <v>0</v>
      </c>
      <c r="AZ521" s="25"/>
      <c r="BA521" s="10" t="str">
        <f t="shared" si="643"/>
        <v>OutubroSEMANA 5Pimenta Dedo de Moça</v>
      </c>
      <c r="BB521" s="7">
        <f>SUMIF(NF!$A:$A,$BA521,NF!$I:$I)</f>
        <v>0</v>
      </c>
      <c r="BC521" s="6"/>
      <c r="BD521" s="6"/>
      <c r="BE521" s="6"/>
      <c r="BF521" s="74"/>
      <c r="BG521" s="74"/>
      <c r="BH521" s="74"/>
      <c r="BI521" s="74"/>
      <c r="BJ521" s="74"/>
      <c r="BK521" s="7">
        <f t="shared" si="733"/>
        <v>0</v>
      </c>
      <c r="BL521" s="8">
        <f t="shared" si="645"/>
        <v>0</v>
      </c>
      <c r="BM521" s="51" t="str">
        <f>IFERROR(VLOOKUP(A521,NF!$M:$O,3,0),"")</f>
        <v>Hortifruti</v>
      </c>
      <c r="BN521" s="7">
        <f t="shared" si="646"/>
        <v>1.3</v>
      </c>
      <c r="BO521" s="8">
        <f t="array" ref="BO521">IFERROR(LARGE(IF(NF!$G$2:$G$3137='Mês atual'!A521,NF!$J$2:$J$3137),1),0)*BN521</f>
        <v>26</v>
      </c>
      <c r="BP521" s="50"/>
      <c r="BR521" s="147">
        <f t="array" ref="BR521">IFERROR(LARGE(IF(NF!$G$2:$G$3137='Mês atual'!A521,NF!$J$2:$J$3137),1),0)</f>
        <v>20</v>
      </c>
      <c r="BS521" s="143" t="str">
        <f>VLOOKUP(A521,NF!M:O,3,0)</f>
        <v>Hortifruti</v>
      </c>
    </row>
    <row r="522" spans="1:71" x14ac:dyDescent="0.25">
      <c r="A522" s="108" t="s">
        <v>660</v>
      </c>
      <c r="B522" s="12"/>
      <c r="C522" s="9"/>
      <c r="D522" s="25"/>
      <c r="E522" s="10" t="str">
        <f t="shared" si="631"/>
        <v>OutubroSEMANA 1Pimenta Malagueta</v>
      </c>
      <c r="F522" s="7">
        <f>SUMIF(NF!$A:$A,$E522,NF!$I:$I)</f>
        <v>0</v>
      </c>
      <c r="G522" s="6"/>
      <c r="H522" s="6"/>
      <c r="I522" s="6"/>
      <c r="J522" s="6"/>
      <c r="K522" s="6"/>
      <c r="L522" s="6"/>
      <c r="M522" s="6"/>
      <c r="N522" s="7">
        <f t="shared" ref="N522" si="750">SUM(G522:M522)</f>
        <v>0</v>
      </c>
      <c r="O522" s="11">
        <f t="shared" si="633"/>
        <v>0</v>
      </c>
      <c r="P522" s="25"/>
      <c r="Q522" s="10" t="str">
        <f t="shared" si="634"/>
        <v>OutubroSEMANA 2Pimenta Malagueta</v>
      </c>
      <c r="R522" s="7">
        <f>SUMIF(NF!$A:$A,$Q522,NF!$I:$I)</f>
        <v>0.2</v>
      </c>
      <c r="S522" s="6"/>
      <c r="T522" s="6"/>
      <c r="U522" s="6">
        <v>0.2</v>
      </c>
      <c r="V522" s="6"/>
      <c r="W522" s="6"/>
      <c r="X522" s="6"/>
      <c r="Y522" s="6"/>
      <c r="Z522" s="7">
        <f t="shared" ref="Z522" si="751">SUM(S522:Y522)</f>
        <v>0.2</v>
      </c>
      <c r="AA522" s="11">
        <f t="shared" si="636"/>
        <v>0</v>
      </c>
      <c r="AB522" s="25"/>
      <c r="AC522" s="10" t="str">
        <f t="shared" si="637"/>
        <v>OutubroSEMANA 3Pimenta Malagueta</v>
      </c>
      <c r="AD522" s="7">
        <f>SUMIF(NF!$A:$A,$AC522,NF!$I:$I)</f>
        <v>0</v>
      </c>
      <c r="AE522" s="6"/>
      <c r="AF522" s="6"/>
      <c r="AG522" s="6"/>
      <c r="AH522" s="6"/>
      <c r="AI522" s="6"/>
      <c r="AJ522" s="6"/>
      <c r="AK522" s="6"/>
      <c r="AL522" s="7">
        <f t="shared" ref="AL522" si="752">SUM(AE522:AK522)</f>
        <v>0</v>
      </c>
      <c r="AM522" s="11">
        <f t="shared" si="639"/>
        <v>0</v>
      </c>
      <c r="AN522" s="25"/>
      <c r="AO522" s="10" t="str">
        <f t="shared" si="640"/>
        <v>OutubroSEMANA 4Pimenta Malagueta</v>
      </c>
      <c r="AP522" s="7">
        <f>SUMIF(NF!$A:$A,$AO522,NF!$I:$I)</f>
        <v>0</v>
      </c>
      <c r="AQ522" s="6"/>
      <c r="AR522" s="6"/>
      <c r="AS522" s="6"/>
      <c r="AT522" s="6"/>
      <c r="AU522" s="6"/>
      <c r="AV522" s="6"/>
      <c r="AW522" s="6"/>
      <c r="AX522" s="7">
        <f t="shared" ref="AX522" si="753">SUM(AQ522:AW522)</f>
        <v>0</v>
      </c>
      <c r="AY522" s="11">
        <f t="shared" si="642"/>
        <v>0</v>
      </c>
      <c r="AZ522" s="25"/>
      <c r="BA522" s="10" t="str">
        <f t="shared" si="643"/>
        <v>OutubroSEMANA 5Pimenta Malagueta</v>
      </c>
      <c r="BB522" s="7">
        <f>SUMIF(NF!$A:$A,$BA522,NF!$I:$I)</f>
        <v>0</v>
      </c>
      <c r="BC522" s="6"/>
      <c r="BD522" s="6"/>
      <c r="BE522" s="6"/>
      <c r="BF522" s="74"/>
      <c r="BG522" s="74"/>
      <c r="BH522" s="74"/>
      <c r="BI522" s="74"/>
      <c r="BJ522" s="74"/>
      <c r="BK522" s="7">
        <f t="shared" ref="BK522" si="754">SUM(BC522:BJ522)</f>
        <v>0</v>
      </c>
      <c r="BL522" s="8">
        <f t="shared" si="645"/>
        <v>0</v>
      </c>
      <c r="BM522" s="51" t="str">
        <f>IFERROR(VLOOKUP(A522,NF!$M:$O,3,0),"")</f>
        <v>Hortifruti</v>
      </c>
      <c r="BN522" s="7">
        <f t="shared" si="646"/>
        <v>0.2</v>
      </c>
      <c r="BO522" s="8">
        <f t="array" ref="BO522">IFERROR(LARGE(IF(NF!$G$2:$G$3137='Mês atual'!A522,NF!$J$2:$J$3137),1),0)*BN522</f>
        <v>12</v>
      </c>
      <c r="BP522" s="50"/>
      <c r="BR522" s="147">
        <f t="array" ref="BR522">IFERROR(LARGE(IF(NF!$G$2:$G$3137='Mês atual'!A522,NF!$J$2:$J$3137),1),0)</f>
        <v>60</v>
      </c>
      <c r="BS522" s="143" t="str">
        <f>VLOOKUP(A522,NF!M:O,3,0)</f>
        <v>Hortifruti</v>
      </c>
    </row>
    <row r="523" spans="1:71" x14ac:dyDescent="0.25">
      <c r="A523" s="108" t="s">
        <v>664</v>
      </c>
      <c r="B523" s="12"/>
      <c r="C523" s="9"/>
      <c r="D523" s="25"/>
      <c r="E523" s="10" t="str">
        <f t="shared" si="631"/>
        <v>OutubroSEMANA 1Pimentão Amarelo</v>
      </c>
      <c r="F523" s="7">
        <f>SUMIF(NF!$A:$A,$E523,NF!$I:$I)</f>
        <v>4</v>
      </c>
      <c r="G523" s="6"/>
      <c r="H523" s="6"/>
      <c r="I523" s="6">
        <v>1</v>
      </c>
      <c r="J523" s="6"/>
      <c r="K523" s="6"/>
      <c r="L523" s="6">
        <v>1</v>
      </c>
      <c r="M523" s="6"/>
      <c r="N523" s="7">
        <f t="shared" si="729"/>
        <v>2</v>
      </c>
      <c r="O523" s="11">
        <f t="shared" si="633"/>
        <v>2</v>
      </c>
      <c r="P523" s="25"/>
      <c r="Q523" s="10" t="str">
        <f t="shared" si="634"/>
        <v>OutubroSEMANA 2Pimentão Amarelo</v>
      </c>
      <c r="R523" s="7">
        <f>SUMIF(NF!$A:$A,$Q523,NF!$I:$I)</f>
        <v>2.5</v>
      </c>
      <c r="S523" s="6"/>
      <c r="T523" s="6">
        <v>2</v>
      </c>
      <c r="U523" s="6"/>
      <c r="V523" s="6"/>
      <c r="W523" s="6"/>
      <c r="X523" s="6"/>
      <c r="Y523" s="6">
        <v>1</v>
      </c>
      <c r="Z523" s="7">
        <f t="shared" si="730"/>
        <v>3</v>
      </c>
      <c r="AA523" s="11">
        <f t="shared" si="636"/>
        <v>1.5</v>
      </c>
      <c r="AB523" s="25"/>
      <c r="AC523" s="10" t="str">
        <f t="shared" si="637"/>
        <v>OutubroSEMANA 3Pimentão Amarelo</v>
      </c>
      <c r="AD523" s="7">
        <f>SUMIF(NF!$A:$A,$AC523,NF!$I:$I)</f>
        <v>3</v>
      </c>
      <c r="AE523" s="6">
        <v>1.5</v>
      </c>
      <c r="AF523" s="6"/>
      <c r="AG523" s="6">
        <v>2</v>
      </c>
      <c r="AH523" s="6"/>
      <c r="AI523" s="6"/>
      <c r="AJ523" s="6"/>
      <c r="AK523" s="6">
        <v>1</v>
      </c>
      <c r="AL523" s="7">
        <f t="shared" si="731"/>
        <v>4.5</v>
      </c>
      <c r="AM523" s="11">
        <f t="shared" si="639"/>
        <v>0</v>
      </c>
      <c r="AN523" s="25"/>
      <c r="AO523" s="10" t="str">
        <f t="shared" si="640"/>
        <v>OutubroSEMANA 4Pimentão Amarelo</v>
      </c>
      <c r="AP523" s="7">
        <f>SUMIF(NF!$A:$A,$AO523,NF!$I:$I)</f>
        <v>4</v>
      </c>
      <c r="AQ523" s="6"/>
      <c r="AR523" s="6"/>
      <c r="AS523" s="6">
        <v>1</v>
      </c>
      <c r="AT523" s="6">
        <v>1</v>
      </c>
      <c r="AU523" s="6"/>
      <c r="AV523" s="6"/>
      <c r="AW523" s="6"/>
      <c r="AX523" s="7">
        <f t="shared" si="732"/>
        <v>2</v>
      </c>
      <c r="AY523" s="11">
        <f t="shared" si="642"/>
        <v>2</v>
      </c>
      <c r="AZ523" s="25"/>
      <c r="BA523" s="10" t="str">
        <f t="shared" si="643"/>
        <v>OutubroSEMANA 5Pimentão Amarelo</v>
      </c>
      <c r="BB523" s="7">
        <f>SUMIF(NF!$A:$A,$BA523,NF!$I:$I)</f>
        <v>0</v>
      </c>
      <c r="BC523" s="6">
        <v>2</v>
      </c>
      <c r="BD523" s="6"/>
      <c r="BE523" s="6"/>
      <c r="BF523" s="74"/>
      <c r="BG523" s="74"/>
      <c r="BH523" s="74"/>
      <c r="BI523" s="74"/>
      <c r="BJ523" s="74"/>
      <c r="BK523" s="7">
        <f t="shared" si="733"/>
        <v>2</v>
      </c>
      <c r="BL523" s="8">
        <f t="shared" si="645"/>
        <v>0</v>
      </c>
      <c r="BM523" s="51" t="str">
        <f>IFERROR(VLOOKUP(A523,NF!$M:$O,3,0),"")</f>
        <v>Hortifruti</v>
      </c>
      <c r="BN523" s="7">
        <f t="shared" si="646"/>
        <v>13.5</v>
      </c>
      <c r="BO523" s="8">
        <f t="array" ref="BO523">IFERROR(LARGE(IF(NF!$G$2:$G$3137='Mês atual'!A523,NF!$J$2:$J$3137),1),0)*BN523</f>
        <v>202.5</v>
      </c>
      <c r="BP523" s="50"/>
      <c r="BR523" s="147">
        <f t="array" ref="BR523">IFERROR(LARGE(IF(NF!$G$2:$G$3137='Mês atual'!A523,NF!$J$2:$J$3137),1),0)</f>
        <v>15</v>
      </c>
      <c r="BS523" s="143" t="str">
        <f>VLOOKUP(A523,NF!M:O,3,0)</f>
        <v>Hortifruti</v>
      </c>
    </row>
    <row r="524" spans="1:71" x14ac:dyDescent="0.25">
      <c r="A524" s="108" t="s">
        <v>665</v>
      </c>
      <c r="B524" s="12"/>
      <c r="C524" s="9"/>
      <c r="D524" s="25"/>
      <c r="E524" s="10" t="str">
        <f t="shared" si="631"/>
        <v>OutubroSEMANA 1Pimentão Orgânico</v>
      </c>
      <c r="F524" s="7">
        <f>SUMIF(NF!$A:$A,$E524,NF!$I:$I)</f>
        <v>0</v>
      </c>
      <c r="G524" s="6"/>
      <c r="H524" s="6"/>
      <c r="I524" s="6"/>
      <c r="J524" s="6"/>
      <c r="K524" s="6"/>
      <c r="L524" s="6"/>
      <c r="M524" s="6"/>
      <c r="N524" s="7">
        <f t="shared" si="729"/>
        <v>0</v>
      </c>
      <c r="O524" s="11">
        <f t="shared" si="633"/>
        <v>0</v>
      </c>
      <c r="P524" s="25"/>
      <c r="Q524" s="10" t="str">
        <f t="shared" si="634"/>
        <v>OutubroSEMANA 2Pimentão Orgânico</v>
      </c>
      <c r="R524" s="7">
        <f>SUMIF(NF!$A:$A,$Q524,NF!$I:$I)</f>
        <v>0</v>
      </c>
      <c r="S524" s="6"/>
      <c r="T524" s="6"/>
      <c r="U524" s="6"/>
      <c r="V524" s="6"/>
      <c r="W524" s="6"/>
      <c r="X524" s="6"/>
      <c r="Y524" s="6"/>
      <c r="Z524" s="7">
        <f t="shared" si="730"/>
        <v>0</v>
      </c>
      <c r="AA524" s="11">
        <f t="shared" si="636"/>
        <v>0</v>
      </c>
      <c r="AB524" s="25"/>
      <c r="AC524" s="10" t="str">
        <f t="shared" si="637"/>
        <v>OutubroSEMANA 3Pimentão Orgânico</v>
      </c>
      <c r="AD524" s="7">
        <f>SUMIF(NF!$A:$A,$AC524,NF!$I:$I)</f>
        <v>0</v>
      </c>
      <c r="AE524" s="6"/>
      <c r="AF524" s="6"/>
      <c r="AG524" s="6"/>
      <c r="AH524" s="6"/>
      <c r="AI524" s="6"/>
      <c r="AJ524" s="6"/>
      <c r="AK524" s="6"/>
      <c r="AL524" s="7">
        <f t="shared" si="731"/>
        <v>0</v>
      </c>
      <c r="AM524" s="11">
        <f t="shared" si="639"/>
        <v>0</v>
      </c>
      <c r="AN524" s="25"/>
      <c r="AO524" s="10" t="str">
        <f t="shared" si="640"/>
        <v>OutubroSEMANA 4Pimentão Orgânico</v>
      </c>
      <c r="AP524" s="7">
        <f>SUMIF(NF!$A:$A,$AO524,NF!$I:$I)</f>
        <v>0</v>
      </c>
      <c r="AQ524" s="6"/>
      <c r="AR524" s="6"/>
      <c r="AS524" s="6"/>
      <c r="AT524" s="6"/>
      <c r="AU524" s="6"/>
      <c r="AV524" s="6"/>
      <c r="AW524" s="6"/>
      <c r="AX524" s="7">
        <f t="shared" si="732"/>
        <v>0</v>
      </c>
      <c r="AY524" s="11">
        <f t="shared" si="642"/>
        <v>0</v>
      </c>
      <c r="AZ524" s="25"/>
      <c r="BA524" s="10" t="str">
        <f t="shared" si="643"/>
        <v>OutubroSEMANA 5Pimentão Orgânico</v>
      </c>
      <c r="BB524" s="7">
        <f>SUMIF(NF!$A:$A,$BA524,NF!$I:$I)</f>
        <v>0</v>
      </c>
      <c r="BC524" s="6"/>
      <c r="BD524" s="6"/>
      <c r="BE524" s="6"/>
      <c r="BF524" s="74"/>
      <c r="BG524" s="74"/>
      <c r="BH524" s="74"/>
      <c r="BI524" s="74"/>
      <c r="BJ524" s="74"/>
      <c r="BK524" s="7">
        <f t="shared" si="733"/>
        <v>0</v>
      </c>
      <c r="BL524" s="8">
        <f t="shared" si="645"/>
        <v>0</v>
      </c>
      <c r="BM524" s="51" t="str">
        <f>IFERROR(VLOOKUP(A524,NF!$M:$O,3,0),"")</f>
        <v>Hortifruti</v>
      </c>
      <c r="BN524" s="7">
        <f t="shared" si="646"/>
        <v>0</v>
      </c>
      <c r="BO524" s="8">
        <f t="array" ref="BO524">IFERROR(LARGE(IF(NF!$G$2:$G$3137='Mês atual'!A524,NF!$J$2:$J$3137),1),0)*BN524</f>
        <v>0</v>
      </c>
      <c r="BP524" s="50"/>
      <c r="BR524" s="147">
        <f t="array" ref="BR524">IFERROR(LARGE(IF(NF!$G$2:$G$3137='Mês atual'!A524,NF!$J$2:$J$3137),1),0)</f>
        <v>0</v>
      </c>
      <c r="BS524" s="143" t="str">
        <f>VLOOKUP(A524,NF!M:O,3,0)</f>
        <v>Hortifruti</v>
      </c>
    </row>
    <row r="525" spans="1:71" x14ac:dyDescent="0.25">
      <c r="A525" s="108" t="s">
        <v>666</v>
      </c>
      <c r="B525" s="12"/>
      <c r="C525" s="9"/>
      <c r="D525" s="25"/>
      <c r="E525" s="10" t="str">
        <f t="shared" si="631"/>
        <v>OutubroSEMANA 1Pimentão Verde</v>
      </c>
      <c r="F525" s="7">
        <f>SUMIF(NF!$A:$A,$E525,NF!$I:$I)</f>
        <v>2</v>
      </c>
      <c r="G525" s="6"/>
      <c r="H525" s="6"/>
      <c r="I525" s="6">
        <v>1</v>
      </c>
      <c r="J525" s="6"/>
      <c r="K525" s="6"/>
      <c r="L525" s="6"/>
      <c r="M525" s="6"/>
      <c r="N525" s="7">
        <f t="shared" si="729"/>
        <v>1</v>
      </c>
      <c r="O525" s="11">
        <f t="shared" si="633"/>
        <v>1</v>
      </c>
      <c r="P525" s="25"/>
      <c r="Q525" s="10" t="str">
        <f t="shared" si="634"/>
        <v>OutubroSEMANA 2Pimentão Verde</v>
      </c>
      <c r="R525" s="7">
        <f>SUMIF(NF!$A:$A,$Q525,NF!$I:$I)</f>
        <v>3</v>
      </c>
      <c r="S525" s="6"/>
      <c r="T525" s="6">
        <v>1</v>
      </c>
      <c r="U525" s="6">
        <v>1</v>
      </c>
      <c r="V525" s="6"/>
      <c r="W525" s="6"/>
      <c r="X525" s="6">
        <v>1</v>
      </c>
      <c r="Y525" s="6"/>
      <c r="Z525" s="7">
        <f t="shared" si="730"/>
        <v>3</v>
      </c>
      <c r="AA525" s="11">
        <f t="shared" si="636"/>
        <v>1</v>
      </c>
      <c r="AB525" s="25"/>
      <c r="AC525" s="10" t="str">
        <f t="shared" si="637"/>
        <v>OutubroSEMANA 3Pimentão Verde</v>
      </c>
      <c r="AD525" s="7">
        <f>SUMIF(NF!$A:$A,$AC525,NF!$I:$I)</f>
        <v>1</v>
      </c>
      <c r="AE525" s="6"/>
      <c r="AF525" s="6">
        <v>1</v>
      </c>
      <c r="AG525" s="6"/>
      <c r="AH525" s="6"/>
      <c r="AI525" s="6"/>
      <c r="AJ525" s="6"/>
      <c r="AK525" s="6"/>
      <c r="AL525" s="7">
        <f t="shared" si="731"/>
        <v>1</v>
      </c>
      <c r="AM525" s="11">
        <f t="shared" si="639"/>
        <v>1</v>
      </c>
      <c r="AN525" s="25"/>
      <c r="AO525" s="10" t="str">
        <f t="shared" si="640"/>
        <v>OutubroSEMANA 4Pimentão Verde</v>
      </c>
      <c r="AP525" s="7">
        <f>SUMIF(NF!$A:$A,$AO525,NF!$I:$I)</f>
        <v>2</v>
      </c>
      <c r="AQ525" s="6">
        <v>1</v>
      </c>
      <c r="AR525" s="6"/>
      <c r="AS525" s="6"/>
      <c r="AT525" s="6"/>
      <c r="AU525" s="6">
        <v>1</v>
      </c>
      <c r="AV525" s="6"/>
      <c r="AW525" s="6"/>
      <c r="AX525" s="7">
        <f t="shared" si="732"/>
        <v>2</v>
      </c>
      <c r="AY525" s="11">
        <f t="shared" si="642"/>
        <v>1</v>
      </c>
      <c r="AZ525" s="25"/>
      <c r="BA525" s="10" t="str">
        <f t="shared" si="643"/>
        <v>OutubroSEMANA 5Pimentão Verde</v>
      </c>
      <c r="BB525" s="7">
        <f>SUMIF(NF!$A:$A,$BA525,NF!$I:$I)</f>
        <v>0</v>
      </c>
      <c r="BC525" s="6">
        <v>1</v>
      </c>
      <c r="BD525" s="6"/>
      <c r="BE525" s="6"/>
      <c r="BF525" s="74"/>
      <c r="BG525" s="74"/>
      <c r="BH525" s="74"/>
      <c r="BI525" s="74"/>
      <c r="BJ525" s="74"/>
      <c r="BK525" s="7">
        <f t="shared" si="733"/>
        <v>1</v>
      </c>
      <c r="BL525" s="8">
        <f t="shared" si="645"/>
        <v>0</v>
      </c>
      <c r="BM525" s="51" t="str">
        <f>IFERROR(VLOOKUP(A525,NF!$M:$O,3,0),"")</f>
        <v>Hortifruti</v>
      </c>
      <c r="BN525" s="7">
        <f t="shared" si="646"/>
        <v>8</v>
      </c>
      <c r="BO525" s="8">
        <f t="array" ref="BO525">IFERROR(LARGE(IF(NF!$G$2:$G$3137='Mês atual'!A525,NF!$J$2:$J$3137),1),0)*BN525</f>
        <v>40</v>
      </c>
      <c r="BP525" s="50"/>
      <c r="BR525" s="147">
        <f t="array" ref="BR525">IFERROR(LARGE(IF(NF!$G$2:$G$3137='Mês atual'!A525,NF!$J$2:$J$3137),1),0)</f>
        <v>5</v>
      </c>
      <c r="BS525" s="143" t="str">
        <f>VLOOKUP(A525,NF!M:O,3,0)</f>
        <v>Hortifruti</v>
      </c>
    </row>
    <row r="526" spans="1:71" x14ac:dyDescent="0.25">
      <c r="A526" s="108" t="s">
        <v>667</v>
      </c>
      <c r="B526" s="12"/>
      <c r="C526" s="9"/>
      <c r="D526" s="25"/>
      <c r="E526" s="10" t="str">
        <f t="shared" si="631"/>
        <v>OutubroSEMANA 1Pimentão Vermelho</v>
      </c>
      <c r="F526" s="7">
        <f>SUMIF(NF!$A:$A,$E526,NF!$I:$I)</f>
        <v>4</v>
      </c>
      <c r="G526" s="6"/>
      <c r="H526" s="6"/>
      <c r="I526" s="6">
        <v>1</v>
      </c>
      <c r="J526" s="6"/>
      <c r="K526" s="6"/>
      <c r="L526" s="6">
        <v>1</v>
      </c>
      <c r="M526" s="6"/>
      <c r="N526" s="7">
        <f t="shared" si="729"/>
        <v>2</v>
      </c>
      <c r="O526" s="11">
        <f t="shared" si="633"/>
        <v>2</v>
      </c>
      <c r="P526" s="25"/>
      <c r="Q526" s="10" t="str">
        <f t="shared" si="634"/>
        <v>OutubroSEMANA 2Pimentão Vermelho</v>
      </c>
      <c r="R526" s="7">
        <f>SUMIF(NF!$A:$A,$Q526,NF!$I:$I)</f>
        <v>2.5</v>
      </c>
      <c r="S526" s="6"/>
      <c r="T526" s="6">
        <v>2</v>
      </c>
      <c r="U526" s="6"/>
      <c r="V526" s="6"/>
      <c r="W526" s="6"/>
      <c r="X526" s="6">
        <v>1</v>
      </c>
      <c r="Y526" s="6"/>
      <c r="Z526" s="7">
        <f t="shared" si="730"/>
        <v>3</v>
      </c>
      <c r="AA526" s="11">
        <f t="shared" si="636"/>
        <v>1.5</v>
      </c>
      <c r="AB526" s="25"/>
      <c r="AC526" s="10" t="str">
        <f t="shared" si="637"/>
        <v>OutubroSEMANA 3Pimentão Vermelho</v>
      </c>
      <c r="AD526" s="7">
        <f>SUMIF(NF!$A:$A,$AC526,NF!$I:$I)</f>
        <v>6</v>
      </c>
      <c r="AE526" s="6">
        <v>1.5</v>
      </c>
      <c r="AF526" s="6"/>
      <c r="AG526" s="6"/>
      <c r="AH526" s="6"/>
      <c r="AI526" s="6">
        <v>5</v>
      </c>
      <c r="AJ526" s="6"/>
      <c r="AK526" s="6">
        <v>1</v>
      </c>
      <c r="AL526" s="7">
        <f t="shared" si="731"/>
        <v>7.5</v>
      </c>
      <c r="AM526" s="11">
        <f t="shared" si="639"/>
        <v>0</v>
      </c>
      <c r="AN526" s="25"/>
      <c r="AO526" s="10" t="str">
        <f t="shared" si="640"/>
        <v>OutubroSEMANA 4Pimentão Vermelho</v>
      </c>
      <c r="AP526" s="7">
        <f>SUMIF(NF!$A:$A,$AO526,NF!$I:$I)</f>
        <v>4</v>
      </c>
      <c r="AQ526" s="6"/>
      <c r="AR526" s="6"/>
      <c r="AS526" s="6">
        <v>2</v>
      </c>
      <c r="AT526" s="6"/>
      <c r="AU526" s="6"/>
      <c r="AV526" s="6"/>
      <c r="AW526" s="6"/>
      <c r="AX526" s="7">
        <f t="shared" si="732"/>
        <v>2</v>
      </c>
      <c r="AY526" s="11">
        <f t="shared" si="642"/>
        <v>2</v>
      </c>
      <c r="AZ526" s="25"/>
      <c r="BA526" s="10" t="str">
        <f t="shared" si="643"/>
        <v>OutubroSEMANA 5Pimentão Vermelho</v>
      </c>
      <c r="BB526" s="7">
        <f>SUMIF(NF!$A:$A,$BA526,NF!$I:$I)</f>
        <v>0</v>
      </c>
      <c r="BC526" s="6">
        <v>2</v>
      </c>
      <c r="BD526" s="6"/>
      <c r="BE526" s="6"/>
      <c r="BF526" s="74"/>
      <c r="BG526" s="74"/>
      <c r="BH526" s="74"/>
      <c r="BI526" s="74"/>
      <c r="BJ526" s="74"/>
      <c r="BK526" s="7">
        <f t="shared" si="733"/>
        <v>2</v>
      </c>
      <c r="BL526" s="8">
        <f t="shared" si="645"/>
        <v>0</v>
      </c>
      <c r="BM526" s="51" t="str">
        <f>IFERROR(VLOOKUP(A526,NF!$M:$O,3,0),"")</f>
        <v>Hortifruti</v>
      </c>
      <c r="BN526" s="7">
        <f t="shared" si="646"/>
        <v>16.5</v>
      </c>
      <c r="BO526" s="8">
        <f t="array" ref="BO526">IFERROR(LARGE(IF(NF!$G$2:$G$3137='Mês atual'!A526,NF!$J$2:$J$3137),1),0)*BN526</f>
        <v>247.5</v>
      </c>
      <c r="BP526" s="50"/>
      <c r="BR526" s="147">
        <f t="array" ref="BR526">IFERROR(LARGE(IF(NF!$G$2:$G$3137='Mês atual'!A526,NF!$J$2:$J$3137),1),0)</f>
        <v>15</v>
      </c>
      <c r="BS526" s="143" t="str">
        <f>VLOOKUP(A526,NF!M:O,3,0)</f>
        <v>Hortifruti</v>
      </c>
    </row>
    <row r="527" spans="1:71" x14ac:dyDescent="0.25">
      <c r="A527" s="108" t="s">
        <v>690</v>
      </c>
      <c r="B527" s="12"/>
      <c r="C527" s="9">
        <v>4.76</v>
      </c>
      <c r="D527" s="25"/>
      <c r="E527" s="10" t="str">
        <f t="shared" si="631"/>
        <v>OutubroSEMANA 1Quiabo</v>
      </c>
      <c r="F527" s="7">
        <f>SUMIF(NF!$A:$A,$E527,NF!$I:$I)</f>
        <v>0</v>
      </c>
      <c r="G527" s="6"/>
      <c r="H527" s="6"/>
      <c r="I527" s="6">
        <f>1.5+0.685</f>
        <v>2.1850000000000001</v>
      </c>
      <c r="J527" s="6"/>
      <c r="K527" s="6"/>
      <c r="L527" s="6"/>
      <c r="M527" s="6"/>
      <c r="N527" s="7">
        <f t="shared" si="729"/>
        <v>2.1850000000000001</v>
      </c>
      <c r="O527" s="11">
        <f t="shared" si="633"/>
        <v>2.5749999999999997</v>
      </c>
      <c r="P527" s="25"/>
      <c r="Q527" s="10" t="str">
        <f t="shared" si="634"/>
        <v>OutubroSEMANA 2Quiabo</v>
      </c>
      <c r="R527" s="7">
        <f>SUMIF(NF!$A:$A,$Q527,NF!$I:$I)</f>
        <v>0</v>
      </c>
      <c r="S527" s="6">
        <f>1.89+0.685</f>
        <v>2.5750000000000002</v>
      </c>
      <c r="T527" s="6"/>
      <c r="U527" s="6"/>
      <c r="V527" s="6"/>
      <c r="W527" s="6"/>
      <c r="X527" s="6"/>
      <c r="Y527" s="6"/>
      <c r="Z527" s="7">
        <f t="shared" si="730"/>
        <v>2.5750000000000002</v>
      </c>
      <c r="AA527" s="11">
        <f t="shared" si="636"/>
        <v>0</v>
      </c>
      <c r="AB527" s="25"/>
      <c r="AC527" s="10" t="str">
        <f t="shared" si="637"/>
        <v>OutubroSEMANA 3Quiabo</v>
      </c>
      <c r="AD527" s="7">
        <f>SUMIF(NF!$A:$A,$AC527,NF!$I:$I)</f>
        <v>10.94</v>
      </c>
      <c r="AE527" s="6"/>
      <c r="AF527" s="6"/>
      <c r="AG527" s="6"/>
      <c r="AH527" s="6">
        <f>2+1.9</f>
        <v>3.9</v>
      </c>
      <c r="AI527" s="6"/>
      <c r="AJ527" s="6">
        <v>7.04</v>
      </c>
      <c r="AK527" s="6"/>
      <c r="AL527" s="7">
        <f t="shared" si="731"/>
        <v>10.94</v>
      </c>
      <c r="AM527" s="11">
        <f t="shared" si="639"/>
        <v>0</v>
      </c>
      <c r="AN527" s="25"/>
      <c r="AO527" s="10" t="str">
        <f t="shared" si="640"/>
        <v>OutubroSEMANA 4Quiabo</v>
      </c>
      <c r="AP527" s="7">
        <f>SUMIF(NF!$A:$A,$AO527,NF!$I:$I)</f>
        <v>18</v>
      </c>
      <c r="AQ527" s="6"/>
      <c r="AR527" s="6"/>
      <c r="AS527" s="6">
        <v>8</v>
      </c>
      <c r="AT527" s="6">
        <v>8</v>
      </c>
      <c r="AU527" s="6"/>
      <c r="AV527" s="6"/>
      <c r="AW527" s="6">
        <v>2</v>
      </c>
      <c r="AX527" s="7">
        <f t="shared" si="732"/>
        <v>18</v>
      </c>
      <c r="AY527" s="11">
        <f t="shared" si="642"/>
        <v>0</v>
      </c>
      <c r="AZ527" s="25"/>
      <c r="BA527" s="10" t="str">
        <f t="shared" si="643"/>
        <v>OutubroSEMANA 5Quiabo</v>
      </c>
      <c r="BB527" s="7">
        <f>SUMIF(NF!$A:$A,$BA527,NF!$I:$I)</f>
        <v>11</v>
      </c>
      <c r="BC527" s="6"/>
      <c r="BD527" s="6"/>
      <c r="BE527" s="6">
        <v>11</v>
      </c>
      <c r="BF527" s="74"/>
      <c r="BG527" s="74"/>
      <c r="BH527" s="74"/>
      <c r="BI527" s="74"/>
      <c r="BJ527" s="74"/>
      <c r="BK527" s="7">
        <f t="shared" si="733"/>
        <v>11</v>
      </c>
      <c r="BL527" s="8">
        <f t="shared" si="645"/>
        <v>0</v>
      </c>
      <c r="BM527" s="51" t="str">
        <f>IFERROR(VLOOKUP(A527,NF!$M:$O,3,0),"")</f>
        <v>Hortifruti</v>
      </c>
      <c r="BN527" s="7">
        <f t="shared" si="646"/>
        <v>44.7</v>
      </c>
      <c r="BO527" s="8">
        <f t="array" ref="BO527">IFERROR(LARGE(IF(NF!$G$2:$G$3137='Mês atual'!A527,NF!$J$2:$J$3137),1),0)*BN527</f>
        <v>290.55</v>
      </c>
      <c r="BP527" s="50"/>
      <c r="BR527" s="147">
        <f t="array" ref="BR527">IFERROR(LARGE(IF(NF!$G$2:$G$3137='Mês atual'!A527,NF!$J$2:$J$3137),1),0)</f>
        <v>6.5</v>
      </c>
      <c r="BS527" s="143" t="str">
        <f>VLOOKUP(A527,NF!M:O,3,0)</f>
        <v>Hortifruti</v>
      </c>
    </row>
    <row r="528" spans="1:71" x14ac:dyDescent="0.25">
      <c r="A528" s="108" t="s">
        <v>694</v>
      </c>
      <c r="B528" s="12"/>
      <c r="C528" s="9">
        <v>4</v>
      </c>
      <c r="D528" s="25"/>
      <c r="E528" s="10" t="str">
        <f t="shared" si="631"/>
        <v>OutubroSEMANA 1Rabanete</v>
      </c>
      <c r="F528" s="7">
        <f>SUMIF(NF!$A:$A,$E528,NF!$I:$I)</f>
        <v>0</v>
      </c>
      <c r="G528" s="6"/>
      <c r="H528" s="6"/>
      <c r="I528" s="6"/>
      <c r="J528" s="6"/>
      <c r="K528" s="6">
        <v>4</v>
      </c>
      <c r="L528" s="6"/>
      <c r="M528" s="6"/>
      <c r="N528" s="7">
        <f t="shared" si="729"/>
        <v>4</v>
      </c>
      <c r="O528" s="11">
        <f t="shared" si="633"/>
        <v>0</v>
      </c>
      <c r="P528" s="25"/>
      <c r="Q528" s="10" t="str">
        <f t="shared" si="634"/>
        <v>OutubroSEMANA 2Rabanete</v>
      </c>
      <c r="R528" s="7">
        <f>SUMIF(NF!$A:$A,$Q528,NF!$I:$I)</f>
        <v>6.5</v>
      </c>
      <c r="S528" s="6"/>
      <c r="T528" s="6"/>
      <c r="U528" s="6"/>
      <c r="V528" s="6">
        <v>0.5</v>
      </c>
      <c r="W528" s="6"/>
      <c r="X528" s="6"/>
      <c r="Y528" s="6">
        <v>2</v>
      </c>
      <c r="Z528" s="7">
        <f t="shared" si="730"/>
        <v>2.5</v>
      </c>
      <c r="AA528" s="11">
        <f t="shared" si="636"/>
        <v>4</v>
      </c>
      <c r="AB528" s="25"/>
      <c r="AC528" s="10" t="str">
        <f t="shared" si="637"/>
        <v>OutubroSEMANA 3Rabanete</v>
      </c>
      <c r="AD528" s="7">
        <f>SUMIF(NF!$A:$A,$AC528,NF!$I:$I)</f>
        <v>1</v>
      </c>
      <c r="AE528" s="6"/>
      <c r="AF528" s="6">
        <v>4</v>
      </c>
      <c r="AG528" s="6"/>
      <c r="AH528" s="6"/>
      <c r="AI528" s="6">
        <v>1</v>
      </c>
      <c r="AJ528" s="6"/>
      <c r="AK528" s="6"/>
      <c r="AL528" s="7">
        <f t="shared" si="731"/>
        <v>5</v>
      </c>
      <c r="AM528" s="11">
        <f t="shared" si="639"/>
        <v>0</v>
      </c>
      <c r="AN528" s="25"/>
      <c r="AO528" s="10" t="str">
        <f t="shared" si="640"/>
        <v>OutubroSEMANA 4Rabanete</v>
      </c>
      <c r="AP528" s="7">
        <f>SUMIF(NF!$A:$A,$AO528,NF!$I:$I)</f>
        <v>2</v>
      </c>
      <c r="AQ528" s="6"/>
      <c r="AR528" s="6"/>
      <c r="AS528" s="6"/>
      <c r="AT528" s="6"/>
      <c r="AU528" s="6"/>
      <c r="AV528" s="6"/>
      <c r="AW528" s="6">
        <v>2</v>
      </c>
      <c r="AX528" s="7">
        <f t="shared" si="732"/>
        <v>2</v>
      </c>
      <c r="AY528" s="11">
        <f t="shared" si="642"/>
        <v>0</v>
      </c>
      <c r="AZ528" s="25"/>
      <c r="BA528" s="10" t="str">
        <f t="shared" si="643"/>
        <v>OutubroSEMANA 5Rabanete</v>
      </c>
      <c r="BB528" s="7">
        <f>SUMIF(NF!$A:$A,$BA528,NF!$I:$I)</f>
        <v>0</v>
      </c>
      <c r="BC528" s="6"/>
      <c r="BD528" s="6"/>
      <c r="BE528" s="6"/>
      <c r="BF528" s="74"/>
      <c r="BG528" s="74"/>
      <c r="BH528" s="74"/>
      <c r="BI528" s="74"/>
      <c r="BJ528" s="74"/>
      <c r="BK528" s="7">
        <f t="shared" si="733"/>
        <v>0</v>
      </c>
      <c r="BL528" s="8">
        <f t="shared" si="645"/>
        <v>0</v>
      </c>
      <c r="BM528" s="51" t="str">
        <f>IFERROR(VLOOKUP(A528,NF!$M:$O,3,0),"")</f>
        <v>Hortifruti</v>
      </c>
      <c r="BN528" s="7">
        <f t="shared" si="646"/>
        <v>13.5</v>
      </c>
      <c r="BO528" s="8">
        <f t="array" ref="BO528">IFERROR(LARGE(IF(NF!$G$2:$G$3137='Mês atual'!A528,NF!$J$2:$J$3137),1),0)*BN528</f>
        <v>91.8</v>
      </c>
      <c r="BP528" s="50"/>
      <c r="BR528" s="147">
        <f t="array" ref="BR528">IFERROR(LARGE(IF(NF!$G$2:$G$3137='Mês atual'!A528,NF!$J$2:$J$3137),1),0)</f>
        <v>6.8</v>
      </c>
      <c r="BS528" s="143" t="str">
        <f>VLOOKUP(A528,NF!M:O,3,0)</f>
        <v>Hortifruti</v>
      </c>
    </row>
    <row r="529" spans="1:71" x14ac:dyDescent="0.25">
      <c r="A529" s="108" t="s">
        <v>695</v>
      </c>
      <c r="B529" s="12"/>
      <c r="C529" s="9"/>
      <c r="D529" s="25"/>
      <c r="E529" s="10" t="str">
        <f t="shared" si="631"/>
        <v>OutubroSEMANA 1Rabanete Orgânico</v>
      </c>
      <c r="F529" s="7">
        <f>SUMIF(NF!$A:$A,$E529,NF!$I:$I)</f>
        <v>0</v>
      </c>
      <c r="G529" s="6"/>
      <c r="H529" s="6"/>
      <c r="I529" s="6"/>
      <c r="J529" s="6"/>
      <c r="K529" s="6"/>
      <c r="L529" s="6"/>
      <c r="M529" s="6"/>
      <c r="N529" s="7">
        <f t="shared" si="729"/>
        <v>0</v>
      </c>
      <c r="O529" s="11">
        <f t="shared" si="633"/>
        <v>0</v>
      </c>
      <c r="P529" s="25"/>
      <c r="Q529" s="10" t="str">
        <f t="shared" si="634"/>
        <v>OutubroSEMANA 2Rabanete Orgânico</v>
      </c>
      <c r="R529" s="7">
        <f>SUMIF(NF!$A:$A,$Q529,NF!$I:$I)</f>
        <v>0</v>
      </c>
      <c r="S529" s="6"/>
      <c r="T529" s="6"/>
      <c r="U529" s="6"/>
      <c r="V529" s="6"/>
      <c r="W529" s="6"/>
      <c r="X529" s="6"/>
      <c r="Y529" s="6"/>
      <c r="Z529" s="7">
        <f t="shared" si="730"/>
        <v>0</v>
      </c>
      <c r="AA529" s="11">
        <f t="shared" si="636"/>
        <v>0</v>
      </c>
      <c r="AB529" s="25"/>
      <c r="AC529" s="10" t="str">
        <f t="shared" si="637"/>
        <v>OutubroSEMANA 3Rabanete Orgânico</v>
      </c>
      <c r="AD529" s="7">
        <f>SUMIF(NF!$A:$A,$AC529,NF!$I:$I)</f>
        <v>0</v>
      </c>
      <c r="AE529" s="6"/>
      <c r="AF529" s="6"/>
      <c r="AG529" s="6"/>
      <c r="AH529" s="6"/>
      <c r="AI529" s="6"/>
      <c r="AJ529" s="6"/>
      <c r="AK529" s="6"/>
      <c r="AL529" s="7">
        <f t="shared" si="731"/>
        <v>0</v>
      </c>
      <c r="AM529" s="11">
        <f t="shared" si="639"/>
        <v>0</v>
      </c>
      <c r="AN529" s="25"/>
      <c r="AO529" s="10" t="str">
        <f t="shared" si="640"/>
        <v>OutubroSEMANA 4Rabanete Orgânico</v>
      </c>
      <c r="AP529" s="7">
        <f>SUMIF(NF!$A:$A,$AO529,NF!$I:$I)</f>
        <v>0</v>
      </c>
      <c r="AQ529" s="6"/>
      <c r="AR529" s="6"/>
      <c r="AS529" s="6"/>
      <c r="AT529" s="6"/>
      <c r="AU529" s="6"/>
      <c r="AV529" s="6"/>
      <c r="AW529" s="6"/>
      <c r="AX529" s="7">
        <f t="shared" si="732"/>
        <v>0</v>
      </c>
      <c r="AY529" s="11">
        <f t="shared" si="642"/>
        <v>0</v>
      </c>
      <c r="AZ529" s="25"/>
      <c r="BA529" s="10" t="str">
        <f t="shared" si="643"/>
        <v>OutubroSEMANA 5Rabanete Orgânico</v>
      </c>
      <c r="BB529" s="7">
        <f>SUMIF(NF!$A:$A,$BA529,NF!$I:$I)</f>
        <v>0</v>
      </c>
      <c r="BC529" s="6"/>
      <c r="BD529" s="6"/>
      <c r="BE529" s="6"/>
      <c r="BF529" s="74"/>
      <c r="BG529" s="74"/>
      <c r="BH529" s="74"/>
      <c r="BI529" s="74"/>
      <c r="BJ529" s="74"/>
      <c r="BK529" s="7">
        <f t="shared" si="733"/>
        <v>0</v>
      </c>
      <c r="BL529" s="8">
        <f t="shared" si="645"/>
        <v>0</v>
      </c>
      <c r="BM529" s="51" t="str">
        <f>IFERROR(VLOOKUP(A529,NF!$M:$O,3,0),"")</f>
        <v>Hortifruti</v>
      </c>
      <c r="BN529" s="7">
        <f t="shared" si="646"/>
        <v>0</v>
      </c>
      <c r="BO529" s="8">
        <f t="array" ref="BO529">IFERROR(LARGE(IF(NF!$G$2:$G$3137='Mês atual'!A529,NF!$J$2:$J$3137),1),0)*BN529</f>
        <v>0</v>
      </c>
      <c r="BP529" s="50"/>
      <c r="BR529" s="147">
        <f t="array" ref="BR529">IFERROR(LARGE(IF(NF!$G$2:$G$3137='Mês atual'!A529,NF!$J$2:$J$3137),1),0)</f>
        <v>0</v>
      </c>
      <c r="BS529" s="143" t="str">
        <f>VLOOKUP(A529,NF!M:O,3,0)</f>
        <v>Hortifruti</v>
      </c>
    </row>
    <row r="530" spans="1:71" x14ac:dyDescent="0.25">
      <c r="A530" s="108" t="s">
        <v>696</v>
      </c>
      <c r="B530" s="12"/>
      <c r="C530" s="9"/>
      <c r="D530" s="25"/>
      <c r="E530" s="10" t="str">
        <f t="shared" si="631"/>
        <v>OutubroSEMANA 1Radichio</v>
      </c>
      <c r="F530" s="7">
        <f>SUMIF(NF!$A:$A,$E530,NF!$I:$I)</f>
        <v>0</v>
      </c>
      <c r="G530" s="6"/>
      <c r="H530" s="6"/>
      <c r="I530" s="6"/>
      <c r="J530" s="6"/>
      <c r="K530" s="6"/>
      <c r="L530" s="6"/>
      <c r="M530" s="6"/>
      <c r="N530" s="7">
        <f t="shared" si="729"/>
        <v>0</v>
      </c>
      <c r="O530" s="11">
        <f t="shared" si="633"/>
        <v>0</v>
      </c>
      <c r="P530" s="25"/>
      <c r="Q530" s="10" t="str">
        <f t="shared" si="634"/>
        <v>OutubroSEMANA 2Radichio</v>
      </c>
      <c r="R530" s="7">
        <f>SUMIF(NF!$A:$A,$Q530,NF!$I:$I)</f>
        <v>0</v>
      </c>
      <c r="S530" s="6"/>
      <c r="T530" s="6"/>
      <c r="U530" s="6"/>
      <c r="V530" s="6"/>
      <c r="W530" s="6"/>
      <c r="X530" s="6"/>
      <c r="Y530" s="6"/>
      <c r="Z530" s="7">
        <f t="shared" si="730"/>
        <v>0</v>
      </c>
      <c r="AA530" s="11">
        <f t="shared" si="636"/>
        <v>0</v>
      </c>
      <c r="AB530" s="25"/>
      <c r="AC530" s="10" t="str">
        <f t="shared" si="637"/>
        <v>OutubroSEMANA 3Radichio</v>
      </c>
      <c r="AD530" s="7">
        <f>SUMIF(NF!$A:$A,$AC530,NF!$I:$I)</f>
        <v>0</v>
      </c>
      <c r="AE530" s="6"/>
      <c r="AF530" s="6"/>
      <c r="AG530" s="6"/>
      <c r="AH530" s="6"/>
      <c r="AI530" s="6"/>
      <c r="AJ530" s="6"/>
      <c r="AK530" s="6"/>
      <c r="AL530" s="7">
        <f t="shared" si="731"/>
        <v>0</v>
      </c>
      <c r="AM530" s="11">
        <f t="shared" si="639"/>
        <v>0</v>
      </c>
      <c r="AN530" s="25"/>
      <c r="AO530" s="10" t="str">
        <f t="shared" si="640"/>
        <v>OutubroSEMANA 4Radichio</v>
      </c>
      <c r="AP530" s="7">
        <f>SUMIF(NF!$A:$A,$AO530,NF!$I:$I)</f>
        <v>0</v>
      </c>
      <c r="AQ530" s="6"/>
      <c r="AR530" s="6"/>
      <c r="AS530" s="6"/>
      <c r="AT530" s="6"/>
      <c r="AU530" s="6"/>
      <c r="AV530" s="6"/>
      <c r="AW530" s="6"/>
      <c r="AX530" s="7">
        <f t="shared" si="732"/>
        <v>0</v>
      </c>
      <c r="AY530" s="11">
        <f t="shared" si="642"/>
        <v>0</v>
      </c>
      <c r="AZ530" s="25"/>
      <c r="BA530" s="10" t="str">
        <f t="shared" si="643"/>
        <v>OutubroSEMANA 5Radichio</v>
      </c>
      <c r="BB530" s="7">
        <f>SUMIF(NF!$A:$A,$BA530,NF!$I:$I)</f>
        <v>0</v>
      </c>
      <c r="BC530" s="6"/>
      <c r="BD530" s="6"/>
      <c r="BE530" s="6"/>
      <c r="BF530" s="74"/>
      <c r="BG530" s="74"/>
      <c r="BH530" s="74"/>
      <c r="BI530" s="74"/>
      <c r="BJ530" s="74"/>
      <c r="BK530" s="7">
        <f t="shared" si="733"/>
        <v>0</v>
      </c>
      <c r="BL530" s="8">
        <f t="shared" si="645"/>
        <v>0</v>
      </c>
      <c r="BM530" s="51" t="str">
        <f>IFERROR(VLOOKUP(A530,NF!$M:$O,3,0),"")</f>
        <v>Hortifruti</v>
      </c>
      <c r="BN530" s="7">
        <f t="shared" si="646"/>
        <v>0</v>
      </c>
      <c r="BO530" s="8">
        <f t="array" ref="BO530">IFERROR(LARGE(IF(NF!$G$2:$G$3137='Mês atual'!A530,NF!$J$2:$J$3137),1),0)*BN530</f>
        <v>0</v>
      </c>
      <c r="BP530" s="50"/>
      <c r="BR530" s="147">
        <f t="array" ref="BR530">IFERROR(LARGE(IF(NF!$G$2:$G$3137='Mês atual'!A530,NF!$J$2:$J$3137),1),0)</f>
        <v>0</v>
      </c>
      <c r="BS530" s="143" t="str">
        <f>VLOOKUP(A530,NF!M:O,3,0)</f>
        <v>Hortifruti</v>
      </c>
    </row>
    <row r="531" spans="1:71" x14ac:dyDescent="0.25">
      <c r="A531" s="108" t="s">
        <v>697</v>
      </c>
      <c r="B531" s="12"/>
      <c r="C531" s="9"/>
      <c r="D531" s="25"/>
      <c r="E531" s="10" t="str">
        <f t="shared" si="631"/>
        <v>OutubroSEMANA 1Radichio Orgânico</v>
      </c>
      <c r="F531" s="7">
        <f>SUMIF(NF!$A:$A,$E531,NF!$I:$I)</f>
        <v>0</v>
      </c>
      <c r="G531" s="6"/>
      <c r="H531" s="6"/>
      <c r="I531" s="6"/>
      <c r="J531" s="6"/>
      <c r="K531" s="6"/>
      <c r="L531" s="6"/>
      <c r="M531" s="6"/>
      <c r="N531" s="7">
        <f t="shared" si="729"/>
        <v>0</v>
      </c>
      <c r="O531" s="11">
        <f t="shared" si="633"/>
        <v>0</v>
      </c>
      <c r="P531" s="25"/>
      <c r="Q531" s="10" t="str">
        <f t="shared" si="634"/>
        <v>OutubroSEMANA 2Radichio Orgânico</v>
      </c>
      <c r="R531" s="7">
        <f>SUMIF(NF!$A:$A,$Q531,NF!$I:$I)</f>
        <v>0</v>
      </c>
      <c r="S531" s="6"/>
      <c r="T531" s="6"/>
      <c r="U531" s="6"/>
      <c r="V531" s="6"/>
      <c r="W531" s="6"/>
      <c r="X531" s="6"/>
      <c r="Y531" s="6"/>
      <c r="Z531" s="7">
        <f t="shared" si="730"/>
        <v>0</v>
      </c>
      <c r="AA531" s="11">
        <f t="shared" si="636"/>
        <v>0</v>
      </c>
      <c r="AB531" s="25"/>
      <c r="AC531" s="10" t="str">
        <f t="shared" si="637"/>
        <v>OutubroSEMANA 3Radichio Orgânico</v>
      </c>
      <c r="AD531" s="7">
        <f>SUMIF(NF!$A:$A,$AC531,NF!$I:$I)</f>
        <v>0</v>
      </c>
      <c r="AE531" s="6"/>
      <c r="AF531" s="6"/>
      <c r="AG531" s="6"/>
      <c r="AH531" s="6"/>
      <c r="AI531" s="6"/>
      <c r="AJ531" s="6"/>
      <c r="AK531" s="6"/>
      <c r="AL531" s="7">
        <f t="shared" si="731"/>
        <v>0</v>
      </c>
      <c r="AM531" s="11">
        <f t="shared" si="639"/>
        <v>0</v>
      </c>
      <c r="AN531" s="25"/>
      <c r="AO531" s="10" t="str">
        <f t="shared" si="640"/>
        <v>OutubroSEMANA 4Radichio Orgânico</v>
      </c>
      <c r="AP531" s="7">
        <f>SUMIF(NF!$A:$A,$AO531,NF!$I:$I)</f>
        <v>0</v>
      </c>
      <c r="AQ531" s="6"/>
      <c r="AR531" s="6"/>
      <c r="AS531" s="6"/>
      <c r="AT531" s="6"/>
      <c r="AU531" s="6"/>
      <c r="AV531" s="6"/>
      <c r="AW531" s="6"/>
      <c r="AX531" s="7">
        <f t="shared" si="732"/>
        <v>0</v>
      </c>
      <c r="AY531" s="11">
        <f t="shared" si="642"/>
        <v>0</v>
      </c>
      <c r="AZ531" s="25"/>
      <c r="BA531" s="10" t="str">
        <f t="shared" si="643"/>
        <v>OutubroSEMANA 5Radichio Orgânico</v>
      </c>
      <c r="BB531" s="7">
        <f>SUMIF(NF!$A:$A,$BA531,NF!$I:$I)</f>
        <v>0</v>
      </c>
      <c r="BC531" s="6"/>
      <c r="BD531" s="6"/>
      <c r="BE531" s="6"/>
      <c r="BF531" s="74"/>
      <c r="BG531" s="74"/>
      <c r="BH531" s="74"/>
      <c r="BI531" s="74"/>
      <c r="BJ531" s="74"/>
      <c r="BK531" s="7">
        <f t="shared" si="733"/>
        <v>0</v>
      </c>
      <c r="BL531" s="8">
        <f t="shared" si="645"/>
        <v>0</v>
      </c>
      <c r="BM531" s="51" t="str">
        <f>IFERROR(VLOOKUP(A531,NF!$M:$O,3,0),"")</f>
        <v>Hortifruti</v>
      </c>
      <c r="BN531" s="7">
        <f t="shared" si="646"/>
        <v>0</v>
      </c>
      <c r="BO531" s="8">
        <f t="array" ref="BO531">IFERROR(LARGE(IF(NF!$G$2:$G$3137='Mês atual'!A531,NF!$J$2:$J$3137),1),0)*BN531</f>
        <v>0</v>
      </c>
      <c r="BP531" s="50"/>
      <c r="BR531" s="147">
        <f t="array" ref="BR531">IFERROR(LARGE(IF(NF!$G$2:$G$3137='Mês atual'!A531,NF!$J$2:$J$3137),1),0)</f>
        <v>0</v>
      </c>
      <c r="BS531" s="143" t="str">
        <f>VLOOKUP(A531,NF!M:O,3,0)</f>
        <v>Hortifruti</v>
      </c>
    </row>
    <row r="532" spans="1:71" x14ac:dyDescent="0.25">
      <c r="A532" s="108" t="s">
        <v>701</v>
      </c>
      <c r="B532" s="12"/>
      <c r="C532" s="9"/>
      <c r="D532" s="25"/>
      <c r="E532" s="10" t="str">
        <f t="shared" si="631"/>
        <v>OutubroSEMANA 1Repolho</v>
      </c>
      <c r="F532" s="7">
        <f>SUMIF(NF!$A:$A,$E532,NF!$I:$I)</f>
        <v>0</v>
      </c>
      <c r="G532" s="6"/>
      <c r="H532" s="6"/>
      <c r="I532" s="6"/>
      <c r="J532" s="6"/>
      <c r="K532" s="6"/>
      <c r="L532" s="6"/>
      <c r="M532" s="6"/>
      <c r="N532" s="7">
        <f t="shared" si="729"/>
        <v>0</v>
      </c>
      <c r="O532" s="11">
        <f t="shared" si="633"/>
        <v>0</v>
      </c>
      <c r="P532" s="25"/>
      <c r="Q532" s="10" t="str">
        <f t="shared" si="634"/>
        <v>OutubroSEMANA 2Repolho</v>
      </c>
      <c r="R532" s="7">
        <f>SUMIF(NF!$A:$A,$Q532,NF!$I:$I)</f>
        <v>9.8000000000000007</v>
      </c>
      <c r="S532" s="6"/>
      <c r="T532" s="6"/>
      <c r="U532" s="6"/>
      <c r="V532" s="6"/>
      <c r="W532" s="6">
        <v>3.6</v>
      </c>
      <c r="X532" s="6">
        <v>2</v>
      </c>
      <c r="Y532" s="6">
        <v>2</v>
      </c>
      <c r="Z532" s="7">
        <f t="shared" si="730"/>
        <v>7.6</v>
      </c>
      <c r="AA532" s="11">
        <f t="shared" si="636"/>
        <v>2.2000000000000011</v>
      </c>
      <c r="AB532" s="25"/>
      <c r="AC532" s="10" t="str">
        <f t="shared" si="637"/>
        <v>OutubroSEMANA 3Repolho</v>
      </c>
      <c r="AD532" s="7">
        <f>SUMIF(NF!$A:$A,$AC532,NF!$I:$I)</f>
        <v>9</v>
      </c>
      <c r="AE532" s="6"/>
      <c r="AF532" s="6"/>
      <c r="AG532" s="6"/>
      <c r="AH532" s="6"/>
      <c r="AI532" s="6">
        <v>3</v>
      </c>
      <c r="AJ532" s="6"/>
      <c r="AK532" s="6"/>
      <c r="AL532" s="7">
        <f t="shared" si="731"/>
        <v>3</v>
      </c>
      <c r="AM532" s="11">
        <f t="shared" si="639"/>
        <v>8.2000000000000011</v>
      </c>
      <c r="AN532" s="25"/>
      <c r="AO532" s="10" t="str">
        <f t="shared" si="640"/>
        <v>OutubroSEMANA 4Repolho</v>
      </c>
      <c r="AP532" s="7">
        <f>SUMIF(NF!$A:$A,$AO532,NF!$I:$I)</f>
        <v>7.5</v>
      </c>
      <c r="AQ532" s="6">
        <v>2</v>
      </c>
      <c r="AR532" s="6">
        <v>6</v>
      </c>
      <c r="AS532" s="6"/>
      <c r="AT532" s="6">
        <v>2.5</v>
      </c>
      <c r="AU532" s="6"/>
      <c r="AV532" s="6">
        <v>3</v>
      </c>
      <c r="AW532" s="6"/>
      <c r="AX532" s="7">
        <f t="shared" si="732"/>
        <v>13.5</v>
      </c>
      <c r="AY532" s="11">
        <f t="shared" si="642"/>
        <v>2.2000000000000011</v>
      </c>
      <c r="AZ532" s="25"/>
      <c r="BA532" s="10" t="str">
        <f t="shared" si="643"/>
        <v>OutubroSEMANA 5Repolho</v>
      </c>
      <c r="BB532" s="7">
        <f>SUMIF(NF!$A:$A,$BA532,NF!$I:$I)</f>
        <v>5</v>
      </c>
      <c r="BC532" s="6"/>
      <c r="BD532" s="6"/>
      <c r="BE532" s="6">
        <f>5+2.2</f>
        <v>7.2</v>
      </c>
      <c r="BF532" s="74"/>
      <c r="BG532" s="74"/>
      <c r="BH532" s="74"/>
      <c r="BI532" s="74"/>
      <c r="BJ532" s="74"/>
      <c r="BK532" s="7">
        <f t="shared" si="733"/>
        <v>7.2</v>
      </c>
      <c r="BL532" s="8">
        <f t="shared" si="645"/>
        <v>0</v>
      </c>
      <c r="BM532" s="51" t="str">
        <f>IFERROR(VLOOKUP(A532,NF!$M:$O,3,0),"")</f>
        <v>Hortifruti</v>
      </c>
      <c r="BN532" s="7">
        <f t="shared" si="646"/>
        <v>31.3</v>
      </c>
      <c r="BO532" s="8">
        <f t="array" ref="BO532">IFERROR(LARGE(IF(NF!$G$2:$G$3137='Mês atual'!A532,NF!$J$2:$J$3137),1),0)*BN532</f>
        <v>93.9</v>
      </c>
      <c r="BP532" s="50"/>
      <c r="BR532" s="147">
        <f t="array" ref="BR532">IFERROR(LARGE(IF(NF!$G$2:$G$3137='Mês atual'!A532,NF!$J$2:$J$3137),1),0)</f>
        <v>3</v>
      </c>
      <c r="BS532" s="143" t="str">
        <f>VLOOKUP(A532,NF!M:O,3,0)</f>
        <v>Hortifruti</v>
      </c>
    </row>
    <row r="533" spans="1:71" x14ac:dyDescent="0.25">
      <c r="A533" s="108" t="s">
        <v>702</v>
      </c>
      <c r="B533" s="12"/>
      <c r="C533" s="9"/>
      <c r="D533" s="25"/>
      <c r="E533" s="10" t="str">
        <f t="shared" si="631"/>
        <v>OutubroSEMANA 1Repolho Orgânico</v>
      </c>
      <c r="F533" s="7">
        <f>SUMIF(NF!$A:$A,$E533,NF!$I:$I)</f>
        <v>0</v>
      </c>
      <c r="G533" s="6"/>
      <c r="H533" s="6"/>
      <c r="I533" s="6"/>
      <c r="J533" s="6"/>
      <c r="K533" s="6"/>
      <c r="L533" s="6"/>
      <c r="M533" s="6"/>
      <c r="N533" s="7">
        <f t="shared" si="729"/>
        <v>0</v>
      </c>
      <c r="O533" s="11">
        <f t="shared" si="633"/>
        <v>0</v>
      </c>
      <c r="P533" s="25"/>
      <c r="Q533" s="10" t="str">
        <f t="shared" si="634"/>
        <v>OutubroSEMANA 2Repolho Orgânico</v>
      </c>
      <c r="R533" s="7">
        <f>SUMIF(NF!$A:$A,$Q533,NF!$I:$I)</f>
        <v>0</v>
      </c>
      <c r="S533" s="6"/>
      <c r="T533" s="6"/>
      <c r="U533" s="6"/>
      <c r="V533" s="6"/>
      <c r="W533" s="6"/>
      <c r="X533" s="6"/>
      <c r="Y533" s="6"/>
      <c r="Z533" s="7">
        <f t="shared" si="730"/>
        <v>0</v>
      </c>
      <c r="AA533" s="11">
        <f t="shared" si="636"/>
        <v>0</v>
      </c>
      <c r="AB533" s="25"/>
      <c r="AC533" s="10" t="str">
        <f t="shared" si="637"/>
        <v>OutubroSEMANA 3Repolho Orgânico</v>
      </c>
      <c r="AD533" s="7">
        <f>SUMIF(NF!$A:$A,$AC533,NF!$I:$I)</f>
        <v>0</v>
      </c>
      <c r="AE533" s="6"/>
      <c r="AF533" s="6"/>
      <c r="AG533" s="6"/>
      <c r="AH533" s="6"/>
      <c r="AI533" s="6"/>
      <c r="AJ533" s="6"/>
      <c r="AK533" s="6"/>
      <c r="AL533" s="7">
        <f t="shared" si="731"/>
        <v>0</v>
      </c>
      <c r="AM533" s="11">
        <f t="shared" si="639"/>
        <v>0</v>
      </c>
      <c r="AN533" s="25"/>
      <c r="AO533" s="10" t="str">
        <f t="shared" si="640"/>
        <v>OutubroSEMANA 4Repolho Orgânico</v>
      </c>
      <c r="AP533" s="7">
        <f>SUMIF(NF!$A:$A,$AO533,NF!$I:$I)</f>
        <v>0</v>
      </c>
      <c r="AQ533" s="6"/>
      <c r="AR533" s="6"/>
      <c r="AS533" s="6"/>
      <c r="AT533" s="6"/>
      <c r="AU533" s="6"/>
      <c r="AV533" s="6"/>
      <c r="AW533" s="6"/>
      <c r="AX533" s="7">
        <f t="shared" si="732"/>
        <v>0</v>
      </c>
      <c r="AY533" s="11">
        <f t="shared" si="642"/>
        <v>0</v>
      </c>
      <c r="AZ533" s="25"/>
      <c r="BA533" s="10" t="str">
        <f t="shared" si="643"/>
        <v>OutubroSEMANA 5Repolho Orgânico</v>
      </c>
      <c r="BB533" s="7">
        <f>SUMIF(NF!$A:$A,$BA533,NF!$I:$I)</f>
        <v>0</v>
      </c>
      <c r="BC533" s="6"/>
      <c r="BD533" s="6"/>
      <c r="BE533" s="6"/>
      <c r="BF533" s="74"/>
      <c r="BG533" s="74"/>
      <c r="BH533" s="74"/>
      <c r="BI533" s="74"/>
      <c r="BJ533" s="74"/>
      <c r="BK533" s="7">
        <f t="shared" si="733"/>
        <v>0</v>
      </c>
      <c r="BL533" s="8">
        <f t="shared" si="645"/>
        <v>0</v>
      </c>
      <c r="BM533" s="51" t="str">
        <f>IFERROR(VLOOKUP(A533,NF!$M:$O,3,0),"")</f>
        <v>Hortifruti</v>
      </c>
      <c r="BN533" s="7">
        <f t="shared" si="646"/>
        <v>0</v>
      </c>
      <c r="BO533" s="8">
        <f t="array" ref="BO533">IFERROR(LARGE(IF(NF!$G$2:$G$3137='Mês atual'!A533,NF!$J$2:$J$3137),1),0)*BN533</f>
        <v>0</v>
      </c>
      <c r="BP533" s="50"/>
      <c r="BR533" s="147">
        <f t="array" ref="BR533">IFERROR(LARGE(IF(NF!$G$2:$G$3137='Mês atual'!A533,NF!$J$2:$J$3137),1),0)</f>
        <v>0</v>
      </c>
      <c r="BS533" s="143" t="str">
        <f>VLOOKUP(A533,NF!M:O,3,0)</f>
        <v>Hortifruti</v>
      </c>
    </row>
    <row r="534" spans="1:71" x14ac:dyDescent="0.25">
      <c r="A534" s="108" t="s">
        <v>703</v>
      </c>
      <c r="B534" s="12"/>
      <c r="C534" s="9"/>
      <c r="D534" s="25"/>
      <c r="E534" s="10" t="str">
        <f t="shared" si="631"/>
        <v>OutubroSEMANA 1Repolho Roxo</v>
      </c>
      <c r="F534" s="7">
        <f>SUMIF(NF!$A:$A,$E534,NF!$I:$I)</f>
        <v>0</v>
      </c>
      <c r="G534" s="6"/>
      <c r="H534" s="6"/>
      <c r="I534" s="6"/>
      <c r="J534" s="6"/>
      <c r="K534" s="6"/>
      <c r="L534" s="6"/>
      <c r="M534" s="6"/>
      <c r="N534" s="7">
        <f t="shared" si="729"/>
        <v>0</v>
      </c>
      <c r="O534" s="11">
        <f t="shared" si="633"/>
        <v>0</v>
      </c>
      <c r="P534" s="25"/>
      <c r="Q534" s="10" t="str">
        <f t="shared" si="634"/>
        <v>OutubroSEMANA 2Repolho Roxo</v>
      </c>
      <c r="R534" s="7">
        <f>SUMIF(NF!$A:$A,$Q534,NF!$I:$I)</f>
        <v>3</v>
      </c>
      <c r="S534" s="6"/>
      <c r="T534" s="6"/>
      <c r="U534" s="6"/>
      <c r="V534" s="6"/>
      <c r="W534" s="6"/>
      <c r="X534" s="6">
        <v>3</v>
      </c>
      <c r="Y534" s="6"/>
      <c r="Z534" s="7">
        <f t="shared" si="730"/>
        <v>3</v>
      </c>
      <c r="AA534" s="11">
        <f t="shared" si="636"/>
        <v>0</v>
      </c>
      <c r="AB534" s="25"/>
      <c r="AC534" s="10" t="str">
        <f t="shared" si="637"/>
        <v>OutubroSEMANA 3Repolho Roxo</v>
      </c>
      <c r="AD534" s="7">
        <f>SUMIF(NF!$A:$A,$AC534,NF!$I:$I)</f>
        <v>6.6</v>
      </c>
      <c r="AE534" s="6"/>
      <c r="AF534" s="6"/>
      <c r="AG534" s="6"/>
      <c r="AH534" s="6"/>
      <c r="AI534" s="6">
        <v>3</v>
      </c>
      <c r="AJ534" s="6"/>
      <c r="AK534" s="6"/>
      <c r="AL534" s="7">
        <f t="shared" si="731"/>
        <v>3</v>
      </c>
      <c r="AM534" s="11">
        <f t="shared" si="639"/>
        <v>3.5999999999999996</v>
      </c>
      <c r="AN534" s="25"/>
      <c r="AO534" s="10" t="str">
        <f t="shared" si="640"/>
        <v>OutubroSEMANA 4Repolho Roxo</v>
      </c>
      <c r="AP534" s="7">
        <f>SUMIF(NF!$A:$A,$AO534,NF!$I:$I)</f>
        <v>1</v>
      </c>
      <c r="AQ534" s="6"/>
      <c r="AR534" s="6">
        <v>4.5999999999999996</v>
      </c>
      <c r="AS534" s="6"/>
      <c r="AT534" s="6"/>
      <c r="AU534" s="6"/>
      <c r="AV534" s="6"/>
      <c r="AW534" s="6"/>
      <c r="AX534" s="7">
        <f t="shared" si="732"/>
        <v>4.5999999999999996</v>
      </c>
      <c r="AY534" s="11">
        <f t="shared" si="642"/>
        <v>0</v>
      </c>
      <c r="AZ534" s="25"/>
      <c r="BA534" s="10" t="str">
        <f t="shared" si="643"/>
        <v>OutubroSEMANA 5Repolho Roxo</v>
      </c>
      <c r="BB534" s="7">
        <f>SUMIF(NF!$A:$A,$BA534,NF!$I:$I)</f>
        <v>0</v>
      </c>
      <c r="BC534" s="6"/>
      <c r="BD534" s="6"/>
      <c r="BE534" s="6"/>
      <c r="BF534" s="74"/>
      <c r="BG534" s="74"/>
      <c r="BH534" s="74"/>
      <c r="BI534" s="74"/>
      <c r="BJ534" s="74"/>
      <c r="BK534" s="7">
        <f t="shared" si="733"/>
        <v>0</v>
      </c>
      <c r="BL534" s="8">
        <f t="shared" si="645"/>
        <v>0</v>
      </c>
      <c r="BM534" s="51" t="str">
        <f>IFERROR(VLOOKUP(A534,NF!$M:$O,3,0),"")</f>
        <v>Hortifruti</v>
      </c>
      <c r="BN534" s="7">
        <f t="shared" si="646"/>
        <v>10.6</v>
      </c>
      <c r="BO534" s="8">
        <f t="array" ref="BO534">IFERROR(LARGE(IF(NF!$G$2:$G$3137='Mês atual'!A534,NF!$J$2:$J$3137),1),0)*BN534</f>
        <v>42.4</v>
      </c>
      <c r="BP534" s="50"/>
      <c r="BR534" s="147">
        <f t="array" ref="BR534">IFERROR(LARGE(IF(NF!$G$2:$G$3137='Mês atual'!A534,NF!$J$2:$J$3137),1),0)</f>
        <v>4</v>
      </c>
      <c r="BS534" s="143" t="str">
        <f>VLOOKUP(A534,NF!M:O,3,0)</f>
        <v>Hortifruti</v>
      </c>
    </row>
    <row r="535" spans="1:71" x14ac:dyDescent="0.25">
      <c r="A535" s="108" t="s">
        <v>706</v>
      </c>
      <c r="B535" s="12"/>
      <c r="C535" s="9"/>
      <c r="D535" s="25"/>
      <c r="E535" s="10" t="str">
        <f t="shared" si="631"/>
        <v>OutubroSEMANA 1Rúcula</v>
      </c>
      <c r="F535" s="7">
        <f>SUMIF(NF!$A:$A,$E535,NF!$I:$I)</f>
        <v>0</v>
      </c>
      <c r="G535" s="6"/>
      <c r="H535" s="6"/>
      <c r="I535" s="6"/>
      <c r="J535" s="6"/>
      <c r="K535" s="6"/>
      <c r="L535" s="6"/>
      <c r="M535" s="6"/>
      <c r="N535" s="7">
        <f t="shared" si="729"/>
        <v>0</v>
      </c>
      <c r="O535" s="11">
        <f t="shared" si="633"/>
        <v>0</v>
      </c>
      <c r="P535" s="25"/>
      <c r="Q535" s="10" t="str">
        <f t="shared" si="634"/>
        <v>OutubroSEMANA 2Rúcula</v>
      </c>
      <c r="R535" s="7">
        <f>SUMIF(NF!$A:$A,$Q535,NF!$I:$I)</f>
        <v>2</v>
      </c>
      <c r="S535" s="6"/>
      <c r="T535" s="6"/>
      <c r="U535" s="6">
        <v>2</v>
      </c>
      <c r="V535" s="6"/>
      <c r="W535" s="6"/>
      <c r="X535" s="6"/>
      <c r="Y535" s="6"/>
      <c r="Z535" s="7">
        <f t="shared" si="730"/>
        <v>2</v>
      </c>
      <c r="AA535" s="11">
        <f t="shared" si="636"/>
        <v>0</v>
      </c>
      <c r="AB535" s="25"/>
      <c r="AC535" s="10" t="str">
        <f t="shared" si="637"/>
        <v>OutubroSEMANA 3Rúcula</v>
      </c>
      <c r="AD535" s="7">
        <f>SUMIF(NF!$A:$A,$AC535,NF!$I:$I)</f>
        <v>2</v>
      </c>
      <c r="AE535" s="6"/>
      <c r="AF535" s="6"/>
      <c r="AG535" s="6"/>
      <c r="AH535" s="6"/>
      <c r="AI535" s="6"/>
      <c r="AJ535" s="6">
        <v>2</v>
      </c>
      <c r="AK535" s="6"/>
      <c r="AL535" s="7">
        <f t="shared" si="731"/>
        <v>2</v>
      </c>
      <c r="AM535" s="11">
        <f t="shared" si="639"/>
        <v>0</v>
      </c>
      <c r="AN535" s="25"/>
      <c r="AO535" s="10" t="str">
        <f t="shared" si="640"/>
        <v>OutubroSEMANA 4Rúcula</v>
      </c>
      <c r="AP535" s="7">
        <f>SUMIF(NF!$A:$A,$AO535,NF!$I:$I)</f>
        <v>0</v>
      </c>
      <c r="AQ535" s="6"/>
      <c r="AR535" s="6"/>
      <c r="AS535" s="6"/>
      <c r="AT535" s="6"/>
      <c r="AU535" s="6"/>
      <c r="AV535" s="6"/>
      <c r="AW535" s="6"/>
      <c r="AX535" s="7">
        <f t="shared" si="732"/>
        <v>0</v>
      </c>
      <c r="AY535" s="11">
        <f t="shared" si="642"/>
        <v>0</v>
      </c>
      <c r="AZ535" s="25"/>
      <c r="BA535" s="10" t="str">
        <f t="shared" si="643"/>
        <v>OutubroSEMANA 5Rúcula</v>
      </c>
      <c r="BB535" s="7">
        <f>SUMIF(NF!$A:$A,$BA535,NF!$I:$I)</f>
        <v>0</v>
      </c>
      <c r="BC535" s="6"/>
      <c r="BD535" s="6"/>
      <c r="BE535" s="6"/>
      <c r="BF535" s="74"/>
      <c r="BG535" s="74"/>
      <c r="BH535" s="74"/>
      <c r="BI535" s="74"/>
      <c r="BJ535" s="74"/>
      <c r="BK535" s="7">
        <f t="shared" si="733"/>
        <v>0</v>
      </c>
      <c r="BL535" s="8">
        <f t="shared" si="645"/>
        <v>0</v>
      </c>
      <c r="BM535" s="51" t="str">
        <f>IFERROR(VLOOKUP(A535,NF!$M:$O,3,0),"")</f>
        <v>Hortifruti</v>
      </c>
      <c r="BN535" s="7">
        <f t="shared" si="646"/>
        <v>4</v>
      </c>
      <c r="BO535" s="8">
        <f t="array" ref="BO535">IFERROR(LARGE(IF(NF!$G$2:$G$3137='Mês atual'!A535,NF!$J$2:$J$3137),1),0)*BN535</f>
        <v>19.600000000000001</v>
      </c>
      <c r="BP535" s="50"/>
      <c r="BR535" s="147">
        <f t="array" ref="BR535">IFERROR(LARGE(IF(NF!$G$2:$G$3137='Mês atual'!A535,NF!$J$2:$J$3137),1),0)</f>
        <v>4.9000000000000004</v>
      </c>
      <c r="BS535" s="143" t="str">
        <f>VLOOKUP(A535,NF!M:O,3,0)</f>
        <v>Hortifruti</v>
      </c>
    </row>
    <row r="536" spans="1:71" x14ac:dyDescent="0.25">
      <c r="A536" s="108" t="s">
        <v>707</v>
      </c>
      <c r="B536" s="12"/>
      <c r="C536" s="9">
        <v>3</v>
      </c>
      <c r="D536" s="25"/>
      <c r="E536" s="10" t="str">
        <f t="shared" si="631"/>
        <v>OutubroSEMANA 1Rúcula Orgânica</v>
      </c>
      <c r="F536" s="7">
        <f>SUMIF(NF!$A:$A,$E536,NF!$I:$I)</f>
        <v>6.75</v>
      </c>
      <c r="G536" s="6">
        <v>3</v>
      </c>
      <c r="H536" s="6"/>
      <c r="I536" s="6">
        <v>3</v>
      </c>
      <c r="J536" s="6"/>
      <c r="K536" s="6"/>
      <c r="L536" s="6">
        <v>1.25</v>
      </c>
      <c r="M536" s="6">
        <v>1.25</v>
      </c>
      <c r="N536" s="7">
        <f t="shared" si="729"/>
        <v>8.5</v>
      </c>
      <c r="O536" s="11">
        <f t="shared" si="633"/>
        <v>1.25</v>
      </c>
      <c r="P536" s="25"/>
      <c r="Q536" s="10" t="str">
        <f t="shared" si="634"/>
        <v>OutubroSEMANA 2Rúcula Orgânica</v>
      </c>
      <c r="R536" s="7">
        <f>SUMIF(NF!$A:$A,$Q536,NF!$I:$I)</f>
        <v>11.399999999999999</v>
      </c>
      <c r="S536" s="6">
        <v>1.25</v>
      </c>
      <c r="T536" s="6">
        <v>3</v>
      </c>
      <c r="U536" s="6"/>
      <c r="V536" s="6">
        <v>1.5</v>
      </c>
      <c r="W536" s="6">
        <v>3</v>
      </c>
      <c r="X536" s="6"/>
      <c r="Y536" s="6">
        <v>1</v>
      </c>
      <c r="Z536" s="7">
        <f t="shared" si="730"/>
        <v>9.75</v>
      </c>
      <c r="AA536" s="11">
        <f t="shared" si="636"/>
        <v>2.8999999999999986</v>
      </c>
      <c r="AB536" s="25"/>
      <c r="AC536" s="10" t="str">
        <f t="shared" si="637"/>
        <v>OutubroSEMANA 3Rúcula Orgânica</v>
      </c>
      <c r="AD536" s="7">
        <f>SUMIF(NF!$A:$A,$AC536,NF!$I:$I)</f>
        <v>13.5</v>
      </c>
      <c r="AE536" s="6">
        <v>2.9</v>
      </c>
      <c r="AF536" s="6"/>
      <c r="AG536" s="6">
        <v>2.25</v>
      </c>
      <c r="AH536" s="6">
        <v>2.25</v>
      </c>
      <c r="AI536" s="6">
        <v>3</v>
      </c>
      <c r="AJ536" s="6">
        <v>1.5</v>
      </c>
      <c r="AK536" s="6">
        <v>2.25</v>
      </c>
      <c r="AL536" s="7">
        <f t="shared" si="731"/>
        <v>14.15</v>
      </c>
      <c r="AM536" s="11">
        <f t="shared" si="639"/>
        <v>2.2499999999999982</v>
      </c>
      <c r="AN536" s="25"/>
      <c r="AO536" s="10" t="str">
        <f t="shared" si="640"/>
        <v>OutubroSEMANA 4Rúcula Orgânica</v>
      </c>
      <c r="AP536" s="7">
        <f>SUMIF(NF!$A:$A,$AO536,NF!$I:$I)</f>
        <v>8.25</v>
      </c>
      <c r="AQ536" s="6">
        <v>2.25</v>
      </c>
      <c r="AR536" s="6"/>
      <c r="AS536" s="6">
        <v>2</v>
      </c>
      <c r="AT536" s="6">
        <v>1.75</v>
      </c>
      <c r="AU536" s="6"/>
      <c r="AV536" s="6"/>
      <c r="AW536" s="6">
        <v>2.25</v>
      </c>
      <c r="AX536" s="7">
        <f t="shared" si="732"/>
        <v>8.25</v>
      </c>
      <c r="AY536" s="11">
        <f t="shared" si="642"/>
        <v>2.2499999999999982</v>
      </c>
      <c r="AZ536" s="25"/>
      <c r="BA536" s="10" t="str">
        <f t="shared" si="643"/>
        <v>OutubroSEMANA 5Rúcula Orgânica</v>
      </c>
      <c r="BB536" s="7">
        <f>SUMIF(NF!$A:$A,$BA536,NF!$I:$I)</f>
        <v>3.75</v>
      </c>
      <c r="BC536" s="6">
        <v>2.25</v>
      </c>
      <c r="BD536" s="6"/>
      <c r="BE536" s="6">
        <v>1.875</v>
      </c>
      <c r="BF536" s="74"/>
      <c r="BG536" s="74"/>
      <c r="BH536" s="74"/>
      <c r="BI536" s="74"/>
      <c r="BJ536" s="74"/>
      <c r="BK536" s="7">
        <f t="shared" si="733"/>
        <v>4.125</v>
      </c>
      <c r="BL536" s="8">
        <f t="shared" si="645"/>
        <v>1.8749999999999982</v>
      </c>
      <c r="BM536" s="51" t="str">
        <f>IFERROR(VLOOKUP(A536,NF!$M:$O,3,0),"")</f>
        <v>Hortifruti</v>
      </c>
      <c r="BN536" s="7">
        <f t="shared" si="646"/>
        <v>44.774999999999999</v>
      </c>
      <c r="BO536" s="8">
        <f t="array" ref="BO536">IFERROR(LARGE(IF(NF!$G$2:$G$3137='Mês atual'!A536,NF!$J$2:$J$3137),1),0)*BN536</f>
        <v>955.2</v>
      </c>
      <c r="BP536" s="50"/>
      <c r="BR536" s="147">
        <f t="array" ref="BR536">IFERROR(LARGE(IF(NF!$G$2:$G$3137='Mês atual'!A536,NF!$J$2:$J$3137),1),0)</f>
        <v>21.333333333333336</v>
      </c>
      <c r="BS536" s="143" t="str">
        <f>VLOOKUP(A536,NF!M:O,3,0)</f>
        <v>Hortifruti</v>
      </c>
    </row>
    <row r="537" spans="1:71" x14ac:dyDescent="0.25">
      <c r="A537" s="108" t="s">
        <v>729</v>
      </c>
      <c r="B537" s="12"/>
      <c r="C537" s="9"/>
      <c r="D537" s="25"/>
      <c r="E537" s="10" t="str">
        <f t="shared" si="631"/>
        <v>OutubroSEMANA 1Salsa</v>
      </c>
      <c r="F537" s="7">
        <f>SUMIF(NF!$A:$A,$E537,NF!$I:$I)</f>
        <v>4.5</v>
      </c>
      <c r="G537" s="6"/>
      <c r="H537" s="6">
        <v>1</v>
      </c>
      <c r="I537" s="6">
        <v>1</v>
      </c>
      <c r="J537" s="6"/>
      <c r="K537" s="6"/>
      <c r="L537" s="6">
        <v>1</v>
      </c>
      <c r="M537" s="6"/>
      <c r="N537" s="7">
        <f t="shared" si="729"/>
        <v>3</v>
      </c>
      <c r="O537" s="11">
        <f t="shared" si="633"/>
        <v>1.5</v>
      </c>
      <c r="P537" s="25"/>
      <c r="Q537" s="10" t="str">
        <f t="shared" si="634"/>
        <v>OutubroSEMANA 2Salsa</v>
      </c>
      <c r="R537" s="7">
        <f>SUMIF(NF!$A:$A,$Q537,NF!$I:$I)</f>
        <v>5.3</v>
      </c>
      <c r="S537" s="6">
        <v>1.5</v>
      </c>
      <c r="T537" s="6">
        <v>1.3</v>
      </c>
      <c r="U537" s="6">
        <v>1</v>
      </c>
      <c r="V537" s="6"/>
      <c r="W537" s="6">
        <v>1</v>
      </c>
      <c r="X537" s="6">
        <v>1</v>
      </c>
      <c r="Y537" s="6"/>
      <c r="Z537" s="7">
        <f t="shared" si="730"/>
        <v>5.8</v>
      </c>
      <c r="AA537" s="11">
        <f t="shared" si="636"/>
        <v>1</v>
      </c>
      <c r="AB537" s="25"/>
      <c r="AC537" s="10" t="str">
        <f t="shared" si="637"/>
        <v>OutubroSEMANA 3Salsa</v>
      </c>
      <c r="AD537" s="7">
        <f>SUMIF(NF!$A:$A,$AC537,NF!$I:$I)</f>
        <v>4.5</v>
      </c>
      <c r="AE537" s="6">
        <v>1</v>
      </c>
      <c r="AF537" s="6">
        <v>1</v>
      </c>
      <c r="AG537" s="6"/>
      <c r="AH537" s="6"/>
      <c r="AI537" s="6">
        <v>1</v>
      </c>
      <c r="AJ537" s="6">
        <v>1.5</v>
      </c>
      <c r="AK537" s="6"/>
      <c r="AL537" s="7">
        <f t="shared" si="731"/>
        <v>4.5</v>
      </c>
      <c r="AM537" s="11">
        <f t="shared" si="639"/>
        <v>1</v>
      </c>
      <c r="AN537" s="25"/>
      <c r="AO537" s="10" t="str">
        <f t="shared" si="640"/>
        <v>OutubroSEMANA 4Salsa</v>
      </c>
      <c r="AP537" s="7">
        <f>SUMIF(NF!$A:$A,$AO537,NF!$I:$I)</f>
        <v>5.5</v>
      </c>
      <c r="AQ537" s="6">
        <v>1</v>
      </c>
      <c r="AR537" s="6">
        <v>1.5</v>
      </c>
      <c r="AS537" s="6">
        <v>1</v>
      </c>
      <c r="AT537" s="6">
        <v>1</v>
      </c>
      <c r="AU537" s="6"/>
      <c r="AV537" s="6">
        <v>1</v>
      </c>
      <c r="AW537" s="6"/>
      <c r="AX537" s="7">
        <f t="shared" si="732"/>
        <v>5.5</v>
      </c>
      <c r="AY537" s="11">
        <f t="shared" si="642"/>
        <v>1</v>
      </c>
      <c r="AZ537" s="25"/>
      <c r="BA537" s="10" t="str">
        <f t="shared" si="643"/>
        <v>OutubroSEMANA 5Salsa</v>
      </c>
      <c r="BB537" s="7">
        <f>SUMIF(NF!$A:$A,$BA537,NF!$I:$I)</f>
        <v>2</v>
      </c>
      <c r="BC537" s="6">
        <v>1</v>
      </c>
      <c r="BD537" s="6">
        <v>1</v>
      </c>
      <c r="BE537" s="6">
        <v>1</v>
      </c>
      <c r="BF537" s="74"/>
      <c r="BG537" s="74"/>
      <c r="BH537" s="74"/>
      <c r="BI537" s="74"/>
      <c r="BJ537" s="74"/>
      <c r="BK537" s="7">
        <f t="shared" si="733"/>
        <v>3</v>
      </c>
      <c r="BL537" s="8">
        <f t="shared" si="645"/>
        <v>0</v>
      </c>
      <c r="BM537" s="51" t="str">
        <f>IFERROR(VLOOKUP(A537,NF!$M:$O,3,0),"")</f>
        <v>Hortifruti</v>
      </c>
      <c r="BN537" s="7">
        <f t="shared" si="646"/>
        <v>21.8</v>
      </c>
      <c r="BO537" s="8">
        <f t="array" ref="BO537">IFERROR(LARGE(IF(NF!$G$2:$G$3137='Mês atual'!A537,NF!$J$2:$J$3137),1),0)*BN537</f>
        <v>436</v>
      </c>
      <c r="BP537" s="50"/>
      <c r="BR537" s="147">
        <f t="array" ref="BR537">IFERROR(LARGE(IF(NF!$G$2:$G$3137='Mês atual'!A537,NF!$J$2:$J$3137),1),0)</f>
        <v>20</v>
      </c>
      <c r="BS537" s="143" t="str">
        <f>VLOOKUP(A537,NF!M:O,3,0)</f>
        <v>Hortifruti</v>
      </c>
    </row>
    <row r="538" spans="1:71" x14ac:dyDescent="0.25">
      <c r="A538" s="108" t="s">
        <v>730</v>
      </c>
      <c r="B538" s="12"/>
      <c r="C538" s="9"/>
      <c r="D538" s="25"/>
      <c r="E538" s="10" t="str">
        <f t="shared" si="631"/>
        <v>OutubroSEMANA 1Salsa Crespa</v>
      </c>
      <c r="F538" s="7">
        <f>SUMIF(NF!$A:$A,$E538,NF!$I:$I)</f>
        <v>1</v>
      </c>
      <c r="G538" s="6"/>
      <c r="H538" s="6"/>
      <c r="I538" s="6"/>
      <c r="J538" s="6"/>
      <c r="K538" s="6"/>
      <c r="L538" s="6">
        <v>1</v>
      </c>
      <c r="M538" s="6"/>
      <c r="N538" s="7">
        <f t="shared" si="729"/>
        <v>1</v>
      </c>
      <c r="O538" s="11">
        <f t="shared" si="633"/>
        <v>0</v>
      </c>
      <c r="P538" s="25"/>
      <c r="Q538" s="10" t="str">
        <f t="shared" si="634"/>
        <v>OutubroSEMANA 2Salsa Crespa</v>
      </c>
      <c r="R538" s="7">
        <f>SUMIF(NF!$A:$A,$Q538,NF!$I:$I)</f>
        <v>0</v>
      </c>
      <c r="S538" s="6"/>
      <c r="T538" s="6"/>
      <c r="U538" s="6"/>
      <c r="V538" s="6"/>
      <c r="W538" s="6"/>
      <c r="X538" s="6"/>
      <c r="Y538" s="6"/>
      <c r="Z538" s="7">
        <f t="shared" si="730"/>
        <v>0</v>
      </c>
      <c r="AA538" s="11">
        <f t="shared" si="636"/>
        <v>0</v>
      </c>
      <c r="AB538" s="25"/>
      <c r="AC538" s="10" t="str">
        <f t="shared" si="637"/>
        <v>OutubroSEMANA 3Salsa Crespa</v>
      </c>
      <c r="AD538" s="7">
        <f>SUMIF(NF!$A:$A,$AC538,NF!$I:$I)</f>
        <v>0</v>
      </c>
      <c r="AE538" s="6"/>
      <c r="AF538" s="6"/>
      <c r="AG538" s="6"/>
      <c r="AH538" s="6"/>
      <c r="AI538" s="6"/>
      <c r="AJ538" s="6"/>
      <c r="AK538" s="6"/>
      <c r="AL538" s="7">
        <f t="shared" si="731"/>
        <v>0</v>
      </c>
      <c r="AM538" s="11">
        <f t="shared" si="639"/>
        <v>0</v>
      </c>
      <c r="AN538" s="25"/>
      <c r="AO538" s="10" t="str">
        <f t="shared" si="640"/>
        <v>OutubroSEMANA 4Salsa Crespa</v>
      </c>
      <c r="AP538" s="7">
        <f>SUMIF(NF!$A:$A,$AO538,NF!$I:$I)</f>
        <v>0</v>
      </c>
      <c r="AQ538" s="6"/>
      <c r="AR538" s="6"/>
      <c r="AS538" s="6"/>
      <c r="AT538" s="6"/>
      <c r="AU538" s="6"/>
      <c r="AV538" s="6"/>
      <c r="AW538" s="6"/>
      <c r="AX538" s="7">
        <f t="shared" si="732"/>
        <v>0</v>
      </c>
      <c r="AY538" s="11">
        <f t="shared" si="642"/>
        <v>0</v>
      </c>
      <c r="AZ538" s="25"/>
      <c r="BA538" s="10" t="str">
        <f t="shared" si="643"/>
        <v>OutubroSEMANA 5Salsa Crespa</v>
      </c>
      <c r="BB538" s="7">
        <f>SUMIF(NF!$A:$A,$BA538,NF!$I:$I)</f>
        <v>0</v>
      </c>
      <c r="BC538" s="6"/>
      <c r="BD538" s="6"/>
      <c r="BE538" s="6"/>
      <c r="BF538" s="74"/>
      <c r="BG538" s="74"/>
      <c r="BH538" s="74"/>
      <c r="BI538" s="74"/>
      <c r="BJ538" s="74"/>
      <c r="BK538" s="7">
        <f t="shared" si="733"/>
        <v>0</v>
      </c>
      <c r="BL538" s="8">
        <f t="shared" si="645"/>
        <v>0</v>
      </c>
      <c r="BM538" s="51" t="str">
        <f>IFERROR(VLOOKUP(A538,NF!$M:$O,3,0),"")</f>
        <v>Hortifruti</v>
      </c>
      <c r="BN538" s="7">
        <f t="shared" si="646"/>
        <v>1</v>
      </c>
      <c r="BO538" s="8">
        <f t="array" ref="BO538">IFERROR(LARGE(IF(NF!$G$2:$G$3137='Mês atual'!A538,NF!$J$2:$J$3137),1),0)*BN538</f>
        <v>12.5</v>
      </c>
      <c r="BP538" s="50"/>
      <c r="BR538" s="147">
        <f t="array" ref="BR538">IFERROR(LARGE(IF(NF!$G$2:$G$3137='Mês atual'!A538,NF!$J$2:$J$3137),1),0)</f>
        <v>12.5</v>
      </c>
      <c r="BS538" s="143" t="str">
        <f>VLOOKUP(A538,NF!M:O,3,0)</f>
        <v>Hortifruti</v>
      </c>
    </row>
    <row r="539" spans="1:71" x14ac:dyDescent="0.25">
      <c r="A539" s="108" t="s">
        <v>732</v>
      </c>
      <c r="B539" s="12"/>
      <c r="C539" s="9"/>
      <c r="D539" s="25"/>
      <c r="E539" s="10" t="str">
        <f t="shared" si="631"/>
        <v>OutubroSEMANA 1Salsa Lisa Orgânica</v>
      </c>
      <c r="F539" s="7">
        <f>SUMIF(NF!$A:$A,$E539,NF!$I:$I)</f>
        <v>0</v>
      </c>
      <c r="G539" s="6"/>
      <c r="H539" s="6"/>
      <c r="I539" s="6"/>
      <c r="J539" s="6"/>
      <c r="K539" s="6"/>
      <c r="L539" s="6"/>
      <c r="M539" s="6"/>
      <c r="N539" s="7">
        <f t="shared" si="729"/>
        <v>0</v>
      </c>
      <c r="O539" s="11">
        <f t="shared" si="633"/>
        <v>0</v>
      </c>
      <c r="P539" s="25"/>
      <c r="Q539" s="10" t="str">
        <f t="shared" si="634"/>
        <v>OutubroSEMANA 2Salsa Lisa Orgânica</v>
      </c>
      <c r="R539" s="7">
        <f>SUMIF(NF!$A:$A,$Q539,NF!$I:$I)</f>
        <v>0</v>
      </c>
      <c r="S539" s="6"/>
      <c r="T539" s="6"/>
      <c r="U539" s="6"/>
      <c r="V539" s="6"/>
      <c r="W539" s="6"/>
      <c r="X539" s="6"/>
      <c r="Y539" s="6"/>
      <c r="Z539" s="7">
        <f t="shared" si="730"/>
        <v>0</v>
      </c>
      <c r="AA539" s="11">
        <f t="shared" si="636"/>
        <v>0</v>
      </c>
      <c r="AB539" s="25"/>
      <c r="AC539" s="10" t="str">
        <f t="shared" si="637"/>
        <v>OutubroSEMANA 3Salsa Lisa Orgânica</v>
      </c>
      <c r="AD539" s="7">
        <f>SUMIF(NF!$A:$A,$AC539,NF!$I:$I)</f>
        <v>0</v>
      </c>
      <c r="AE539" s="6"/>
      <c r="AF539" s="6"/>
      <c r="AG539" s="6"/>
      <c r="AH539" s="6"/>
      <c r="AI539" s="6"/>
      <c r="AJ539" s="6"/>
      <c r="AK539" s="6"/>
      <c r="AL539" s="7">
        <f t="shared" si="731"/>
        <v>0</v>
      </c>
      <c r="AM539" s="11">
        <f t="shared" si="639"/>
        <v>0</v>
      </c>
      <c r="AN539" s="25"/>
      <c r="AO539" s="10" t="str">
        <f t="shared" si="640"/>
        <v>OutubroSEMANA 4Salsa Lisa Orgânica</v>
      </c>
      <c r="AP539" s="7">
        <f>SUMIF(NF!$A:$A,$AO539,NF!$I:$I)</f>
        <v>0</v>
      </c>
      <c r="AQ539" s="6"/>
      <c r="AR539" s="6"/>
      <c r="AS539" s="6"/>
      <c r="AT539" s="6"/>
      <c r="AU539" s="6"/>
      <c r="AV539" s="6"/>
      <c r="AW539" s="6"/>
      <c r="AX539" s="7">
        <f t="shared" si="732"/>
        <v>0</v>
      </c>
      <c r="AY539" s="11">
        <f t="shared" si="642"/>
        <v>0</v>
      </c>
      <c r="AZ539" s="25"/>
      <c r="BA539" s="10" t="str">
        <f t="shared" si="643"/>
        <v>OutubroSEMANA 5Salsa Lisa Orgânica</v>
      </c>
      <c r="BB539" s="7">
        <f>SUMIF(NF!$A:$A,$BA539,NF!$I:$I)</f>
        <v>0</v>
      </c>
      <c r="BC539" s="6"/>
      <c r="BD539" s="6"/>
      <c r="BE539" s="6"/>
      <c r="BF539" s="74"/>
      <c r="BG539" s="74"/>
      <c r="BH539" s="74"/>
      <c r="BI539" s="74"/>
      <c r="BJ539" s="74"/>
      <c r="BK539" s="7">
        <f t="shared" si="733"/>
        <v>0</v>
      </c>
      <c r="BL539" s="8">
        <f t="shared" si="645"/>
        <v>0</v>
      </c>
      <c r="BM539" s="51" t="str">
        <f>IFERROR(VLOOKUP(A539,NF!$M:$O,3,0),"")</f>
        <v>Hortifruti</v>
      </c>
      <c r="BN539" s="7">
        <f t="shared" si="646"/>
        <v>0</v>
      </c>
      <c r="BO539" s="8">
        <f t="array" ref="BO539">IFERROR(LARGE(IF(NF!$G$2:$G$3137='Mês atual'!A539,NF!$J$2:$J$3137),1),0)*BN539</f>
        <v>0</v>
      </c>
      <c r="BP539" s="50"/>
      <c r="BR539" s="147">
        <f t="array" ref="BR539">IFERROR(LARGE(IF(NF!$G$2:$G$3137='Mês atual'!A539,NF!$J$2:$J$3137),1),0)</f>
        <v>0</v>
      </c>
      <c r="BS539" s="143" t="str">
        <f>VLOOKUP(A539,NF!M:O,3,0)</f>
        <v>Hortifruti</v>
      </c>
    </row>
    <row r="540" spans="1:71" x14ac:dyDescent="0.25">
      <c r="A540" s="108" t="s">
        <v>733</v>
      </c>
      <c r="B540" s="12"/>
      <c r="C540" s="9"/>
      <c r="D540" s="25"/>
      <c r="E540" s="10" t="str">
        <f t="shared" si="631"/>
        <v>OutubroSEMANA 1Sálvia</v>
      </c>
      <c r="F540" s="7">
        <f>SUMIF(NF!$A:$A,$E540,NF!$I:$I)</f>
        <v>0</v>
      </c>
      <c r="G540" s="6"/>
      <c r="H540" s="6"/>
      <c r="I540" s="6"/>
      <c r="J540" s="6"/>
      <c r="K540" s="6"/>
      <c r="L540" s="6"/>
      <c r="M540" s="6"/>
      <c r="N540" s="7">
        <f t="shared" si="729"/>
        <v>0</v>
      </c>
      <c r="O540" s="11">
        <f t="shared" si="633"/>
        <v>0</v>
      </c>
      <c r="P540" s="25"/>
      <c r="Q540" s="10" t="str">
        <f t="shared" si="634"/>
        <v>OutubroSEMANA 2Sálvia</v>
      </c>
      <c r="R540" s="7">
        <f>SUMIF(NF!$A:$A,$Q540,NF!$I:$I)</f>
        <v>0</v>
      </c>
      <c r="S540" s="6"/>
      <c r="T540" s="6"/>
      <c r="U540" s="6"/>
      <c r="V540" s="6"/>
      <c r="W540" s="6"/>
      <c r="X540" s="6"/>
      <c r="Y540" s="6"/>
      <c r="Z540" s="7">
        <f t="shared" si="730"/>
        <v>0</v>
      </c>
      <c r="AA540" s="11">
        <f t="shared" si="636"/>
        <v>0</v>
      </c>
      <c r="AB540" s="25"/>
      <c r="AC540" s="10" t="str">
        <f t="shared" si="637"/>
        <v>OutubroSEMANA 3Sálvia</v>
      </c>
      <c r="AD540" s="7">
        <f>SUMIF(NF!$A:$A,$AC540,NF!$I:$I)</f>
        <v>0</v>
      </c>
      <c r="AE540" s="6"/>
      <c r="AF540" s="6"/>
      <c r="AG540" s="6"/>
      <c r="AH540" s="6"/>
      <c r="AI540" s="6"/>
      <c r="AJ540" s="6"/>
      <c r="AK540" s="6"/>
      <c r="AL540" s="7">
        <f t="shared" si="731"/>
        <v>0</v>
      </c>
      <c r="AM540" s="11">
        <f t="shared" si="639"/>
        <v>0</v>
      </c>
      <c r="AN540" s="25"/>
      <c r="AO540" s="10" t="str">
        <f t="shared" si="640"/>
        <v>OutubroSEMANA 4Sálvia</v>
      </c>
      <c r="AP540" s="7">
        <f>SUMIF(NF!$A:$A,$AO540,NF!$I:$I)</f>
        <v>0</v>
      </c>
      <c r="AQ540" s="6"/>
      <c r="AR540" s="6"/>
      <c r="AS540" s="6"/>
      <c r="AT540" s="6"/>
      <c r="AU540" s="6"/>
      <c r="AV540" s="6"/>
      <c r="AW540" s="6"/>
      <c r="AX540" s="7">
        <f t="shared" si="732"/>
        <v>0</v>
      </c>
      <c r="AY540" s="11">
        <f t="shared" si="642"/>
        <v>0</v>
      </c>
      <c r="AZ540" s="25"/>
      <c r="BA540" s="10" t="str">
        <f t="shared" si="643"/>
        <v>OutubroSEMANA 5Sálvia</v>
      </c>
      <c r="BB540" s="7">
        <f>SUMIF(NF!$A:$A,$BA540,NF!$I:$I)</f>
        <v>0</v>
      </c>
      <c r="BC540" s="6"/>
      <c r="BD540" s="6"/>
      <c r="BE540" s="6"/>
      <c r="BF540" s="74"/>
      <c r="BG540" s="74"/>
      <c r="BH540" s="74"/>
      <c r="BI540" s="74"/>
      <c r="BJ540" s="74"/>
      <c r="BK540" s="7">
        <f t="shared" si="733"/>
        <v>0</v>
      </c>
      <c r="BL540" s="8">
        <f t="shared" si="645"/>
        <v>0</v>
      </c>
      <c r="BM540" s="51" t="str">
        <f>IFERROR(VLOOKUP(A540,NF!$M:$O,3,0),"")</f>
        <v>Hortifruti</v>
      </c>
      <c r="BN540" s="7">
        <f t="shared" si="646"/>
        <v>0</v>
      </c>
      <c r="BO540" s="8">
        <f t="array" ref="BO540">IFERROR(LARGE(IF(NF!$G$2:$G$3137='Mês atual'!A540,NF!$J$2:$J$3137),1),0)*BN540</f>
        <v>0</v>
      </c>
      <c r="BP540" s="50"/>
      <c r="BR540" s="147">
        <f t="array" ref="BR540">IFERROR(LARGE(IF(NF!$G$2:$G$3137='Mês atual'!A540,NF!$J$2:$J$3137),1),0)</f>
        <v>0</v>
      </c>
      <c r="BS540" s="143" t="str">
        <f>VLOOKUP(A540,NF!M:O,3,0)</f>
        <v>Hortifruti</v>
      </c>
    </row>
    <row r="541" spans="1:71" x14ac:dyDescent="0.25">
      <c r="A541" s="108" t="s">
        <v>1025</v>
      </c>
      <c r="B541" s="12"/>
      <c r="C541" s="9"/>
      <c r="D541" s="25"/>
      <c r="E541" s="10" t="str">
        <f t="shared" si="631"/>
        <v>OutubroSEMANA 1Tamarindo</v>
      </c>
      <c r="F541" s="7">
        <f>SUMIF(NF!$A:$A,$E541,NF!$I:$I)</f>
        <v>0</v>
      </c>
      <c r="G541" s="6"/>
      <c r="H541" s="6"/>
      <c r="I541" s="6"/>
      <c r="J541" s="6"/>
      <c r="K541" s="6"/>
      <c r="L541" s="6"/>
      <c r="M541" s="6"/>
      <c r="N541" s="7">
        <f t="shared" ref="N541" si="755">SUM(G541:M541)</f>
        <v>0</v>
      </c>
      <c r="O541" s="11">
        <f t="shared" ref="O541" si="756">F541+C541-N541</f>
        <v>0</v>
      </c>
      <c r="P541" s="25"/>
      <c r="Q541" s="10" t="str">
        <f t="shared" si="634"/>
        <v>OutubroSEMANA 2Tamarindo</v>
      </c>
      <c r="R541" s="7">
        <f>SUMIF(NF!$A:$A,$Q541,NF!$I:$I)</f>
        <v>0</v>
      </c>
      <c r="S541" s="6"/>
      <c r="T541" s="6"/>
      <c r="U541" s="6"/>
      <c r="V541" s="6"/>
      <c r="W541" s="6"/>
      <c r="X541" s="6"/>
      <c r="Y541" s="6"/>
      <c r="Z541" s="7">
        <f t="shared" ref="Z541" si="757">SUM(S541:Y541)</f>
        <v>0</v>
      </c>
      <c r="AA541" s="11">
        <f t="shared" ref="AA541" si="758">R541+O541-Z541</f>
        <v>0</v>
      </c>
      <c r="AB541" s="25"/>
      <c r="AC541" s="10" t="str">
        <f t="shared" si="637"/>
        <v>OutubroSEMANA 3Tamarindo</v>
      </c>
      <c r="AD541" s="7">
        <f>SUMIF(NF!$A:$A,$AC541,NF!$I:$I)</f>
        <v>0</v>
      </c>
      <c r="AE541" s="6"/>
      <c r="AF541" s="6"/>
      <c r="AG541" s="6"/>
      <c r="AH541" s="6"/>
      <c r="AI541" s="6"/>
      <c r="AJ541" s="6"/>
      <c r="AK541" s="6"/>
      <c r="AL541" s="7">
        <f t="shared" ref="AL541" si="759">SUM(AE541:AK541)</f>
        <v>0</v>
      </c>
      <c r="AM541" s="11">
        <f t="shared" ref="AM541" si="760">AD541+AA541-AL541</f>
        <v>0</v>
      </c>
      <c r="AN541" s="25"/>
      <c r="AO541" s="10" t="str">
        <f t="shared" si="640"/>
        <v>OutubroSEMANA 4Tamarindo</v>
      </c>
      <c r="AP541" s="7">
        <f>SUMIF(NF!$A:$A,$AO541,NF!$I:$I)</f>
        <v>0</v>
      </c>
      <c r="AQ541" s="6"/>
      <c r="AR541" s="6"/>
      <c r="AS541" s="6"/>
      <c r="AT541" s="6"/>
      <c r="AU541" s="6"/>
      <c r="AV541" s="6"/>
      <c r="AW541" s="6"/>
      <c r="AX541" s="7">
        <f t="shared" ref="AX541" si="761">SUM(AQ541:AW541)</f>
        <v>0</v>
      </c>
      <c r="AY541" s="11">
        <f t="shared" ref="AY541" si="762">AP541+AM541-AX541</f>
        <v>0</v>
      </c>
      <c r="AZ541" s="25"/>
      <c r="BA541" s="10" t="str">
        <f t="shared" si="643"/>
        <v>OutubroSEMANA 5Tamarindo</v>
      </c>
      <c r="BB541" s="7">
        <f>SUMIF(NF!$A:$A,$BA541,NF!$I:$I)</f>
        <v>0</v>
      </c>
      <c r="BC541" s="6"/>
      <c r="BD541" s="6"/>
      <c r="BE541" s="6"/>
      <c r="BF541" s="74"/>
      <c r="BG541" s="74"/>
      <c r="BH541" s="74"/>
      <c r="BI541" s="74"/>
      <c r="BJ541" s="74"/>
      <c r="BK541" s="7">
        <f t="shared" ref="BK541" si="763">SUM(BC541:BJ541)</f>
        <v>0</v>
      </c>
      <c r="BL541" s="8">
        <f t="shared" ref="BL541" si="764">BB541+AY541-BK541</f>
        <v>0</v>
      </c>
      <c r="BM541" s="51" t="str">
        <f>IFERROR(VLOOKUP(A541,NF!$M:$O,3,0),"")</f>
        <v>Hortifruti</v>
      </c>
      <c r="BN541" s="7">
        <f t="shared" ref="BN541" si="765">SUM(N541,Z541,AL541,AX541,BK541)</f>
        <v>0</v>
      </c>
      <c r="BO541" s="8">
        <f t="array" ref="BO541">IFERROR(LARGE(IF(NF!$G$2:$G$3137='Mês atual'!A541,NF!$J$2:$J$3137),1),0)*BN541</f>
        <v>0</v>
      </c>
      <c r="BP541" s="50"/>
      <c r="BR541" s="147">
        <f t="array" ref="BR541">IFERROR(LARGE(IF(NF!$G$2:$G$3137='Mês atual'!A541,NF!$J$2:$J$3137),1),0)</f>
        <v>0</v>
      </c>
      <c r="BS541" s="143" t="str">
        <f>VLOOKUP(A541,NF!M:O,3,0)</f>
        <v>Hortifruti</v>
      </c>
    </row>
    <row r="542" spans="1:71" x14ac:dyDescent="0.25">
      <c r="A542" s="108" t="s">
        <v>784</v>
      </c>
      <c r="B542" s="12"/>
      <c r="C542" s="9"/>
      <c r="D542" s="25"/>
      <c r="E542" s="10" t="str">
        <f t="shared" si="631"/>
        <v>OutubroSEMANA 1Tangerina</v>
      </c>
      <c r="F542" s="7">
        <f>SUMIF(NF!$A:$A,$E542,NF!$I:$I)</f>
        <v>0</v>
      </c>
      <c r="G542" s="6"/>
      <c r="H542" s="6"/>
      <c r="I542" s="6"/>
      <c r="J542" s="6"/>
      <c r="K542" s="6"/>
      <c r="L542" s="6"/>
      <c r="M542" s="6"/>
      <c r="N542" s="7">
        <f t="shared" si="729"/>
        <v>0</v>
      </c>
      <c r="O542" s="11">
        <f t="shared" si="633"/>
        <v>0</v>
      </c>
      <c r="P542" s="25"/>
      <c r="Q542" s="10" t="str">
        <f t="shared" si="634"/>
        <v>OutubroSEMANA 2Tangerina</v>
      </c>
      <c r="R542" s="7">
        <f>SUMIF(NF!$A:$A,$Q542,NF!$I:$I)</f>
        <v>2.2000000000000002</v>
      </c>
      <c r="S542" s="6"/>
      <c r="T542" s="6"/>
      <c r="U542" s="6"/>
      <c r="V542" s="6"/>
      <c r="W542" s="6"/>
      <c r="X542" s="6">
        <v>2.2000000000000002</v>
      </c>
      <c r="Y542" s="6"/>
      <c r="Z542" s="7">
        <f t="shared" si="730"/>
        <v>2.2000000000000002</v>
      </c>
      <c r="AA542" s="11">
        <f t="shared" si="636"/>
        <v>0</v>
      </c>
      <c r="AB542" s="25"/>
      <c r="AC542" s="10" t="str">
        <f t="shared" si="637"/>
        <v>OutubroSEMANA 3Tangerina</v>
      </c>
      <c r="AD542" s="7">
        <f>SUMIF(NF!$A:$A,$AC542,NF!$I:$I)</f>
        <v>0</v>
      </c>
      <c r="AE542" s="6"/>
      <c r="AF542" s="6"/>
      <c r="AG542" s="6"/>
      <c r="AH542" s="6"/>
      <c r="AI542" s="6"/>
      <c r="AJ542" s="6"/>
      <c r="AK542" s="6"/>
      <c r="AL542" s="7">
        <f t="shared" si="731"/>
        <v>0</v>
      </c>
      <c r="AM542" s="11">
        <f t="shared" si="639"/>
        <v>0</v>
      </c>
      <c r="AN542" s="25"/>
      <c r="AO542" s="10" t="str">
        <f t="shared" si="640"/>
        <v>OutubroSEMANA 4Tangerina</v>
      </c>
      <c r="AP542" s="7">
        <f>SUMIF(NF!$A:$A,$AO542,NF!$I:$I)</f>
        <v>0</v>
      </c>
      <c r="AQ542" s="6"/>
      <c r="AR542" s="6"/>
      <c r="AS542" s="6"/>
      <c r="AT542" s="6"/>
      <c r="AU542" s="6"/>
      <c r="AV542" s="6"/>
      <c r="AW542" s="6"/>
      <c r="AX542" s="7">
        <f t="shared" si="732"/>
        <v>0</v>
      </c>
      <c r="AY542" s="11">
        <f t="shared" si="642"/>
        <v>0</v>
      </c>
      <c r="AZ542" s="25"/>
      <c r="BA542" s="10" t="str">
        <f t="shared" si="643"/>
        <v>OutubroSEMANA 5Tangerina</v>
      </c>
      <c r="BB542" s="7">
        <f>SUMIF(NF!$A:$A,$BA542,NF!$I:$I)</f>
        <v>0</v>
      </c>
      <c r="BC542" s="6"/>
      <c r="BD542" s="6"/>
      <c r="BE542" s="6"/>
      <c r="BF542" s="74"/>
      <c r="BG542" s="74"/>
      <c r="BH542" s="74"/>
      <c r="BI542" s="74"/>
      <c r="BJ542" s="74"/>
      <c r="BK542" s="7">
        <f t="shared" si="733"/>
        <v>0</v>
      </c>
      <c r="BL542" s="8">
        <f t="shared" si="645"/>
        <v>0</v>
      </c>
      <c r="BM542" s="51" t="str">
        <f>IFERROR(VLOOKUP(A542,NF!$M:$O,3,0),"")</f>
        <v>Hortifruti</v>
      </c>
      <c r="BN542" s="7">
        <f t="shared" si="646"/>
        <v>2.2000000000000002</v>
      </c>
      <c r="BO542" s="8">
        <f t="array" ref="BO542">IFERROR(LARGE(IF(NF!$G$2:$G$3137='Mês atual'!A542,NF!$J$2:$J$3137),1),0)*BN542</f>
        <v>8.14</v>
      </c>
      <c r="BP542" s="50"/>
      <c r="BR542" s="147">
        <f t="array" ref="BR542">IFERROR(LARGE(IF(NF!$G$2:$G$3137='Mês atual'!A542,NF!$J$2:$J$3137),1),0)</f>
        <v>3.7</v>
      </c>
      <c r="BS542" s="143" t="str">
        <f>VLOOKUP(A542,NF!M:O,3,0)</f>
        <v>Hortifruti</v>
      </c>
    </row>
    <row r="543" spans="1:71" x14ac:dyDescent="0.25">
      <c r="A543" s="108" t="s">
        <v>788</v>
      </c>
      <c r="B543" s="12"/>
      <c r="C543" s="9"/>
      <c r="D543" s="25"/>
      <c r="E543" s="10" t="str">
        <f t="shared" si="631"/>
        <v>OutubroSEMANA 1Tofu 500 gr</v>
      </c>
      <c r="F543" s="7">
        <f>SUMIF(NF!$A:$A,$E543,NF!$I:$I)</f>
        <v>0</v>
      </c>
      <c r="G543" s="6"/>
      <c r="H543" s="6"/>
      <c r="I543" s="6"/>
      <c r="J543" s="6"/>
      <c r="K543" s="6"/>
      <c r="L543" s="6"/>
      <c r="M543" s="6"/>
      <c r="N543" s="7">
        <f t="shared" si="729"/>
        <v>0</v>
      </c>
      <c r="O543" s="11">
        <f t="shared" si="633"/>
        <v>0</v>
      </c>
      <c r="P543" s="25"/>
      <c r="Q543" s="10" t="str">
        <f t="shared" si="634"/>
        <v>OutubroSEMANA 2Tofu 500 gr</v>
      </c>
      <c r="R543" s="7">
        <f>SUMIF(NF!$A:$A,$Q543,NF!$I:$I)</f>
        <v>0</v>
      </c>
      <c r="S543" s="6"/>
      <c r="T543" s="6"/>
      <c r="U543" s="6"/>
      <c r="V543" s="6"/>
      <c r="W543" s="6"/>
      <c r="X543" s="6"/>
      <c r="Y543" s="6"/>
      <c r="Z543" s="7">
        <f t="shared" si="730"/>
        <v>0</v>
      </c>
      <c r="AA543" s="11">
        <f t="shared" si="636"/>
        <v>0</v>
      </c>
      <c r="AB543" s="25"/>
      <c r="AC543" s="10" t="str">
        <f t="shared" si="637"/>
        <v>OutubroSEMANA 3Tofu 500 gr</v>
      </c>
      <c r="AD543" s="7">
        <f>SUMIF(NF!$A:$A,$AC543,NF!$I:$I)</f>
        <v>0</v>
      </c>
      <c r="AE543" s="6"/>
      <c r="AF543" s="6"/>
      <c r="AG543" s="6"/>
      <c r="AH543" s="6"/>
      <c r="AI543" s="6"/>
      <c r="AJ543" s="6"/>
      <c r="AK543" s="6"/>
      <c r="AL543" s="7">
        <f t="shared" si="731"/>
        <v>0</v>
      </c>
      <c r="AM543" s="11">
        <f t="shared" si="639"/>
        <v>0</v>
      </c>
      <c r="AN543" s="25"/>
      <c r="AO543" s="10" t="str">
        <f t="shared" si="640"/>
        <v>OutubroSEMANA 4Tofu 500 gr</v>
      </c>
      <c r="AP543" s="7">
        <f>SUMIF(NF!$A:$A,$AO543,NF!$I:$I)</f>
        <v>0</v>
      </c>
      <c r="AQ543" s="6"/>
      <c r="AR543" s="6"/>
      <c r="AS543" s="6"/>
      <c r="AT543" s="6"/>
      <c r="AU543" s="6"/>
      <c r="AV543" s="6"/>
      <c r="AW543" s="6"/>
      <c r="AX543" s="7">
        <f t="shared" si="732"/>
        <v>0</v>
      </c>
      <c r="AY543" s="11">
        <f t="shared" si="642"/>
        <v>0</v>
      </c>
      <c r="AZ543" s="25"/>
      <c r="BA543" s="10" t="str">
        <f t="shared" si="643"/>
        <v>OutubroSEMANA 5Tofu 500 gr</v>
      </c>
      <c r="BB543" s="7">
        <f>SUMIF(NF!$A:$A,$BA543,NF!$I:$I)</f>
        <v>0</v>
      </c>
      <c r="BC543" s="6"/>
      <c r="BD543" s="6"/>
      <c r="BE543" s="6"/>
      <c r="BF543" s="74"/>
      <c r="BG543" s="74"/>
      <c r="BH543" s="74"/>
      <c r="BI543" s="74"/>
      <c r="BJ543" s="74"/>
      <c r="BK543" s="7">
        <f t="shared" si="733"/>
        <v>0</v>
      </c>
      <c r="BL543" s="8">
        <f t="shared" si="645"/>
        <v>0</v>
      </c>
      <c r="BM543" s="51" t="str">
        <f>IFERROR(VLOOKUP(A543,NF!$M:$O,3,0),"")</f>
        <v>Hortifruti</v>
      </c>
      <c r="BN543" s="7">
        <f t="shared" si="646"/>
        <v>0</v>
      </c>
      <c r="BO543" s="8">
        <f t="array" ref="BO543">IFERROR(LARGE(IF(NF!$G$2:$G$3137='Mês atual'!A543,NF!$J$2:$J$3137),1),0)*BN543</f>
        <v>0</v>
      </c>
      <c r="BP543" s="50"/>
      <c r="BR543" s="147">
        <f t="array" ref="BR543">IFERROR(LARGE(IF(NF!$G$2:$G$3137='Mês atual'!A543,NF!$J$2:$J$3137),1),0)</f>
        <v>0</v>
      </c>
      <c r="BS543" s="143" t="str">
        <f>VLOOKUP(A543,NF!M:O,3,0)</f>
        <v>Hortifruti</v>
      </c>
    </row>
    <row r="544" spans="1:71" x14ac:dyDescent="0.25">
      <c r="A544" s="108" t="s">
        <v>789</v>
      </c>
      <c r="B544" s="12"/>
      <c r="C544" s="9"/>
      <c r="D544" s="25"/>
      <c r="E544" s="10" t="str">
        <f t="shared" si="631"/>
        <v>OutubroSEMANA 1Tofu Kilo</v>
      </c>
      <c r="F544" s="7">
        <f>SUMIF(NF!$A:$A,$E544,NF!$I:$I)</f>
        <v>3</v>
      </c>
      <c r="G544" s="6"/>
      <c r="H544" s="6"/>
      <c r="I544" s="6"/>
      <c r="J544" s="6">
        <v>3</v>
      </c>
      <c r="K544" s="6"/>
      <c r="L544" s="6"/>
      <c r="M544" s="6"/>
      <c r="N544" s="7">
        <f t="shared" si="729"/>
        <v>3</v>
      </c>
      <c r="O544" s="11">
        <f t="shared" si="633"/>
        <v>0</v>
      </c>
      <c r="P544" s="25"/>
      <c r="Q544" s="10" t="str">
        <f t="shared" si="634"/>
        <v>OutubroSEMANA 2Tofu Kilo</v>
      </c>
      <c r="R544" s="7">
        <f>SUMIF(NF!$A:$A,$Q544,NF!$I:$I)</f>
        <v>2</v>
      </c>
      <c r="S544" s="6"/>
      <c r="T544" s="6"/>
      <c r="U544" s="6"/>
      <c r="V544" s="6">
        <v>2</v>
      </c>
      <c r="W544" s="6"/>
      <c r="X544" s="6"/>
      <c r="Y544" s="6"/>
      <c r="Z544" s="7">
        <f t="shared" si="730"/>
        <v>2</v>
      </c>
      <c r="AA544" s="11">
        <f t="shared" si="636"/>
        <v>0</v>
      </c>
      <c r="AB544" s="25"/>
      <c r="AC544" s="10" t="str">
        <f t="shared" si="637"/>
        <v>OutubroSEMANA 3Tofu Kilo</v>
      </c>
      <c r="AD544" s="7">
        <f>SUMIF(NF!$A:$A,$AC544,NF!$I:$I)</f>
        <v>5</v>
      </c>
      <c r="AE544" s="6"/>
      <c r="AF544" s="6"/>
      <c r="AG544" s="6"/>
      <c r="AH544" s="6">
        <v>3</v>
      </c>
      <c r="AI544" s="6">
        <v>1</v>
      </c>
      <c r="AJ544" s="6"/>
      <c r="AK544" s="6"/>
      <c r="AL544" s="7">
        <f t="shared" si="731"/>
        <v>4</v>
      </c>
      <c r="AM544" s="11">
        <f t="shared" si="639"/>
        <v>1</v>
      </c>
      <c r="AN544" s="25"/>
      <c r="AO544" s="10" t="str">
        <f t="shared" si="640"/>
        <v>OutubroSEMANA 4Tofu Kilo</v>
      </c>
      <c r="AP544" s="7">
        <f>SUMIF(NF!$A:$A,$AO544,NF!$I:$I)</f>
        <v>2</v>
      </c>
      <c r="AQ544" s="6">
        <v>1</v>
      </c>
      <c r="AR544" s="6"/>
      <c r="AS544" s="6"/>
      <c r="AT544" s="6">
        <v>2</v>
      </c>
      <c r="AU544" s="6"/>
      <c r="AV544" s="6"/>
      <c r="AW544" s="6"/>
      <c r="AX544" s="7">
        <f t="shared" si="732"/>
        <v>3</v>
      </c>
      <c r="AY544" s="11">
        <f t="shared" si="642"/>
        <v>0</v>
      </c>
      <c r="AZ544" s="25"/>
      <c r="BA544" s="10" t="str">
        <f t="shared" si="643"/>
        <v>OutubroSEMANA 5Tofu Kilo</v>
      </c>
      <c r="BB544" s="7">
        <f>SUMIF(NF!$A:$A,$BA544,NF!$I:$I)</f>
        <v>2</v>
      </c>
      <c r="BC544" s="6"/>
      <c r="BD544" s="6"/>
      <c r="BE544" s="6"/>
      <c r="BF544" s="74"/>
      <c r="BG544" s="74"/>
      <c r="BH544" s="74"/>
      <c r="BI544" s="74"/>
      <c r="BJ544" s="74"/>
      <c r="BK544" s="7">
        <f t="shared" si="733"/>
        <v>0</v>
      </c>
      <c r="BL544" s="8">
        <f t="shared" si="645"/>
        <v>2</v>
      </c>
      <c r="BM544" s="51" t="str">
        <f>IFERROR(VLOOKUP(A544,NF!$M:$O,3,0),"")</f>
        <v>Hortifruti</v>
      </c>
      <c r="BN544" s="7">
        <f t="shared" si="646"/>
        <v>12</v>
      </c>
      <c r="BO544" s="8">
        <f t="array" ref="BO544">IFERROR(LARGE(IF(NF!$G$2:$G$3137='Mês atual'!A544,NF!$J$2:$J$3137),1),0)*BN544</f>
        <v>168</v>
      </c>
      <c r="BP544" s="50"/>
      <c r="BR544" s="147">
        <f t="array" ref="BR544">IFERROR(LARGE(IF(NF!$G$2:$G$3137='Mês atual'!A544,NF!$J$2:$J$3137),1),0)</f>
        <v>14</v>
      </c>
      <c r="BS544" s="143" t="str">
        <f>VLOOKUP(A544,NF!M:O,3,0)</f>
        <v>Hortifruti</v>
      </c>
    </row>
    <row r="545" spans="1:74" x14ac:dyDescent="0.25">
      <c r="A545" s="108" t="s">
        <v>790</v>
      </c>
      <c r="B545" s="12"/>
      <c r="C545" s="9">
        <v>15</v>
      </c>
      <c r="D545" s="25"/>
      <c r="E545" s="10" t="str">
        <f t="shared" si="631"/>
        <v>OutubroSEMANA 1Tomate Cereja</v>
      </c>
      <c r="F545" s="7">
        <f>SUMIF(NF!$A:$A,$E545,NF!$I:$I)</f>
        <v>9</v>
      </c>
      <c r="G545" s="6">
        <v>5</v>
      </c>
      <c r="H545" s="6">
        <v>10</v>
      </c>
      <c r="I545" s="6"/>
      <c r="J545" s="6">
        <v>7</v>
      </c>
      <c r="K545" s="6"/>
      <c r="L545" s="6"/>
      <c r="M545" s="6"/>
      <c r="N545" s="7">
        <f t="shared" si="729"/>
        <v>22</v>
      </c>
      <c r="O545" s="11">
        <f t="shared" si="633"/>
        <v>2</v>
      </c>
      <c r="P545" s="25"/>
      <c r="Q545" s="10" t="str">
        <f t="shared" si="634"/>
        <v>OutubroSEMANA 2Tomate Cereja</v>
      </c>
      <c r="R545" s="7">
        <f>SUMIF(NF!$A:$A,$Q545,NF!$I:$I)</f>
        <v>5</v>
      </c>
      <c r="S545" s="6">
        <v>2</v>
      </c>
      <c r="T545" s="6"/>
      <c r="U545" s="6"/>
      <c r="V545" s="6"/>
      <c r="W545" s="6">
        <v>5</v>
      </c>
      <c r="X545" s="6"/>
      <c r="Y545" s="6"/>
      <c r="Z545" s="7">
        <f t="shared" si="730"/>
        <v>7</v>
      </c>
      <c r="AA545" s="11">
        <f t="shared" si="636"/>
        <v>0</v>
      </c>
      <c r="AB545" s="25"/>
      <c r="AC545" s="10" t="str">
        <f t="shared" si="637"/>
        <v>OutubroSEMANA 3Tomate Cereja</v>
      </c>
      <c r="AD545" s="7">
        <f>SUMIF(NF!$A:$A,$AC545,NF!$I:$I)</f>
        <v>14</v>
      </c>
      <c r="AE545" s="6"/>
      <c r="AF545" s="6"/>
      <c r="AG545" s="6"/>
      <c r="AH545" s="6"/>
      <c r="AI545" s="6"/>
      <c r="AJ545" s="6">
        <v>7</v>
      </c>
      <c r="AK545" s="6">
        <v>5</v>
      </c>
      <c r="AL545" s="7">
        <f t="shared" si="731"/>
        <v>12</v>
      </c>
      <c r="AM545" s="11">
        <f t="shared" si="639"/>
        <v>2</v>
      </c>
      <c r="AN545" s="25"/>
      <c r="AO545" s="10" t="str">
        <f t="shared" si="640"/>
        <v>OutubroSEMANA 4Tomate Cereja</v>
      </c>
      <c r="AP545" s="7">
        <f>SUMIF(NF!$A:$A,$AO545,NF!$I:$I)</f>
        <v>0</v>
      </c>
      <c r="AQ545" s="6"/>
      <c r="AR545" s="6">
        <v>2</v>
      </c>
      <c r="AS545" s="6"/>
      <c r="AT545" s="6"/>
      <c r="AU545" s="6"/>
      <c r="AV545" s="6"/>
      <c r="AW545" s="6"/>
      <c r="AX545" s="7">
        <f t="shared" si="732"/>
        <v>2</v>
      </c>
      <c r="AY545" s="11">
        <f t="shared" si="642"/>
        <v>0</v>
      </c>
      <c r="AZ545" s="25"/>
      <c r="BA545" s="10" t="str">
        <f t="shared" si="643"/>
        <v>OutubroSEMANA 5Tomate Cereja</v>
      </c>
      <c r="BB545" s="7">
        <f>SUMIF(NF!$A:$A,$BA545,NF!$I:$I)</f>
        <v>0</v>
      </c>
      <c r="BC545" s="6"/>
      <c r="BD545" s="6"/>
      <c r="BE545" s="6"/>
      <c r="BF545" s="74"/>
      <c r="BG545" s="74"/>
      <c r="BH545" s="74"/>
      <c r="BI545" s="74"/>
      <c r="BJ545" s="74"/>
      <c r="BK545" s="7">
        <f t="shared" si="733"/>
        <v>0</v>
      </c>
      <c r="BL545" s="8">
        <f t="shared" si="645"/>
        <v>0</v>
      </c>
      <c r="BM545" s="51" t="str">
        <f>IFERROR(VLOOKUP(A545,NF!$M:$O,3,0),"")</f>
        <v>Hortifruti</v>
      </c>
      <c r="BN545" s="7">
        <f t="shared" si="646"/>
        <v>43</v>
      </c>
      <c r="BO545" s="8">
        <f t="array" ref="BO545">IFERROR(LARGE(IF(NF!$G$2:$G$3137='Mês atual'!A545,NF!$J$2:$J$3137),1),0)*BN545</f>
        <v>337.55</v>
      </c>
      <c r="BP545" s="50"/>
      <c r="BR545" s="147">
        <f t="array" ref="BR545">IFERROR(LARGE(IF(NF!$G$2:$G$3137='Mês atual'!A545,NF!$J$2:$J$3137),1),0)</f>
        <v>7.85</v>
      </c>
      <c r="BS545" s="143" t="str">
        <f>VLOOKUP(A545,NF!M:O,3,0)</f>
        <v>Hortifruti</v>
      </c>
    </row>
    <row r="546" spans="1:74" x14ac:dyDescent="0.25">
      <c r="A546" s="108" t="s">
        <v>791</v>
      </c>
      <c r="B546" s="12"/>
      <c r="C546" s="9"/>
      <c r="D546" s="25"/>
      <c r="E546" s="10" t="str">
        <f t="shared" si="631"/>
        <v>OutubroSEMANA 1Tomate Cereja Orgânico</v>
      </c>
      <c r="F546" s="7">
        <f>SUMIF(NF!$A:$A,$E546,NF!$I:$I)</f>
        <v>0</v>
      </c>
      <c r="G546" s="6"/>
      <c r="H546" s="6"/>
      <c r="I546" s="6"/>
      <c r="J546" s="6"/>
      <c r="K546" s="6"/>
      <c r="L546" s="6"/>
      <c r="M546" s="6"/>
      <c r="N546" s="7">
        <f t="shared" si="729"/>
        <v>0</v>
      </c>
      <c r="O546" s="11">
        <f t="shared" si="633"/>
        <v>0</v>
      </c>
      <c r="P546" s="25"/>
      <c r="Q546" s="10" t="str">
        <f t="shared" si="634"/>
        <v>OutubroSEMANA 2Tomate Cereja Orgânico</v>
      </c>
      <c r="R546" s="7">
        <f>SUMIF(NF!$A:$A,$Q546,NF!$I:$I)</f>
        <v>0</v>
      </c>
      <c r="S546" s="6"/>
      <c r="T546" s="6"/>
      <c r="U546" s="6"/>
      <c r="V546" s="6"/>
      <c r="W546" s="6"/>
      <c r="X546" s="6"/>
      <c r="Y546" s="6"/>
      <c r="Z546" s="7">
        <f t="shared" si="730"/>
        <v>0</v>
      </c>
      <c r="AA546" s="11">
        <f t="shared" si="636"/>
        <v>0</v>
      </c>
      <c r="AB546" s="25"/>
      <c r="AC546" s="10" t="str">
        <f t="shared" si="637"/>
        <v>OutubroSEMANA 3Tomate Cereja Orgânico</v>
      </c>
      <c r="AD546" s="7">
        <f>SUMIF(NF!$A:$A,$AC546,NF!$I:$I)</f>
        <v>0</v>
      </c>
      <c r="AE546" s="6"/>
      <c r="AF546" s="6"/>
      <c r="AG546" s="6"/>
      <c r="AH546" s="6"/>
      <c r="AI546" s="6"/>
      <c r="AJ546" s="6"/>
      <c r="AK546" s="6"/>
      <c r="AL546" s="7">
        <f t="shared" si="731"/>
        <v>0</v>
      </c>
      <c r="AM546" s="11">
        <f t="shared" si="639"/>
        <v>0</v>
      </c>
      <c r="AN546" s="25"/>
      <c r="AO546" s="10" t="str">
        <f t="shared" si="640"/>
        <v>OutubroSEMANA 4Tomate Cereja Orgânico</v>
      </c>
      <c r="AP546" s="7">
        <f>SUMIF(NF!$A:$A,$AO546,NF!$I:$I)</f>
        <v>0</v>
      </c>
      <c r="AQ546" s="6"/>
      <c r="AR546" s="6"/>
      <c r="AS546" s="6"/>
      <c r="AT546" s="6"/>
      <c r="AU546" s="6"/>
      <c r="AV546" s="6"/>
      <c r="AW546" s="6"/>
      <c r="AX546" s="7">
        <f t="shared" si="732"/>
        <v>0</v>
      </c>
      <c r="AY546" s="11">
        <f t="shared" si="642"/>
        <v>0</v>
      </c>
      <c r="AZ546" s="25"/>
      <c r="BA546" s="10" t="str">
        <f t="shared" si="643"/>
        <v>OutubroSEMANA 5Tomate Cereja Orgânico</v>
      </c>
      <c r="BB546" s="7">
        <f>SUMIF(NF!$A:$A,$BA546,NF!$I:$I)</f>
        <v>0</v>
      </c>
      <c r="BC546" s="6"/>
      <c r="BD546" s="6"/>
      <c r="BE546" s="6"/>
      <c r="BF546" s="74"/>
      <c r="BG546" s="74"/>
      <c r="BH546" s="74"/>
      <c r="BI546" s="74"/>
      <c r="BJ546" s="74"/>
      <c r="BK546" s="7">
        <f t="shared" si="733"/>
        <v>0</v>
      </c>
      <c r="BL546" s="8">
        <f t="shared" si="645"/>
        <v>0</v>
      </c>
      <c r="BM546" s="51" t="str">
        <f>IFERROR(VLOOKUP(A546,NF!$M:$O,3,0),"")</f>
        <v>Hortifruti</v>
      </c>
      <c r="BN546" s="7">
        <f t="shared" si="646"/>
        <v>0</v>
      </c>
      <c r="BO546" s="8">
        <f t="array" ref="BO546">IFERROR(LARGE(IF(NF!$G$2:$G$3137='Mês atual'!A546,NF!$J$2:$J$3137),1),0)*BN546</f>
        <v>0</v>
      </c>
      <c r="BP546" s="50"/>
      <c r="BR546" s="147">
        <f t="array" ref="BR546">IFERROR(LARGE(IF(NF!$G$2:$G$3137='Mês atual'!A546,NF!$J$2:$J$3137),1),0)</f>
        <v>0</v>
      </c>
      <c r="BS546" s="143" t="str">
        <f>VLOOKUP(A546,NF!M:O,3,0)</f>
        <v>Hortifruti</v>
      </c>
    </row>
    <row r="547" spans="1:74" x14ac:dyDescent="0.25">
      <c r="A547" s="108" t="s">
        <v>792</v>
      </c>
      <c r="B547" s="12"/>
      <c r="C547" s="9"/>
      <c r="D547" s="25"/>
      <c r="E547" s="10" t="str">
        <f t="shared" si="631"/>
        <v>OutubroSEMANA 1Tomate Molho</v>
      </c>
      <c r="F547" s="7">
        <f>SUMIF(NF!$A:$A,$E547,NF!$I:$I)</f>
        <v>0</v>
      </c>
      <c r="G547" s="6"/>
      <c r="H547" s="6"/>
      <c r="I547" s="6"/>
      <c r="J547" s="6"/>
      <c r="K547" s="6"/>
      <c r="L547" s="6"/>
      <c r="M547" s="6"/>
      <c r="N547" s="7">
        <f t="shared" si="729"/>
        <v>0</v>
      </c>
      <c r="O547" s="11">
        <f t="shared" si="633"/>
        <v>0</v>
      </c>
      <c r="P547" s="25"/>
      <c r="Q547" s="10" t="str">
        <f t="shared" si="634"/>
        <v>OutubroSEMANA 2Tomate Molho</v>
      </c>
      <c r="R547" s="7">
        <f>SUMIF(NF!$A:$A,$Q547,NF!$I:$I)</f>
        <v>20.5</v>
      </c>
      <c r="S547" s="6"/>
      <c r="T547" s="6"/>
      <c r="U547" s="6"/>
      <c r="V547" s="6">
        <v>20.5</v>
      </c>
      <c r="W547" s="6"/>
      <c r="X547" s="6"/>
      <c r="Y547" s="6"/>
      <c r="Z547" s="7">
        <f t="shared" si="730"/>
        <v>20.5</v>
      </c>
      <c r="AA547" s="11">
        <f t="shared" si="636"/>
        <v>0</v>
      </c>
      <c r="AB547" s="25"/>
      <c r="AC547" s="10" t="str">
        <f t="shared" si="637"/>
        <v>OutubroSEMANA 3Tomate Molho</v>
      </c>
      <c r="AD547" s="7">
        <f>SUMIF(NF!$A:$A,$AC547,NF!$I:$I)</f>
        <v>39.24</v>
      </c>
      <c r="AE547" s="6"/>
      <c r="AF547" s="6"/>
      <c r="AG547" s="6"/>
      <c r="AH547" s="6"/>
      <c r="AI547" s="6"/>
      <c r="AJ547" s="6">
        <v>21.26</v>
      </c>
      <c r="AK547" s="6"/>
      <c r="AL547" s="7">
        <f t="shared" si="731"/>
        <v>21.26</v>
      </c>
      <c r="AM547" s="11">
        <f t="shared" si="639"/>
        <v>17.98</v>
      </c>
      <c r="AN547" s="25"/>
      <c r="AO547" s="10" t="str">
        <f t="shared" si="640"/>
        <v>OutubroSEMANA 4Tomate Molho</v>
      </c>
      <c r="AP547" s="7">
        <f>SUMIF(NF!$A:$A,$AO547,NF!$I:$I)</f>
        <v>0</v>
      </c>
      <c r="AQ547" s="6">
        <v>17.98</v>
      </c>
      <c r="AR547" s="6"/>
      <c r="AS547" s="6"/>
      <c r="AT547" s="6"/>
      <c r="AU547" s="6"/>
      <c r="AV547" s="6"/>
      <c r="AW547" s="6"/>
      <c r="AX547" s="7">
        <f t="shared" si="732"/>
        <v>17.98</v>
      </c>
      <c r="AY547" s="11">
        <f t="shared" si="642"/>
        <v>0</v>
      </c>
      <c r="AZ547" s="25"/>
      <c r="BA547" s="10" t="str">
        <f t="shared" si="643"/>
        <v>OutubroSEMANA 5Tomate Molho</v>
      </c>
      <c r="BB547" s="7">
        <f>SUMIF(NF!$A:$A,$BA547,NF!$I:$I)</f>
        <v>0</v>
      </c>
      <c r="BC547" s="6"/>
      <c r="BD547" s="6"/>
      <c r="BE547" s="6"/>
      <c r="BF547" s="74"/>
      <c r="BG547" s="74"/>
      <c r="BH547" s="74"/>
      <c r="BI547" s="74"/>
      <c r="BJ547" s="74"/>
      <c r="BK547" s="7">
        <f t="shared" si="733"/>
        <v>0</v>
      </c>
      <c r="BL547" s="8">
        <f t="shared" si="645"/>
        <v>0</v>
      </c>
      <c r="BM547" s="51" t="str">
        <f>IFERROR(VLOOKUP(A547,NF!$M:$O,3,0),"")</f>
        <v>Hortifruti</v>
      </c>
      <c r="BN547" s="7">
        <f t="shared" si="646"/>
        <v>59.740000000000009</v>
      </c>
      <c r="BO547" s="8">
        <f t="array" ref="BO547">IFERROR(LARGE(IF(NF!$G$2:$G$3137='Mês atual'!A547,NF!$J$2:$J$3137),1),0)*BN547</f>
        <v>232.58064516129033</v>
      </c>
      <c r="BP547" s="50"/>
      <c r="BR547" s="147">
        <f t="array" ref="BR547">IFERROR(LARGE(IF(NF!$G$2:$G$3137='Mês atual'!A547,NF!$J$2:$J$3137),1),0)</f>
        <v>3.8932146829810899</v>
      </c>
      <c r="BS547" s="143" t="str">
        <f>VLOOKUP(A547,NF!M:O,3,0)</f>
        <v>Hortifruti</v>
      </c>
    </row>
    <row r="548" spans="1:74" x14ac:dyDescent="0.25">
      <c r="A548" s="108" t="s">
        <v>793</v>
      </c>
      <c r="B548" s="12"/>
      <c r="C548" s="9"/>
      <c r="D548" s="25"/>
      <c r="E548" s="10" t="str">
        <f t="shared" si="631"/>
        <v>OutubroSEMANA 1Tomate Orgânico</v>
      </c>
      <c r="F548" s="7">
        <f>SUMIF(NF!$A:$A,$E548,NF!$I:$I)</f>
        <v>0</v>
      </c>
      <c r="G548" s="6"/>
      <c r="H548" s="6"/>
      <c r="I548" s="6"/>
      <c r="J548" s="6"/>
      <c r="K548" s="6"/>
      <c r="L548" s="6"/>
      <c r="M548" s="6"/>
      <c r="N548" s="7">
        <f t="shared" si="729"/>
        <v>0</v>
      </c>
      <c r="O548" s="11">
        <f t="shared" si="633"/>
        <v>0</v>
      </c>
      <c r="P548" s="25"/>
      <c r="Q548" s="10" t="str">
        <f t="shared" si="634"/>
        <v>OutubroSEMANA 2Tomate Orgânico</v>
      </c>
      <c r="R548" s="7">
        <f>SUMIF(NF!$A:$A,$Q548,NF!$I:$I)</f>
        <v>0</v>
      </c>
      <c r="S548" s="6"/>
      <c r="T548" s="6"/>
      <c r="U548" s="6"/>
      <c r="V548" s="6"/>
      <c r="W548" s="6"/>
      <c r="X548" s="6"/>
      <c r="Y548" s="6"/>
      <c r="Z548" s="7">
        <f t="shared" si="730"/>
        <v>0</v>
      </c>
      <c r="AA548" s="11">
        <f t="shared" si="636"/>
        <v>0</v>
      </c>
      <c r="AB548" s="25"/>
      <c r="AC548" s="10" t="str">
        <f t="shared" si="637"/>
        <v>OutubroSEMANA 3Tomate Orgânico</v>
      </c>
      <c r="AD548" s="7">
        <f>SUMIF(NF!$A:$A,$AC548,NF!$I:$I)</f>
        <v>0</v>
      </c>
      <c r="AE548" s="6"/>
      <c r="AF548" s="6"/>
      <c r="AG548" s="6"/>
      <c r="AH548" s="6"/>
      <c r="AI548" s="6"/>
      <c r="AJ548" s="6"/>
      <c r="AK548" s="6"/>
      <c r="AL548" s="7">
        <f t="shared" si="731"/>
        <v>0</v>
      </c>
      <c r="AM548" s="11">
        <f t="shared" si="639"/>
        <v>0</v>
      </c>
      <c r="AN548" s="25"/>
      <c r="AO548" s="10" t="str">
        <f t="shared" si="640"/>
        <v>OutubroSEMANA 4Tomate Orgânico</v>
      </c>
      <c r="AP548" s="7">
        <f>SUMIF(NF!$A:$A,$AO548,NF!$I:$I)</f>
        <v>0</v>
      </c>
      <c r="AQ548" s="6"/>
      <c r="AR548" s="6"/>
      <c r="AS548" s="6"/>
      <c r="AT548" s="6"/>
      <c r="AU548" s="6"/>
      <c r="AV548" s="6"/>
      <c r="AW548" s="6"/>
      <c r="AX548" s="7">
        <f t="shared" si="732"/>
        <v>0</v>
      </c>
      <c r="AY548" s="11">
        <f t="shared" si="642"/>
        <v>0</v>
      </c>
      <c r="AZ548" s="25"/>
      <c r="BA548" s="10" t="str">
        <f t="shared" si="643"/>
        <v>OutubroSEMANA 5Tomate Orgânico</v>
      </c>
      <c r="BB548" s="7">
        <f>SUMIF(NF!$A:$A,$BA548,NF!$I:$I)</f>
        <v>0</v>
      </c>
      <c r="BC548" s="6"/>
      <c r="BD548" s="6"/>
      <c r="BE548" s="6"/>
      <c r="BF548" s="74"/>
      <c r="BG548" s="74"/>
      <c r="BH548" s="74"/>
      <c r="BI548" s="74"/>
      <c r="BJ548" s="74"/>
      <c r="BK548" s="7">
        <f t="shared" si="733"/>
        <v>0</v>
      </c>
      <c r="BL548" s="8">
        <f t="shared" si="645"/>
        <v>0</v>
      </c>
      <c r="BM548" s="51" t="str">
        <f>IFERROR(VLOOKUP(A548,NF!$M:$O,3,0),"")</f>
        <v>Hortifruti</v>
      </c>
      <c r="BN548" s="7">
        <f t="shared" si="646"/>
        <v>0</v>
      </c>
      <c r="BO548" s="8">
        <f t="array" ref="BO548">IFERROR(LARGE(IF(NF!$G$2:$G$3137='Mês atual'!A548,NF!$J$2:$J$3137),1),0)*BN548</f>
        <v>0</v>
      </c>
      <c r="BP548" s="50"/>
      <c r="BR548" s="147">
        <f t="array" ref="BR548">IFERROR(LARGE(IF(NF!$G$2:$G$3137='Mês atual'!A548,NF!$J$2:$J$3137),1),0)</f>
        <v>0</v>
      </c>
      <c r="BS548" s="143" t="str">
        <f>VLOOKUP(A548,NF!M:O,3,0)</f>
        <v>Hortifruti</v>
      </c>
    </row>
    <row r="549" spans="1:74" x14ac:dyDescent="0.25">
      <c r="A549" s="108" t="s">
        <v>795</v>
      </c>
      <c r="B549" s="12"/>
      <c r="C549" s="9">
        <v>20.5</v>
      </c>
      <c r="D549" s="25"/>
      <c r="E549" s="10" t="str">
        <f t="shared" si="631"/>
        <v>OutubroSEMANA 1Tomate Salada</v>
      </c>
      <c r="F549" s="7">
        <f>SUMIF(NF!$A:$A,$E549,NF!$I:$I)</f>
        <v>61.8</v>
      </c>
      <c r="G549" s="6">
        <v>20.5</v>
      </c>
      <c r="H549" s="6"/>
      <c r="I549" s="6">
        <v>21.54</v>
      </c>
      <c r="J549" s="6"/>
      <c r="K549" s="6">
        <v>19.46</v>
      </c>
      <c r="L549" s="6"/>
      <c r="M549" s="6">
        <f>19.8+1</f>
        <v>20.8</v>
      </c>
      <c r="N549" s="7">
        <f t="shared" si="729"/>
        <v>82.3</v>
      </c>
      <c r="O549" s="11">
        <f t="shared" si="633"/>
        <v>0</v>
      </c>
      <c r="P549" s="25"/>
      <c r="Q549" s="10" t="str">
        <f t="shared" si="634"/>
        <v>OutubroSEMANA 2Tomate Salada</v>
      </c>
      <c r="R549" s="7">
        <f>SUMIF(NF!$A:$A,$Q549,NF!$I:$I)</f>
        <v>102.19999999999999</v>
      </c>
      <c r="S549" s="6"/>
      <c r="T549" s="6">
        <v>17.940000000000001</v>
      </c>
      <c r="U549" s="6">
        <v>11.06</v>
      </c>
      <c r="V549" s="6">
        <v>10</v>
      </c>
      <c r="W549" s="6">
        <v>11</v>
      </c>
      <c r="X549" s="6">
        <v>11.22</v>
      </c>
      <c r="Y549" s="6">
        <v>21.1</v>
      </c>
      <c r="Z549" s="7">
        <f t="shared" si="730"/>
        <v>82.32</v>
      </c>
      <c r="AA549" s="11">
        <f t="shared" si="636"/>
        <v>19.879999999999995</v>
      </c>
      <c r="AB549" s="25"/>
      <c r="AC549" s="10" t="str">
        <f t="shared" si="637"/>
        <v>OutubroSEMANA 3Tomate Salada</v>
      </c>
      <c r="AD549" s="7">
        <f>SUMIF(NF!$A:$A,$AC549,NF!$I:$I)</f>
        <v>62.46</v>
      </c>
      <c r="AE549" s="6">
        <v>19.88</v>
      </c>
      <c r="AF549" s="6"/>
      <c r="AG549" s="6">
        <v>21.7</v>
      </c>
      <c r="AH549" s="6"/>
      <c r="AI549" s="6">
        <v>21.62</v>
      </c>
      <c r="AJ549" s="6"/>
      <c r="AK549" s="6">
        <v>19.14</v>
      </c>
      <c r="AL549" s="7">
        <f t="shared" si="731"/>
        <v>82.34</v>
      </c>
      <c r="AM549" s="11">
        <f t="shared" si="639"/>
        <v>0</v>
      </c>
      <c r="AN549" s="25"/>
      <c r="AO549" s="10" t="str">
        <f t="shared" si="640"/>
        <v>OutubroSEMANA 4Tomate Salada</v>
      </c>
      <c r="AP549" s="7">
        <f>SUMIF(NF!$A:$A,$AO549,NF!$I:$I)</f>
        <v>91.44</v>
      </c>
      <c r="AQ549" s="6"/>
      <c r="AR549" s="6">
        <v>11.18</v>
      </c>
      <c r="AS549" s="6">
        <v>11</v>
      </c>
      <c r="AT549" s="6">
        <v>20.38</v>
      </c>
      <c r="AU549" s="6"/>
      <c r="AV549" s="6">
        <v>20.36</v>
      </c>
      <c r="AW549" s="6">
        <v>20.52</v>
      </c>
      <c r="AX549" s="7">
        <f t="shared" si="732"/>
        <v>83.44</v>
      </c>
      <c r="AY549" s="11">
        <f t="shared" si="642"/>
        <v>8</v>
      </c>
      <c r="AZ549" s="25"/>
      <c r="BA549" s="10" t="str">
        <f t="shared" si="643"/>
        <v>OutubroSEMANA 5Tomate Salada</v>
      </c>
      <c r="BB549" s="7">
        <f>SUMIF(NF!$A:$A,$BA549,NF!$I:$I)</f>
        <v>21.28</v>
      </c>
      <c r="BC549" s="6">
        <v>8</v>
      </c>
      <c r="BD549" s="6">
        <v>21.28</v>
      </c>
      <c r="BE549" s="6"/>
      <c r="BF549" s="74"/>
      <c r="BG549" s="74"/>
      <c r="BH549" s="74"/>
      <c r="BI549" s="74"/>
      <c r="BJ549" s="74"/>
      <c r="BK549" s="7">
        <f t="shared" si="733"/>
        <v>29.28</v>
      </c>
      <c r="BL549" s="8">
        <f t="shared" si="645"/>
        <v>0</v>
      </c>
      <c r="BM549" s="51" t="str">
        <f>IFERROR(VLOOKUP(A549,NF!$M:$O,3,0),"")</f>
        <v>Hortifruti</v>
      </c>
      <c r="BN549" s="7">
        <f t="shared" si="646"/>
        <v>359.67999999999995</v>
      </c>
      <c r="BO549" s="8">
        <f t="array" ref="BO549">IFERROR(LARGE(IF(NF!$G$2:$G$3137='Mês atual'!A549,NF!$J$2:$J$3137),1),0)*BN549</f>
        <v>2154.4831999999997</v>
      </c>
      <c r="BP549" s="50"/>
      <c r="BR549" s="147">
        <f t="array" ref="BR549">IFERROR(LARGE(IF(NF!$G$2:$G$3137='Mês atual'!A549,NF!$J$2:$J$3137),1),0)</f>
        <v>5.99</v>
      </c>
      <c r="BS549" s="143" t="str">
        <f>VLOOKUP(A549,NF!M:O,3,0)</f>
        <v>Hortifruti</v>
      </c>
    </row>
    <row r="550" spans="1:74" x14ac:dyDescent="0.25">
      <c r="A550" s="108" t="s">
        <v>798</v>
      </c>
      <c r="B550" s="12"/>
      <c r="C550" s="9"/>
      <c r="D550" s="25"/>
      <c r="E550" s="10" t="str">
        <f t="shared" si="631"/>
        <v>OutubroSEMANA 1Tomilho</v>
      </c>
      <c r="F550" s="7">
        <f>SUMIF(NF!$A:$A,$E550,NF!$I:$I)</f>
        <v>0.2</v>
      </c>
      <c r="G550" s="6"/>
      <c r="H550" s="6"/>
      <c r="I550" s="6"/>
      <c r="J550" s="6">
        <v>0.2</v>
      </c>
      <c r="K550" s="6"/>
      <c r="L550" s="6"/>
      <c r="M550" s="6"/>
      <c r="N550" s="7">
        <f t="shared" si="729"/>
        <v>0.2</v>
      </c>
      <c r="O550" s="11">
        <f t="shared" si="633"/>
        <v>0</v>
      </c>
      <c r="P550" s="25"/>
      <c r="Q550" s="10" t="str">
        <f t="shared" si="634"/>
        <v>OutubroSEMANA 2Tomilho</v>
      </c>
      <c r="R550" s="7">
        <f>SUMIF(NF!$A:$A,$Q550,NF!$I:$I)</f>
        <v>0.2</v>
      </c>
      <c r="S550" s="6"/>
      <c r="T550" s="6"/>
      <c r="U550" s="6"/>
      <c r="V550" s="6">
        <v>0.2</v>
      </c>
      <c r="W550" s="6"/>
      <c r="X550" s="6"/>
      <c r="Y550" s="6"/>
      <c r="Z550" s="7">
        <f t="shared" si="730"/>
        <v>0.2</v>
      </c>
      <c r="AA550" s="11">
        <f t="shared" si="636"/>
        <v>0</v>
      </c>
      <c r="AB550" s="25"/>
      <c r="AC550" s="10" t="str">
        <f t="shared" si="637"/>
        <v>OutubroSEMANA 3Tomilho</v>
      </c>
      <c r="AD550" s="7">
        <f>SUMIF(NF!$A:$A,$AC550,NF!$I:$I)</f>
        <v>0.2</v>
      </c>
      <c r="AE550" s="6"/>
      <c r="AF550" s="6"/>
      <c r="AG550" s="6">
        <v>0.2</v>
      </c>
      <c r="AH550" s="6"/>
      <c r="AI550" s="6"/>
      <c r="AJ550" s="6"/>
      <c r="AK550" s="6"/>
      <c r="AL550" s="7">
        <f t="shared" si="731"/>
        <v>0.2</v>
      </c>
      <c r="AM550" s="11">
        <f t="shared" si="639"/>
        <v>0</v>
      </c>
      <c r="AN550" s="25"/>
      <c r="AO550" s="10" t="str">
        <f t="shared" si="640"/>
        <v>OutubroSEMANA 4Tomilho</v>
      </c>
      <c r="AP550" s="7">
        <f>SUMIF(NF!$A:$A,$AO550,NF!$I:$I)</f>
        <v>0.4</v>
      </c>
      <c r="AQ550" s="6"/>
      <c r="AR550" s="6"/>
      <c r="AS550" s="6"/>
      <c r="AT550" s="6"/>
      <c r="AU550" s="6">
        <v>0.2</v>
      </c>
      <c r="AV550" s="6"/>
      <c r="AW550" s="6">
        <v>0.2</v>
      </c>
      <c r="AX550" s="7">
        <f t="shared" si="732"/>
        <v>0.4</v>
      </c>
      <c r="AY550" s="11">
        <f t="shared" si="642"/>
        <v>0</v>
      </c>
      <c r="AZ550" s="25"/>
      <c r="BA550" s="10" t="str">
        <f t="shared" si="643"/>
        <v>OutubroSEMANA 5Tomilho</v>
      </c>
      <c r="BB550" s="7">
        <f>SUMIF(NF!$A:$A,$BA550,NF!$I:$I)</f>
        <v>0.2</v>
      </c>
      <c r="BC550" s="6"/>
      <c r="BD550" s="6"/>
      <c r="BE550" s="6"/>
      <c r="BF550" s="74"/>
      <c r="BG550" s="74"/>
      <c r="BH550" s="74"/>
      <c r="BI550" s="74"/>
      <c r="BJ550" s="74"/>
      <c r="BK550" s="7">
        <f t="shared" si="733"/>
        <v>0</v>
      </c>
      <c r="BL550" s="8">
        <f t="shared" si="645"/>
        <v>0.2</v>
      </c>
      <c r="BM550" s="51" t="str">
        <f>IFERROR(VLOOKUP(A550,NF!$M:$O,3,0),"")</f>
        <v>Hortifruti</v>
      </c>
      <c r="BN550" s="7">
        <f t="shared" si="646"/>
        <v>1</v>
      </c>
      <c r="BO550" s="8">
        <f t="array" ref="BO550">IFERROR(LARGE(IF(NF!$G$2:$G$3137='Mês atual'!A550,NF!$J$2:$J$3137),1),0)*BN550</f>
        <v>30</v>
      </c>
      <c r="BP550" s="50"/>
      <c r="BR550" s="147">
        <f t="array" ref="BR550">IFERROR(LARGE(IF(NF!$G$2:$G$3137='Mês atual'!A550,NF!$J$2:$J$3137),1),0)</f>
        <v>30</v>
      </c>
      <c r="BS550" s="143" t="str">
        <f>VLOOKUP(A550,NF!M:O,3,0)</f>
        <v>Hortifruti</v>
      </c>
    </row>
    <row r="551" spans="1:74" x14ac:dyDescent="0.25">
      <c r="A551" s="108" t="s">
        <v>828</v>
      </c>
      <c r="B551" s="12"/>
      <c r="C551" s="9"/>
      <c r="D551" s="25"/>
      <c r="E551" s="10" t="str">
        <f t="shared" si="631"/>
        <v>OutubroSEMANA 1Uva Itália</v>
      </c>
      <c r="F551" s="7">
        <f>SUMIF(NF!$A:$A,$E551,NF!$I:$I)</f>
        <v>0</v>
      </c>
      <c r="G551" s="6"/>
      <c r="H551" s="6"/>
      <c r="I551" s="6"/>
      <c r="J551" s="6"/>
      <c r="K551" s="6"/>
      <c r="L551" s="6"/>
      <c r="M551" s="6"/>
      <c r="N551" s="7">
        <f t="shared" si="729"/>
        <v>0</v>
      </c>
      <c r="O551" s="11">
        <f t="shared" si="633"/>
        <v>0</v>
      </c>
      <c r="P551" s="25"/>
      <c r="Q551" s="10" t="str">
        <f t="shared" si="634"/>
        <v>OutubroSEMANA 2Uva Itália</v>
      </c>
      <c r="R551" s="7">
        <f>SUMIF(NF!$A:$A,$Q551,NF!$I:$I)</f>
        <v>0</v>
      </c>
      <c r="S551" s="6"/>
      <c r="T551" s="6"/>
      <c r="U551" s="6"/>
      <c r="V551" s="6"/>
      <c r="W551" s="6"/>
      <c r="X551" s="6"/>
      <c r="Y551" s="6"/>
      <c r="Z551" s="7">
        <f t="shared" si="730"/>
        <v>0</v>
      </c>
      <c r="AA551" s="11">
        <f t="shared" si="636"/>
        <v>0</v>
      </c>
      <c r="AB551" s="25"/>
      <c r="AC551" s="10" t="str">
        <f t="shared" si="637"/>
        <v>OutubroSEMANA 3Uva Itália</v>
      </c>
      <c r="AD551" s="7">
        <f>SUMIF(NF!$A:$A,$AC551,NF!$I:$I)</f>
        <v>0</v>
      </c>
      <c r="AE551" s="6"/>
      <c r="AF551" s="6"/>
      <c r="AG551" s="6"/>
      <c r="AH551" s="6"/>
      <c r="AI551" s="6"/>
      <c r="AJ551" s="6"/>
      <c r="AK551" s="6"/>
      <c r="AL551" s="7">
        <f t="shared" si="731"/>
        <v>0</v>
      </c>
      <c r="AM551" s="11">
        <f t="shared" si="639"/>
        <v>0</v>
      </c>
      <c r="AN551" s="25"/>
      <c r="AO551" s="10" t="str">
        <f t="shared" si="640"/>
        <v>OutubroSEMANA 4Uva Itália</v>
      </c>
      <c r="AP551" s="7">
        <f>SUMIF(NF!$A:$A,$AO551,NF!$I:$I)</f>
        <v>0</v>
      </c>
      <c r="AQ551" s="6"/>
      <c r="AR551" s="6"/>
      <c r="AS551" s="6"/>
      <c r="AT551" s="6"/>
      <c r="AU551" s="6"/>
      <c r="AV551" s="6"/>
      <c r="AW551" s="6"/>
      <c r="AX551" s="7">
        <f t="shared" si="732"/>
        <v>0</v>
      </c>
      <c r="AY551" s="11">
        <f t="shared" si="642"/>
        <v>0</v>
      </c>
      <c r="AZ551" s="25"/>
      <c r="BA551" s="10" t="str">
        <f t="shared" si="643"/>
        <v>OutubroSEMANA 5Uva Itália</v>
      </c>
      <c r="BB551" s="7">
        <f>SUMIF(NF!$A:$A,$BA551,NF!$I:$I)</f>
        <v>0</v>
      </c>
      <c r="BC551" s="6"/>
      <c r="BD551" s="6"/>
      <c r="BE551" s="6"/>
      <c r="BF551" s="74"/>
      <c r="BG551" s="74"/>
      <c r="BH551" s="74"/>
      <c r="BI551" s="74"/>
      <c r="BJ551" s="74"/>
      <c r="BK551" s="7">
        <f t="shared" si="733"/>
        <v>0</v>
      </c>
      <c r="BL551" s="8">
        <f t="shared" si="645"/>
        <v>0</v>
      </c>
      <c r="BM551" s="51" t="str">
        <f>IFERROR(VLOOKUP(A551,NF!$M:$O,3,0),"")</f>
        <v>Hortifruti</v>
      </c>
      <c r="BN551" s="7">
        <f t="shared" si="646"/>
        <v>0</v>
      </c>
      <c r="BO551" s="8">
        <f t="array" ref="BO551">IFERROR(LARGE(IF(NF!$G$2:$G$3137='Mês atual'!A551,NF!$J$2:$J$3137),1),0)*BN551</f>
        <v>0</v>
      </c>
      <c r="BP551" s="50"/>
      <c r="BR551" s="147">
        <f t="array" ref="BR551">IFERROR(LARGE(IF(NF!$G$2:$G$3137='Mês atual'!A551,NF!$J$2:$J$3137),1),0)</f>
        <v>0</v>
      </c>
      <c r="BS551" s="143" t="str">
        <f>VLOOKUP(A551,NF!M:O,3,0)</f>
        <v>Hortifruti</v>
      </c>
    </row>
    <row r="552" spans="1:74" x14ac:dyDescent="0.25">
      <c r="A552" s="108" t="s">
        <v>829</v>
      </c>
      <c r="B552" s="12"/>
      <c r="C552" s="9"/>
      <c r="D552" s="25"/>
      <c r="E552" s="10" t="str">
        <f t="shared" si="631"/>
        <v>OutubroSEMANA 1Uva Rubi</v>
      </c>
      <c r="F552" s="7">
        <f>SUMIF(NF!$A:$A,$E552,NF!$I:$I)</f>
        <v>0</v>
      </c>
      <c r="G552" s="6"/>
      <c r="H552" s="6"/>
      <c r="I552" s="6"/>
      <c r="J552" s="6"/>
      <c r="K552" s="6"/>
      <c r="L552" s="6"/>
      <c r="M552" s="6"/>
      <c r="N552" s="7">
        <f t="shared" si="729"/>
        <v>0</v>
      </c>
      <c r="O552" s="11">
        <f t="shared" si="633"/>
        <v>0</v>
      </c>
      <c r="P552" s="25"/>
      <c r="Q552" s="10" t="str">
        <f t="shared" si="634"/>
        <v>OutubroSEMANA 2Uva Rubi</v>
      </c>
      <c r="R552" s="7">
        <f>SUMIF(NF!$A:$A,$Q552,NF!$I:$I)</f>
        <v>0</v>
      </c>
      <c r="S552" s="6"/>
      <c r="T552" s="6"/>
      <c r="U552" s="6"/>
      <c r="V552" s="6"/>
      <c r="W552" s="6"/>
      <c r="X552" s="6"/>
      <c r="Y552" s="6"/>
      <c r="Z552" s="7">
        <f t="shared" si="730"/>
        <v>0</v>
      </c>
      <c r="AA552" s="11">
        <f t="shared" si="636"/>
        <v>0</v>
      </c>
      <c r="AB552" s="25"/>
      <c r="AC552" s="10" t="str">
        <f t="shared" si="637"/>
        <v>OutubroSEMANA 3Uva Rubi</v>
      </c>
      <c r="AD552" s="7">
        <f>SUMIF(NF!$A:$A,$AC552,NF!$I:$I)</f>
        <v>0</v>
      </c>
      <c r="AE552" s="6"/>
      <c r="AF552" s="6"/>
      <c r="AG552" s="6"/>
      <c r="AH552" s="6"/>
      <c r="AI552" s="6"/>
      <c r="AJ552" s="6"/>
      <c r="AK552" s="6"/>
      <c r="AL552" s="7">
        <f t="shared" si="731"/>
        <v>0</v>
      </c>
      <c r="AM552" s="11">
        <f t="shared" si="639"/>
        <v>0</v>
      </c>
      <c r="AN552" s="25"/>
      <c r="AO552" s="10" t="str">
        <f t="shared" si="640"/>
        <v>OutubroSEMANA 4Uva Rubi</v>
      </c>
      <c r="AP552" s="7">
        <f>SUMIF(NF!$A:$A,$AO552,NF!$I:$I)</f>
        <v>0</v>
      </c>
      <c r="AQ552" s="6"/>
      <c r="AR552" s="6"/>
      <c r="AS552" s="6"/>
      <c r="AT552" s="6"/>
      <c r="AU552" s="6"/>
      <c r="AV552" s="6"/>
      <c r="AW552" s="6"/>
      <c r="AX552" s="7">
        <f t="shared" si="732"/>
        <v>0</v>
      </c>
      <c r="AY552" s="11">
        <f t="shared" si="642"/>
        <v>0</v>
      </c>
      <c r="AZ552" s="25"/>
      <c r="BA552" s="10" t="str">
        <f t="shared" si="643"/>
        <v>OutubroSEMANA 5Uva Rubi</v>
      </c>
      <c r="BB552" s="7">
        <f>SUMIF(NF!$A:$A,$BA552,NF!$I:$I)</f>
        <v>0</v>
      </c>
      <c r="BC552" s="6"/>
      <c r="BD552" s="6"/>
      <c r="BE552" s="6"/>
      <c r="BF552" s="74"/>
      <c r="BG552" s="74"/>
      <c r="BH552" s="74"/>
      <c r="BI552" s="74"/>
      <c r="BJ552" s="74"/>
      <c r="BK552" s="7">
        <f t="shared" si="733"/>
        <v>0</v>
      </c>
      <c r="BL552" s="8">
        <f t="shared" si="645"/>
        <v>0</v>
      </c>
      <c r="BM552" s="51" t="str">
        <f>IFERROR(VLOOKUP(A552,NF!$M:$O,3,0),"")</f>
        <v>Hortifruti</v>
      </c>
      <c r="BN552" s="7">
        <f t="shared" si="646"/>
        <v>0</v>
      </c>
      <c r="BO552" s="8">
        <f t="array" ref="BO552">IFERROR(LARGE(IF(NF!$G$2:$G$3137='Mês atual'!A552,NF!$J$2:$J$3137),1),0)*BN552</f>
        <v>0</v>
      </c>
      <c r="BP552" s="50"/>
      <c r="BR552" s="147">
        <f t="array" ref="BR552">IFERROR(LARGE(IF(NF!$G$2:$G$3137='Mês atual'!A552,NF!$J$2:$J$3137),1),0)</f>
        <v>0</v>
      </c>
      <c r="BS552" s="143" t="str">
        <f>VLOOKUP(A552,NF!M:O,3,0)</f>
        <v>Hortifruti</v>
      </c>
    </row>
    <row r="553" spans="1:74" x14ac:dyDescent="0.25">
      <c r="A553" s="108" t="s">
        <v>830</v>
      </c>
      <c r="B553" s="12"/>
      <c r="C553" s="9"/>
      <c r="D553" s="25"/>
      <c r="E553" s="10" t="str">
        <f t="shared" si="631"/>
        <v>OutubroSEMANA 1Uva s/ Caroço</v>
      </c>
      <c r="F553" s="7">
        <f>SUMIF(NF!$A:$A,$E553,NF!$I:$I)</f>
        <v>0</v>
      </c>
      <c r="G553" s="6"/>
      <c r="H553" s="6"/>
      <c r="I553" s="6"/>
      <c r="J553" s="6"/>
      <c r="K553" s="6"/>
      <c r="L553" s="6"/>
      <c r="M553" s="6"/>
      <c r="N553" s="7">
        <f t="shared" si="729"/>
        <v>0</v>
      </c>
      <c r="O553" s="11">
        <f t="shared" si="633"/>
        <v>0</v>
      </c>
      <c r="P553" s="25"/>
      <c r="Q553" s="10" t="str">
        <f t="shared" si="634"/>
        <v>OutubroSEMANA 2Uva s/ Caroço</v>
      </c>
      <c r="R553" s="7">
        <f>SUMIF(NF!$A:$A,$Q553,NF!$I:$I)</f>
        <v>0</v>
      </c>
      <c r="S553" s="6"/>
      <c r="T553" s="6"/>
      <c r="U553" s="6"/>
      <c r="V553" s="6"/>
      <c r="W553" s="6"/>
      <c r="X553" s="6"/>
      <c r="Y553" s="6"/>
      <c r="Z553" s="7">
        <f t="shared" si="730"/>
        <v>0</v>
      </c>
      <c r="AA553" s="11">
        <f t="shared" si="636"/>
        <v>0</v>
      </c>
      <c r="AB553" s="25"/>
      <c r="AC553" s="10" t="str">
        <f t="shared" si="637"/>
        <v>OutubroSEMANA 3Uva s/ Caroço</v>
      </c>
      <c r="AD553" s="7">
        <f>SUMIF(NF!$A:$A,$AC553,NF!$I:$I)</f>
        <v>1.5</v>
      </c>
      <c r="AE553" s="6"/>
      <c r="AF553" s="6"/>
      <c r="AG553" s="6"/>
      <c r="AH553" s="6"/>
      <c r="AI553" s="6">
        <v>1.5</v>
      </c>
      <c r="AJ553" s="6"/>
      <c r="AK553" s="6"/>
      <c r="AL553" s="7">
        <f t="shared" si="731"/>
        <v>1.5</v>
      </c>
      <c r="AM553" s="11">
        <f t="shared" si="639"/>
        <v>0</v>
      </c>
      <c r="AN553" s="25"/>
      <c r="AO553" s="10" t="str">
        <f t="shared" si="640"/>
        <v>OutubroSEMANA 4Uva s/ Caroço</v>
      </c>
      <c r="AP553" s="7">
        <f>SUMIF(NF!$A:$A,$AO553,NF!$I:$I)</f>
        <v>1</v>
      </c>
      <c r="AQ553" s="6"/>
      <c r="AR553" s="6"/>
      <c r="AS553" s="6"/>
      <c r="AT553" s="6"/>
      <c r="AU553" s="6"/>
      <c r="AV553" s="6"/>
      <c r="AW553" s="6"/>
      <c r="AX553" s="7">
        <f t="shared" si="732"/>
        <v>0</v>
      </c>
      <c r="AY553" s="11">
        <f t="shared" si="642"/>
        <v>1</v>
      </c>
      <c r="AZ553" s="25"/>
      <c r="BA553" s="10" t="str">
        <f t="shared" si="643"/>
        <v>OutubroSEMANA 5Uva s/ Caroço</v>
      </c>
      <c r="BB553" s="7">
        <f>SUMIF(NF!$A:$A,$BA553,NF!$I:$I)</f>
        <v>0</v>
      </c>
      <c r="BC553" s="6">
        <v>1</v>
      </c>
      <c r="BD553" s="6"/>
      <c r="BE553" s="6"/>
      <c r="BF553" s="74"/>
      <c r="BG553" s="74"/>
      <c r="BH553" s="74"/>
      <c r="BI553" s="74"/>
      <c r="BJ553" s="74"/>
      <c r="BK553" s="7">
        <f t="shared" si="733"/>
        <v>1</v>
      </c>
      <c r="BL553" s="8">
        <f t="shared" si="645"/>
        <v>0</v>
      </c>
      <c r="BM553" s="51" t="str">
        <f>IFERROR(VLOOKUP(A553,NF!$M:$O,3,0),"")</f>
        <v>Hortifruti</v>
      </c>
      <c r="BN553" s="7">
        <f t="shared" si="646"/>
        <v>2.5</v>
      </c>
      <c r="BO553" s="8">
        <f t="array" ref="BO553">IFERROR(LARGE(IF(NF!$G$2:$G$3137='Mês atual'!A553,NF!$J$2:$J$3137),1),0)*BN553</f>
        <v>40</v>
      </c>
      <c r="BP553" s="50"/>
      <c r="BR553" s="147">
        <f t="array" ref="BR553">IFERROR(LARGE(IF(NF!$G$2:$G$3137='Mês atual'!A553,NF!$J$2:$J$3137),1),0)</f>
        <v>16</v>
      </c>
      <c r="BS553" s="143" t="str">
        <f>VLOOKUP(A553,NF!M:O,3,0)</f>
        <v>Hortifruti</v>
      </c>
    </row>
    <row r="554" spans="1:74" x14ac:dyDescent="0.25">
      <c r="A554" s="108" t="s">
        <v>831</v>
      </c>
      <c r="B554" s="12"/>
      <c r="C554" s="9"/>
      <c r="D554" s="25"/>
      <c r="E554" s="10" t="str">
        <f t="shared" si="631"/>
        <v>OutubroSEMANA 1Vagem Francesa</v>
      </c>
      <c r="F554" s="7">
        <f>SUMIF(NF!$A:$A,$E554,NF!$I:$I)</f>
        <v>0</v>
      </c>
      <c r="G554" s="6"/>
      <c r="H554" s="6"/>
      <c r="I554" s="6"/>
      <c r="J554" s="6"/>
      <c r="K554" s="6"/>
      <c r="L554" s="6"/>
      <c r="M554" s="6"/>
      <c r="N554" s="7">
        <f t="shared" si="729"/>
        <v>0</v>
      </c>
      <c r="O554" s="11">
        <f t="shared" si="633"/>
        <v>0</v>
      </c>
      <c r="P554" s="25"/>
      <c r="Q554" s="10" t="str">
        <f t="shared" si="634"/>
        <v>OutubroSEMANA 2Vagem Francesa</v>
      </c>
      <c r="R554" s="7">
        <f>SUMIF(NF!$A:$A,$Q554,NF!$I:$I)</f>
        <v>0</v>
      </c>
      <c r="S554" s="6"/>
      <c r="T554" s="6"/>
      <c r="U554" s="6"/>
      <c r="V554" s="6"/>
      <c r="W554" s="6"/>
      <c r="X554" s="6"/>
      <c r="Y554" s="6"/>
      <c r="Z554" s="7">
        <f t="shared" si="730"/>
        <v>0</v>
      </c>
      <c r="AA554" s="11">
        <f t="shared" si="636"/>
        <v>0</v>
      </c>
      <c r="AB554" s="25"/>
      <c r="AC554" s="10" t="str">
        <f t="shared" si="637"/>
        <v>OutubroSEMANA 3Vagem Francesa</v>
      </c>
      <c r="AD554" s="7">
        <f>SUMIF(NF!$A:$A,$AC554,NF!$I:$I)</f>
        <v>0.5</v>
      </c>
      <c r="AE554" s="6"/>
      <c r="AF554" s="6"/>
      <c r="AG554" s="6"/>
      <c r="AH554" s="6"/>
      <c r="AI554" s="6"/>
      <c r="AJ554" s="6"/>
      <c r="AK554" s="6">
        <v>0.5</v>
      </c>
      <c r="AL554" s="7">
        <f t="shared" si="731"/>
        <v>0.5</v>
      </c>
      <c r="AM554" s="11">
        <f t="shared" si="639"/>
        <v>0</v>
      </c>
      <c r="AN554" s="25"/>
      <c r="AO554" s="10" t="str">
        <f t="shared" si="640"/>
        <v>OutubroSEMANA 4Vagem Francesa</v>
      </c>
      <c r="AP554" s="7">
        <f>SUMIF(NF!$A:$A,$AO554,NF!$I:$I)</f>
        <v>0</v>
      </c>
      <c r="AQ554" s="6"/>
      <c r="AR554" s="6"/>
      <c r="AS554" s="6"/>
      <c r="AT554" s="6"/>
      <c r="AU554" s="6"/>
      <c r="AV554" s="6"/>
      <c r="AW554" s="6"/>
      <c r="AX554" s="7">
        <f t="shared" si="732"/>
        <v>0</v>
      </c>
      <c r="AY554" s="11">
        <f t="shared" si="642"/>
        <v>0</v>
      </c>
      <c r="AZ554" s="25"/>
      <c r="BA554" s="10" t="str">
        <f t="shared" si="643"/>
        <v>OutubroSEMANA 5Vagem Francesa</v>
      </c>
      <c r="BB554" s="7">
        <f>SUMIF(NF!$A:$A,$BA554,NF!$I:$I)</f>
        <v>0</v>
      </c>
      <c r="BC554" s="6"/>
      <c r="BD554" s="6"/>
      <c r="BE554" s="6"/>
      <c r="BF554" s="74"/>
      <c r="BG554" s="74"/>
      <c r="BH554" s="74"/>
      <c r="BI554" s="74"/>
      <c r="BJ554" s="74"/>
      <c r="BK554" s="7">
        <f t="shared" si="733"/>
        <v>0</v>
      </c>
      <c r="BL554" s="8">
        <f t="shared" si="645"/>
        <v>0</v>
      </c>
      <c r="BM554" s="51" t="str">
        <f>IFERROR(VLOOKUP(A554,NF!$M:$O,3,0),"")</f>
        <v>Hortifruti</v>
      </c>
      <c r="BN554" s="7">
        <f t="shared" si="646"/>
        <v>0.5</v>
      </c>
      <c r="BO554" s="8">
        <f t="array" ref="BO554">IFERROR(LARGE(IF(NF!$G$2:$G$3137='Mês atual'!A554,NF!$J$2:$J$3137),1),0)*BN554</f>
        <v>4.75</v>
      </c>
      <c r="BP554" s="50"/>
      <c r="BR554" s="147">
        <f t="array" ref="BR554">IFERROR(LARGE(IF(NF!$G$2:$G$3137='Mês atual'!A554,NF!$J$2:$J$3137),1),0)</f>
        <v>9.5</v>
      </c>
      <c r="BS554" s="143" t="str">
        <f>VLOOKUP(A554,NF!M:O,3,0)</f>
        <v>Hortifruti</v>
      </c>
    </row>
    <row r="555" spans="1:74" x14ac:dyDescent="0.25">
      <c r="A555" s="108" t="s">
        <v>832</v>
      </c>
      <c r="B555" s="12"/>
      <c r="C555" s="9"/>
      <c r="D555" s="25"/>
      <c r="E555" s="10" t="str">
        <f t="shared" si="631"/>
        <v>OutubroSEMANA 1Vagem Macarrão</v>
      </c>
      <c r="F555" s="7">
        <f>SUMIF(NF!$A:$A,$E555,NF!$I:$I)</f>
        <v>7</v>
      </c>
      <c r="G555" s="6"/>
      <c r="H555" s="6"/>
      <c r="I555" s="6"/>
      <c r="J555" s="6">
        <v>1</v>
      </c>
      <c r="K555" s="6">
        <v>4.5</v>
      </c>
      <c r="L555" s="6"/>
      <c r="M555" s="6"/>
      <c r="N555" s="7">
        <f t="shared" ref="N555" si="766">SUM(G555:M555)</f>
        <v>5.5</v>
      </c>
      <c r="O555" s="11">
        <f t="shared" si="633"/>
        <v>1.5</v>
      </c>
      <c r="P555" s="25"/>
      <c r="Q555" s="10" t="str">
        <f t="shared" si="634"/>
        <v>OutubroSEMANA 2Vagem Macarrão</v>
      </c>
      <c r="R555" s="7">
        <f>SUMIF(NF!$A:$A,$Q555,NF!$I:$I)</f>
        <v>6</v>
      </c>
      <c r="S555" s="6">
        <v>1.5</v>
      </c>
      <c r="T555" s="6"/>
      <c r="U555" s="6"/>
      <c r="V555" s="6"/>
      <c r="W555" s="6">
        <v>0.5</v>
      </c>
      <c r="X555" s="6">
        <v>3</v>
      </c>
      <c r="Y555" s="6">
        <v>2.5</v>
      </c>
      <c r="Z555" s="7">
        <f t="shared" ref="Z555" si="767">SUM(S555:Y555)</f>
        <v>7.5</v>
      </c>
      <c r="AA555" s="11">
        <f t="shared" si="636"/>
        <v>0</v>
      </c>
      <c r="AB555" s="25"/>
      <c r="AC555" s="10" t="str">
        <f t="shared" si="637"/>
        <v>OutubroSEMANA 3Vagem Macarrão</v>
      </c>
      <c r="AD555" s="7">
        <f>SUMIF(NF!$A:$A,$AC555,NF!$I:$I)</f>
        <v>4</v>
      </c>
      <c r="AE555" s="6"/>
      <c r="AF555" s="6"/>
      <c r="AG555" s="6"/>
      <c r="AH555" s="6"/>
      <c r="AI555" s="6"/>
      <c r="AJ555" s="6">
        <v>4</v>
      </c>
      <c r="AK555" s="6"/>
      <c r="AL555" s="7">
        <f t="shared" ref="AL555" si="768">SUM(AE555:AK555)</f>
        <v>4</v>
      </c>
      <c r="AM555" s="11">
        <f t="shared" si="639"/>
        <v>0</v>
      </c>
      <c r="AN555" s="25"/>
      <c r="AO555" s="10" t="str">
        <f t="shared" si="640"/>
        <v>OutubroSEMANA 4Vagem Macarrão</v>
      </c>
      <c r="AP555" s="7">
        <f>SUMIF(NF!$A:$A,$AO555,NF!$I:$I)</f>
        <v>6.5</v>
      </c>
      <c r="AQ555" s="6"/>
      <c r="AR555" s="6"/>
      <c r="AS555" s="6">
        <v>2.5</v>
      </c>
      <c r="AT555" s="6">
        <v>2</v>
      </c>
      <c r="AU555" s="6"/>
      <c r="AV555" s="6">
        <v>2</v>
      </c>
      <c r="AW555" s="6"/>
      <c r="AX555" s="7">
        <f t="shared" ref="AX555" si="769">SUM(AQ555:AW555)</f>
        <v>6.5</v>
      </c>
      <c r="AY555" s="11">
        <f t="shared" si="642"/>
        <v>0</v>
      </c>
      <c r="AZ555" s="25"/>
      <c r="BA555" s="10" t="str">
        <f t="shared" si="643"/>
        <v>OutubroSEMANA 5Vagem Macarrão</v>
      </c>
      <c r="BB555" s="7">
        <f>SUMIF(NF!$A:$A,$BA555,NF!$I:$I)</f>
        <v>5</v>
      </c>
      <c r="BC555" s="6"/>
      <c r="BD555" s="6"/>
      <c r="BE555" s="6"/>
      <c r="BF555" s="74"/>
      <c r="BG555" s="74"/>
      <c r="BH555" s="74"/>
      <c r="BI555" s="74"/>
      <c r="BJ555" s="74"/>
      <c r="BK555" s="7">
        <f t="shared" ref="BK555" si="770">SUM(BC555:BJ555)</f>
        <v>0</v>
      </c>
      <c r="BL555" s="8">
        <f t="shared" si="645"/>
        <v>5</v>
      </c>
      <c r="BM555" s="51" t="str">
        <f>IFERROR(VLOOKUP(A555,NF!$M:$O,3,0),"")</f>
        <v>Hortifruti</v>
      </c>
      <c r="BN555" s="7">
        <f t="shared" si="646"/>
        <v>23.5</v>
      </c>
      <c r="BO555" s="8">
        <f t="array" ref="BO555">IFERROR(LARGE(IF(NF!$G$2:$G$3137='Mês atual'!A555,NF!$J$2:$J$3137),1),0)*BN555</f>
        <v>162.15</v>
      </c>
      <c r="BP555" s="50"/>
      <c r="BR555" s="147">
        <f t="array" ref="BR555">IFERROR(LARGE(IF(NF!$G$2:$G$3137='Mês atual'!A555,NF!$J$2:$J$3137),1),0)</f>
        <v>6.9</v>
      </c>
      <c r="BS555" s="143" t="str">
        <f>VLOOKUP(A555,NF!M:O,3,0)</f>
        <v>Hortifruti</v>
      </c>
    </row>
    <row r="556" spans="1:74" x14ac:dyDescent="0.25">
      <c r="A556" s="108" t="s">
        <v>833</v>
      </c>
      <c r="B556" s="12"/>
      <c r="C556" s="9"/>
      <c r="D556" s="25"/>
      <c r="E556" s="10" t="str">
        <f t="shared" si="631"/>
        <v>OutubroSEMANA 1Vagem Macarrão Orgânico</v>
      </c>
      <c r="F556" s="7">
        <f>SUMIF(NF!$A:$A,$E556,NF!$I:$I)</f>
        <v>0</v>
      </c>
      <c r="G556" s="6"/>
      <c r="H556" s="6"/>
      <c r="I556" s="6"/>
      <c r="J556" s="6"/>
      <c r="K556" s="6"/>
      <c r="L556" s="6"/>
      <c r="M556" s="6"/>
      <c r="N556" s="7">
        <f t="shared" ref="N556" si="771">SUM(G556:M556)</f>
        <v>0</v>
      </c>
      <c r="O556" s="11">
        <f t="shared" si="633"/>
        <v>0</v>
      </c>
      <c r="P556" s="25"/>
      <c r="Q556" s="10" t="str">
        <f t="shared" si="634"/>
        <v>OutubroSEMANA 2Vagem Macarrão Orgânico</v>
      </c>
      <c r="R556" s="7">
        <f>SUMIF(NF!$A:$A,$Q556,NF!$I:$I)</f>
        <v>0</v>
      </c>
      <c r="S556" s="6"/>
      <c r="T556" s="6"/>
      <c r="U556" s="6"/>
      <c r="V556" s="6"/>
      <c r="W556" s="6"/>
      <c r="X556" s="6"/>
      <c r="Y556" s="6"/>
      <c r="Z556" s="7">
        <f t="shared" ref="Z556" si="772">SUM(S556:Y556)</f>
        <v>0</v>
      </c>
      <c r="AA556" s="11">
        <f t="shared" si="636"/>
        <v>0</v>
      </c>
      <c r="AB556" s="25"/>
      <c r="AC556" s="10" t="str">
        <f t="shared" si="637"/>
        <v>OutubroSEMANA 3Vagem Macarrão Orgânico</v>
      </c>
      <c r="AD556" s="7">
        <f>SUMIF(NF!$A:$A,$AC556,NF!$I:$I)</f>
        <v>0</v>
      </c>
      <c r="AE556" s="6"/>
      <c r="AF556" s="6"/>
      <c r="AG556" s="6"/>
      <c r="AH556" s="6"/>
      <c r="AI556" s="6"/>
      <c r="AJ556" s="6"/>
      <c r="AK556" s="6"/>
      <c r="AL556" s="7">
        <f t="shared" ref="AL556" si="773">SUM(AE556:AK556)</f>
        <v>0</v>
      </c>
      <c r="AM556" s="11">
        <f t="shared" si="639"/>
        <v>0</v>
      </c>
      <c r="AN556" s="25"/>
      <c r="AO556" s="10" t="str">
        <f t="shared" si="640"/>
        <v>OutubroSEMANA 4Vagem Macarrão Orgânico</v>
      </c>
      <c r="AP556" s="7">
        <f>SUMIF(NF!$A:$A,$AO556,NF!$I:$I)</f>
        <v>0</v>
      </c>
      <c r="AQ556" s="6"/>
      <c r="AR556" s="6"/>
      <c r="AS556" s="6"/>
      <c r="AT556" s="6"/>
      <c r="AU556" s="6"/>
      <c r="AV556" s="6"/>
      <c r="AW556" s="6"/>
      <c r="AX556" s="7">
        <f t="shared" ref="AX556" si="774">SUM(AQ556:AW556)</f>
        <v>0</v>
      </c>
      <c r="AY556" s="11">
        <f t="shared" si="642"/>
        <v>0</v>
      </c>
      <c r="AZ556" s="25"/>
      <c r="BA556" s="10" t="str">
        <f t="shared" si="643"/>
        <v>OutubroSEMANA 5Vagem Macarrão Orgânico</v>
      </c>
      <c r="BB556" s="7">
        <f>SUMIF(NF!$A:$A,$BA556,NF!$I:$I)</f>
        <v>0</v>
      </c>
      <c r="BC556" s="6"/>
      <c r="BD556" s="6"/>
      <c r="BE556" s="6"/>
      <c r="BF556" s="74"/>
      <c r="BG556" s="74"/>
      <c r="BH556" s="74"/>
      <c r="BI556" s="74"/>
      <c r="BJ556" s="74"/>
      <c r="BK556" s="7">
        <f t="shared" ref="BK556" si="775">SUM(BC556:BJ556)</f>
        <v>0</v>
      </c>
      <c r="BL556" s="8">
        <f t="shared" si="645"/>
        <v>0</v>
      </c>
      <c r="BM556" s="51" t="str">
        <f>IFERROR(VLOOKUP(A556,NF!$M:$O,3,0),"")</f>
        <v>Hortifruti</v>
      </c>
      <c r="BN556" s="7">
        <f t="shared" si="646"/>
        <v>0</v>
      </c>
      <c r="BO556" s="8">
        <f t="array" ref="BO556">IFERROR(LARGE(IF(NF!$G$2:$G$3137='Mês atual'!A556,NF!$J$2:$J$3137),1),0)*BN556</f>
        <v>0</v>
      </c>
      <c r="BP556" s="50"/>
      <c r="BR556" s="147">
        <f t="array" ref="BR556">IFERROR(LARGE(IF(NF!$G$2:$G$3137='Mês atual'!A556,NF!$J$2:$J$3137),1),0)</f>
        <v>0</v>
      </c>
      <c r="BS556" s="143" t="str">
        <f>VLOOKUP(A556,NF!M:O,3,0)</f>
        <v>Hortifruti</v>
      </c>
    </row>
    <row r="557" spans="1:74" ht="15.75" thickBot="1" x14ac:dyDescent="0.3">
      <c r="A557" s="108" t="s">
        <v>986</v>
      </c>
      <c r="B557" s="12"/>
      <c r="C557" s="9"/>
      <c r="D557" s="25"/>
      <c r="E557" s="10" t="str">
        <f t="shared" si="631"/>
        <v>OutubroSEMANA 1Vagem Manteiga</v>
      </c>
      <c r="F557" s="7">
        <f>SUMIF(NF!$A:$A,$E557,NF!$I:$I)</f>
        <v>0</v>
      </c>
      <c r="G557" s="6"/>
      <c r="H557" s="6"/>
      <c r="I557" s="6"/>
      <c r="J557" s="6"/>
      <c r="K557" s="6"/>
      <c r="L557" s="6"/>
      <c r="M557" s="6"/>
      <c r="N557" s="7">
        <f t="shared" ref="N557" si="776">SUM(G557:M557)</f>
        <v>0</v>
      </c>
      <c r="O557" s="11">
        <f t="shared" si="633"/>
        <v>0</v>
      </c>
      <c r="P557" s="25"/>
      <c r="Q557" s="10" t="str">
        <f t="shared" si="634"/>
        <v>OutubroSEMANA 2Vagem Manteiga</v>
      </c>
      <c r="R557" s="7">
        <f>SUMIF(NF!$A:$A,$Q557,NF!$I:$I)</f>
        <v>0</v>
      </c>
      <c r="S557" s="6"/>
      <c r="T557" s="6"/>
      <c r="U557" s="6"/>
      <c r="V557" s="6"/>
      <c r="W557" s="6"/>
      <c r="X557" s="6"/>
      <c r="Y557" s="6"/>
      <c r="Z557" s="7">
        <f t="shared" ref="Z557" si="777">SUM(S557:Y557)</f>
        <v>0</v>
      </c>
      <c r="AA557" s="11">
        <f t="shared" si="636"/>
        <v>0</v>
      </c>
      <c r="AB557" s="25"/>
      <c r="AC557" s="10" t="str">
        <f t="shared" si="637"/>
        <v>OutubroSEMANA 3Vagem Manteiga</v>
      </c>
      <c r="AD557" s="7">
        <f>SUMIF(NF!$A:$A,$AC557,NF!$I:$I)</f>
        <v>0</v>
      </c>
      <c r="AE557" s="6"/>
      <c r="AF557" s="6"/>
      <c r="AG557" s="6"/>
      <c r="AH557" s="6"/>
      <c r="AI557" s="6"/>
      <c r="AJ557" s="6"/>
      <c r="AK557" s="6"/>
      <c r="AL557" s="7">
        <f t="shared" ref="AL557" si="778">SUM(AE557:AK557)</f>
        <v>0</v>
      </c>
      <c r="AM557" s="11">
        <f t="shared" si="639"/>
        <v>0</v>
      </c>
      <c r="AN557" s="25"/>
      <c r="AO557" s="10" t="str">
        <f t="shared" si="640"/>
        <v>OutubroSEMANA 4Vagem Manteiga</v>
      </c>
      <c r="AP557" s="7">
        <f>SUMIF(NF!$A:$A,$AO557,NF!$I:$I)</f>
        <v>0</v>
      </c>
      <c r="AQ557" s="6"/>
      <c r="AR557" s="6"/>
      <c r="AS557" s="6"/>
      <c r="AT557" s="6"/>
      <c r="AU557" s="6"/>
      <c r="AV557" s="6"/>
      <c r="AW557" s="6"/>
      <c r="AX557" s="7">
        <f t="shared" ref="AX557" si="779">SUM(AQ557:AW557)</f>
        <v>0</v>
      </c>
      <c r="AY557" s="11">
        <f t="shared" si="642"/>
        <v>0</v>
      </c>
      <c r="AZ557" s="25"/>
      <c r="BA557" s="10" t="str">
        <f t="shared" si="643"/>
        <v>OutubroSEMANA 5Vagem Manteiga</v>
      </c>
      <c r="BB557" s="7">
        <f>SUMIF(NF!$A:$A,$BA557,NF!$I:$I)</f>
        <v>0</v>
      </c>
      <c r="BC557" s="6"/>
      <c r="BD557" s="6"/>
      <c r="BE557" s="6"/>
      <c r="BF557" s="74"/>
      <c r="BG557" s="74"/>
      <c r="BH557" s="74"/>
      <c r="BI557" s="74"/>
      <c r="BJ557" s="74"/>
      <c r="BK557" s="7">
        <f t="shared" ref="BK557" si="780">SUM(BC557:BJ557)</f>
        <v>0</v>
      </c>
      <c r="BL557" s="8">
        <f t="shared" si="645"/>
        <v>0</v>
      </c>
      <c r="BM557" s="51" t="str">
        <f>IFERROR(VLOOKUP(A557,NF!$M:$O,3,0),"")</f>
        <v>Hortifruti</v>
      </c>
      <c r="BN557" s="7">
        <f t="shared" si="646"/>
        <v>0</v>
      </c>
      <c r="BO557" s="8">
        <f t="array" ref="BO557">IFERROR(LARGE(IF(NF!$G$2:$G$3137='Mês atual'!A557,NF!$J$2:$J$3137),1),0)*BN557</f>
        <v>0</v>
      </c>
      <c r="BP557" s="50"/>
      <c r="BR557" s="147">
        <f t="array" ref="BR557">IFERROR(LARGE(IF(NF!$G$2:$G$3137='Mês atual'!A557,NF!$J$2:$J$3137),1),0)</f>
        <v>0</v>
      </c>
      <c r="BS557" s="143" t="str">
        <f>VLOOKUP(A557,NF!M:O,3,0)</f>
        <v>Hortifruti</v>
      </c>
    </row>
    <row r="558" spans="1:74" s="16" customFormat="1" ht="30" customHeight="1" thickBot="1" x14ac:dyDescent="0.3">
      <c r="A558" s="139" t="s">
        <v>925</v>
      </c>
      <c r="B558" s="130"/>
      <c r="C558" s="131"/>
      <c r="D558" s="132"/>
      <c r="E558" s="133"/>
      <c r="F558" s="134"/>
      <c r="G558" s="133"/>
      <c r="H558" s="133"/>
      <c r="I558" s="133"/>
      <c r="J558" s="133"/>
      <c r="K558" s="133"/>
      <c r="L558" s="133"/>
      <c r="M558" s="133"/>
      <c r="N558" s="134"/>
      <c r="O558" s="134"/>
      <c r="P558" s="132"/>
      <c r="Q558" s="133"/>
      <c r="R558" s="134"/>
      <c r="S558" s="133"/>
      <c r="T558" s="133"/>
      <c r="U558" s="133"/>
      <c r="V558" s="133"/>
      <c r="W558" s="133"/>
      <c r="X558" s="133"/>
      <c r="Y558" s="133"/>
      <c r="Z558" s="134"/>
      <c r="AA558" s="134"/>
      <c r="AB558" s="132"/>
      <c r="AC558" s="133"/>
      <c r="AD558" s="134"/>
      <c r="AE558" s="133"/>
      <c r="AF558" s="133"/>
      <c r="AG558" s="133"/>
      <c r="AH558" s="133"/>
      <c r="AI558" s="133"/>
      <c r="AJ558" s="133"/>
      <c r="AK558" s="133"/>
      <c r="AL558" s="134"/>
      <c r="AM558" s="134"/>
      <c r="AN558" s="132"/>
      <c r="AO558" s="133"/>
      <c r="AP558" s="134"/>
      <c r="AQ558" s="133"/>
      <c r="AR558" s="133"/>
      <c r="AS558" s="133"/>
      <c r="AT558" s="133"/>
      <c r="AU558" s="133"/>
      <c r="AV558" s="133"/>
      <c r="AW558" s="133"/>
      <c r="AX558" s="134"/>
      <c r="AY558" s="134"/>
      <c r="AZ558" s="132"/>
      <c r="BA558" s="133"/>
      <c r="BB558" s="134"/>
      <c r="BC558" s="133"/>
      <c r="BD558" s="133"/>
      <c r="BE558" s="133"/>
      <c r="BF558" s="135"/>
      <c r="BG558" s="135"/>
      <c r="BH558" s="135"/>
      <c r="BI558" s="135"/>
      <c r="BJ558" s="135"/>
      <c r="BK558" s="134"/>
      <c r="BL558" s="134"/>
      <c r="BM558" s="136"/>
      <c r="BN558" s="137"/>
      <c r="BO558" s="137"/>
      <c r="BP558" s="138"/>
      <c r="BQ558" s="145"/>
      <c r="BR558" s="145"/>
      <c r="BS558" s="145"/>
      <c r="BT558" s="146"/>
      <c r="BU558" s="146"/>
      <c r="BV558" s="146"/>
    </row>
    <row r="559" spans="1:74" x14ac:dyDescent="0.25">
      <c r="A559" s="108" t="s">
        <v>84</v>
      </c>
      <c r="B559" s="12"/>
      <c r="C559" s="9"/>
      <c r="D559" s="25"/>
      <c r="E559" s="10" t="str">
        <f t="shared" ref="E559:E597" si="781">CONCATENATE($C$2,$F$1,$A559)</f>
        <v xml:space="preserve">OutubroSEMANA 1AFVT - Antimicrobial Bb 10,4 KG </v>
      </c>
      <c r="F559" s="7">
        <f>SUMIF(NF!$A:$A,$E559,NF!$I:$I)</f>
        <v>0</v>
      </c>
      <c r="G559" s="6"/>
      <c r="H559" s="6"/>
      <c r="I559" s="6"/>
      <c r="J559" s="6"/>
      <c r="K559" s="6"/>
      <c r="L559" s="6"/>
      <c r="M559" s="6"/>
      <c r="N559" s="7">
        <f t="shared" ref="N559:N560" si="782">SUM(G559:M559)</f>
        <v>0</v>
      </c>
      <c r="O559" s="11">
        <f t="shared" ref="O559:O597" si="783">F559+C559-N559</f>
        <v>0</v>
      </c>
      <c r="P559" s="25"/>
      <c r="Q559" s="10" t="str">
        <f t="shared" ref="Q559:Q597" si="784">CONCATENATE($C$2,$R$1,$A559)</f>
        <v xml:space="preserve">OutubroSEMANA 2AFVT - Antimicrobial Bb 10,4 KG </v>
      </c>
      <c r="R559" s="7">
        <f>SUMIF(NF!$A:$A,$Q559,NF!$I:$I)</f>
        <v>1</v>
      </c>
      <c r="S559" s="6"/>
      <c r="T559" s="6"/>
      <c r="U559" s="6"/>
      <c r="V559" s="6"/>
      <c r="W559" s="6"/>
      <c r="X559" s="6"/>
      <c r="Y559" s="6"/>
      <c r="Z559" s="7">
        <f t="shared" ref="Z559:Z560" si="785">SUM(S559:Y559)</f>
        <v>0</v>
      </c>
      <c r="AA559" s="11">
        <f t="shared" ref="AA559:AA597" si="786">R559+O559-Z559</f>
        <v>1</v>
      </c>
      <c r="AB559" s="25"/>
      <c r="AC559" s="10" t="str">
        <f t="shared" ref="AC559:AC597" si="787">CONCATENATE($C$2,$AD$1,$A559)</f>
        <v xml:space="preserve">OutubroSEMANA 3AFVT - Antimicrobial Bb 10,4 KG </v>
      </c>
      <c r="AD559" s="7">
        <f>SUMIF(NF!$A:$A,$AC559,NF!$I:$I)</f>
        <v>0</v>
      </c>
      <c r="AE559" s="6"/>
      <c r="AF559" s="6">
        <v>1</v>
      </c>
      <c r="AG559" s="6"/>
      <c r="AH559" s="6"/>
      <c r="AI559" s="6"/>
      <c r="AJ559" s="6"/>
      <c r="AK559" s="6"/>
      <c r="AL559" s="7">
        <f t="shared" ref="AL559:AL560" si="788">SUM(AE559:AK559)</f>
        <v>1</v>
      </c>
      <c r="AM559" s="11">
        <f t="shared" ref="AM559:AM597" si="789">AD559+AA559-AL559</f>
        <v>0</v>
      </c>
      <c r="AN559" s="25"/>
      <c r="AO559" s="10" t="str">
        <f t="shared" ref="AO559:AO597" si="790">CONCATENATE($C$2,$AP$1,$A559)</f>
        <v xml:space="preserve">OutubroSEMANA 4AFVT - Antimicrobial Bb 10,4 KG </v>
      </c>
      <c r="AP559" s="7">
        <f>SUMIF(NF!$A:$A,$AO559,NF!$I:$I)</f>
        <v>1</v>
      </c>
      <c r="AQ559" s="6"/>
      <c r="AR559" s="6"/>
      <c r="AS559" s="6"/>
      <c r="AT559" s="6"/>
      <c r="AU559" s="6"/>
      <c r="AV559" s="6"/>
      <c r="AW559" s="6"/>
      <c r="AX559" s="7">
        <f t="shared" ref="AX559:AX560" si="791">SUM(AQ559:AW559)</f>
        <v>0</v>
      </c>
      <c r="AY559" s="11">
        <f t="shared" ref="AY559:AY597" si="792">AP559+AM559-AX559</f>
        <v>1</v>
      </c>
      <c r="AZ559" s="25"/>
      <c r="BA559" s="10" t="str">
        <f t="shared" ref="BA559:BA597" si="793">CONCATENATE($C$2,$BB$1,$A559)</f>
        <v xml:space="preserve">OutubroSEMANA 5AFVT - Antimicrobial Bb 10,4 KG </v>
      </c>
      <c r="BB559" s="7">
        <f>SUMIF(NF!$A:$A,$BA559,NF!$I:$I)</f>
        <v>0</v>
      </c>
      <c r="BC559" s="6"/>
      <c r="BD559" s="6"/>
      <c r="BE559" s="6"/>
      <c r="BF559" s="74"/>
      <c r="BG559" s="74"/>
      <c r="BH559" s="74"/>
      <c r="BI559" s="74"/>
      <c r="BJ559" s="74"/>
      <c r="BK559" s="7">
        <f t="shared" ref="BK559:BK560" si="794">SUM(BC559:BJ559)</f>
        <v>0</v>
      </c>
      <c r="BL559" s="8">
        <f t="shared" ref="BL559:BL597" si="795">BB559+AY559-BK559</f>
        <v>1</v>
      </c>
      <c r="BM559" s="51" t="str">
        <f>IFERROR(VLOOKUP(A559,NF!$M:$O,3,0),"")</f>
        <v>Limpeza</v>
      </c>
      <c r="BN559" s="7">
        <f t="shared" ref="BN559:BN597" si="796">SUM(N559,Z559,AL559,AX559,BK559)</f>
        <v>1</v>
      </c>
      <c r="BO559" s="8">
        <f t="array" ref="BO559">IFERROR(LARGE(IF(NF!$G$2:$G$3137='Mês atual'!A559,NF!$J$2:$J$3137),1),0)*BN559</f>
        <v>789.87</v>
      </c>
      <c r="BP559" s="50"/>
      <c r="BR559" s="147">
        <f t="array" ref="BR559">IFERROR(LARGE(IF(NF!$G$2:$G$3137='Mês atual'!A559,NF!$J$2:$J$3137),1),0)</f>
        <v>789.87</v>
      </c>
      <c r="BS559" s="143" t="str">
        <f>VLOOKUP(A559,NF!M:O,3,0)</f>
        <v>Limpeza</v>
      </c>
    </row>
    <row r="560" spans="1:74" x14ac:dyDescent="0.25">
      <c r="A560" s="108" t="s">
        <v>99</v>
      </c>
      <c r="B560" s="12"/>
      <c r="C560" s="9">
        <v>25</v>
      </c>
      <c r="D560" s="25"/>
      <c r="E560" s="10" t="str">
        <f t="shared" si="781"/>
        <v>OutubroSEMANA 1Álcool 70</v>
      </c>
      <c r="F560" s="7">
        <f>SUMIF(NF!$A:$A,$E560,NF!$I:$I)</f>
        <v>12</v>
      </c>
      <c r="G560" s="6">
        <v>2</v>
      </c>
      <c r="H560" s="6"/>
      <c r="I560" s="6">
        <v>3</v>
      </c>
      <c r="J560" s="6">
        <v>1</v>
      </c>
      <c r="K560" s="6">
        <v>1</v>
      </c>
      <c r="L560" s="6"/>
      <c r="M560" s="6">
        <v>2</v>
      </c>
      <c r="N560" s="7">
        <f t="shared" si="782"/>
        <v>9</v>
      </c>
      <c r="O560" s="11">
        <f t="shared" si="783"/>
        <v>28</v>
      </c>
      <c r="P560" s="25"/>
      <c r="Q560" s="10" t="str">
        <f t="shared" si="784"/>
        <v>OutubroSEMANA 2Álcool 70</v>
      </c>
      <c r="R560" s="7">
        <f>SUMIF(NF!$A:$A,$Q560,NF!$I:$I)</f>
        <v>0</v>
      </c>
      <c r="S560" s="6">
        <v>2</v>
      </c>
      <c r="T560" s="6">
        <v>2</v>
      </c>
      <c r="U560" s="6">
        <v>2</v>
      </c>
      <c r="V560" s="6"/>
      <c r="W560" s="6">
        <v>2</v>
      </c>
      <c r="X560" s="6"/>
      <c r="Y560" s="6">
        <v>2</v>
      </c>
      <c r="Z560" s="7">
        <f t="shared" si="785"/>
        <v>10</v>
      </c>
      <c r="AA560" s="11">
        <f t="shared" si="786"/>
        <v>18</v>
      </c>
      <c r="AB560" s="25"/>
      <c r="AC560" s="10" t="str">
        <f t="shared" si="787"/>
        <v>OutubroSEMANA 3Álcool 70</v>
      </c>
      <c r="AD560" s="7">
        <f>SUMIF(NF!$A:$A,$AC560,NF!$I:$I)</f>
        <v>12</v>
      </c>
      <c r="AE560" s="6"/>
      <c r="AF560" s="6">
        <v>1</v>
      </c>
      <c r="AG560" s="6">
        <v>1</v>
      </c>
      <c r="AH560" s="6">
        <v>1</v>
      </c>
      <c r="AI560" s="6">
        <v>2</v>
      </c>
      <c r="AJ560" s="6">
        <v>1</v>
      </c>
      <c r="AK560" s="6">
        <v>1</v>
      </c>
      <c r="AL560" s="7">
        <f t="shared" si="788"/>
        <v>7</v>
      </c>
      <c r="AM560" s="11">
        <f t="shared" si="789"/>
        <v>23</v>
      </c>
      <c r="AN560" s="25"/>
      <c r="AO560" s="10" t="str">
        <f t="shared" si="790"/>
        <v>OutubroSEMANA 4Álcool 70</v>
      </c>
      <c r="AP560" s="7">
        <f>SUMIF(NF!$A:$A,$AO560,NF!$I:$I)</f>
        <v>0</v>
      </c>
      <c r="AQ560" s="6"/>
      <c r="AR560" s="6">
        <v>1</v>
      </c>
      <c r="AS560" s="6">
        <v>2</v>
      </c>
      <c r="AT560" s="6"/>
      <c r="AU560" s="6">
        <v>2</v>
      </c>
      <c r="AV560" s="6">
        <v>1</v>
      </c>
      <c r="AW560" s="6">
        <v>1</v>
      </c>
      <c r="AX560" s="7">
        <f t="shared" si="791"/>
        <v>7</v>
      </c>
      <c r="AY560" s="11">
        <f t="shared" si="792"/>
        <v>16</v>
      </c>
      <c r="AZ560" s="25"/>
      <c r="BA560" s="10" t="str">
        <f t="shared" si="793"/>
        <v>OutubroSEMANA 5Álcool 70</v>
      </c>
      <c r="BB560" s="7">
        <f>SUMIF(NF!$A:$A,$BA560,NF!$I:$I)</f>
        <v>0</v>
      </c>
      <c r="BC560" s="6">
        <v>1</v>
      </c>
      <c r="BD560" s="6"/>
      <c r="BE560" s="6">
        <v>1</v>
      </c>
      <c r="BF560" s="74"/>
      <c r="BG560" s="74"/>
      <c r="BH560" s="74"/>
      <c r="BI560" s="74"/>
      <c r="BJ560" s="74"/>
      <c r="BK560" s="7">
        <f t="shared" si="794"/>
        <v>2</v>
      </c>
      <c r="BL560" s="8">
        <f t="shared" si="795"/>
        <v>14</v>
      </c>
      <c r="BM560" s="51" t="str">
        <f>IFERROR(VLOOKUP(A560,NF!$M:$O,3,0),"")</f>
        <v>Limpeza</v>
      </c>
      <c r="BN560" s="7">
        <f t="shared" si="796"/>
        <v>35</v>
      </c>
      <c r="BO560" s="8">
        <f t="array" ref="BO560">IFERROR(LARGE(IF(NF!$G$2:$G$3137='Mês atual'!A560,NF!$J$2:$J$3137),1),0)*BN560</f>
        <v>171.5</v>
      </c>
      <c r="BP560" s="50"/>
      <c r="BR560" s="147">
        <f t="array" ref="BR560">IFERROR(LARGE(IF(NF!$G$2:$G$3137='Mês atual'!A560,NF!$J$2:$J$3137),1),0)</f>
        <v>4.9000000000000004</v>
      </c>
      <c r="BS560" s="143" t="str">
        <f>VLOOKUP(A560,NF!M:O,3,0)</f>
        <v>Limpeza</v>
      </c>
    </row>
    <row r="561" spans="1:71" x14ac:dyDescent="0.25">
      <c r="A561" s="108" t="s">
        <v>100</v>
      </c>
      <c r="B561" s="12"/>
      <c r="C561" s="9">
        <v>7</v>
      </c>
      <c r="D561" s="25"/>
      <c r="E561" s="10" t="str">
        <f t="shared" si="781"/>
        <v>OutubroSEMANA 1Álcool Espuma</v>
      </c>
      <c r="F561" s="7">
        <f>SUMIF(NF!$A:$A,$E561,NF!$I:$I)</f>
        <v>0</v>
      </c>
      <c r="G561" s="6"/>
      <c r="H561" s="6"/>
      <c r="I561" s="6"/>
      <c r="J561" s="6"/>
      <c r="K561" s="6"/>
      <c r="L561" s="6"/>
      <c r="M561" s="6"/>
      <c r="N561" s="7">
        <f t="shared" ref="N561" si="797">SUM(G561:M561)</f>
        <v>0</v>
      </c>
      <c r="O561" s="11">
        <f t="shared" si="783"/>
        <v>7</v>
      </c>
      <c r="P561" s="25"/>
      <c r="Q561" s="10" t="str">
        <f t="shared" si="784"/>
        <v>OutubroSEMANA 2Álcool Espuma</v>
      </c>
      <c r="R561" s="7">
        <f>SUMIF(NF!$A:$A,$Q561,NF!$I:$I)</f>
        <v>0</v>
      </c>
      <c r="S561" s="6">
        <v>1</v>
      </c>
      <c r="T561" s="6"/>
      <c r="U561" s="6"/>
      <c r="V561" s="6"/>
      <c r="W561" s="6"/>
      <c r="X561" s="6"/>
      <c r="Y561" s="6"/>
      <c r="Z561" s="7">
        <f t="shared" ref="Z561" si="798">SUM(S561:Y561)</f>
        <v>1</v>
      </c>
      <c r="AA561" s="11">
        <f t="shared" si="786"/>
        <v>6</v>
      </c>
      <c r="AB561" s="25"/>
      <c r="AC561" s="10" t="str">
        <f t="shared" si="787"/>
        <v>OutubroSEMANA 3Álcool Espuma</v>
      </c>
      <c r="AD561" s="7">
        <f>SUMIF(NF!$A:$A,$AC561,NF!$I:$I)</f>
        <v>0</v>
      </c>
      <c r="AE561" s="6"/>
      <c r="AF561" s="6"/>
      <c r="AG561" s="6"/>
      <c r="AH561" s="6"/>
      <c r="AI561" s="6"/>
      <c r="AJ561" s="6"/>
      <c r="AK561" s="6"/>
      <c r="AL561" s="7">
        <f t="shared" ref="AL561" si="799">SUM(AE561:AK561)</f>
        <v>0</v>
      </c>
      <c r="AM561" s="11">
        <f t="shared" si="789"/>
        <v>6</v>
      </c>
      <c r="AN561" s="25"/>
      <c r="AO561" s="10" t="str">
        <f t="shared" si="790"/>
        <v>OutubroSEMANA 4Álcool Espuma</v>
      </c>
      <c r="AP561" s="7">
        <f>SUMIF(NF!$A:$A,$AO561,NF!$I:$I)</f>
        <v>0</v>
      </c>
      <c r="AQ561" s="6"/>
      <c r="AR561" s="6"/>
      <c r="AS561" s="6"/>
      <c r="AT561" s="6"/>
      <c r="AU561" s="6"/>
      <c r="AV561" s="6">
        <v>1</v>
      </c>
      <c r="AW561" s="6"/>
      <c r="AX561" s="7">
        <f>SUM(AQ561:AW561)</f>
        <v>1</v>
      </c>
      <c r="AY561" s="11">
        <f t="shared" si="792"/>
        <v>5</v>
      </c>
      <c r="AZ561" s="25"/>
      <c r="BA561" s="10" t="str">
        <f t="shared" si="793"/>
        <v>OutubroSEMANA 5Álcool Espuma</v>
      </c>
      <c r="BB561" s="7">
        <f>SUMIF(NF!$A:$A,$BA561,NF!$I:$I)</f>
        <v>0</v>
      </c>
      <c r="BC561" s="6"/>
      <c r="BD561" s="6"/>
      <c r="BE561" s="6"/>
      <c r="BF561" s="74"/>
      <c r="BG561" s="74"/>
      <c r="BH561" s="74"/>
      <c r="BI561" s="74"/>
      <c r="BJ561" s="74"/>
      <c r="BK561" s="7">
        <f>SUM(BC561:BJ561)</f>
        <v>0</v>
      </c>
      <c r="BL561" s="8">
        <f t="shared" si="795"/>
        <v>5</v>
      </c>
      <c r="BM561" s="51" t="str">
        <f>IFERROR(VLOOKUP(A561,NF!$M:$O,3,0),"")</f>
        <v>Limpeza</v>
      </c>
      <c r="BN561" s="7">
        <f t="shared" si="796"/>
        <v>2</v>
      </c>
      <c r="BO561" s="8">
        <f t="array" ref="BO561">IFERROR(LARGE(IF(NF!$G$2:$G$3137='Mês atual'!A561,NF!$J$2:$J$3137),1),0)*BN561</f>
        <v>0</v>
      </c>
      <c r="BP561" s="50"/>
      <c r="BR561" s="147">
        <f t="array" ref="BR561">IFERROR(LARGE(IF(NF!$G$2:$G$3137='Mês atual'!A561,NF!$J$2:$J$3137),1),0)</f>
        <v>0</v>
      </c>
      <c r="BS561" s="143" t="str">
        <f>VLOOKUP(A561,NF!M:O,3,0)</f>
        <v>Limpeza</v>
      </c>
    </row>
    <row r="562" spans="1:71" x14ac:dyDescent="0.25">
      <c r="A562" s="108" t="s">
        <v>995</v>
      </c>
      <c r="B562" s="12"/>
      <c r="C562" s="9">
        <v>2</v>
      </c>
      <c r="D562" s="25"/>
      <c r="E562" s="10" t="str">
        <f t="shared" si="781"/>
        <v>OutubroSEMANA 1Álcool Gel Antiséptico 800 ml</v>
      </c>
      <c r="F562" s="7">
        <f>SUMIF(NF!$A:$A,$E562,NF!$I:$I)</f>
        <v>0</v>
      </c>
      <c r="G562" s="6"/>
      <c r="H562" s="6"/>
      <c r="I562" s="6"/>
      <c r="J562" s="6"/>
      <c r="K562" s="6"/>
      <c r="L562" s="6"/>
      <c r="M562" s="6"/>
      <c r="N562" s="7">
        <f t="shared" ref="N562" si="800">SUM(G562:M562)</f>
        <v>0</v>
      </c>
      <c r="O562" s="11">
        <f t="shared" ref="O562" si="801">F562+C562-N562</f>
        <v>2</v>
      </c>
      <c r="P562" s="25"/>
      <c r="Q562" s="10" t="str">
        <f t="shared" si="784"/>
        <v>OutubroSEMANA 2Álcool Gel Antiséptico 800 ml</v>
      </c>
      <c r="R562" s="7">
        <f>SUMIF(NF!$A:$A,$Q562,NF!$I:$I)</f>
        <v>0</v>
      </c>
      <c r="S562" s="6"/>
      <c r="T562" s="6"/>
      <c r="U562" s="6"/>
      <c r="V562" s="6"/>
      <c r="W562" s="6"/>
      <c r="X562" s="6"/>
      <c r="Y562" s="6"/>
      <c r="Z562" s="7">
        <f t="shared" ref="Z562" si="802">SUM(S562:Y562)</f>
        <v>0</v>
      </c>
      <c r="AA562" s="11">
        <f t="shared" ref="AA562" si="803">R562+O562-Z562</f>
        <v>2</v>
      </c>
      <c r="AB562" s="25"/>
      <c r="AC562" s="10" t="str">
        <f t="shared" si="787"/>
        <v>OutubroSEMANA 3Álcool Gel Antiséptico 800 ml</v>
      </c>
      <c r="AD562" s="7">
        <f>SUMIF(NF!$A:$A,$AC562,NF!$I:$I)</f>
        <v>0</v>
      </c>
      <c r="AE562" s="6"/>
      <c r="AF562" s="6"/>
      <c r="AG562" s="6"/>
      <c r="AH562" s="6"/>
      <c r="AI562" s="6"/>
      <c r="AJ562" s="6"/>
      <c r="AK562" s="6"/>
      <c r="AL562" s="7">
        <f t="shared" ref="AL562" si="804">SUM(AE562:AK562)</f>
        <v>0</v>
      </c>
      <c r="AM562" s="11">
        <f t="shared" ref="AM562" si="805">AD562+AA562-AL562</f>
        <v>2</v>
      </c>
      <c r="AN562" s="25"/>
      <c r="AO562" s="10" t="str">
        <f t="shared" si="790"/>
        <v>OutubroSEMANA 4Álcool Gel Antiséptico 800 ml</v>
      </c>
      <c r="AP562" s="7">
        <f>SUMIF(NF!$A:$A,$AO562,NF!$I:$I)</f>
        <v>0</v>
      </c>
      <c r="AQ562" s="6"/>
      <c r="AR562" s="6"/>
      <c r="AS562" s="6"/>
      <c r="AT562" s="6"/>
      <c r="AU562" s="6"/>
      <c r="AV562" s="6"/>
      <c r="AW562" s="6"/>
      <c r="AX562" s="7">
        <f t="shared" ref="AX562" si="806">SUM(AQ562:AW562)</f>
        <v>0</v>
      </c>
      <c r="AY562" s="11">
        <f t="shared" ref="AY562" si="807">AP562+AM562-AX562</f>
        <v>2</v>
      </c>
      <c r="AZ562" s="25"/>
      <c r="BA562" s="10" t="str">
        <f t="shared" si="793"/>
        <v>OutubroSEMANA 5Álcool Gel Antiséptico 800 ml</v>
      </c>
      <c r="BB562" s="7">
        <f>SUMIF(NF!$A:$A,$BA562,NF!$I:$I)</f>
        <v>0</v>
      </c>
      <c r="BC562" s="6"/>
      <c r="BD562" s="6"/>
      <c r="BE562" s="6"/>
      <c r="BF562" s="74"/>
      <c r="BG562" s="74"/>
      <c r="BH562" s="74"/>
      <c r="BI562" s="74"/>
      <c r="BJ562" s="74"/>
      <c r="BK562" s="7">
        <f t="shared" ref="BK562" si="808">SUM(BC562:BJ562)</f>
        <v>0</v>
      </c>
      <c r="BL562" s="8">
        <f t="shared" ref="BL562" si="809">BB562+AY562-BK562</f>
        <v>2</v>
      </c>
      <c r="BM562" s="51" t="str">
        <f>IFERROR(VLOOKUP(A562,NF!$M:$O,3,0),"")</f>
        <v>Limpeza</v>
      </c>
      <c r="BN562" s="7">
        <f t="shared" ref="BN562" si="810">SUM(N562,Z562,AL562,AX562,BK562)</f>
        <v>0</v>
      </c>
      <c r="BO562" s="8">
        <f t="array" ref="BO562">IFERROR(LARGE(IF(NF!$G$2:$G$3137='Mês atual'!A562,NF!$J$2:$J$3137),1),0)*BN562</f>
        <v>0</v>
      </c>
      <c r="BP562" s="50"/>
      <c r="BR562" s="147">
        <f t="array" ref="BR562">IFERROR(LARGE(IF(NF!$G$2:$G$3137='Mês atual'!A562,NF!$J$2:$J$3137),1),0)</f>
        <v>0</v>
      </c>
      <c r="BS562" s="143" t="str">
        <f>VLOOKUP(A562,NF!M:O,3,0)</f>
        <v>Limpeza</v>
      </c>
    </row>
    <row r="563" spans="1:71" x14ac:dyDescent="0.25">
      <c r="A563" s="108" t="s">
        <v>120</v>
      </c>
      <c r="B563" s="12"/>
      <c r="C563" s="9"/>
      <c r="D563" s="25"/>
      <c r="E563" s="10" t="str">
        <f t="shared" si="781"/>
        <v>OutubroSEMANA 1Ammoniated Glas Cln (Limpa vidro) BB 5L</v>
      </c>
      <c r="F563" s="7">
        <f>SUMIF(NF!$A:$A,$E563,NF!$I:$I)</f>
        <v>0</v>
      </c>
      <c r="G563" s="6"/>
      <c r="H563" s="6"/>
      <c r="I563" s="6"/>
      <c r="J563" s="6"/>
      <c r="K563" s="6"/>
      <c r="L563" s="6"/>
      <c r="M563" s="6"/>
      <c r="N563" s="7">
        <f t="shared" ref="N563:N580" si="811">SUM(G563:M563)</f>
        <v>0</v>
      </c>
      <c r="O563" s="11">
        <f t="shared" si="783"/>
        <v>0</v>
      </c>
      <c r="P563" s="25"/>
      <c r="Q563" s="10" t="str">
        <f t="shared" si="784"/>
        <v>OutubroSEMANA 2Ammoniated Glas Cln (Limpa vidro) BB 5L</v>
      </c>
      <c r="R563" s="7">
        <f>SUMIF(NF!$A:$A,$Q563,NF!$I:$I)</f>
        <v>2</v>
      </c>
      <c r="S563" s="6"/>
      <c r="T563" s="6"/>
      <c r="U563" s="6"/>
      <c r="V563" s="6"/>
      <c r="W563" s="6"/>
      <c r="X563" s="6"/>
      <c r="Y563" s="6"/>
      <c r="Z563" s="7">
        <f t="shared" ref="Z563:Z580" si="812">SUM(S563:Y563)</f>
        <v>0</v>
      </c>
      <c r="AA563" s="11">
        <f t="shared" si="786"/>
        <v>2</v>
      </c>
      <c r="AB563" s="25"/>
      <c r="AC563" s="10" t="str">
        <f t="shared" si="787"/>
        <v>OutubroSEMANA 3Ammoniated Glas Cln (Limpa vidro) BB 5L</v>
      </c>
      <c r="AD563" s="7">
        <f>SUMIF(NF!$A:$A,$AC563,NF!$I:$I)</f>
        <v>0</v>
      </c>
      <c r="AE563" s="6"/>
      <c r="AF563" s="6"/>
      <c r="AG563" s="6"/>
      <c r="AH563" s="6"/>
      <c r="AI563" s="6"/>
      <c r="AJ563" s="6"/>
      <c r="AK563" s="6"/>
      <c r="AL563" s="7">
        <f t="shared" ref="AL563:AL580" si="813">SUM(AE563:AK563)</f>
        <v>0</v>
      </c>
      <c r="AM563" s="11">
        <f t="shared" si="789"/>
        <v>2</v>
      </c>
      <c r="AN563" s="25"/>
      <c r="AO563" s="10" t="str">
        <f t="shared" si="790"/>
        <v>OutubroSEMANA 4Ammoniated Glas Cln (Limpa vidro) BB 5L</v>
      </c>
      <c r="AP563" s="7">
        <f>SUMIF(NF!$A:$A,$AO563,NF!$I:$I)</f>
        <v>0</v>
      </c>
      <c r="AQ563" s="6">
        <v>1</v>
      </c>
      <c r="AR563" s="6"/>
      <c r="AS563" s="6"/>
      <c r="AT563" s="6"/>
      <c r="AU563" s="6"/>
      <c r="AV563" s="6"/>
      <c r="AW563" s="6"/>
      <c r="AX563" s="7">
        <f t="shared" ref="AX563:AX580" si="814">SUM(AQ563:AW563)</f>
        <v>1</v>
      </c>
      <c r="AY563" s="11">
        <f t="shared" si="792"/>
        <v>1</v>
      </c>
      <c r="AZ563" s="25"/>
      <c r="BA563" s="10" t="str">
        <f t="shared" si="793"/>
        <v>OutubroSEMANA 5Ammoniated Glas Cln (Limpa vidro) BB 5L</v>
      </c>
      <c r="BB563" s="7">
        <f>SUMIF(NF!$A:$A,$BA563,NF!$I:$I)</f>
        <v>0</v>
      </c>
      <c r="BC563" s="6"/>
      <c r="BD563" s="6"/>
      <c r="BE563" s="6"/>
      <c r="BF563" s="74"/>
      <c r="BG563" s="74"/>
      <c r="BH563" s="74"/>
      <c r="BI563" s="74"/>
      <c r="BJ563" s="74"/>
      <c r="BK563" s="7">
        <f t="shared" ref="BK563:BK580" si="815">SUM(BC563:BJ563)</f>
        <v>0</v>
      </c>
      <c r="BL563" s="8">
        <f t="shared" si="795"/>
        <v>1</v>
      </c>
      <c r="BM563" s="51" t="str">
        <f>IFERROR(VLOOKUP(A563,NF!$M:$O,3,0),"")</f>
        <v>Limpeza</v>
      </c>
      <c r="BN563" s="7">
        <f t="shared" si="796"/>
        <v>1</v>
      </c>
      <c r="BO563" s="8">
        <f t="array" ref="BO563">IFERROR(LARGE(IF(NF!$G$2:$G$3137='Mês atual'!A563,NF!$J$2:$J$3137),1),0)*BN563</f>
        <v>469.92500000000001</v>
      </c>
      <c r="BP563" s="50"/>
      <c r="BR563" s="147">
        <f t="array" ref="BR563">IFERROR(LARGE(IF(NF!$G$2:$G$3137='Mês atual'!A563,NF!$J$2:$J$3137),1),0)</f>
        <v>469.92500000000001</v>
      </c>
      <c r="BS563" s="143" t="str">
        <f>VLOOKUP(A563,NF!M:O,3,0)</f>
        <v>Limpeza</v>
      </c>
    </row>
    <row r="564" spans="1:71" x14ac:dyDescent="0.25">
      <c r="A564" s="108" t="s">
        <v>125</v>
      </c>
      <c r="B564" s="12"/>
      <c r="C564" s="9">
        <v>1</v>
      </c>
      <c r="D564" s="25"/>
      <c r="E564" s="10" t="str">
        <f t="shared" si="781"/>
        <v>OutubroSEMANA 1Antibacterial Detergentye p/ mãos Bb 5lt</v>
      </c>
      <c r="F564" s="7">
        <f>SUMIF(NF!$A:$A,$E564,NF!$I:$I)</f>
        <v>0</v>
      </c>
      <c r="G564" s="6"/>
      <c r="H564" s="6"/>
      <c r="I564" s="6"/>
      <c r="J564" s="6"/>
      <c r="K564" s="6"/>
      <c r="L564" s="6"/>
      <c r="M564" s="6"/>
      <c r="N564" s="7">
        <f t="shared" si="811"/>
        <v>0</v>
      </c>
      <c r="O564" s="11">
        <f t="shared" si="783"/>
        <v>1</v>
      </c>
      <c r="P564" s="25"/>
      <c r="Q564" s="10" t="str">
        <f t="shared" si="784"/>
        <v>OutubroSEMANA 2Antibacterial Detergentye p/ mãos Bb 5lt</v>
      </c>
      <c r="R564" s="7">
        <f>SUMIF(NF!$A:$A,$Q564,NF!$I:$I)</f>
        <v>1</v>
      </c>
      <c r="S564" s="6">
        <v>1</v>
      </c>
      <c r="T564" s="6"/>
      <c r="U564" s="6"/>
      <c r="V564" s="6"/>
      <c r="W564" s="6"/>
      <c r="X564" s="6"/>
      <c r="Y564" s="6"/>
      <c r="Z564" s="7">
        <f t="shared" si="812"/>
        <v>1</v>
      </c>
      <c r="AA564" s="11">
        <f t="shared" si="786"/>
        <v>1</v>
      </c>
      <c r="AB564" s="25"/>
      <c r="AC564" s="10" t="str">
        <f t="shared" si="787"/>
        <v>OutubroSEMANA 3Antibacterial Detergentye p/ mãos Bb 5lt</v>
      </c>
      <c r="AD564" s="7">
        <f>SUMIF(NF!$A:$A,$AC564,NF!$I:$I)</f>
        <v>0</v>
      </c>
      <c r="AE564" s="6"/>
      <c r="AF564" s="6"/>
      <c r="AG564" s="6"/>
      <c r="AH564" s="6"/>
      <c r="AI564" s="6"/>
      <c r="AJ564" s="6"/>
      <c r="AK564" s="6"/>
      <c r="AL564" s="7">
        <f t="shared" si="813"/>
        <v>0</v>
      </c>
      <c r="AM564" s="11">
        <f t="shared" si="789"/>
        <v>1</v>
      </c>
      <c r="AN564" s="25"/>
      <c r="AO564" s="10" t="str">
        <f t="shared" si="790"/>
        <v>OutubroSEMANA 4Antibacterial Detergentye p/ mãos Bb 5lt</v>
      </c>
      <c r="AP564" s="7">
        <f>SUMIF(NF!$A:$A,$AO564,NF!$I:$I)</f>
        <v>0</v>
      </c>
      <c r="AQ564" s="6"/>
      <c r="AR564" s="6"/>
      <c r="AS564" s="6"/>
      <c r="AT564" s="6"/>
      <c r="AU564" s="6"/>
      <c r="AV564" s="6"/>
      <c r="AW564" s="6"/>
      <c r="AX564" s="7">
        <f t="shared" si="814"/>
        <v>0</v>
      </c>
      <c r="AY564" s="11">
        <f t="shared" si="792"/>
        <v>1</v>
      </c>
      <c r="AZ564" s="25"/>
      <c r="BA564" s="10" t="str">
        <f t="shared" si="793"/>
        <v>OutubroSEMANA 5Antibacterial Detergentye p/ mãos Bb 5lt</v>
      </c>
      <c r="BB564" s="7">
        <f>SUMIF(NF!$A:$A,$BA564,NF!$I:$I)</f>
        <v>0</v>
      </c>
      <c r="BC564" s="6"/>
      <c r="BD564" s="6"/>
      <c r="BE564" s="6"/>
      <c r="BF564" s="74"/>
      <c r="BG564" s="74"/>
      <c r="BH564" s="74"/>
      <c r="BI564" s="74"/>
      <c r="BJ564" s="74"/>
      <c r="BK564" s="7">
        <f t="shared" si="815"/>
        <v>0</v>
      </c>
      <c r="BL564" s="8">
        <f t="shared" si="795"/>
        <v>1</v>
      </c>
      <c r="BM564" s="51" t="str">
        <f>IFERROR(VLOOKUP(A564,NF!$M:$O,3,0),"")</f>
        <v>Limpeza</v>
      </c>
      <c r="BN564" s="7">
        <f t="shared" si="796"/>
        <v>1</v>
      </c>
      <c r="BO564" s="8">
        <f t="array" ref="BO564">IFERROR(LARGE(IF(NF!$G$2:$G$3137='Mês atual'!A564,NF!$J$2:$J$3137),1),0)*BN564</f>
        <v>147.84</v>
      </c>
      <c r="BP564" s="50"/>
      <c r="BR564" s="147">
        <f t="array" ref="BR564">IFERROR(LARGE(IF(NF!$G$2:$G$3137='Mês atual'!A564,NF!$J$2:$J$3137),1),0)</f>
        <v>147.84</v>
      </c>
      <c r="BS564" s="143" t="str">
        <f>VLOOKUP(A564,NF!M:O,3,0)</f>
        <v>Limpeza</v>
      </c>
    </row>
    <row r="565" spans="1:71" x14ac:dyDescent="0.25">
      <c r="A565" s="108" t="s">
        <v>284</v>
      </c>
      <c r="B565" s="12"/>
      <c r="C565" s="9"/>
      <c r="D565" s="25"/>
      <c r="E565" s="10" t="str">
        <f t="shared" si="781"/>
        <v>OutubroSEMANA 1Cloril saco 20 kg</v>
      </c>
      <c r="F565" s="7">
        <f>SUMIF(NF!$A:$A,$E565,NF!$I:$I)</f>
        <v>0</v>
      </c>
      <c r="G565" s="6"/>
      <c r="H565" s="6"/>
      <c r="I565" s="6"/>
      <c r="J565" s="6"/>
      <c r="K565" s="6"/>
      <c r="L565" s="6"/>
      <c r="M565" s="6"/>
      <c r="N565" s="7">
        <f t="shared" si="811"/>
        <v>0</v>
      </c>
      <c r="O565" s="11">
        <f t="shared" si="783"/>
        <v>0</v>
      </c>
      <c r="P565" s="25"/>
      <c r="Q565" s="10" t="str">
        <f t="shared" si="784"/>
        <v>OutubroSEMANA 2Cloril saco 20 kg</v>
      </c>
      <c r="R565" s="7">
        <f>SUMIF(NF!$A:$A,$Q565,NF!$I:$I)</f>
        <v>0</v>
      </c>
      <c r="S565" s="6"/>
      <c r="T565" s="6"/>
      <c r="U565" s="6"/>
      <c r="V565" s="6"/>
      <c r="W565" s="6"/>
      <c r="X565" s="6"/>
      <c r="Y565" s="6"/>
      <c r="Z565" s="7">
        <f t="shared" si="812"/>
        <v>0</v>
      </c>
      <c r="AA565" s="11">
        <f t="shared" si="786"/>
        <v>0</v>
      </c>
      <c r="AB565" s="25"/>
      <c r="AC565" s="10" t="str">
        <f t="shared" si="787"/>
        <v>OutubroSEMANA 3Cloril saco 20 kg</v>
      </c>
      <c r="AD565" s="7">
        <f>SUMIF(NF!$A:$A,$AC565,NF!$I:$I)</f>
        <v>0</v>
      </c>
      <c r="AE565" s="6"/>
      <c r="AF565" s="6"/>
      <c r="AG565" s="6"/>
      <c r="AH565" s="6"/>
      <c r="AI565" s="6"/>
      <c r="AJ565" s="6"/>
      <c r="AK565" s="6"/>
      <c r="AL565" s="7">
        <f t="shared" si="813"/>
        <v>0</v>
      </c>
      <c r="AM565" s="11">
        <f t="shared" si="789"/>
        <v>0</v>
      </c>
      <c r="AN565" s="25"/>
      <c r="AO565" s="10" t="str">
        <f t="shared" si="790"/>
        <v>OutubroSEMANA 4Cloril saco 20 kg</v>
      </c>
      <c r="AP565" s="7">
        <f>SUMIF(NF!$A:$A,$AO565,NF!$I:$I)</f>
        <v>0</v>
      </c>
      <c r="AQ565" s="6"/>
      <c r="AR565" s="6"/>
      <c r="AS565" s="6"/>
      <c r="AT565" s="6"/>
      <c r="AU565" s="6"/>
      <c r="AV565" s="6"/>
      <c r="AW565" s="6"/>
      <c r="AX565" s="7">
        <f t="shared" si="814"/>
        <v>0</v>
      </c>
      <c r="AY565" s="11">
        <f t="shared" si="792"/>
        <v>0</v>
      </c>
      <c r="AZ565" s="25"/>
      <c r="BA565" s="10" t="str">
        <f t="shared" si="793"/>
        <v>OutubroSEMANA 5Cloril saco 20 kg</v>
      </c>
      <c r="BB565" s="7">
        <f>SUMIF(NF!$A:$A,$BA565,NF!$I:$I)</f>
        <v>0</v>
      </c>
      <c r="BC565" s="6"/>
      <c r="BD565" s="6"/>
      <c r="BE565" s="6"/>
      <c r="BF565" s="74"/>
      <c r="BG565" s="74"/>
      <c r="BH565" s="74"/>
      <c r="BI565" s="74"/>
      <c r="BJ565" s="74"/>
      <c r="BK565" s="7">
        <f t="shared" si="815"/>
        <v>0</v>
      </c>
      <c r="BL565" s="8">
        <f t="shared" si="795"/>
        <v>0</v>
      </c>
      <c r="BM565" s="51" t="str">
        <f>IFERROR(VLOOKUP(A565,NF!$M:$O,3,0),"")</f>
        <v>Limpeza</v>
      </c>
      <c r="BN565" s="7">
        <f t="shared" si="796"/>
        <v>0</v>
      </c>
      <c r="BO565" s="8">
        <f t="array" ref="BO565">IFERROR(LARGE(IF(NF!$G$2:$G$3137='Mês atual'!A565,NF!$J$2:$J$3137),1),0)*BN565</f>
        <v>0</v>
      </c>
      <c r="BP565" s="50"/>
      <c r="BR565" s="147">
        <f t="array" ref="BR565">IFERROR(LARGE(IF(NF!$G$2:$G$3137='Mês atual'!A565,NF!$J$2:$J$3137),1),0)</f>
        <v>0</v>
      </c>
      <c r="BS565" s="143" t="str">
        <f>VLOOKUP(A565,NF!M:O,3,0)</f>
        <v>Limpeza</v>
      </c>
    </row>
    <row r="566" spans="1:71" x14ac:dyDescent="0.25">
      <c r="A566" s="108" t="s">
        <v>320</v>
      </c>
      <c r="B566" s="12"/>
      <c r="C566" s="9">
        <v>4</v>
      </c>
      <c r="D566" s="25"/>
      <c r="E566" s="10" t="str">
        <f t="shared" si="781"/>
        <v>OutubroSEMANA 1Detergente Emulsionante (Coifa) Bb 5 Lt</v>
      </c>
      <c r="F566" s="7">
        <f>SUMIF(NF!$A:$A,$E566,NF!$I:$I)</f>
        <v>0</v>
      </c>
      <c r="G566" s="6"/>
      <c r="H566" s="6"/>
      <c r="I566" s="6"/>
      <c r="J566" s="6"/>
      <c r="K566" s="6"/>
      <c r="L566" s="6"/>
      <c r="M566" s="6"/>
      <c r="N566" s="7">
        <f t="shared" si="811"/>
        <v>0</v>
      </c>
      <c r="O566" s="11">
        <f t="shared" si="783"/>
        <v>4</v>
      </c>
      <c r="P566" s="25"/>
      <c r="Q566" s="10" t="str">
        <f t="shared" si="784"/>
        <v>OutubroSEMANA 2Detergente Emulsionante (Coifa) Bb 5 Lt</v>
      </c>
      <c r="R566" s="7">
        <f>SUMIF(NF!$A:$A,$Q566,NF!$I:$I)</f>
        <v>0</v>
      </c>
      <c r="S566" s="6"/>
      <c r="T566" s="6"/>
      <c r="U566" s="6"/>
      <c r="V566" s="6"/>
      <c r="W566" s="6"/>
      <c r="X566" s="6"/>
      <c r="Y566" s="6"/>
      <c r="Z566" s="7">
        <f t="shared" si="812"/>
        <v>0</v>
      </c>
      <c r="AA566" s="11">
        <f t="shared" si="786"/>
        <v>4</v>
      </c>
      <c r="AB566" s="25"/>
      <c r="AC566" s="10" t="str">
        <f t="shared" si="787"/>
        <v>OutubroSEMANA 3Detergente Emulsionante (Coifa) Bb 5 Lt</v>
      </c>
      <c r="AD566" s="7">
        <f>SUMIF(NF!$A:$A,$AC566,NF!$I:$I)</f>
        <v>0</v>
      </c>
      <c r="AE566" s="6"/>
      <c r="AF566" s="6"/>
      <c r="AG566" s="6"/>
      <c r="AH566" s="6"/>
      <c r="AI566" s="6"/>
      <c r="AJ566" s="6"/>
      <c r="AK566" s="6"/>
      <c r="AL566" s="7">
        <f t="shared" si="813"/>
        <v>0</v>
      </c>
      <c r="AM566" s="11">
        <f t="shared" si="789"/>
        <v>4</v>
      </c>
      <c r="AN566" s="25"/>
      <c r="AO566" s="10" t="str">
        <f t="shared" si="790"/>
        <v>OutubroSEMANA 4Detergente Emulsionante (Coifa) Bb 5 Lt</v>
      </c>
      <c r="AP566" s="7">
        <f>SUMIF(NF!$A:$A,$AO566,NF!$I:$I)</f>
        <v>0</v>
      </c>
      <c r="AQ566" s="6"/>
      <c r="AR566" s="6"/>
      <c r="AS566" s="6"/>
      <c r="AT566" s="6"/>
      <c r="AU566" s="6"/>
      <c r="AV566" s="6"/>
      <c r="AW566" s="6"/>
      <c r="AX566" s="7">
        <f t="shared" si="814"/>
        <v>0</v>
      </c>
      <c r="AY566" s="11">
        <f t="shared" si="792"/>
        <v>4</v>
      </c>
      <c r="AZ566" s="25"/>
      <c r="BA566" s="10" t="str">
        <f t="shared" si="793"/>
        <v>OutubroSEMANA 5Detergente Emulsionante (Coifa) Bb 5 Lt</v>
      </c>
      <c r="BB566" s="7">
        <f>SUMIF(NF!$A:$A,$BA566,NF!$I:$I)</f>
        <v>0</v>
      </c>
      <c r="BC566" s="6"/>
      <c r="BD566" s="6"/>
      <c r="BE566" s="6"/>
      <c r="BF566" s="74"/>
      <c r="BG566" s="74"/>
      <c r="BH566" s="74"/>
      <c r="BI566" s="74"/>
      <c r="BJ566" s="74"/>
      <c r="BK566" s="7">
        <f t="shared" si="815"/>
        <v>0</v>
      </c>
      <c r="BL566" s="8">
        <f t="shared" si="795"/>
        <v>4</v>
      </c>
      <c r="BM566" s="51" t="str">
        <f>IFERROR(VLOOKUP(A566,NF!$M:$O,3,0),"")</f>
        <v>Limpeza</v>
      </c>
      <c r="BN566" s="7">
        <f t="shared" si="796"/>
        <v>0</v>
      </c>
      <c r="BO566" s="8">
        <f t="array" ref="BO566">IFERROR(LARGE(IF(NF!$G$2:$G$3137='Mês atual'!A566,NF!$J$2:$J$3137),1),0)*BN566</f>
        <v>0</v>
      </c>
      <c r="BP566" s="50"/>
      <c r="BR566" s="147">
        <f t="array" ref="BR566">IFERROR(LARGE(IF(NF!$G$2:$G$3137='Mês atual'!A566,NF!$J$2:$J$3137),1),0)</f>
        <v>0</v>
      </c>
      <c r="BS566" s="143" t="str">
        <f>VLOOKUP(A566,NF!M:O,3,0)</f>
        <v>Limpeza</v>
      </c>
    </row>
    <row r="567" spans="1:71" x14ac:dyDescent="0.25">
      <c r="A567" s="108" t="s">
        <v>335</v>
      </c>
      <c r="B567" s="12"/>
      <c r="C567" s="9">
        <v>7</v>
      </c>
      <c r="D567" s="25"/>
      <c r="E567" s="10" t="str">
        <f t="shared" si="781"/>
        <v>OutubroSEMANA 1Esponja Dupla Face</v>
      </c>
      <c r="F567" s="7">
        <f>SUMIF(NF!$A:$A,$E567,NF!$I:$I)</f>
        <v>11</v>
      </c>
      <c r="G567" s="6"/>
      <c r="H567" s="6"/>
      <c r="I567" s="6"/>
      <c r="J567" s="6">
        <v>2</v>
      </c>
      <c r="K567" s="6"/>
      <c r="L567" s="6">
        <v>2</v>
      </c>
      <c r="M567" s="6"/>
      <c r="N567" s="7">
        <f t="shared" si="811"/>
        <v>4</v>
      </c>
      <c r="O567" s="11">
        <f t="shared" si="783"/>
        <v>14</v>
      </c>
      <c r="P567" s="25"/>
      <c r="Q567" s="10" t="str">
        <f t="shared" si="784"/>
        <v>OutubroSEMANA 2Esponja Dupla Face</v>
      </c>
      <c r="R567" s="7">
        <f>SUMIF(NF!$A:$A,$Q567,NF!$I:$I)</f>
        <v>10</v>
      </c>
      <c r="S567" s="6">
        <v>2</v>
      </c>
      <c r="T567" s="6">
        <v>1</v>
      </c>
      <c r="U567" s="6">
        <v>1</v>
      </c>
      <c r="V567" s="6">
        <v>2</v>
      </c>
      <c r="W567" s="6">
        <v>2</v>
      </c>
      <c r="X567" s="6"/>
      <c r="Y567" s="6"/>
      <c r="Z567" s="7">
        <f>SUM(S567:Y567)</f>
        <v>8</v>
      </c>
      <c r="AA567" s="11">
        <f t="shared" si="786"/>
        <v>16</v>
      </c>
      <c r="AB567" s="25"/>
      <c r="AC567" s="10" t="str">
        <f t="shared" si="787"/>
        <v>OutubroSEMANA 3Esponja Dupla Face</v>
      </c>
      <c r="AD567" s="7">
        <f>SUMIF(NF!$A:$A,$AC567,NF!$I:$I)</f>
        <v>4</v>
      </c>
      <c r="AE567" s="6"/>
      <c r="AF567" s="6">
        <v>2</v>
      </c>
      <c r="AG567" s="6"/>
      <c r="AH567" s="6"/>
      <c r="AI567" s="6">
        <v>1</v>
      </c>
      <c r="AJ567" s="6">
        <v>1</v>
      </c>
      <c r="AK567" s="6"/>
      <c r="AL567" s="7">
        <f t="shared" si="813"/>
        <v>4</v>
      </c>
      <c r="AM567" s="11">
        <f t="shared" si="789"/>
        <v>16</v>
      </c>
      <c r="AN567" s="25"/>
      <c r="AO567" s="10" t="str">
        <f t="shared" si="790"/>
        <v>OutubroSEMANA 4Esponja Dupla Face</v>
      </c>
      <c r="AP567" s="7">
        <f>SUMIF(NF!$A:$A,$AO567,NF!$I:$I)</f>
        <v>0</v>
      </c>
      <c r="AQ567" s="6"/>
      <c r="AR567" s="6"/>
      <c r="AS567" s="6">
        <v>2</v>
      </c>
      <c r="AT567" s="6">
        <v>1</v>
      </c>
      <c r="AU567" s="6">
        <v>1</v>
      </c>
      <c r="AV567" s="6">
        <v>2</v>
      </c>
      <c r="AW567" s="6">
        <v>3</v>
      </c>
      <c r="AX567" s="7">
        <f t="shared" si="814"/>
        <v>9</v>
      </c>
      <c r="AY567" s="11">
        <f t="shared" si="792"/>
        <v>7</v>
      </c>
      <c r="AZ567" s="25"/>
      <c r="BA567" s="10" t="str">
        <f t="shared" si="793"/>
        <v>OutubroSEMANA 5Esponja Dupla Face</v>
      </c>
      <c r="BB567" s="7">
        <f>SUMIF(NF!$A:$A,$BA567,NF!$I:$I)</f>
        <v>0</v>
      </c>
      <c r="BC567" s="6">
        <v>1</v>
      </c>
      <c r="BD567" s="6"/>
      <c r="BE567" s="6"/>
      <c r="BF567" s="74"/>
      <c r="BG567" s="74"/>
      <c r="BH567" s="74"/>
      <c r="BI567" s="74"/>
      <c r="BJ567" s="74"/>
      <c r="BK567" s="7">
        <f t="shared" si="815"/>
        <v>1</v>
      </c>
      <c r="BL567" s="8">
        <f t="shared" si="795"/>
        <v>6</v>
      </c>
      <c r="BM567" s="51" t="str">
        <f>IFERROR(VLOOKUP(A567,NF!$M:$O,3,0),"")</f>
        <v>Limpeza</v>
      </c>
      <c r="BN567" s="7">
        <f t="shared" si="796"/>
        <v>26</v>
      </c>
      <c r="BO567" s="8">
        <f t="array" ref="BO567">IFERROR(LARGE(IF(NF!$G$2:$G$3137='Mês atual'!A567,NF!$J$2:$J$3137),1),0)*BN567</f>
        <v>32.5</v>
      </c>
      <c r="BP567" s="50"/>
      <c r="BR567" s="147">
        <f t="array" ref="BR567">IFERROR(LARGE(IF(NF!$G$2:$G$3137='Mês atual'!A567,NF!$J$2:$J$3137),1),0)</f>
        <v>1.25</v>
      </c>
      <c r="BS567" s="143" t="str">
        <f>VLOOKUP(A567,NF!M:O,3,0)</f>
        <v>Limpeza</v>
      </c>
    </row>
    <row r="568" spans="1:71" x14ac:dyDescent="0.25">
      <c r="A568" s="108" t="s">
        <v>355</v>
      </c>
      <c r="B568" s="12"/>
      <c r="C568" s="9">
        <v>25</v>
      </c>
      <c r="D568" s="25"/>
      <c r="E568" s="10" t="str">
        <f t="shared" si="781"/>
        <v>OutubroSEMANA 1Fibraço</v>
      </c>
      <c r="F568" s="7">
        <f>SUMIF(NF!$A:$A,$E568,NF!$I:$I)</f>
        <v>15</v>
      </c>
      <c r="G568" s="6">
        <v>2</v>
      </c>
      <c r="H568" s="6">
        <v>1</v>
      </c>
      <c r="I568" s="6">
        <v>1</v>
      </c>
      <c r="J568" s="6">
        <v>2</v>
      </c>
      <c r="K568" s="6"/>
      <c r="L568" s="6">
        <v>1</v>
      </c>
      <c r="M568" s="6">
        <v>1</v>
      </c>
      <c r="N568" s="7">
        <f t="shared" si="811"/>
        <v>8</v>
      </c>
      <c r="O568" s="11">
        <f t="shared" si="783"/>
        <v>32</v>
      </c>
      <c r="P568" s="25"/>
      <c r="Q568" s="10" t="str">
        <f t="shared" si="784"/>
        <v>OutubroSEMANA 2Fibraço</v>
      </c>
      <c r="R568" s="7">
        <f>SUMIF(NF!$A:$A,$Q568,NF!$I:$I)</f>
        <v>0</v>
      </c>
      <c r="S568" s="6">
        <v>3</v>
      </c>
      <c r="T568" s="6"/>
      <c r="U568" s="6">
        <v>2</v>
      </c>
      <c r="V568" s="6"/>
      <c r="W568" s="6">
        <v>2</v>
      </c>
      <c r="X568" s="6"/>
      <c r="Y568" s="6">
        <v>2</v>
      </c>
      <c r="Z568" s="7">
        <f>SUM(S568:Y568)</f>
        <v>9</v>
      </c>
      <c r="AA568" s="11">
        <f t="shared" si="786"/>
        <v>23</v>
      </c>
      <c r="AB568" s="25"/>
      <c r="AC568" s="10" t="str">
        <f t="shared" si="787"/>
        <v>OutubroSEMANA 3Fibraço</v>
      </c>
      <c r="AD568" s="7">
        <f>SUMIF(NF!$A:$A,$AC568,NF!$I:$I)</f>
        <v>3</v>
      </c>
      <c r="AE568" s="6"/>
      <c r="AF568" s="6"/>
      <c r="AG568" s="6"/>
      <c r="AH568" s="6"/>
      <c r="AI568" s="6">
        <v>2</v>
      </c>
      <c r="AJ568" s="6">
        <v>1</v>
      </c>
      <c r="AK568" s="6">
        <v>2</v>
      </c>
      <c r="AL568" s="7">
        <f t="shared" si="813"/>
        <v>5</v>
      </c>
      <c r="AM568" s="11">
        <f t="shared" si="789"/>
        <v>21</v>
      </c>
      <c r="AN568" s="25"/>
      <c r="AO568" s="10" t="str">
        <f t="shared" si="790"/>
        <v>OutubroSEMANA 4Fibraço</v>
      </c>
      <c r="AP568" s="7">
        <f>SUMIF(NF!$A:$A,$AO568,NF!$I:$I)</f>
        <v>0</v>
      </c>
      <c r="AQ568" s="6">
        <v>1</v>
      </c>
      <c r="AR568" s="6"/>
      <c r="AS568" s="6">
        <v>2</v>
      </c>
      <c r="AT568" s="6">
        <v>1</v>
      </c>
      <c r="AU568" s="6">
        <v>2</v>
      </c>
      <c r="AV568" s="6"/>
      <c r="AW568" s="6">
        <v>2</v>
      </c>
      <c r="AX568" s="7">
        <f t="shared" si="814"/>
        <v>8</v>
      </c>
      <c r="AY568" s="11">
        <f t="shared" si="792"/>
        <v>13</v>
      </c>
      <c r="AZ568" s="25"/>
      <c r="BA568" s="10" t="str">
        <f t="shared" si="793"/>
        <v>OutubroSEMANA 5Fibraço</v>
      </c>
      <c r="BB568" s="7">
        <f>SUMIF(NF!$A:$A,$BA568,NF!$I:$I)</f>
        <v>0</v>
      </c>
      <c r="BC568" s="6"/>
      <c r="BD568" s="6">
        <v>1</v>
      </c>
      <c r="BE568" s="6"/>
      <c r="BF568" s="74"/>
      <c r="BG568" s="74"/>
      <c r="BH568" s="74"/>
      <c r="BI568" s="74"/>
      <c r="BJ568" s="74"/>
      <c r="BK568" s="7">
        <f t="shared" si="815"/>
        <v>1</v>
      </c>
      <c r="BL568" s="8">
        <f t="shared" si="795"/>
        <v>12</v>
      </c>
      <c r="BM568" s="51" t="str">
        <f>IFERROR(VLOOKUP(A568,NF!$M:$O,3,0),"")</f>
        <v>Limpeza</v>
      </c>
      <c r="BN568" s="7">
        <f t="shared" si="796"/>
        <v>31</v>
      </c>
      <c r="BO568" s="8">
        <f t="array" ref="BO568">IFERROR(LARGE(IF(NF!$G$2:$G$3137='Mês atual'!A568,NF!$J$2:$J$3137),1),0)*BN568</f>
        <v>50.839999999999996</v>
      </c>
      <c r="BP568" s="50"/>
      <c r="BR568" s="147">
        <f t="array" ref="BR568">IFERROR(LARGE(IF(NF!$G$2:$G$3137='Mês atual'!A568,NF!$J$2:$J$3137),1),0)</f>
        <v>1.64</v>
      </c>
      <c r="BS568" s="143" t="str">
        <f>VLOOKUP(A568,NF!M:O,3,0)</f>
        <v>Limpeza</v>
      </c>
    </row>
    <row r="569" spans="1:71" x14ac:dyDescent="0.25">
      <c r="A569" s="108" t="s">
        <v>987</v>
      </c>
      <c r="B569" s="12"/>
      <c r="C569" s="9">
        <v>3</v>
      </c>
      <c r="D569" s="25"/>
      <c r="E569" s="10" t="str">
        <f t="shared" si="781"/>
        <v>OutubroSEMANA 1Greasestrip Plus Bb 5 L</v>
      </c>
      <c r="F569" s="7">
        <f>SUMIF(NF!$A:$A,$E569,NF!$I:$I)</f>
        <v>0</v>
      </c>
      <c r="G569" s="6"/>
      <c r="H569" s="6"/>
      <c r="I569" s="6"/>
      <c r="J569" s="6"/>
      <c r="K569" s="6">
        <v>1</v>
      </c>
      <c r="L569" s="6"/>
      <c r="M569" s="6"/>
      <c r="N569" s="7">
        <f t="shared" si="811"/>
        <v>1</v>
      </c>
      <c r="O569" s="11">
        <f t="shared" si="783"/>
        <v>2</v>
      </c>
      <c r="P569" s="25"/>
      <c r="Q569" s="10" t="str">
        <f t="shared" si="784"/>
        <v>OutubroSEMANA 2Greasestrip Plus Bb 5 L</v>
      </c>
      <c r="R569" s="7">
        <f>SUMIF(NF!$A:$A,$Q569,NF!$I:$I)</f>
        <v>1</v>
      </c>
      <c r="S569" s="6"/>
      <c r="T569" s="6"/>
      <c r="U569" s="6"/>
      <c r="V569" s="6"/>
      <c r="W569" s="6"/>
      <c r="X569" s="6"/>
      <c r="Y569" s="6">
        <v>1</v>
      </c>
      <c r="Z569" s="7">
        <f t="shared" si="812"/>
        <v>1</v>
      </c>
      <c r="AA569" s="11">
        <f t="shared" si="786"/>
        <v>2</v>
      </c>
      <c r="AB569" s="25"/>
      <c r="AC569" s="10" t="str">
        <f t="shared" si="787"/>
        <v>OutubroSEMANA 3Greasestrip Plus Bb 5 L</v>
      </c>
      <c r="AD569" s="7">
        <f>SUMIF(NF!$A:$A,$AC569,NF!$I:$I)</f>
        <v>0</v>
      </c>
      <c r="AE569" s="6"/>
      <c r="AF569" s="6"/>
      <c r="AG569" s="6"/>
      <c r="AH569" s="6"/>
      <c r="AI569" s="6"/>
      <c r="AJ569" s="6"/>
      <c r="AK569" s="6"/>
      <c r="AL569" s="7">
        <f t="shared" si="813"/>
        <v>0</v>
      </c>
      <c r="AM569" s="11">
        <f t="shared" si="789"/>
        <v>2</v>
      </c>
      <c r="AN569" s="25"/>
      <c r="AO569" s="10" t="str">
        <f t="shared" si="790"/>
        <v>OutubroSEMANA 4Greasestrip Plus Bb 5 L</v>
      </c>
      <c r="AP569" s="7">
        <f>SUMIF(NF!$A:$A,$AO569,NF!$I:$I)</f>
        <v>0</v>
      </c>
      <c r="AQ569" s="6"/>
      <c r="AR569" s="6">
        <v>1</v>
      </c>
      <c r="AS569" s="6"/>
      <c r="AT569" s="6"/>
      <c r="AU569" s="6"/>
      <c r="AV569" s="6"/>
      <c r="AW569" s="6"/>
      <c r="AX569" s="7">
        <f t="shared" si="814"/>
        <v>1</v>
      </c>
      <c r="AY569" s="11">
        <f t="shared" si="792"/>
        <v>1</v>
      </c>
      <c r="AZ569" s="25"/>
      <c r="BA569" s="10" t="str">
        <f t="shared" si="793"/>
        <v>OutubroSEMANA 5Greasestrip Plus Bb 5 L</v>
      </c>
      <c r="BB569" s="7">
        <f>SUMIF(NF!$A:$A,$BA569,NF!$I:$I)</f>
        <v>0</v>
      </c>
      <c r="BC569" s="6"/>
      <c r="BD569" s="6"/>
      <c r="BE569" s="6"/>
      <c r="BF569" s="74"/>
      <c r="BG569" s="74"/>
      <c r="BH569" s="74"/>
      <c r="BI569" s="74"/>
      <c r="BJ569" s="74"/>
      <c r="BK569" s="7">
        <f t="shared" si="815"/>
        <v>0</v>
      </c>
      <c r="BL569" s="8">
        <f t="shared" si="795"/>
        <v>1</v>
      </c>
      <c r="BM569" s="51" t="str">
        <f>IFERROR(VLOOKUP(A569,NF!$M:$O,3,0),"")</f>
        <v>Limpeza</v>
      </c>
      <c r="BN569" s="7">
        <f t="shared" si="796"/>
        <v>3</v>
      </c>
      <c r="BO569" s="8">
        <f t="array" ref="BO569">IFERROR(LARGE(IF(NF!$G$2:$G$3137='Mês atual'!A569,NF!$J$2:$J$3137),1),0)*BN569</f>
        <v>797.22</v>
      </c>
      <c r="BP569" s="50"/>
      <c r="BR569" s="147">
        <f t="array" ref="BR569">IFERROR(LARGE(IF(NF!$G$2:$G$3137='Mês atual'!A569,NF!$J$2:$J$3137),1),0)</f>
        <v>265.74</v>
      </c>
      <c r="BS569" s="143" t="str">
        <f>VLOOKUP(A569,NF!M:O,3,0)</f>
        <v>Limpeza</v>
      </c>
    </row>
    <row r="570" spans="1:71" x14ac:dyDescent="0.25">
      <c r="A570" s="108" t="s">
        <v>402</v>
      </c>
      <c r="B570" s="12"/>
      <c r="C570" s="9">
        <v>4</v>
      </c>
      <c r="D570" s="25"/>
      <c r="E570" s="10" t="str">
        <f t="shared" si="781"/>
        <v>OutubroSEMANA 1Hipoclorito de Sódio Bb 5 Lt</v>
      </c>
      <c r="F570" s="7">
        <f>SUMIF(NF!$A:$A,$E570,NF!$I:$I)</f>
        <v>3</v>
      </c>
      <c r="G570" s="6"/>
      <c r="H570" s="6"/>
      <c r="I570" s="6">
        <v>1</v>
      </c>
      <c r="J570" s="6">
        <v>1</v>
      </c>
      <c r="K570" s="6"/>
      <c r="L570" s="6">
        <v>2</v>
      </c>
      <c r="M570" s="6">
        <v>1</v>
      </c>
      <c r="N570" s="7">
        <f t="shared" si="811"/>
        <v>5</v>
      </c>
      <c r="O570" s="11">
        <f t="shared" si="783"/>
        <v>2</v>
      </c>
      <c r="P570" s="25"/>
      <c r="Q570" s="10" t="str">
        <f t="shared" si="784"/>
        <v>OutubroSEMANA 2Hipoclorito de Sódio Bb 5 Lt</v>
      </c>
      <c r="R570" s="7">
        <f>SUMIF(NF!$A:$A,$Q570,NF!$I:$I)</f>
        <v>0</v>
      </c>
      <c r="S570" s="6"/>
      <c r="T570" s="6"/>
      <c r="U570" s="6"/>
      <c r="V570" s="6"/>
      <c r="W570" s="6"/>
      <c r="X570" s="6"/>
      <c r="Y570" s="6"/>
      <c r="Z570" s="7">
        <f t="shared" si="812"/>
        <v>0</v>
      </c>
      <c r="AA570" s="11">
        <f t="shared" si="786"/>
        <v>2</v>
      </c>
      <c r="AB570" s="25"/>
      <c r="AC570" s="10" t="str">
        <f t="shared" si="787"/>
        <v>OutubroSEMANA 3Hipoclorito de Sódio Bb 5 Lt</v>
      </c>
      <c r="AD570" s="7">
        <f>SUMIF(NF!$A:$A,$AC570,NF!$I:$I)</f>
        <v>5</v>
      </c>
      <c r="AE570" s="6"/>
      <c r="AF570" s="6"/>
      <c r="AG570" s="6">
        <v>1</v>
      </c>
      <c r="AH570" s="6"/>
      <c r="AI570" s="6"/>
      <c r="AJ570" s="6"/>
      <c r="AK570" s="6"/>
      <c r="AL570" s="7">
        <f t="shared" si="813"/>
        <v>1</v>
      </c>
      <c r="AM570" s="11">
        <f t="shared" si="789"/>
        <v>6</v>
      </c>
      <c r="AN570" s="25"/>
      <c r="AO570" s="10" t="str">
        <f t="shared" si="790"/>
        <v>OutubroSEMANA 4Hipoclorito de Sódio Bb 5 Lt</v>
      </c>
      <c r="AP570" s="7">
        <f>SUMIF(NF!$A:$A,$AO570,NF!$I:$I)</f>
        <v>0</v>
      </c>
      <c r="AQ570" s="6"/>
      <c r="AR570" s="6"/>
      <c r="AS570" s="6"/>
      <c r="AT570" s="6"/>
      <c r="AU570" s="6"/>
      <c r="AV570" s="6">
        <v>1</v>
      </c>
      <c r="AW570" s="6"/>
      <c r="AX570" s="7">
        <f t="shared" si="814"/>
        <v>1</v>
      </c>
      <c r="AY570" s="11">
        <f t="shared" si="792"/>
        <v>5</v>
      </c>
      <c r="AZ570" s="25"/>
      <c r="BA570" s="10" t="str">
        <f t="shared" si="793"/>
        <v>OutubroSEMANA 5Hipoclorito de Sódio Bb 5 Lt</v>
      </c>
      <c r="BB570" s="7">
        <f>SUMIF(NF!$A:$A,$BA570,NF!$I:$I)</f>
        <v>0</v>
      </c>
      <c r="BC570" s="6">
        <v>1</v>
      </c>
      <c r="BD570" s="6"/>
      <c r="BE570" s="6">
        <v>1</v>
      </c>
      <c r="BF570" s="74"/>
      <c r="BG570" s="74"/>
      <c r="BH570" s="74"/>
      <c r="BI570" s="74"/>
      <c r="BJ570" s="74"/>
      <c r="BK570" s="7">
        <f t="shared" si="815"/>
        <v>2</v>
      </c>
      <c r="BL570" s="8">
        <f t="shared" si="795"/>
        <v>3</v>
      </c>
      <c r="BM570" s="51" t="str">
        <f>IFERROR(VLOOKUP(A570,NF!$M:$O,3,0),"")</f>
        <v>Limpeza</v>
      </c>
      <c r="BN570" s="7">
        <f t="shared" si="796"/>
        <v>9</v>
      </c>
      <c r="BO570" s="8">
        <f t="array" ref="BO570">IFERROR(LARGE(IF(NF!$G$2:$G$3137='Mês atual'!A570,NF!$J$2:$J$3137),1),0)*BN570</f>
        <v>159.75</v>
      </c>
      <c r="BP570" s="50"/>
      <c r="BR570" s="147">
        <f t="array" ref="BR570">IFERROR(LARGE(IF(NF!$G$2:$G$3137='Mês atual'!A570,NF!$J$2:$J$3137),1),0)</f>
        <v>17.75</v>
      </c>
      <c r="BS570" s="143" t="str">
        <f>VLOOKUP(A570,NF!M:O,3,0)</f>
        <v>Limpeza</v>
      </c>
    </row>
    <row r="571" spans="1:71" x14ac:dyDescent="0.25">
      <c r="A571" s="108" t="s">
        <v>449</v>
      </c>
      <c r="B571" s="12"/>
      <c r="C571" s="9">
        <v>11</v>
      </c>
      <c r="D571" s="25"/>
      <c r="E571" s="10" t="str">
        <f t="shared" si="781"/>
        <v>OutubroSEMANA 1Inseticida</v>
      </c>
      <c r="F571" s="7">
        <f>SUMIF(NF!$A:$A,$E571,NF!$I:$I)</f>
        <v>6</v>
      </c>
      <c r="G571" s="6"/>
      <c r="H571" s="6"/>
      <c r="I571" s="6"/>
      <c r="J571" s="6"/>
      <c r="K571" s="6"/>
      <c r="L571" s="6">
        <v>2</v>
      </c>
      <c r="M571" s="6"/>
      <c r="N571" s="7">
        <f t="shared" si="811"/>
        <v>2</v>
      </c>
      <c r="O571" s="11">
        <f t="shared" si="783"/>
        <v>15</v>
      </c>
      <c r="P571" s="25"/>
      <c r="Q571" s="10" t="str">
        <f t="shared" si="784"/>
        <v>OutubroSEMANA 2Inseticida</v>
      </c>
      <c r="R571" s="7">
        <f>SUMIF(NF!$A:$A,$Q571,NF!$I:$I)</f>
        <v>0</v>
      </c>
      <c r="S571" s="6"/>
      <c r="T571" s="6"/>
      <c r="U571" s="6"/>
      <c r="V571" s="6"/>
      <c r="W571" s="6"/>
      <c r="X571" s="6"/>
      <c r="Y571" s="6"/>
      <c r="Z571" s="7">
        <f t="shared" si="812"/>
        <v>0</v>
      </c>
      <c r="AA571" s="11">
        <f t="shared" si="786"/>
        <v>15</v>
      </c>
      <c r="AB571" s="25"/>
      <c r="AC571" s="10" t="str">
        <f t="shared" si="787"/>
        <v>OutubroSEMANA 3Inseticida</v>
      </c>
      <c r="AD571" s="7">
        <f>SUMIF(NF!$A:$A,$AC571,NF!$I:$I)</f>
        <v>0</v>
      </c>
      <c r="AE571" s="6">
        <v>2</v>
      </c>
      <c r="AF571" s="6"/>
      <c r="AG571" s="6"/>
      <c r="AH571" s="6">
        <v>1</v>
      </c>
      <c r="AI571" s="6"/>
      <c r="AJ571" s="6">
        <v>1</v>
      </c>
      <c r="AK571" s="6"/>
      <c r="AL571" s="7">
        <f t="shared" si="813"/>
        <v>4</v>
      </c>
      <c r="AM571" s="11">
        <f t="shared" si="789"/>
        <v>11</v>
      </c>
      <c r="AN571" s="25"/>
      <c r="AO571" s="10" t="str">
        <f t="shared" si="790"/>
        <v>OutubroSEMANA 4Inseticida</v>
      </c>
      <c r="AP571" s="7">
        <f>SUMIF(NF!$A:$A,$AO571,NF!$I:$I)</f>
        <v>0</v>
      </c>
      <c r="AQ571" s="6"/>
      <c r="AR571" s="6"/>
      <c r="AS571" s="6">
        <v>2</v>
      </c>
      <c r="AT571" s="6"/>
      <c r="AU571" s="6"/>
      <c r="AV571" s="6"/>
      <c r="AW571" s="6"/>
      <c r="AX571" s="7">
        <f t="shared" si="814"/>
        <v>2</v>
      </c>
      <c r="AY571" s="11">
        <f t="shared" si="792"/>
        <v>9</v>
      </c>
      <c r="AZ571" s="25"/>
      <c r="BA571" s="10" t="str">
        <f t="shared" si="793"/>
        <v>OutubroSEMANA 5Inseticida</v>
      </c>
      <c r="BB571" s="7">
        <f>SUMIF(NF!$A:$A,$BA571,NF!$I:$I)</f>
        <v>0</v>
      </c>
      <c r="BC571" s="6"/>
      <c r="BD571" s="6"/>
      <c r="BE571" s="6"/>
      <c r="BF571" s="74"/>
      <c r="BG571" s="74"/>
      <c r="BH571" s="74"/>
      <c r="BI571" s="74"/>
      <c r="BJ571" s="74"/>
      <c r="BK571" s="7">
        <f t="shared" si="815"/>
        <v>0</v>
      </c>
      <c r="BL571" s="8">
        <f t="shared" si="795"/>
        <v>9</v>
      </c>
      <c r="BM571" s="51" t="str">
        <f>IFERROR(VLOOKUP(A571,NF!$M:$O,3,0),"")</f>
        <v>Limpeza</v>
      </c>
      <c r="BN571" s="7">
        <f t="shared" si="796"/>
        <v>8</v>
      </c>
      <c r="BO571" s="8">
        <f t="array" ref="BO571">IFERROR(LARGE(IF(NF!$G$2:$G$3137='Mês atual'!A571,NF!$J$2:$J$3137),1),0)*BN571</f>
        <v>85.92</v>
      </c>
      <c r="BP571" s="50"/>
      <c r="BR571" s="147">
        <f t="array" ref="BR571">IFERROR(LARGE(IF(NF!$G$2:$G$3137='Mês atual'!A571,NF!$J$2:$J$3137),1),0)</f>
        <v>10.74</v>
      </c>
      <c r="BS571" s="143" t="str">
        <f>VLOOKUP(A571,NF!M:O,3,0)</f>
        <v>Limpeza</v>
      </c>
    </row>
    <row r="572" spans="1:71" x14ac:dyDescent="0.25">
      <c r="A572" s="108" t="s">
        <v>450</v>
      </c>
      <c r="B572" s="12"/>
      <c r="C572" s="9">
        <v>2</v>
      </c>
      <c r="D572" s="25"/>
      <c r="E572" s="10" t="str">
        <f t="shared" si="781"/>
        <v>OutubroSEMANA 1Jet Dry Secante Bb 5 Lt</v>
      </c>
      <c r="F572" s="7">
        <f>SUMIF(NF!$A:$A,$E572,NF!$I:$I)</f>
        <v>0</v>
      </c>
      <c r="G572" s="6"/>
      <c r="H572" s="6"/>
      <c r="I572" s="6"/>
      <c r="J572" s="6"/>
      <c r="K572" s="6"/>
      <c r="L572" s="6"/>
      <c r="M572" s="6"/>
      <c r="N572" s="7">
        <f t="shared" si="811"/>
        <v>0</v>
      </c>
      <c r="O572" s="11">
        <f t="shared" si="783"/>
        <v>2</v>
      </c>
      <c r="P572" s="25"/>
      <c r="Q572" s="10" t="str">
        <f t="shared" si="784"/>
        <v>OutubroSEMANA 2Jet Dry Secante Bb 5 Lt</v>
      </c>
      <c r="R572" s="7">
        <f>SUMIF(NF!$A:$A,$Q572,NF!$I:$I)</f>
        <v>0</v>
      </c>
      <c r="S572" s="6"/>
      <c r="T572" s="6"/>
      <c r="U572" s="6"/>
      <c r="V572" s="6"/>
      <c r="W572" s="6"/>
      <c r="X572" s="6"/>
      <c r="Y572" s="6"/>
      <c r="Z572" s="7">
        <f t="shared" si="812"/>
        <v>0</v>
      </c>
      <c r="AA572" s="11">
        <f t="shared" si="786"/>
        <v>2</v>
      </c>
      <c r="AB572" s="25"/>
      <c r="AC572" s="10" t="str">
        <f t="shared" si="787"/>
        <v>OutubroSEMANA 3Jet Dry Secante Bb 5 Lt</v>
      </c>
      <c r="AD572" s="7">
        <f>SUMIF(NF!$A:$A,$AC572,NF!$I:$I)</f>
        <v>0</v>
      </c>
      <c r="AE572" s="6"/>
      <c r="AF572" s="6"/>
      <c r="AG572" s="6"/>
      <c r="AH572" s="6"/>
      <c r="AI572" s="6"/>
      <c r="AJ572" s="6"/>
      <c r="AK572" s="6"/>
      <c r="AL572" s="7">
        <f t="shared" si="813"/>
        <v>0</v>
      </c>
      <c r="AM572" s="11">
        <f t="shared" si="789"/>
        <v>2</v>
      </c>
      <c r="AN572" s="25"/>
      <c r="AO572" s="10" t="str">
        <f t="shared" si="790"/>
        <v>OutubroSEMANA 4Jet Dry Secante Bb 5 Lt</v>
      </c>
      <c r="AP572" s="7">
        <f>SUMIF(NF!$A:$A,$AO572,NF!$I:$I)</f>
        <v>0</v>
      </c>
      <c r="AQ572" s="6"/>
      <c r="AR572" s="6"/>
      <c r="AS572" s="6"/>
      <c r="AT572" s="6"/>
      <c r="AU572" s="6"/>
      <c r="AV572" s="6"/>
      <c r="AW572" s="6"/>
      <c r="AX572" s="7">
        <f t="shared" si="814"/>
        <v>0</v>
      </c>
      <c r="AY572" s="11">
        <f t="shared" si="792"/>
        <v>2</v>
      </c>
      <c r="AZ572" s="25"/>
      <c r="BA572" s="10" t="str">
        <f t="shared" si="793"/>
        <v>OutubroSEMANA 5Jet Dry Secante Bb 5 Lt</v>
      </c>
      <c r="BB572" s="7">
        <f>SUMIF(NF!$A:$A,$BA572,NF!$I:$I)</f>
        <v>0</v>
      </c>
      <c r="BC572" s="6"/>
      <c r="BD572" s="6"/>
      <c r="BE572" s="6"/>
      <c r="BF572" s="74"/>
      <c r="BG572" s="74"/>
      <c r="BH572" s="74"/>
      <c r="BI572" s="74"/>
      <c r="BJ572" s="74"/>
      <c r="BK572" s="7">
        <f t="shared" si="815"/>
        <v>0</v>
      </c>
      <c r="BL572" s="8">
        <f t="shared" si="795"/>
        <v>2</v>
      </c>
      <c r="BM572" s="51" t="str">
        <f>IFERROR(VLOOKUP(A572,NF!$M:$O,3,0),"")</f>
        <v>Limpeza</v>
      </c>
      <c r="BN572" s="7">
        <f t="shared" si="796"/>
        <v>0</v>
      </c>
      <c r="BO572" s="8">
        <f t="array" ref="BO572">IFERROR(LARGE(IF(NF!$G$2:$G$3137='Mês atual'!A572,NF!$J$2:$J$3137),1),0)*BN572</f>
        <v>0</v>
      </c>
      <c r="BP572" s="50"/>
      <c r="BR572" s="147">
        <f t="array" ref="BR572">IFERROR(LARGE(IF(NF!$G$2:$G$3137='Mês atual'!A572,NF!$J$2:$J$3137),1),0)</f>
        <v>0</v>
      </c>
      <c r="BS572" s="143" t="str">
        <f>VLOOKUP(A572,NF!M:O,3,0)</f>
        <v>Limpeza</v>
      </c>
    </row>
    <row r="573" spans="1:71" x14ac:dyDescent="0.25">
      <c r="A573" s="108" t="s">
        <v>470</v>
      </c>
      <c r="B573" s="12"/>
      <c r="C573" s="9">
        <v>2</v>
      </c>
      <c r="D573" s="25"/>
      <c r="E573" s="10" t="str">
        <f t="shared" si="781"/>
        <v>OutubroSEMANA 1Lustra Móveis</v>
      </c>
      <c r="F573" s="7">
        <f>SUMIF(NF!$A:$A,$E573,NF!$I:$I)</f>
        <v>0</v>
      </c>
      <c r="G573" s="6"/>
      <c r="H573" s="6"/>
      <c r="I573" s="6"/>
      <c r="J573" s="6"/>
      <c r="K573" s="6"/>
      <c r="L573" s="6"/>
      <c r="M573" s="6"/>
      <c r="N573" s="7">
        <f t="shared" si="811"/>
        <v>0</v>
      </c>
      <c r="O573" s="11">
        <f t="shared" si="783"/>
        <v>2</v>
      </c>
      <c r="P573" s="25"/>
      <c r="Q573" s="10" t="str">
        <f t="shared" si="784"/>
        <v>OutubroSEMANA 2Lustra Móveis</v>
      </c>
      <c r="R573" s="7">
        <f>SUMIF(NF!$A:$A,$Q573,NF!$I:$I)</f>
        <v>0</v>
      </c>
      <c r="S573" s="6"/>
      <c r="T573" s="6"/>
      <c r="U573" s="6"/>
      <c r="V573" s="6"/>
      <c r="W573" s="6"/>
      <c r="X573" s="6"/>
      <c r="Y573" s="6"/>
      <c r="Z573" s="7">
        <f t="shared" si="812"/>
        <v>0</v>
      </c>
      <c r="AA573" s="11">
        <f t="shared" si="786"/>
        <v>2</v>
      </c>
      <c r="AB573" s="25"/>
      <c r="AC573" s="10" t="str">
        <f t="shared" si="787"/>
        <v>OutubroSEMANA 3Lustra Móveis</v>
      </c>
      <c r="AD573" s="7">
        <f>SUMIF(NF!$A:$A,$AC573,NF!$I:$I)</f>
        <v>0</v>
      </c>
      <c r="AE573" s="6"/>
      <c r="AF573" s="6"/>
      <c r="AG573" s="6"/>
      <c r="AH573" s="6"/>
      <c r="AI573" s="6"/>
      <c r="AJ573" s="6"/>
      <c r="AK573" s="6"/>
      <c r="AL573" s="7">
        <f t="shared" si="813"/>
        <v>0</v>
      </c>
      <c r="AM573" s="11">
        <f t="shared" si="789"/>
        <v>2</v>
      </c>
      <c r="AN573" s="25"/>
      <c r="AO573" s="10" t="str">
        <f t="shared" si="790"/>
        <v>OutubroSEMANA 4Lustra Móveis</v>
      </c>
      <c r="AP573" s="7">
        <f>SUMIF(NF!$A:$A,$AO573,NF!$I:$I)</f>
        <v>0</v>
      </c>
      <c r="AQ573" s="6"/>
      <c r="AR573" s="6"/>
      <c r="AS573" s="6"/>
      <c r="AT573" s="6"/>
      <c r="AU573" s="6"/>
      <c r="AV573" s="6"/>
      <c r="AW573" s="6"/>
      <c r="AX573" s="7">
        <f t="shared" si="814"/>
        <v>0</v>
      </c>
      <c r="AY573" s="11">
        <f t="shared" si="792"/>
        <v>2</v>
      </c>
      <c r="AZ573" s="25"/>
      <c r="BA573" s="10" t="str">
        <f t="shared" si="793"/>
        <v>OutubroSEMANA 5Lustra Móveis</v>
      </c>
      <c r="BB573" s="7">
        <f>SUMIF(NF!$A:$A,$BA573,NF!$I:$I)</f>
        <v>0</v>
      </c>
      <c r="BC573" s="6"/>
      <c r="BD573" s="6"/>
      <c r="BE573" s="6"/>
      <c r="BF573" s="74"/>
      <c r="BG573" s="74"/>
      <c r="BH573" s="74"/>
      <c r="BI573" s="74"/>
      <c r="BJ573" s="74"/>
      <c r="BK573" s="7">
        <f t="shared" si="815"/>
        <v>0</v>
      </c>
      <c r="BL573" s="8">
        <f t="shared" si="795"/>
        <v>2</v>
      </c>
      <c r="BM573" s="51" t="str">
        <f>IFERROR(VLOOKUP(A573,NF!$M:$O,3,0),"")</f>
        <v>Limpeza</v>
      </c>
      <c r="BN573" s="7">
        <f t="shared" si="796"/>
        <v>0</v>
      </c>
      <c r="BO573" s="8">
        <f t="array" ref="BO573">IFERROR(LARGE(IF(NF!$G$2:$G$3137='Mês atual'!A573,NF!$J$2:$J$3137),1),0)*BN573</f>
        <v>0</v>
      </c>
      <c r="BP573" s="50"/>
      <c r="BR573" s="147">
        <f t="array" ref="BR573">IFERROR(LARGE(IF(NF!$G$2:$G$3137='Mês atual'!A573,NF!$J$2:$J$3137),1),0)</f>
        <v>0</v>
      </c>
      <c r="BS573" s="143" t="str">
        <f>VLOOKUP(A573,NF!M:O,3,0)</f>
        <v>Limpeza</v>
      </c>
    </row>
    <row r="574" spans="1:71" x14ac:dyDescent="0.25">
      <c r="A574" s="108" t="s">
        <v>520</v>
      </c>
      <c r="B574" s="12"/>
      <c r="C574" s="9">
        <v>2</v>
      </c>
      <c r="D574" s="25"/>
      <c r="E574" s="10" t="str">
        <f t="shared" si="781"/>
        <v>OutubroSEMANA 1Mikro Chlor</v>
      </c>
      <c r="F574" s="7">
        <f>SUMIF(NF!$A:$A,$E574,NF!$I:$I)</f>
        <v>0</v>
      </c>
      <c r="G574" s="6"/>
      <c r="H574" s="6"/>
      <c r="I574" s="6"/>
      <c r="J574" s="6"/>
      <c r="K574" s="6"/>
      <c r="L574" s="6"/>
      <c r="M574" s="6"/>
      <c r="N574" s="7">
        <f t="shared" si="811"/>
        <v>0</v>
      </c>
      <c r="O574" s="11">
        <f t="shared" si="783"/>
        <v>2</v>
      </c>
      <c r="P574" s="25"/>
      <c r="Q574" s="10" t="str">
        <f t="shared" si="784"/>
        <v>OutubroSEMANA 2Mikro Chlor</v>
      </c>
      <c r="R574" s="7">
        <f>SUMIF(NF!$A:$A,$Q574,NF!$I:$I)</f>
        <v>0</v>
      </c>
      <c r="S574" s="6"/>
      <c r="T574" s="6"/>
      <c r="U574" s="6"/>
      <c r="V574" s="6"/>
      <c r="W574" s="6"/>
      <c r="X574" s="6"/>
      <c r="Y574" s="6"/>
      <c r="Z574" s="7">
        <f t="shared" si="812"/>
        <v>0</v>
      </c>
      <c r="AA574" s="11">
        <f t="shared" si="786"/>
        <v>2</v>
      </c>
      <c r="AB574" s="25"/>
      <c r="AC574" s="10" t="str">
        <f t="shared" si="787"/>
        <v>OutubroSEMANA 3Mikro Chlor</v>
      </c>
      <c r="AD574" s="7">
        <f>SUMIF(NF!$A:$A,$AC574,NF!$I:$I)</f>
        <v>0</v>
      </c>
      <c r="AE574" s="6"/>
      <c r="AF574" s="6"/>
      <c r="AG574" s="6"/>
      <c r="AH574" s="6"/>
      <c r="AI574" s="6"/>
      <c r="AJ574" s="6"/>
      <c r="AK574" s="6"/>
      <c r="AL574" s="7">
        <f t="shared" si="813"/>
        <v>0</v>
      </c>
      <c r="AM574" s="11">
        <f t="shared" si="789"/>
        <v>2</v>
      </c>
      <c r="AN574" s="25"/>
      <c r="AO574" s="10" t="str">
        <f t="shared" si="790"/>
        <v>OutubroSEMANA 4Mikro Chlor</v>
      </c>
      <c r="AP574" s="7">
        <f>SUMIF(NF!$A:$A,$AO574,NF!$I:$I)</f>
        <v>0</v>
      </c>
      <c r="AQ574" s="6"/>
      <c r="AR574" s="6"/>
      <c r="AS574" s="6"/>
      <c r="AT574" s="6"/>
      <c r="AU574" s="6"/>
      <c r="AV574" s="6"/>
      <c r="AW574" s="6"/>
      <c r="AX574" s="7">
        <f t="shared" si="814"/>
        <v>0</v>
      </c>
      <c r="AY574" s="11">
        <f t="shared" si="792"/>
        <v>2</v>
      </c>
      <c r="AZ574" s="25"/>
      <c r="BA574" s="10" t="str">
        <f t="shared" si="793"/>
        <v>OutubroSEMANA 5Mikro Chlor</v>
      </c>
      <c r="BB574" s="7">
        <f>SUMIF(NF!$A:$A,$BA574,NF!$I:$I)</f>
        <v>0</v>
      </c>
      <c r="BC574" s="6"/>
      <c r="BD574" s="6"/>
      <c r="BE574" s="6"/>
      <c r="BF574" s="74"/>
      <c r="BG574" s="74"/>
      <c r="BH574" s="74"/>
      <c r="BI574" s="74"/>
      <c r="BJ574" s="74"/>
      <c r="BK574" s="7">
        <f t="shared" si="815"/>
        <v>0</v>
      </c>
      <c r="BL574" s="8">
        <f t="shared" si="795"/>
        <v>2</v>
      </c>
      <c r="BM574" s="51" t="str">
        <f>IFERROR(VLOOKUP(A574,NF!$M:$O,3,0),"")</f>
        <v>Limpeza</v>
      </c>
      <c r="BN574" s="7">
        <f t="shared" si="796"/>
        <v>0</v>
      </c>
      <c r="BO574" s="8">
        <f t="array" ref="BO574">IFERROR(LARGE(IF(NF!$G$2:$G$3137='Mês atual'!A574,NF!$J$2:$J$3137),1),0)*BN574</f>
        <v>0</v>
      </c>
      <c r="BP574" s="50"/>
      <c r="BR574" s="147">
        <f t="array" ref="BR574">IFERROR(LARGE(IF(NF!$G$2:$G$3137='Mês atual'!A574,NF!$J$2:$J$3137),1),0)</f>
        <v>0</v>
      </c>
      <c r="BS574" s="143" t="str">
        <f>VLOOKUP(A574,NF!M:O,3,0)</f>
        <v>Limpeza</v>
      </c>
    </row>
    <row r="575" spans="1:71" x14ac:dyDescent="0.25">
      <c r="A575" s="108" t="s">
        <v>541</v>
      </c>
      <c r="B575" s="12"/>
      <c r="C575" s="9">
        <v>4</v>
      </c>
      <c r="D575" s="25"/>
      <c r="E575" s="10" t="str">
        <f t="shared" si="781"/>
        <v>OutubroSEMANA 1Oásis enforce (limpador clorado) Bb5lt</v>
      </c>
      <c r="F575" s="7">
        <f>SUMIF(NF!$A:$A,$E575,NF!$I:$I)</f>
        <v>0</v>
      </c>
      <c r="G575" s="6"/>
      <c r="H575" s="6"/>
      <c r="I575" s="6"/>
      <c r="J575" s="6"/>
      <c r="K575" s="6"/>
      <c r="L575" s="6"/>
      <c r="M575" s="6">
        <v>1</v>
      </c>
      <c r="N575" s="7">
        <f t="shared" si="811"/>
        <v>1</v>
      </c>
      <c r="O575" s="11">
        <f t="shared" si="783"/>
        <v>3</v>
      </c>
      <c r="P575" s="25"/>
      <c r="Q575" s="10" t="str">
        <f t="shared" si="784"/>
        <v>OutubroSEMANA 2Oásis enforce (limpador clorado) Bb5lt</v>
      </c>
      <c r="R575" s="7">
        <f>SUMIF(NF!$A:$A,$Q575,NF!$I:$I)</f>
        <v>0</v>
      </c>
      <c r="S575" s="6"/>
      <c r="T575" s="6"/>
      <c r="U575" s="6"/>
      <c r="V575" s="6"/>
      <c r="W575" s="6"/>
      <c r="X575" s="6">
        <v>1</v>
      </c>
      <c r="Y575" s="6"/>
      <c r="Z575" s="7">
        <f t="shared" si="812"/>
        <v>1</v>
      </c>
      <c r="AA575" s="11">
        <f t="shared" si="786"/>
        <v>2</v>
      </c>
      <c r="AB575" s="25"/>
      <c r="AC575" s="10" t="str">
        <f t="shared" si="787"/>
        <v>OutubroSEMANA 3Oásis enforce (limpador clorado) Bb5lt</v>
      </c>
      <c r="AD575" s="7">
        <f>SUMIF(NF!$A:$A,$AC575,NF!$I:$I)</f>
        <v>0</v>
      </c>
      <c r="AE575" s="6"/>
      <c r="AF575" s="6"/>
      <c r="AG575" s="6"/>
      <c r="AH575" s="6"/>
      <c r="AI575" s="6"/>
      <c r="AJ575" s="6">
        <v>1</v>
      </c>
      <c r="AK575" s="6"/>
      <c r="AL575" s="7">
        <f t="shared" si="813"/>
        <v>1</v>
      </c>
      <c r="AM575" s="11">
        <f t="shared" si="789"/>
        <v>1</v>
      </c>
      <c r="AN575" s="25"/>
      <c r="AO575" s="10" t="str">
        <f t="shared" si="790"/>
        <v>OutubroSEMANA 4Oásis enforce (limpador clorado) Bb5lt</v>
      </c>
      <c r="AP575" s="7">
        <f>SUMIF(NF!$A:$A,$AO575,NF!$I:$I)</f>
        <v>1</v>
      </c>
      <c r="AQ575" s="6"/>
      <c r="AR575" s="6"/>
      <c r="AS575" s="6"/>
      <c r="AT575" s="6"/>
      <c r="AU575" s="6"/>
      <c r="AV575" s="6"/>
      <c r="AW575" s="6"/>
      <c r="AX575" s="7">
        <f t="shared" si="814"/>
        <v>0</v>
      </c>
      <c r="AY575" s="11">
        <f t="shared" si="792"/>
        <v>2</v>
      </c>
      <c r="AZ575" s="25"/>
      <c r="BA575" s="10" t="str">
        <f t="shared" si="793"/>
        <v>OutubroSEMANA 5Oásis enforce (limpador clorado) Bb5lt</v>
      </c>
      <c r="BB575" s="7">
        <f>SUMIF(NF!$A:$A,$BA575,NF!$I:$I)</f>
        <v>0</v>
      </c>
      <c r="BC575" s="6"/>
      <c r="BD575" s="6"/>
      <c r="BE575" s="6"/>
      <c r="BF575" s="74"/>
      <c r="BG575" s="74"/>
      <c r="BH575" s="74"/>
      <c r="BI575" s="74"/>
      <c r="BJ575" s="74"/>
      <c r="BK575" s="7">
        <f t="shared" si="815"/>
        <v>0</v>
      </c>
      <c r="BL575" s="8">
        <f t="shared" si="795"/>
        <v>2</v>
      </c>
      <c r="BM575" s="51" t="str">
        <f>IFERROR(VLOOKUP(A575,NF!$M:$O,3,0),"")</f>
        <v>Limpeza</v>
      </c>
      <c r="BN575" s="7">
        <f t="shared" si="796"/>
        <v>3</v>
      </c>
      <c r="BO575" s="8">
        <f t="array" ref="BO575">IFERROR(LARGE(IF(NF!$G$2:$G$3137='Mês atual'!A575,NF!$J$2:$J$3137),1),0)*BN575</f>
        <v>1050.75</v>
      </c>
      <c r="BP575" s="50"/>
      <c r="BR575" s="147">
        <f t="array" ref="BR575">IFERROR(LARGE(IF(NF!$G$2:$G$3137='Mês atual'!A575,NF!$J$2:$J$3137),1),0)</f>
        <v>350.25</v>
      </c>
      <c r="BS575" s="143" t="str">
        <f>VLOOKUP(A575,NF!M:O,3,0)</f>
        <v>Limpeza</v>
      </c>
    </row>
    <row r="576" spans="1:71" x14ac:dyDescent="0.25">
      <c r="A576" s="108" t="s">
        <v>553</v>
      </c>
      <c r="B576" s="12"/>
      <c r="C576" s="9">
        <v>1</v>
      </c>
      <c r="D576" s="25"/>
      <c r="E576" s="10" t="str">
        <f t="shared" si="781"/>
        <v>OutubroSEMANA 1Pá c/ Cabo para Lixo</v>
      </c>
      <c r="F576" s="7">
        <f>SUMIF(NF!$A:$A,$E576,NF!$I:$I)</f>
        <v>0</v>
      </c>
      <c r="G576" s="6"/>
      <c r="H576" s="6"/>
      <c r="I576" s="6"/>
      <c r="J576" s="6"/>
      <c r="K576" s="6"/>
      <c r="L576" s="6"/>
      <c r="M576" s="6"/>
      <c r="N576" s="7">
        <f t="shared" si="811"/>
        <v>0</v>
      </c>
      <c r="O576" s="11">
        <f t="shared" si="783"/>
        <v>1</v>
      </c>
      <c r="P576" s="25"/>
      <c r="Q576" s="10" t="str">
        <f t="shared" si="784"/>
        <v>OutubroSEMANA 2Pá c/ Cabo para Lixo</v>
      </c>
      <c r="R576" s="7">
        <f>SUMIF(NF!$A:$A,$Q576,NF!$I:$I)</f>
        <v>0</v>
      </c>
      <c r="S576" s="6"/>
      <c r="T576" s="6"/>
      <c r="U576" s="6"/>
      <c r="V576" s="6"/>
      <c r="W576" s="6"/>
      <c r="X576" s="6"/>
      <c r="Y576" s="6"/>
      <c r="Z576" s="7">
        <f t="shared" si="812"/>
        <v>0</v>
      </c>
      <c r="AA576" s="11">
        <f t="shared" si="786"/>
        <v>1</v>
      </c>
      <c r="AB576" s="25"/>
      <c r="AC576" s="10" t="str">
        <f t="shared" si="787"/>
        <v>OutubroSEMANA 3Pá c/ Cabo para Lixo</v>
      </c>
      <c r="AD576" s="7">
        <f>SUMIF(NF!$A:$A,$AC576,NF!$I:$I)</f>
        <v>0</v>
      </c>
      <c r="AE576" s="6"/>
      <c r="AF576" s="6"/>
      <c r="AG576" s="6"/>
      <c r="AH576" s="6"/>
      <c r="AI576" s="6"/>
      <c r="AJ576" s="6"/>
      <c r="AK576" s="6"/>
      <c r="AL576" s="7">
        <f t="shared" si="813"/>
        <v>0</v>
      </c>
      <c r="AM576" s="11">
        <f t="shared" si="789"/>
        <v>1</v>
      </c>
      <c r="AN576" s="25"/>
      <c r="AO576" s="10" t="str">
        <f t="shared" si="790"/>
        <v>OutubroSEMANA 4Pá c/ Cabo para Lixo</v>
      </c>
      <c r="AP576" s="7">
        <f>SUMIF(NF!$A:$A,$AO576,NF!$I:$I)</f>
        <v>0</v>
      </c>
      <c r="AQ576" s="6"/>
      <c r="AR576" s="6"/>
      <c r="AS576" s="6"/>
      <c r="AT576" s="6"/>
      <c r="AU576" s="6"/>
      <c r="AV576" s="6"/>
      <c r="AW576" s="6"/>
      <c r="AX576" s="7">
        <f t="shared" si="814"/>
        <v>0</v>
      </c>
      <c r="AY576" s="11">
        <f t="shared" si="792"/>
        <v>1</v>
      </c>
      <c r="AZ576" s="25"/>
      <c r="BA576" s="10" t="str">
        <f t="shared" si="793"/>
        <v>OutubroSEMANA 5Pá c/ Cabo para Lixo</v>
      </c>
      <c r="BB576" s="7">
        <f>SUMIF(NF!$A:$A,$BA576,NF!$I:$I)</f>
        <v>0</v>
      </c>
      <c r="BC576" s="6"/>
      <c r="BD576" s="6"/>
      <c r="BE576" s="6"/>
      <c r="BF576" s="74"/>
      <c r="BG576" s="74"/>
      <c r="BH576" s="74"/>
      <c r="BI576" s="74"/>
      <c r="BJ576" s="74"/>
      <c r="BK576" s="7">
        <f t="shared" si="815"/>
        <v>0</v>
      </c>
      <c r="BL576" s="8">
        <f t="shared" si="795"/>
        <v>1</v>
      </c>
      <c r="BM576" s="51" t="str">
        <f>IFERROR(VLOOKUP(A576,NF!$M:$O,3,0),"")</f>
        <v>Limpeza</v>
      </c>
      <c r="BN576" s="7">
        <f t="shared" si="796"/>
        <v>0</v>
      </c>
      <c r="BO576" s="8">
        <f t="array" ref="BO576">IFERROR(LARGE(IF(NF!$G$2:$G$3137='Mês atual'!A576,NF!$J$2:$J$3137),1),0)*BN576</f>
        <v>0</v>
      </c>
      <c r="BP576" s="50"/>
      <c r="BR576" s="147">
        <f t="array" ref="BR576">IFERROR(LARGE(IF(NF!$G$2:$G$3137='Mês atual'!A576,NF!$J$2:$J$3137),1),0)</f>
        <v>0</v>
      </c>
      <c r="BS576" s="143" t="str">
        <f>VLOOKUP(A576,NF!M:O,3,0)</f>
        <v>Limpeza</v>
      </c>
    </row>
    <row r="577" spans="1:71" x14ac:dyDescent="0.25">
      <c r="A577" s="108" t="s">
        <v>575</v>
      </c>
      <c r="B577" s="12"/>
      <c r="C577" s="9">
        <v>1</v>
      </c>
      <c r="D577" s="25"/>
      <c r="E577" s="10" t="str">
        <f t="shared" si="781"/>
        <v>OutubroSEMANA 1Pastilha Descalsificante (bd Azul)</v>
      </c>
      <c r="F577" s="7">
        <f>SUMIF(NF!$A:$A,$E577,NF!$I:$I)</f>
        <v>0</v>
      </c>
      <c r="G577" s="6"/>
      <c r="H577" s="6"/>
      <c r="I577" s="6"/>
      <c r="J577" s="6"/>
      <c r="K577" s="6"/>
      <c r="L577" s="6"/>
      <c r="M577" s="6"/>
      <c r="N577" s="7">
        <f t="shared" si="811"/>
        <v>0</v>
      </c>
      <c r="O577" s="11">
        <f t="shared" si="783"/>
        <v>1</v>
      </c>
      <c r="P577" s="25"/>
      <c r="Q577" s="10" t="str">
        <f t="shared" si="784"/>
        <v>OutubroSEMANA 2Pastilha Descalsificante (bd Azul)</v>
      </c>
      <c r="R577" s="7">
        <f>SUMIF(NF!$A:$A,$Q577,NF!$I:$I)</f>
        <v>0</v>
      </c>
      <c r="S577" s="6"/>
      <c r="T577" s="6"/>
      <c r="U577" s="6"/>
      <c r="V577" s="6"/>
      <c r="W577" s="6"/>
      <c r="X577" s="6"/>
      <c r="Y577" s="6"/>
      <c r="Z577" s="7">
        <f t="shared" si="812"/>
        <v>0</v>
      </c>
      <c r="AA577" s="11">
        <f t="shared" si="786"/>
        <v>1</v>
      </c>
      <c r="AB577" s="25"/>
      <c r="AC577" s="10" t="str">
        <f t="shared" si="787"/>
        <v>OutubroSEMANA 3Pastilha Descalsificante (bd Azul)</v>
      </c>
      <c r="AD577" s="7">
        <f>SUMIF(NF!$A:$A,$AC577,NF!$I:$I)</f>
        <v>0</v>
      </c>
      <c r="AE577" s="6"/>
      <c r="AF577" s="6"/>
      <c r="AG577" s="6"/>
      <c r="AH577" s="6"/>
      <c r="AI577" s="6"/>
      <c r="AJ577" s="6">
        <v>1</v>
      </c>
      <c r="AK577" s="6"/>
      <c r="AL577" s="7">
        <f t="shared" si="813"/>
        <v>1</v>
      </c>
      <c r="AM577" s="11">
        <f t="shared" si="789"/>
        <v>0</v>
      </c>
      <c r="AN577" s="25"/>
      <c r="AO577" s="10" t="str">
        <f t="shared" si="790"/>
        <v>OutubroSEMANA 4Pastilha Descalsificante (bd Azul)</v>
      </c>
      <c r="AP577" s="7">
        <f>SUMIF(NF!$A:$A,$AO577,NF!$I:$I)</f>
        <v>0</v>
      </c>
      <c r="AQ577" s="6"/>
      <c r="AR577" s="6"/>
      <c r="AS577" s="6"/>
      <c r="AT577" s="6"/>
      <c r="AU577" s="6"/>
      <c r="AV577" s="6"/>
      <c r="AW577" s="6"/>
      <c r="AX577" s="7">
        <f t="shared" si="814"/>
        <v>0</v>
      </c>
      <c r="AY577" s="11">
        <f t="shared" si="792"/>
        <v>0</v>
      </c>
      <c r="AZ577" s="25"/>
      <c r="BA577" s="10" t="str">
        <f t="shared" si="793"/>
        <v>OutubroSEMANA 5Pastilha Descalsificante (bd Azul)</v>
      </c>
      <c r="BB577" s="7">
        <f>SUMIF(NF!$A:$A,$BA577,NF!$I:$I)</f>
        <v>0</v>
      </c>
      <c r="BC577" s="6"/>
      <c r="BD577" s="6"/>
      <c r="BE577" s="6"/>
      <c r="BF577" s="74"/>
      <c r="BG577" s="74"/>
      <c r="BH577" s="74"/>
      <c r="BI577" s="74"/>
      <c r="BJ577" s="74"/>
      <c r="BK577" s="7">
        <f t="shared" si="815"/>
        <v>0</v>
      </c>
      <c r="BL577" s="8">
        <f t="shared" si="795"/>
        <v>0</v>
      </c>
      <c r="BM577" s="51" t="str">
        <f>IFERROR(VLOOKUP(A577,NF!$M:$O,3,0),"")</f>
        <v>Limpeza</v>
      </c>
      <c r="BN577" s="7">
        <f t="shared" si="796"/>
        <v>1</v>
      </c>
      <c r="BO577" s="8">
        <f t="array" ref="BO577">IFERROR(LARGE(IF(NF!$G$2:$G$3137='Mês atual'!A577,NF!$J$2:$J$3137),1),0)*BN577</f>
        <v>0</v>
      </c>
      <c r="BP577" s="50"/>
      <c r="BR577" s="147">
        <f t="array" ref="BR577">IFERROR(LARGE(IF(NF!$G$2:$G$3137='Mês atual'!A577,NF!$J$2:$J$3137),1),0)</f>
        <v>0</v>
      </c>
      <c r="BS577" s="143" t="str">
        <f>VLOOKUP(A577,NF!M:O,3,0)</f>
        <v>Limpeza</v>
      </c>
    </row>
    <row r="578" spans="1:71" x14ac:dyDescent="0.25">
      <c r="A578" s="108" t="s">
        <v>576</v>
      </c>
      <c r="B578" s="12"/>
      <c r="C578" s="9">
        <v>1</v>
      </c>
      <c r="D578" s="25"/>
      <c r="E578" s="10" t="str">
        <f t="shared" si="781"/>
        <v>OutubroSEMANA 1Pastilha Detergente</v>
      </c>
      <c r="F578" s="7">
        <f>SUMIF(NF!$A:$A,$E578,NF!$I:$I)</f>
        <v>0</v>
      </c>
      <c r="G578" s="6"/>
      <c r="H578" s="6"/>
      <c r="I578" s="6"/>
      <c r="J578" s="6"/>
      <c r="K578" s="6"/>
      <c r="L578" s="6"/>
      <c r="M578" s="6"/>
      <c r="N578" s="7">
        <f t="shared" si="811"/>
        <v>0</v>
      </c>
      <c r="O578" s="11">
        <f t="shared" si="783"/>
        <v>1</v>
      </c>
      <c r="P578" s="25"/>
      <c r="Q578" s="10" t="str">
        <f t="shared" si="784"/>
        <v>OutubroSEMANA 2Pastilha Detergente</v>
      </c>
      <c r="R578" s="7">
        <f>SUMIF(NF!$A:$A,$Q578,NF!$I:$I)</f>
        <v>0</v>
      </c>
      <c r="S578" s="6"/>
      <c r="T578" s="6"/>
      <c r="U578" s="6"/>
      <c r="V578" s="6"/>
      <c r="W578" s="6"/>
      <c r="X578" s="6"/>
      <c r="Y578" s="6"/>
      <c r="Z578" s="7">
        <f t="shared" si="812"/>
        <v>0</v>
      </c>
      <c r="AA578" s="11">
        <f t="shared" si="786"/>
        <v>1</v>
      </c>
      <c r="AB578" s="25"/>
      <c r="AC578" s="10" t="str">
        <f t="shared" si="787"/>
        <v>OutubroSEMANA 3Pastilha Detergente</v>
      </c>
      <c r="AD578" s="7">
        <f>SUMIF(NF!$A:$A,$AC578,NF!$I:$I)</f>
        <v>0</v>
      </c>
      <c r="AE578" s="6"/>
      <c r="AF578" s="6"/>
      <c r="AG578" s="6"/>
      <c r="AH578" s="6"/>
      <c r="AI578" s="6"/>
      <c r="AJ578" s="6">
        <v>1</v>
      </c>
      <c r="AK578" s="6"/>
      <c r="AL578" s="7">
        <f t="shared" si="813"/>
        <v>1</v>
      </c>
      <c r="AM578" s="11">
        <f t="shared" si="789"/>
        <v>0</v>
      </c>
      <c r="AN578" s="25"/>
      <c r="AO578" s="10" t="str">
        <f t="shared" si="790"/>
        <v>OutubroSEMANA 4Pastilha Detergente</v>
      </c>
      <c r="AP578" s="7">
        <f>SUMIF(NF!$A:$A,$AO578,NF!$I:$I)</f>
        <v>0</v>
      </c>
      <c r="AQ578" s="6"/>
      <c r="AR578" s="6"/>
      <c r="AS578" s="6"/>
      <c r="AT578" s="6"/>
      <c r="AU578" s="6"/>
      <c r="AV578" s="6"/>
      <c r="AW578" s="6"/>
      <c r="AX578" s="7">
        <f t="shared" si="814"/>
        <v>0</v>
      </c>
      <c r="AY578" s="11">
        <f t="shared" si="792"/>
        <v>0</v>
      </c>
      <c r="AZ578" s="25"/>
      <c r="BA578" s="10" t="str">
        <f t="shared" si="793"/>
        <v>OutubroSEMANA 5Pastilha Detergente</v>
      </c>
      <c r="BB578" s="7">
        <f>SUMIF(NF!$A:$A,$BA578,NF!$I:$I)</f>
        <v>0</v>
      </c>
      <c r="BC578" s="6"/>
      <c r="BD578" s="6"/>
      <c r="BE578" s="6"/>
      <c r="BF578" s="74"/>
      <c r="BG578" s="74"/>
      <c r="BH578" s="74"/>
      <c r="BI578" s="74"/>
      <c r="BJ578" s="74"/>
      <c r="BK578" s="7">
        <f t="shared" si="815"/>
        <v>0</v>
      </c>
      <c r="BL578" s="8">
        <f t="shared" si="795"/>
        <v>0</v>
      </c>
      <c r="BM578" s="51" t="str">
        <f>IFERROR(VLOOKUP(A578,NF!$M:$O,3,0),"")</f>
        <v>Limpeza</v>
      </c>
      <c r="BN578" s="7">
        <f t="shared" si="796"/>
        <v>1</v>
      </c>
      <c r="BO578" s="8">
        <f t="array" ref="BO578">IFERROR(LARGE(IF(NF!$G$2:$G$3137='Mês atual'!A578,NF!$J$2:$J$3137),1),0)*BN578</f>
        <v>0</v>
      </c>
      <c r="BP578" s="50"/>
      <c r="BR578" s="147">
        <f t="array" ref="BR578">IFERROR(LARGE(IF(NF!$G$2:$G$3137='Mês atual'!A578,NF!$J$2:$J$3137),1),0)</f>
        <v>0</v>
      </c>
      <c r="BS578" s="143" t="str">
        <f>VLOOKUP(A578,NF!M:O,3,0)</f>
        <v>Limpeza</v>
      </c>
    </row>
    <row r="579" spans="1:71" x14ac:dyDescent="0.25">
      <c r="A579" s="108" t="s">
        <v>583</v>
      </c>
      <c r="B579" s="12"/>
      <c r="C579" s="9"/>
      <c r="D579" s="25"/>
      <c r="E579" s="10" t="str">
        <f t="shared" si="781"/>
        <v>OutubroSEMANA 1Perfumador de Ambiente</v>
      </c>
      <c r="F579" s="7">
        <f>SUMIF(NF!$A:$A,$E579,NF!$I:$I)</f>
        <v>0</v>
      </c>
      <c r="G579" s="6"/>
      <c r="H579" s="6"/>
      <c r="I579" s="6"/>
      <c r="J579" s="6"/>
      <c r="K579" s="6"/>
      <c r="L579" s="6"/>
      <c r="M579" s="6"/>
      <c r="N579" s="7">
        <f t="shared" si="811"/>
        <v>0</v>
      </c>
      <c r="O579" s="11">
        <f t="shared" si="783"/>
        <v>0</v>
      </c>
      <c r="P579" s="25"/>
      <c r="Q579" s="10" t="str">
        <f t="shared" si="784"/>
        <v>OutubroSEMANA 2Perfumador de Ambiente</v>
      </c>
      <c r="R579" s="7">
        <f>SUMIF(NF!$A:$A,$Q579,NF!$I:$I)</f>
        <v>0</v>
      </c>
      <c r="S579" s="6"/>
      <c r="T579" s="6"/>
      <c r="U579" s="6"/>
      <c r="V579" s="6"/>
      <c r="W579" s="6"/>
      <c r="X579" s="6"/>
      <c r="Y579" s="6"/>
      <c r="Z579" s="7">
        <f t="shared" si="812"/>
        <v>0</v>
      </c>
      <c r="AA579" s="11">
        <f t="shared" si="786"/>
        <v>0</v>
      </c>
      <c r="AB579" s="25"/>
      <c r="AC579" s="10" t="str">
        <f t="shared" si="787"/>
        <v>OutubroSEMANA 3Perfumador de Ambiente</v>
      </c>
      <c r="AD579" s="7">
        <f>SUMIF(NF!$A:$A,$AC579,NF!$I:$I)</f>
        <v>0</v>
      </c>
      <c r="AE579" s="6"/>
      <c r="AF579" s="6"/>
      <c r="AG579" s="6"/>
      <c r="AH579" s="6"/>
      <c r="AI579" s="6"/>
      <c r="AJ579" s="6"/>
      <c r="AK579" s="6"/>
      <c r="AL579" s="7">
        <f t="shared" si="813"/>
        <v>0</v>
      </c>
      <c r="AM579" s="11">
        <f t="shared" si="789"/>
        <v>0</v>
      </c>
      <c r="AN579" s="25"/>
      <c r="AO579" s="10" t="str">
        <f t="shared" si="790"/>
        <v>OutubroSEMANA 4Perfumador de Ambiente</v>
      </c>
      <c r="AP579" s="7">
        <f>SUMIF(NF!$A:$A,$AO579,NF!$I:$I)</f>
        <v>4</v>
      </c>
      <c r="AQ579" s="6"/>
      <c r="AR579" s="6"/>
      <c r="AS579" s="6"/>
      <c r="AT579" s="6"/>
      <c r="AU579" s="6"/>
      <c r="AV579" s="6">
        <v>2</v>
      </c>
      <c r="AW579" s="6"/>
      <c r="AX579" s="7">
        <f t="shared" si="814"/>
        <v>2</v>
      </c>
      <c r="AY579" s="11">
        <f t="shared" si="792"/>
        <v>2</v>
      </c>
      <c r="AZ579" s="25"/>
      <c r="BA579" s="10" t="str">
        <f t="shared" si="793"/>
        <v>OutubroSEMANA 5Perfumador de Ambiente</v>
      </c>
      <c r="BB579" s="7">
        <f>SUMIF(NF!$A:$A,$BA579,NF!$I:$I)</f>
        <v>0</v>
      </c>
      <c r="BC579" s="6"/>
      <c r="BD579" s="6"/>
      <c r="BE579" s="6"/>
      <c r="BF579" s="74"/>
      <c r="BG579" s="74"/>
      <c r="BH579" s="74"/>
      <c r="BI579" s="74"/>
      <c r="BJ579" s="74"/>
      <c r="BK579" s="7">
        <f t="shared" si="815"/>
        <v>0</v>
      </c>
      <c r="BL579" s="8">
        <f t="shared" si="795"/>
        <v>2</v>
      </c>
      <c r="BM579" s="51" t="str">
        <f>IFERROR(VLOOKUP(A579,NF!$M:$O,3,0),"")</f>
        <v>Limpeza</v>
      </c>
      <c r="BN579" s="7">
        <f t="shared" si="796"/>
        <v>2</v>
      </c>
      <c r="BO579" s="8">
        <f t="array" ref="BO579">IFERROR(LARGE(IF(NF!$G$2:$G$3137='Mês atual'!A579,NF!$J$2:$J$3137),1),0)*BN579</f>
        <v>182.6</v>
      </c>
      <c r="BP579" s="50"/>
      <c r="BR579" s="147">
        <f t="array" ref="BR579">IFERROR(LARGE(IF(NF!$G$2:$G$3137='Mês atual'!A579,NF!$J$2:$J$3137),1),0)</f>
        <v>91.3</v>
      </c>
      <c r="BS579" s="143" t="str">
        <f>VLOOKUP(A579,NF!M:O,3,0)</f>
        <v>Limpeza</v>
      </c>
    </row>
    <row r="580" spans="1:71" x14ac:dyDescent="0.25">
      <c r="A580" s="108" t="s">
        <v>672</v>
      </c>
      <c r="B580" s="12"/>
      <c r="C580" s="9">
        <v>2</v>
      </c>
      <c r="D580" s="25"/>
      <c r="E580" s="10" t="str">
        <f t="shared" si="781"/>
        <v>OutubroSEMANA 1Quat Sanitizer (Higienização) Bb 5 Lt</v>
      </c>
      <c r="F580" s="7">
        <f>SUMIF(NF!$A:$A,$E580,NF!$I:$I)</f>
        <v>0</v>
      </c>
      <c r="G580" s="6"/>
      <c r="H580" s="6"/>
      <c r="I580" s="6"/>
      <c r="J580" s="6"/>
      <c r="K580" s="6"/>
      <c r="L580" s="6"/>
      <c r="M580" s="6"/>
      <c r="N580" s="7">
        <f t="shared" si="811"/>
        <v>0</v>
      </c>
      <c r="O580" s="11">
        <f t="shared" si="783"/>
        <v>2</v>
      </c>
      <c r="P580" s="25"/>
      <c r="Q580" s="10" t="str">
        <f t="shared" si="784"/>
        <v>OutubroSEMANA 2Quat Sanitizer (Higienização) Bb 5 Lt</v>
      </c>
      <c r="R580" s="7">
        <f>SUMIF(NF!$A:$A,$Q580,NF!$I:$I)</f>
        <v>0</v>
      </c>
      <c r="S580" s="6"/>
      <c r="T580" s="6"/>
      <c r="U580" s="6"/>
      <c r="V580" s="6"/>
      <c r="W580" s="6"/>
      <c r="X580" s="6"/>
      <c r="Y580" s="6"/>
      <c r="Z580" s="7">
        <f t="shared" si="812"/>
        <v>0</v>
      </c>
      <c r="AA580" s="11">
        <f t="shared" si="786"/>
        <v>2</v>
      </c>
      <c r="AB580" s="25"/>
      <c r="AC580" s="10" t="str">
        <f t="shared" si="787"/>
        <v>OutubroSEMANA 3Quat Sanitizer (Higienização) Bb 5 Lt</v>
      </c>
      <c r="AD580" s="7">
        <f>SUMIF(NF!$A:$A,$AC580,NF!$I:$I)</f>
        <v>0</v>
      </c>
      <c r="AE580" s="6"/>
      <c r="AF580" s="6"/>
      <c r="AG580" s="6"/>
      <c r="AH580" s="6"/>
      <c r="AI580" s="6"/>
      <c r="AJ580" s="6"/>
      <c r="AK580" s="6"/>
      <c r="AL580" s="7">
        <f t="shared" si="813"/>
        <v>0</v>
      </c>
      <c r="AM580" s="11">
        <f t="shared" si="789"/>
        <v>2</v>
      </c>
      <c r="AN580" s="25"/>
      <c r="AO580" s="10" t="str">
        <f t="shared" si="790"/>
        <v>OutubroSEMANA 4Quat Sanitizer (Higienização) Bb 5 Lt</v>
      </c>
      <c r="AP580" s="7">
        <f>SUMIF(NF!$A:$A,$AO580,NF!$I:$I)</f>
        <v>0</v>
      </c>
      <c r="AQ580" s="6"/>
      <c r="AR580" s="6"/>
      <c r="AS580" s="6"/>
      <c r="AT580" s="6"/>
      <c r="AU580" s="6"/>
      <c r="AV580" s="6"/>
      <c r="AW580" s="6"/>
      <c r="AX580" s="7">
        <f t="shared" si="814"/>
        <v>0</v>
      </c>
      <c r="AY580" s="11">
        <f t="shared" si="792"/>
        <v>2</v>
      </c>
      <c r="AZ580" s="25"/>
      <c r="BA580" s="10" t="str">
        <f t="shared" si="793"/>
        <v>OutubroSEMANA 5Quat Sanitizer (Higienização) Bb 5 Lt</v>
      </c>
      <c r="BB580" s="7">
        <f>SUMIF(NF!$A:$A,$BA580,NF!$I:$I)</f>
        <v>0</v>
      </c>
      <c r="BC580" s="6"/>
      <c r="BD580" s="6"/>
      <c r="BE580" s="6"/>
      <c r="BF580" s="74"/>
      <c r="BG580" s="74"/>
      <c r="BH580" s="74"/>
      <c r="BI580" s="74"/>
      <c r="BJ580" s="74"/>
      <c r="BK580" s="7">
        <f t="shared" si="815"/>
        <v>0</v>
      </c>
      <c r="BL580" s="8">
        <f t="shared" si="795"/>
        <v>2</v>
      </c>
      <c r="BM580" s="51" t="str">
        <f>IFERROR(VLOOKUP(A580,NF!$M:$O,3,0),"")</f>
        <v>Limpeza</v>
      </c>
      <c r="BN580" s="7">
        <f t="shared" si="796"/>
        <v>0</v>
      </c>
      <c r="BO580" s="8">
        <f t="array" ref="BO580">IFERROR(LARGE(IF(NF!$G$2:$G$3137='Mês atual'!A580,NF!$J$2:$J$3137),1),0)*BN580</f>
        <v>0</v>
      </c>
      <c r="BP580" s="50"/>
      <c r="BR580" s="147">
        <f t="array" ref="BR580">IFERROR(LARGE(IF(NF!$G$2:$G$3137='Mês atual'!A580,NF!$J$2:$J$3137),1),0)</f>
        <v>0</v>
      </c>
      <c r="BS580" s="143" t="str">
        <f>VLOOKUP(A580,NF!M:O,3,0)</f>
        <v>Limpeza</v>
      </c>
    </row>
    <row r="581" spans="1:71" x14ac:dyDescent="0.25">
      <c r="A581" s="108" t="s">
        <v>934</v>
      </c>
      <c r="B581" s="12"/>
      <c r="C581" s="9"/>
      <c r="D581" s="25"/>
      <c r="E581" s="10" t="str">
        <f t="shared" si="781"/>
        <v>OutubroSEMANA 1Repelente (Mosquito)</v>
      </c>
      <c r="F581" s="7">
        <f>SUMIF(NF!$A:$A,$E581,NF!$I:$I)</f>
        <v>0</v>
      </c>
      <c r="G581" s="6"/>
      <c r="H581" s="6"/>
      <c r="I581" s="6"/>
      <c r="J581" s="6"/>
      <c r="K581" s="6"/>
      <c r="L581" s="6"/>
      <c r="M581" s="6"/>
      <c r="N581" s="7">
        <f t="shared" ref="N581" si="816">SUM(G581:M581)</f>
        <v>0</v>
      </c>
      <c r="O581" s="11">
        <f t="shared" si="783"/>
        <v>0</v>
      </c>
      <c r="P581" s="25"/>
      <c r="Q581" s="10" t="str">
        <f t="shared" si="784"/>
        <v>OutubroSEMANA 2Repelente (Mosquito)</v>
      </c>
      <c r="R581" s="7">
        <f>SUMIF(NF!$A:$A,$Q581,NF!$I:$I)</f>
        <v>0</v>
      </c>
      <c r="S581" s="6"/>
      <c r="T581" s="6"/>
      <c r="U581" s="6"/>
      <c r="V581" s="6"/>
      <c r="W581" s="6"/>
      <c r="X581" s="6"/>
      <c r="Y581" s="6"/>
      <c r="Z581" s="7">
        <f t="shared" ref="Z581" si="817">SUM(S581:Y581)</f>
        <v>0</v>
      </c>
      <c r="AA581" s="11">
        <f t="shared" si="786"/>
        <v>0</v>
      </c>
      <c r="AB581" s="25"/>
      <c r="AC581" s="10" t="str">
        <f t="shared" si="787"/>
        <v>OutubroSEMANA 3Repelente (Mosquito)</v>
      </c>
      <c r="AD581" s="7">
        <f>SUMIF(NF!$A:$A,$AC581,NF!$I:$I)</f>
        <v>0</v>
      </c>
      <c r="AE581" s="6"/>
      <c r="AF581" s="6"/>
      <c r="AG581" s="6"/>
      <c r="AH581" s="6"/>
      <c r="AI581" s="6"/>
      <c r="AJ581" s="6"/>
      <c r="AK581" s="6"/>
      <c r="AL581" s="7">
        <f t="shared" ref="AL581" si="818">SUM(AE581:AK581)</f>
        <v>0</v>
      </c>
      <c r="AM581" s="11">
        <f t="shared" si="789"/>
        <v>0</v>
      </c>
      <c r="AN581" s="25"/>
      <c r="AO581" s="10" t="str">
        <f t="shared" si="790"/>
        <v>OutubroSEMANA 4Repelente (Mosquito)</v>
      </c>
      <c r="AP581" s="7">
        <f>SUMIF(NF!$A:$A,$AO581,NF!$I:$I)</f>
        <v>0</v>
      </c>
      <c r="AQ581" s="6"/>
      <c r="AR581" s="6"/>
      <c r="AS581" s="6"/>
      <c r="AT581" s="6"/>
      <c r="AU581" s="6"/>
      <c r="AV581" s="6"/>
      <c r="AW581" s="6"/>
      <c r="AX581" s="7">
        <f t="shared" ref="AX581" si="819">SUM(AQ581:AW581)</f>
        <v>0</v>
      </c>
      <c r="AY581" s="11">
        <f t="shared" si="792"/>
        <v>0</v>
      </c>
      <c r="AZ581" s="25"/>
      <c r="BA581" s="10" t="str">
        <f t="shared" si="793"/>
        <v>OutubroSEMANA 5Repelente (Mosquito)</v>
      </c>
      <c r="BB581" s="7">
        <f>SUMIF(NF!$A:$A,$BA581,NF!$I:$I)</f>
        <v>0</v>
      </c>
      <c r="BC581" s="6"/>
      <c r="BD581" s="6"/>
      <c r="BE581" s="6"/>
      <c r="BF581" s="74"/>
      <c r="BG581" s="74"/>
      <c r="BH581" s="74"/>
      <c r="BI581" s="74"/>
      <c r="BJ581" s="74"/>
      <c r="BK581" s="7">
        <f t="shared" ref="BK581" si="820">SUM(BC581:BJ581)</f>
        <v>0</v>
      </c>
      <c r="BL581" s="8">
        <f t="shared" si="795"/>
        <v>0</v>
      </c>
      <c r="BM581" s="51" t="str">
        <f>IFERROR(VLOOKUP(A581,NF!$M:$O,3,0),"")</f>
        <v>Limpeza</v>
      </c>
      <c r="BN581" s="7">
        <f t="shared" si="796"/>
        <v>0</v>
      </c>
      <c r="BO581" s="8">
        <f t="array" ref="BO581">IFERROR(LARGE(IF(NF!$G$2:$G$3137='Mês atual'!A581,NF!$J$2:$J$3137),1),0)*BN581</f>
        <v>0</v>
      </c>
      <c r="BP581" s="50"/>
      <c r="BR581" s="147">
        <f t="array" ref="BR581">IFERROR(LARGE(IF(NF!$G$2:$G$3137='Mês atual'!A581,NF!$J$2:$J$3137),1),0)</f>
        <v>0</v>
      </c>
      <c r="BS581" s="143" t="str">
        <f>VLOOKUP(A581,NF!M:O,3,0)</f>
        <v>Limpeza</v>
      </c>
    </row>
    <row r="582" spans="1:71" x14ac:dyDescent="0.25">
      <c r="A582" s="108" t="s">
        <v>708</v>
      </c>
      <c r="B582" s="12"/>
      <c r="C582" s="9">
        <v>1</v>
      </c>
      <c r="D582" s="25"/>
      <c r="E582" s="10" t="str">
        <f t="shared" si="781"/>
        <v>OutubroSEMANA 1Sabão em Pó</v>
      </c>
      <c r="F582" s="7">
        <f>SUMIF(NF!$A:$A,$E582,NF!$I:$I)</f>
        <v>0</v>
      </c>
      <c r="G582" s="6"/>
      <c r="H582" s="6"/>
      <c r="I582" s="6"/>
      <c r="J582" s="6"/>
      <c r="K582" s="6"/>
      <c r="L582" s="6"/>
      <c r="M582" s="6"/>
      <c r="N582" s="7">
        <f t="shared" ref="N582:N597" si="821">SUM(G582:M582)</f>
        <v>0</v>
      </c>
      <c r="O582" s="11">
        <f t="shared" si="783"/>
        <v>1</v>
      </c>
      <c r="P582" s="25"/>
      <c r="Q582" s="10" t="str">
        <f t="shared" si="784"/>
        <v>OutubroSEMANA 2Sabão em Pó</v>
      </c>
      <c r="R582" s="7">
        <f>SUMIF(NF!$A:$A,$Q582,NF!$I:$I)</f>
        <v>0</v>
      </c>
      <c r="S582" s="6"/>
      <c r="T582" s="6"/>
      <c r="U582" s="6"/>
      <c r="V582" s="6"/>
      <c r="W582" s="6"/>
      <c r="X582" s="6"/>
      <c r="Y582" s="6"/>
      <c r="Z582" s="7">
        <f t="shared" ref="Z582:Z597" si="822">SUM(S582:Y582)</f>
        <v>0</v>
      </c>
      <c r="AA582" s="11">
        <f t="shared" si="786"/>
        <v>1</v>
      </c>
      <c r="AB582" s="25"/>
      <c r="AC582" s="10" t="str">
        <f t="shared" si="787"/>
        <v>OutubroSEMANA 3Sabão em Pó</v>
      </c>
      <c r="AD582" s="7">
        <f>SUMIF(NF!$A:$A,$AC582,NF!$I:$I)</f>
        <v>0</v>
      </c>
      <c r="AE582" s="6"/>
      <c r="AF582" s="6"/>
      <c r="AG582" s="6"/>
      <c r="AH582" s="6"/>
      <c r="AI582" s="6"/>
      <c r="AJ582" s="6"/>
      <c r="AK582" s="6"/>
      <c r="AL582" s="7">
        <f t="shared" ref="AL582:AL597" si="823">SUM(AE582:AK582)</f>
        <v>0</v>
      </c>
      <c r="AM582" s="11">
        <f t="shared" si="789"/>
        <v>1</v>
      </c>
      <c r="AN582" s="25"/>
      <c r="AO582" s="10" t="str">
        <f t="shared" si="790"/>
        <v>OutubroSEMANA 4Sabão em Pó</v>
      </c>
      <c r="AP582" s="7">
        <f>SUMIF(NF!$A:$A,$AO582,NF!$I:$I)</f>
        <v>0</v>
      </c>
      <c r="AQ582" s="6"/>
      <c r="AR582" s="6"/>
      <c r="AS582" s="6"/>
      <c r="AT582" s="6"/>
      <c r="AU582" s="6"/>
      <c r="AV582" s="6"/>
      <c r="AW582" s="6"/>
      <c r="AX582" s="7">
        <f t="shared" ref="AX582:AX597" si="824">SUM(AQ582:AW582)</f>
        <v>0</v>
      </c>
      <c r="AY582" s="11">
        <f t="shared" si="792"/>
        <v>1</v>
      </c>
      <c r="AZ582" s="25"/>
      <c r="BA582" s="10" t="str">
        <f t="shared" si="793"/>
        <v>OutubroSEMANA 5Sabão em Pó</v>
      </c>
      <c r="BB582" s="7">
        <f>SUMIF(NF!$A:$A,$BA582,NF!$I:$I)</f>
        <v>0</v>
      </c>
      <c r="BC582" s="6"/>
      <c r="BD582" s="6"/>
      <c r="BE582" s="6"/>
      <c r="BF582" s="74"/>
      <c r="BG582" s="74"/>
      <c r="BH582" s="74"/>
      <c r="BI582" s="74"/>
      <c r="BJ582" s="74"/>
      <c r="BK582" s="7">
        <f t="shared" ref="BK582:BK597" si="825">SUM(BC582:BJ582)</f>
        <v>0</v>
      </c>
      <c r="BL582" s="8">
        <f t="shared" si="795"/>
        <v>1</v>
      </c>
      <c r="BM582" s="51" t="str">
        <f>IFERROR(VLOOKUP(A582,NF!$M:$O,3,0),"")</f>
        <v>Limpeza</v>
      </c>
      <c r="BN582" s="7">
        <f t="shared" si="796"/>
        <v>0</v>
      </c>
      <c r="BO582" s="8">
        <f t="array" ref="BO582">IFERROR(LARGE(IF(NF!$G$2:$G$3137='Mês atual'!A582,NF!$J$2:$J$3137),1),0)*BN582</f>
        <v>0</v>
      </c>
      <c r="BP582" s="50"/>
      <c r="BR582" s="147">
        <f t="array" ref="BR582">IFERROR(LARGE(IF(NF!$G$2:$G$3137='Mês atual'!A582,NF!$J$2:$J$3137),1),0)</f>
        <v>0</v>
      </c>
      <c r="BS582" s="143" t="str">
        <f>VLOOKUP(A582,NF!M:O,3,0)</f>
        <v>Limpeza</v>
      </c>
    </row>
    <row r="583" spans="1:71" x14ac:dyDescent="0.25">
      <c r="A583" s="108" t="s">
        <v>709</v>
      </c>
      <c r="B583" s="12"/>
      <c r="C583" s="9">
        <v>8</v>
      </c>
      <c r="D583" s="25"/>
      <c r="E583" s="10" t="str">
        <f t="shared" si="781"/>
        <v>OutubroSEMANA 1Sabonete Espuma refil 800 ml</v>
      </c>
      <c r="F583" s="7">
        <f>SUMIF(NF!$A:$A,$E583,NF!$I:$I)</f>
        <v>0</v>
      </c>
      <c r="G583" s="6"/>
      <c r="H583" s="6">
        <v>1</v>
      </c>
      <c r="I583" s="6"/>
      <c r="J583" s="6"/>
      <c r="K583" s="6"/>
      <c r="L583" s="6"/>
      <c r="M583" s="6"/>
      <c r="N583" s="7">
        <f t="shared" si="821"/>
        <v>1</v>
      </c>
      <c r="O583" s="11">
        <f t="shared" si="783"/>
        <v>7</v>
      </c>
      <c r="P583" s="25"/>
      <c r="Q583" s="10" t="str">
        <f t="shared" si="784"/>
        <v>OutubroSEMANA 2Sabonete Espuma refil 800 ml</v>
      </c>
      <c r="R583" s="7">
        <f>SUMIF(NF!$A:$A,$Q583,NF!$I:$I)</f>
        <v>0</v>
      </c>
      <c r="S583" s="6"/>
      <c r="T583" s="6"/>
      <c r="U583" s="6"/>
      <c r="V583" s="6"/>
      <c r="W583" s="6"/>
      <c r="X583" s="6"/>
      <c r="Y583" s="6"/>
      <c r="Z583" s="7">
        <f t="shared" si="822"/>
        <v>0</v>
      </c>
      <c r="AA583" s="11">
        <f t="shared" si="786"/>
        <v>7</v>
      </c>
      <c r="AB583" s="25"/>
      <c r="AC583" s="10" t="str">
        <f t="shared" si="787"/>
        <v>OutubroSEMANA 3Sabonete Espuma refil 800 ml</v>
      </c>
      <c r="AD583" s="7">
        <f>SUMIF(NF!$A:$A,$AC583,NF!$I:$I)</f>
        <v>0</v>
      </c>
      <c r="AE583" s="6"/>
      <c r="AF583" s="6"/>
      <c r="AG583" s="6"/>
      <c r="AH583" s="6"/>
      <c r="AI583" s="6"/>
      <c r="AJ583" s="6"/>
      <c r="AK583" s="6"/>
      <c r="AL583" s="7">
        <f t="shared" si="823"/>
        <v>0</v>
      </c>
      <c r="AM583" s="11">
        <f t="shared" si="789"/>
        <v>7</v>
      </c>
      <c r="AN583" s="25"/>
      <c r="AO583" s="10" t="str">
        <f t="shared" si="790"/>
        <v>OutubroSEMANA 4Sabonete Espuma refil 800 ml</v>
      </c>
      <c r="AP583" s="7">
        <f>SUMIF(NF!$A:$A,$AO583,NF!$I:$I)</f>
        <v>0</v>
      </c>
      <c r="AQ583" s="6"/>
      <c r="AR583" s="6"/>
      <c r="AS583" s="6">
        <v>1</v>
      </c>
      <c r="AT583" s="6"/>
      <c r="AU583" s="6"/>
      <c r="AV583" s="6"/>
      <c r="AW583" s="6"/>
      <c r="AX583" s="7">
        <f t="shared" si="824"/>
        <v>1</v>
      </c>
      <c r="AY583" s="11">
        <f t="shared" si="792"/>
        <v>6</v>
      </c>
      <c r="AZ583" s="25"/>
      <c r="BA583" s="10" t="str">
        <f t="shared" si="793"/>
        <v>OutubroSEMANA 5Sabonete Espuma refil 800 ml</v>
      </c>
      <c r="BB583" s="7">
        <f>SUMIF(NF!$A:$A,$BA583,NF!$I:$I)</f>
        <v>0</v>
      </c>
      <c r="BC583" s="6"/>
      <c r="BD583" s="6"/>
      <c r="BE583" s="6"/>
      <c r="BF583" s="74"/>
      <c r="BG583" s="74"/>
      <c r="BH583" s="74"/>
      <c r="BI583" s="74"/>
      <c r="BJ583" s="74"/>
      <c r="BK583" s="7">
        <f t="shared" si="825"/>
        <v>0</v>
      </c>
      <c r="BL583" s="8">
        <f t="shared" si="795"/>
        <v>6</v>
      </c>
      <c r="BM583" s="51" t="str">
        <f>IFERROR(VLOOKUP(A583,NF!$M:$O,3,0),"")</f>
        <v>Limpeza</v>
      </c>
      <c r="BN583" s="7">
        <f t="shared" si="796"/>
        <v>2</v>
      </c>
      <c r="BO583" s="8">
        <f t="array" ref="BO583">IFERROR(LARGE(IF(NF!$G$2:$G$3137='Mês atual'!A583,NF!$J$2:$J$3137),1),0)*BN583</f>
        <v>0</v>
      </c>
      <c r="BP583" s="50"/>
      <c r="BR583" s="147">
        <f t="array" ref="BR583">IFERROR(LARGE(IF(NF!$G$2:$G$3137='Mês atual'!A583,NF!$J$2:$J$3137),1),0)</f>
        <v>0</v>
      </c>
      <c r="BS583" s="143" t="str">
        <f>VLOOKUP(A583,NF!M:O,3,0)</f>
        <v>Limpeza</v>
      </c>
    </row>
    <row r="584" spans="1:71" x14ac:dyDescent="0.25">
      <c r="A584" s="108" t="s">
        <v>710</v>
      </c>
      <c r="B584" s="12"/>
      <c r="C584" s="9">
        <v>1</v>
      </c>
      <c r="D584" s="25"/>
      <c r="E584" s="10" t="str">
        <f t="shared" si="781"/>
        <v>OutubroSEMANA 1Saco de Lixo 100 Lt</v>
      </c>
      <c r="F584" s="7">
        <f>SUMIF(NF!$A:$A,$E584,NF!$I:$I)</f>
        <v>1</v>
      </c>
      <c r="G584" s="6"/>
      <c r="H584" s="6"/>
      <c r="I584" s="6"/>
      <c r="J584" s="6"/>
      <c r="K584" s="6"/>
      <c r="L584" s="6"/>
      <c r="M584" s="6"/>
      <c r="N584" s="7">
        <f t="shared" si="821"/>
        <v>0</v>
      </c>
      <c r="O584" s="11">
        <f t="shared" si="783"/>
        <v>2</v>
      </c>
      <c r="P584" s="25"/>
      <c r="Q584" s="10" t="str">
        <f t="shared" si="784"/>
        <v>OutubroSEMANA 2Saco de Lixo 100 Lt</v>
      </c>
      <c r="R584" s="7">
        <f>SUMIF(NF!$A:$A,$Q584,NF!$I:$I)</f>
        <v>0</v>
      </c>
      <c r="S584" s="6"/>
      <c r="T584" s="6"/>
      <c r="U584" s="6"/>
      <c r="V584" s="6"/>
      <c r="W584" s="6"/>
      <c r="X584" s="6"/>
      <c r="Y584" s="6">
        <v>1</v>
      </c>
      <c r="Z584" s="7">
        <f t="shared" si="822"/>
        <v>1</v>
      </c>
      <c r="AA584" s="11">
        <f t="shared" si="786"/>
        <v>1</v>
      </c>
      <c r="AB584" s="25"/>
      <c r="AC584" s="10" t="str">
        <f t="shared" si="787"/>
        <v>OutubroSEMANA 3Saco de Lixo 100 Lt</v>
      </c>
      <c r="AD584" s="7">
        <f>SUMIF(NF!$A:$A,$AC584,NF!$I:$I)</f>
        <v>1</v>
      </c>
      <c r="AE584" s="6"/>
      <c r="AF584" s="6"/>
      <c r="AG584" s="6"/>
      <c r="AH584" s="6"/>
      <c r="AI584" s="6"/>
      <c r="AJ584" s="6"/>
      <c r="AK584" s="6"/>
      <c r="AL584" s="7">
        <f t="shared" si="823"/>
        <v>0</v>
      </c>
      <c r="AM584" s="11">
        <f t="shared" si="789"/>
        <v>2</v>
      </c>
      <c r="AN584" s="25"/>
      <c r="AO584" s="10" t="str">
        <f t="shared" si="790"/>
        <v>OutubroSEMANA 4Saco de Lixo 100 Lt</v>
      </c>
      <c r="AP584" s="7">
        <f>SUMIF(NF!$A:$A,$AO584,NF!$I:$I)</f>
        <v>0</v>
      </c>
      <c r="AQ584" s="6"/>
      <c r="AR584" s="6"/>
      <c r="AS584" s="6"/>
      <c r="AT584" s="6"/>
      <c r="AU584" s="6"/>
      <c r="AV584" s="6"/>
      <c r="AW584" s="6"/>
      <c r="AX584" s="7">
        <f t="shared" si="824"/>
        <v>0</v>
      </c>
      <c r="AY584" s="11">
        <f t="shared" si="792"/>
        <v>2</v>
      </c>
      <c r="AZ584" s="25"/>
      <c r="BA584" s="10" t="str">
        <f t="shared" si="793"/>
        <v>OutubroSEMANA 5Saco de Lixo 100 Lt</v>
      </c>
      <c r="BB584" s="7">
        <f>SUMIF(NF!$A:$A,$BA584,NF!$I:$I)</f>
        <v>0</v>
      </c>
      <c r="BC584" s="6"/>
      <c r="BD584" s="6"/>
      <c r="BE584" s="6"/>
      <c r="BF584" s="74"/>
      <c r="BG584" s="74"/>
      <c r="BH584" s="74"/>
      <c r="BI584" s="74"/>
      <c r="BJ584" s="74"/>
      <c r="BK584" s="7">
        <f t="shared" si="825"/>
        <v>0</v>
      </c>
      <c r="BL584" s="8">
        <f t="shared" si="795"/>
        <v>2</v>
      </c>
      <c r="BM584" s="51" t="str">
        <f>IFERROR(VLOOKUP(A584,NF!$M:$O,3,0),"")</f>
        <v>Limpeza</v>
      </c>
      <c r="BN584" s="7">
        <f t="shared" si="796"/>
        <v>1</v>
      </c>
      <c r="BO584" s="8">
        <f t="array" ref="BO584">IFERROR(LARGE(IF(NF!$G$2:$G$3137='Mês atual'!A584,NF!$J$2:$J$3137),1),0)*BN584</f>
        <v>36.6</v>
      </c>
      <c r="BP584" s="50"/>
      <c r="BR584" s="147">
        <f t="array" ref="BR584">IFERROR(LARGE(IF(NF!$G$2:$G$3137='Mês atual'!A584,NF!$J$2:$J$3137),1),0)</f>
        <v>36.6</v>
      </c>
      <c r="BS584" s="143" t="str">
        <f>VLOOKUP(A584,NF!M:O,3,0)</f>
        <v>Limpeza</v>
      </c>
    </row>
    <row r="585" spans="1:71" x14ac:dyDescent="0.25">
      <c r="A585" s="108" t="s">
        <v>711</v>
      </c>
      <c r="B585" s="12"/>
      <c r="C585" s="9">
        <v>1</v>
      </c>
      <c r="D585" s="25"/>
      <c r="E585" s="10" t="str">
        <f t="shared" si="781"/>
        <v>OutubroSEMANA 1Saco de Lixo 20 Lt</v>
      </c>
      <c r="F585" s="7">
        <f>SUMIF(NF!$A:$A,$E585,NF!$I:$I)</f>
        <v>1</v>
      </c>
      <c r="G585" s="6"/>
      <c r="H585" s="6"/>
      <c r="I585" s="6"/>
      <c r="J585" s="6"/>
      <c r="K585" s="6"/>
      <c r="L585" s="6"/>
      <c r="M585" s="6"/>
      <c r="N585" s="7">
        <f t="shared" si="821"/>
        <v>0</v>
      </c>
      <c r="O585" s="11">
        <f t="shared" si="783"/>
        <v>2</v>
      </c>
      <c r="P585" s="25"/>
      <c r="Q585" s="10" t="str">
        <f t="shared" si="784"/>
        <v>OutubroSEMANA 2Saco de Lixo 20 Lt</v>
      </c>
      <c r="R585" s="7">
        <f>SUMIF(NF!$A:$A,$Q585,NF!$I:$I)</f>
        <v>0</v>
      </c>
      <c r="S585" s="6"/>
      <c r="T585" s="6"/>
      <c r="U585" s="6"/>
      <c r="V585" s="6"/>
      <c r="W585" s="6"/>
      <c r="X585" s="6"/>
      <c r="Y585" s="6"/>
      <c r="Z585" s="7">
        <f t="shared" si="822"/>
        <v>0</v>
      </c>
      <c r="AA585" s="11">
        <f t="shared" si="786"/>
        <v>2</v>
      </c>
      <c r="AB585" s="25"/>
      <c r="AC585" s="10" t="str">
        <f t="shared" si="787"/>
        <v>OutubroSEMANA 3Saco de Lixo 20 Lt</v>
      </c>
      <c r="AD585" s="7">
        <f>SUMIF(NF!$A:$A,$AC585,NF!$I:$I)</f>
        <v>0</v>
      </c>
      <c r="AE585" s="6"/>
      <c r="AF585" s="6"/>
      <c r="AG585" s="6"/>
      <c r="AH585" s="6"/>
      <c r="AI585" s="6"/>
      <c r="AJ585" s="6"/>
      <c r="AK585" s="6"/>
      <c r="AL585" s="7">
        <f t="shared" si="823"/>
        <v>0</v>
      </c>
      <c r="AM585" s="11">
        <f t="shared" si="789"/>
        <v>2</v>
      </c>
      <c r="AN585" s="25"/>
      <c r="AO585" s="10" t="str">
        <f t="shared" si="790"/>
        <v>OutubroSEMANA 4Saco de Lixo 20 Lt</v>
      </c>
      <c r="AP585" s="7">
        <f>SUMIF(NF!$A:$A,$AO585,NF!$I:$I)</f>
        <v>0</v>
      </c>
      <c r="AQ585" s="6"/>
      <c r="AR585" s="6"/>
      <c r="AS585" s="6">
        <v>1</v>
      </c>
      <c r="AT585" s="6"/>
      <c r="AU585" s="6"/>
      <c r="AV585" s="6"/>
      <c r="AW585" s="6"/>
      <c r="AX585" s="7">
        <f t="shared" si="824"/>
        <v>1</v>
      </c>
      <c r="AY585" s="11">
        <f t="shared" si="792"/>
        <v>1</v>
      </c>
      <c r="AZ585" s="25"/>
      <c r="BA585" s="10" t="str">
        <f t="shared" si="793"/>
        <v>OutubroSEMANA 5Saco de Lixo 20 Lt</v>
      </c>
      <c r="BB585" s="7">
        <f>SUMIF(NF!$A:$A,$BA585,NF!$I:$I)</f>
        <v>0</v>
      </c>
      <c r="BC585" s="6"/>
      <c r="BD585" s="6"/>
      <c r="BE585" s="6"/>
      <c r="BF585" s="74"/>
      <c r="BG585" s="74"/>
      <c r="BH585" s="74"/>
      <c r="BI585" s="74"/>
      <c r="BJ585" s="74"/>
      <c r="BK585" s="7">
        <f t="shared" si="825"/>
        <v>0</v>
      </c>
      <c r="BL585" s="8">
        <f t="shared" si="795"/>
        <v>1</v>
      </c>
      <c r="BM585" s="51" t="str">
        <f>IFERROR(VLOOKUP(A585,NF!$M:$O,3,0),"")</f>
        <v>Limpeza</v>
      </c>
      <c r="BN585" s="7">
        <f t="shared" si="796"/>
        <v>1</v>
      </c>
      <c r="BO585" s="8">
        <f t="array" ref="BO585">IFERROR(LARGE(IF(NF!$G$2:$G$3137='Mês atual'!A585,NF!$J$2:$J$3137),1),0)*BN585</f>
        <v>8.4</v>
      </c>
      <c r="BP585" s="50"/>
      <c r="BR585" s="147">
        <f t="array" ref="BR585">IFERROR(LARGE(IF(NF!$G$2:$G$3137='Mês atual'!A585,NF!$J$2:$J$3137),1),0)</f>
        <v>8.4</v>
      </c>
      <c r="BS585" s="143" t="str">
        <f>VLOOKUP(A585,NF!M:O,3,0)</f>
        <v>Limpeza</v>
      </c>
    </row>
    <row r="586" spans="1:71" x14ac:dyDescent="0.25">
      <c r="A586" s="108" t="s">
        <v>712</v>
      </c>
      <c r="B586" s="12"/>
      <c r="C586" s="9">
        <v>3</v>
      </c>
      <c r="D586" s="25"/>
      <c r="E586" s="10" t="str">
        <f t="shared" si="781"/>
        <v>OutubroSEMANA 1Saco de Lixo 200 Lt</v>
      </c>
      <c r="F586" s="7">
        <f>SUMIF(NF!$A:$A,$E586,NF!$I:$I)</f>
        <v>1</v>
      </c>
      <c r="G586" s="6"/>
      <c r="H586" s="6"/>
      <c r="I586" s="6">
        <v>1</v>
      </c>
      <c r="J586" s="6"/>
      <c r="K586" s="6"/>
      <c r="L586" s="6"/>
      <c r="M586" s="6"/>
      <c r="N586" s="7">
        <f t="shared" si="821"/>
        <v>1</v>
      </c>
      <c r="O586" s="11">
        <f t="shared" si="783"/>
        <v>3</v>
      </c>
      <c r="P586" s="25"/>
      <c r="Q586" s="10" t="str">
        <f t="shared" si="784"/>
        <v>OutubroSEMANA 2Saco de Lixo 200 Lt</v>
      </c>
      <c r="R586" s="7">
        <f>SUMIF(NF!$A:$A,$Q586,NF!$I:$I)</f>
        <v>0</v>
      </c>
      <c r="S586" s="6">
        <v>1</v>
      </c>
      <c r="T586" s="6"/>
      <c r="U586" s="6"/>
      <c r="V586" s="6"/>
      <c r="W586" s="6"/>
      <c r="X586" s="6"/>
      <c r="Y586" s="6">
        <v>1</v>
      </c>
      <c r="Z586" s="7">
        <f t="shared" si="822"/>
        <v>2</v>
      </c>
      <c r="AA586" s="11">
        <f t="shared" si="786"/>
        <v>1</v>
      </c>
      <c r="AB586" s="25"/>
      <c r="AC586" s="10" t="str">
        <f t="shared" si="787"/>
        <v>OutubroSEMANA 3Saco de Lixo 200 Lt</v>
      </c>
      <c r="AD586" s="7">
        <f>SUMIF(NF!$A:$A,$AC586,NF!$I:$I)</f>
        <v>3</v>
      </c>
      <c r="AE586" s="6"/>
      <c r="AF586" s="6"/>
      <c r="AG586" s="6"/>
      <c r="AH586" s="6"/>
      <c r="AI586" s="6"/>
      <c r="AJ586" s="6"/>
      <c r="AK586" s="6">
        <v>1</v>
      </c>
      <c r="AL586" s="7">
        <f t="shared" si="823"/>
        <v>1</v>
      </c>
      <c r="AM586" s="11">
        <f t="shared" si="789"/>
        <v>3</v>
      </c>
      <c r="AN586" s="25"/>
      <c r="AO586" s="10" t="str">
        <f t="shared" si="790"/>
        <v>OutubroSEMANA 4Saco de Lixo 200 Lt</v>
      </c>
      <c r="AP586" s="7">
        <f>SUMIF(NF!$A:$A,$AO586,NF!$I:$I)</f>
        <v>0</v>
      </c>
      <c r="AQ586" s="6"/>
      <c r="AR586" s="6"/>
      <c r="AS586" s="6"/>
      <c r="AT586" s="6"/>
      <c r="AU586" s="6"/>
      <c r="AV586" s="6">
        <v>1</v>
      </c>
      <c r="AW586" s="6"/>
      <c r="AX586" s="7">
        <f t="shared" si="824"/>
        <v>1</v>
      </c>
      <c r="AY586" s="11">
        <f t="shared" si="792"/>
        <v>2</v>
      </c>
      <c r="AZ586" s="25"/>
      <c r="BA586" s="10" t="str">
        <f t="shared" si="793"/>
        <v>OutubroSEMANA 5Saco de Lixo 200 Lt</v>
      </c>
      <c r="BB586" s="7">
        <f>SUMIF(NF!$A:$A,$BA586,NF!$I:$I)</f>
        <v>0</v>
      </c>
      <c r="BC586" s="6"/>
      <c r="BD586" s="6"/>
      <c r="BE586" s="6"/>
      <c r="BF586" s="74"/>
      <c r="BG586" s="74"/>
      <c r="BH586" s="74"/>
      <c r="BI586" s="74"/>
      <c r="BJ586" s="74"/>
      <c r="BK586" s="7">
        <f t="shared" si="825"/>
        <v>0</v>
      </c>
      <c r="BL586" s="8">
        <f t="shared" si="795"/>
        <v>2</v>
      </c>
      <c r="BM586" s="51" t="str">
        <f>IFERROR(VLOOKUP(A586,NF!$M:$O,3,0),"")</f>
        <v>Limpeza</v>
      </c>
      <c r="BN586" s="7">
        <f t="shared" si="796"/>
        <v>5</v>
      </c>
      <c r="BO586" s="8">
        <f t="array" ref="BO586">IFERROR(LARGE(IF(NF!$G$2:$G$3137='Mês atual'!A586,NF!$J$2:$J$3137),1),0)*BN586</f>
        <v>240.95</v>
      </c>
      <c r="BP586" s="50"/>
      <c r="BR586" s="147">
        <f t="array" ref="BR586">IFERROR(LARGE(IF(NF!$G$2:$G$3137='Mês atual'!A586,NF!$J$2:$J$3137),1),0)</f>
        <v>48.19</v>
      </c>
      <c r="BS586" s="143" t="str">
        <f>VLOOKUP(A586,NF!M:O,3,0)</f>
        <v>Limpeza</v>
      </c>
    </row>
    <row r="587" spans="1:71" x14ac:dyDescent="0.25">
      <c r="A587" s="108" t="s">
        <v>713</v>
      </c>
      <c r="B587" s="12"/>
      <c r="C587" s="9">
        <v>2</v>
      </c>
      <c r="D587" s="25"/>
      <c r="E587" s="10" t="str">
        <f t="shared" si="781"/>
        <v>OutubroSEMANA 1Saco de Lixo 300 Lt</v>
      </c>
      <c r="F587" s="7">
        <f>SUMIF(NF!$A:$A,$E587,NF!$I:$I)</f>
        <v>0</v>
      </c>
      <c r="G587" s="6"/>
      <c r="H587" s="6"/>
      <c r="I587" s="6"/>
      <c r="J587" s="6"/>
      <c r="K587" s="6">
        <v>1</v>
      </c>
      <c r="L587" s="6"/>
      <c r="M587" s="6"/>
      <c r="N587" s="7">
        <f t="shared" si="821"/>
        <v>1</v>
      </c>
      <c r="O587" s="11">
        <f t="shared" si="783"/>
        <v>1</v>
      </c>
      <c r="P587" s="25"/>
      <c r="Q587" s="10" t="str">
        <f t="shared" si="784"/>
        <v>OutubroSEMANA 2Saco de Lixo 300 Lt</v>
      </c>
      <c r="R587" s="7">
        <f>SUMIF(NF!$A:$A,$Q587,NF!$I:$I)</f>
        <v>0</v>
      </c>
      <c r="S587" s="6"/>
      <c r="T587" s="6"/>
      <c r="U587" s="6"/>
      <c r="V587" s="6"/>
      <c r="W587" s="6"/>
      <c r="X587" s="6"/>
      <c r="Y587" s="6"/>
      <c r="Z587" s="7">
        <f t="shared" si="822"/>
        <v>0</v>
      </c>
      <c r="AA587" s="11">
        <f t="shared" si="786"/>
        <v>1</v>
      </c>
      <c r="AB587" s="25"/>
      <c r="AC587" s="10" t="str">
        <f t="shared" si="787"/>
        <v>OutubroSEMANA 3Saco de Lixo 300 Lt</v>
      </c>
      <c r="AD587" s="7">
        <f>SUMIF(NF!$A:$A,$AC587,NF!$I:$I)</f>
        <v>1</v>
      </c>
      <c r="AE587" s="6"/>
      <c r="AF587" s="6"/>
      <c r="AG587" s="6"/>
      <c r="AH587" s="6"/>
      <c r="AI587" s="6"/>
      <c r="AJ587" s="6"/>
      <c r="AK587" s="6"/>
      <c r="AL587" s="7">
        <f t="shared" si="823"/>
        <v>0</v>
      </c>
      <c r="AM587" s="11">
        <f t="shared" si="789"/>
        <v>2</v>
      </c>
      <c r="AN587" s="25"/>
      <c r="AO587" s="10" t="str">
        <f t="shared" si="790"/>
        <v>OutubroSEMANA 4Saco de Lixo 300 Lt</v>
      </c>
      <c r="AP587" s="7">
        <f>SUMIF(NF!$A:$A,$AO587,NF!$I:$I)</f>
        <v>0</v>
      </c>
      <c r="AQ587" s="6"/>
      <c r="AR587" s="6">
        <v>1</v>
      </c>
      <c r="AS587" s="6"/>
      <c r="AT587" s="6"/>
      <c r="AU587" s="6"/>
      <c r="AV587" s="6"/>
      <c r="AW587" s="6"/>
      <c r="AX587" s="7">
        <f t="shared" si="824"/>
        <v>1</v>
      </c>
      <c r="AY587" s="11">
        <f t="shared" si="792"/>
        <v>1</v>
      </c>
      <c r="AZ587" s="25"/>
      <c r="BA587" s="10" t="str">
        <f t="shared" si="793"/>
        <v>OutubroSEMANA 5Saco de Lixo 300 Lt</v>
      </c>
      <c r="BB587" s="7">
        <f>SUMIF(NF!$A:$A,$BA587,NF!$I:$I)</f>
        <v>0</v>
      </c>
      <c r="BC587" s="6"/>
      <c r="BD587" s="6"/>
      <c r="BE587" s="6"/>
      <c r="BF587" s="74"/>
      <c r="BG587" s="74"/>
      <c r="BH587" s="74"/>
      <c r="BI587" s="74"/>
      <c r="BJ587" s="74"/>
      <c r="BK587" s="7">
        <f t="shared" si="825"/>
        <v>0</v>
      </c>
      <c r="BL587" s="8">
        <f t="shared" si="795"/>
        <v>1</v>
      </c>
      <c r="BM587" s="51" t="str">
        <f>IFERROR(VLOOKUP(A587,NF!$M:$O,3,0),"")</f>
        <v>Limpeza</v>
      </c>
      <c r="BN587" s="7">
        <f t="shared" si="796"/>
        <v>2</v>
      </c>
      <c r="BO587" s="8">
        <f t="array" ref="BO587">IFERROR(LARGE(IF(NF!$G$2:$G$3137='Mês atual'!A587,NF!$J$2:$J$3137),1),0)*BN587</f>
        <v>247.96</v>
      </c>
      <c r="BP587" s="50"/>
      <c r="BR587" s="147">
        <f t="array" ref="BR587">IFERROR(LARGE(IF(NF!$G$2:$G$3137='Mês atual'!A587,NF!$J$2:$J$3137),1),0)</f>
        <v>123.98</v>
      </c>
      <c r="BS587" s="143" t="str">
        <f>VLOOKUP(A587,NF!M:O,3,0)</f>
        <v>Limpeza</v>
      </c>
    </row>
    <row r="588" spans="1:71" x14ac:dyDescent="0.25">
      <c r="A588" s="108" t="s">
        <v>714</v>
      </c>
      <c r="B588" s="12"/>
      <c r="C588" s="9">
        <v>2</v>
      </c>
      <c r="D588" s="25"/>
      <c r="E588" s="10" t="str">
        <f t="shared" si="781"/>
        <v>OutubroSEMANA 1Saco de Lixo 60 Lt</v>
      </c>
      <c r="F588" s="7">
        <f>SUMIF(NF!$A:$A,$E588,NF!$I:$I)</f>
        <v>0</v>
      </c>
      <c r="G588" s="6"/>
      <c r="H588" s="6"/>
      <c r="I588" s="6"/>
      <c r="J588" s="6"/>
      <c r="K588" s="6"/>
      <c r="L588" s="6"/>
      <c r="M588" s="6"/>
      <c r="N588" s="7">
        <f t="shared" si="821"/>
        <v>0</v>
      </c>
      <c r="O588" s="11">
        <f t="shared" si="783"/>
        <v>2</v>
      </c>
      <c r="P588" s="25"/>
      <c r="Q588" s="10" t="str">
        <f t="shared" si="784"/>
        <v>OutubroSEMANA 2Saco de Lixo 60 Lt</v>
      </c>
      <c r="R588" s="7">
        <f>SUMIF(NF!$A:$A,$Q588,NF!$I:$I)</f>
        <v>0</v>
      </c>
      <c r="S588" s="6">
        <v>1</v>
      </c>
      <c r="T588" s="6"/>
      <c r="U588" s="6"/>
      <c r="V588" s="6"/>
      <c r="W588" s="6"/>
      <c r="X588" s="6"/>
      <c r="Y588" s="6"/>
      <c r="Z588" s="7">
        <f t="shared" si="822"/>
        <v>1</v>
      </c>
      <c r="AA588" s="11">
        <f t="shared" si="786"/>
        <v>1</v>
      </c>
      <c r="AB588" s="25"/>
      <c r="AC588" s="10" t="str">
        <f t="shared" si="787"/>
        <v>OutubroSEMANA 3Saco de Lixo 60 Lt</v>
      </c>
      <c r="AD588" s="7">
        <f>SUMIF(NF!$A:$A,$AC588,NF!$I:$I)</f>
        <v>0</v>
      </c>
      <c r="AE588" s="6"/>
      <c r="AF588" s="6"/>
      <c r="AG588" s="6"/>
      <c r="AH588" s="6"/>
      <c r="AI588" s="6"/>
      <c r="AJ588" s="6"/>
      <c r="AK588" s="6"/>
      <c r="AL588" s="7">
        <f t="shared" si="823"/>
        <v>0</v>
      </c>
      <c r="AM588" s="11">
        <f t="shared" si="789"/>
        <v>1</v>
      </c>
      <c r="AN588" s="25"/>
      <c r="AO588" s="10" t="str">
        <f t="shared" si="790"/>
        <v>OutubroSEMANA 4Saco de Lixo 60 Lt</v>
      </c>
      <c r="AP588" s="7">
        <f>SUMIF(NF!$A:$A,$AO588,NF!$I:$I)</f>
        <v>0</v>
      </c>
      <c r="AQ588" s="6"/>
      <c r="AR588" s="6"/>
      <c r="AS588" s="6"/>
      <c r="AT588" s="6">
        <v>1</v>
      </c>
      <c r="AU588" s="6"/>
      <c r="AV588" s="6"/>
      <c r="AW588" s="6"/>
      <c r="AX588" s="7">
        <f t="shared" si="824"/>
        <v>1</v>
      </c>
      <c r="AY588" s="11">
        <f t="shared" si="792"/>
        <v>0</v>
      </c>
      <c r="AZ588" s="25"/>
      <c r="BA588" s="10" t="str">
        <f t="shared" si="793"/>
        <v>OutubroSEMANA 5Saco de Lixo 60 Lt</v>
      </c>
      <c r="BB588" s="7">
        <f>SUMIF(NF!$A:$A,$BA588,NF!$I:$I)</f>
        <v>0</v>
      </c>
      <c r="BC588" s="6"/>
      <c r="BD588" s="6"/>
      <c r="BE588" s="6"/>
      <c r="BF588" s="74"/>
      <c r="BG588" s="74"/>
      <c r="BH588" s="74"/>
      <c r="BI588" s="74"/>
      <c r="BJ588" s="74"/>
      <c r="BK588" s="7">
        <f t="shared" si="825"/>
        <v>0</v>
      </c>
      <c r="BL588" s="8">
        <f t="shared" si="795"/>
        <v>0</v>
      </c>
      <c r="BM588" s="51" t="str">
        <f>IFERROR(VLOOKUP(A588,NF!$M:$O,3,0),"")</f>
        <v>Limpeza</v>
      </c>
      <c r="BN588" s="7">
        <f t="shared" si="796"/>
        <v>2</v>
      </c>
      <c r="BO588" s="8">
        <f t="array" ref="BO588">IFERROR(LARGE(IF(NF!$G$2:$G$3137='Mês atual'!A588,NF!$J$2:$J$3137),1),0)*BN588</f>
        <v>0</v>
      </c>
      <c r="BP588" s="50"/>
      <c r="BR588" s="147">
        <f t="array" ref="BR588">IFERROR(LARGE(IF(NF!$G$2:$G$3137='Mês atual'!A588,NF!$J$2:$J$3137),1),0)</f>
        <v>0</v>
      </c>
      <c r="BS588" s="143" t="str">
        <f>VLOOKUP(A588,NF!M:O,3,0)</f>
        <v>Limpeza</v>
      </c>
    </row>
    <row r="589" spans="1:71" x14ac:dyDescent="0.25">
      <c r="A589" s="108" t="s">
        <v>734</v>
      </c>
      <c r="B589" s="12"/>
      <c r="C589" s="9">
        <v>2</v>
      </c>
      <c r="D589" s="25"/>
      <c r="E589" s="10" t="str">
        <f t="shared" si="781"/>
        <v>OutubroSEMANA 1Sapólio</v>
      </c>
      <c r="F589" s="7">
        <f>SUMIF(NF!$A:$A,$E589,NF!$I:$I)</f>
        <v>0</v>
      </c>
      <c r="G589" s="6"/>
      <c r="H589" s="6"/>
      <c r="I589" s="6"/>
      <c r="J589" s="6"/>
      <c r="K589" s="6"/>
      <c r="L589" s="6"/>
      <c r="M589" s="6"/>
      <c r="N589" s="7">
        <f t="shared" si="821"/>
        <v>0</v>
      </c>
      <c r="O589" s="11">
        <f t="shared" si="783"/>
        <v>2</v>
      </c>
      <c r="P589" s="25"/>
      <c r="Q589" s="10" t="str">
        <f t="shared" si="784"/>
        <v>OutubroSEMANA 2Sapólio</v>
      </c>
      <c r="R589" s="7">
        <f>SUMIF(NF!$A:$A,$Q589,NF!$I:$I)</f>
        <v>0</v>
      </c>
      <c r="S589" s="6"/>
      <c r="T589" s="6"/>
      <c r="U589" s="6"/>
      <c r="V589" s="6"/>
      <c r="W589" s="6"/>
      <c r="X589" s="6"/>
      <c r="Y589" s="6"/>
      <c r="Z589" s="7">
        <f t="shared" si="822"/>
        <v>0</v>
      </c>
      <c r="AA589" s="11">
        <f t="shared" si="786"/>
        <v>2</v>
      </c>
      <c r="AB589" s="25"/>
      <c r="AC589" s="10" t="str">
        <f t="shared" si="787"/>
        <v>OutubroSEMANA 3Sapólio</v>
      </c>
      <c r="AD589" s="7">
        <f>SUMIF(NF!$A:$A,$AC589,NF!$I:$I)</f>
        <v>0</v>
      </c>
      <c r="AE589" s="6"/>
      <c r="AF589" s="6"/>
      <c r="AG589" s="6"/>
      <c r="AH589" s="6"/>
      <c r="AI589" s="6"/>
      <c r="AJ589" s="6"/>
      <c r="AK589" s="6"/>
      <c r="AL589" s="7">
        <f t="shared" si="823"/>
        <v>0</v>
      </c>
      <c r="AM589" s="11">
        <f t="shared" si="789"/>
        <v>2</v>
      </c>
      <c r="AN589" s="25"/>
      <c r="AO589" s="10" t="str">
        <f t="shared" si="790"/>
        <v>OutubroSEMANA 4Sapólio</v>
      </c>
      <c r="AP589" s="7">
        <f>SUMIF(NF!$A:$A,$AO589,NF!$I:$I)</f>
        <v>0</v>
      </c>
      <c r="AQ589" s="6"/>
      <c r="AR589" s="6"/>
      <c r="AS589" s="6"/>
      <c r="AT589" s="6"/>
      <c r="AU589" s="6"/>
      <c r="AV589" s="6"/>
      <c r="AW589" s="6"/>
      <c r="AX589" s="7">
        <f t="shared" si="824"/>
        <v>0</v>
      </c>
      <c r="AY589" s="11">
        <f t="shared" si="792"/>
        <v>2</v>
      </c>
      <c r="AZ589" s="25"/>
      <c r="BA589" s="10" t="str">
        <f t="shared" si="793"/>
        <v>OutubroSEMANA 5Sapólio</v>
      </c>
      <c r="BB589" s="7">
        <f>SUMIF(NF!$A:$A,$BA589,NF!$I:$I)</f>
        <v>0</v>
      </c>
      <c r="BC589" s="6"/>
      <c r="BD589" s="6"/>
      <c r="BE589" s="6">
        <v>1</v>
      </c>
      <c r="BF589" s="74"/>
      <c r="BG589" s="74"/>
      <c r="BH589" s="74"/>
      <c r="BI589" s="74"/>
      <c r="BJ589" s="74"/>
      <c r="BK589" s="7">
        <f t="shared" si="825"/>
        <v>1</v>
      </c>
      <c r="BL589" s="8">
        <f t="shared" si="795"/>
        <v>1</v>
      </c>
      <c r="BM589" s="51" t="str">
        <f>IFERROR(VLOOKUP(A589,NF!$M:$O,3,0),"")</f>
        <v>Limpeza</v>
      </c>
      <c r="BN589" s="7">
        <f t="shared" si="796"/>
        <v>1</v>
      </c>
      <c r="BO589" s="8">
        <f t="array" ref="BO589">IFERROR(LARGE(IF(NF!$G$2:$G$3137='Mês atual'!A589,NF!$J$2:$J$3137),1),0)*BN589</f>
        <v>0</v>
      </c>
      <c r="BP589" s="50"/>
      <c r="BR589" s="147">
        <f t="array" ref="BR589">IFERROR(LARGE(IF(NF!$G$2:$G$3137='Mês atual'!A589,NF!$J$2:$J$3137),1),0)</f>
        <v>0</v>
      </c>
      <c r="BS589" s="143" t="str">
        <f>VLOOKUP(A589,NF!M:O,3,0)</f>
        <v>Limpeza</v>
      </c>
    </row>
    <row r="590" spans="1:71" x14ac:dyDescent="0.25">
      <c r="A590" s="108" t="s">
        <v>747</v>
      </c>
      <c r="B590" s="12"/>
      <c r="C590" s="9">
        <v>1</v>
      </c>
      <c r="D590" s="25"/>
      <c r="E590" s="10" t="str">
        <f t="shared" si="781"/>
        <v>OutubroSEMANA 1Silver Power Talher</v>
      </c>
      <c r="F590" s="7">
        <f>SUMIF(NF!$A:$A,$E590,NF!$I:$I)</f>
        <v>0</v>
      </c>
      <c r="G590" s="6"/>
      <c r="H590" s="6"/>
      <c r="I590" s="6"/>
      <c r="J590" s="6"/>
      <c r="K590" s="6"/>
      <c r="L590" s="6"/>
      <c r="M590" s="6"/>
      <c r="N590" s="7">
        <f t="shared" si="821"/>
        <v>0</v>
      </c>
      <c r="O590" s="11">
        <f t="shared" si="783"/>
        <v>1</v>
      </c>
      <c r="P590" s="25"/>
      <c r="Q590" s="10" t="str">
        <f t="shared" si="784"/>
        <v>OutubroSEMANA 2Silver Power Talher</v>
      </c>
      <c r="R590" s="7">
        <f>SUMIF(NF!$A:$A,$Q590,NF!$I:$I)</f>
        <v>0</v>
      </c>
      <c r="S590" s="6"/>
      <c r="T590" s="6"/>
      <c r="U590" s="6"/>
      <c r="V590" s="6"/>
      <c r="W590" s="6"/>
      <c r="X590" s="6"/>
      <c r="Y590" s="6"/>
      <c r="Z590" s="7">
        <f t="shared" si="822"/>
        <v>0</v>
      </c>
      <c r="AA590" s="11">
        <f t="shared" si="786"/>
        <v>1</v>
      </c>
      <c r="AB590" s="25"/>
      <c r="AC590" s="10" t="str">
        <f t="shared" si="787"/>
        <v>OutubroSEMANA 3Silver Power Talher</v>
      </c>
      <c r="AD590" s="7">
        <f>SUMIF(NF!$A:$A,$AC590,NF!$I:$I)</f>
        <v>0</v>
      </c>
      <c r="AE590" s="6"/>
      <c r="AF590" s="6">
        <v>1</v>
      </c>
      <c r="AG590" s="6"/>
      <c r="AH590" s="6"/>
      <c r="AI590" s="6"/>
      <c r="AJ590" s="6"/>
      <c r="AK590" s="6"/>
      <c r="AL590" s="7">
        <f t="shared" si="823"/>
        <v>1</v>
      </c>
      <c r="AM590" s="11">
        <f t="shared" si="789"/>
        <v>0</v>
      </c>
      <c r="AN590" s="25"/>
      <c r="AO590" s="10" t="str">
        <f t="shared" si="790"/>
        <v>OutubroSEMANA 4Silver Power Talher</v>
      </c>
      <c r="AP590" s="7">
        <f>SUMIF(NF!$A:$A,$AO590,NF!$I:$I)</f>
        <v>2</v>
      </c>
      <c r="AQ590" s="6"/>
      <c r="AR590" s="6"/>
      <c r="AS590" s="6"/>
      <c r="AT590" s="6"/>
      <c r="AU590" s="6"/>
      <c r="AV590" s="6"/>
      <c r="AW590" s="6"/>
      <c r="AX590" s="7">
        <f t="shared" si="824"/>
        <v>0</v>
      </c>
      <c r="AY590" s="11">
        <f t="shared" si="792"/>
        <v>2</v>
      </c>
      <c r="AZ590" s="25"/>
      <c r="BA590" s="10" t="str">
        <f t="shared" si="793"/>
        <v>OutubroSEMANA 5Silver Power Talher</v>
      </c>
      <c r="BB590" s="7">
        <f>SUMIF(NF!$A:$A,$BA590,NF!$I:$I)</f>
        <v>0</v>
      </c>
      <c r="BC590" s="6"/>
      <c r="BD590" s="6"/>
      <c r="BE590" s="6"/>
      <c r="BF590" s="74"/>
      <c r="BG590" s="74"/>
      <c r="BH590" s="74"/>
      <c r="BI590" s="74"/>
      <c r="BJ590" s="74"/>
      <c r="BK590" s="7">
        <f t="shared" si="825"/>
        <v>0</v>
      </c>
      <c r="BL590" s="8">
        <f t="shared" si="795"/>
        <v>2</v>
      </c>
      <c r="BM590" s="51" t="str">
        <f>IFERROR(VLOOKUP(A590,NF!$M:$O,3,0),"")</f>
        <v>Limpeza</v>
      </c>
      <c r="BN590" s="7">
        <f t="shared" si="796"/>
        <v>1</v>
      </c>
      <c r="BO590" s="8">
        <f t="array" ref="BO590">IFERROR(LARGE(IF(NF!$G$2:$G$3137='Mês atual'!A590,NF!$J$2:$J$3137),1),0)*BN590</f>
        <v>426.85</v>
      </c>
      <c r="BP590" s="50"/>
      <c r="BR590" s="147">
        <f t="array" ref="BR590">IFERROR(LARGE(IF(NF!$G$2:$G$3137='Mês atual'!A590,NF!$J$2:$J$3137),1),0)</f>
        <v>426.85</v>
      </c>
      <c r="BS590" s="143" t="str">
        <f>VLOOKUP(A590,NF!M:O,3,0)</f>
        <v>Limpeza</v>
      </c>
    </row>
    <row r="591" spans="1:71" x14ac:dyDescent="0.25">
      <c r="A591" s="108" t="s">
        <v>748</v>
      </c>
      <c r="B591" s="12"/>
      <c r="C591" s="9"/>
      <c r="D591" s="25"/>
      <c r="E591" s="10" t="str">
        <f t="shared" si="781"/>
        <v>OutubroSEMANA 1Solid Power (Lava Louça) 4 Kg</v>
      </c>
      <c r="F591" s="7">
        <f>SUMIF(NF!$A:$A,$E591,NF!$I:$I)</f>
        <v>0</v>
      </c>
      <c r="G591" s="6"/>
      <c r="H591" s="6"/>
      <c r="I591" s="6"/>
      <c r="J591" s="6"/>
      <c r="K591" s="6"/>
      <c r="L591" s="6"/>
      <c r="M591" s="6"/>
      <c r="N591" s="7">
        <f t="shared" si="821"/>
        <v>0</v>
      </c>
      <c r="O591" s="11">
        <f t="shared" si="783"/>
        <v>0</v>
      </c>
      <c r="P591" s="25"/>
      <c r="Q591" s="10" t="str">
        <f t="shared" si="784"/>
        <v>OutubroSEMANA 2Solid Power (Lava Louça) 4 Kg</v>
      </c>
      <c r="R591" s="7">
        <f>SUMIF(NF!$A:$A,$Q591,NF!$I:$I)</f>
        <v>2</v>
      </c>
      <c r="S591" s="6"/>
      <c r="T591" s="6"/>
      <c r="U591" s="6"/>
      <c r="V591" s="6"/>
      <c r="W591" s="6"/>
      <c r="X591" s="6"/>
      <c r="Y591" s="6"/>
      <c r="Z591" s="7">
        <f t="shared" si="822"/>
        <v>0</v>
      </c>
      <c r="AA591" s="11">
        <f t="shared" si="786"/>
        <v>2</v>
      </c>
      <c r="AB591" s="25"/>
      <c r="AC591" s="10" t="str">
        <f t="shared" si="787"/>
        <v>OutubroSEMANA 3Solid Power (Lava Louça) 4 Kg</v>
      </c>
      <c r="AD591" s="7">
        <f>SUMIF(NF!$A:$A,$AC591,NF!$I:$I)</f>
        <v>0</v>
      </c>
      <c r="AE591" s="6">
        <v>1</v>
      </c>
      <c r="AF591" s="6"/>
      <c r="AG591" s="6"/>
      <c r="AH591" s="6"/>
      <c r="AI591" s="6"/>
      <c r="AJ591" s="6"/>
      <c r="AK591" s="6"/>
      <c r="AL591" s="7">
        <f t="shared" si="823"/>
        <v>1</v>
      </c>
      <c r="AM591" s="11">
        <f t="shared" si="789"/>
        <v>1</v>
      </c>
      <c r="AN591" s="25"/>
      <c r="AO591" s="10" t="str">
        <f t="shared" si="790"/>
        <v>OutubroSEMANA 4Solid Power (Lava Louça) 4 Kg</v>
      </c>
      <c r="AP591" s="7">
        <f>SUMIF(NF!$A:$A,$AO591,NF!$I:$I)</f>
        <v>0</v>
      </c>
      <c r="AQ591" s="6"/>
      <c r="AR591" s="6"/>
      <c r="AS591" s="6"/>
      <c r="AT591" s="6"/>
      <c r="AU591" s="6"/>
      <c r="AV591" s="6"/>
      <c r="AW591" s="6"/>
      <c r="AX591" s="7">
        <f t="shared" si="824"/>
        <v>0</v>
      </c>
      <c r="AY591" s="11">
        <f t="shared" si="792"/>
        <v>1</v>
      </c>
      <c r="AZ591" s="25"/>
      <c r="BA591" s="10" t="str">
        <f t="shared" si="793"/>
        <v>OutubroSEMANA 5Solid Power (Lava Louça) 4 Kg</v>
      </c>
      <c r="BB591" s="7">
        <f>SUMIF(NF!$A:$A,$BA591,NF!$I:$I)</f>
        <v>0</v>
      </c>
      <c r="BC591" s="6"/>
      <c r="BD591" s="6"/>
      <c r="BE591" s="6"/>
      <c r="BF591" s="74"/>
      <c r="BG591" s="74"/>
      <c r="BH591" s="74"/>
      <c r="BI591" s="74"/>
      <c r="BJ591" s="74"/>
      <c r="BK591" s="7">
        <f t="shared" si="825"/>
        <v>0</v>
      </c>
      <c r="BL591" s="8">
        <f t="shared" si="795"/>
        <v>1</v>
      </c>
      <c r="BM591" s="51" t="str">
        <f>IFERROR(VLOOKUP(A591,NF!$M:$O,3,0),"")</f>
        <v>Limpeza</v>
      </c>
      <c r="BN591" s="7">
        <f t="shared" si="796"/>
        <v>1</v>
      </c>
      <c r="BO591" s="8">
        <f t="array" ref="BO591">IFERROR(LARGE(IF(NF!$G$2:$G$3137='Mês atual'!A591,NF!$J$2:$J$3137),1),0)*BN591</f>
        <v>529.07500000000005</v>
      </c>
      <c r="BP591" s="50"/>
      <c r="BR591" s="147">
        <f t="array" ref="BR591">IFERROR(LARGE(IF(NF!$G$2:$G$3137='Mês atual'!A591,NF!$J$2:$J$3137),1),0)</f>
        <v>529.07500000000005</v>
      </c>
      <c r="BS591" s="143" t="str">
        <f>VLOOKUP(A591,NF!M:O,3,0)</f>
        <v>Limpeza</v>
      </c>
    </row>
    <row r="592" spans="1:71" x14ac:dyDescent="0.25">
      <c r="A592" s="108" t="s">
        <v>803</v>
      </c>
      <c r="B592" s="12"/>
      <c r="C592" s="9">
        <v>1</v>
      </c>
      <c r="D592" s="25"/>
      <c r="E592" s="10" t="str">
        <f t="shared" si="781"/>
        <v>OutubroSEMANA 1Top Mat Bb 5 Lt</v>
      </c>
      <c r="F592" s="7">
        <f>SUMIF(NF!$A:$A,$E592,NF!$I:$I)</f>
        <v>0</v>
      </c>
      <c r="G592" s="6"/>
      <c r="H592" s="6"/>
      <c r="I592" s="6"/>
      <c r="J592" s="6"/>
      <c r="K592" s="6"/>
      <c r="L592" s="6"/>
      <c r="M592" s="6"/>
      <c r="N592" s="7">
        <f t="shared" si="821"/>
        <v>0</v>
      </c>
      <c r="O592" s="11">
        <f t="shared" si="783"/>
        <v>1</v>
      </c>
      <c r="P592" s="25"/>
      <c r="Q592" s="10" t="str">
        <f t="shared" si="784"/>
        <v>OutubroSEMANA 2Top Mat Bb 5 Lt</v>
      </c>
      <c r="R592" s="7">
        <f>SUMIF(NF!$A:$A,$Q592,NF!$I:$I)</f>
        <v>0</v>
      </c>
      <c r="S592" s="6"/>
      <c r="T592" s="6"/>
      <c r="U592" s="6"/>
      <c r="V592" s="6"/>
      <c r="W592" s="6"/>
      <c r="X592" s="6">
        <v>1</v>
      </c>
      <c r="Y592" s="6"/>
      <c r="Z592" s="7">
        <f t="shared" si="822"/>
        <v>1</v>
      </c>
      <c r="AA592" s="11">
        <f t="shared" si="786"/>
        <v>0</v>
      </c>
      <c r="AB592" s="25"/>
      <c r="AC592" s="10" t="str">
        <f t="shared" si="787"/>
        <v>OutubroSEMANA 3Top Mat Bb 5 Lt</v>
      </c>
      <c r="AD592" s="7">
        <f>SUMIF(NF!$A:$A,$AC592,NF!$I:$I)</f>
        <v>0</v>
      </c>
      <c r="AE592" s="6"/>
      <c r="AF592" s="6"/>
      <c r="AG592" s="6"/>
      <c r="AH592" s="6"/>
      <c r="AI592" s="6"/>
      <c r="AJ592" s="6"/>
      <c r="AK592" s="6"/>
      <c r="AL592" s="7">
        <f t="shared" si="823"/>
        <v>0</v>
      </c>
      <c r="AM592" s="11">
        <f t="shared" si="789"/>
        <v>0</v>
      </c>
      <c r="AN592" s="25"/>
      <c r="AO592" s="10" t="str">
        <f t="shared" si="790"/>
        <v>OutubroSEMANA 4Top Mat Bb 5 Lt</v>
      </c>
      <c r="AP592" s="7">
        <f>SUMIF(NF!$A:$A,$AO592,NF!$I:$I)</f>
        <v>0</v>
      </c>
      <c r="AQ592" s="6"/>
      <c r="AR592" s="6"/>
      <c r="AS592" s="6"/>
      <c r="AT592" s="6"/>
      <c r="AU592" s="6"/>
      <c r="AV592" s="6"/>
      <c r="AW592" s="6"/>
      <c r="AX592" s="7">
        <f t="shared" si="824"/>
        <v>0</v>
      </c>
      <c r="AY592" s="11">
        <f t="shared" si="792"/>
        <v>0</v>
      </c>
      <c r="AZ592" s="25"/>
      <c r="BA592" s="10" t="str">
        <f t="shared" si="793"/>
        <v>OutubroSEMANA 5Top Mat Bb 5 Lt</v>
      </c>
      <c r="BB592" s="7">
        <f>SUMIF(NF!$A:$A,$BA592,NF!$I:$I)</f>
        <v>0</v>
      </c>
      <c r="BC592" s="6"/>
      <c r="BD592" s="6"/>
      <c r="BE592" s="6"/>
      <c r="BF592" s="74"/>
      <c r="BG592" s="74"/>
      <c r="BH592" s="74"/>
      <c r="BI592" s="74"/>
      <c r="BJ592" s="74"/>
      <c r="BK592" s="7">
        <f t="shared" si="825"/>
        <v>0</v>
      </c>
      <c r="BL592" s="8">
        <f t="shared" si="795"/>
        <v>0</v>
      </c>
      <c r="BM592" s="51" t="str">
        <f>IFERROR(VLOOKUP(A592,NF!$M:$O,3,0),"")</f>
        <v>Limpeza</v>
      </c>
      <c r="BN592" s="7">
        <f t="shared" si="796"/>
        <v>1</v>
      </c>
      <c r="BO592" s="8">
        <f t="array" ref="BO592">IFERROR(LARGE(IF(NF!$G$2:$G$3137='Mês atual'!A592,NF!$J$2:$J$3137),1),0)*BN592</f>
        <v>0</v>
      </c>
      <c r="BP592" s="50"/>
      <c r="BR592" s="147">
        <f t="array" ref="BR592">IFERROR(LARGE(IF(NF!$G$2:$G$3137='Mês atual'!A592,NF!$J$2:$J$3137),1),0)</f>
        <v>0</v>
      </c>
      <c r="BS592" s="143" t="str">
        <f>VLOOKUP(A592,NF!M:O,3,0)</f>
        <v>Limpeza</v>
      </c>
    </row>
    <row r="593" spans="1:74" x14ac:dyDescent="0.25">
      <c r="A593" s="108" t="s">
        <v>834</v>
      </c>
      <c r="B593" s="12"/>
      <c r="C593" s="9">
        <v>2</v>
      </c>
      <c r="D593" s="25"/>
      <c r="E593" s="10" t="str">
        <f t="shared" si="781"/>
        <v>OutubroSEMANA 1Vassoura Gari 40 cm</v>
      </c>
      <c r="F593" s="7">
        <f>SUMIF(NF!$A:$A,$E593,NF!$I:$I)</f>
        <v>0</v>
      </c>
      <c r="G593" s="6"/>
      <c r="H593" s="6"/>
      <c r="I593" s="6"/>
      <c r="J593" s="6"/>
      <c r="K593" s="6"/>
      <c r="L593" s="6"/>
      <c r="M593" s="6"/>
      <c r="N593" s="7">
        <f t="shared" si="821"/>
        <v>0</v>
      </c>
      <c r="O593" s="11">
        <f t="shared" si="783"/>
        <v>2</v>
      </c>
      <c r="P593" s="25"/>
      <c r="Q593" s="10" t="str">
        <f t="shared" si="784"/>
        <v>OutubroSEMANA 2Vassoura Gari 40 cm</v>
      </c>
      <c r="R593" s="7">
        <f>SUMIF(NF!$A:$A,$Q593,NF!$I:$I)</f>
        <v>0</v>
      </c>
      <c r="S593" s="6"/>
      <c r="T593" s="6"/>
      <c r="U593" s="6"/>
      <c r="V593" s="6"/>
      <c r="W593" s="6"/>
      <c r="X593" s="6"/>
      <c r="Y593" s="6"/>
      <c r="Z593" s="7">
        <f t="shared" si="822"/>
        <v>0</v>
      </c>
      <c r="AA593" s="11">
        <f t="shared" si="786"/>
        <v>2</v>
      </c>
      <c r="AB593" s="25"/>
      <c r="AC593" s="10" t="str">
        <f t="shared" si="787"/>
        <v>OutubroSEMANA 3Vassoura Gari 40 cm</v>
      </c>
      <c r="AD593" s="7">
        <f>SUMIF(NF!$A:$A,$AC593,NF!$I:$I)</f>
        <v>0</v>
      </c>
      <c r="AE593" s="6"/>
      <c r="AF593" s="6"/>
      <c r="AG593" s="6"/>
      <c r="AH593" s="6"/>
      <c r="AI593" s="6"/>
      <c r="AJ593" s="6"/>
      <c r="AK593" s="6"/>
      <c r="AL593" s="7">
        <f t="shared" si="823"/>
        <v>0</v>
      </c>
      <c r="AM593" s="11">
        <f t="shared" si="789"/>
        <v>2</v>
      </c>
      <c r="AN593" s="25"/>
      <c r="AO593" s="10" t="str">
        <f t="shared" si="790"/>
        <v>OutubroSEMANA 4Vassoura Gari 40 cm</v>
      </c>
      <c r="AP593" s="7">
        <f>SUMIF(NF!$A:$A,$AO593,NF!$I:$I)</f>
        <v>0</v>
      </c>
      <c r="AQ593" s="6"/>
      <c r="AR593" s="6"/>
      <c r="AS593" s="6"/>
      <c r="AT593" s="6"/>
      <c r="AU593" s="6"/>
      <c r="AV593" s="6"/>
      <c r="AW593" s="6"/>
      <c r="AX593" s="7">
        <f t="shared" si="824"/>
        <v>0</v>
      </c>
      <c r="AY593" s="11">
        <f t="shared" si="792"/>
        <v>2</v>
      </c>
      <c r="AZ593" s="25"/>
      <c r="BA593" s="10" t="str">
        <f t="shared" si="793"/>
        <v>OutubroSEMANA 5Vassoura Gari 40 cm</v>
      </c>
      <c r="BB593" s="7">
        <f>SUMIF(NF!$A:$A,$BA593,NF!$I:$I)</f>
        <v>0</v>
      </c>
      <c r="BC593" s="6"/>
      <c r="BD593" s="6"/>
      <c r="BE593" s="6"/>
      <c r="BF593" s="74"/>
      <c r="BG593" s="74"/>
      <c r="BH593" s="74"/>
      <c r="BI593" s="74"/>
      <c r="BJ593" s="74"/>
      <c r="BK593" s="7">
        <f t="shared" si="825"/>
        <v>0</v>
      </c>
      <c r="BL593" s="8">
        <f t="shared" si="795"/>
        <v>2</v>
      </c>
      <c r="BM593" s="51" t="str">
        <f>IFERROR(VLOOKUP(A593,NF!$M:$O,3,0),"")</f>
        <v>Limpeza</v>
      </c>
      <c r="BN593" s="7">
        <f t="shared" si="796"/>
        <v>0</v>
      </c>
      <c r="BO593" s="8">
        <f t="array" ref="BO593">IFERROR(LARGE(IF(NF!$G$2:$G$3137='Mês atual'!A593,NF!$J$2:$J$3137),1),0)*BN593</f>
        <v>0</v>
      </c>
      <c r="BP593" s="50"/>
      <c r="BR593" s="147">
        <f t="array" ref="BR593">IFERROR(LARGE(IF(NF!$G$2:$G$3137='Mês atual'!A593,NF!$J$2:$J$3137),1),0)</f>
        <v>0</v>
      </c>
      <c r="BS593" s="143" t="str">
        <f>VLOOKUP(A593,NF!M:O,3,0)</f>
        <v>Limpeza</v>
      </c>
    </row>
    <row r="594" spans="1:74" x14ac:dyDescent="0.25">
      <c r="A594" s="108" t="s">
        <v>835</v>
      </c>
      <c r="B594" s="12"/>
      <c r="C594" s="9">
        <v>2</v>
      </c>
      <c r="D594" s="25"/>
      <c r="E594" s="10" t="str">
        <f t="shared" si="781"/>
        <v>OutubroSEMANA 1Vassoura Nylon</v>
      </c>
      <c r="F594" s="7">
        <f>SUMIF(NF!$A:$A,$E594,NF!$I:$I)</f>
        <v>0</v>
      </c>
      <c r="G594" s="6"/>
      <c r="H594" s="6"/>
      <c r="I594" s="6"/>
      <c r="J594" s="6"/>
      <c r="K594" s="6">
        <v>1</v>
      </c>
      <c r="L594" s="6"/>
      <c r="M594" s="6"/>
      <c r="N594" s="7">
        <f t="shared" si="821"/>
        <v>1</v>
      </c>
      <c r="O594" s="11">
        <f t="shared" si="783"/>
        <v>1</v>
      </c>
      <c r="P594" s="25"/>
      <c r="Q594" s="10" t="str">
        <f t="shared" si="784"/>
        <v>OutubroSEMANA 2Vassoura Nylon</v>
      </c>
      <c r="R594" s="7">
        <f>SUMIF(NF!$A:$A,$Q594,NF!$I:$I)</f>
        <v>0</v>
      </c>
      <c r="S594" s="6"/>
      <c r="T594" s="6"/>
      <c r="U594" s="6"/>
      <c r="V594" s="6"/>
      <c r="W594" s="6"/>
      <c r="X594" s="6"/>
      <c r="Y594" s="6"/>
      <c r="Z594" s="7">
        <f t="shared" si="822"/>
        <v>0</v>
      </c>
      <c r="AA594" s="11">
        <f t="shared" si="786"/>
        <v>1</v>
      </c>
      <c r="AB594" s="25"/>
      <c r="AC594" s="10" t="str">
        <f t="shared" si="787"/>
        <v>OutubroSEMANA 3Vassoura Nylon</v>
      </c>
      <c r="AD594" s="7">
        <f>SUMIF(NF!$A:$A,$AC594,NF!$I:$I)</f>
        <v>0</v>
      </c>
      <c r="AE594" s="6"/>
      <c r="AF594" s="6"/>
      <c r="AG594" s="6"/>
      <c r="AH594" s="6"/>
      <c r="AI594" s="6"/>
      <c r="AJ594" s="6"/>
      <c r="AK594" s="6"/>
      <c r="AL594" s="7">
        <f t="shared" si="823"/>
        <v>0</v>
      </c>
      <c r="AM594" s="11">
        <f t="shared" si="789"/>
        <v>1</v>
      </c>
      <c r="AN594" s="25"/>
      <c r="AO594" s="10" t="str">
        <f t="shared" si="790"/>
        <v>OutubroSEMANA 4Vassoura Nylon</v>
      </c>
      <c r="AP594" s="7">
        <f>SUMIF(NF!$A:$A,$AO594,NF!$I:$I)</f>
        <v>0</v>
      </c>
      <c r="AQ594" s="6"/>
      <c r="AR594" s="6"/>
      <c r="AS594" s="6"/>
      <c r="AT594" s="6"/>
      <c r="AU594" s="6"/>
      <c r="AV594" s="6"/>
      <c r="AW594" s="6"/>
      <c r="AX594" s="7">
        <f t="shared" si="824"/>
        <v>0</v>
      </c>
      <c r="AY594" s="11">
        <f t="shared" si="792"/>
        <v>1</v>
      </c>
      <c r="AZ594" s="25"/>
      <c r="BA594" s="10" t="str">
        <f t="shared" si="793"/>
        <v>OutubroSEMANA 5Vassoura Nylon</v>
      </c>
      <c r="BB594" s="7">
        <f>SUMIF(NF!$A:$A,$BA594,NF!$I:$I)</f>
        <v>0</v>
      </c>
      <c r="BC594" s="6"/>
      <c r="BD594" s="6"/>
      <c r="BE594" s="6"/>
      <c r="BF594" s="74"/>
      <c r="BG594" s="74"/>
      <c r="BH594" s="74"/>
      <c r="BI594" s="74"/>
      <c r="BJ594" s="74"/>
      <c r="BK594" s="7">
        <f t="shared" si="825"/>
        <v>0</v>
      </c>
      <c r="BL594" s="8">
        <f t="shared" si="795"/>
        <v>1</v>
      </c>
      <c r="BM594" s="51" t="str">
        <f>IFERROR(VLOOKUP(A594,NF!$M:$O,3,0),"")</f>
        <v>Limpeza</v>
      </c>
      <c r="BN594" s="7">
        <f t="shared" si="796"/>
        <v>1</v>
      </c>
      <c r="BO594" s="8">
        <f t="array" ref="BO594">IFERROR(LARGE(IF(NF!$G$2:$G$3137='Mês atual'!A594,NF!$J$2:$J$3137),1),0)*BN594</f>
        <v>0</v>
      </c>
      <c r="BP594" s="50"/>
      <c r="BR594" s="147">
        <f t="array" ref="BR594">IFERROR(LARGE(IF(NF!$G$2:$G$3137='Mês atual'!A594,NF!$J$2:$J$3137),1),0)</f>
        <v>0</v>
      </c>
      <c r="BS594" s="143" t="str">
        <f>VLOOKUP(A594,NF!M:O,3,0)</f>
        <v>Limpeza</v>
      </c>
    </row>
    <row r="595" spans="1:74" x14ac:dyDescent="0.25">
      <c r="A595" s="108" t="s">
        <v>836</v>
      </c>
      <c r="B595" s="12"/>
      <c r="C595" s="9"/>
      <c r="D595" s="25"/>
      <c r="E595" s="10" t="str">
        <f t="shared" si="781"/>
        <v>OutubroSEMANA 1Veja Mult-Uso</v>
      </c>
      <c r="F595" s="7">
        <f>SUMIF(NF!$A:$A,$E595,NF!$I:$I)</f>
        <v>0</v>
      </c>
      <c r="G595" s="6"/>
      <c r="H595" s="6"/>
      <c r="I595" s="6"/>
      <c r="J595" s="6"/>
      <c r="K595" s="6"/>
      <c r="L595" s="6"/>
      <c r="M595" s="6"/>
      <c r="N595" s="7">
        <f t="shared" si="821"/>
        <v>0</v>
      </c>
      <c r="O595" s="11">
        <f t="shared" si="783"/>
        <v>0</v>
      </c>
      <c r="P595" s="25"/>
      <c r="Q595" s="10" t="str">
        <f t="shared" si="784"/>
        <v>OutubroSEMANA 2Veja Mult-Uso</v>
      </c>
      <c r="R595" s="7">
        <f>SUMIF(NF!$A:$A,$Q595,NF!$I:$I)</f>
        <v>0</v>
      </c>
      <c r="S595" s="6"/>
      <c r="T595" s="6"/>
      <c r="U595" s="6"/>
      <c r="V595" s="6"/>
      <c r="W595" s="6"/>
      <c r="X595" s="6"/>
      <c r="Y595" s="6"/>
      <c r="Z595" s="7">
        <f t="shared" si="822"/>
        <v>0</v>
      </c>
      <c r="AA595" s="11">
        <f t="shared" si="786"/>
        <v>0</v>
      </c>
      <c r="AB595" s="25"/>
      <c r="AC595" s="10" t="str">
        <f t="shared" si="787"/>
        <v>OutubroSEMANA 3Veja Mult-Uso</v>
      </c>
      <c r="AD595" s="7">
        <f>SUMIF(NF!$A:$A,$AC595,NF!$I:$I)</f>
        <v>0</v>
      </c>
      <c r="AE595" s="6"/>
      <c r="AF595" s="6"/>
      <c r="AG595" s="6"/>
      <c r="AH595" s="6"/>
      <c r="AI595" s="6"/>
      <c r="AJ595" s="6"/>
      <c r="AK595" s="6"/>
      <c r="AL595" s="7">
        <f t="shared" si="823"/>
        <v>0</v>
      </c>
      <c r="AM595" s="11">
        <f t="shared" si="789"/>
        <v>0</v>
      </c>
      <c r="AN595" s="25"/>
      <c r="AO595" s="10" t="str">
        <f t="shared" si="790"/>
        <v>OutubroSEMANA 4Veja Mult-Uso</v>
      </c>
      <c r="AP595" s="7">
        <f>SUMIF(NF!$A:$A,$AO595,NF!$I:$I)</f>
        <v>0</v>
      </c>
      <c r="AQ595" s="6"/>
      <c r="AR595" s="6"/>
      <c r="AS595" s="6"/>
      <c r="AT595" s="6"/>
      <c r="AU595" s="6"/>
      <c r="AV595" s="6"/>
      <c r="AW595" s="6"/>
      <c r="AX595" s="7">
        <f t="shared" si="824"/>
        <v>0</v>
      </c>
      <c r="AY595" s="11">
        <f t="shared" si="792"/>
        <v>0</v>
      </c>
      <c r="AZ595" s="25"/>
      <c r="BA595" s="10" t="str">
        <f t="shared" si="793"/>
        <v>OutubroSEMANA 5Veja Mult-Uso</v>
      </c>
      <c r="BB595" s="7">
        <f>SUMIF(NF!$A:$A,$BA595,NF!$I:$I)</f>
        <v>0</v>
      </c>
      <c r="BC595" s="6"/>
      <c r="BD595" s="6"/>
      <c r="BE595" s="6"/>
      <c r="BF595" s="74"/>
      <c r="BG595" s="74"/>
      <c r="BH595" s="74"/>
      <c r="BI595" s="74"/>
      <c r="BJ595" s="74"/>
      <c r="BK595" s="7">
        <f t="shared" si="825"/>
        <v>0</v>
      </c>
      <c r="BL595" s="8">
        <f t="shared" si="795"/>
        <v>0</v>
      </c>
      <c r="BM595" s="51" t="str">
        <f>IFERROR(VLOOKUP(A595,NF!$M:$O,3,0),"")</f>
        <v>Limpeza</v>
      </c>
      <c r="BN595" s="7">
        <f t="shared" si="796"/>
        <v>0</v>
      </c>
      <c r="BO595" s="8">
        <f t="array" ref="BO595">IFERROR(LARGE(IF(NF!$G$2:$G$3137='Mês atual'!A595,NF!$J$2:$J$3137),1),0)*BN595</f>
        <v>0</v>
      </c>
      <c r="BP595" s="50"/>
      <c r="BR595" s="147">
        <f t="array" ref="BR595">IFERROR(LARGE(IF(NF!$G$2:$G$3137='Mês atual'!A595,NF!$J$2:$J$3137),1),0)</f>
        <v>0</v>
      </c>
      <c r="BS595" s="143" t="str">
        <f>VLOOKUP(A595,NF!M:O,3,0)</f>
        <v>Limpeza</v>
      </c>
    </row>
    <row r="596" spans="1:74" x14ac:dyDescent="0.25">
      <c r="A596" s="108" t="s">
        <v>837</v>
      </c>
      <c r="B596" s="12"/>
      <c r="C596" s="9">
        <v>5</v>
      </c>
      <c r="D596" s="25"/>
      <c r="E596" s="10" t="str">
        <f t="shared" si="781"/>
        <v>OutubroSEMANA 1Vercom Detergente Bb 5 Lt</v>
      </c>
      <c r="F596" s="7">
        <f>SUMIF(NF!$A:$A,$E596,NF!$I:$I)</f>
        <v>0</v>
      </c>
      <c r="G596" s="6"/>
      <c r="H596" s="6"/>
      <c r="I596" s="6">
        <v>1</v>
      </c>
      <c r="J596" s="6"/>
      <c r="K596" s="6"/>
      <c r="L596" s="6"/>
      <c r="M596" s="6">
        <v>1</v>
      </c>
      <c r="N596" s="7">
        <f t="shared" si="821"/>
        <v>2</v>
      </c>
      <c r="O596" s="11">
        <f t="shared" si="783"/>
        <v>3</v>
      </c>
      <c r="P596" s="25"/>
      <c r="Q596" s="10" t="str">
        <f t="shared" si="784"/>
        <v>OutubroSEMANA 2Vercom Detergente Bb 5 Lt</v>
      </c>
      <c r="R596" s="7">
        <f>SUMIF(NF!$A:$A,$Q596,NF!$I:$I)</f>
        <v>2</v>
      </c>
      <c r="S596" s="6"/>
      <c r="T596" s="6"/>
      <c r="U596" s="6"/>
      <c r="V596" s="6"/>
      <c r="W596" s="6">
        <v>1</v>
      </c>
      <c r="X596" s="6"/>
      <c r="Y596" s="6"/>
      <c r="Z596" s="7">
        <f t="shared" si="822"/>
        <v>1</v>
      </c>
      <c r="AA596" s="11">
        <f t="shared" si="786"/>
        <v>4</v>
      </c>
      <c r="AB596" s="25"/>
      <c r="AC596" s="10" t="str">
        <f t="shared" si="787"/>
        <v>OutubroSEMANA 3Vercom Detergente Bb 5 Lt</v>
      </c>
      <c r="AD596" s="7">
        <f>SUMIF(NF!$A:$A,$AC596,NF!$I:$I)</f>
        <v>0</v>
      </c>
      <c r="AE596" s="6"/>
      <c r="AF596" s="6">
        <v>1</v>
      </c>
      <c r="AG596" s="6"/>
      <c r="AH596" s="6"/>
      <c r="AI596" s="6"/>
      <c r="AJ596" s="6"/>
      <c r="AK596" s="6">
        <v>1</v>
      </c>
      <c r="AL596" s="7">
        <f t="shared" si="823"/>
        <v>2</v>
      </c>
      <c r="AM596" s="11">
        <f t="shared" si="789"/>
        <v>2</v>
      </c>
      <c r="AN596" s="25"/>
      <c r="AO596" s="10" t="str">
        <f t="shared" si="790"/>
        <v>OutubroSEMANA 4Vercom Detergente Bb 5 Lt</v>
      </c>
      <c r="AP596" s="7">
        <f>SUMIF(NF!$A:$A,$AO596,NF!$I:$I)</f>
        <v>2</v>
      </c>
      <c r="AQ596" s="6"/>
      <c r="AR596" s="6"/>
      <c r="AS596" s="6"/>
      <c r="AT596" s="6">
        <v>1</v>
      </c>
      <c r="AU596" s="6"/>
      <c r="AV596" s="6"/>
      <c r="AW596" s="6"/>
      <c r="AX596" s="7">
        <f t="shared" si="824"/>
        <v>1</v>
      </c>
      <c r="AY596" s="11">
        <f t="shared" si="792"/>
        <v>3</v>
      </c>
      <c r="AZ596" s="25"/>
      <c r="BA596" s="10" t="str">
        <f t="shared" si="793"/>
        <v>OutubroSEMANA 5Vercom Detergente Bb 5 Lt</v>
      </c>
      <c r="BB596" s="7">
        <f>SUMIF(NF!$A:$A,$BA596,NF!$I:$I)</f>
        <v>0</v>
      </c>
      <c r="BC596" s="6"/>
      <c r="BD596" s="6">
        <v>1</v>
      </c>
      <c r="BE596" s="6"/>
      <c r="BF596" s="74"/>
      <c r="BG596" s="74"/>
      <c r="BH596" s="74"/>
      <c r="BI596" s="74"/>
      <c r="BJ596" s="74"/>
      <c r="BK596" s="7">
        <f t="shared" si="825"/>
        <v>1</v>
      </c>
      <c r="BL596" s="8">
        <f t="shared" si="795"/>
        <v>2</v>
      </c>
      <c r="BM596" s="51" t="str">
        <f>IFERROR(VLOOKUP(A596,NF!$M:$O,3,0),"")</f>
        <v>Limpeza</v>
      </c>
      <c r="BN596" s="7">
        <f t="shared" si="796"/>
        <v>7</v>
      </c>
      <c r="BO596" s="8">
        <f t="array" ref="BO596">IFERROR(LARGE(IF(NF!$G$2:$G$3137='Mês atual'!A596,NF!$J$2:$J$3137),1),0)*BN596</f>
        <v>857.43</v>
      </c>
      <c r="BP596" s="50"/>
      <c r="BR596" s="147">
        <f t="array" ref="BR596">IFERROR(LARGE(IF(NF!$G$2:$G$3137='Mês atual'!A596,NF!$J$2:$J$3137),1),0)</f>
        <v>122.49</v>
      </c>
      <c r="BS596" s="143" t="str">
        <f>VLOOKUP(A596,NF!M:O,3,0)</f>
        <v>Limpeza</v>
      </c>
    </row>
    <row r="597" spans="1:74" ht="15.75" thickBot="1" x14ac:dyDescent="0.3">
      <c r="A597" s="108" t="s">
        <v>871</v>
      </c>
      <c r="B597" s="12"/>
      <c r="C597" s="9"/>
      <c r="D597" s="25"/>
      <c r="E597" s="10" t="str">
        <f t="shared" si="781"/>
        <v>OutubroSEMANA 1Zix 40</v>
      </c>
      <c r="F597" s="7">
        <f>SUMIF(NF!$A:$A,$E597,NF!$I:$I)</f>
        <v>0</v>
      </c>
      <c r="G597" s="6"/>
      <c r="H597" s="6"/>
      <c r="I597" s="6"/>
      <c r="J597" s="6"/>
      <c r="K597" s="6"/>
      <c r="L597" s="6"/>
      <c r="M597" s="6"/>
      <c r="N597" s="7">
        <f t="shared" si="821"/>
        <v>0</v>
      </c>
      <c r="O597" s="11">
        <f t="shared" si="783"/>
        <v>0</v>
      </c>
      <c r="P597" s="25"/>
      <c r="Q597" s="10" t="str">
        <f t="shared" si="784"/>
        <v>OutubroSEMANA 2Zix 40</v>
      </c>
      <c r="R597" s="7">
        <f>SUMIF(NF!$A:$A,$Q597,NF!$I:$I)</f>
        <v>0</v>
      </c>
      <c r="S597" s="6"/>
      <c r="T597" s="6"/>
      <c r="U597" s="6"/>
      <c r="V597" s="6"/>
      <c r="W597" s="6"/>
      <c r="X597" s="6"/>
      <c r="Y597" s="6"/>
      <c r="Z597" s="7">
        <f t="shared" si="822"/>
        <v>0</v>
      </c>
      <c r="AA597" s="11">
        <f t="shared" si="786"/>
        <v>0</v>
      </c>
      <c r="AB597" s="25"/>
      <c r="AC597" s="10" t="str">
        <f t="shared" si="787"/>
        <v>OutubroSEMANA 3Zix 40</v>
      </c>
      <c r="AD597" s="7">
        <f>SUMIF(NF!$A:$A,$AC597,NF!$I:$I)</f>
        <v>0</v>
      </c>
      <c r="AE597" s="6"/>
      <c r="AF597" s="6"/>
      <c r="AG597" s="6"/>
      <c r="AH597" s="6"/>
      <c r="AI597" s="6"/>
      <c r="AJ597" s="6"/>
      <c r="AK597" s="6"/>
      <c r="AL597" s="7">
        <f t="shared" si="823"/>
        <v>0</v>
      </c>
      <c r="AM597" s="11">
        <f t="shared" si="789"/>
        <v>0</v>
      </c>
      <c r="AN597" s="25"/>
      <c r="AO597" s="10" t="str">
        <f t="shared" si="790"/>
        <v>OutubroSEMANA 4Zix 40</v>
      </c>
      <c r="AP597" s="7">
        <f>SUMIF(NF!$A:$A,$AO597,NF!$I:$I)</f>
        <v>1</v>
      </c>
      <c r="AQ597" s="6"/>
      <c r="AR597" s="6">
        <v>1</v>
      </c>
      <c r="AS597" s="6"/>
      <c r="AT597" s="6"/>
      <c r="AU597" s="6"/>
      <c r="AV597" s="6"/>
      <c r="AW597" s="6"/>
      <c r="AX597" s="7">
        <f t="shared" si="824"/>
        <v>1</v>
      </c>
      <c r="AY597" s="11">
        <f t="shared" si="792"/>
        <v>0</v>
      </c>
      <c r="AZ597" s="25"/>
      <c r="BA597" s="10" t="str">
        <f t="shared" si="793"/>
        <v>OutubroSEMANA 5Zix 40</v>
      </c>
      <c r="BB597" s="7">
        <f>SUMIF(NF!$A:$A,$BA597,NF!$I:$I)</f>
        <v>0</v>
      </c>
      <c r="BC597" s="6"/>
      <c r="BD597" s="6"/>
      <c r="BE597" s="6"/>
      <c r="BF597" s="74"/>
      <c r="BG597" s="74"/>
      <c r="BH597" s="74"/>
      <c r="BI597" s="74"/>
      <c r="BJ597" s="74"/>
      <c r="BK597" s="7">
        <f t="shared" si="825"/>
        <v>0</v>
      </c>
      <c r="BL597" s="8">
        <f t="shared" si="795"/>
        <v>0</v>
      </c>
      <c r="BM597" s="51" t="str">
        <f>IFERROR(VLOOKUP(A597,NF!$M:$O,3,0),"")</f>
        <v>Limpeza</v>
      </c>
      <c r="BN597" s="7">
        <f t="shared" si="796"/>
        <v>1</v>
      </c>
      <c r="BO597" s="8">
        <f t="array" ref="BO597">IFERROR(LARGE(IF(NF!$G$2:$G$3137='Mês atual'!A597,NF!$J$2:$J$3137),1),0)*BN597</f>
        <v>147</v>
      </c>
      <c r="BP597" s="50"/>
      <c r="BR597" s="147">
        <f t="array" ref="BR597">IFERROR(LARGE(IF(NF!$G$2:$G$3137='Mês atual'!A597,NF!$J$2:$J$3137),1),0)</f>
        <v>147</v>
      </c>
      <c r="BS597" s="143" t="str">
        <f>VLOOKUP(A597,NF!M:O,3,0)</f>
        <v>Limpeza</v>
      </c>
    </row>
    <row r="598" spans="1:74" s="16" customFormat="1" ht="30" customHeight="1" thickBot="1" x14ac:dyDescent="0.3">
      <c r="A598" s="139" t="s">
        <v>926</v>
      </c>
      <c r="B598" s="130"/>
      <c r="C598" s="131"/>
      <c r="D598" s="132"/>
      <c r="E598" s="133"/>
      <c r="F598" s="134"/>
      <c r="G598" s="133"/>
      <c r="H598" s="133"/>
      <c r="I598" s="133"/>
      <c r="J598" s="133"/>
      <c r="K598" s="133"/>
      <c r="L598" s="133"/>
      <c r="M598" s="133"/>
      <c r="N598" s="134"/>
      <c r="O598" s="134"/>
      <c r="P598" s="132"/>
      <c r="Q598" s="133"/>
      <c r="R598" s="134"/>
      <c r="S598" s="133"/>
      <c r="T598" s="133"/>
      <c r="U598" s="133"/>
      <c r="V598" s="133"/>
      <c r="W598" s="133"/>
      <c r="X598" s="133"/>
      <c r="Y598" s="133"/>
      <c r="Z598" s="134"/>
      <c r="AA598" s="134"/>
      <c r="AB598" s="132"/>
      <c r="AC598" s="133"/>
      <c r="AD598" s="134"/>
      <c r="AE598" s="133"/>
      <c r="AF598" s="133"/>
      <c r="AG598" s="133"/>
      <c r="AH598" s="133"/>
      <c r="AI598" s="133"/>
      <c r="AJ598" s="133"/>
      <c r="AK598" s="133"/>
      <c r="AL598" s="134"/>
      <c r="AM598" s="134"/>
      <c r="AN598" s="132"/>
      <c r="AO598" s="133"/>
      <c r="AP598" s="134"/>
      <c r="AQ598" s="133"/>
      <c r="AR598" s="133"/>
      <c r="AS598" s="133"/>
      <c r="AT598" s="133"/>
      <c r="AU598" s="133"/>
      <c r="AV598" s="133"/>
      <c r="AW598" s="133"/>
      <c r="AX598" s="134"/>
      <c r="AY598" s="134"/>
      <c r="AZ598" s="132"/>
      <c r="BA598" s="133"/>
      <c r="BB598" s="134"/>
      <c r="BC598" s="133"/>
      <c r="BD598" s="133"/>
      <c r="BE598" s="133"/>
      <c r="BF598" s="135"/>
      <c r="BG598" s="135"/>
      <c r="BH598" s="135"/>
      <c r="BI598" s="135"/>
      <c r="BJ598" s="135"/>
      <c r="BK598" s="134"/>
      <c r="BL598" s="134"/>
      <c r="BM598" s="136"/>
      <c r="BN598" s="137"/>
      <c r="BO598" s="137"/>
      <c r="BP598" s="138"/>
      <c r="BQ598" s="145"/>
      <c r="BR598" s="145"/>
      <c r="BS598" s="145"/>
      <c r="BT598" s="146"/>
      <c r="BU598" s="146"/>
      <c r="BV598" s="146"/>
    </row>
    <row r="599" spans="1:74" x14ac:dyDescent="0.25">
      <c r="A599" s="108" t="s">
        <v>66</v>
      </c>
      <c r="B599" s="12"/>
      <c r="C599" s="9"/>
      <c r="D599" s="25"/>
      <c r="E599" s="10" t="str">
        <f t="shared" ref="E599:E668" si="826">CONCATENATE($C$2,$F$1,$A599)</f>
        <v>OutubroSEMANA 1Abacaxi Cristalizado</v>
      </c>
      <c r="F599" s="7">
        <f>SUMIF(NF!$A:$A,$E599,NF!$I:$I)</f>
        <v>0</v>
      </c>
      <c r="G599" s="6"/>
      <c r="H599" s="6"/>
      <c r="I599" s="6"/>
      <c r="J599" s="6"/>
      <c r="K599" s="6"/>
      <c r="L599" s="6"/>
      <c r="M599" s="6"/>
      <c r="N599" s="7">
        <f t="shared" ref="N599:N625" si="827">SUM(G599:M599)</f>
        <v>0</v>
      </c>
      <c r="O599" s="11">
        <f t="shared" ref="O599:O855" si="828">F599+C599-N599</f>
        <v>0</v>
      </c>
      <c r="P599" s="25"/>
      <c r="Q599" s="10" t="str">
        <f t="shared" ref="Q599:Q668" si="829">CONCATENATE($C$2,$R$1,$A599)</f>
        <v>OutubroSEMANA 2Abacaxi Cristalizado</v>
      </c>
      <c r="R599" s="7">
        <f>SUMIF(NF!$A:$A,$Q599,NF!$I:$I)</f>
        <v>0</v>
      </c>
      <c r="S599" s="6"/>
      <c r="T599" s="6"/>
      <c r="U599" s="6"/>
      <c r="V599" s="6"/>
      <c r="W599" s="6"/>
      <c r="X599" s="6"/>
      <c r="Y599" s="6"/>
      <c r="Z599" s="7">
        <f t="shared" ref="Z599:Z625" si="830">SUM(S599:Y599)</f>
        <v>0</v>
      </c>
      <c r="AA599" s="11">
        <f t="shared" ref="AA599:AA855" si="831">R599+O599-Z599</f>
        <v>0</v>
      </c>
      <c r="AB599" s="25"/>
      <c r="AC599" s="10" t="str">
        <f t="shared" ref="AC599:AC668" si="832">CONCATENATE($C$2,$AD$1,$A599)</f>
        <v>OutubroSEMANA 3Abacaxi Cristalizado</v>
      </c>
      <c r="AD599" s="7">
        <f>SUMIF(NF!$A:$A,$AC599,NF!$I:$I)</f>
        <v>0</v>
      </c>
      <c r="AE599" s="6"/>
      <c r="AF599" s="6"/>
      <c r="AG599" s="6"/>
      <c r="AH599" s="6"/>
      <c r="AI599" s="6"/>
      <c r="AJ599" s="6"/>
      <c r="AK599" s="6"/>
      <c r="AL599" s="7">
        <f t="shared" ref="AL599:AL625" si="833">SUM(AE599:AK599)</f>
        <v>0</v>
      </c>
      <c r="AM599" s="11">
        <f t="shared" ref="AM599:AM855" si="834">AD599+AA599-AL599</f>
        <v>0</v>
      </c>
      <c r="AN599" s="25"/>
      <c r="AO599" s="10" t="str">
        <f t="shared" ref="AO599:AO668" si="835">CONCATENATE($C$2,$AP$1,$A599)</f>
        <v>OutubroSEMANA 4Abacaxi Cristalizado</v>
      </c>
      <c r="AP599" s="7">
        <f>SUMIF(NF!$A:$A,$AO599,NF!$I:$I)</f>
        <v>0.318</v>
      </c>
      <c r="AQ599" s="6"/>
      <c r="AR599" s="6"/>
      <c r="AS599" s="6">
        <v>0.318</v>
      </c>
      <c r="AT599" s="6"/>
      <c r="AU599" s="6"/>
      <c r="AV599" s="6"/>
      <c r="AW599" s="6"/>
      <c r="AX599" s="7">
        <f t="shared" ref="AX599:AX625" si="836">SUM(AQ599:AW599)</f>
        <v>0.318</v>
      </c>
      <c r="AY599" s="11">
        <f t="shared" ref="AY599:AY855" si="837">AP599+AM599-AX599</f>
        <v>0</v>
      </c>
      <c r="AZ599" s="25"/>
      <c r="BA599" s="10" t="str">
        <f t="shared" ref="BA599:BA668" si="838">CONCATENATE($C$2,$BB$1,$A599)</f>
        <v>OutubroSEMANA 5Abacaxi Cristalizado</v>
      </c>
      <c r="BB599" s="7">
        <f>SUMIF(NF!$A:$A,$BA599,NF!$I:$I)</f>
        <v>0</v>
      </c>
      <c r="BC599" s="6"/>
      <c r="BD599" s="6"/>
      <c r="BE599" s="6"/>
      <c r="BF599" s="74"/>
      <c r="BG599" s="74"/>
      <c r="BH599" s="74"/>
      <c r="BI599" s="74"/>
      <c r="BJ599" s="74"/>
      <c r="BK599" s="7">
        <f t="shared" ref="BK599:BK625" si="839">SUM(BC599:BJ599)</f>
        <v>0</v>
      </c>
      <c r="BL599" s="8">
        <f t="shared" ref="BL599:BL855" si="840">BB599+AY599-BK599</f>
        <v>0</v>
      </c>
      <c r="BM599" s="51" t="str">
        <f>IFERROR(VLOOKUP(A599,NF!$M:$O,3,0),"")</f>
        <v>Mercado</v>
      </c>
      <c r="BN599" s="7">
        <f t="shared" ref="BN599:BN855" si="841">SUM(N599,Z599,AL599,AX599,BK599)</f>
        <v>0.318</v>
      </c>
      <c r="BO599" s="8">
        <f t="array" ref="BO599">IFERROR(LARGE(IF(NF!$G$2:$G$3137='Mês atual'!A599,NF!$J$2:$J$3137),1),0)*BN599</f>
        <v>10.469991</v>
      </c>
      <c r="BP599" s="50"/>
      <c r="BR599" s="147">
        <f t="array" ref="BR599">IFERROR(LARGE(IF(NF!$G$2:$G$3137='Mês atual'!A599,NF!$J$2:$J$3137),1),0)</f>
        <v>32.924500000000002</v>
      </c>
      <c r="BS599" s="143" t="str">
        <f>VLOOKUP(A599,NF!M:O,3,0)</f>
        <v>Mercado</v>
      </c>
    </row>
    <row r="600" spans="1:74" x14ac:dyDescent="0.25">
      <c r="A600" s="108" t="s">
        <v>67</v>
      </c>
      <c r="B600" s="12"/>
      <c r="C600" s="9">
        <v>4</v>
      </c>
      <c r="D600" s="25"/>
      <c r="E600" s="10" t="str">
        <f t="shared" si="826"/>
        <v>OutubroSEMANA 1Abacaxi em Calda Lata</v>
      </c>
      <c r="F600" s="7">
        <f>SUMIF(NF!$A:$A,$E600,NF!$I:$I)</f>
        <v>0</v>
      </c>
      <c r="G600" s="6"/>
      <c r="H600" s="6"/>
      <c r="I600" s="6"/>
      <c r="J600" s="6">
        <v>2</v>
      </c>
      <c r="K600" s="6"/>
      <c r="L600" s="6"/>
      <c r="M600" s="6">
        <v>2</v>
      </c>
      <c r="N600" s="7">
        <f t="shared" si="827"/>
        <v>4</v>
      </c>
      <c r="O600" s="11">
        <f t="shared" si="828"/>
        <v>0</v>
      </c>
      <c r="P600" s="25"/>
      <c r="Q600" s="10" t="str">
        <f t="shared" si="829"/>
        <v>OutubroSEMANA 2Abacaxi em Calda Lata</v>
      </c>
      <c r="R600" s="7">
        <f>SUMIF(NF!$A:$A,$Q600,NF!$I:$I)</f>
        <v>0</v>
      </c>
      <c r="S600" s="6"/>
      <c r="T600" s="6"/>
      <c r="U600" s="6"/>
      <c r="V600" s="6"/>
      <c r="W600" s="6"/>
      <c r="X600" s="6"/>
      <c r="Y600" s="6"/>
      <c r="Z600" s="7">
        <f t="shared" si="830"/>
        <v>0</v>
      </c>
      <c r="AA600" s="11">
        <f t="shared" si="831"/>
        <v>0</v>
      </c>
      <c r="AB600" s="25"/>
      <c r="AC600" s="10" t="str">
        <f t="shared" si="832"/>
        <v>OutubroSEMANA 3Abacaxi em Calda Lata</v>
      </c>
      <c r="AD600" s="7">
        <f>SUMIF(NF!$A:$A,$AC600,NF!$I:$I)</f>
        <v>0</v>
      </c>
      <c r="AE600" s="6"/>
      <c r="AF600" s="6"/>
      <c r="AG600" s="6"/>
      <c r="AH600" s="6"/>
      <c r="AI600" s="6"/>
      <c r="AJ600" s="6"/>
      <c r="AK600" s="6"/>
      <c r="AL600" s="7">
        <f t="shared" si="833"/>
        <v>0</v>
      </c>
      <c r="AM600" s="11">
        <f t="shared" si="834"/>
        <v>0</v>
      </c>
      <c r="AN600" s="25"/>
      <c r="AO600" s="10" t="str">
        <f t="shared" si="835"/>
        <v>OutubroSEMANA 4Abacaxi em Calda Lata</v>
      </c>
      <c r="AP600" s="7">
        <f>SUMIF(NF!$A:$A,$AO600,NF!$I:$I)</f>
        <v>0</v>
      </c>
      <c r="AQ600" s="6"/>
      <c r="AR600" s="6"/>
      <c r="AS600" s="6"/>
      <c r="AT600" s="6"/>
      <c r="AU600" s="6"/>
      <c r="AV600" s="6"/>
      <c r="AW600" s="6"/>
      <c r="AX600" s="7">
        <f t="shared" si="836"/>
        <v>0</v>
      </c>
      <c r="AY600" s="11">
        <f t="shared" si="837"/>
        <v>0</v>
      </c>
      <c r="AZ600" s="25"/>
      <c r="BA600" s="10" t="str">
        <f t="shared" si="838"/>
        <v>OutubroSEMANA 5Abacaxi em Calda Lata</v>
      </c>
      <c r="BB600" s="7">
        <f>SUMIF(NF!$A:$A,$BA600,NF!$I:$I)</f>
        <v>0</v>
      </c>
      <c r="BC600" s="6"/>
      <c r="BD600" s="6"/>
      <c r="BE600" s="6"/>
      <c r="BF600" s="74"/>
      <c r="BG600" s="74"/>
      <c r="BH600" s="74"/>
      <c r="BI600" s="74"/>
      <c r="BJ600" s="74"/>
      <c r="BK600" s="7">
        <f t="shared" si="839"/>
        <v>0</v>
      </c>
      <c r="BL600" s="8">
        <f t="shared" si="840"/>
        <v>0</v>
      </c>
      <c r="BM600" s="51" t="str">
        <f>IFERROR(VLOOKUP(A600,NF!$M:$O,3,0),"")</f>
        <v>Mercado</v>
      </c>
      <c r="BN600" s="7">
        <f t="shared" si="841"/>
        <v>4</v>
      </c>
      <c r="BO600" s="8">
        <f t="array" ref="BO600">IFERROR(LARGE(IF(NF!$G$2:$G$3137='Mês atual'!A600,NF!$J$2:$J$3137),1),0)*BN600</f>
        <v>0</v>
      </c>
      <c r="BP600" s="50"/>
      <c r="BR600" s="147">
        <f t="array" ref="BR600">IFERROR(LARGE(IF(NF!$G$2:$G$3137='Mês atual'!A600,NF!$J$2:$J$3137),1),0)</f>
        <v>0</v>
      </c>
      <c r="BS600" s="143" t="str">
        <f>VLOOKUP(A600,NF!M:O,3,0)</f>
        <v>Mercado</v>
      </c>
    </row>
    <row r="601" spans="1:74" x14ac:dyDescent="0.25">
      <c r="A601" s="108" t="s">
        <v>74</v>
      </c>
      <c r="B601" s="12"/>
      <c r="C601" s="9">
        <v>0.6</v>
      </c>
      <c r="D601" s="25"/>
      <c r="E601" s="10" t="str">
        <f t="shared" si="826"/>
        <v>OutubroSEMANA 1Açafrão</v>
      </c>
      <c r="F601" s="7">
        <f>SUMIF(NF!$A:$A,$E601,NF!$I:$I)</f>
        <v>0.3</v>
      </c>
      <c r="G601" s="6"/>
      <c r="H601" s="6">
        <v>0.3</v>
      </c>
      <c r="I601" s="6"/>
      <c r="J601" s="6"/>
      <c r="K601" s="6"/>
      <c r="L601" s="6"/>
      <c r="M601" s="6"/>
      <c r="N601" s="7">
        <f t="shared" si="827"/>
        <v>0.3</v>
      </c>
      <c r="O601" s="11">
        <f t="shared" si="828"/>
        <v>0.59999999999999987</v>
      </c>
      <c r="P601" s="25"/>
      <c r="Q601" s="10" t="str">
        <f t="shared" si="829"/>
        <v>OutubroSEMANA 2Açafrão</v>
      </c>
      <c r="R601" s="7">
        <f>SUMIF(NF!$A:$A,$Q601,NF!$I:$I)</f>
        <v>0</v>
      </c>
      <c r="S601" s="6"/>
      <c r="T601" s="6"/>
      <c r="U601" s="6"/>
      <c r="V601" s="6"/>
      <c r="W601" s="6"/>
      <c r="X601" s="6"/>
      <c r="Y601" s="6"/>
      <c r="Z601" s="7">
        <f t="shared" si="830"/>
        <v>0</v>
      </c>
      <c r="AA601" s="11">
        <f t="shared" si="831"/>
        <v>0.59999999999999987</v>
      </c>
      <c r="AB601" s="25"/>
      <c r="AC601" s="10" t="str">
        <f t="shared" si="832"/>
        <v>OutubroSEMANA 3Açafrão</v>
      </c>
      <c r="AD601" s="7">
        <f>SUMIF(NF!$A:$A,$AC601,NF!$I:$I)</f>
        <v>0</v>
      </c>
      <c r="AE601" s="6"/>
      <c r="AF601" s="6"/>
      <c r="AG601" s="6"/>
      <c r="AH601" s="6"/>
      <c r="AI601" s="6"/>
      <c r="AJ601" s="6"/>
      <c r="AK601" s="6"/>
      <c r="AL601" s="7">
        <f t="shared" si="833"/>
        <v>0</v>
      </c>
      <c r="AM601" s="11">
        <f t="shared" si="834"/>
        <v>0.59999999999999987</v>
      </c>
      <c r="AN601" s="25"/>
      <c r="AO601" s="10" t="str">
        <f t="shared" si="835"/>
        <v>OutubroSEMANA 4Açafrão</v>
      </c>
      <c r="AP601" s="7">
        <f>SUMIF(NF!$A:$A,$AO601,NF!$I:$I)</f>
        <v>0</v>
      </c>
      <c r="AQ601" s="6"/>
      <c r="AR601" s="6"/>
      <c r="AS601" s="6"/>
      <c r="AT601" s="6"/>
      <c r="AU601" s="6"/>
      <c r="AV601" s="6"/>
      <c r="AW601" s="6"/>
      <c r="AX601" s="7">
        <f t="shared" si="836"/>
        <v>0</v>
      </c>
      <c r="AY601" s="11">
        <f t="shared" si="837"/>
        <v>0.59999999999999987</v>
      </c>
      <c r="AZ601" s="25"/>
      <c r="BA601" s="10" t="str">
        <f t="shared" si="838"/>
        <v>OutubroSEMANA 5Açafrão</v>
      </c>
      <c r="BB601" s="7">
        <f>SUMIF(NF!$A:$A,$BA601,NF!$I:$I)</f>
        <v>0</v>
      </c>
      <c r="BC601" s="6"/>
      <c r="BD601" s="6"/>
      <c r="BE601" s="6"/>
      <c r="BF601" s="74"/>
      <c r="BG601" s="74"/>
      <c r="BH601" s="74"/>
      <c r="BI601" s="74"/>
      <c r="BJ601" s="74"/>
      <c r="BK601" s="7">
        <f t="shared" si="839"/>
        <v>0</v>
      </c>
      <c r="BL601" s="8">
        <f t="shared" si="840"/>
        <v>0.59999999999999987</v>
      </c>
      <c r="BM601" s="51" t="str">
        <f>IFERROR(VLOOKUP(A601,NF!$M:$O,3,0),"")</f>
        <v>Mercado</v>
      </c>
      <c r="BN601" s="7">
        <f t="shared" si="841"/>
        <v>0.3</v>
      </c>
      <c r="BO601" s="8">
        <f t="array" ref="BO601">IFERROR(LARGE(IF(NF!$G$2:$G$3137='Mês atual'!A601,NF!$J$2:$J$3137),1),0)*BN601</f>
        <v>3.57</v>
      </c>
      <c r="BP601" s="50"/>
      <c r="BR601" s="147">
        <f t="array" ref="BR601">IFERROR(LARGE(IF(NF!$G$2:$G$3137='Mês atual'!A601,NF!$J$2:$J$3137),1),0)</f>
        <v>11.9</v>
      </c>
      <c r="BS601" s="143" t="str">
        <f>VLOOKUP(A601,NF!M:O,3,0)</f>
        <v>Mercado</v>
      </c>
    </row>
    <row r="602" spans="1:74" x14ac:dyDescent="0.25">
      <c r="A602" s="108" t="s">
        <v>77</v>
      </c>
      <c r="B602" s="12"/>
      <c r="C602" s="9">
        <v>2</v>
      </c>
      <c r="D602" s="25"/>
      <c r="E602" s="10" t="str">
        <f t="shared" si="826"/>
        <v>OutubroSEMANA 1Açucar Mascavo</v>
      </c>
      <c r="F602" s="7">
        <f>SUMIF(NF!$A:$A,$E602,NF!$I:$I)</f>
        <v>1</v>
      </c>
      <c r="G602" s="6"/>
      <c r="H602" s="6"/>
      <c r="I602" s="6"/>
      <c r="J602" s="6"/>
      <c r="K602" s="6"/>
      <c r="L602" s="6"/>
      <c r="M602" s="6"/>
      <c r="N602" s="7">
        <f t="shared" si="827"/>
        <v>0</v>
      </c>
      <c r="O602" s="11">
        <f t="shared" si="828"/>
        <v>3</v>
      </c>
      <c r="P602" s="25"/>
      <c r="Q602" s="10" t="str">
        <f t="shared" si="829"/>
        <v>OutubroSEMANA 2Açucar Mascavo</v>
      </c>
      <c r="R602" s="7">
        <f>SUMIF(NF!$A:$A,$Q602,NF!$I:$I)</f>
        <v>0</v>
      </c>
      <c r="S602" s="6"/>
      <c r="T602" s="6"/>
      <c r="U602" s="6"/>
      <c r="V602" s="6"/>
      <c r="W602" s="6"/>
      <c r="X602" s="6"/>
      <c r="Y602" s="6"/>
      <c r="Z602" s="7">
        <f t="shared" si="830"/>
        <v>0</v>
      </c>
      <c r="AA602" s="11">
        <f t="shared" si="831"/>
        <v>3</v>
      </c>
      <c r="AB602" s="25"/>
      <c r="AC602" s="10" t="str">
        <f t="shared" si="832"/>
        <v>OutubroSEMANA 3Açucar Mascavo</v>
      </c>
      <c r="AD602" s="7">
        <f>SUMIF(NF!$A:$A,$AC602,NF!$I:$I)</f>
        <v>0</v>
      </c>
      <c r="AE602" s="6"/>
      <c r="AF602" s="6"/>
      <c r="AG602" s="6"/>
      <c r="AH602" s="6"/>
      <c r="AI602" s="6"/>
      <c r="AJ602" s="6"/>
      <c r="AK602" s="6"/>
      <c r="AL602" s="7">
        <f t="shared" si="833"/>
        <v>0</v>
      </c>
      <c r="AM602" s="11">
        <f t="shared" si="834"/>
        <v>3</v>
      </c>
      <c r="AN602" s="25"/>
      <c r="AO602" s="10" t="str">
        <f t="shared" si="835"/>
        <v>OutubroSEMANA 4Açucar Mascavo</v>
      </c>
      <c r="AP602" s="7">
        <f>SUMIF(NF!$A:$A,$AO602,NF!$I:$I)</f>
        <v>0</v>
      </c>
      <c r="AQ602" s="6"/>
      <c r="AR602" s="6"/>
      <c r="AS602" s="6"/>
      <c r="AT602" s="6"/>
      <c r="AU602" s="6">
        <v>1</v>
      </c>
      <c r="AV602" s="6"/>
      <c r="AW602" s="6"/>
      <c r="AX602" s="7">
        <f t="shared" si="836"/>
        <v>1</v>
      </c>
      <c r="AY602" s="11">
        <f t="shared" si="837"/>
        <v>2</v>
      </c>
      <c r="AZ602" s="25"/>
      <c r="BA602" s="10" t="str">
        <f t="shared" si="838"/>
        <v>OutubroSEMANA 5Açucar Mascavo</v>
      </c>
      <c r="BB602" s="7">
        <f>SUMIF(NF!$A:$A,$BA602,NF!$I:$I)</f>
        <v>0</v>
      </c>
      <c r="BC602" s="6"/>
      <c r="BD602" s="6"/>
      <c r="BE602" s="6"/>
      <c r="BF602" s="74"/>
      <c r="BG602" s="74"/>
      <c r="BH602" s="74"/>
      <c r="BI602" s="74"/>
      <c r="BJ602" s="74"/>
      <c r="BK602" s="7">
        <f t="shared" si="839"/>
        <v>0</v>
      </c>
      <c r="BL602" s="8">
        <f t="shared" si="840"/>
        <v>2</v>
      </c>
      <c r="BM602" s="51" t="str">
        <f>IFERROR(VLOOKUP(A602,NF!$M:$O,3,0),"")</f>
        <v>Mercado</v>
      </c>
      <c r="BN602" s="7">
        <f t="shared" si="841"/>
        <v>1</v>
      </c>
      <c r="BO602" s="8">
        <f t="array" ref="BO602">IFERROR(LARGE(IF(NF!$G$2:$G$3137='Mês atual'!A602,NF!$J$2:$J$3137),1),0)*BN602</f>
        <v>7.9</v>
      </c>
      <c r="BP602" s="50"/>
      <c r="BR602" s="147">
        <f t="array" ref="BR602">IFERROR(LARGE(IF(NF!$G$2:$G$3137='Mês atual'!A602,NF!$J$2:$J$3137),1),0)</f>
        <v>7.9</v>
      </c>
      <c r="BS602" s="143" t="str">
        <f>VLOOKUP(A602,NF!M:O,3,0)</f>
        <v>Mercado</v>
      </c>
    </row>
    <row r="603" spans="1:74" x14ac:dyDescent="0.25">
      <c r="A603" s="108" t="s">
        <v>78</v>
      </c>
      <c r="B603" s="12"/>
      <c r="C603" s="9">
        <v>2</v>
      </c>
      <c r="D603" s="25"/>
      <c r="E603" s="10" t="str">
        <f t="shared" si="826"/>
        <v>OutubroSEMANA 1Açucar Organico Native Cx1000</v>
      </c>
      <c r="F603" s="7">
        <f>SUMIF(NF!$A:$A,$E603,NF!$I:$I)</f>
        <v>0</v>
      </c>
      <c r="G603" s="6"/>
      <c r="H603" s="6"/>
      <c r="I603" s="6"/>
      <c r="J603" s="6"/>
      <c r="K603" s="6"/>
      <c r="L603" s="6"/>
      <c r="M603" s="6"/>
      <c r="N603" s="7">
        <f t="shared" si="827"/>
        <v>0</v>
      </c>
      <c r="O603" s="11">
        <f t="shared" si="828"/>
        <v>2</v>
      </c>
      <c r="P603" s="25"/>
      <c r="Q603" s="10" t="str">
        <f t="shared" si="829"/>
        <v>OutubroSEMANA 2Açucar Organico Native Cx1000</v>
      </c>
      <c r="R603" s="7">
        <f>SUMIF(NF!$A:$A,$Q603,NF!$I:$I)</f>
        <v>0</v>
      </c>
      <c r="S603" s="6"/>
      <c r="T603" s="6"/>
      <c r="U603" s="6"/>
      <c r="V603" s="6"/>
      <c r="W603" s="6"/>
      <c r="X603" s="6"/>
      <c r="Y603" s="6"/>
      <c r="Z603" s="7">
        <f t="shared" si="830"/>
        <v>0</v>
      </c>
      <c r="AA603" s="11">
        <f t="shared" si="831"/>
        <v>2</v>
      </c>
      <c r="AB603" s="25"/>
      <c r="AC603" s="10" t="str">
        <f t="shared" si="832"/>
        <v>OutubroSEMANA 3Açucar Organico Native Cx1000</v>
      </c>
      <c r="AD603" s="7">
        <f>SUMIF(NF!$A:$A,$AC603,NF!$I:$I)</f>
        <v>0</v>
      </c>
      <c r="AE603" s="6"/>
      <c r="AF603" s="6"/>
      <c r="AG603" s="6"/>
      <c r="AH603" s="6"/>
      <c r="AI603" s="6"/>
      <c r="AJ603" s="6"/>
      <c r="AK603" s="6"/>
      <c r="AL603" s="7">
        <f t="shared" si="833"/>
        <v>0</v>
      </c>
      <c r="AM603" s="11">
        <f t="shared" si="834"/>
        <v>2</v>
      </c>
      <c r="AN603" s="25"/>
      <c r="AO603" s="10" t="str">
        <f t="shared" si="835"/>
        <v>OutubroSEMANA 4Açucar Organico Native Cx1000</v>
      </c>
      <c r="AP603" s="7">
        <f>SUMIF(NF!$A:$A,$AO603,NF!$I:$I)</f>
        <v>0</v>
      </c>
      <c r="AQ603" s="6"/>
      <c r="AR603" s="6"/>
      <c r="AS603" s="6"/>
      <c r="AT603" s="6"/>
      <c r="AU603" s="6"/>
      <c r="AV603" s="6"/>
      <c r="AW603" s="6"/>
      <c r="AX603" s="7">
        <f t="shared" si="836"/>
        <v>0</v>
      </c>
      <c r="AY603" s="11">
        <f t="shared" si="837"/>
        <v>2</v>
      </c>
      <c r="AZ603" s="25"/>
      <c r="BA603" s="10" t="str">
        <f t="shared" si="838"/>
        <v>OutubroSEMANA 5Açucar Organico Native Cx1000</v>
      </c>
      <c r="BB603" s="7">
        <f>SUMIF(NF!$A:$A,$BA603,NF!$I:$I)</f>
        <v>0</v>
      </c>
      <c r="BC603" s="6"/>
      <c r="BD603" s="6"/>
      <c r="BE603" s="6"/>
      <c r="BF603" s="74"/>
      <c r="BG603" s="74"/>
      <c r="BH603" s="74"/>
      <c r="BI603" s="74"/>
      <c r="BJ603" s="74"/>
      <c r="BK603" s="7">
        <f t="shared" si="839"/>
        <v>0</v>
      </c>
      <c r="BL603" s="8">
        <f t="shared" si="840"/>
        <v>2</v>
      </c>
      <c r="BM603" s="51" t="str">
        <f>IFERROR(VLOOKUP(A603,NF!$M:$O,3,0),"")</f>
        <v>Mercado</v>
      </c>
      <c r="BN603" s="7">
        <f t="shared" si="841"/>
        <v>0</v>
      </c>
      <c r="BO603" s="8">
        <f t="array" ref="BO603">IFERROR(LARGE(IF(NF!$G$2:$G$3137='Mês atual'!A603,NF!$J$2:$J$3137),1),0)*BN603</f>
        <v>0</v>
      </c>
      <c r="BP603" s="50"/>
      <c r="BR603" s="147">
        <f t="array" ref="BR603">IFERROR(LARGE(IF(NF!$G$2:$G$3137='Mês atual'!A603,NF!$J$2:$J$3137),1),0)</f>
        <v>0</v>
      </c>
      <c r="BS603" s="143" t="str">
        <f>VLOOKUP(A603,NF!M:O,3,0)</f>
        <v>Mercado</v>
      </c>
    </row>
    <row r="604" spans="1:74" x14ac:dyDescent="0.25">
      <c r="A604" s="108" t="s">
        <v>79</v>
      </c>
      <c r="B604" s="12"/>
      <c r="C604" s="9">
        <f>39-6</f>
        <v>33</v>
      </c>
      <c r="D604" s="25"/>
      <c r="E604" s="10" t="str">
        <f t="shared" si="826"/>
        <v>OutubroSEMANA 1Açucar Refinado</v>
      </c>
      <c r="F604" s="7">
        <f>SUMIF(NF!$A:$A,$E604,NF!$I:$I)</f>
        <v>30</v>
      </c>
      <c r="G604" s="6">
        <v>4</v>
      </c>
      <c r="H604" s="6">
        <v>4</v>
      </c>
      <c r="I604" s="6">
        <v>4</v>
      </c>
      <c r="J604" s="6"/>
      <c r="K604" s="6">
        <f>5+3+3</f>
        <v>11</v>
      </c>
      <c r="L604" s="6">
        <v>3</v>
      </c>
      <c r="M604" s="6">
        <v>5</v>
      </c>
      <c r="N604" s="7">
        <f t="shared" si="827"/>
        <v>31</v>
      </c>
      <c r="O604" s="11">
        <f t="shared" si="828"/>
        <v>32</v>
      </c>
      <c r="P604" s="25"/>
      <c r="Q604" s="10" t="str">
        <f t="shared" si="829"/>
        <v>OutubroSEMANA 2Açucar Refinado</v>
      </c>
      <c r="R604" s="7">
        <f>SUMIF(NF!$A:$A,$Q604,NF!$I:$I)</f>
        <v>16</v>
      </c>
      <c r="S604" s="6">
        <v>1</v>
      </c>
      <c r="T604" s="6">
        <v>5</v>
      </c>
      <c r="U604" s="6">
        <v>5</v>
      </c>
      <c r="V604" s="6">
        <v>3</v>
      </c>
      <c r="W604" s="6">
        <v>3</v>
      </c>
      <c r="X604" s="6">
        <v>2</v>
      </c>
      <c r="Y604" s="6">
        <v>4</v>
      </c>
      <c r="Z604" s="7">
        <f t="shared" si="830"/>
        <v>23</v>
      </c>
      <c r="AA604" s="11">
        <f t="shared" si="831"/>
        <v>25</v>
      </c>
      <c r="AB604" s="25"/>
      <c r="AC604" s="10" t="str">
        <f t="shared" si="832"/>
        <v>OutubroSEMANA 3Açucar Refinado</v>
      </c>
      <c r="AD604" s="7">
        <f>SUMIF(NF!$A:$A,$AC604,NF!$I:$I)</f>
        <v>30</v>
      </c>
      <c r="AE604" s="6">
        <v>3</v>
      </c>
      <c r="AF604" s="6">
        <f>7-1</f>
        <v>6</v>
      </c>
      <c r="AG604" s="6">
        <f>6-1</f>
        <v>5</v>
      </c>
      <c r="AH604" s="6">
        <v>3</v>
      </c>
      <c r="AI604" s="6">
        <v>4</v>
      </c>
      <c r="AJ604" s="6"/>
      <c r="AK604" s="6">
        <v>4</v>
      </c>
      <c r="AL604" s="7">
        <f t="shared" si="833"/>
        <v>25</v>
      </c>
      <c r="AM604" s="11">
        <f t="shared" si="834"/>
        <v>30</v>
      </c>
      <c r="AN604" s="25"/>
      <c r="AO604" s="10" t="str">
        <f t="shared" si="835"/>
        <v>OutubroSEMANA 4Açucar Refinado</v>
      </c>
      <c r="AP604" s="7">
        <f>SUMIF(NF!$A:$A,$AO604,NF!$I:$I)</f>
        <v>20</v>
      </c>
      <c r="AQ604" s="6">
        <v>4</v>
      </c>
      <c r="AR604" s="6"/>
      <c r="AS604" s="6">
        <v>4</v>
      </c>
      <c r="AT604" s="6">
        <v>3</v>
      </c>
      <c r="AU604" s="6">
        <v>2</v>
      </c>
      <c r="AV604" s="6">
        <f>3+1</f>
        <v>4</v>
      </c>
      <c r="AW604" s="6">
        <f>3+3+2+1+2</f>
        <v>11</v>
      </c>
      <c r="AX604" s="7">
        <f t="shared" si="836"/>
        <v>28</v>
      </c>
      <c r="AY604" s="11">
        <f t="shared" si="837"/>
        <v>22</v>
      </c>
      <c r="AZ604" s="25"/>
      <c r="BA604" s="10" t="str">
        <f t="shared" si="838"/>
        <v>OutubroSEMANA 5Açucar Refinado</v>
      </c>
      <c r="BB604" s="7">
        <f>SUMIF(NF!$A:$A,$BA604,NF!$I:$I)</f>
        <v>0</v>
      </c>
      <c r="BC604" s="6">
        <v>1</v>
      </c>
      <c r="BD604" s="6">
        <v>2</v>
      </c>
      <c r="BE604" s="6">
        <v>3</v>
      </c>
      <c r="BF604" s="74"/>
      <c r="BG604" s="74"/>
      <c r="BH604" s="74"/>
      <c r="BI604" s="74"/>
      <c r="BJ604" s="74"/>
      <c r="BK604" s="7">
        <f t="shared" si="839"/>
        <v>6</v>
      </c>
      <c r="BL604" s="8">
        <f t="shared" si="840"/>
        <v>16</v>
      </c>
      <c r="BM604" s="51" t="str">
        <f>IFERROR(VLOOKUP(A604,NF!$M:$O,3,0),"")</f>
        <v>Mercado</v>
      </c>
      <c r="BN604" s="7">
        <f t="shared" si="841"/>
        <v>113</v>
      </c>
      <c r="BO604" s="8">
        <f t="array" ref="BO604">IFERROR(LARGE(IF(NF!$G$2:$G$3137='Mês atual'!A604,NF!$J$2:$J$3137),1),0)*BN604</f>
        <v>254.25</v>
      </c>
      <c r="BP604" s="50"/>
      <c r="BR604" s="147">
        <f t="array" ref="BR604">IFERROR(LARGE(IF(NF!$G$2:$G$3137='Mês atual'!A604,NF!$J$2:$J$3137),1),0)</f>
        <v>2.25</v>
      </c>
      <c r="BS604" s="143" t="str">
        <f>VLOOKUP(A604,NF!M:O,3,0)</f>
        <v>Mercado</v>
      </c>
    </row>
    <row r="605" spans="1:74" x14ac:dyDescent="0.25">
      <c r="A605" s="108" t="s">
        <v>1026</v>
      </c>
      <c r="B605" s="12"/>
      <c r="C605" s="9"/>
      <c r="D605" s="25"/>
      <c r="E605" s="10" t="str">
        <f t="shared" si="826"/>
        <v>OutubroSEMANA 1Açucar União Glaçucar</v>
      </c>
      <c r="F605" s="7">
        <f>SUMIF(NF!$A:$A,$E605,NF!$I:$I)</f>
        <v>0</v>
      </c>
      <c r="G605" s="6"/>
      <c r="H605" s="6"/>
      <c r="I605" s="6"/>
      <c r="J605" s="6"/>
      <c r="K605" s="6"/>
      <c r="L605" s="6"/>
      <c r="M605" s="6"/>
      <c r="N605" s="7">
        <f t="shared" ref="N605" si="842">SUM(G605:M605)</f>
        <v>0</v>
      </c>
      <c r="O605" s="11">
        <f t="shared" ref="O605" si="843">F605+C605-N605</f>
        <v>0</v>
      </c>
      <c r="P605" s="25"/>
      <c r="Q605" s="10" t="str">
        <f t="shared" si="829"/>
        <v>OutubroSEMANA 2Açucar União Glaçucar</v>
      </c>
      <c r="R605" s="7">
        <f>SUMIF(NF!$A:$A,$Q605,NF!$I:$I)</f>
        <v>0</v>
      </c>
      <c r="S605" s="6"/>
      <c r="T605" s="6"/>
      <c r="U605" s="6"/>
      <c r="V605" s="6"/>
      <c r="W605" s="6"/>
      <c r="X605" s="6"/>
      <c r="Y605" s="6"/>
      <c r="Z605" s="7">
        <f t="shared" ref="Z605" si="844">SUM(S605:Y605)</f>
        <v>0</v>
      </c>
      <c r="AA605" s="11">
        <f t="shared" ref="AA605" si="845">R605+O605-Z605</f>
        <v>0</v>
      </c>
      <c r="AB605" s="25"/>
      <c r="AC605" s="10" t="str">
        <f t="shared" si="832"/>
        <v>OutubroSEMANA 3Açucar União Glaçucar</v>
      </c>
      <c r="AD605" s="7">
        <f>SUMIF(NF!$A:$A,$AC605,NF!$I:$I)</f>
        <v>0</v>
      </c>
      <c r="AE605" s="6"/>
      <c r="AF605" s="6"/>
      <c r="AG605" s="6"/>
      <c r="AH605" s="6"/>
      <c r="AI605" s="6"/>
      <c r="AJ605" s="6"/>
      <c r="AK605" s="6"/>
      <c r="AL605" s="7">
        <f t="shared" ref="AL605" si="846">SUM(AE605:AK605)</f>
        <v>0</v>
      </c>
      <c r="AM605" s="11">
        <f t="shared" ref="AM605" si="847">AD605+AA605-AL605</f>
        <v>0</v>
      </c>
      <c r="AN605" s="25"/>
      <c r="AO605" s="10" t="str">
        <f t="shared" si="835"/>
        <v>OutubroSEMANA 4Açucar União Glaçucar</v>
      </c>
      <c r="AP605" s="7">
        <f>SUMIF(NF!$A:$A,$AO605,NF!$I:$I)</f>
        <v>0</v>
      </c>
      <c r="AQ605" s="6"/>
      <c r="AR605" s="6"/>
      <c r="AS605" s="6"/>
      <c r="AT605" s="6"/>
      <c r="AU605" s="6"/>
      <c r="AV605" s="6"/>
      <c r="AW605" s="6"/>
      <c r="AX605" s="7">
        <f t="shared" ref="AX605" si="848">SUM(AQ605:AW605)</f>
        <v>0</v>
      </c>
      <c r="AY605" s="11">
        <f t="shared" ref="AY605" si="849">AP605+AM605-AX605</f>
        <v>0</v>
      </c>
      <c r="AZ605" s="25"/>
      <c r="BA605" s="10" t="str">
        <f t="shared" si="838"/>
        <v>OutubroSEMANA 5Açucar União Glaçucar</v>
      </c>
      <c r="BB605" s="7">
        <f>SUMIF(NF!$A:$A,$BA605,NF!$I:$I)</f>
        <v>0</v>
      </c>
      <c r="BC605" s="6"/>
      <c r="BD605" s="6"/>
      <c r="BE605" s="6"/>
      <c r="BF605" s="74"/>
      <c r="BG605" s="74"/>
      <c r="BH605" s="74"/>
      <c r="BI605" s="74"/>
      <c r="BJ605" s="74"/>
      <c r="BK605" s="7">
        <f t="shared" ref="BK605" si="850">SUM(BC605:BJ605)</f>
        <v>0</v>
      </c>
      <c r="BL605" s="8">
        <f t="shared" ref="BL605" si="851">BB605+AY605-BK605</f>
        <v>0</v>
      </c>
      <c r="BM605" s="51" t="str">
        <f>IFERROR(VLOOKUP(A605,NF!$M:$O,3,0),"")</f>
        <v>Mercado</v>
      </c>
      <c r="BN605" s="7">
        <f t="shared" ref="BN605" si="852">SUM(N605,Z605,AL605,AX605,BK605)</f>
        <v>0</v>
      </c>
      <c r="BO605" s="8">
        <f t="array" ref="BO605">IFERROR(LARGE(IF(NF!$G$2:$G$3137='Mês atual'!A605,NF!$J$2:$J$3137),1),0)*BN605</f>
        <v>0</v>
      </c>
      <c r="BP605" s="50"/>
      <c r="BR605" s="147">
        <f t="array" ref="BR605">IFERROR(LARGE(IF(NF!$G$2:$G$3137='Mês atual'!A605,NF!$J$2:$J$3137),1),0)</f>
        <v>0</v>
      </c>
      <c r="BS605" s="143" t="str">
        <f>VLOOKUP(A605,NF!M:O,3,0)</f>
        <v>Mercado</v>
      </c>
    </row>
    <row r="606" spans="1:74" x14ac:dyDescent="0.25">
      <c r="A606" s="108" t="s">
        <v>81</v>
      </c>
      <c r="B606" s="12"/>
      <c r="C606" s="9">
        <v>2</v>
      </c>
      <c r="D606" s="25"/>
      <c r="E606" s="10" t="str">
        <f t="shared" si="826"/>
        <v>OutubroSEMANA 1Açucar União Sache Cx 400</v>
      </c>
      <c r="F606" s="7">
        <f>SUMIF(NF!$A:$A,$E606,NF!$I:$I)</f>
        <v>0</v>
      </c>
      <c r="G606" s="6"/>
      <c r="H606" s="6"/>
      <c r="I606" s="6">
        <v>1</v>
      </c>
      <c r="J606" s="6"/>
      <c r="K606" s="6"/>
      <c r="L606" s="6"/>
      <c r="M606" s="6"/>
      <c r="N606" s="7">
        <f t="shared" si="827"/>
        <v>1</v>
      </c>
      <c r="O606" s="11">
        <f t="shared" si="828"/>
        <v>1</v>
      </c>
      <c r="P606" s="25"/>
      <c r="Q606" s="10" t="str">
        <f t="shared" si="829"/>
        <v>OutubroSEMANA 2Açucar União Sache Cx 400</v>
      </c>
      <c r="R606" s="7">
        <f>SUMIF(NF!$A:$A,$Q606,NF!$I:$I)</f>
        <v>0</v>
      </c>
      <c r="S606" s="6"/>
      <c r="T606" s="6"/>
      <c r="U606" s="6"/>
      <c r="V606" s="6"/>
      <c r="W606" s="6"/>
      <c r="X606" s="6"/>
      <c r="Y606" s="6"/>
      <c r="Z606" s="7">
        <f t="shared" si="830"/>
        <v>0</v>
      </c>
      <c r="AA606" s="11">
        <f t="shared" si="831"/>
        <v>1</v>
      </c>
      <c r="AB606" s="25"/>
      <c r="AC606" s="10" t="str">
        <f t="shared" si="832"/>
        <v>OutubroSEMANA 3Açucar União Sache Cx 400</v>
      </c>
      <c r="AD606" s="7">
        <f>SUMIF(NF!$A:$A,$AC606,NF!$I:$I)</f>
        <v>0</v>
      </c>
      <c r="AE606" s="6"/>
      <c r="AF606" s="6"/>
      <c r="AG606" s="6"/>
      <c r="AH606" s="6"/>
      <c r="AI606" s="6"/>
      <c r="AJ606" s="6"/>
      <c r="AK606" s="6"/>
      <c r="AL606" s="7">
        <f t="shared" si="833"/>
        <v>0</v>
      </c>
      <c r="AM606" s="11">
        <f t="shared" si="834"/>
        <v>1</v>
      </c>
      <c r="AN606" s="25"/>
      <c r="AO606" s="10" t="str">
        <f t="shared" si="835"/>
        <v>OutubroSEMANA 4Açucar União Sache Cx 400</v>
      </c>
      <c r="AP606" s="7">
        <f>SUMIF(NF!$A:$A,$AO606,NF!$I:$I)</f>
        <v>0</v>
      </c>
      <c r="AQ606" s="6"/>
      <c r="AR606" s="6"/>
      <c r="AS606" s="6"/>
      <c r="AT606" s="6"/>
      <c r="AU606" s="6">
        <v>1</v>
      </c>
      <c r="AV606" s="6"/>
      <c r="AW606" s="6"/>
      <c r="AX606" s="7">
        <f t="shared" si="836"/>
        <v>1</v>
      </c>
      <c r="AY606" s="11">
        <f t="shared" si="837"/>
        <v>0</v>
      </c>
      <c r="AZ606" s="25"/>
      <c r="BA606" s="10" t="str">
        <f t="shared" si="838"/>
        <v>OutubroSEMANA 5Açucar União Sache Cx 400</v>
      </c>
      <c r="BB606" s="7">
        <f>SUMIF(NF!$A:$A,$BA606,NF!$I:$I)</f>
        <v>0</v>
      </c>
      <c r="BC606" s="6"/>
      <c r="BD606" s="6"/>
      <c r="BE606" s="6"/>
      <c r="BF606" s="74"/>
      <c r="BG606" s="74"/>
      <c r="BH606" s="74"/>
      <c r="BI606" s="74"/>
      <c r="BJ606" s="74"/>
      <c r="BK606" s="7">
        <f t="shared" si="839"/>
        <v>0</v>
      </c>
      <c r="BL606" s="8">
        <f t="shared" si="840"/>
        <v>0</v>
      </c>
      <c r="BM606" s="51" t="str">
        <f>IFERROR(VLOOKUP(A606,NF!$M:$O,3,0),"")</f>
        <v>Mercado</v>
      </c>
      <c r="BN606" s="7">
        <f t="shared" si="841"/>
        <v>2</v>
      </c>
      <c r="BO606" s="8">
        <f t="array" ref="BO606">IFERROR(LARGE(IF(NF!$G$2:$G$3137='Mês atual'!A606,NF!$J$2:$J$3137),1),0)*BN606</f>
        <v>0</v>
      </c>
      <c r="BP606" s="50"/>
      <c r="BR606" s="147">
        <f t="array" ref="BR606">IFERROR(LARGE(IF(NF!$G$2:$G$3137='Mês atual'!A606,NF!$J$2:$J$3137),1),0)</f>
        <v>0</v>
      </c>
      <c r="BS606" s="143" t="str">
        <f>VLOOKUP(A606,NF!M:O,3,0)</f>
        <v>Mercado</v>
      </c>
    </row>
    <row r="607" spans="1:74" x14ac:dyDescent="0.25">
      <c r="A607" s="108" t="s">
        <v>82</v>
      </c>
      <c r="B607" s="12"/>
      <c r="C607" s="9">
        <v>4</v>
      </c>
      <c r="D607" s="25"/>
      <c r="E607" s="10" t="str">
        <f t="shared" si="826"/>
        <v>OutubroSEMANA 1Adoçante Linea Stevia Cx 500</v>
      </c>
      <c r="F607" s="7">
        <f>SUMIF(NF!$A:$A,$E607,NF!$I:$I)</f>
        <v>0</v>
      </c>
      <c r="G607" s="6"/>
      <c r="H607" s="6"/>
      <c r="I607" s="6"/>
      <c r="J607" s="6"/>
      <c r="K607" s="6"/>
      <c r="L607" s="6"/>
      <c r="M607" s="6"/>
      <c r="N607" s="7">
        <f t="shared" si="827"/>
        <v>0</v>
      </c>
      <c r="O607" s="11">
        <f t="shared" si="828"/>
        <v>4</v>
      </c>
      <c r="P607" s="25"/>
      <c r="Q607" s="10" t="str">
        <f t="shared" si="829"/>
        <v>OutubroSEMANA 2Adoçante Linea Stevia Cx 500</v>
      </c>
      <c r="R607" s="7">
        <f>SUMIF(NF!$A:$A,$Q607,NF!$I:$I)</f>
        <v>0</v>
      </c>
      <c r="S607" s="6"/>
      <c r="T607" s="6"/>
      <c r="U607" s="6"/>
      <c r="V607" s="6"/>
      <c r="W607" s="6"/>
      <c r="X607" s="6"/>
      <c r="Y607" s="6"/>
      <c r="Z607" s="7">
        <f t="shared" si="830"/>
        <v>0</v>
      </c>
      <c r="AA607" s="11">
        <f t="shared" si="831"/>
        <v>4</v>
      </c>
      <c r="AB607" s="25"/>
      <c r="AC607" s="10" t="str">
        <f t="shared" si="832"/>
        <v>OutubroSEMANA 3Adoçante Linea Stevia Cx 500</v>
      </c>
      <c r="AD607" s="7">
        <f>SUMIF(NF!$A:$A,$AC607,NF!$I:$I)</f>
        <v>0</v>
      </c>
      <c r="AE607" s="6"/>
      <c r="AF607" s="6"/>
      <c r="AG607" s="6"/>
      <c r="AH607" s="6"/>
      <c r="AI607" s="6"/>
      <c r="AJ607" s="6"/>
      <c r="AK607" s="6"/>
      <c r="AL607" s="7">
        <f t="shared" si="833"/>
        <v>0</v>
      </c>
      <c r="AM607" s="11">
        <f t="shared" si="834"/>
        <v>4</v>
      </c>
      <c r="AN607" s="25"/>
      <c r="AO607" s="10" t="str">
        <f t="shared" si="835"/>
        <v>OutubroSEMANA 4Adoçante Linea Stevia Cx 500</v>
      </c>
      <c r="AP607" s="7">
        <f>SUMIF(NF!$A:$A,$AO607,NF!$I:$I)</f>
        <v>0</v>
      </c>
      <c r="AQ607" s="6"/>
      <c r="AR607" s="6"/>
      <c r="AS607" s="6"/>
      <c r="AT607" s="6"/>
      <c r="AU607" s="6"/>
      <c r="AV607" s="6"/>
      <c r="AW607" s="6">
        <v>1</v>
      </c>
      <c r="AX607" s="7">
        <f t="shared" si="836"/>
        <v>1</v>
      </c>
      <c r="AY607" s="11">
        <f t="shared" si="837"/>
        <v>3</v>
      </c>
      <c r="AZ607" s="25"/>
      <c r="BA607" s="10" t="str">
        <f t="shared" si="838"/>
        <v>OutubroSEMANA 5Adoçante Linea Stevia Cx 500</v>
      </c>
      <c r="BB607" s="7">
        <f>SUMIF(NF!$A:$A,$BA607,NF!$I:$I)</f>
        <v>0</v>
      </c>
      <c r="BC607" s="6"/>
      <c r="BD607" s="6"/>
      <c r="BE607" s="6"/>
      <c r="BF607" s="74"/>
      <c r="BG607" s="74"/>
      <c r="BH607" s="74"/>
      <c r="BI607" s="74"/>
      <c r="BJ607" s="74"/>
      <c r="BK607" s="7">
        <f t="shared" si="839"/>
        <v>0</v>
      </c>
      <c r="BL607" s="8">
        <f t="shared" si="840"/>
        <v>3</v>
      </c>
      <c r="BM607" s="51" t="str">
        <f>IFERROR(VLOOKUP(A607,NF!$M:$O,3,0),"")</f>
        <v>Mercado</v>
      </c>
      <c r="BN607" s="7">
        <f t="shared" si="841"/>
        <v>1</v>
      </c>
      <c r="BO607" s="8">
        <f t="array" ref="BO607">IFERROR(LARGE(IF(NF!$G$2:$G$3137='Mês atual'!A607,NF!$J$2:$J$3137),1),0)*BN607</f>
        <v>0</v>
      </c>
      <c r="BP607" s="50"/>
      <c r="BR607" s="147">
        <f t="array" ref="BR607">IFERROR(LARGE(IF(NF!$G$2:$G$3137='Mês atual'!A607,NF!$J$2:$J$3137),1),0)</f>
        <v>0</v>
      </c>
      <c r="BS607" s="143" t="str">
        <f>VLOOKUP(A607,NF!M:O,3,0)</f>
        <v>Mercado</v>
      </c>
    </row>
    <row r="608" spans="1:74" x14ac:dyDescent="0.25">
      <c r="A608" s="108" t="s">
        <v>83</v>
      </c>
      <c r="B608" s="12"/>
      <c r="C608" s="9">
        <v>2</v>
      </c>
      <c r="D608" s="25"/>
      <c r="E608" s="10" t="str">
        <f t="shared" si="826"/>
        <v>OutubroSEMANA 1Adoçante Linea Suclarose Cx 1000</v>
      </c>
      <c r="F608" s="7">
        <f>SUMIF(NF!$A:$A,$E608,NF!$I:$I)</f>
        <v>0</v>
      </c>
      <c r="G608" s="6"/>
      <c r="H608" s="6"/>
      <c r="I608" s="6"/>
      <c r="J608" s="6"/>
      <c r="K608" s="6"/>
      <c r="L608" s="6">
        <v>1</v>
      </c>
      <c r="M608" s="6"/>
      <c r="N608" s="7">
        <f t="shared" si="827"/>
        <v>1</v>
      </c>
      <c r="O608" s="11">
        <f t="shared" si="828"/>
        <v>1</v>
      </c>
      <c r="P608" s="25"/>
      <c r="Q608" s="10" t="str">
        <f t="shared" si="829"/>
        <v>OutubroSEMANA 2Adoçante Linea Suclarose Cx 1000</v>
      </c>
      <c r="R608" s="7">
        <f>SUMIF(NF!$A:$A,$Q608,NF!$I:$I)</f>
        <v>0</v>
      </c>
      <c r="S608" s="6"/>
      <c r="T608" s="6"/>
      <c r="U608" s="6"/>
      <c r="V608" s="6"/>
      <c r="W608" s="6"/>
      <c r="X608" s="6"/>
      <c r="Y608" s="6"/>
      <c r="Z608" s="7">
        <f t="shared" si="830"/>
        <v>0</v>
      </c>
      <c r="AA608" s="11">
        <f t="shared" si="831"/>
        <v>1</v>
      </c>
      <c r="AB608" s="25"/>
      <c r="AC608" s="10" t="str">
        <f t="shared" si="832"/>
        <v>OutubroSEMANA 3Adoçante Linea Suclarose Cx 1000</v>
      </c>
      <c r="AD608" s="7">
        <f>SUMIF(NF!$A:$A,$AC608,NF!$I:$I)</f>
        <v>0</v>
      </c>
      <c r="AE608" s="6"/>
      <c r="AF608" s="6"/>
      <c r="AG608" s="6"/>
      <c r="AH608" s="6"/>
      <c r="AI608" s="6"/>
      <c r="AJ608" s="6"/>
      <c r="AK608" s="6"/>
      <c r="AL608" s="7">
        <f t="shared" si="833"/>
        <v>0</v>
      </c>
      <c r="AM608" s="11">
        <f t="shared" si="834"/>
        <v>1</v>
      </c>
      <c r="AN608" s="25"/>
      <c r="AO608" s="10" t="str">
        <f t="shared" si="835"/>
        <v>OutubroSEMANA 4Adoçante Linea Suclarose Cx 1000</v>
      </c>
      <c r="AP608" s="7">
        <f>SUMIF(NF!$A:$A,$AO608,NF!$I:$I)</f>
        <v>0</v>
      </c>
      <c r="AQ608" s="6"/>
      <c r="AR608" s="6"/>
      <c r="AS608" s="6"/>
      <c r="AT608" s="6"/>
      <c r="AU608" s="6"/>
      <c r="AV608" s="6"/>
      <c r="AW608" s="6">
        <v>1</v>
      </c>
      <c r="AX608" s="7">
        <f t="shared" si="836"/>
        <v>1</v>
      </c>
      <c r="AY608" s="11">
        <f t="shared" si="837"/>
        <v>0</v>
      </c>
      <c r="AZ608" s="25"/>
      <c r="BA608" s="10" t="str">
        <f t="shared" si="838"/>
        <v>OutubroSEMANA 5Adoçante Linea Suclarose Cx 1000</v>
      </c>
      <c r="BB608" s="7">
        <f>SUMIF(NF!$A:$A,$BA608,NF!$I:$I)</f>
        <v>0</v>
      </c>
      <c r="BC608" s="6"/>
      <c r="BD608" s="6"/>
      <c r="BE608" s="6"/>
      <c r="BF608" s="74"/>
      <c r="BG608" s="74"/>
      <c r="BH608" s="74"/>
      <c r="BI608" s="74"/>
      <c r="BJ608" s="74"/>
      <c r="BK608" s="7">
        <f t="shared" si="839"/>
        <v>0</v>
      </c>
      <c r="BL608" s="8">
        <f t="shared" si="840"/>
        <v>0</v>
      </c>
      <c r="BM608" s="51" t="str">
        <f>IFERROR(VLOOKUP(A608,NF!$M:$O,3,0),"")</f>
        <v>Mercado</v>
      </c>
      <c r="BN608" s="7">
        <f t="shared" si="841"/>
        <v>2</v>
      </c>
      <c r="BO608" s="8">
        <f t="array" ref="BO608">IFERROR(LARGE(IF(NF!$G$2:$G$3137='Mês atual'!A608,NF!$J$2:$J$3137),1),0)*BN608</f>
        <v>0</v>
      </c>
      <c r="BP608" s="50"/>
      <c r="BR608" s="147">
        <f t="array" ref="BR608">IFERROR(LARGE(IF(NF!$G$2:$G$3137='Mês atual'!A608,NF!$J$2:$J$3137),1),0)</f>
        <v>0</v>
      </c>
      <c r="BS608" s="143" t="str">
        <f>VLOOKUP(A608,NF!M:O,3,0)</f>
        <v>Mercado</v>
      </c>
    </row>
    <row r="609" spans="1:71" x14ac:dyDescent="0.25">
      <c r="A609" s="108" t="s">
        <v>97</v>
      </c>
      <c r="B609" s="12"/>
      <c r="C609" s="9"/>
      <c r="D609" s="25"/>
      <c r="E609" s="10" t="str">
        <f t="shared" si="826"/>
        <v>OutubroSEMANA 1Alcachofra cong. 400G</v>
      </c>
      <c r="F609" s="7">
        <f>SUMIF(NF!$A:$A,$E609,NF!$I:$I)</f>
        <v>0</v>
      </c>
      <c r="G609" s="6"/>
      <c r="H609" s="6"/>
      <c r="I609" s="6"/>
      <c r="J609" s="6"/>
      <c r="K609" s="6"/>
      <c r="L609" s="6"/>
      <c r="M609" s="6"/>
      <c r="N609" s="7">
        <f t="shared" si="827"/>
        <v>0</v>
      </c>
      <c r="O609" s="11">
        <f t="shared" si="828"/>
        <v>0</v>
      </c>
      <c r="P609" s="25"/>
      <c r="Q609" s="10" t="str">
        <f t="shared" si="829"/>
        <v>OutubroSEMANA 2Alcachofra cong. 400G</v>
      </c>
      <c r="R609" s="7">
        <f>SUMIF(NF!$A:$A,$Q609,NF!$I:$I)</f>
        <v>0</v>
      </c>
      <c r="S609" s="6"/>
      <c r="T609" s="6"/>
      <c r="U609" s="6"/>
      <c r="V609" s="6"/>
      <c r="W609" s="6"/>
      <c r="X609" s="6"/>
      <c r="Y609" s="6"/>
      <c r="Z609" s="7">
        <f t="shared" si="830"/>
        <v>0</v>
      </c>
      <c r="AA609" s="11">
        <f t="shared" si="831"/>
        <v>0</v>
      </c>
      <c r="AB609" s="25"/>
      <c r="AC609" s="10" t="str">
        <f t="shared" si="832"/>
        <v>OutubroSEMANA 3Alcachofra cong. 400G</v>
      </c>
      <c r="AD609" s="7">
        <f>SUMIF(NF!$A:$A,$AC609,NF!$I:$I)</f>
        <v>0</v>
      </c>
      <c r="AE609" s="6"/>
      <c r="AF609" s="6"/>
      <c r="AG609" s="6"/>
      <c r="AH609" s="6"/>
      <c r="AI609" s="6"/>
      <c r="AJ609" s="6"/>
      <c r="AK609" s="6"/>
      <c r="AL609" s="7">
        <f t="shared" si="833"/>
        <v>0</v>
      </c>
      <c r="AM609" s="11">
        <f t="shared" si="834"/>
        <v>0</v>
      </c>
      <c r="AN609" s="25"/>
      <c r="AO609" s="10" t="str">
        <f t="shared" si="835"/>
        <v>OutubroSEMANA 4Alcachofra cong. 400G</v>
      </c>
      <c r="AP609" s="7">
        <f>SUMIF(NF!$A:$A,$AO609,NF!$I:$I)</f>
        <v>0</v>
      </c>
      <c r="AQ609" s="6"/>
      <c r="AR609" s="6"/>
      <c r="AS609" s="6"/>
      <c r="AT609" s="6"/>
      <c r="AU609" s="6"/>
      <c r="AV609" s="6"/>
      <c r="AW609" s="6"/>
      <c r="AX609" s="7">
        <f t="shared" si="836"/>
        <v>0</v>
      </c>
      <c r="AY609" s="11">
        <f t="shared" si="837"/>
        <v>0</v>
      </c>
      <c r="AZ609" s="25"/>
      <c r="BA609" s="10" t="str">
        <f t="shared" si="838"/>
        <v>OutubroSEMANA 5Alcachofra cong. 400G</v>
      </c>
      <c r="BB609" s="7">
        <f>SUMIF(NF!$A:$A,$BA609,NF!$I:$I)</f>
        <v>0</v>
      </c>
      <c r="BC609" s="6"/>
      <c r="BD609" s="6"/>
      <c r="BE609" s="6"/>
      <c r="BF609" s="74"/>
      <c r="BG609" s="74"/>
      <c r="BH609" s="74"/>
      <c r="BI609" s="74"/>
      <c r="BJ609" s="74"/>
      <c r="BK609" s="7">
        <f t="shared" si="839"/>
        <v>0</v>
      </c>
      <c r="BL609" s="8">
        <f t="shared" si="840"/>
        <v>0</v>
      </c>
      <c r="BM609" s="51" t="str">
        <f>IFERROR(VLOOKUP(A609,NF!$M:$O,3,0),"")</f>
        <v>Mercado</v>
      </c>
      <c r="BN609" s="7">
        <f t="shared" si="841"/>
        <v>0</v>
      </c>
      <c r="BO609" s="8">
        <f t="array" ref="BO609">IFERROR(LARGE(IF(NF!$G$2:$G$3137='Mês atual'!A609,NF!$J$2:$J$3137),1),0)*BN609</f>
        <v>0</v>
      </c>
      <c r="BP609" s="50"/>
      <c r="BR609" s="147">
        <f t="array" ref="BR609">IFERROR(LARGE(IF(NF!$G$2:$G$3137='Mês atual'!A609,NF!$J$2:$J$3137),1),0)</f>
        <v>0</v>
      </c>
      <c r="BS609" s="143" t="str">
        <f>VLOOKUP(A609,NF!M:O,3,0)</f>
        <v>Mercado</v>
      </c>
    </row>
    <row r="610" spans="1:71" x14ac:dyDescent="0.25">
      <c r="A610" s="108" t="s">
        <v>98</v>
      </c>
      <c r="B610" s="12"/>
      <c r="C610" s="9">
        <v>2</v>
      </c>
      <c r="D610" s="25"/>
      <c r="E610" s="10" t="str">
        <f t="shared" si="826"/>
        <v>OutubroSEMANA 1Alcaparras BD 2KG</v>
      </c>
      <c r="F610" s="7">
        <f>SUMIF(NF!$A:$A,$E610,NF!$I:$I)</f>
        <v>0</v>
      </c>
      <c r="G610" s="6"/>
      <c r="H610" s="6"/>
      <c r="I610" s="6"/>
      <c r="J610" s="6"/>
      <c r="K610" s="6"/>
      <c r="L610" s="6"/>
      <c r="M610" s="6"/>
      <c r="N610" s="7">
        <f t="shared" si="827"/>
        <v>0</v>
      </c>
      <c r="O610" s="11">
        <f t="shared" si="828"/>
        <v>2</v>
      </c>
      <c r="P610" s="25"/>
      <c r="Q610" s="10" t="str">
        <f t="shared" si="829"/>
        <v>OutubroSEMANA 2Alcaparras BD 2KG</v>
      </c>
      <c r="R610" s="7">
        <f>SUMIF(NF!$A:$A,$Q610,NF!$I:$I)</f>
        <v>0</v>
      </c>
      <c r="S610" s="6"/>
      <c r="T610" s="6"/>
      <c r="U610" s="6"/>
      <c r="V610" s="6"/>
      <c r="W610" s="6"/>
      <c r="X610" s="6"/>
      <c r="Y610" s="6"/>
      <c r="Z610" s="7">
        <f t="shared" si="830"/>
        <v>0</v>
      </c>
      <c r="AA610" s="11">
        <f t="shared" si="831"/>
        <v>2</v>
      </c>
      <c r="AB610" s="25"/>
      <c r="AC610" s="10" t="str">
        <f t="shared" si="832"/>
        <v>OutubroSEMANA 3Alcaparras BD 2KG</v>
      </c>
      <c r="AD610" s="7">
        <f>SUMIF(NF!$A:$A,$AC610,NF!$I:$I)</f>
        <v>0</v>
      </c>
      <c r="AE610" s="6"/>
      <c r="AF610" s="6"/>
      <c r="AG610" s="6"/>
      <c r="AH610" s="6"/>
      <c r="AI610" s="6"/>
      <c r="AJ610" s="6">
        <v>1</v>
      </c>
      <c r="AK610" s="6"/>
      <c r="AL610" s="7">
        <f t="shared" si="833"/>
        <v>1</v>
      </c>
      <c r="AM610" s="11">
        <f t="shared" si="834"/>
        <v>1</v>
      </c>
      <c r="AN610" s="25"/>
      <c r="AO610" s="10" t="str">
        <f t="shared" si="835"/>
        <v>OutubroSEMANA 4Alcaparras BD 2KG</v>
      </c>
      <c r="AP610" s="7">
        <f>SUMIF(NF!$A:$A,$AO610,NF!$I:$I)</f>
        <v>0</v>
      </c>
      <c r="AQ610" s="6"/>
      <c r="AR610" s="6"/>
      <c r="AS610" s="6"/>
      <c r="AT610" s="6"/>
      <c r="AU610" s="6"/>
      <c r="AV610" s="6"/>
      <c r="AW610" s="6"/>
      <c r="AX610" s="7">
        <f t="shared" si="836"/>
        <v>0</v>
      </c>
      <c r="AY610" s="11">
        <f t="shared" si="837"/>
        <v>1</v>
      </c>
      <c r="AZ610" s="25"/>
      <c r="BA610" s="10" t="str">
        <f t="shared" si="838"/>
        <v>OutubroSEMANA 5Alcaparras BD 2KG</v>
      </c>
      <c r="BB610" s="7">
        <f>SUMIF(NF!$A:$A,$BA610,NF!$I:$I)</f>
        <v>0</v>
      </c>
      <c r="BC610" s="6"/>
      <c r="BD610" s="6"/>
      <c r="BE610" s="6"/>
      <c r="BF610" s="74"/>
      <c r="BG610" s="74"/>
      <c r="BH610" s="74"/>
      <c r="BI610" s="74"/>
      <c r="BJ610" s="74"/>
      <c r="BK610" s="7">
        <f t="shared" si="839"/>
        <v>0</v>
      </c>
      <c r="BL610" s="8">
        <f t="shared" si="840"/>
        <v>1</v>
      </c>
      <c r="BM610" s="51" t="str">
        <f>IFERROR(VLOOKUP(A610,NF!$M:$O,3,0),"")</f>
        <v>Mercado</v>
      </c>
      <c r="BN610" s="7">
        <f t="shared" si="841"/>
        <v>1</v>
      </c>
      <c r="BO610" s="8">
        <f t="array" ref="BO610">IFERROR(LARGE(IF(NF!$G$2:$G$3137='Mês atual'!A610,NF!$J$2:$J$3137),1),0)*BN610</f>
        <v>0</v>
      </c>
      <c r="BP610" s="50"/>
      <c r="BR610" s="147">
        <f t="array" ref="BR610">IFERROR(LARGE(IF(NF!$G$2:$G$3137='Mês atual'!A610,NF!$J$2:$J$3137),1),0)</f>
        <v>0</v>
      </c>
      <c r="BS610" s="143" t="str">
        <f>VLOOKUP(A610,NF!M:O,3,0)</f>
        <v>Mercado</v>
      </c>
    </row>
    <row r="611" spans="1:71" x14ac:dyDescent="0.25">
      <c r="A611" s="108" t="s">
        <v>115</v>
      </c>
      <c r="B611" s="12"/>
      <c r="C611" s="9"/>
      <c r="D611" s="25"/>
      <c r="E611" s="10" t="str">
        <f t="shared" si="826"/>
        <v>OutubroSEMANA 1Aliche</v>
      </c>
      <c r="F611" s="7">
        <f>SUMIF(NF!$A:$A,$E611,NF!$I:$I)</f>
        <v>0</v>
      </c>
      <c r="G611" s="6"/>
      <c r="H611" s="6"/>
      <c r="I611" s="6"/>
      <c r="J611" s="6"/>
      <c r="K611" s="6"/>
      <c r="L611" s="6"/>
      <c r="M611" s="6"/>
      <c r="N611" s="7">
        <f t="shared" si="827"/>
        <v>0</v>
      </c>
      <c r="O611" s="11">
        <f t="shared" si="828"/>
        <v>0</v>
      </c>
      <c r="P611" s="25"/>
      <c r="Q611" s="10" t="str">
        <f t="shared" si="829"/>
        <v>OutubroSEMANA 2Aliche</v>
      </c>
      <c r="R611" s="7">
        <f>SUMIF(NF!$A:$A,$Q611,NF!$I:$I)</f>
        <v>0</v>
      </c>
      <c r="S611" s="6"/>
      <c r="T611" s="6"/>
      <c r="U611" s="6"/>
      <c r="V611" s="6"/>
      <c r="W611" s="6"/>
      <c r="X611" s="6"/>
      <c r="Y611" s="6"/>
      <c r="Z611" s="7">
        <f t="shared" si="830"/>
        <v>0</v>
      </c>
      <c r="AA611" s="11">
        <f t="shared" si="831"/>
        <v>0</v>
      </c>
      <c r="AB611" s="25"/>
      <c r="AC611" s="10" t="str">
        <f t="shared" si="832"/>
        <v>OutubroSEMANA 3Aliche</v>
      </c>
      <c r="AD611" s="7">
        <f>SUMIF(NF!$A:$A,$AC611,NF!$I:$I)</f>
        <v>0</v>
      </c>
      <c r="AE611" s="6"/>
      <c r="AF611" s="6"/>
      <c r="AG611" s="6"/>
      <c r="AH611" s="6"/>
      <c r="AI611" s="6"/>
      <c r="AJ611" s="6"/>
      <c r="AK611" s="6"/>
      <c r="AL611" s="7">
        <f t="shared" si="833"/>
        <v>0</v>
      </c>
      <c r="AM611" s="11">
        <f t="shared" si="834"/>
        <v>0</v>
      </c>
      <c r="AN611" s="25"/>
      <c r="AO611" s="10" t="str">
        <f t="shared" si="835"/>
        <v>OutubroSEMANA 4Aliche</v>
      </c>
      <c r="AP611" s="7">
        <f>SUMIF(NF!$A:$A,$AO611,NF!$I:$I)</f>
        <v>0</v>
      </c>
      <c r="AQ611" s="6"/>
      <c r="AR611" s="6"/>
      <c r="AS611" s="6"/>
      <c r="AT611" s="6"/>
      <c r="AU611" s="6"/>
      <c r="AV611" s="6"/>
      <c r="AW611" s="6"/>
      <c r="AX611" s="7">
        <f t="shared" si="836"/>
        <v>0</v>
      </c>
      <c r="AY611" s="11">
        <f t="shared" si="837"/>
        <v>0</v>
      </c>
      <c r="AZ611" s="25"/>
      <c r="BA611" s="10" t="str">
        <f t="shared" si="838"/>
        <v>OutubroSEMANA 5Aliche</v>
      </c>
      <c r="BB611" s="7">
        <f>SUMIF(NF!$A:$A,$BA611,NF!$I:$I)</f>
        <v>0</v>
      </c>
      <c r="BC611" s="6"/>
      <c r="BD611" s="6"/>
      <c r="BE611" s="6"/>
      <c r="BF611" s="74"/>
      <c r="BG611" s="74"/>
      <c r="BH611" s="74"/>
      <c r="BI611" s="74"/>
      <c r="BJ611" s="74"/>
      <c r="BK611" s="7">
        <f t="shared" si="839"/>
        <v>0</v>
      </c>
      <c r="BL611" s="8">
        <f t="shared" si="840"/>
        <v>0</v>
      </c>
      <c r="BM611" s="51" t="str">
        <f>IFERROR(VLOOKUP(A611,NF!$M:$O,3,0),"")</f>
        <v>Mercado</v>
      </c>
      <c r="BN611" s="7">
        <f t="shared" si="841"/>
        <v>0</v>
      </c>
      <c r="BO611" s="8">
        <f t="array" ref="BO611">IFERROR(LARGE(IF(NF!$G$2:$G$3137='Mês atual'!A611,NF!$J$2:$J$3137),1),0)*BN611</f>
        <v>0</v>
      </c>
      <c r="BP611" s="50"/>
      <c r="BR611" s="147">
        <f t="array" ref="BR611">IFERROR(LARGE(IF(NF!$G$2:$G$3137='Mês atual'!A611,NF!$J$2:$J$3137),1),0)</f>
        <v>0</v>
      </c>
      <c r="BS611" s="143" t="str">
        <f>VLOOKUP(A611,NF!M:O,3,0)</f>
        <v>Mercado</v>
      </c>
    </row>
    <row r="612" spans="1:71" x14ac:dyDescent="0.25">
      <c r="A612" s="108" t="s">
        <v>116</v>
      </c>
      <c r="B612" s="12"/>
      <c r="C612" s="9">
        <v>1</v>
      </c>
      <c r="D612" s="25"/>
      <c r="E612" s="10" t="str">
        <f t="shared" si="826"/>
        <v>OutubroSEMANA 1Ameixa sem Caroço</v>
      </c>
      <c r="F612" s="7">
        <f>SUMIF(NF!$A:$A,$E612,NF!$I:$I)</f>
        <v>0</v>
      </c>
      <c r="G612" s="6"/>
      <c r="H612" s="6"/>
      <c r="I612" s="6"/>
      <c r="J612" s="6"/>
      <c r="K612" s="6"/>
      <c r="L612" s="6"/>
      <c r="M612" s="6"/>
      <c r="N612" s="7">
        <f t="shared" si="827"/>
        <v>0</v>
      </c>
      <c r="O612" s="11">
        <f t="shared" si="828"/>
        <v>1</v>
      </c>
      <c r="P612" s="25"/>
      <c r="Q612" s="10" t="str">
        <f t="shared" si="829"/>
        <v>OutubroSEMANA 2Ameixa sem Caroço</v>
      </c>
      <c r="R612" s="7">
        <f>SUMIF(NF!$A:$A,$Q612,NF!$I:$I)</f>
        <v>0</v>
      </c>
      <c r="S612" s="6"/>
      <c r="T612" s="6"/>
      <c r="U612" s="6"/>
      <c r="V612" s="6"/>
      <c r="W612" s="6"/>
      <c r="X612" s="6"/>
      <c r="Y612" s="6"/>
      <c r="Z612" s="7">
        <f t="shared" si="830"/>
        <v>0</v>
      </c>
      <c r="AA612" s="11">
        <f t="shared" si="831"/>
        <v>1</v>
      </c>
      <c r="AB612" s="25"/>
      <c r="AC612" s="10" t="str">
        <f t="shared" si="832"/>
        <v>OutubroSEMANA 3Ameixa sem Caroço</v>
      </c>
      <c r="AD612" s="7">
        <f>SUMIF(NF!$A:$A,$AC612,NF!$I:$I)</f>
        <v>0</v>
      </c>
      <c r="AE612" s="6"/>
      <c r="AF612" s="6"/>
      <c r="AG612" s="6"/>
      <c r="AH612" s="6"/>
      <c r="AI612" s="6"/>
      <c r="AJ612" s="6">
        <v>0.5</v>
      </c>
      <c r="AK612" s="6"/>
      <c r="AL612" s="7">
        <f t="shared" si="833"/>
        <v>0.5</v>
      </c>
      <c r="AM612" s="11">
        <f t="shared" si="834"/>
        <v>0.5</v>
      </c>
      <c r="AN612" s="25"/>
      <c r="AO612" s="10" t="str">
        <f t="shared" si="835"/>
        <v>OutubroSEMANA 4Ameixa sem Caroço</v>
      </c>
      <c r="AP612" s="7">
        <f>SUMIF(NF!$A:$A,$AO612,NF!$I:$I)</f>
        <v>1</v>
      </c>
      <c r="AQ612" s="6"/>
      <c r="AR612" s="6">
        <v>0.5</v>
      </c>
      <c r="AS612" s="6"/>
      <c r="AT612" s="6"/>
      <c r="AU612" s="6"/>
      <c r="AV612" s="6"/>
      <c r="AW612" s="6"/>
      <c r="AX612" s="7">
        <f t="shared" si="836"/>
        <v>0.5</v>
      </c>
      <c r="AY612" s="11">
        <f t="shared" si="837"/>
        <v>1</v>
      </c>
      <c r="AZ612" s="25"/>
      <c r="BA612" s="10" t="str">
        <f t="shared" si="838"/>
        <v>OutubroSEMANA 5Ameixa sem Caroço</v>
      </c>
      <c r="BB612" s="7">
        <f>SUMIF(NF!$A:$A,$BA612,NF!$I:$I)</f>
        <v>0</v>
      </c>
      <c r="BC612" s="6"/>
      <c r="BD612" s="6"/>
      <c r="BE612" s="6"/>
      <c r="BF612" s="74"/>
      <c r="BG612" s="74"/>
      <c r="BH612" s="74"/>
      <c r="BI612" s="74"/>
      <c r="BJ612" s="74"/>
      <c r="BK612" s="7">
        <f t="shared" si="839"/>
        <v>0</v>
      </c>
      <c r="BL612" s="8">
        <f t="shared" si="840"/>
        <v>1</v>
      </c>
      <c r="BM612" s="51" t="str">
        <f>IFERROR(VLOOKUP(A612,NF!$M:$O,3,0),"")</f>
        <v>Mercado</v>
      </c>
      <c r="BN612" s="7">
        <f t="shared" si="841"/>
        <v>1</v>
      </c>
      <c r="BO612" s="8">
        <f t="array" ref="BO612">IFERROR(LARGE(IF(NF!$G$2:$G$3137='Mês atual'!A612,NF!$J$2:$J$3137),1),0)*BN612</f>
        <v>15.9</v>
      </c>
      <c r="BP612" s="50"/>
      <c r="BR612" s="147">
        <f t="array" ref="BR612">IFERROR(LARGE(IF(NF!$G$2:$G$3137='Mês atual'!A612,NF!$J$2:$J$3137),1),0)</f>
        <v>15.9</v>
      </c>
      <c r="BS612" s="143" t="str">
        <f>VLOOKUP(A612,NF!M:O,3,0)</f>
        <v>Mercado</v>
      </c>
    </row>
    <row r="613" spans="1:71" x14ac:dyDescent="0.25">
      <c r="A613" s="108" t="s">
        <v>117</v>
      </c>
      <c r="B613" s="12"/>
      <c r="C613" s="9">
        <v>0.36799999999999999</v>
      </c>
      <c r="D613" s="25"/>
      <c r="E613" s="10" t="str">
        <f t="shared" si="826"/>
        <v>OutubroSEMANA 1Amendoa Fatiada</v>
      </c>
      <c r="F613" s="7">
        <f>SUMIF(NF!$A:$A,$E613,NF!$I:$I)</f>
        <v>0</v>
      </c>
      <c r="G613" s="6"/>
      <c r="H613" s="6"/>
      <c r="I613" s="6"/>
      <c r="J613" s="6"/>
      <c r="K613" s="6"/>
      <c r="L613" s="6">
        <v>0.36499999999999999</v>
      </c>
      <c r="M613" s="6"/>
      <c r="N613" s="7">
        <f t="shared" si="827"/>
        <v>0.36499999999999999</v>
      </c>
      <c r="O613" s="11">
        <f t="shared" si="828"/>
        <v>3.0000000000000027E-3</v>
      </c>
      <c r="P613" s="25"/>
      <c r="Q613" s="10" t="str">
        <f t="shared" si="829"/>
        <v>OutubroSEMANA 2Amendoa Fatiada</v>
      </c>
      <c r="R613" s="7">
        <f>SUMIF(NF!$A:$A,$Q613,NF!$I:$I)</f>
        <v>0.51200000000000001</v>
      </c>
      <c r="S613" s="6"/>
      <c r="T613" s="6"/>
      <c r="U613" s="6"/>
      <c r="V613" s="6"/>
      <c r="W613" s="6"/>
      <c r="X613" s="6"/>
      <c r="Y613" s="6"/>
      <c r="Z613" s="7">
        <f t="shared" si="830"/>
        <v>0</v>
      </c>
      <c r="AA613" s="11">
        <f t="shared" si="831"/>
        <v>0.51500000000000001</v>
      </c>
      <c r="AB613" s="25"/>
      <c r="AC613" s="10" t="str">
        <f t="shared" si="832"/>
        <v>OutubroSEMANA 3Amendoa Fatiada</v>
      </c>
      <c r="AD613" s="7">
        <f>SUMIF(NF!$A:$A,$AC613,NF!$I:$I)</f>
        <v>0</v>
      </c>
      <c r="AE613" s="6"/>
      <c r="AF613" s="6"/>
      <c r="AG613" s="6"/>
      <c r="AH613" s="6"/>
      <c r="AI613" s="6"/>
      <c r="AJ613" s="6"/>
      <c r="AK613" s="6"/>
      <c r="AL613" s="7">
        <f t="shared" si="833"/>
        <v>0</v>
      </c>
      <c r="AM613" s="11">
        <f t="shared" si="834"/>
        <v>0.51500000000000001</v>
      </c>
      <c r="AN613" s="25"/>
      <c r="AO613" s="10" t="str">
        <f t="shared" si="835"/>
        <v>OutubroSEMANA 4Amendoa Fatiada</v>
      </c>
      <c r="AP613" s="7">
        <f>SUMIF(NF!$A:$A,$AO613,NF!$I:$I)</f>
        <v>0</v>
      </c>
      <c r="AQ613" s="6"/>
      <c r="AR613" s="6"/>
      <c r="AS613" s="6"/>
      <c r="AT613" s="6"/>
      <c r="AU613" s="6"/>
      <c r="AV613" s="6"/>
      <c r="AW613" s="6"/>
      <c r="AX613" s="7">
        <f t="shared" si="836"/>
        <v>0</v>
      </c>
      <c r="AY613" s="11">
        <f t="shared" si="837"/>
        <v>0.51500000000000001</v>
      </c>
      <c r="AZ613" s="25"/>
      <c r="BA613" s="10" t="str">
        <f t="shared" si="838"/>
        <v>OutubroSEMANA 5Amendoa Fatiada</v>
      </c>
      <c r="BB613" s="7">
        <f>SUMIF(NF!$A:$A,$BA613,NF!$I:$I)</f>
        <v>0</v>
      </c>
      <c r="BC613" s="6">
        <v>0.51500000000000001</v>
      </c>
      <c r="BD613" s="6"/>
      <c r="BE613" s="6"/>
      <c r="BF613" s="74"/>
      <c r="BG613" s="74"/>
      <c r="BH613" s="74"/>
      <c r="BI613" s="74"/>
      <c r="BJ613" s="74"/>
      <c r="BK613" s="7">
        <f t="shared" si="839"/>
        <v>0.51500000000000001</v>
      </c>
      <c r="BL613" s="8">
        <f t="shared" si="840"/>
        <v>0</v>
      </c>
      <c r="BM613" s="51" t="str">
        <f>IFERROR(VLOOKUP(A613,NF!$M:$O,3,0),"")</f>
        <v>Mercado</v>
      </c>
      <c r="BN613" s="7">
        <f t="shared" si="841"/>
        <v>0.88</v>
      </c>
      <c r="BO613" s="8">
        <f t="array" ref="BO613">IFERROR(LARGE(IF(NF!$G$2:$G$3137='Mês atual'!A613,NF!$J$2:$J$3137),1),0)*BN613</f>
        <v>62.167159999999996</v>
      </c>
      <c r="BP613" s="50"/>
      <c r="BR613" s="147">
        <f t="array" ref="BR613">IFERROR(LARGE(IF(NF!$G$2:$G$3137='Mês atual'!A613,NF!$J$2:$J$3137),1),0)</f>
        <v>70.644499999999994</v>
      </c>
      <c r="BS613" s="143" t="str">
        <f>VLOOKUP(A613,NF!M:O,3,0)</f>
        <v>Mercado</v>
      </c>
    </row>
    <row r="614" spans="1:71" x14ac:dyDescent="0.25">
      <c r="A614" s="108" t="s">
        <v>118</v>
      </c>
      <c r="B614" s="12"/>
      <c r="C614" s="9"/>
      <c r="D614" s="25"/>
      <c r="E614" s="10" t="str">
        <f t="shared" si="826"/>
        <v>OutubroSEMANA 1Amendoa Inteira</v>
      </c>
      <c r="F614" s="7">
        <f>SUMIF(NF!$A:$A,$E614,NF!$I:$I)</f>
        <v>0</v>
      </c>
      <c r="G614" s="6"/>
      <c r="H614" s="6"/>
      <c r="I614" s="6"/>
      <c r="J614" s="6"/>
      <c r="K614" s="6"/>
      <c r="L614" s="6"/>
      <c r="M614" s="6"/>
      <c r="N614" s="7">
        <f t="shared" si="827"/>
        <v>0</v>
      </c>
      <c r="O614" s="11">
        <f t="shared" si="828"/>
        <v>0</v>
      </c>
      <c r="P614" s="25"/>
      <c r="Q614" s="10" t="str">
        <f t="shared" si="829"/>
        <v>OutubroSEMANA 2Amendoa Inteira</v>
      </c>
      <c r="R614" s="7">
        <f>SUMIF(NF!$A:$A,$Q614,NF!$I:$I)</f>
        <v>0</v>
      </c>
      <c r="S614" s="6"/>
      <c r="T614" s="6"/>
      <c r="U614" s="6"/>
      <c r="V614" s="6"/>
      <c r="W614" s="6"/>
      <c r="X614" s="6"/>
      <c r="Y614" s="6"/>
      <c r="Z614" s="7">
        <f t="shared" si="830"/>
        <v>0</v>
      </c>
      <c r="AA614" s="11">
        <f t="shared" si="831"/>
        <v>0</v>
      </c>
      <c r="AB614" s="25"/>
      <c r="AC614" s="10" t="str">
        <f t="shared" si="832"/>
        <v>OutubroSEMANA 3Amendoa Inteira</v>
      </c>
      <c r="AD614" s="7">
        <f>SUMIF(NF!$A:$A,$AC614,NF!$I:$I)</f>
        <v>0</v>
      </c>
      <c r="AE614" s="6"/>
      <c r="AF614" s="6"/>
      <c r="AG614" s="6"/>
      <c r="AH614" s="6"/>
      <c r="AI614" s="6"/>
      <c r="AJ614" s="6"/>
      <c r="AK614" s="6"/>
      <c r="AL614" s="7">
        <f t="shared" si="833"/>
        <v>0</v>
      </c>
      <c r="AM614" s="11">
        <f t="shared" si="834"/>
        <v>0</v>
      </c>
      <c r="AN614" s="25"/>
      <c r="AO614" s="10" t="str">
        <f t="shared" si="835"/>
        <v>OutubroSEMANA 4Amendoa Inteira</v>
      </c>
      <c r="AP614" s="7">
        <f>SUMIF(NF!$A:$A,$AO614,NF!$I:$I)</f>
        <v>0</v>
      </c>
      <c r="AQ614" s="6"/>
      <c r="AR614" s="6"/>
      <c r="AS614" s="6"/>
      <c r="AT614" s="6"/>
      <c r="AU614" s="6"/>
      <c r="AV614" s="6"/>
      <c r="AW614" s="6"/>
      <c r="AX614" s="7">
        <f t="shared" si="836"/>
        <v>0</v>
      </c>
      <c r="AY614" s="11">
        <f t="shared" si="837"/>
        <v>0</v>
      </c>
      <c r="AZ614" s="25"/>
      <c r="BA614" s="10" t="str">
        <f t="shared" si="838"/>
        <v>OutubroSEMANA 5Amendoa Inteira</v>
      </c>
      <c r="BB614" s="7">
        <f>SUMIF(NF!$A:$A,$BA614,NF!$I:$I)</f>
        <v>0</v>
      </c>
      <c r="BC614" s="6"/>
      <c r="BD614" s="6"/>
      <c r="BE614" s="6"/>
      <c r="BF614" s="74"/>
      <c r="BG614" s="74"/>
      <c r="BH614" s="74"/>
      <c r="BI614" s="74"/>
      <c r="BJ614" s="74"/>
      <c r="BK614" s="7">
        <f t="shared" si="839"/>
        <v>0</v>
      </c>
      <c r="BL614" s="8">
        <f t="shared" si="840"/>
        <v>0</v>
      </c>
      <c r="BM614" s="51" t="str">
        <f>IFERROR(VLOOKUP(A614,NF!$M:$O,3,0),"")</f>
        <v>Mercado</v>
      </c>
      <c r="BN614" s="7">
        <f t="shared" si="841"/>
        <v>0</v>
      </c>
      <c r="BO614" s="8">
        <f t="array" ref="BO614">IFERROR(LARGE(IF(NF!$G$2:$G$3137='Mês atual'!A614,NF!$J$2:$J$3137),1),0)*BN614</f>
        <v>0</v>
      </c>
      <c r="BP614" s="50"/>
      <c r="BR614" s="147">
        <f t="array" ref="BR614">IFERROR(LARGE(IF(NF!$G$2:$G$3137='Mês atual'!A614,NF!$J$2:$J$3137),1),0)</f>
        <v>0</v>
      </c>
      <c r="BS614" s="143" t="str">
        <f>VLOOKUP(A614,NF!M:O,3,0)</f>
        <v>Mercado</v>
      </c>
    </row>
    <row r="615" spans="1:71" x14ac:dyDescent="0.25">
      <c r="A615" s="108" t="s">
        <v>119</v>
      </c>
      <c r="B615" s="12"/>
      <c r="C615" s="9">
        <v>2</v>
      </c>
      <c r="D615" s="25"/>
      <c r="E615" s="10" t="str">
        <f t="shared" si="826"/>
        <v>OutubroSEMANA 1Amendoim Torrado</v>
      </c>
      <c r="F615" s="7">
        <f>SUMIF(NF!$A:$A,$E615,NF!$I:$I)</f>
        <v>0</v>
      </c>
      <c r="G615" s="6"/>
      <c r="H615" s="6"/>
      <c r="I615" s="6"/>
      <c r="J615" s="6"/>
      <c r="K615" s="6">
        <v>1</v>
      </c>
      <c r="L615" s="6"/>
      <c r="M615" s="6"/>
      <c r="N615" s="7">
        <f t="shared" si="827"/>
        <v>1</v>
      </c>
      <c r="O615" s="11">
        <f t="shared" si="828"/>
        <v>1</v>
      </c>
      <c r="P615" s="25"/>
      <c r="Q615" s="10" t="str">
        <f t="shared" si="829"/>
        <v>OutubroSEMANA 2Amendoim Torrado</v>
      </c>
      <c r="R615" s="7">
        <f>SUMIF(NF!$A:$A,$Q615,NF!$I:$I)</f>
        <v>1</v>
      </c>
      <c r="S615" s="6"/>
      <c r="T615" s="6"/>
      <c r="U615" s="6"/>
      <c r="V615" s="6"/>
      <c r="W615" s="6"/>
      <c r="X615" s="6"/>
      <c r="Y615" s="6"/>
      <c r="Z615" s="7">
        <f t="shared" si="830"/>
        <v>0</v>
      </c>
      <c r="AA615" s="11">
        <f t="shared" si="831"/>
        <v>2</v>
      </c>
      <c r="AB615" s="25"/>
      <c r="AC615" s="10" t="str">
        <f t="shared" si="832"/>
        <v>OutubroSEMANA 3Amendoim Torrado</v>
      </c>
      <c r="AD615" s="7">
        <f>SUMIF(NF!$A:$A,$AC615,NF!$I:$I)</f>
        <v>1</v>
      </c>
      <c r="AE615" s="6">
        <v>1</v>
      </c>
      <c r="AF615" s="6"/>
      <c r="AG615" s="6"/>
      <c r="AH615" s="6"/>
      <c r="AI615" s="6"/>
      <c r="AJ615" s="6"/>
      <c r="AK615" s="6"/>
      <c r="AL615" s="7">
        <f t="shared" si="833"/>
        <v>1</v>
      </c>
      <c r="AM615" s="11">
        <f t="shared" si="834"/>
        <v>2</v>
      </c>
      <c r="AN615" s="25"/>
      <c r="AO615" s="10" t="str">
        <f t="shared" si="835"/>
        <v>OutubroSEMANA 4Amendoim Torrado</v>
      </c>
      <c r="AP615" s="7">
        <f>SUMIF(NF!$A:$A,$AO615,NF!$I:$I)</f>
        <v>1</v>
      </c>
      <c r="AQ615" s="6"/>
      <c r="AR615" s="6">
        <v>1</v>
      </c>
      <c r="AS615" s="6"/>
      <c r="AT615" s="6"/>
      <c r="AU615" s="6"/>
      <c r="AV615" s="6"/>
      <c r="AW615" s="6"/>
      <c r="AX615" s="7">
        <f t="shared" si="836"/>
        <v>1</v>
      </c>
      <c r="AY615" s="11">
        <f t="shared" si="837"/>
        <v>2</v>
      </c>
      <c r="AZ615" s="25"/>
      <c r="BA615" s="10" t="str">
        <f t="shared" si="838"/>
        <v>OutubroSEMANA 5Amendoim Torrado</v>
      </c>
      <c r="BB615" s="7">
        <f>SUMIF(NF!$A:$A,$BA615,NF!$I:$I)</f>
        <v>0</v>
      </c>
      <c r="BC615" s="6"/>
      <c r="BD615" s="6"/>
      <c r="BE615" s="6"/>
      <c r="BF615" s="74"/>
      <c r="BG615" s="74"/>
      <c r="BH615" s="74"/>
      <c r="BI615" s="74"/>
      <c r="BJ615" s="74"/>
      <c r="BK615" s="7">
        <f t="shared" si="839"/>
        <v>0</v>
      </c>
      <c r="BL615" s="8">
        <f t="shared" si="840"/>
        <v>2</v>
      </c>
      <c r="BM615" s="51" t="str">
        <f>IFERROR(VLOOKUP(A615,NF!$M:$O,3,0),"")</f>
        <v>Mercado</v>
      </c>
      <c r="BN615" s="7">
        <f t="shared" si="841"/>
        <v>3</v>
      </c>
      <c r="BO615" s="8">
        <f t="array" ref="BO615">IFERROR(LARGE(IF(NF!$G$2:$G$3137='Mês atual'!A615,NF!$J$2:$J$3137),1),0)*BN615</f>
        <v>46.5</v>
      </c>
      <c r="BP615" s="50"/>
      <c r="BR615" s="147">
        <f t="array" ref="BR615">IFERROR(LARGE(IF(NF!$G$2:$G$3137='Mês atual'!A615,NF!$J$2:$J$3137),1),0)</f>
        <v>15.5</v>
      </c>
      <c r="BS615" s="143" t="str">
        <f>VLOOKUP(A615,NF!M:O,3,0)</f>
        <v>Mercado</v>
      </c>
    </row>
    <row r="616" spans="1:71" x14ac:dyDescent="0.25">
      <c r="A616" s="108" t="s">
        <v>124</v>
      </c>
      <c r="B616" s="12"/>
      <c r="C616" s="9"/>
      <c r="D616" s="25"/>
      <c r="E616" s="10" t="str">
        <f t="shared" si="826"/>
        <v>OutubroSEMANA 1Aniz Estrelado</v>
      </c>
      <c r="F616" s="7">
        <f>SUMIF(NF!$A:$A,$E616,NF!$I:$I)</f>
        <v>0</v>
      </c>
      <c r="G616" s="6"/>
      <c r="H616" s="6"/>
      <c r="I616" s="6"/>
      <c r="J616" s="6"/>
      <c r="K616" s="6"/>
      <c r="L616" s="6"/>
      <c r="M616" s="6"/>
      <c r="N616" s="7">
        <f t="shared" si="827"/>
        <v>0</v>
      </c>
      <c r="O616" s="11">
        <f t="shared" si="828"/>
        <v>0</v>
      </c>
      <c r="P616" s="25"/>
      <c r="Q616" s="10" t="str">
        <f t="shared" si="829"/>
        <v>OutubroSEMANA 2Aniz Estrelado</v>
      </c>
      <c r="R616" s="7">
        <f>SUMIF(NF!$A:$A,$Q616,NF!$I:$I)</f>
        <v>0</v>
      </c>
      <c r="S616" s="6"/>
      <c r="T616" s="6"/>
      <c r="U616" s="6"/>
      <c r="V616" s="6"/>
      <c r="W616" s="6"/>
      <c r="X616" s="6"/>
      <c r="Y616" s="6"/>
      <c r="Z616" s="7">
        <f t="shared" si="830"/>
        <v>0</v>
      </c>
      <c r="AA616" s="11">
        <f t="shared" si="831"/>
        <v>0</v>
      </c>
      <c r="AB616" s="25"/>
      <c r="AC616" s="10" t="str">
        <f t="shared" si="832"/>
        <v>OutubroSEMANA 3Aniz Estrelado</v>
      </c>
      <c r="AD616" s="7">
        <f>SUMIF(NF!$A:$A,$AC616,NF!$I:$I)</f>
        <v>0</v>
      </c>
      <c r="AE616" s="6"/>
      <c r="AF616" s="6"/>
      <c r="AG616" s="6"/>
      <c r="AH616" s="6"/>
      <c r="AI616" s="6"/>
      <c r="AJ616" s="6"/>
      <c r="AK616" s="6"/>
      <c r="AL616" s="7">
        <f t="shared" si="833"/>
        <v>0</v>
      </c>
      <c r="AM616" s="11">
        <f t="shared" si="834"/>
        <v>0</v>
      </c>
      <c r="AN616" s="25"/>
      <c r="AO616" s="10" t="str">
        <f t="shared" si="835"/>
        <v>OutubroSEMANA 4Aniz Estrelado</v>
      </c>
      <c r="AP616" s="7">
        <f>SUMIF(NF!$A:$A,$AO616,NF!$I:$I)</f>
        <v>0</v>
      </c>
      <c r="AQ616" s="6"/>
      <c r="AR616" s="6"/>
      <c r="AS616" s="6"/>
      <c r="AT616" s="6"/>
      <c r="AU616" s="6"/>
      <c r="AV616" s="6"/>
      <c r="AW616" s="6"/>
      <c r="AX616" s="7">
        <f t="shared" si="836"/>
        <v>0</v>
      </c>
      <c r="AY616" s="11">
        <f t="shared" si="837"/>
        <v>0</v>
      </c>
      <c r="AZ616" s="25"/>
      <c r="BA616" s="10" t="str">
        <f t="shared" si="838"/>
        <v>OutubroSEMANA 5Aniz Estrelado</v>
      </c>
      <c r="BB616" s="7">
        <f>SUMIF(NF!$A:$A,$BA616,NF!$I:$I)</f>
        <v>0</v>
      </c>
      <c r="BC616" s="6"/>
      <c r="BD616" s="6"/>
      <c r="BE616" s="6"/>
      <c r="BF616" s="74"/>
      <c r="BG616" s="74"/>
      <c r="BH616" s="74"/>
      <c r="BI616" s="74"/>
      <c r="BJ616" s="74"/>
      <c r="BK616" s="7">
        <f t="shared" si="839"/>
        <v>0</v>
      </c>
      <c r="BL616" s="8">
        <f t="shared" si="840"/>
        <v>0</v>
      </c>
      <c r="BM616" s="51" t="str">
        <f>IFERROR(VLOOKUP(A616,NF!$M:$O,3,0),"")</f>
        <v>Mercado</v>
      </c>
      <c r="BN616" s="7">
        <f t="shared" si="841"/>
        <v>0</v>
      </c>
      <c r="BO616" s="8">
        <f t="array" ref="BO616">IFERROR(LARGE(IF(NF!$G$2:$G$3137='Mês atual'!A616,NF!$J$2:$J$3137),1),0)*BN616</f>
        <v>0</v>
      </c>
      <c r="BP616" s="50"/>
      <c r="BR616" s="147">
        <f t="array" ref="BR616">IFERROR(LARGE(IF(NF!$G$2:$G$3137='Mês atual'!A616,NF!$J$2:$J$3137),1),0)</f>
        <v>0</v>
      </c>
      <c r="BS616" s="143" t="str">
        <f>VLOOKUP(A616,NF!M:O,3,0)</f>
        <v>Mercado</v>
      </c>
    </row>
    <row r="617" spans="1:71" x14ac:dyDescent="0.25">
      <c r="A617" s="108" t="s">
        <v>126</v>
      </c>
      <c r="B617" s="12"/>
      <c r="C617" s="9">
        <v>55</v>
      </c>
      <c r="D617" s="25"/>
      <c r="E617" s="10" t="str">
        <f t="shared" si="826"/>
        <v>OutubroSEMANA 1Arroz Branco</v>
      </c>
      <c r="F617" s="7">
        <f>SUMIF(NF!$A:$A,$E617,NF!$I:$I)</f>
        <v>30</v>
      </c>
      <c r="G617" s="6"/>
      <c r="H617" s="6">
        <v>10</v>
      </c>
      <c r="I617" s="6">
        <v>5</v>
      </c>
      <c r="J617" s="6">
        <v>5</v>
      </c>
      <c r="K617" s="6">
        <v>5</v>
      </c>
      <c r="L617" s="6">
        <v>5</v>
      </c>
      <c r="M617" s="6">
        <v>10</v>
      </c>
      <c r="N617" s="7">
        <f t="shared" si="827"/>
        <v>40</v>
      </c>
      <c r="O617" s="11">
        <f t="shared" si="828"/>
        <v>45</v>
      </c>
      <c r="P617" s="25"/>
      <c r="Q617" s="10" t="str">
        <f t="shared" si="829"/>
        <v>OutubroSEMANA 2Arroz Branco</v>
      </c>
      <c r="R617" s="7">
        <f>SUMIF(NF!$A:$A,$Q617,NF!$I:$I)</f>
        <v>30</v>
      </c>
      <c r="S617" s="6">
        <v>5</v>
      </c>
      <c r="T617" s="6">
        <v>5</v>
      </c>
      <c r="U617" s="6">
        <v>5</v>
      </c>
      <c r="V617" s="6"/>
      <c r="W617" s="6">
        <v>5</v>
      </c>
      <c r="X617" s="6">
        <v>10</v>
      </c>
      <c r="Y617" s="6">
        <v>5</v>
      </c>
      <c r="Z617" s="7">
        <f t="shared" si="830"/>
        <v>35</v>
      </c>
      <c r="AA617" s="11">
        <f t="shared" si="831"/>
        <v>40</v>
      </c>
      <c r="AB617" s="25"/>
      <c r="AC617" s="10" t="str">
        <f t="shared" si="832"/>
        <v>OutubroSEMANA 3Arroz Branco</v>
      </c>
      <c r="AD617" s="7">
        <f>SUMIF(NF!$A:$A,$AC617,NF!$I:$I)</f>
        <v>30</v>
      </c>
      <c r="AE617" s="6">
        <v>5</v>
      </c>
      <c r="AF617" s="6">
        <v>5</v>
      </c>
      <c r="AG617" s="6">
        <v>5</v>
      </c>
      <c r="AH617" s="6">
        <v>5</v>
      </c>
      <c r="AI617" s="6">
        <v>5</v>
      </c>
      <c r="AJ617" s="6">
        <v>5</v>
      </c>
      <c r="AK617" s="6">
        <v>5</v>
      </c>
      <c r="AL617" s="7">
        <f t="shared" si="833"/>
        <v>35</v>
      </c>
      <c r="AM617" s="11">
        <f t="shared" si="834"/>
        <v>35</v>
      </c>
      <c r="AN617" s="25"/>
      <c r="AO617" s="10" t="str">
        <f t="shared" si="835"/>
        <v>OutubroSEMANA 4Arroz Branco</v>
      </c>
      <c r="AP617" s="7">
        <f>SUMIF(NF!$A:$A,$AO617,NF!$I:$I)</f>
        <v>30</v>
      </c>
      <c r="AQ617" s="6">
        <v>5</v>
      </c>
      <c r="AR617" s="6">
        <v>5</v>
      </c>
      <c r="AS617" s="6">
        <v>5</v>
      </c>
      <c r="AT617" s="6">
        <v>5</v>
      </c>
      <c r="AU617" s="6">
        <v>5</v>
      </c>
      <c r="AV617" s="6">
        <v>5</v>
      </c>
      <c r="AW617" s="6">
        <v>5</v>
      </c>
      <c r="AX617" s="7">
        <f t="shared" si="836"/>
        <v>35</v>
      </c>
      <c r="AY617" s="11">
        <f t="shared" si="837"/>
        <v>30</v>
      </c>
      <c r="AZ617" s="25"/>
      <c r="BA617" s="10" t="str">
        <f t="shared" si="838"/>
        <v>OutubroSEMANA 5Arroz Branco</v>
      </c>
      <c r="BB617" s="7">
        <f>SUMIF(NF!$A:$A,$BA617,NF!$I:$I)</f>
        <v>0</v>
      </c>
      <c r="BC617" s="6">
        <v>5</v>
      </c>
      <c r="BD617" s="6">
        <v>10</v>
      </c>
      <c r="BE617" s="6">
        <v>5</v>
      </c>
      <c r="BF617" s="74"/>
      <c r="BG617" s="74"/>
      <c r="BH617" s="74"/>
      <c r="BI617" s="74"/>
      <c r="BJ617" s="74"/>
      <c r="BK617" s="7">
        <f t="shared" si="839"/>
        <v>20</v>
      </c>
      <c r="BL617" s="8">
        <f t="shared" si="840"/>
        <v>10</v>
      </c>
      <c r="BM617" s="51" t="str">
        <f>IFERROR(VLOOKUP(A617,NF!$M:$O,3,0),"")</f>
        <v>Mercado</v>
      </c>
      <c r="BN617" s="7">
        <f t="shared" si="841"/>
        <v>165</v>
      </c>
      <c r="BO617" s="8">
        <f t="array" ref="BO617">IFERROR(LARGE(IF(NF!$G$2:$G$3137='Mês atual'!A617,NF!$J$2:$J$3137),1),0)*BN617</f>
        <v>582.39499999999998</v>
      </c>
      <c r="BP617" s="50"/>
      <c r="BR617" s="147">
        <f t="array" ref="BR617">IFERROR(LARGE(IF(NF!$G$2:$G$3137='Mês atual'!A617,NF!$J$2:$J$3137),1),0)</f>
        <v>3.5296666666666665</v>
      </c>
      <c r="BS617" s="143" t="str">
        <f>VLOOKUP(A617,NF!M:O,3,0)</f>
        <v>Mercado</v>
      </c>
    </row>
    <row r="618" spans="1:71" x14ac:dyDescent="0.25">
      <c r="A618" s="108" t="s">
        <v>127</v>
      </c>
      <c r="B618" s="12"/>
      <c r="C618" s="9">
        <v>36</v>
      </c>
      <c r="D618" s="25"/>
      <c r="E618" s="10" t="str">
        <f t="shared" si="826"/>
        <v>OutubroSEMANA 1Arroz Integral Curto</v>
      </c>
      <c r="F618" s="7">
        <f>SUMIF(NF!$A:$A,$E618,NF!$I:$I)</f>
        <v>20.122</v>
      </c>
      <c r="G618" s="6"/>
      <c r="H618" s="6">
        <v>5</v>
      </c>
      <c r="I618" s="6">
        <v>3</v>
      </c>
      <c r="J618" s="6">
        <f>3*1.008</f>
        <v>3.024</v>
      </c>
      <c r="K618" s="6">
        <f>2*1.008</f>
        <v>2.016</v>
      </c>
      <c r="L618" s="6">
        <f>2*1.008</f>
        <v>2.016</v>
      </c>
      <c r="M618" s="6">
        <f>3*1.008</f>
        <v>3.024</v>
      </c>
      <c r="N618" s="7">
        <f t="shared" si="827"/>
        <v>18.080000000000002</v>
      </c>
      <c r="O618" s="11">
        <f t="shared" si="828"/>
        <v>38.042000000000002</v>
      </c>
      <c r="P618" s="25"/>
      <c r="Q618" s="10" t="str">
        <f t="shared" si="829"/>
        <v>OutubroSEMANA 2Arroz Integral Curto</v>
      </c>
      <c r="R618" s="7">
        <f>SUMIF(NF!$A:$A,$Q618,NF!$I:$I)</f>
        <v>0</v>
      </c>
      <c r="S618" s="6"/>
      <c r="T618" s="6">
        <f>3+1.008-1</f>
        <v>3.008</v>
      </c>
      <c r="U618" s="6">
        <f>5+1.008</f>
        <v>6.008</v>
      </c>
      <c r="V618" s="6">
        <f>3*1.008</f>
        <v>3.024</v>
      </c>
      <c r="W618" s="6">
        <f>4-1</f>
        <v>3</v>
      </c>
      <c r="X618" s="6">
        <v>3</v>
      </c>
      <c r="Y618" s="6">
        <v>2</v>
      </c>
      <c r="Z618" s="7">
        <f t="shared" si="830"/>
        <v>20.04</v>
      </c>
      <c r="AA618" s="11">
        <f t="shared" si="831"/>
        <v>18.002000000000002</v>
      </c>
      <c r="AB618" s="25"/>
      <c r="AC618" s="10" t="str">
        <f t="shared" si="832"/>
        <v>OutubroSEMANA 3Arroz Integral Curto</v>
      </c>
      <c r="AD618" s="7">
        <f>SUMIF(NF!$A:$A,$AC618,NF!$I:$I)</f>
        <v>24.14</v>
      </c>
      <c r="AE618" s="6">
        <v>5</v>
      </c>
      <c r="AF618" s="6"/>
      <c r="AG618" s="6">
        <v>3</v>
      </c>
      <c r="AH618" s="6">
        <f>3*1.006</f>
        <v>3.0179999999999998</v>
      </c>
      <c r="AI618" s="6">
        <f>2*1.006</f>
        <v>2.012</v>
      </c>
      <c r="AJ618" s="6">
        <f>3*1.006</f>
        <v>3.0179999999999998</v>
      </c>
      <c r="AK618" s="6">
        <f>2*1.006</f>
        <v>2.012</v>
      </c>
      <c r="AL618" s="7">
        <f t="shared" si="833"/>
        <v>18.060000000000002</v>
      </c>
      <c r="AM618" s="11">
        <f t="shared" si="834"/>
        <v>24.082000000000001</v>
      </c>
      <c r="AN618" s="25"/>
      <c r="AO618" s="10" t="str">
        <f t="shared" si="835"/>
        <v>OutubroSEMANA 4Arroz Integral Curto</v>
      </c>
      <c r="AP618" s="7">
        <f>SUMIF(NF!$A:$A,$AO618,NF!$I:$I)</f>
        <v>15.086</v>
      </c>
      <c r="AQ618" s="6">
        <f>4*1.006</f>
        <v>4.024</v>
      </c>
      <c r="AR618" s="6">
        <v>6</v>
      </c>
      <c r="AS618" s="6">
        <f>2*1.006</f>
        <v>2.012</v>
      </c>
      <c r="AT618" s="6">
        <f>5*1.006</f>
        <v>5.03</v>
      </c>
      <c r="AU618" s="6">
        <f>3*1.006</f>
        <v>3.0179999999999998</v>
      </c>
      <c r="AV618" s="6">
        <f>3*1.006</f>
        <v>3.0179999999999998</v>
      </c>
      <c r="AW618" s="6">
        <f>2*1.006</f>
        <v>2.012</v>
      </c>
      <c r="AX618" s="7">
        <f t="shared" si="836"/>
        <v>25.114000000000004</v>
      </c>
      <c r="AY618" s="11">
        <f t="shared" si="837"/>
        <v>14.053999999999995</v>
      </c>
      <c r="AZ618" s="25"/>
      <c r="BA618" s="10" t="str">
        <f t="shared" si="838"/>
        <v>OutubroSEMANA 5Arroz Integral Curto</v>
      </c>
      <c r="BB618" s="7">
        <f>SUMIF(NF!$A:$A,$BA618,NF!$I:$I)</f>
        <v>0</v>
      </c>
      <c r="BC618" s="6">
        <f>5*1.006</f>
        <v>5.03</v>
      </c>
      <c r="BD618" s="6">
        <v>1</v>
      </c>
      <c r="BE618" s="6">
        <f>3*1.006</f>
        <v>3.0179999999999998</v>
      </c>
      <c r="BF618" s="74"/>
      <c r="BG618" s="74"/>
      <c r="BH618" s="74"/>
      <c r="BI618" s="74"/>
      <c r="BJ618" s="74"/>
      <c r="BK618" s="7">
        <f t="shared" si="839"/>
        <v>9.048</v>
      </c>
      <c r="BL618" s="8">
        <f t="shared" si="840"/>
        <v>5.0059999999999949</v>
      </c>
      <c r="BM618" s="51" t="str">
        <f>IFERROR(VLOOKUP(A618,NF!$M:$O,3,0),"")</f>
        <v>Mercado</v>
      </c>
      <c r="BN618" s="7">
        <f t="shared" si="841"/>
        <v>90.342000000000013</v>
      </c>
      <c r="BO618" s="8">
        <f t="array" ref="BO618">IFERROR(LARGE(IF(NF!$G$2:$G$3137='Mês atual'!A618,NF!$J$2:$J$3137),1),0)*BN618</f>
        <v>760.68867420000004</v>
      </c>
      <c r="BP618" s="50"/>
      <c r="BR618" s="147">
        <f t="array" ref="BR618">IFERROR(LARGE(IF(NF!$G$2:$G$3137='Mês atual'!A618,NF!$J$2:$J$3137),1),0)</f>
        <v>8.4200999999999997</v>
      </c>
      <c r="BS618" s="143" t="str">
        <f>VLOOKUP(A618,NF!M:O,3,0)</f>
        <v>Mercado</v>
      </c>
    </row>
    <row r="619" spans="1:71" x14ac:dyDescent="0.25">
      <c r="A619" s="108" t="s">
        <v>895</v>
      </c>
      <c r="B619" s="12"/>
      <c r="C619" s="9"/>
      <c r="D619" s="25"/>
      <c r="E619" s="10" t="str">
        <f t="shared" si="826"/>
        <v>OutubroSEMANA 1Arroz Japonês (cozinha)</v>
      </c>
      <c r="F619" s="7">
        <f>SUMIF(NF!$A:$A,$E619,NF!$I:$I)</f>
        <v>0</v>
      </c>
      <c r="G619" s="6"/>
      <c r="H619" s="6"/>
      <c r="I619" s="6"/>
      <c r="J619" s="6"/>
      <c r="K619" s="6"/>
      <c r="L619" s="6"/>
      <c r="M619" s="6"/>
      <c r="N619" s="7">
        <f t="shared" si="827"/>
        <v>0</v>
      </c>
      <c r="O619" s="11">
        <f t="shared" si="828"/>
        <v>0</v>
      </c>
      <c r="P619" s="25"/>
      <c r="Q619" s="10" t="str">
        <f t="shared" si="829"/>
        <v>OutubroSEMANA 2Arroz Japonês (cozinha)</v>
      </c>
      <c r="R619" s="7">
        <f>SUMIF(NF!$A:$A,$Q619,NF!$I:$I)</f>
        <v>0</v>
      </c>
      <c r="S619" s="6"/>
      <c r="T619" s="6"/>
      <c r="U619" s="6"/>
      <c r="V619" s="6"/>
      <c r="W619" s="6"/>
      <c r="X619" s="6"/>
      <c r="Y619" s="6"/>
      <c r="Z619" s="7">
        <f t="shared" si="830"/>
        <v>0</v>
      </c>
      <c r="AA619" s="11">
        <f t="shared" si="831"/>
        <v>0</v>
      </c>
      <c r="AB619" s="25"/>
      <c r="AC619" s="10" t="str">
        <f t="shared" si="832"/>
        <v>OutubroSEMANA 3Arroz Japonês (cozinha)</v>
      </c>
      <c r="AD619" s="7">
        <f>SUMIF(NF!$A:$A,$AC619,NF!$I:$I)</f>
        <v>0</v>
      </c>
      <c r="AE619" s="6"/>
      <c r="AF619" s="6"/>
      <c r="AG619" s="6"/>
      <c r="AH619" s="6"/>
      <c r="AI619" s="6"/>
      <c r="AJ619" s="6"/>
      <c r="AK619" s="6"/>
      <c r="AL619" s="7">
        <f t="shared" si="833"/>
        <v>0</v>
      </c>
      <c r="AM619" s="11">
        <f t="shared" si="834"/>
        <v>0</v>
      </c>
      <c r="AN619" s="25"/>
      <c r="AO619" s="10" t="str">
        <f t="shared" si="835"/>
        <v>OutubroSEMANA 4Arroz Japonês (cozinha)</v>
      </c>
      <c r="AP619" s="7">
        <f>SUMIF(NF!$A:$A,$AO619,NF!$I:$I)</f>
        <v>0</v>
      </c>
      <c r="AQ619" s="6"/>
      <c r="AR619" s="6"/>
      <c r="AS619" s="6"/>
      <c r="AT619" s="6"/>
      <c r="AU619" s="6"/>
      <c r="AV619" s="6"/>
      <c r="AW619" s="6"/>
      <c r="AX619" s="7">
        <f t="shared" si="836"/>
        <v>0</v>
      </c>
      <c r="AY619" s="11">
        <f t="shared" si="837"/>
        <v>0</v>
      </c>
      <c r="AZ619" s="25"/>
      <c r="BA619" s="10" t="str">
        <f t="shared" si="838"/>
        <v>OutubroSEMANA 5Arroz Japonês (cozinha)</v>
      </c>
      <c r="BB619" s="7">
        <f>SUMIF(NF!$A:$A,$BA619,NF!$I:$I)</f>
        <v>0</v>
      </c>
      <c r="BC619" s="6"/>
      <c r="BD619" s="6"/>
      <c r="BE619" s="6"/>
      <c r="BF619" s="74"/>
      <c r="BG619" s="74"/>
      <c r="BH619" s="74"/>
      <c r="BI619" s="74"/>
      <c r="BJ619" s="74"/>
      <c r="BK619" s="7">
        <f t="shared" si="839"/>
        <v>0</v>
      </c>
      <c r="BL619" s="8">
        <f t="shared" si="840"/>
        <v>0</v>
      </c>
      <c r="BM619" s="51" t="str">
        <f>IFERROR(VLOOKUP(A619,NF!$M:$O,3,0),"")</f>
        <v>Mercado</v>
      </c>
      <c r="BN619" s="7">
        <f t="shared" si="841"/>
        <v>0</v>
      </c>
      <c r="BO619" s="8">
        <f t="array" ref="BO619">IFERROR(LARGE(IF(NF!$G$2:$G$3137='Mês atual'!A619,NF!$J$2:$J$3137),1),0)*BN619</f>
        <v>0</v>
      </c>
      <c r="BP619" s="50"/>
      <c r="BR619" s="147">
        <f t="array" ref="BR619">IFERROR(LARGE(IF(NF!$G$2:$G$3137='Mês atual'!A619,NF!$J$2:$J$3137),1),0)</f>
        <v>0</v>
      </c>
      <c r="BS619" s="143" t="str">
        <f>VLOOKUP(A619,NF!M:O,3,0)</f>
        <v>Mercado</v>
      </c>
    </row>
    <row r="620" spans="1:71" x14ac:dyDescent="0.25">
      <c r="A620" s="108" t="s">
        <v>128</v>
      </c>
      <c r="B620" s="12"/>
      <c r="C620" s="9"/>
      <c r="D620" s="25"/>
      <c r="E620" s="10" t="str">
        <f t="shared" si="826"/>
        <v>OutubroSEMANA 1Arroz Selvagem</v>
      </c>
      <c r="F620" s="7">
        <f>SUMIF(NF!$A:$A,$E620,NF!$I:$I)</f>
        <v>0</v>
      </c>
      <c r="G620" s="6"/>
      <c r="H620" s="6"/>
      <c r="I620" s="6"/>
      <c r="J620" s="6"/>
      <c r="K620" s="6"/>
      <c r="L620" s="6"/>
      <c r="M620" s="6"/>
      <c r="N620" s="7">
        <f t="shared" si="827"/>
        <v>0</v>
      </c>
      <c r="O620" s="11">
        <f t="shared" si="828"/>
        <v>0</v>
      </c>
      <c r="P620" s="25"/>
      <c r="Q620" s="10" t="str">
        <f t="shared" si="829"/>
        <v>OutubroSEMANA 2Arroz Selvagem</v>
      </c>
      <c r="R620" s="7">
        <f>SUMIF(NF!$A:$A,$Q620,NF!$I:$I)</f>
        <v>0</v>
      </c>
      <c r="S620" s="6"/>
      <c r="T620" s="6"/>
      <c r="U620" s="6"/>
      <c r="V620" s="6"/>
      <c r="W620" s="6"/>
      <c r="X620" s="6"/>
      <c r="Y620" s="6"/>
      <c r="Z620" s="7">
        <f t="shared" si="830"/>
        <v>0</v>
      </c>
      <c r="AA620" s="11">
        <f t="shared" si="831"/>
        <v>0</v>
      </c>
      <c r="AB620" s="25"/>
      <c r="AC620" s="10" t="str">
        <f t="shared" si="832"/>
        <v>OutubroSEMANA 3Arroz Selvagem</v>
      </c>
      <c r="AD620" s="7">
        <f>SUMIF(NF!$A:$A,$AC620,NF!$I:$I)</f>
        <v>0</v>
      </c>
      <c r="AE620" s="6"/>
      <c r="AF620" s="6"/>
      <c r="AG620" s="6"/>
      <c r="AH620" s="6"/>
      <c r="AI620" s="6"/>
      <c r="AJ620" s="6"/>
      <c r="AK620" s="6"/>
      <c r="AL620" s="7">
        <f t="shared" si="833"/>
        <v>0</v>
      </c>
      <c r="AM620" s="11">
        <f t="shared" si="834"/>
        <v>0</v>
      </c>
      <c r="AN620" s="25"/>
      <c r="AO620" s="10" t="str">
        <f t="shared" si="835"/>
        <v>OutubroSEMANA 4Arroz Selvagem</v>
      </c>
      <c r="AP620" s="7">
        <f>SUMIF(NF!$A:$A,$AO620,NF!$I:$I)</f>
        <v>0</v>
      </c>
      <c r="AQ620" s="6"/>
      <c r="AR620" s="6"/>
      <c r="AS620" s="6"/>
      <c r="AT620" s="6"/>
      <c r="AU620" s="6"/>
      <c r="AV620" s="6"/>
      <c r="AW620" s="6"/>
      <c r="AX620" s="7">
        <f t="shared" si="836"/>
        <v>0</v>
      </c>
      <c r="AY620" s="11">
        <f t="shared" si="837"/>
        <v>0</v>
      </c>
      <c r="AZ620" s="25"/>
      <c r="BA620" s="10" t="str">
        <f t="shared" si="838"/>
        <v>OutubroSEMANA 5Arroz Selvagem</v>
      </c>
      <c r="BB620" s="7">
        <f>SUMIF(NF!$A:$A,$BA620,NF!$I:$I)</f>
        <v>0</v>
      </c>
      <c r="BC620" s="6"/>
      <c r="BD620" s="6"/>
      <c r="BE620" s="6"/>
      <c r="BF620" s="74"/>
      <c r="BG620" s="74"/>
      <c r="BH620" s="74"/>
      <c r="BI620" s="74"/>
      <c r="BJ620" s="74"/>
      <c r="BK620" s="7">
        <f t="shared" si="839"/>
        <v>0</v>
      </c>
      <c r="BL620" s="8">
        <f t="shared" si="840"/>
        <v>0</v>
      </c>
      <c r="BM620" s="51" t="str">
        <f>IFERROR(VLOOKUP(A620,NF!$M:$O,3,0),"")</f>
        <v>Mercado</v>
      </c>
      <c r="BN620" s="7">
        <f t="shared" si="841"/>
        <v>0</v>
      </c>
      <c r="BO620" s="8">
        <f t="array" ref="BO620">IFERROR(LARGE(IF(NF!$G$2:$G$3137='Mês atual'!A620,NF!$J$2:$J$3137),1),0)*BN620</f>
        <v>0</v>
      </c>
      <c r="BP620" s="50"/>
      <c r="BR620" s="147">
        <f t="array" ref="BR620">IFERROR(LARGE(IF(NF!$G$2:$G$3137='Mês atual'!A620,NF!$J$2:$J$3137),1),0)</f>
        <v>0</v>
      </c>
      <c r="BS620" s="143" t="str">
        <f>VLOOKUP(A620,NF!M:O,3,0)</f>
        <v>Mercado</v>
      </c>
    </row>
    <row r="621" spans="1:71" x14ac:dyDescent="0.25">
      <c r="A621" s="108" t="s">
        <v>129</v>
      </c>
      <c r="B621" s="12"/>
      <c r="C621" s="9"/>
      <c r="D621" s="25"/>
      <c r="E621" s="10" t="str">
        <f t="shared" si="826"/>
        <v>OutubroSEMANA 1Aspargos cong. 1 Kg</v>
      </c>
      <c r="F621" s="7">
        <f>SUMIF(NF!$A:$A,$E621,NF!$I:$I)</f>
        <v>0</v>
      </c>
      <c r="G621" s="6"/>
      <c r="H621" s="6"/>
      <c r="I621" s="6"/>
      <c r="J621" s="6"/>
      <c r="K621" s="6"/>
      <c r="L621" s="6"/>
      <c r="M621" s="6"/>
      <c r="N621" s="7">
        <f t="shared" si="827"/>
        <v>0</v>
      </c>
      <c r="O621" s="11">
        <f t="shared" si="828"/>
        <v>0</v>
      </c>
      <c r="P621" s="25"/>
      <c r="Q621" s="10" t="str">
        <f t="shared" si="829"/>
        <v>OutubroSEMANA 2Aspargos cong. 1 Kg</v>
      </c>
      <c r="R621" s="7">
        <f>SUMIF(NF!$A:$A,$Q621,NF!$I:$I)</f>
        <v>0</v>
      </c>
      <c r="S621" s="6"/>
      <c r="T621" s="6"/>
      <c r="U621" s="6"/>
      <c r="V621" s="6"/>
      <c r="W621" s="6"/>
      <c r="X621" s="6"/>
      <c r="Y621" s="6"/>
      <c r="Z621" s="7">
        <f t="shared" si="830"/>
        <v>0</v>
      </c>
      <c r="AA621" s="11">
        <f t="shared" si="831"/>
        <v>0</v>
      </c>
      <c r="AB621" s="25"/>
      <c r="AC621" s="10" t="str">
        <f t="shared" si="832"/>
        <v>OutubroSEMANA 3Aspargos cong. 1 Kg</v>
      </c>
      <c r="AD621" s="7">
        <f>SUMIF(NF!$A:$A,$AC621,NF!$I:$I)</f>
        <v>0</v>
      </c>
      <c r="AE621" s="6"/>
      <c r="AF621" s="6"/>
      <c r="AG621" s="6"/>
      <c r="AH621" s="6"/>
      <c r="AI621" s="6"/>
      <c r="AJ621" s="6"/>
      <c r="AK621" s="6"/>
      <c r="AL621" s="7">
        <f t="shared" si="833"/>
        <v>0</v>
      </c>
      <c r="AM621" s="11">
        <f t="shared" si="834"/>
        <v>0</v>
      </c>
      <c r="AN621" s="25"/>
      <c r="AO621" s="10" t="str">
        <f t="shared" si="835"/>
        <v>OutubroSEMANA 4Aspargos cong. 1 Kg</v>
      </c>
      <c r="AP621" s="7">
        <f>SUMIF(NF!$A:$A,$AO621,NF!$I:$I)</f>
        <v>0</v>
      </c>
      <c r="AQ621" s="6"/>
      <c r="AR621" s="6"/>
      <c r="AS621" s="6"/>
      <c r="AT621" s="6"/>
      <c r="AU621" s="6"/>
      <c r="AV621" s="6"/>
      <c r="AW621" s="6"/>
      <c r="AX621" s="7">
        <f t="shared" si="836"/>
        <v>0</v>
      </c>
      <c r="AY621" s="11">
        <f t="shared" si="837"/>
        <v>0</v>
      </c>
      <c r="AZ621" s="25"/>
      <c r="BA621" s="10" t="str">
        <f t="shared" si="838"/>
        <v>OutubroSEMANA 5Aspargos cong. 1 Kg</v>
      </c>
      <c r="BB621" s="7">
        <f>SUMIF(NF!$A:$A,$BA621,NF!$I:$I)</f>
        <v>0</v>
      </c>
      <c r="BC621" s="6"/>
      <c r="BD621" s="6"/>
      <c r="BE621" s="6"/>
      <c r="BF621" s="74"/>
      <c r="BG621" s="74"/>
      <c r="BH621" s="74"/>
      <c r="BI621" s="74"/>
      <c r="BJ621" s="74"/>
      <c r="BK621" s="7">
        <f t="shared" si="839"/>
        <v>0</v>
      </c>
      <c r="BL621" s="8">
        <f t="shared" si="840"/>
        <v>0</v>
      </c>
      <c r="BM621" s="51" t="str">
        <f>IFERROR(VLOOKUP(A621,NF!$M:$O,3,0),"")</f>
        <v>Mercado</v>
      </c>
      <c r="BN621" s="7">
        <f t="shared" si="841"/>
        <v>0</v>
      </c>
      <c r="BO621" s="8">
        <f t="array" ref="BO621">IFERROR(LARGE(IF(NF!$G$2:$G$3137='Mês atual'!A621,NF!$J$2:$J$3137),1),0)*BN621</f>
        <v>0</v>
      </c>
      <c r="BP621" s="50"/>
      <c r="BR621" s="147">
        <f t="array" ref="BR621">IFERROR(LARGE(IF(NF!$G$2:$G$3137='Mês atual'!A621,NF!$J$2:$J$3137),1),0)</f>
        <v>0</v>
      </c>
      <c r="BS621" s="143" t="str">
        <f>VLOOKUP(A621,NF!M:O,3,0)</f>
        <v>Mercado</v>
      </c>
    </row>
    <row r="622" spans="1:71" x14ac:dyDescent="0.25">
      <c r="A622" s="108" t="s">
        <v>131</v>
      </c>
      <c r="B622" s="12"/>
      <c r="C622" s="9">
        <v>2</v>
      </c>
      <c r="D622" s="25"/>
      <c r="E622" s="10" t="str">
        <f t="shared" si="826"/>
        <v>OutubroSEMANA 1Aspargos lata</v>
      </c>
      <c r="F622" s="7">
        <f>SUMIF(NF!$A:$A,$E622,NF!$I:$I)</f>
        <v>0</v>
      </c>
      <c r="G622" s="6"/>
      <c r="H622" s="6"/>
      <c r="I622" s="6"/>
      <c r="J622" s="6"/>
      <c r="K622" s="6"/>
      <c r="L622" s="6"/>
      <c r="M622" s="6"/>
      <c r="N622" s="7">
        <f t="shared" si="827"/>
        <v>0</v>
      </c>
      <c r="O622" s="11">
        <f t="shared" si="828"/>
        <v>2</v>
      </c>
      <c r="P622" s="25"/>
      <c r="Q622" s="10" t="str">
        <f t="shared" si="829"/>
        <v>OutubroSEMANA 2Aspargos lata</v>
      </c>
      <c r="R622" s="7">
        <f>SUMIF(NF!$A:$A,$Q622,NF!$I:$I)</f>
        <v>0</v>
      </c>
      <c r="S622" s="6">
        <v>2</v>
      </c>
      <c r="T622" s="6"/>
      <c r="U622" s="6"/>
      <c r="V622" s="6"/>
      <c r="W622" s="6"/>
      <c r="X622" s="6"/>
      <c r="Y622" s="6"/>
      <c r="Z622" s="7">
        <f t="shared" si="830"/>
        <v>2</v>
      </c>
      <c r="AA622" s="11">
        <f t="shared" si="831"/>
        <v>0</v>
      </c>
      <c r="AB622" s="25"/>
      <c r="AC622" s="10" t="str">
        <f t="shared" si="832"/>
        <v>OutubroSEMANA 3Aspargos lata</v>
      </c>
      <c r="AD622" s="7">
        <f>SUMIF(NF!$A:$A,$AC622,NF!$I:$I)</f>
        <v>0</v>
      </c>
      <c r="AE622" s="6"/>
      <c r="AF622" s="6"/>
      <c r="AG622" s="6"/>
      <c r="AH622" s="6"/>
      <c r="AI622" s="6"/>
      <c r="AJ622" s="6"/>
      <c r="AK622" s="6"/>
      <c r="AL622" s="7">
        <f t="shared" si="833"/>
        <v>0</v>
      </c>
      <c r="AM622" s="11">
        <f t="shared" si="834"/>
        <v>0</v>
      </c>
      <c r="AN622" s="25"/>
      <c r="AO622" s="10" t="str">
        <f t="shared" si="835"/>
        <v>OutubroSEMANA 4Aspargos lata</v>
      </c>
      <c r="AP622" s="7">
        <f>SUMIF(NF!$A:$A,$AO622,NF!$I:$I)</f>
        <v>0</v>
      </c>
      <c r="AQ622" s="6"/>
      <c r="AR622" s="6"/>
      <c r="AS622" s="6"/>
      <c r="AT622" s="6"/>
      <c r="AU622" s="6"/>
      <c r="AV622" s="6"/>
      <c r="AW622" s="6"/>
      <c r="AX622" s="7">
        <f t="shared" si="836"/>
        <v>0</v>
      </c>
      <c r="AY622" s="11">
        <f t="shared" si="837"/>
        <v>0</v>
      </c>
      <c r="AZ622" s="25"/>
      <c r="BA622" s="10" t="str">
        <f t="shared" si="838"/>
        <v>OutubroSEMANA 5Aspargos lata</v>
      </c>
      <c r="BB622" s="7">
        <f>SUMIF(NF!$A:$A,$BA622,NF!$I:$I)</f>
        <v>0</v>
      </c>
      <c r="BC622" s="6"/>
      <c r="BD622" s="6"/>
      <c r="BE622" s="6"/>
      <c r="BF622" s="74"/>
      <c r="BG622" s="74"/>
      <c r="BH622" s="74"/>
      <c r="BI622" s="74"/>
      <c r="BJ622" s="74"/>
      <c r="BK622" s="7">
        <f t="shared" si="839"/>
        <v>0</v>
      </c>
      <c r="BL622" s="8">
        <f t="shared" si="840"/>
        <v>0</v>
      </c>
      <c r="BM622" s="51" t="str">
        <f>IFERROR(VLOOKUP(A622,NF!$M:$O,3,0),"")</f>
        <v>Mercado</v>
      </c>
      <c r="BN622" s="7">
        <f t="shared" si="841"/>
        <v>2</v>
      </c>
      <c r="BO622" s="8">
        <f t="array" ref="BO622">IFERROR(LARGE(IF(NF!$G$2:$G$3137='Mês atual'!A622,NF!$J$2:$J$3137),1),0)*BN622</f>
        <v>0</v>
      </c>
      <c r="BP622" s="50"/>
      <c r="BR622" s="147">
        <f t="array" ref="BR622">IFERROR(LARGE(IF(NF!$G$2:$G$3137='Mês atual'!A622,NF!$J$2:$J$3137),1),0)</f>
        <v>0</v>
      </c>
      <c r="BS622" s="143" t="str">
        <f>VLOOKUP(A622,NF!M:O,3,0)</f>
        <v>Mercado</v>
      </c>
    </row>
    <row r="623" spans="1:71" x14ac:dyDescent="0.25">
      <c r="A623" s="108" t="s">
        <v>132</v>
      </c>
      <c r="B623" s="12"/>
      <c r="C623" s="9"/>
      <c r="D623" s="25"/>
      <c r="E623" s="10" t="str">
        <f t="shared" si="826"/>
        <v>OutubroSEMANA 1Aveia Quaker Flocos cx 200g</v>
      </c>
      <c r="F623" s="7">
        <f>SUMIF(NF!$A:$A,$E623,NF!$I:$I)</f>
        <v>0</v>
      </c>
      <c r="G623" s="6"/>
      <c r="H623" s="6"/>
      <c r="I623" s="6"/>
      <c r="J623" s="6"/>
      <c r="K623" s="6"/>
      <c r="L623" s="6"/>
      <c r="M623" s="6"/>
      <c r="N623" s="7">
        <f t="shared" si="827"/>
        <v>0</v>
      </c>
      <c r="O623" s="11">
        <f t="shared" si="828"/>
        <v>0</v>
      </c>
      <c r="P623" s="25"/>
      <c r="Q623" s="10" t="str">
        <f t="shared" si="829"/>
        <v>OutubroSEMANA 2Aveia Quaker Flocos cx 200g</v>
      </c>
      <c r="R623" s="7">
        <f>SUMIF(NF!$A:$A,$Q623,NF!$I:$I)</f>
        <v>7</v>
      </c>
      <c r="S623" s="6"/>
      <c r="T623" s="6">
        <v>1</v>
      </c>
      <c r="U623" s="6"/>
      <c r="V623" s="6"/>
      <c r="W623" s="6"/>
      <c r="X623" s="6">
        <v>6</v>
      </c>
      <c r="Y623" s="6"/>
      <c r="Z623" s="7">
        <f t="shared" si="830"/>
        <v>7</v>
      </c>
      <c r="AA623" s="11">
        <f t="shared" si="831"/>
        <v>0</v>
      </c>
      <c r="AB623" s="25"/>
      <c r="AC623" s="10" t="str">
        <f t="shared" si="832"/>
        <v>OutubroSEMANA 3Aveia Quaker Flocos cx 200g</v>
      </c>
      <c r="AD623" s="7">
        <f>SUMIF(NF!$A:$A,$AC623,NF!$I:$I)</f>
        <v>0</v>
      </c>
      <c r="AE623" s="6"/>
      <c r="AF623" s="6"/>
      <c r="AG623" s="6"/>
      <c r="AH623" s="6"/>
      <c r="AI623" s="6"/>
      <c r="AJ623" s="6"/>
      <c r="AK623" s="6"/>
      <c r="AL623" s="7">
        <f t="shared" si="833"/>
        <v>0</v>
      </c>
      <c r="AM623" s="11">
        <f t="shared" si="834"/>
        <v>0</v>
      </c>
      <c r="AN623" s="25"/>
      <c r="AO623" s="10" t="str">
        <f t="shared" si="835"/>
        <v>OutubroSEMANA 4Aveia Quaker Flocos cx 200g</v>
      </c>
      <c r="AP623" s="7">
        <f>SUMIF(NF!$A:$A,$AO623,NF!$I:$I)</f>
        <v>0</v>
      </c>
      <c r="AQ623" s="6"/>
      <c r="AR623" s="6"/>
      <c r="AS623" s="6"/>
      <c r="AT623" s="6"/>
      <c r="AU623" s="6"/>
      <c r="AV623" s="6"/>
      <c r="AW623" s="6"/>
      <c r="AX623" s="7">
        <f t="shared" si="836"/>
        <v>0</v>
      </c>
      <c r="AY623" s="11">
        <f t="shared" si="837"/>
        <v>0</v>
      </c>
      <c r="AZ623" s="25"/>
      <c r="BA623" s="10" t="str">
        <f t="shared" si="838"/>
        <v>OutubroSEMANA 5Aveia Quaker Flocos cx 200g</v>
      </c>
      <c r="BB623" s="7">
        <f>SUMIF(NF!$A:$A,$BA623,NF!$I:$I)</f>
        <v>0</v>
      </c>
      <c r="BC623" s="6"/>
      <c r="BD623" s="6"/>
      <c r="BE623" s="6"/>
      <c r="BF623" s="74"/>
      <c r="BG623" s="74"/>
      <c r="BH623" s="74"/>
      <c r="BI623" s="74"/>
      <c r="BJ623" s="74"/>
      <c r="BK623" s="7">
        <f t="shared" si="839"/>
        <v>0</v>
      </c>
      <c r="BL623" s="8">
        <f t="shared" si="840"/>
        <v>0</v>
      </c>
      <c r="BM623" s="51" t="str">
        <f>IFERROR(VLOOKUP(A623,NF!$M:$O,3,0),"")</f>
        <v>Mercado</v>
      </c>
      <c r="BN623" s="7">
        <f t="shared" si="841"/>
        <v>7</v>
      </c>
      <c r="BO623" s="8">
        <f t="array" ref="BO623">IFERROR(LARGE(IF(NF!$G$2:$G$3137='Mês atual'!A623,NF!$J$2:$J$3137),1),0)*BN623</f>
        <v>24.5</v>
      </c>
      <c r="BP623" s="50"/>
      <c r="BR623" s="147">
        <f t="array" ref="BR623">IFERROR(LARGE(IF(NF!$G$2:$G$3137='Mês atual'!A623,NF!$J$2:$J$3137),1),0)</f>
        <v>3.5</v>
      </c>
      <c r="BS623" s="143" t="str">
        <f>VLOOKUP(A623,NF!M:O,3,0)</f>
        <v>Mercado</v>
      </c>
    </row>
    <row r="624" spans="1:71" x14ac:dyDescent="0.25">
      <c r="A624" s="108" t="s">
        <v>133</v>
      </c>
      <c r="B624" s="12"/>
      <c r="C624" s="9"/>
      <c r="D624" s="25"/>
      <c r="E624" s="10" t="str">
        <f t="shared" si="826"/>
        <v>OutubroSEMANA 1Avelã</v>
      </c>
      <c r="F624" s="7">
        <f>SUMIF(NF!$A:$A,$E624,NF!$I:$I)</f>
        <v>0</v>
      </c>
      <c r="G624" s="6"/>
      <c r="H624" s="6"/>
      <c r="I624" s="6"/>
      <c r="J624" s="6"/>
      <c r="K624" s="6"/>
      <c r="L624" s="6"/>
      <c r="M624" s="6"/>
      <c r="N624" s="7">
        <f t="shared" si="827"/>
        <v>0</v>
      </c>
      <c r="O624" s="11">
        <f t="shared" si="828"/>
        <v>0</v>
      </c>
      <c r="P624" s="25"/>
      <c r="Q624" s="10" t="str">
        <f t="shared" si="829"/>
        <v>OutubroSEMANA 2Avelã</v>
      </c>
      <c r="R624" s="7">
        <f>SUMIF(NF!$A:$A,$Q624,NF!$I:$I)</f>
        <v>0</v>
      </c>
      <c r="S624" s="6"/>
      <c r="T624" s="6"/>
      <c r="U624" s="6"/>
      <c r="V624" s="6"/>
      <c r="W624" s="6"/>
      <c r="X624" s="6"/>
      <c r="Y624" s="6"/>
      <c r="Z624" s="7">
        <f t="shared" si="830"/>
        <v>0</v>
      </c>
      <c r="AA624" s="11">
        <f t="shared" si="831"/>
        <v>0</v>
      </c>
      <c r="AB624" s="25"/>
      <c r="AC624" s="10" t="str">
        <f t="shared" si="832"/>
        <v>OutubroSEMANA 3Avelã</v>
      </c>
      <c r="AD624" s="7">
        <f>SUMIF(NF!$A:$A,$AC624,NF!$I:$I)</f>
        <v>0</v>
      </c>
      <c r="AE624" s="6"/>
      <c r="AF624" s="6"/>
      <c r="AG624" s="6"/>
      <c r="AH624" s="6"/>
      <c r="AI624" s="6"/>
      <c r="AJ624" s="6"/>
      <c r="AK624" s="6"/>
      <c r="AL624" s="7">
        <f t="shared" si="833"/>
        <v>0</v>
      </c>
      <c r="AM624" s="11">
        <f t="shared" si="834"/>
        <v>0</v>
      </c>
      <c r="AN624" s="25"/>
      <c r="AO624" s="10" t="str">
        <f t="shared" si="835"/>
        <v>OutubroSEMANA 4Avelã</v>
      </c>
      <c r="AP624" s="7">
        <f>SUMIF(NF!$A:$A,$AO624,NF!$I:$I)</f>
        <v>0</v>
      </c>
      <c r="AQ624" s="6"/>
      <c r="AR624" s="6"/>
      <c r="AS624" s="6"/>
      <c r="AT624" s="6"/>
      <c r="AU624" s="6"/>
      <c r="AV624" s="6"/>
      <c r="AW624" s="6"/>
      <c r="AX624" s="7">
        <f t="shared" si="836"/>
        <v>0</v>
      </c>
      <c r="AY624" s="11">
        <f t="shared" si="837"/>
        <v>0</v>
      </c>
      <c r="AZ624" s="25"/>
      <c r="BA624" s="10" t="str">
        <f t="shared" si="838"/>
        <v>OutubroSEMANA 5Avelã</v>
      </c>
      <c r="BB624" s="7">
        <f>SUMIF(NF!$A:$A,$BA624,NF!$I:$I)</f>
        <v>0</v>
      </c>
      <c r="BC624" s="6"/>
      <c r="BD624" s="6"/>
      <c r="BE624" s="6"/>
      <c r="BF624" s="74"/>
      <c r="BG624" s="74"/>
      <c r="BH624" s="74"/>
      <c r="BI624" s="74"/>
      <c r="BJ624" s="74"/>
      <c r="BK624" s="7">
        <f t="shared" si="839"/>
        <v>0</v>
      </c>
      <c r="BL624" s="8">
        <f t="shared" si="840"/>
        <v>0</v>
      </c>
      <c r="BM624" s="51" t="str">
        <f>IFERROR(VLOOKUP(A624,NF!$M:$O,3,0),"")</f>
        <v>Mercado</v>
      </c>
      <c r="BN624" s="7">
        <f t="shared" si="841"/>
        <v>0</v>
      </c>
      <c r="BO624" s="8">
        <f t="array" ref="BO624">IFERROR(LARGE(IF(NF!$G$2:$G$3137='Mês atual'!A624,NF!$J$2:$J$3137),1),0)*BN624</f>
        <v>0</v>
      </c>
      <c r="BP624" s="50"/>
      <c r="BR624" s="147">
        <f t="array" ref="BR624">IFERROR(LARGE(IF(NF!$G$2:$G$3137='Mês atual'!A624,NF!$J$2:$J$3137),1),0)</f>
        <v>0</v>
      </c>
      <c r="BS624" s="143" t="str">
        <f>VLOOKUP(A624,NF!M:O,3,0)</f>
        <v>Mercado</v>
      </c>
    </row>
    <row r="625" spans="1:71" x14ac:dyDescent="0.25">
      <c r="A625" s="108" t="s">
        <v>151</v>
      </c>
      <c r="B625" s="12"/>
      <c r="C625" s="9">
        <v>20</v>
      </c>
      <c r="D625" s="25"/>
      <c r="E625" s="10" t="str">
        <f t="shared" si="826"/>
        <v>OutubroSEMANA 1Azeite Deleyda 500 ml</v>
      </c>
      <c r="F625" s="7">
        <f>SUMIF(NF!$A:$A,$E625,NF!$I:$I)</f>
        <v>0</v>
      </c>
      <c r="G625" s="6">
        <v>1</v>
      </c>
      <c r="H625" s="6">
        <v>1</v>
      </c>
      <c r="I625" s="6">
        <v>1</v>
      </c>
      <c r="J625" s="6">
        <v>1</v>
      </c>
      <c r="K625" s="6">
        <v>2</v>
      </c>
      <c r="L625" s="6">
        <v>1</v>
      </c>
      <c r="M625" s="6">
        <v>1</v>
      </c>
      <c r="N625" s="7">
        <f t="shared" si="827"/>
        <v>8</v>
      </c>
      <c r="O625" s="11">
        <f t="shared" si="828"/>
        <v>12</v>
      </c>
      <c r="P625" s="25"/>
      <c r="Q625" s="10" t="str">
        <f t="shared" si="829"/>
        <v>OutubroSEMANA 2Azeite Deleyda 500 ml</v>
      </c>
      <c r="R625" s="7">
        <f>SUMIF(NF!$A:$A,$Q625,NF!$I:$I)</f>
        <v>0</v>
      </c>
      <c r="S625" s="6">
        <v>1</v>
      </c>
      <c r="T625" s="6">
        <v>1</v>
      </c>
      <c r="U625" s="6">
        <v>2</v>
      </c>
      <c r="V625" s="6"/>
      <c r="W625" s="6"/>
      <c r="X625" s="6">
        <v>2</v>
      </c>
      <c r="Y625" s="6">
        <v>1</v>
      </c>
      <c r="Z625" s="7">
        <f t="shared" si="830"/>
        <v>7</v>
      </c>
      <c r="AA625" s="11">
        <f t="shared" si="831"/>
        <v>5</v>
      </c>
      <c r="AB625" s="25"/>
      <c r="AC625" s="10" t="str">
        <f t="shared" si="832"/>
        <v>OutubroSEMANA 3Azeite Deleyda 500 ml</v>
      </c>
      <c r="AD625" s="7">
        <f>SUMIF(NF!$A:$A,$AC625,NF!$I:$I)</f>
        <v>24</v>
      </c>
      <c r="AE625" s="6">
        <v>2</v>
      </c>
      <c r="AF625" s="6">
        <v>1</v>
      </c>
      <c r="AG625" s="6">
        <v>1</v>
      </c>
      <c r="AH625" s="6">
        <v>1</v>
      </c>
      <c r="AI625" s="6">
        <v>2</v>
      </c>
      <c r="AJ625" s="6"/>
      <c r="AK625" s="6">
        <v>1</v>
      </c>
      <c r="AL625" s="7">
        <f t="shared" si="833"/>
        <v>8</v>
      </c>
      <c r="AM625" s="11">
        <f t="shared" si="834"/>
        <v>21</v>
      </c>
      <c r="AN625" s="25"/>
      <c r="AO625" s="10" t="str">
        <f t="shared" si="835"/>
        <v>OutubroSEMANA 4Azeite Deleyda 500 ml</v>
      </c>
      <c r="AP625" s="7">
        <f>SUMIF(NF!$A:$A,$AO625,NF!$I:$I)</f>
        <v>0</v>
      </c>
      <c r="AQ625" s="6">
        <v>1</v>
      </c>
      <c r="AR625" s="6">
        <v>1</v>
      </c>
      <c r="AS625" s="6"/>
      <c r="AT625" s="6">
        <v>2</v>
      </c>
      <c r="AU625" s="6">
        <v>2</v>
      </c>
      <c r="AV625" s="6"/>
      <c r="AW625" s="6">
        <v>1</v>
      </c>
      <c r="AX625" s="7">
        <f t="shared" si="836"/>
        <v>7</v>
      </c>
      <c r="AY625" s="11">
        <f t="shared" si="837"/>
        <v>14</v>
      </c>
      <c r="AZ625" s="25"/>
      <c r="BA625" s="10" t="str">
        <f t="shared" si="838"/>
        <v>OutubroSEMANA 5Azeite Deleyda 500 ml</v>
      </c>
      <c r="BB625" s="7">
        <f>SUMIF(NF!$A:$A,$BA625,NF!$I:$I)</f>
        <v>0</v>
      </c>
      <c r="BC625" s="6">
        <v>2</v>
      </c>
      <c r="BD625" s="6"/>
      <c r="BE625" s="6">
        <v>2</v>
      </c>
      <c r="BF625" s="74"/>
      <c r="BG625" s="74"/>
      <c r="BH625" s="74"/>
      <c r="BI625" s="74"/>
      <c r="BJ625" s="74"/>
      <c r="BK625" s="7">
        <f t="shared" si="839"/>
        <v>4</v>
      </c>
      <c r="BL625" s="8">
        <f t="shared" si="840"/>
        <v>10</v>
      </c>
      <c r="BM625" s="51" t="str">
        <f>IFERROR(VLOOKUP(A625,NF!$M:$O,3,0),"")</f>
        <v>Mercado</v>
      </c>
      <c r="BN625" s="7">
        <f t="shared" si="841"/>
        <v>34</v>
      </c>
      <c r="BO625" s="8">
        <f t="array" ref="BO625">IFERROR(LARGE(IF(NF!$G$2:$G$3137='Mês atual'!A625,NF!$J$2:$J$3137),1),0)*BN625</f>
        <v>809.73833333333334</v>
      </c>
      <c r="BP625" s="50"/>
      <c r="BR625" s="147">
        <f t="array" ref="BR625">IFERROR(LARGE(IF(NF!$G$2:$G$3137='Mês atual'!A625,NF!$J$2:$J$3137),1),0)</f>
        <v>23.815833333333334</v>
      </c>
      <c r="BS625" s="143" t="str">
        <f>VLOOKUP(A625,NF!M:O,3,0)</f>
        <v>Mercado</v>
      </c>
    </row>
    <row r="626" spans="1:71" x14ac:dyDescent="0.25">
      <c r="A626" s="108" t="s">
        <v>152</v>
      </c>
      <c r="B626" s="12"/>
      <c r="C626" s="9">
        <v>5</v>
      </c>
      <c r="D626" s="25"/>
      <c r="E626" s="10" t="str">
        <f t="shared" si="826"/>
        <v>OutubroSEMANA 1Azeite Dende</v>
      </c>
      <c r="F626" s="7">
        <f>SUMIF(NF!$A:$A,$E626,NF!$I:$I)</f>
        <v>0</v>
      </c>
      <c r="G626" s="6"/>
      <c r="H626" s="6"/>
      <c r="I626" s="6"/>
      <c r="J626" s="6"/>
      <c r="K626" s="6"/>
      <c r="L626" s="6"/>
      <c r="M626" s="6"/>
      <c r="N626" s="7">
        <f t="shared" ref="N626:N644" si="853">SUM(G626:M626)</f>
        <v>0</v>
      </c>
      <c r="O626" s="11">
        <f t="shared" si="828"/>
        <v>5</v>
      </c>
      <c r="P626" s="25"/>
      <c r="Q626" s="10" t="str">
        <f t="shared" si="829"/>
        <v>OutubroSEMANA 2Azeite Dende</v>
      </c>
      <c r="R626" s="7">
        <f>SUMIF(NF!$A:$A,$Q626,NF!$I:$I)</f>
        <v>0</v>
      </c>
      <c r="S626" s="6">
        <v>1</v>
      </c>
      <c r="T626" s="6"/>
      <c r="U626" s="6"/>
      <c r="V626" s="6"/>
      <c r="W626" s="6"/>
      <c r="X626" s="6"/>
      <c r="Y626" s="6"/>
      <c r="Z626" s="7">
        <f t="shared" ref="Z626:Z644" si="854">SUM(S626:Y626)</f>
        <v>1</v>
      </c>
      <c r="AA626" s="11">
        <f t="shared" si="831"/>
        <v>4</v>
      </c>
      <c r="AB626" s="25"/>
      <c r="AC626" s="10" t="str">
        <f t="shared" si="832"/>
        <v>OutubroSEMANA 3Azeite Dende</v>
      </c>
      <c r="AD626" s="7">
        <f>SUMIF(NF!$A:$A,$AC626,NF!$I:$I)</f>
        <v>0</v>
      </c>
      <c r="AE626" s="6"/>
      <c r="AF626" s="6"/>
      <c r="AG626" s="6"/>
      <c r="AH626" s="6"/>
      <c r="AI626" s="6"/>
      <c r="AJ626" s="6"/>
      <c r="AK626" s="6"/>
      <c r="AL626" s="7">
        <f t="shared" ref="AL626:AL644" si="855">SUM(AE626:AK626)</f>
        <v>0</v>
      </c>
      <c r="AM626" s="11">
        <f t="shared" si="834"/>
        <v>4</v>
      </c>
      <c r="AN626" s="25"/>
      <c r="AO626" s="10" t="str">
        <f t="shared" si="835"/>
        <v>OutubroSEMANA 4Azeite Dende</v>
      </c>
      <c r="AP626" s="7">
        <f>SUMIF(NF!$A:$A,$AO626,NF!$I:$I)</f>
        <v>0</v>
      </c>
      <c r="AQ626" s="6"/>
      <c r="AR626" s="6"/>
      <c r="AS626" s="6"/>
      <c r="AT626" s="6">
        <v>4</v>
      </c>
      <c r="AU626" s="6"/>
      <c r="AV626" s="6"/>
      <c r="AW626" s="6"/>
      <c r="AX626" s="7">
        <f t="shared" ref="AX626:AX644" si="856">SUM(AQ626:AW626)</f>
        <v>4</v>
      </c>
      <c r="AY626" s="11">
        <f t="shared" si="837"/>
        <v>0</v>
      </c>
      <c r="AZ626" s="25"/>
      <c r="BA626" s="10" t="str">
        <f t="shared" si="838"/>
        <v>OutubroSEMANA 5Azeite Dende</v>
      </c>
      <c r="BB626" s="7">
        <f>SUMIF(NF!$A:$A,$BA626,NF!$I:$I)</f>
        <v>0</v>
      </c>
      <c r="BC626" s="6"/>
      <c r="BD626" s="6"/>
      <c r="BE626" s="6"/>
      <c r="BF626" s="74"/>
      <c r="BG626" s="74"/>
      <c r="BH626" s="74"/>
      <c r="BI626" s="74"/>
      <c r="BJ626" s="74"/>
      <c r="BK626" s="7">
        <f t="shared" ref="BK626:BK644" si="857">SUM(BC626:BJ626)</f>
        <v>0</v>
      </c>
      <c r="BL626" s="8">
        <f t="shared" si="840"/>
        <v>0</v>
      </c>
      <c r="BM626" s="51" t="str">
        <f>IFERROR(VLOOKUP(A626,NF!$M:$O,3,0),"")</f>
        <v>Mercado</v>
      </c>
      <c r="BN626" s="7">
        <f t="shared" si="841"/>
        <v>5</v>
      </c>
      <c r="BO626" s="8">
        <f t="array" ref="BO626">IFERROR(LARGE(IF(NF!$G$2:$G$3137='Mês atual'!A626,NF!$J$2:$J$3137),1),0)*BN626</f>
        <v>0</v>
      </c>
      <c r="BP626" s="50"/>
      <c r="BR626" s="147">
        <f t="array" ref="BR626">IFERROR(LARGE(IF(NF!$G$2:$G$3137='Mês atual'!A626,NF!$J$2:$J$3137),1),0)</f>
        <v>0</v>
      </c>
      <c r="BS626" s="143" t="str">
        <f>VLOOKUP(A626,NF!M:O,3,0)</f>
        <v>Mercado</v>
      </c>
    </row>
    <row r="627" spans="1:71" x14ac:dyDescent="0.25">
      <c r="A627" s="108" t="s">
        <v>153</v>
      </c>
      <c r="B627" s="12"/>
      <c r="C627" s="9">
        <v>28</v>
      </c>
      <c r="D627" s="25"/>
      <c r="E627" s="10" t="str">
        <f t="shared" si="826"/>
        <v>OutubroSEMANA 1Azeite Extra Virgem (Santiago) 500 ml</v>
      </c>
      <c r="F627" s="7">
        <f>SUMIF(NF!$A:$A,$E627,NF!$I:$I)</f>
        <v>36</v>
      </c>
      <c r="G627" s="6">
        <v>4</v>
      </c>
      <c r="H627" s="6">
        <v>3</v>
      </c>
      <c r="I627" s="6">
        <v>6</v>
      </c>
      <c r="J627" s="6">
        <v>2</v>
      </c>
      <c r="K627" s="6">
        <v>4</v>
      </c>
      <c r="L627" s="6">
        <v>3</v>
      </c>
      <c r="M627" s="6">
        <v>3</v>
      </c>
      <c r="N627" s="7">
        <f t="shared" si="853"/>
        <v>25</v>
      </c>
      <c r="O627" s="11">
        <f t="shared" si="828"/>
        <v>39</v>
      </c>
      <c r="P627" s="25"/>
      <c r="Q627" s="10" t="str">
        <f t="shared" si="829"/>
        <v>OutubroSEMANA 2Azeite Extra Virgem (Santiago) 500 ml</v>
      </c>
      <c r="R627" s="7">
        <f>SUMIF(NF!$A:$A,$Q627,NF!$I:$I)</f>
        <v>12</v>
      </c>
      <c r="S627" s="6">
        <v>3</v>
      </c>
      <c r="T627" s="6">
        <v>3</v>
      </c>
      <c r="U627" s="6">
        <v>5</v>
      </c>
      <c r="V627" s="6">
        <v>2</v>
      </c>
      <c r="W627" s="6">
        <v>5</v>
      </c>
      <c r="X627" s="6">
        <v>2</v>
      </c>
      <c r="Y627" s="6">
        <v>3</v>
      </c>
      <c r="Z627" s="7">
        <f t="shared" si="854"/>
        <v>23</v>
      </c>
      <c r="AA627" s="11">
        <f t="shared" si="831"/>
        <v>28</v>
      </c>
      <c r="AB627" s="25"/>
      <c r="AC627" s="10" t="str">
        <f t="shared" si="832"/>
        <v>OutubroSEMANA 3Azeite Extra Virgem (Santiago) 500 ml</v>
      </c>
      <c r="AD627" s="7">
        <f>SUMIF(NF!$A:$A,$AC627,NF!$I:$I)</f>
        <v>24</v>
      </c>
      <c r="AE627" s="6">
        <v>7</v>
      </c>
      <c r="AF627" s="6">
        <v>2</v>
      </c>
      <c r="AG627" s="6">
        <v>2</v>
      </c>
      <c r="AH627" s="6">
        <v>2</v>
      </c>
      <c r="AI627" s="6">
        <v>5</v>
      </c>
      <c r="AJ627" s="6">
        <v>3</v>
      </c>
      <c r="AK627" s="6">
        <v>2</v>
      </c>
      <c r="AL627" s="7">
        <f t="shared" si="855"/>
        <v>23</v>
      </c>
      <c r="AM627" s="11">
        <f t="shared" si="834"/>
        <v>29</v>
      </c>
      <c r="AN627" s="25"/>
      <c r="AO627" s="10" t="str">
        <f t="shared" si="835"/>
        <v>OutubroSEMANA 4Azeite Extra Virgem (Santiago) 500 ml</v>
      </c>
      <c r="AP627" s="7">
        <f>SUMIF(NF!$A:$A,$AO627,NF!$I:$I)</f>
        <v>12</v>
      </c>
      <c r="AQ627" s="6">
        <v>3</v>
      </c>
      <c r="AR627" s="6">
        <v>3</v>
      </c>
      <c r="AS627" s="6">
        <v>2</v>
      </c>
      <c r="AT627" s="6">
        <v>3</v>
      </c>
      <c r="AU627" s="6">
        <v>3</v>
      </c>
      <c r="AV627" s="6">
        <v>3</v>
      </c>
      <c r="AW627" s="6">
        <v>4</v>
      </c>
      <c r="AX627" s="7">
        <f t="shared" si="856"/>
        <v>21</v>
      </c>
      <c r="AY627" s="11">
        <f t="shared" si="837"/>
        <v>20</v>
      </c>
      <c r="AZ627" s="25"/>
      <c r="BA627" s="10" t="str">
        <f t="shared" si="838"/>
        <v>OutubroSEMANA 5Azeite Extra Virgem (Santiago) 500 ml</v>
      </c>
      <c r="BB627" s="7">
        <f>SUMIF(NF!$A:$A,$BA627,NF!$I:$I)</f>
        <v>0</v>
      </c>
      <c r="BC627" s="6">
        <v>7</v>
      </c>
      <c r="BD627" s="6">
        <v>4</v>
      </c>
      <c r="BE627" s="6">
        <v>5</v>
      </c>
      <c r="BF627" s="74"/>
      <c r="BG627" s="74"/>
      <c r="BH627" s="74"/>
      <c r="BI627" s="74"/>
      <c r="BJ627" s="74"/>
      <c r="BK627" s="7">
        <f t="shared" si="857"/>
        <v>16</v>
      </c>
      <c r="BL627" s="8">
        <f t="shared" si="840"/>
        <v>4</v>
      </c>
      <c r="BM627" s="51" t="str">
        <f>IFERROR(VLOOKUP(A627,NF!$M:$O,3,0),"")</f>
        <v>Mercado</v>
      </c>
      <c r="BN627" s="7">
        <f t="shared" si="841"/>
        <v>108</v>
      </c>
      <c r="BO627" s="8">
        <f t="array" ref="BO627">IFERROR(LARGE(IF(NF!$G$2:$G$3137='Mês atual'!A627,NF!$J$2:$J$3137),1),0)*BN627</f>
        <v>1765.74</v>
      </c>
      <c r="BP627" s="50"/>
      <c r="BR627" s="147">
        <f t="array" ref="BR627">IFERROR(LARGE(IF(NF!$G$2:$G$3137='Mês atual'!A627,NF!$J$2:$J$3137),1),0)</f>
        <v>16.349444444444444</v>
      </c>
      <c r="BS627" s="143" t="str">
        <f>VLOOKUP(A627,NF!M:O,3,0)</f>
        <v>Mercado</v>
      </c>
    </row>
    <row r="628" spans="1:71" x14ac:dyDescent="0.25">
      <c r="A628" s="108" t="s">
        <v>154</v>
      </c>
      <c r="B628" s="12"/>
      <c r="C628" s="9">
        <v>1</v>
      </c>
      <c r="D628" s="25"/>
      <c r="E628" s="10" t="str">
        <f t="shared" si="826"/>
        <v>OutubroSEMANA 1Azeitona Azapa bd</v>
      </c>
      <c r="F628" s="7">
        <f>SUMIF(NF!$A:$A,$E628,NF!$I:$I)</f>
        <v>0</v>
      </c>
      <c r="G628" s="6"/>
      <c r="H628" s="6"/>
      <c r="I628" s="6"/>
      <c r="J628" s="6"/>
      <c r="K628" s="6"/>
      <c r="L628" s="6"/>
      <c r="M628" s="6"/>
      <c r="N628" s="7">
        <f t="shared" si="853"/>
        <v>0</v>
      </c>
      <c r="O628" s="11">
        <f t="shared" si="828"/>
        <v>1</v>
      </c>
      <c r="P628" s="25"/>
      <c r="Q628" s="10" t="str">
        <f t="shared" si="829"/>
        <v>OutubroSEMANA 2Azeitona Azapa bd</v>
      </c>
      <c r="R628" s="7">
        <f>SUMIF(NF!$A:$A,$Q628,NF!$I:$I)</f>
        <v>0</v>
      </c>
      <c r="S628" s="6"/>
      <c r="T628" s="6"/>
      <c r="U628" s="6"/>
      <c r="V628" s="6"/>
      <c r="W628" s="6"/>
      <c r="X628" s="6"/>
      <c r="Y628" s="6"/>
      <c r="Z628" s="7">
        <f t="shared" si="854"/>
        <v>0</v>
      </c>
      <c r="AA628" s="11">
        <f t="shared" si="831"/>
        <v>1</v>
      </c>
      <c r="AB628" s="25"/>
      <c r="AC628" s="10" t="str">
        <f t="shared" si="832"/>
        <v>OutubroSEMANA 3Azeitona Azapa bd</v>
      </c>
      <c r="AD628" s="7">
        <f>SUMIF(NF!$A:$A,$AC628,NF!$I:$I)</f>
        <v>0</v>
      </c>
      <c r="AE628" s="6">
        <v>1</v>
      </c>
      <c r="AF628" s="6"/>
      <c r="AG628" s="6"/>
      <c r="AH628" s="6"/>
      <c r="AI628" s="6"/>
      <c r="AJ628" s="6"/>
      <c r="AK628" s="6"/>
      <c r="AL628" s="7">
        <f t="shared" si="855"/>
        <v>1</v>
      </c>
      <c r="AM628" s="11">
        <f t="shared" si="834"/>
        <v>0</v>
      </c>
      <c r="AN628" s="25"/>
      <c r="AO628" s="10" t="str">
        <f t="shared" si="835"/>
        <v>OutubroSEMANA 4Azeitona Azapa bd</v>
      </c>
      <c r="AP628" s="7">
        <f>SUMIF(NF!$A:$A,$AO628,NF!$I:$I)</f>
        <v>0</v>
      </c>
      <c r="AQ628" s="6"/>
      <c r="AR628" s="6"/>
      <c r="AS628" s="6"/>
      <c r="AT628" s="6"/>
      <c r="AU628" s="6"/>
      <c r="AV628" s="6"/>
      <c r="AW628" s="6"/>
      <c r="AX628" s="7">
        <f t="shared" si="856"/>
        <v>0</v>
      </c>
      <c r="AY628" s="11">
        <f t="shared" si="837"/>
        <v>0</v>
      </c>
      <c r="AZ628" s="25"/>
      <c r="BA628" s="10" t="str">
        <f t="shared" si="838"/>
        <v>OutubroSEMANA 5Azeitona Azapa bd</v>
      </c>
      <c r="BB628" s="7">
        <f>SUMIF(NF!$A:$A,$BA628,NF!$I:$I)</f>
        <v>0</v>
      </c>
      <c r="BC628" s="6"/>
      <c r="BD628" s="6"/>
      <c r="BE628" s="6"/>
      <c r="BF628" s="74"/>
      <c r="BG628" s="74"/>
      <c r="BH628" s="74"/>
      <c r="BI628" s="74"/>
      <c r="BJ628" s="74"/>
      <c r="BK628" s="7">
        <f t="shared" si="857"/>
        <v>0</v>
      </c>
      <c r="BL628" s="8">
        <f t="shared" si="840"/>
        <v>0</v>
      </c>
      <c r="BM628" s="51" t="str">
        <f>IFERROR(VLOOKUP(A628,NF!$M:$O,3,0),"")</f>
        <v>Mercado</v>
      </c>
      <c r="BN628" s="7">
        <f t="shared" si="841"/>
        <v>1</v>
      </c>
      <c r="BO628" s="8">
        <f t="array" ref="BO628">IFERROR(LARGE(IF(NF!$G$2:$G$3137='Mês atual'!A628,NF!$J$2:$J$3137),1),0)*BN628</f>
        <v>0</v>
      </c>
      <c r="BP628" s="50"/>
      <c r="BR628" s="147">
        <f t="array" ref="BR628">IFERROR(LARGE(IF(NF!$G$2:$G$3137='Mês atual'!A628,NF!$J$2:$J$3137),1),0)</f>
        <v>0</v>
      </c>
      <c r="BS628" s="143" t="str">
        <f>VLOOKUP(A628,NF!M:O,3,0)</f>
        <v>Mercado</v>
      </c>
    </row>
    <row r="629" spans="1:71" x14ac:dyDescent="0.25">
      <c r="A629" s="108" t="s">
        <v>155</v>
      </c>
      <c r="B629" s="12"/>
      <c r="C629" s="9">
        <v>1</v>
      </c>
      <c r="D629" s="25"/>
      <c r="E629" s="10" t="str">
        <f t="shared" si="826"/>
        <v>OutubroSEMANA 1Azeitona preta Bd 3,200 kg</v>
      </c>
      <c r="F629" s="7">
        <f>SUMIF(NF!$A:$A,$E629,NF!$I:$I)</f>
        <v>0</v>
      </c>
      <c r="G629" s="6"/>
      <c r="H629" s="6"/>
      <c r="I629" s="6"/>
      <c r="J629" s="6"/>
      <c r="K629" s="6"/>
      <c r="L629" s="6"/>
      <c r="M629" s="6"/>
      <c r="N629" s="7">
        <f t="shared" si="853"/>
        <v>0</v>
      </c>
      <c r="O629" s="11">
        <f t="shared" si="828"/>
        <v>1</v>
      </c>
      <c r="P629" s="25"/>
      <c r="Q629" s="10" t="str">
        <f t="shared" si="829"/>
        <v>OutubroSEMANA 2Azeitona preta Bd 3,200 kg</v>
      </c>
      <c r="R629" s="7">
        <f>SUMIF(NF!$A:$A,$Q629,NF!$I:$I)</f>
        <v>0</v>
      </c>
      <c r="S629" s="6"/>
      <c r="T629" s="6"/>
      <c r="U629" s="6"/>
      <c r="V629" s="6"/>
      <c r="W629" s="6"/>
      <c r="X629" s="6"/>
      <c r="Y629" s="6"/>
      <c r="Z629" s="7">
        <f t="shared" si="854"/>
        <v>0</v>
      </c>
      <c r="AA629" s="11">
        <f t="shared" si="831"/>
        <v>1</v>
      </c>
      <c r="AB629" s="25"/>
      <c r="AC629" s="10" t="str">
        <f t="shared" si="832"/>
        <v>OutubroSEMANA 3Azeitona preta Bd 3,200 kg</v>
      </c>
      <c r="AD629" s="7">
        <f>SUMIF(NF!$A:$A,$AC629,NF!$I:$I)</f>
        <v>0</v>
      </c>
      <c r="AE629" s="6"/>
      <c r="AF629" s="6"/>
      <c r="AG629" s="6"/>
      <c r="AH629" s="6"/>
      <c r="AI629" s="6"/>
      <c r="AJ629" s="6"/>
      <c r="AK629" s="6"/>
      <c r="AL629" s="7">
        <f t="shared" si="855"/>
        <v>0</v>
      </c>
      <c r="AM629" s="11">
        <f t="shared" si="834"/>
        <v>1</v>
      </c>
      <c r="AN629" s="25"/>
      <c r="AO629" s="10" t="str">
        <f t="shared" si="835"/>
        <v>OutubroSEMANA 4Azeitona preta Bd 3,200 kg</v>
      </c>
      <c r="AP629" s="7">
        <f>SUMIF(NF!$A:$A,$AO629,NF!$I:$I)</f>
        <v>0</v>
      </c>
      <c r="AQ629" s="6"/>
      <c r="AR629" s="6"/>
      <c r="AS629" s="6"/>
      <c r="AT629" s="6"/>
      <c r="AU629" s="6"/>
      <c r="AV629" s="6"/>
      <c r="AW629" s="6"/>
      <c r="AX629" s="7">
        <f t="shared" si="856"/>
        <v>0</v>
      </c>
      <c r="AY629" s="11">
        <f t="shared" si="837"/>
        <v>1</v>
      </c>
      <c r="AZ629" s="25"/>
      <c r="BA629" s="10" t="str">
        <f t="shared" si="838"/>
        <v>OutubroSEMANA 5Azeitona preta Bd 3,200 kg</v>
      </c>
      <c r="BB629" s="7">
        <f>SUMIF(NF!$A:$A,$BA629,NF!$I:$I)</f>
        <v>0</v>
      </c>
      <c r="BC629" s="6"/>
      <c r="BD629" s="6"/>
      <c r="BE629" s="6"/>
      <c r="BF629" s="74"/>
      <c r="BG629" s="74"/>
      <c r="BH629" s="74"/>
      <c r="BI629" s="74"/>
      <c r="BJ629" s="74"/>
      <c r="BK629" s="7">
        <f t="shared" si="857"/>
        <v>0</v>
      </c>
      <c r="BL629" s="8">
        <f t="shared" si="840"/>
        <v>1</v>
      </c>
      <c r="BM629" s="51" t="str">
        <f>IFERROR(VLOOKUP(A629,NF!$M:$O,3,0),"")</f>
        <v>Mercado</v>
      </c>
      <c r="BN629" s="7">
        <f t="shared" si="841"/>
        <v>0</v>
      </c>
      <c r="BO629" s="8">
        <f t="array" ref="BO629">IFERROR(LARGE(IF(NF!$G$2:$G$3137='Mês atual'!A629,NF!$J$2:$J$3137),1),0)*BN629</f>
        <v>0</v>
      </c>
      <c r="BP629" s="50"/>
      <c r="BR629" s="147">
        <f t="array" ref="BR629">IFERROR(LARGE(IF(NF!$G$2:$G$3137='Mês atual'!A629,NF!$J$2:$J$3137),1),0)</f>
        <v>0</v>
      </c>
      <c r="BS629" s="143" t="str">
        <f>VLOOKUP(A629,NF!M:O,3,0)</f>
        <v>Mercado</v>
      </c>
    </row>
    <row r="630" spans="1:71" x14ac:dyDescent="0.25">
      <c r="A630" s="108" t="s">
        <v>156</v>
      </c>
      <c r="B630" s="12"/>
      <c r="C630" s="9"/>
      <c r="D630" s="25"/>
      <c r="E630" s="10" t="str">
        <f t="shared" si="826"/>
        <v>OutubroSEMANA 1Azeitona Preta Fatiada Bd 3 kg</v>
      </c>
      <c r="F630" s="7">
        <f>SUMIF(NF!$A:$A,$E630,NF!$I:$I)</f>
        <v>0</v>
      </c>
      <c r="G630" s="6"/>
      <c r="H630" s="6"/>
      <c r="I630" s="6"/>
      <c r="J630" s="6"/>
      <c r="K630" s="6"/>
      <c r="L630" s="6"/>
      <c r="M630" s="6"/>
      <c r="N630" s="7">
        <f t="shared" si="853"/>
        <v>0</v>
      </c>
      <c r="O630" s="11">
        <f t="shared" si="828"/>
        <v>0</v>
      </c>
      <c r="P630" s="25"/>
      <c r="Q630" s="10" t="str">
        <f t="shared" si="829"/>
        <v>OutubroSEMANA 2Azeitona Preta Fatiada Bd 3 kg</v>
      </c>
      <c r="R630" s="7">
        <f>SUMIF(NF!$A:$A,$Q630,NF!$I:$I)</f>
        <v>0</v>
      </c>
      <c r="S630" s="6"/>
      <c r="T630" s="6"/>
      <c r="U630" s="6"/>
      <c r="V630" s="6"/>
      <c r="W630" s="6"/>
      <c r="X630" s="6"/>
      <c r="Y630" s="6"/>
      <c r="Z630" s="7">
        <f t="shared" si="854"/>
        <v>0</v>
      </c>
      <c r="AA630" s="11">
        <f t="shared" si="831"/>
        <v>0</v>
      </c>
      <c r="AB630" s="25"/>
      <c r="AC630" s="10" t="str">
        <f t="shared" si="832"/>
        <v>OutubroSEMANA 3Azeitona Preta Fatiada Bd 3 kg</v>
      </c>
      <c r="AD630" s="7">
        <f>SUMIF(NF!$A:$A,$AC630,NF!$I:$I)</f>
        <v>0</v>
      </c>
      <c r="AE630" s="6"/>
      <c r="AF630" s="6"/>
      <c r="AG630" s="6"/>
      <c r="AH630" s="6"/>
      <c r="AI630" s="6"/>
      <c r="AJ630" s="6"/>
      <c r="AK630" s="6"/>
      <c r="AL630" s="7">
        <f t="shared" si="855"/>
        <v>0</v>
      </c>
      <c r="AM630" s="11">
        <f t="shared" si="834"/>
        <v>0</v>
      </c>
      <c r="AN630" s="25"/>
      <c r="AO630" s="10" t="str">
        <f t="shared" si="835"/>
        <v>OutubroSEMANA 4Azeitona Preta Fatiada Bd 3 kg</v>
      </c>
      <c r="AP630" s="7">
        <f>SUMIF(NF!$A:$A,$AO630,NF!$I:$I)</f>
        <v>0</v>
      </c>
      <c r="AQ630" s="6"/>
      <c r="AR630" s="6"/>
      <c r="AS630" s="6"/>
      <c r="AT630" s="6"/>
      <c r="AU630" s="6"/>
      <c r="AV630" s="6"/>
      <c r="AW630" s="6"/>
      <c r="AX630" s="7">
        <f t="shared" si="856"/>
        <v>0</v>
      </c>
      <c r="AY630" s="11">
        <f t="shared" si="837"/>
        <v>0</v>
      </c>
      <c r="AZ630" s="25"/>
      <c r="BA630" s="10" t="str">
        <f t="shared" si="838"/>
        <v>OutubroSEMANA 5Azeitona Preta Fatiada Bd 3 kg</v>
      </c>
      <c r="BB630" s="7">
        <f>SUMIF(NF!$A:$A,$BA630,NF!$I:$I)</f>
        <v>0</v>
      </c>
      <c r="BC630" s="6"/>
      <c r="BD630" s="6"/>
      <c r="BE630" s="6"/>
      <c r="BF630" s="74"/>
      <c r="BG630" s="74"/>
      <c r="BH630" s="74"/>
      <c r="BI630" s="74"/>
      <c r="BJ630" s="74"/>
      <c r="BK630" s="7">
        <f t="shared" si="857"/>
        <v>0</v>
      </c>
      <c r="BL630" s="8">
        <f t="shared" si="840"/>
        <v>0</v>
      </c>
      <c r="BM630" s="51" t="str">
        <f>IFERROR(VLOOKUP(A630,NF!$M:$O,3,0),"")</f>
        <v>Mercado</v>
      </c>
      <c r="BN630" s="7">
        <f t="shared" si="841"/>
        <v>0</v>
      </c>
      <c r="BO630" s="8">
        <f t="array" ref="BO630">IFERROR(LARGE(IF(NF!$G$2:$G$3137='Mês atual'!A630,NF!$J$2:$J$3137),1),0)*BN630</f>
        <v>0</v>
      </c>
      <c r="BP630" s="50"/>
      <c r="BR630" s="147">
        <f t="array" ref="BR630">IFERROR(LARGE(IF(NF!$G$2:$G$3137='Mês atual'!A630,NF!$J$2:$J$3137),1),0)</f>
        <v>0</v>
      </c>
      <c r="BS630" s="143" t="str">
        <f>VLOOKUP(A630,NF!M:O,3,0)</f>
        <v>Mercado</v>
      </c>
    </row>
    <row r="631" spans="1:71" x14ac:dyDescent="0.25">
      <c r="A631" s="108" t="s">
        <v>157</v>
      </c>
      <c r="B631" s="12"/>
      <c r="C631" s="9">
        <v>1</v>
      </c>
      <c r="D631" s="25"/>
      <c r="E631" s="10" t="str">
        <f t="shared" si="826"/>
        <v>OutubroSEMANA 1Azeitona Verde c/ Caroço Bd 2 kg</v>
      </c>
      <c r="F631" s="7">
        <f>SUMIF(NF!$A:$A,$E631,NF!$I:$I)</f>
        <v>0</v>
      </c>
      <c r="G631" s="6"/>
      <c r="H631" s="6"/>
      <c r="I631" s="6"/>
      <c r="J631" s="6"/>
      <c r="K631" s="6"/>
      <c r="L631" s="6"/>
      <c r="M631" s="6"/>
      <c r="N631" s="7">
        <f t="shared" si="853"/>
        <v>0</v>
      </c>
      <c r="O631" s="11">
        <f t="shared" si="828"/>
        <v>1</v>
      </c>
      <c r="P631" s="25"/>
      <c r="Q631" s="10" t="str">
        <f t="shared" si="829"/>
        <v>OutubroSEMANA 2Azeitona Verde c/ Caroço Bd 2 kg</v>
      </c>
      <c r="R631" s="7">
        <f>SUMIF(NF!$A:$A,$Q631,NF!$I:$I)</f>
        <v>0</v>
      </c>
      <c r="S631" s="6"/>
      <c r="T631" s="6"/>
      <c r="U631" s="6"/>
      <c r="V631" s="6"/>
      <c r="W631" s="6"/>
      <c r="X631" s="6"/>
      <c r="Y631" s="6"/>
      <c r="Z631" s="7">
        <f t="shared" si="854"/>
        <v>0</v>
      </c>
      <c r="AA631" s="11">
        <f t="shared" si="831"/>
        <v>1</v>
      </c>
      <c r="AB631" s="25"/>
      <c r="AC631" s="10" t="str">
        <f t="shared" si="832"/>
        <v>OutubroSEMANA 3Azeitona Verde c/ Caroço Bd 2 kg</v>
      </c>
      <c r="AD631" s="7">
        <f>SUMIF(NF!$A:$A,$AC631,NF!$I:$I)</f>
        <v>0</v>
      </c>
      <c r="AE631" s="6"/>
      <c r="AF631" s="6"/>
      <c r="AG631" s="6"/>
      <c r="AH631" s="6"/>
      <c r="AI631" s="6"/>
      <c r="AJ631" s="6"/>
      <c r="AK631" s="6"/>
      <c r="AL631" s="7">
        <f t="shared" si="855"/>
        <v>0</v>
      </c>
      <c r="AM631" s="11">
        <f t="shared" si="834"/>
        <v>1</v>
      </c>
      <c r="AN631" s="25"/>
      <c r="AO631" s="10" t="str">
        <f t="shared" si="835"/>
        <v>OutubroSEMANA 4Azeitona Verde c/ Caroço Bd 2 kg</v>
      </c>
      <c r="AP631" s="7">
        <f>SUMIF(NF!$A:$A,$AO631,NF!$I:$I)</f>
        <v>0</v>
      </c>
      <c r="AQ631" s="6"/>
      <c r="AR631" s="6"/>
      <c r="AS631" s="6"/>
      <c r="AT631" s="6"/>
      <c r="AU631" s="6"/>
      <c r="AV631" s="6"/>
      <c r="AW631" s="6"/>
      <c r="AX631" s="7">
        <f t="shared" si="856"/>
        <v>0</v>
      </c>
      <c r="AY631" s="11">
        <f t="shared" si="837"/>
        <v>1</v>
      </c>
      <c r="AZ631" s="25"/>
      <c r="BA631" s="10" t="str">
        <f t="shared" si="838"/>
        <v>OutubroSEMANA 5Azeitona Verde c/ Caroço Bd 2 kg</v>
      </c>
      <c r="BB631" s="7">
        <f>SUMIF(NF!$A:$A,$BA631,NF!$I:$I)</f>
        <v>0</v>
      </c>
      <c r="BC631" s="6"/>
      <c r="BD631" s="6"/>
      <c r="BE631" s="6"/>
      <c r="BF631" s="74"/>
      <c r="BG631" s="74"/>
      <c r="BH631" s="74"/>
      <c r="BI631" s="74"/>
      <c r="BJ631" s="74"/>
      <c r="BK631" s="7">
        <f t="shared" si="857"/>
        <v>0</v>
      </c>
      <c r="BL631" s="8">
        <f t="shared" si="840"/>
        <v>1</v>
      </c>
      <c r="BM631" s="51" t="str">
        <f>IFERROR(VLOOKUP(A631,NF!$M:$O,3,0),"")</f>
        <v>Mercado</v>
      </c>
      <c r="BN631" s="7">
        <f t="shared" si="841"/>
        <v>0</v>
      </c>
      <c r="BO631" s="8">
        <f t="array" ref="BO631">IFERROR(LARGE(IF(NF!$G$2:$G$3137='Mês atual'!A631,NF!$J$2:$J$3137),1),0)*BN631</f>
        <v>0</v>
      </c>
      <c r="BP631" s="50"/>
      <c r="BR631" s="147">
        <f t="array" ref="BR631">IFERROR(LARGE(IF(NF!$G$2:$G$3137='Mês atual'!A631,NF!$J$2:$J$3137),1),0)</f>
        <v>0</v>
      </c>
      <c r="BS631" s="143" t="str">
        <f>VLOOKUP(A631,NF!M:O,3,0)</f>
        <v>Mercado</v>
      </c>
    </row>
    <row r="632" spans="1:71" x14ac:dyDescent="0.25">
      <c r="A632" s="108" t="s">
        <v>158</v>
      </c>
      <c r="B632" s="12"/>
      <c r="C632" s="9">
        <v>2</v>
      </c>
      <c r="D632" s="25"/>
      <c r="E632" s="10" t="str">
        <f t="shared" si="826"/>
        <v>OutubroSEMANA 1Azeitona Verde Fatiada Bd 2 kg</v>
      </c>
      <c r="F632" s="7">
        <f>SUMIF(NF!$A:$A,$E632,NF!$I:$I)</f>
        <v>0</v>
      </c>
      <c r="G632" s="6"/>
      <c r="H632" s="6"/>
      <c r="I632" s="6"/>
      <c r="J632" s="6"/>
      <c r="K632" s="6"/>
      <c r="L632" s="6"/>
      <c r="M632" s="6">
        <v>1</v>
      </c>
      <c r="N632" s="7">
        <f t="shared" si="853"/>
        <v>1</v>
      </c>
      <c r="O632" s="11">
        <f t="shared" si="828"/>
        <v>1</v>
      </c>
      <c r="P632" s="25"/>
      <c r="Q632" s="10" t="str">
        <f t="shared" si="829"/>
        <v>OutubroSEMANA 2Azeitona Verde Fatiada Bd 2 kg</v>
      </c>
      <c r="R632" s="7">
        <f>SUMIF(NF!$A:$A,$Q632,NF!$I:$I)</f>
        <v>1</v>
      </c>
      <c r="S632" s="6"/>
      <c r="T632" s="6"/>
      <c r="U632" s="6"/>
      <c r="V632" s="6"/>
      <c r="W632" s="6"/>
      <c r="X632" s="6"/>
      <c r="Y632" s="6">
        <v>1</v>
      </c>
      <c r="Z632" s="7">
        <f t="shared" si="854"/>
        <v>1</v>
      </c>
      <c r="AA632" s="11">
        <f t="shared" si="831"/>
        <v>1</v>
      </c>
      <c r="AB632" s="25"/>
      <c r="AC632" s="10" t="str">
        <f t="shared" si="832"/>
        <v>OutubroSEMANA 3Azeitona Verde Fatiada Bd 2 kg</v>
      </c>
      <c r="AD632" s="7">
        <f>SUMIF(NF!$A:$A,$AC632,NF!$I:$I)</f>
        <v>1</v>
      </c>
      <c r="AE632" s="6"/>
      <c r="AF632" s="6"/>
      <c r="AG632" s="6"/>
      <c r="AH632" s="6"/>
      <c r="AI632" s="6"/>
      <c r="AJ632" s="6"/>
      <c r="AK632" s="6"/>
      <c r="AL632" s="7">
        <f t="shared" si="855"/>
        <v>0</v>
      </c>
      <c r="AM632" s="11">
        <f t="shared" si="834"/>
        <v>2</v>
      </c>
      <c r="AN632" s="25"/>
      <c r="AO632" s="10" t="str">
        <f t="shared" si="835"/>
        <v>OutubroSEMANA 4Azeitona Verde Fatiada Bd 2 kg</v>
      </c>
      <c r="AP632" s="7">
        <f>SUMIF(NF!$A:$A,$AO632,NF!$I:$I)</f>
        <v>0</v>
      </c>
      <c r="AQ632" s="6"/>
      <c r="AR632" s="6"/>
      <c r="AS632" s="6"/>
      <c r="AT632" s="6"/>
      <c r="AU632" s="6"/>
      <c r="AV632" s="6"/>
      <c r="AW632" s="6">
        <v>1</v>
      </c>
      <c r="AX632" s="7">
        <f t="shared" si="856"/>
        <v>1</v>
      </c>
      <c r="AY632" s="11">
        <f t="shared" si="837"/>
        <v>1</v>
      </c>
      <c r="AZ632" s="25"/>
      <c r="BA632" s="10" t="str">
        <f t="shared" si="838"/>
        <v>OutubroSEMANA 5Azeitona Verde Fatiada Bd 2 kg</v>
      </c>
      <c r="BB632" s="7">
        <f>SUMIF(NF!$A:$A,$BA632,NF!$I:$I)</f>
        <v>0</v>
      </c>
      <c r="BC632" s="6"/>
      <c r="BD632" s="6"/>
      <c r="BE632" s="6"/>
      <c r="BF632" s="74"/>
      <c r="BG632" s="74"/>
      <c r="BH632" s="74"/>
      <c r="BI632" s="74"/>
      <c r="BJ632" s="74"/>
      <c r="BK632" s="7">
        <f t="shared" si="857"/>
        <v>0</v>
      </c>
      <c r="BL632" s="8">
        <f t="shared" si="840"/>
        <v>1</v>
      </c>
      <c r="BM632" s="51" t="str">
        <f>IFERROR(VLOOKUP(A632,NF!$M:$O,3,0),"")</f>
        <v>Mercado</v>
      </c>
      <c r="BN632" s="7">
        <f t="shared" si="841"/>
        <v>3</v>
      </c>
      <c r="BO632" s="8">
        <f t="array" ref="BO632">IFERROR(LARGE(IF(NF!$G$2:$G$3137='Mês atual'!A632,NF!$J$2:$J$3137),1),0)*BN632</f>
        <v>78.66</v>
      </c>
      <c r="BP632" s="50"/>
      <c r="BR632" s="147">
        <f t="array" ref="BR632">IFERROR(LARGE(IF(NF!$G$2:$G$3137='Mês atual'!A632,NF!$J$2:$J$3137),1),0)</f>
        <v>26.22</v>
      </c>
      <c r="BS632" s="143" t="str">
        <f>VLOOKUP(A632,NF!M:O,3,0)</f>
        <v>Mercado</v>
      </c>
    </row>
    <row r="633" spans="1:71" x14ac:dyDescent="0.25">
      <c r="A633" s="108" t="s">
        <v>1301</v>
      </c>
      <c r="B633" s="12"/>
      <c r="C633" s="9"/>
      <c r="D633" s="25"/>
      <c r="E633" s="10" t="str">
        <f t="shared" si="826"/>
        <v>OutubroSEMANA 1Banete Pec Pão (cozinha)</v>
      </c>
      <c r="F633" s="7">
        <f>SUMIF(NF!$A:$A,$E633,NF!$I:$I)</f>
        <v>0</v>
      </c>
      <c r="G633" s="6"/>
      <c r="H633" s="6"/>
      <c r="I633" s="6"/>
      <c r="J633" s="6"/>
      <c r="K633" s="6"/>
      <c r="L633" s="6"/>
      <c r="M633" s="6"/>
      <c r="N633" s="7">
        <f t="shared" ref="N633" si="858">SUM(G633:M633)</f>
        <v>0</v>
      </c>
      <c r="O633" s="11">
        <f t="shared" ref="O633" si="859">F633+C633-N633</f>
        <v>0</v>
      </c>
      <c r="P633" s="25"/>
      <c r="Q633" s="10" t="str">
        <f t="shared" si="829"/>
        <v>OutubroSEMANA 2Banete Pec Pão (cozinha)</v>
      </c>
      <c r="R633" s="7">
        <f>SUMIF(NF!$A:$A,$Q633,NF!$I:$I)</f>
        <v>0</v>
      </c>
      <c r="S633" s="6"/>
      <c r="T633" s="6"/>
      <c r="U633" s="6"/>
      <c r="V633" s="6"/>
      <c r="W633" s="6"/>
      <c r="X633" s="6"/>
      <c r="Y633" s="6"/>
      <c r="Z633" s="7">
        <f t="shared" ref="Z633" si="860">SUM(S633:Y633)</f>
        <v>0</v>
      </c>
      <c r="AA633" s="11">
        <f t="shared" ref="AA633" si="861">R633+O633-Z633</f>
        <v>0</v>
      </c>
      <c r="AB633" s="25"/>
      <c r="AC633" s="10" t="str">
        <f t="shared" si="832"/>
        <v>OutubroSEMANA 3Banete Pec Pão (cozinha)</v>
      </c>
      <c r="AD633" s="7">
        <f>SUMIF(NF!$A:$A,$AC633,NF!$I:$I)</f>
        <v>0</v>
      </c>
      <c r="AE633" s="6"/>
      <c r="AF633" s="6"/>
      <c r="AG633" s="6"/>
      <c r="AH633" s="6"/>
      <c r="AI633" s="6"/>
      <c r="AJ633" s="6"/>
      <c r="AK633" s="6"/>
      <c r="AL633" s="7">
        <f t="shared" ref="AL633" si="862">SUM(AE633:AK633)</f>
        <v>0</v>
      </c>
      <c r="AM633" s="11">
        <f t="shared" ref="AM633" si="863">AD633+AA633-AL633</f>
        <v>0</v>
      </c>
      <c r="AN633" s="25"/>
      <c r="AO633" s="10" t="str">
        <f t="shared" si="835"/>
        <v>OutubroSEMANA 4Banete Pec Pão (cozinha)</v>
      </c>
      <c r="AP633" s="7">
        <f>SUMIF(NF!$A:$A,$AO633,NF!$I:$I)</f>
        <v>0.40799999999999997</v>
      </c>
      <c r="AQ633" s="6"/>
      <c r="AR633" s="6"/>
      <c r="AS633" s="6"/>
      <c r="AT633" s="6">
        <v>0.40799999999999997</v>
      </c>
      <c r="AU633" s="6"/>
      <c r="AV633" s="6"/>
      <c r="AW633" s="6"/>
      <c r="AX633" s="7">
        <f t="shared" ref="AX633" si="864">SUM(AQ633:AW633)</f>
        <v>0.40799999999999997</v>
      </c>
      <c r="AY633" s="11">
        <f t="shared" ref="AY633" si="865">AP633+AM633-AX633</f>
        <v>0</v>
      </c>
      <c r="AZ633" s="25"/>
      <c r="BA633" s="10" t="str">
        <f t="shared" si="838"/>
        <v>OutubroSEMANA 5Banete Pec Pão (cozinha)</v>
      </c>
      <c r="BB633" s="7">
        <f>SUMIF(NF!$A:$A,$BA633,NF!$I:$I)</f>
        <v>0</v>
      </c>
      <c r="BC633" s="6"/>
      <c r="BD633" s="6"/>
      <c r="BE633" s="6"/>
      <c r="BF633" s="74"/>
      <c r="BG633" s="74"/>
      <c r="BH633" s="74"/>
      <c r="BI633" s="74"/>
      <c r="BJ633" s="74"/>
      <c r="BK633" s="7">
        <f t="shared" ref="BK633" si="866">SUM(BC633:BJ633)</f>
        <v>0</v>
      </c>
      <c r="BL633" s="8">
        <f t="shared" ref="BL633" si="867">BB633+AY633-BK633</f>
        <v>0</v>
      </c>
      <c r="BM633" s="51" t="str">
        <f>IFERROR(VLOOKUP(A633,NF!$M:$O,3,0),"")</f>
        <v>Mercado</v>
      </c>
      <c r="BN633" s="7">
        <f t="shared" ref="BN633" si="868">SUM(N633,Z633,AL633,AX633,BK633)</f>
        <v>0.40799999999999997</v>
      </c>
      <c r="BO633" s="8">
        <f t="array" ref="BO633">IFERROR(LARGE(IF(NF!$G$2:$G$3137='Mês atual'!A633,NF!$J$2:$J$3137),1),0)*BN633</f>
        <v>8.11</v>
      </c>
      <c r="BP633" s="50"/>
      <c r="BR633" s="147">
        <f t="array" ref="BR633">IFERROR(LARGE(IF(NF!$G$2:$G$3137='Mês atual'!A633,NF!$J$2:$J$3137),1),0)</f>
        <v>19.877450980392158</v>
      </c>
      <c r="BS633" s="143" t="str">
        <f>VLOOKUP(A633,NF!M:O,3,0)</f>
        <v>Mercado</v>
      </c>
    </row>
    <row r="634" spans="1:71" x14ac:dyDescent="0.25">
      <c r="A634" s="108" t="s">
        <v>168</v>
      </c>
      <c r="B634" s="12"/>
      <c r="C634" s="9"/>
      <c r="D634" s="25"/>
      <c r="E634" s="10" t="str">
        <f t="shared" si="826"/>
        <v>OutubroSEMANA 1Barra de Chocolate Nestle Classic</v>
      </c>
      <c r="F634" s="7">
        <f>SUMIF(NF!$A:$A,$E634,NF!$I:$I)</f>
        <v>0</v>
      </c>
      <c r="G634" s="6"/>
      <c r="H634" s="6"/>
      <c r="I634" s="6"/>
      <c r="J634" s="6"/>
      <c r="K634" s="6"/>
      <c r="L634" s="6"/>
      <c r="M634" s="6"/>
      <c r="N634" s="7">
        <f t="shared" si="853"/>
        <v>0</v>
      </c>
      <c r="O634" s="11">
        <f t="shared" si="828"/>
        <v>0</v>
      </c>
      <c r="P634" s="25"/>
      <c r="Q634" s="10" t="str">
        <f t="shared" si="829"/>
        <v>OutubroSEMANA 2Barra de Chocolate Nestle Classic</v>
      </c>
      <c r="R634" s="7">
        <f>SUMIF(NF!$A:$A,$Q634,NF!$I:$I)</f>
        <v>0</v>
      </c>
      <c r="S634" s="6"/>
      <c r="T634" s="6"/>
      <c r="U634" s="6"/>
      <c r="V634" s="6"/>
      <c r="W634" s="6"/>
      <c r="X634" s="6"/>
      <c r="Y634" s="6"/>
      <c r="Z634" s="7">
        <f t="shared" si="854"/>
        <v>0</v>
      </c>
      <c r="AA634" s="11">
        <f t="shared" si="831"/>
        <v>0</v>
      </c>
      <c r="AB634" s="25"/>
      <c r="AC634" s="10" t="str">
        <f t="shared" si="832"/>
        <v>OutubroSEMANA 3Barra de Chocolate Nestle Classic</v>
      </c>
      <c r="AD634" s="7">
        <f>SUMIF(NF!$A:$A,$AC634,NF!$I:$I)</f>
        <v>0</v>
      </c>
      <c r="AE634" s="6"/>
      <c r="AF634" s="6"/>
      <c r="AG634" s="6"/>
      <c r="AH634" s="6"/>
      <c r="AI634" s="6"/>
      <c r="AJ634" s="6"/>
      <c r="AK634" s="6"/>
      <c r="AL634" s="7">
        <f t="shared" si="855"/>
        <v>0</v>
      </c>
      <c r="AM634" s="11">
        <f t="shared" si="834"/>
        <v>0</v>
      </c>
      <c r="AN634" s="25"/>
      <c r="AO634" s="10" t="str">
        <f t="shared" si="835"/>
        <v>OutubroSEMANA 4Barra de Chocolate Nestle Classic</v>
      </c>
      <c r="AP634" s="7">
        <f>SUMIF(NF!$A:$A,$AO634,NF!$I:$I)</f>
        <v>0</v>
      </c>
      <c r="AQ634" s="6"/>
      <c r="AR634" s="6"/>
      <c r="AS634" s="6"/>
      <c r="AT634" s="6"/>
      <c r="AU634" s="6"/>
      <c r="AV634" s="6"/>
      <c r="AW634" s="6"/>
      <c r="AX634" s="7">
        <f t="shared" si="856"/>
        <v>0</v>
      </c>
      <c r="AY634" s="11">
        <f t="shared" si="837"/>
        <v>0</v>
      </c>
      <c r="AZ634" s="25"/>
      <c r="BA634" s="10" t="str">
        <f t="shared" si="838"/>
        <v>OutubroSEMANA 5Barra de Chocolate Nestle Classic</v>
      </c>
      <c r="BB634" s="7">
        <f>SUMIF(NF!$A:$A,$BA634,NF!$I:$I)</f>
        <v>0</v>
      </c>
      <c r="BC634" s="6"/>
      <c r="BD634" s="6"/>
      <c r="BE634" s="6"/>
      <c r="BF634" s="74"/>
      <c r="BG634" s="74"/>
      <c r="BH634" s="74"/>
      <c r="BI634" s="74"/>
      <c r="BJ634" s="74"/>
      <c r="BK634" s="7">
        <f t="shared" si="857"/>
        <v>0</v>
      </c>
      <c r="BL634" s="8">
        <f t="shared" si="840"/>
        <v>0</v>
      </c>
      <c r="BM634" s="51" t="str">
        <f>IFERROR(VLOOKUP(A634,NF!$M:$O,3,0),"")</f>
        <v>Mercado</v>
      </c>
      <c r="BN634" s="7">
        <f t="shared" si="841"/>
        <v>0</v>
      </c>
      <c r="BO634" s="8">
        <f t="array" ref="BO634">IFERROR(LARGE(IF(NF!$G$2:$G$3137='Mês atual'!A634,NF!$J$2:$J$3137),1),0)*BN634</f>
        <v>0</v>
      </c>
      <c r="BP634" s="50"/>
      <c r="BR634" s="147">
        <f t="array" ref="BR634">IFERROR(LARGE(IF(NF!$G$2:$G$3137='Mês atual'!A634,NF!$J$2:$J$3137),1),0)</f>
        <v>0</v>
      </c>
      <c r="BS634" s="143" t="str">
        <f>VLOOKUP(A634,NF!M:O,3,0)</f>
        <v>Mercado</v>
      </c>
    </row>
    <row r="635" spans="1:71" x14ac:dyDescent="0.25">
      <c r="A635" s="108" t="s">
        <v>173</v>
      </c>
      <c r="B635" s="12"/>
      <c r="C635" s="9"/>
      <c r="D635" s="25"/>
      <c r="E635" s="10" t="str">
        <f t="shared" si="826"/>
        <v>OutubroSEMANA 1Batata Noisete</v>
      </c>
      <c r="F635" s="7">
        <f>SUMIF(NF!$A:$A,$E635,NF!$I:$I)</f>
        <v>0</v>
      </c>
      <c r="G635" s="6"/>
      <c r="H635" s="6"/>
      <c r="I635" s="6"/>
      <c r="J635" s="6"/>
      <c r="K635" s="6"/>
      <c r="L635" s="6"/>
      <c r="M635" s="6"/>
      <c r="N635" s="7">
        <f t="shared" si="853"/>
        <v>0</v>
      </c>
      <c r="O635" s="11">
        <f t="shared" si="828"/>
        <v>0</v>
      </c>
      <c r="P635" s="25"/>
      <c r="Q635" s="10" t="str">
        <f t="shared" si="829"/>
        <v>OutubroSEMANA 2Batata Noisete</v>
      </c>
      <c r="R635" s="7">
        <f>SUMIF(NF!$A:$A,$Q635,NF!$I:$I)</f>
        <v>0</v>
      </c>
      <c r="S635" s="6"/>
      <c r="T635" s="6"/>
      <c r="U635" s="6"/>
      <c r="V635" s="6"/>
      <c r="W635" s="6"/>
      <c r="X635" s="6"/>
      <c r="Y635" s="6"/>
      <c r="Z635" s="7">
        <f t="shared" si="854"/>
        <v>0</v>
      </c>
      <c r="AA635" s="11">
        <f t="shared" si="831"/>
        <v>0</v>
      </c>
      <c r="AB635" s="25"/>
      <c r="AC635" s="10" t="str">
        <f t="shared" si="832"/>
        <v>OutubroSEMANA 3Batata Noisete</v>
      </c>
      <c r="AD635" s="7">
        <f>SUMIF(NF!$A:$A,$AC635,NF!$I:$I)</f>
        <v>0</v>
      </c>
      <c r="AE635" s="6"/>
      <c r="AF635" s="6"/>
      <c r="AG635" s="6"/>
      <c r="AH635" s="6"/>
      <c r="AI635" s="6"/>
      <c r="AJ635" s="6"/>
      <c r="AK635" s="6"/>
      <c r="AL635" s="7">
        <f t="shared" si="855"/>
        <v>0</v>
      </c>
      <c r="AM635" s="11">
        <f t="shared" si="834"/>
        <v>0</v>
      </c>
      <c r="AN635" s="25"/>
      <c r="AO635" s="10" t="str">
        <f t="shared" si="835"/>
        <v>OutubroSEMANA 4Batata Noisete</v>
      </c>
      <c r="AP635" s="7">
        <f>SUMIF(NF!$A:$A,$AO635,NF!$I:$I)</f>
        <v>0</v>
      </c>
      <c r="AQ635" s="6"/>
      <c r="AR635" s="6"/>
      <c r="AS635" s="6"/>
      <c r="AT635" s="6"/>
      <c r="AU635" s="6"/>
      <c r="AV635" s="6"/>
      <c r="AW635" s="6"/>
      <c r="AX635" s="7">
        <f t="shared" si="856"/>
        <v>0</v>
      </c>
      <c r="AY635" s="11">
        <f t="shared" si="837"/>
        <v>0</v>
      </c>
      <c r="AZ635" s="25"/>
      <c r="BA635" s="10" t="str">
        <f t="shared" si="838"/>
        <v>OutubroSEMANA 5Batata Noisete</v>
      </c>
      <c r="BB635" s="7">
        <f>SUMIF(NF!$A:$A,$BA635,NF!$I:$I)</f>
        <v>0</v>
      </c>
      <c r="BC635" s="6"/>
      <c r="BD635" s="6"/>
      <c r="BE635" s="6"/>
      <c r="BF635" s="74"/>
      <c r="BG635" s="74"/>
      <c r="BH635" s="74"/>
      <c r="BI635" s="74"/>
      <c r="BJ635" s="74"/>
      <c r="BK635" s="7">
        <f t="shared" si="857"/>
        <v>0</v>
      </c>
      <c r="BL635" s="8">
        <f t="shared" si="840"/>
        <v>0</v>
      </c>
      <c r="BM635" s="51" t="str">
        <f>IFERROR(VLOOKUP(A635,NF!$M:$O,3,0),"")</f>
        <v>Mercado</v>
      </c>
      <c r="BN635" s="7">
        <f t="shared" si="841"/>
        <v>0</v>
      </c>
      <c r="BO635" s="8">
        <f t="array" ref="BO635">IFERROR(LARGE(IF(NF!$G$2:$G$3137='Mês atual'!A635,NF!$J$2:$J$3137),1),0)*BN635</f>
        <v>0</v>
      </c>
      <c r="BP635" s="50"/>
      <c r="BR635" s="147">
        <f t="array" ref="BR635">IFERROR(LARGE(IF(NF!$G$2:$G$3137='Mês atual'!A635,NF!$J$2:$J$3137),1),0)</f>
        <v>0</v>
      </c>
      <c r="BS635" s="143" t="str">
        <f>VLOOKUP(A635,NF!M:O,3,0)</f>
        <v>Mercado</v>
      </c>
    </row>
    <row r="636" spans="1:71" x14ac:dyDescent="0.25">
      <c r="A636" s="108" t="s">
        <v>174</v>
      </c>
      <c r="B636" s="12"/>
      <c r="C636" s="9"/>
      <c r="D636" s="25"/>
      <c r="E636" s="10" t="str">
        <f t="shared" si="826"/>
        <v>OutubroSEMANA 1Batata Palha 140 g</v>
      </c>
      <c r="F636" s="7">
        <f>SUMIF(NF!$A:$A,$E636,NF!$I:$I)</f>
        <v>8</v>
      </c>
      <c r="G636" s="6">
        <v>1</v>
      </c>
      <c r="H636" s="6"/>
      <c r="I636" s="6">
        <v>1</v>
      </c>
      <c r="J636" s="6"/>
      <c r="K636" s="6"/>
      <c r="L636" s="6">
        <v>3</v>
      </c>
      <c r="M636" s="6">
        <v>2</v>
      </c>
      <c r="N636" s="7">
        <f t="shared" si="853"/>
        <v>7</v>
      </c>
      <c r="O636" s="11">
        <f t="shared" si="828"/>
        <v>1</v>
      </c>
      <c r="P636" s="25"/>
      <c r="Q636" s="10" t="str">
        <f t="shared" si="829"/>
        <v>OutubroSEMANA 2Batata Palha 140 g</v>
      </c>
      <c r="R636" s="7">
        <f>SUMIF(NF!$A:$A,$Q636,NF!$I:$I)</f>
        <v>7</v>
      </c>
      <c r="S636" s="6"/>
      <c r="T636" s="6">
        <v>1</v>
      </c>
      <c r="U636" s="6"/>
      <c r="V636" s="6"/>
      <c r="W636" s="6">
        <v>2</v>
      </c>
      <c r="X636" s="6">
        <v>1</v>
      </c>
      <c r="Y636" s="6"/>
      <c r="Z636" s="7">
        <f t="shared" si="854"/>
        <v>4</v>
      </c>
      <c r="AA636" s="11">
        <f t="shared" si="831"/>
        <v>4</v>
      </c>
      <c r="AB636" s="25"/>
      <c r="AC636" s="10" t="str">
        <f t="shared" si="832"/>
        <v>OutubroSEMANA 3Batata Palha 140 g</v>
      </c>
      <c r="AD636" s="7">
        <f>SUMIF(NF!$A:$A,$AC636,NF!$I:$I)</f>
        <v>4</v>
      </c>
      <c r="AE636" s="6"/>
      <c r="AF636" s="6"/>
      <c r="AG636" s="6">
        <v>2</v>
      </c>
      <c r="AH636" s="6"/>
      <c r="AI636" s="6">
        <v>1</v>
      </c>
      <c r="AJ636" s="6"/>
      <c r="AK636" s="6">
        <v>1</v>
      </c>
      <c r="AL636" s="7">
        <f t="shared" si="855"/>
        <v>4</v>
      </c>
      <c r="AM636" s="11">
        <f t="shared" si="834"/>
        <v>4</v>
      </c>
      <c r="AN636" s="25"/>
      <c r="AO636" s="10" t="str">
        <f t="shared" si="835"/>
        <v>OutubroSEMANA 4Batata Palha 140 g</v>
      </c>
      <c r="AP636" s="7">
        <f>SUMIF(NF!$A:$A,$AO636,NF!$I:$I)</f>
        <v>3</v>
      </c>
      <c r="AQ636" s="6">
        <v>2</v>
      </c>
      <c r="AR636" s="6"/>
      <c r="AS636" s="6"/>
      <c r="AT636" s="6"/>
      <c r="AU636" s="6">
        <v>2</v>
      </c>
      <c r="AV636" s="6"/>
      <c r="AW636" s="6">
        <v>1</v>
      </c>
      <c r="AX636" s="7">
        <f t="shared" si="856"/>
        <v>5</v>
      </c>
      <c r="AY636" s="11">
        <f t="shared" si="837"/>
        <v>2</v>
      </c>
      <c r="AZ636" s="25"/>
      <c r="BA636" s="10" t="str">
        <f t="shared" si="838"/>
        <v>OutubroSEMANA 5Batata Palha 140 g</v>
      </c>
      <c r="BB636" s="7">
        <f>SUMIF(NF!$A:$A,$BA636,NF!$I:$I)</f>
        <v>0</v>
      </c>
      <c r="BC636" s="6">
        <v>1</v>
      </c>
      <c r="BD636" s="6"/>
      <c r="BE636" s="6"/>
      <c r="BF636" s="74"/>
      <c r="BG636" s="74"/>
      <c r="BH636" s="74"/>
      <c r="BI636" s="74"/>
      <c r="BJ636" s="74"/>
      <c r="BK636" s="7">
        <f t="shared" si="857"/>
        <v>1</v>
      </c>
      <c r="BL636" s="8">
        <f t="shared" si="840"/>
        <v>1</v>
      </c>
      <c r="BM636" s="51" t="str">
        <f>IFERROR(VLOOKUP(A636,NF!$M:$O,3,0),"")</f>
        <v>Mercado</v>
      </c>
      <c r="BN636" s="7">
        <f t="shared" si="841"/>
        <v>21</v>
      </c>
      <c r="BO636" s="8">
        <f t="array" ref="BO636">IFERROR(LARGE(IF(NF!$G$2:$G$3137='Mês atual'!A636,NF!$J$2:$J$3137),1),0)*BN636</f>
        <v>163.79999999999998</v>
      </c>
      <c r="BP636" s="50"/>
      <c r="BR636" s="147">
        <f t="array" ref="BR636">IFERROR(LARGE(IF(NF!$G$2:$G$3137='Mês atual'!A636,NF!$J$2:$J$3137),1),0)</f>
        <v>7.8</v>
      </c>
      <c r="BS636" s="143" t="str">
        <f>VLOOKUP(A636,NF!M:O,3,0)</f>
        <v>Mercado</v>
      </c>
    </row>
    <row r="637" spans="1:71" x14ac:dyDescent="0.25">
      <c r="A637" s="108" t="s">
        <v>904</v>
      </c>
      <c r="B637" s="12"/>
      <c r="C637" s="9"/>
      <c r="D637" s="25"/>
      <c r="E637" s="10" t="str">
        <f t="shared" si="826"/>
        <v>OutubroSEMANA 1Batata Palha 80 g</v>
      </c>
      <c r="F637" s="7">
        <f>SUMIF(NF!$A:$A,$E637,NF!$I:$I)</f>
        <v>0</v>
      </c>
      <c r="G637" s="6"/>
      <c r="H637" s="6"/>
      <c r="I637" s="6"/>
      <c r="J637" s="6"/>
      <c r="K637" s="6"/>
      <c r="L637" s="6"/>
      <c r="M637" s="6"/>
      <c r="N637" s="7">
        <f t="shared" si="853"/>
        <v>0</v>
      </c>
      <c r="O637" s="11">
        <f t="shared" si="828"/>
        <v>0</v>
      </c>
      <c r="P637" s="25"/>
      <c r="Q637" s="10" t="str">
        <f t="shared" si="829"/>
        <v>OutubroSEMANA 2Batata Palha 80 g</v>
      </c>
      <c r="R637" s="7">
        <f>SUMIF(NF!$A:$A,$Q637,NF!$I:$I)</f>
        <v>0</v>
      </c>
      <c r="S637" s="6"/>
      <c r="T637" s="6"/>
      <c r="U637" s="6"/>
      <c r="V637" s="6"/>
      <c r="W637" s="6"/>
      <c r="X637" s="6"/>
      <c r="Y637" s="6"/>
      <c r="Z637" s="7">
        <f t="shared" si="854"/>
        <v>0</v>
      </c>
      <c r="AA637" s="11">
        <f t="shared" si="831"/>
        <v>0</v>
      </c>
      <c r="AB637" s="25"/>
      <c r="AC637" s="10" t="str">
        <f t="shared" si="832"/>
        <v>OutubroSEMANA 3Batata Palha 80 g</v>
      </c>
      <c r="AD637" s="7">
        <f>SUMIF(NF!$A:$A,$AC637,NF!$I:$I)</f>
        <v>0</v>
      </c>
      <c r="AE637" s="6"/>
      <c r="AF637" s="6"/>
      <c r="AG637" s="6"/>
      <c r="AH637" s="6"/>
      <c r="AI637" s="6"/>
      <c r="AJ637" s="6"/>
      <c r="AK637" s="6"/>
      <c r="AL637" s="7">
        <f t="shared" si="855"/>
        <v>0</v>
      </c>
      <c r="AM637" s="11">
        <f t="shared" si="834"/>
        <v>0</v>
      </c>
      <c r="AN637" s="25"/>
      <c r="AO637" s="10" t="str">
        <f t="shared" si="835"/>
        <v>OutubroSEMANA 4Batata Palha 80 g</v>
      </c>
      <c r="AP637" s="7">
        <f>SUMIF(NF!$A:$A,$AO637,NF!$I:$I)</f>
        <v>0</v>
      </c>
      <c r="AQ637" s="6"/>
      <c r="AR637" s="6"/>
      <c r="AS637" s="6"/>
      <c r="AT637" s="6"/>
      <c r="AU637" s="6"/>
      <c r="AV637" s="6"/>
      <c r="AW637" s="6"/>
      <c r="AX637" s="7">
        <f t="shared" si="856"/>
        <v>0</v>
      </c>
      <c r="AY637" s="11">
        <f t="shared" si="837"/>
        <v>0</v>
      </c>
      <c r="AZ637" s="25"/>
      <c r="BA637" s="10" t="str">
        <f t="shared" si="838"/>
        <v>OutubroSEMANA 5Batata Palha 80 g</v>
      </c>
      <c r="BB637" s="7">
        <f>SUMIF(NF!$A:$A,$BA637,NF!$I:$I)</f>
        <v>0</v>
      </c>
      <c r="BC637" s="6"/>
      <c r="BD637" s="6"/>
      <c r="BE637" s="6"/>
      <c r="BF637" s="74"/>
      <c r="BG637" s="74"/>
      <c r="BH637" s="74"/>
      <c r="BI637" s="74"/>
      <c r="BJ637" s="74"/>
      <c r="BK637" s="7">
        <f t="shared" si="857"/>
        <v>0</v>
      </c>
      <c r="BL637" s="8">
        <f t="shared" si="840"/>
        <v>0</v>
      </c>
      <c r="BM637" s="51" t="str">
        <f>IFERROR(VLOOKUP(A637,NF!$M:$O,3,0),"")</f>
        <v>Mercado</v>
      </c>
      <c r="BN637" s="7">
        <f t="shared" si="841"/>
        <v>0</v>
      </c>
      <c r="BO637" s="8">
        <f t="array" ref="BO637">IFERROR(LARGE(IF(NF!$G$2:$G$3137='Mês atual'!A637,NF!$J$2:$J$3137),1),0)*BN637</f>
        <v>0</v>
      </c>
      <c r="BP637" s="50"/>
      <c r="BR637" s="147">
        <f t="array" ref="BR637">IFERROR(LARGE(IF(NF!$G$2:$G$3137='Mês atual'!A637,NF!$J$2:$J$3137),1),0)</f>
        <v>0</v>
      </c>
      <c r="BS637" s="143" t="str">
        <f>VLOOKUP(A637,NF!M:O,3,0)</f>
        <v>Mercado</v>
      </c>
    </row>
    <row r="638" spans="1:71" x14ac:dyDescent="0.25">
      <c r="A638" s="108" t="s">
        <v>175</v>
      </c>
      <c r="B638" s="12"/>
      <c r="C638" s="9">
        <v>27.5</v>
      </c>
      <c r="D638" s="25"/>
      <c r="E638" s="10" t="str">
        <f t="shared" si="826"/>
        <v>OutubroSEMANA 1Batata Palito 9M</v>
      </c>
      <c r="F638" s="7">
        <f>SUMIF(NF!$A:$A,$E638,NF!$I:$I)</f>
        <v>0</v>
      </c>
      <c r="G638" s="6">
        <v>2.5</v>
      </c>
      <c r="H638" s="6">
        <v>2.5</v>
      </c>
      <c r="I638" s="6">
        <v>2.5</v>
      </c>
      <c r="J638" s="6"/>
      <c r="K638" s="6">
        <v>2.5</v>
      </c>
      <c r="L638" s="6">
        <v>2.5</v>
      </c>
      <c r="M638" s="6">
        <v>2.5</v>
      </c>
      <c r="N638" s="7">
        <f t="shared" si="853"/>
        <v>15</v>
      </c>
      <c r="O638" s="11">
        <f t="shared" si="828"/>
        <v>12.5</v>
      </c>
      <c r="P638" s="25"/>
      <c r="Q638" s="10" t="str">
        <f t="shared" si="829"/>
        <v>OutubroSEMANA 2Batata Palito 9M</v>
      </c>
      <c r="R638" s="7">
        <f>SUMIF(NF!$A:$A,$Q638,NF!$I:$I)</f>
        <v>30</v>
      </c>
      <c r="S638" s="6">
        <v>5</v>
      </c>
      <c r="T638" s="6">
        <v>2.5</v>
      </c>
      <c r="U638" s="6"/>
      <c r="V638" s="6">
        <v>2.5</v>
      </c>
      <c r="W638" s="6"/>
      <c r="X638" s="6">
        <v>2.5</v>
      </c>
      <c r="Y638" s="6">
        <v>2.5</v>
      </c>
      <c r="Z638" s="7">
        <f t="shared" si="854"/>
        <v>15</v>
      </c>
      <c r="AA638" s="11">
        <f t="shared" si="831"/>
        <v>27.5</v>
      </c>
      <c r="AB638" s="25"/>
      <c r="AC638" s="10" t="str">
        <f t="shared" si="832"/>
        <v>OutubroSEMANA 3Batata Palito 9M</v>
      </c>
      <c r="AD638" s="7">
        <f>SUMIF(NF!$A:$A,$AC638,NF!$I:$I)</f>
        <v>0</v>
      </c>
      <c r="AE638" s="6">
        <v>2.5</v>
      </c>
      <c r="AF638" s="6">
        <v>2.5</v>
      </c>
      <c r="AG638" s="6">
        <v>2.5</v>
      </c>
      <c r="AH638" s="6"/>
      <c r="AI638" s="6">
        <v>2.5</v>
      </c>
      <c r="AJ638" s="6"/>
      <c r="AK638" s="6"/>
      <c r="AL638" s="7">
        <f t="shared" si="855"/>
        <v>10</v>
      </c>
      <c r="AM638" s="11">
        <f t="shared" si="834"/>
        <v>17.5</v>
      </c>
      <c r="AN638" s="25"/>
      <c r="AO638" s="10" t="str">
        <f t="shared" si="835"/>
        <v>OutubroSEMANA 4Batata Palito 9M</v>
      </c>
      <c r="AP638" s="7">
        <f>SUMIF(NF!$A:$A,$AO638,NF!$I:$I)</f>
        <v>30</v>
      </c>
      <c r="AQ638" s="6">
        <v>2.5</v>
      </c>
      <c r="AR638" s="6"/>
      <c r="AS638" s="6">
        <v>2.5</v>
      </c>
      <c r="AT638" s="6">
        <v>5</v>
      </c>
      <c r="AU638" s="6">
        <v>5</v>
      </c>
      <c r="AV638" s="6">
        <v>2.5</v>
      </c>
      <c r="AW638" s="6">
        <v>2.5</v>
      </c>
      <c r="AX638" s="7">
        <f t="shared" si="856"/>
        <v>20</v>
      </c>
      <c r="AY638" s="11">
        <f t="shared" si="837"/>
        <v>27.5</v>
      </c>
      <c r="AZ638" s="25"/>
      <c r="BA638" s="10" t="str">
        <f t="shared" si="838"/>
        <v>OutubroSEMANA 5Batata Palito 9M</v>
      </c>
      <c r="BB638" s="7">
        <f>SUMIF(NF!$A:$A,$BA638,NF!$I:$I)</f>
        <v>0</v>
      </c>
      <c r="BC638" s="6">
        <v>2.5</v>
      </c>
      <c r="BD638" s="6">
        <v>2.5</v>
      </c>
      <c r="BE638" s="6"/>
      <c r="BF638" s="74"/>
      <c r="BG638" s="74"/>
      <c r="BH638" s="74"/>
      <c r="BI638" s="74"/>
      <c r="BJ638" s="74"/>
      <c r="BK638" s="7">
        <f t="shared" si="857"/>
        <v>5</v>
      </c>
      <c r="BL638" s="8">
        <f t="shared" si="840"/>
        <v>22.5</v>
      </c>
      <c r="BM638" s="51" t="str">
        <f>IFERROR(VLOOKUP(A638,NF!$M:$O,3,0),"")</f>
        <v>Mercado</v>
      </c>
      <c r="BN638" s="7">
        <f t="shared" si="841"/>
        <v>65</v>
      </c>
      <c r="BO638" s="8">
        <f t="array" ref="BO638">IFERROR(LARGE(IF(NF!$G$2:$G$3137='Mês atual'!A638,NF!$J$2:$J$3137),1),0)*BN638</f>
        <v>445.25</v>
      </c>
      <c r="BP638" s="50"/>
      <c r="BR638" s="147">
        <f t="array" ref="BR638">IFERROR(LARGE(IF(NF!$G$2:$G$3137='Mês atual'!A638,NF!$J$2:$J$3137),1),0)</f>
        <v>6.85</v>
      </c>
      <c r="BS638" s="143" t="str">
        <f>VLOOKUP(A638,NF!M:O,3,0)</f>
        <v>Mercado</v>
      </c>
    </row>
    <row r="639" spans="1:71" x14ac:dyDescent="0.25">
      <c r="A639" s="108" t="s">
        <v>176</v>
      </c>
      <c r="B639" s="12"/>
      <c r="C639" s="9"/>
      <c r="D639" s="25"/>
      <c r="E639" s="10" t="str">
        <f t="shared" si="826"/>
        <v>OutubroSEMANA 1Batata Smiles</v>
      </c>
      <c r="F639" s="7">
        <f>SUMIF(NF!$A:$A,$E639,NF!$I:$I)</f>
        <v>0</v>
      </c>
      <c r="G639" s="6"/>
      <c r="H639" s="6"/>
      <c r="I639" s="6"/>
      <c r="J639" s="6"/>
      <c r="K639" s="6"/>
      <c r="L639" s="6"/>
      <c r="M639" s="6"/>
      <c r="N639" s="7">
        <f t="shared" si="853"/>
        <v>0</v>
      </c>
      <c r="O639" s="11">
        <f t="shared" si="828"/>
        <v>0</v>
      </c>
      <c r="P639" s="25"/>
      <c r="Q639" s="10" t="str">
        <f t="shared" si="829"/>
        <v>OutubroSEMANA 2Batata Smiles</v>
      </c>
      <c r="R639" s="7">
        <f>SUMIF(NF!$A:$A,$Q639,NF!$I:$I)</f>
        <v>0</v>
      </c>
      <c r="S639" s="6"/>
      <c r="T639" s="6"/>
      <c r="U639" s="6"/>
      <c r="V639" s="6"/>
      <c r="W639" s="6"/>
      <c r="X639" s="6"/>
      <c r="Y639" s="6"/>
      <c r="Z639" s="7">
        <f t="shared" si="854"/>
        <v>0</v>
      </c>
      <c r="AA639" s="11">
        <f t="shared" si="831"/>
        <v>0</v>
      </c>
      <c r="AB639" s="25"/>
      <c r="AC639" s="10" t="str">
        <f t="shared" si="832"/>
        <v>OutubroSEMANA 3Batata Smiles</v>
      </c>
      <c r="AD639" s="7">
        <f>SUMIF(NF!$A:$A,$AC639,NF!$I:$I)</f>
        <v>0</v>
      </c>
      <c r="AE639" s="6"/>
      <c r="AF639" s="6"/>
      <c r="AG639" s="6"/>
      <c r="AH639" s="6"/>
      <c r="AI639" s="6"/>
      <c r="AJ639" s="6"/>
      <c r="AK639" s="6"/>
      <c r="AL639" s="7">
        <f t="shared" si="855"/>
        <v>0</v>
      </c>
      <c r="AM639" s="11">
        <f t="shared" si="834"/>
        <v>0</v>
      </c>
      <c r="AN639" s="25"/>
      <c r="AO639" s="10" t="str">
        <f t="shared" si="835"/>
        <v>OutubroSEMANA 4Batata Smiles</v>
      </c>
      <c r="AP639" s="7">
        <f>SUMIF(NF!$A:$A,$AO639,NF!$I:$I)</f>
        <v>0</v>
      </c>
      <c r="AQ639" s="6"/>
      <c r="AR639" s="6"/>
      <c r="AS639" s="6"/>
      <c r="AT639" s="6"/>
      <c r="AU639" s="6"/>
      <c r="AV639" s="6"/>
      <c r="AW639" s="6"/>
      <c r="AX639" s="7">
        <f t="shared" si="856"/>
        <v>0</v>
      </c>
      <c r="AY639" s="11">
        <f t="shared" si="837"/>
        <v>0</v>
      </c>
      <c r="AZ639" s="25"/>
      <c r="BA639" s="10" t="str">
        <f t="shared" si="838"/>
        <v>OutubroSEMANA 5Batata Smiles</v>
      </c>
      <c r="BB639" s="7">
        <f>SUMIF(NF!$A:$A,$BA639,NF!$I:$I)</f>
        <v>0</v>
      </c>
      <c r="BC639" s="6"/>
      <c r="BD639" s="6"/>
      <c r="BE639" s="6"/>
      <c r="BF639" s="74"/>
      <c r="BG639" s="74"/>
      <c r="BH639" s="74"/>
      <c r="BI639" s="74"/>
      <c r="BJ639" s="74"/>
      <c r="BK639" s="7">
        <f t="shared" si="857"/>
        <v>0</v>
      </c>
      <c r="BL639" s="8">
        <f t="shared" si="840"/>
        <v>0</v>
      </c>
      <c r="BM639" s="51" t="str">
        <f>IFERROR(VLOOKUP(A639,NF!$M:$O,3,0),"")</f>
        <v>Mercado</v>
      </c>
      <c r="BN639" s="7">
        <f t="shared" si="841"/>
        <v>0</v>
      </c>
      <c r="BO639" s="8">
        <f t="array" ref="BO639">IFERROR(LARGE(IF(NF!$G$2:$G$3137='Mês atual'!A639,NF!$J$2:$J$3137),1),0)*BN639</f>
        <v>0</v>
      </c>
      <c r="BP639" s="50"/>
      <c r="BR639" s="147">
        <f t="array" ref="BR639">IFERROR(LARGE(IF(NF!$G$2:$G$3137='Mês atual'!A639,NF!$J$2:$J$3137),1),0)</f>
        <v>0</v>
      </c>
      <c r="BS639" s="143" t="str">
        <f>VLOOKUP(A639,NF!M:O,3,0)</f>
        <v>Mercado</v>
      </c>
    </row>
    <row r="640" spans="1:71" x14ac:dyDescent="0.25">
      <c r="A640" s="108" t="s">
        <v>183</v>
      </c>
      <c r="B640" s="12"/>
      <c r="C640" s="9">
        <f>15.09-2.8-0.5</f>
        <v>11.79</v>
      </c>
      <c r="D640" s="25"/>
      <c r="E640" s="10" t="str">
        <f t="shared" si="826"/>
        <v xml:space="preserve">OutubroSEMANA 1Biscoito de Milho Café </v>
      </c>
      <c r="F640" s="7">
        <f>SUMIF(NF!$A:$A,$E640,NF!$I:$I)</f>
        <v>0</v>
      </c>
      <c r="G640" s="6">
        <v>1.042</v>
      </c>
      <c r="H640" s="6">
        <v>0.5</v>
      </c>
      <c r="I640" s="6">
        <v>1</v>
      </c>
      <c r="J640" s="6">
        <v>1</v>
      </c>
      <c r="K640" s="6"/>
      <c r="L640" s="6">
        <v>1.02</v>
      </c>
      <c r="M640" s="6">
        <v>0.5</v>
      </c>
      <c r="N640" s="7">
        <f t="shared" si="853"/>
        <v>5.0619999999999994</v>
      </c>
      <c r="O640" s="11">
        <f t="shared" si="828"/>
        <v>6.7279999999999998</v>
      </c>
      <c r="P640" s="25"/>
      <c r="Q640" s="10" t="str">
        <f t="shared" si="829"/>
        <v xml:space="preserve">OutubroSEMANA 2Biscoito de Milho Café </v>
      </c>
      <c r="R640" s="7">
        <f>SUMIF(NF!$A:$A,$Q640,NF!$I:$I)</f>
        <v>5.6</v>
      </c>
      <c r="S640" s="6"/>
      <c r="T640" s="6">
        <v>1</v>
      </c>
      <c r="U640" s="6">
        <v>0.51</v>
      </c>
      <c r="V640" s="6">
        <v>1</v>
      </c>
      <c r="W640" s="6">
        <v>0.60799999999999998</v>
      </c>
      <c r="X640" s="6">
        <v>1</v>
      </c>
      <c r="Y640" s="6">
        <v>1</v>
      </c>
      <c r="Z640" s="7">
        <f t="shared" si="854"/>
        <v>5.1180000000000003</v>
      </c>
      <c r="AA640" s="11">
        <f t="shared" si="831"/>
        <v>7.2099999999999991</v>
      </c>
      <c r="AB640" s="25"/>
      <c r="AC640" s="10" t="str">
        <f t="shared" si="832"/>
        <v xml:space="preserve">OutubroSEMANA 3Biscoito de Milho Café </v>
      </c>
      <c r="AD640" s="7">
        <f>SUMIF(NF!$A:$A,$AC640,NF!$I:$I)</f>
        <v>8.3999999999999986</v>
      </c>
      <c r="AE640" s="6">
        <v>1.5</v>
      </c>
      <c r="AF640" s="6"/>
      <c r="AG640" s="6">
        <v>1</v>
      </c>
      <c r="AH640" s="6"/>
      <c r="AI640" s="6">
        <v>1</v>
      </c>
      <c r="AJ640" s="6"/>
      <c r="AK640" s="6">
        <v>1</v>
      </c>
      <c r="AL640" s="7">
        <f t="shared" si="855"/>
        <v>4.5</v>
      </c>
      <c r="AM640" s="11">
        <f t="shared" si="834"/>
        <v>11.109999999999998</v>
      </c>
      <c r="AN640" s="25"/>
      <c r="AO640" s="10" t="str">
        <f t="shared" si="835"/>
        <v xml:space="preserve">OutubroSEMANA 4Biscoito de Milho Café </v>
      </c>
      <c r="AP640" s="7">
        <f>SUMIF(NF!$A:$A,$AO640,NF!$I:$I)</f>
        <v>8.3999999999999986</v>
      </c>
      <c r="AQ640" s="6">
        <v>1</v>
      </c>
      <c r="AR640" s="6"/>
      <c r="AS640" s="6">
        <v>1</v>
      </c>
      <c r="AT640" s="6">
        <v>1</v>
      </c>
      <c r="AU640" s="6"/>
      <c r="AV640" s="6"/>
      <c r="AW640" s="6">
        <f>1+0.36</f>
        <v>1.3599999999999999</v>
      </c>
      <c r="AX640" s="7">
        <f t="shared" si="856"/>
        <v>4.3599999999999994</v>
      </c>
      <c r="AY640" s="11">
        <f t="shared" si="837"/>
        <v>15.149999999999999</v>
      </c>
      <c r="AZ640" s="25"/>
      <c r="BA640" s="10" t="str">
        <f t="shared" si="838"/>
        <v xml:space="preserve">OutubroSEMANA 5Biscoito de Milho Café </v>
      </c>
      <c r="BB640" s="7">
        <f>SUMIF(NF!$A:$A,$BA640,NF!$I:$I)</f>
        <v>0</v>
      </c>
      <c r="BC640" s="6">
        <f>1+0.66</f>
        <v>1.6600000000000001</v>
      </c>
      <c r="BD640" s="6">
        <v>1</v>
      </c>
      <c r="BE640" s="6">
        <f>0.794+0.2</f>
        <v>0.99399999999999999</v>
      </c>
      <c r="BF640" s="74"/>
      <c r="BG640" s="74"/>
      <c r="BH640" s="74"/>
      <c r="BI640" s="74"/>
      <c r="BJ640" s="74"/>
      <c r="BK640" s="7">
        <f t="shared" si="857"/>
        <v>3.6539999999999999</v>
      </c>
      <c r="BL640" s="8">
        <f t="shared" si="840"/>
        <v>11.495999999999999</v>
      </c>
      <c r="BM640" s="51" t="str">
        <f>IFERROR(VLOOKUP(A640,NF!$M:$O,3,0),"")</f>
        <v>Mercado</v>
      </c>
      <c r="BN640" s="7">
        <f t="shared" si="841"/>
        <v>22.693999999999999</v>
      </c>
      <c r="BO640" s="8">
        <f t="array" ref="BO640">IFERROR(LARGE(IF(NF!$G$2:$G$3137='Mês atual'!A640,NF!$J$2:$J$3137),1),0)*BN640</f>
        <v>503.68522500000006</v>
      </c>
      <c r="BP640" s="50"/>
      <c r="BR640" s="147">
        <f t="array" ref="BR640">IFERROR(LARGE(IF(NF!$G$2:$G$3137='Mês atual'!A640,NF!$J$2:$J$3137),1),0)</f>
        <v>22.19464285714286</v>
      </c>
      <c r="BS640" s="143" t="str">
        <f>VLOOKUP(A640,NF!M:O,3,0)</f>
        <v>Mercado</v>
      </c>
    </row>
    <row r="641" spans="1:71" x14ac:dyDescent="0.25">
      <c r="A641" s="108" t="s">
        <v>195</v>
      </c>
      <c r="B641" s="12"/>
      <c r="C641" s="9"/>
      <c r="D641" s="25"/>
      <c r="E641" s="10" t="str">
        <f t="shared" si="826"/>
        <v>OutubroSEMANA 1Brócolis Congelado</v>
      </c>
      <c r="F641" s="7">
        <f>SUMIF(NF!$A:$A,$E641,NF!$I:$I)</f>
        <v>0</v>
      </c>
      <c r="G641" s="6"/>
      <c r="H641" s="6"/>
      <c r="I641" s="6"/>
      <c r="J641" s="6"/>
      <c r="K641" s="6"/>
      <c r="L641" s="6"/>
      <c r="M641" s="6"/>
      <c r="N641" s="7">
        <f t="shared" si="853"/>
        <v>0</v>
      </c>
      <c r="O641" s="11">
        <f t="shared" si="828"/>
        <v>0</v>
      </c>
      <c r="P641" s="25"/>
      <c r="Q641" s="10" t="str">
        <f t="shared" si="829"/>
        <v>OutubroSEMANA 2Brócolis Congelado</v>
      </c>
      <c r="R641" s="7">
        <f>SUMIF(NF!$A:$A,$Q641,NF!$I:$I)</f>
        <v>0</v>
      </c>
      <c r="S641" s="6"/>
      <c r="T641" s="6"/>
      <c r="U641" s="6"/>
      <c r="V641" s="6"/>
      <c r="W641" s="6"/>
      <c r="X641" s="6"/>
      <c r="Y641" s="6"/>
      <c r="Z641" s="7">
        <f t="shared" si="854"/>
        <v>0</v>
      </c>
      <c r="AA641" s="11">
        <f t="shared" si="831"/>
        <v>0</v>
      </c>
      <c r="AB641" s="25"/>
      <c r="AC641" s="10" t="str">
        <f t="shared" si="832"/>
        <v>OutubroSEMANA 3Brócolis Congelado</v>
      </c>
      <c r="AD641" s="7">
        <f>SUMIF(NF!$A:$A,$AC641,NF!$I:$I)</f>
        <v>0</v>
      </c>
      <c r="AE641" s="6"/>
      <c r="AF641" s="6"/>
      <c r="AG641" s="6"/>
      <c r="AH641" s="6"/>
      <c r="AI641" s="6"/>
      <c r="AJ641" s="6"/>
      <c r="AK641" s="6"/>
      <c r="AL641" s="7">
        <f t="shared" si="855"/>
        <v>0</v>
      </c>
      <c r="AM641" s="11">
        <f t="shared" si="834"/>
        <v>0</v>
      </c>
      <c r="AN641" s="25"/>
      <c r="AO641" s="10" t="str">
        <f t="shared" si="835"/>
        <v>OutubroSEMANA 4Brócolis Congelado</v>
      </c>
      <c r="AP641" s="7">
        <f>SUMIF(NF!$A:$A,$AO641,NF!$I:$I)</f>
        <v>0</v>
      </c>
      <c r="AQ641" s="6"/>
      <c r="AR641" s="6"/>
      <c r="AS641" s="6"/>
      <c r="AT641" s="6"/>
      <c r="AU641" s="6"/>
      <c r="AV641" s="6"/>
      <c r="AW641" s="6"/>
      <c r="AX641" s="7">
        <f t="shared" si="856"/>
        <v>0</v>
      </c>
      <c r="AY641" s="11">
        <f t="shared" si="837"/>
        <v>0</v>
      </c>
      <c r="AZ641" s="25"/>
      <c r="BA641" s="10" t="str">
        <f t="shared" si="838"/>
        <v>OutubroSEMANA 5Brócolis Congelado</v>
      </c>
      <c r="BB641" s="7">
        <f>SUMIF(NF!$A:$A,$BA641,NF!$I:$I)</f>
        <v>0</v>
      </c>
      <c r="BC641" s="6"/>
      <c r="BD641" s="6"/>
      <c r="BE641" s="6"/>
      <c r="BF641" s="74"/>
      <c r="BG641" s="74"/>
      <c r="BH641" s="74"/>
      <c r="BI641" s="74"/>
      <c r="BJ641" s="74"/>
      <c r="BK641" s="7">
        <f t="shared" si="857"/>
        <v>0</v>
      </c>
      <c r="BL641" s="8">
        <f t="shared" si="840"/>
        <v>0</v>
      </c>
      <c r="BM641" s="51" t="str">
        <f>IFERROR(VLOOKUP(A641,NF!$M:$O,3,0),"")</f>
        <v>Mercado</v>
      </c>
      <c r="BN641" s="7">
        <f t="shared" si="841"/>
        <v>0</v>
      </c>
      <c r="BO641" s="8">
        <f t="array" ref="BO641">IFERROR(LARGE(IF(NF!$G$2:$G$3137='Mês atual'!A641,NF!$J$2:$J$3137),1),0)*BN641</f>
        <v>0</v>
      </c>
      <c r="BP641" s="50"/>
      <c r="BR641" s="147">
        <f t="array" ref="BR641">IFERROR(LARGE(IF(NF!$G$2:$G$3137='Mês atual'!A641,NF!$J$2:$J$3137),1),0)</f>
        <v>0</v>
      </c>
      <c r="BS641" s="143" t="str">
        <f>VLOOKUP(A641,NF!M:O,3,0)</f>
        <v>Mercado</v>
      </c>
    </row>
    <row r="642" spans="1:71" x14ac:dyDescent="0.25">
      <c r="A642" s="108" t="s">
        <v>1033</v>
      </c>
      <c r="B642" s="12"/>
      <c r="C642" s="9">
        <v>19</v>
      </c>
      <c r="D642" s="25"/>
      <c r="E642" s="10" t="str">
        <f t="shared" si="826"/>
        <v xml:space="preserve">OutubroSEMANA 1Café em Grão </v>
      </c>
      <c r="F642" s="7">
        <f>SUMIF(NF!$A:$A,$E642,NF!$I:$I)</f>
        <v>0</v>
      </c>
      <c r="G642" s="6">
        <v>2</v>
      </c>
      <c r="H642" s="6">
        <v>1</v>
      </c>
      <c r="I642" s="6">
        <v>2</v>
      </c>
      <c r="J642" s="6"/>
      <c r="K642" s="6">
        <v>1</v>
      </c>
      <c r="L642" s="6">
        <v>1</v>
      </c>
      <c r="M642" s="6">
        <v>1</v>
      </c>
      <c r="N642" s="7">
        <f t="shared" si="853"/>
        <v>8</v>
      </c>
      <c r="O642" s="11">
        <f t="shared" si="828"/>
        <v>11</v>
      </c>
      <c r="P642" s="25"/>
      <c r="Q642" s="10" t="str">
        <f t="shared" si="829"/>
        <v xml:space="preserve">OutubroSEMANA 2Café em Grão </v>
      </c>
      <c r="R642" s="7">
        <f>SUMIF(NF!$A:$A,$Q642,NF!$I:$I)</f>
        <v>0</v>
      </c>
      <c r="S642" s="6">
        <v>1</v>
      </c>
      <c r="T642" s="6">
        <v>1</v>
      </c>
      <c r="U642" s="6">
        <v>1</v>
      </c>
      <c r="V642" s="6">
        <v>2</v>
      </c>
      <c r="W642" s="6">
        <v>1</v>
      </c>
      <c r="X642" s="6">
        <v>1</v>
      </c>
      <c r="Y642" s="6"/>
      <c r="Z642" s="7">
        <f t="shared" si="854"/>
        <v>7</v>
      </c>
      <c r="AA642" s="11">
        <f t="shared" si="831"/>
        <v>4</v>
      </c>
      <c r="AB642" s="25"/>
      <c r="AC642" s="10" t="str">
        <f t="shared" si="832"/>
        <v xml:space="preserve">OutubroSEMANA 3Café em Grão </v>
      </c>
      <c r="AD642" s="7">
        <f>SUMIF(NF!$A:$A,$AC642,NF!$I:$I)</f>
        <v>33</v>
      </c>
      <c r="AE642" s="6">
        <v>2</v>
      </c>
      <c r="AF642" s="6">
        <v>1</v>
      </c>
      <c r="AG642" s="6">
        <v>1</v>
      </c>
      <c r="AH642" s="6">
        <v>1</v>
      </c>
      <c r="AI642" s="6">
        <v>1</v>
      </c>
      <c r="AJ642" s="6"/>
      <c r="AK642" s="6">
        <v>1</v>
      </c>
      <c r="AL642" s="7">
        <f t="shared" si="855"/>
        <v>7</v>
      </c>
      <c r="AM642" s="11">
        <f t="shared" si="834"/>
        <v>30</v>
      </c>
      <c r="AN642" s="25"/>
      <c r="AO642" s="10" t="str">
        <f t="shared" si="835"/>
        <v xml:space="preserve">OutubroSEMANA 4Café em Grão </v>
      </c>
      <c r="AP642" s="7">
        <f>SUMIF(NF!$A:$A,$AO642,NF!$I:$I)</f>
        <v>0</v>
      </c>
      <c r="AQ642" s="6">
        <v>1</v>
      </c>
      <c r="AR642" s="6">
        <v>1</v>
      </c>
      <c r="AS642" s="6">
        <v>1</v>
      </c>
      <c r="AT642" s="6">
        <v>1</v>
      </c>
      <c r="AU642" s="6"/>
      <c r="AV642" s="6">
        <v>2</v>
      </c>
      <c r="AW642" s="6">
        <v>1</v>
      </c>
      <c r="AX642" s="7">
        <f t="shared" si="856"/>
        <v>7</v>
      </c>
      <c r="AY642" s="11">
        <f t="shared" si="837"/>
        <v>23</v>
      </c>
      <c r="AZ642" s="25"/>
      <c r="BA642" s="10" t="str">
        <f t="shared" si="838"/>
        <v xml:space="preserve">OutubroSEMANA 5Café em Grão </v>
      </c>
      <c r="BB642" s="7">
        <f>SUMIF(NF!$A:$A,$BA642,NF!$I:$I)</f>
        <v>0</v>
      </c>
      <c r="BC642" s="6">
        <v>2</v>
      </c>
      <c r="BD642" s="6"/>
      <c r="BE642" s="6">
        <v>1</v>
      </c>
      <c r="BF642" s="74"/>
      <c r="BG642" s="74"/>
      <c r="BH642" s="74"/>
      <c r="BI642" s="74"/>
      <c r="BJ642" s="74"/>
      <c r="BK642" s="7">
        <f t="shared" si="857"/>
        <v>3</v>
      </c>
      <c r="BL642" s="8">
        <f t="shared" si="840"/>
        <v>20</v>
      </c>
      <c r="BM642" s="51" t="str">
        <f>IFERROR(VLOOKUP(A642,NF!$M:$O,3,0),"")</f>
        <v>Mercado</v>
      </c>
      <c r="BN642" s="7">
        <f t="shared" si="841"/>
        <v>32</v>
      </c>
      <c r="BO642" s="8">
        <f t="array" ref="BO642">IFERROR(LARGE(IF(NF!$G$2:$G$3137='Mês atual'!A642,NF!$J$2:$J$3137),1),0)*BN642</f>
        <v>1546.9759999999999</v>
      </c>
      <c r="BP642" s="50"/>
      <c r="BR642" s="147">
        <f t="array" ref="BR642">IFERROR(LARGE(IF(NF!$G$2:$G$3137='Mês atual'!A642,NF!$J$2:$J$3137),1),0)</f>
        <v>48.342999999999996</v>
      </c>
      <c r="BS642" s="143" t="str">
        <f>VLOOKUP(A642,NF!M:O,3,0)</f>
        <v>Mercado</v>
      </c>
    </row>
    <row r="643" spans="1:71" x14ac:dyDescent="0.25">
      <c r="A643" s="108" t="s">
        <v>198</v>
      </c>
      <c r="B643" s="12"/>
      <c r="C643" s="9">
        <v>3.5</v>
      </c>
      <c r="D643" s="25"/>
      <c r="E643" s="10" t="str">
        <f t="shared" si="826"/>
        <v>OutubroSEMANA 1Café Moído 1 Kg</v>
      </c>
      <c r="F643" s="7">
        <f>SUMIF(NF!$A:$A,$E643,NF!$I:$I)</f>
        <v>5</v>
      </c>
      <c r="G643" s="6">
        <v>0.5</v>
      </c>
      <c r="H643" s="6">
        <v>0.5</v>
      </c>
      <c r="I643" s="6"/>
      <c r="J643" s="6">
        <v>0.5</v>
      </c>
      <c r="K643" s="6"/>
      <c r="L643" s="6">
        <v>0.5</v>
      </c>
      <c r="M643" s="6"/>
      <c r="N643" s="7">
        <f t="shared" si="853"/>
        <v>2</v>
      </c>
      <c r="O643" s="11">
        <f t="shared" si="828"/>
        <v>6.5</v>
      </c>
      <c r="P643" s="25"/>
      <c r="Q643" s="10" t="str">
        <f t="shared" si="829"/>
        <v>OutubroSEMANA 2Café Moído 1 Kg</v>
      </c>
      <c r="R643" s="7">
        <f>SUMIF(NF!$A:$A,$Q643,NF!$I:$I)</f>
        <v>0</v>
      </c>
      <c r="S643" s="6">
        <v>0.5</v>
      </c>
      <c r="T643" s="6"/>
      <c r="U643" s="6">
        <v>1</v>
      </c>
      <c r="V643" s="6"/>
      <c r="W643" s="6">
        <v>0.5</v>
      </c>
      <c r="X643" s="6"/>
      <c r="Y643" s="6">
        <v>0.5</v>
      </c>
      <c r="Z643" s="7">
        <f t="shared" si="854"/>
        <v>2.5</v>
      </c>
      <c r="AA643" s="11">
        <f t="shared" si="831"/>
        <v>4</v>
      </c>
      <c r="AB643" s="25"/>
      <c r="AC643" s="10" t="str">
        <f t="shared" si="832"/>
        <v>OutubroSEMANA 3Café Moído 1 Kg</v>
      </c>
      <c r="AD643" s="7">
        <f>SUMIF(NF!$A:$A,$AC643,NF!$I:$I)</f>
        <v>5</v>
      </c>
      <c r="AE643" s="6">
        <v>0.5</v>
      </c>
      <c r="AF643" s="6"/>
      <c r="AG643" s="6">
        <v>0.5</v>
      </c>
      <c r="AH643" s="6"/>
      <c r="AI643" s="6">
        <v>0.5</v>
      </c>
      <c r="AJ643" s="6">
        <v>0.5</v>
      </c>
      <c r="AK643" s="6"/>
      <c r="AL643" s="7">
        <f t="shared" si="855"/>
        <v>2</v>
      </c>
      <c r="AM643" s="11">
        <f t="shared" si="834"/>
        <v>7</v>
      </c>
      <c r="AN643" s="25"/>
      <c r="AO643" s="10" t="str">
        <f t="shared" si="835"/>
        <v>OutubroSEMANA 4Café Moído 1 Kg</v>
      </c>
      <c r="AP643" s="7">
        <f>SUMIF(NF!$A:$A,$AO643,NF!$I:$I)</f>
        <v>0</v>
      </c>
      <c r="AQ643" s="6">
        <v>0.5</v>
      </c>
      <c r="AR643" s="6"/>
      <c r="AS643" s="6">
        <v>0.5</v>
      </c>
      <c r="AT643" s="6">
        <v>0.5</v>
      </c>
      <c r="AU643" s="6"/>
      <c r="AV643" s="6">
        <v>0.5</v>
      </c>
      <c r="AW643" s="6"/>
      <c r="AX643" s="7">
        <f t="shared" si="856"/>
        <v>2</v>
      </c>
      <c r="AY643" s="11">
        <f t="shared" si="837"/>
        <v>5</v>
      </c>
      <c r="AZ643" s="25"/>
      <c r="BA643" s="10" t="str">
        <f t="shared" si="838"/>
        <v>OutubroSEMANA 5Café Moído 1 Kg</v>
      </c>
      <c r="BB643" s="7">
        <f>SUMIF(NF!$A:$A,$BA643,NF!$I:$I)</f>
        <v>0</v>
      </c>
      <c r="BC643" s="6">
        <v>0.5</v>
      </c>
      <c r="BD643" s="6"/>
      <c r="BE643" s="6">
        <v>0.25</v>
      </c>
      <c r="BF643" s="74"/>
      <c r="BG643" s="74"/>
      <c r="BH643" s="74"/>
      <c r="BI643" s="74"/>
      <c r="BJ643" s="74"/>
      <c r="BK643" s="7">
        <f t="shared" si="857"/>
        <v>0.75</v>
      </c>
      <c r="BL643" s="8">
        <f t="shared" si="840"/>
        <v>4.25</v>
      </c>
      <c r="BM643" s="51" t="str">
        <f>IFERROR(VLOOKUP(A643,NF!$M:$O,3,0),"")</f>
        <v>Mercado</v>
      </c>
      <c r="BN643" s="7">
        <f t="shared" si="841"/>
        <v>9.25</v>
      </c>
      <c r="BO643" s="8">
        <f t="array" ref="BO643">IFERROR(LARGE(IF(NF!$G$2:$G$3137='Mês atual'!A643,NF!$J$2:$J$3137),1),0)*BN643</f>
        <v>149.10999999999999</v>
      </c>
      <c r="BP643" s="50"/>
      <c r="BR643" s="147">
        <f t="array" ref="BR643">IFERROR(LARGE(IF(NF!$G$2:$G$3137='Mês atual'!A643,NF!$J$2:$J$3137),1),0)</f>
        <v>16.119999999999997</v>
      </c>
      <c r="BS643" s="143" t="str">
        <f>VLOOKUP(A643,NF!M:O,3,0)</f>
        <v>Mercado</v>
      </c>
    </row>
    <row r="644" spans="1:71" x14ac:dyDescent="0.25">
      <c r="A644" s="108" t="s">
        <v>199</v>
      </c>
      <c r="B644" s="12"/>
      <c r="C644" s="9">
        <v>193</v>
      </c>
      <c r="D644" s="25"/>
      <c r="E644" s="10" t="str">
        <f t="shared" si="826"/>
        <v>OutubroSEMANA 1Café Spress Desc.</v>
      </c>
      <c r="F644" s="7">
        <f>SUMIF(NF!$A:$A,$E644,NF!$I:$I)</f>
        <v>0</v>
      </c>
      <c r="G644" s="6"/>
      <c r="H644" s="6">
        <f>4+3</f>
        <v>7</v>
      </c>
      <c r="I644" s="6"/>
      <c r="J644" s="6"/>
      <c r="K644" s="6"/>
      <c r="L644" s="6"/>
      <c r="M644" s="6"/>
      <c r="N644" s="7">
        <f t="shared" si="853"/>
        <v>7</v>
      </c>
      <c r="O644" s="11">
        <f t="shared" si="828"/>
        <v>186</v>
      </c>
      <c r="P644" s="25"/>
      <c r="Q644" s="10" t="str">
        <f t="shared" si="829"/>
        <v>OutubroSEMANA 2Café Spress Desc.</v>
      </c>
      <c r="R644" s="7">
        <f>SUMIF(NF!$A:$A,$Q644,NF!$I:$I)</f>
        <v>0</v>
      </c>
      <c r="S644" s="6">
        <v>5</v>
      </c>
      <c r="T644" s="6"/>
      <c r="U644" s="6">
        <v>6</v>
      </c>
      <c r="V644" s="6"/>
      <c r="W644" s="6"/>
      <c r="X644" s="6"/>
      <c r="Y644" s="6"/>
      <c r="Z644" s="7">
        <f t="shared" si="854"/>
        <v>11</v>
      </c>
      <c r="AA644" s="11">
        <f t="shared" si="831"/>
        <v>175</v>
      </c>
      <c r="AB644" s="25"/>
      <c r="AC644" s="10" t="str">
        <f t="shared" si="832"/>
        <v>OutubroSEMANA 3Café Spress Desc.</v>
      </c>
      <c r="AD644" s="7">
        <f>SUMIF(NF!$A:$A,$AC644,NF!$I:$I)</f>
        <v>0</v>
      </c>
      <c r="AE644" s="6"/>
      <c r="AF644" s="6"/>
      <c r="AG644" s="6">
        <v>3</v>
      </c>
      <c r="AH644" s="6"/>
      <c r="AI644" s="6"/>
      <c r="AJ644" s="6"/>
      <c r="AK644" s="6"/>
      <c r="AL644" s="7">
        <f t="shared" si="855"/>
        <v>3</v>
      </c>
      <c r="AM644" s="11">
        <f t="shared" si="834"/>
        <v>172</v>
      </c>
      <c r="AN644" s="25"/>
      <c r="AO644" s="10" t="str">
        <f t="shared" si="835"/>
        <v>OutubroSEMANA 4Café Spress Desc.</v>
      </c>
      <c r="AP644" s="7">
        <f>SUMIF(NF!$A:$A,$AO644,NF!$I:$I)</f>
        <v>0</v>
      </c>
      <c r="AQ644" s="6"/>
      <c r="AR644" s="6">
        <v>5</v>
      </c>
      <c r="AS644" s="6">
        <v>3</v>
      </c>
      <c r="AT644" s="6"/>
      <c r="AU644" s="6"/>
      <c r="AV644" s="6"/>
      <c r="AW644" s="6"/>
      <c r="AX644" s="7">
        <f t="shared" si="856"/>
        <v>8</v>
      </c>
      <c r="AY644" s="11">
        <f t="shared" si="837"/>
        <v>164</v>
      </c>
      <c r="AZ644" s="25"/>
      <c r="BA644" s="10" t="str">
        <f t="shared" si="838"/>
        <v>OutubroSEMANA 5Café Spress Desc.</v>
      </c>
      <c r="BB644" s="7">
        <f>SUMIF(NF!$A:$A,$BA644,NF!$I:$I)</f>
        <v>0</v>
      </c>
      <c r="BC644" s="6">
        <v>6</v>
      </c>
      <c r="BD644" s="6"/>
      <c r="BE644" s="6"/>
      <c r="BF644" s="74"/>
      <c r="BG644" s="74"/>
      <c r="BH644" s="74"/>
      <c r="BI644" s="74"/>
      <c r="BJ644" s="74"/>
      <c r="BK644" s="7">
        <f t="shared" si="857"/>
        <v>6</v>
      </c>
      <c r="BL644" s="8">
        <f t="shared" si="840"/>
        <v>158</v>
      </c>
      <c r="BM644" s="51" t="str">
        <f>IFERROR(VLOOKUP(A644,NF!$M:$O,3,0),"")</f>
        <v>Mercado</v>
      </c>
      <c r="BN644" s="7">
        <f t="shared" si="841"/>
        <v>35</v>
      </c>
      <c r="BO644" s="8">
        <f t="array" ref="BO644">IFERROR(LARGE(IF(NF!$G$2:$G$3137='Mês atual'!A644,NF!$J$2:$J$3137),1),0)*BN644</f>
        <v>0</v>
      </c>
      <c r="BP644" s="50"/>
      <c r="BR644" s="147">
        <f t="array" ref="BR644">IFERROR(LARGE(IF(NF!$G$2:$G$3137='Mês atual'!A644,NF!$J$2:$J$3137),1),0)</f>
        <v>0</v>
      </c>
      <c r="BS644" s="143" t="str">
        <f>VLOOKUP(A644,NF!M:O,3,0)</f>
        <v>Mercado</v>
      </c>
    </row>
    <row r="645" spans="1:71" x14ac:dyDescent="0.25">
      <c r="A645" s="108" t="s">
        <v>964</v>
      </c>
      <c r="B645" s="12"/>
      <c r="C645" s="9"/>
      <c r="D645" s="25"/>
      <c r="E645" s="10" t="str">
        <f t="shared" si="826"/>
        <v>OutubroSEMANA 1Calda de Agave Azul Orgânico 330g</v>
      </c>
      <c r="F645" s="7">
        <f>SUMIF(NF!$A:$A,$E645,NF!$I:$I)</f>
        <v>0</v>
      </c>
      <c r="G645" s="6"/>
      <c r="H645" s="6"/>
      <c r="I645" s="6"/>
      <c r="J645" s="6"/>
      <c r="K645" s="6"/>
      <c r="L645" s="6"/>
      <c r="M645" s="6"/>
      <c r="N645" s="7">
        <f t="shared" ref="N645" si="869">SUM(G645:M645)</f>
        <v>0</v>
      </c>
      <c r="O645" s="11">
        <f t="shared" si="828"/>
        <v>0</v>
      </c>
      <c r="P645" s="25"/>
      <c r="Q645" s="10" t="str">
        <f t="shared" si="829"/>
        <v>OutubroSEMANA 2Calda de Agave Azul Orgânico 330g</v>
      </c>
      <c r="R645" s="7">
        <f>SUMIF(NF!$A:$A,$Q645,NF!$I:$I)</f>
        <v>0</v>
      </c>
      <c r="S645" s="6"/>
      <c r="T645" s="6"/>
      <c r="U645" s="6"/>
      <c r="V645" s="6"/>
      <c r="W645" s="6"/>
      <c r="X645" s="6"/>
      <c r="Y645" s="6"/>
      <c r="Z645" s="7">
        <f t="shared" ref="Z645" si="870">SUM(S645:Y645)</f>
        <v>0</v>
      </c>
      <c r="AA645" s="11">
        <f t="shared" si="831"/>
        <v>0</v>
      </c>
      <c r="AB645" s="25"/>
      <c r="AC645" s="10" t="str">
        <f t="shared" si="832"/>
        <v>OutubroSEMANA 3Calda de Agave Azul Orgânico 330g</v>
      </c>
      <c r="AD645" s="7">
        <f>SUMIF(NF!$A:$A,$AC645,NF!$I:$I)</f>
        <v>0</v>
      </c>
      <c r="AE645" s="6"/>
      <c r="AF645" s="6"/>
      <c r="AG645" s="6"/>
      <c r="AH645" s="6"/>
      <c r="AI645" s="6"/>
      <c r="AJ645" s="6"/>
      <c r="AK645" s="6"/>
      <c r="AL645" s="7">
        <f t="shared" ref="AL645" si="871">SUM(AE645:AK645)</f>
        <v>0</v>
      </c>
      <c r="AM645" s="11">
        <f t="shared" si="834"/>
        <v>0</v>
      </c>
      <c r="AN645" s="25"/>
      <c r="AO645" s="10" t="str">
        <f t="shared" si="835"/>
        <v>OutubroSEMANA 4Calda de Agave Azul Orgânico 330g</v>
      </c>
      <c r="AP645" s="7">
        <f>SUMIF(NF!$A:$A,$AO645,NF!$I:$I)</f>
        <v>0</v>
      </c>
      <c r="AQ645" s="6"/>
      <c r="AR645" s="6"/>
      <c r="AS645" s="6"/>
      <c r="AT645" s="6"/>
      <c r="AU645" s="6"/>
      <c r="AV645" s="6"/>
      <c r="AW645" s="6"/>
      <c r="AX645" s="7">
        <f t="shared" ref="AX645" si="872">SUM(AQ645:AW645)</f>
        <v>0</v>
      </c>
      <c r="AY645" s="11">
        <f t="shared" si="837"/>
        <v>0</v>
      </c>
      <c r="AZ645" s="25"/>
      <c r="BA645" s="10" t="str">
        <f t="shared" si="838"/>
        <v>OutubroSEMANA 5Calda de Agave Azul Orgânico 330g</v>
      </c>
      <c r="BB645" s="7">
        <f>SUMIF(NF!$A:$A,$BA645,NF!$I:$I)</f>
        <v>0</v>
      </c>
      <c r="BC645" s="6"/>
      <c r="BD645" s="6"/>
      <c r="BE645" s="6"/>
      <c r="BF645" s="74"/>
      <c r="BG645" s="74"/>
      <c r="BH645" s="74"/>
      <c r="BI645" s="74"/>
      <c r="BJ645" s="74"/>
      <c r="BK645" s="7">
        <f t="shared" ref="BK645" si="873">SUM(BC645:BJ645)</f>
        <v>0</v>
      </c>
      <c r="BL645" s="8">
        <f t="shared" si="840"/>
        <v>0</v>
      </c>
      <c r="BM645" s="51" t="str">
        <f>IFERROR(VLOOKUP(A645,NF!$M:$O,3,0),"")</f>
        <v>Mercado</v>
      </c>
      <c r="BN645" s="7">
        <f t="shared" si="841"/>
        <v>0</v>
      </c>
      <c r="BO645" s="8">
        <f t="array" ref="BO645">IFERROR(LARGE(IF(NF!$G$2:$G$3137='Mês atual'!A645,NF!$J$2:$J$3137),1),0)*BN645</f>
        <v>0</v>
      </c>
      <c r="BP645" s="50"/>
      <c r="BR645" s="147">
        <f t="array" ref="BR645">IFERROR(LARGE(IF(NF!$G$2:$G$3137='Mês atual'!A645,NF!$J$2:$J$3137),1),0)</f>
        <v>0</v>
      </c>
      <c r="BS645" s="143" t="str">
        <f>VLOOKUP(A645,NF!M:O,3,0)</f>
        <v>Mercado</v>
      </c>
    </row>
    <row r="646" spans="1:71" x14ac:dyDescent="0.25">
      <c r="A646" s="108" t="s">
        <v>200</v>
      </c>
      <c r="B646" s="12"/>
      <c r="C646" s="9"/>
      <c r="D646" s="25"/>
      <c r="E646" s="10" t="str">
        <f t="shared" si="826"/>
        <v>OutubroSEMANA 1Caldo de Cana</v>
      </c>
      <c r="F646" s="7">
        <f>SUMIF(NF!$A:$A,$E646,NF!$I:$I)</f>
        <v>0</v>
      </c>
      <c r="G646" s="6"/>
      <c r="H646" s="6"/>
      <c r="I646" s="6"/>
      <c r="J646" s="6"/>
      <c r="K646" s="6"/>
      <c r="L646" s="6"/>
      <c r="M646" s="6"/>
      <c r="N646" s="7">
        <f t="shared" ref="N646:N665" si="874">SUM(G646:M646)</f>
        <v>0</v>
      </c>
      <c r="O646" s="11">
        <f t="shared" si="828"/>
        <v>0</v>
      </c>
      <c r="P646" s="25"/>
      <c r="Q646" s="10" t="str">
        <f t="shared" si="829"/>
        <v>OutubroSEMANA 2Caldo de Cana</v>
      </c>
      <c r="R646" s="7">
        <f>SUMIF(NF!$A:$A,$Q646,NF!$I:$I)</f>
        <v>0</v>
      </c>
      <c r="S646" s="6"/>
      <c r="T646" s="6"/>
      <c r="U646" s="6"/>
      <c r="V646" s="6"/>
      <c r="W646" s="6"/>
      <c r="X646" s="6"/>
      <c r="Y646" s="6"/>
      <c r="Z646" s="7">
        <f t="shared" ref="Z646:Z665" si="875">SUM(S646:Y646)</f>
        <v>0</v>
      </c>
      <c r="AA646" s="11">
        <f t="shared" si="831"/>
        <v>0</v>
      </c>
      <c r="AB646" s="25"/>
      <c r="AC646" s="10" t="str">
        <f t="shared" si="832"/>
        <v>OutubroSEMANA 3Caldo de Cana</v>
      </c>
      <c r="AD646" s="7">
        <f>SUMIF(NF!$A:$A,$AC646,NF!$I:$I)</f>
        <v>0</v>
      </c>
      <c r="AE646" s="6"/>
      <c r="AF646" s="6"/>
      <c r="AG646" s="6"/>
      <c r="AH646" s="6"/>
      <c r="AI646" s="6"/>
      <c r="AJ646" s="6"/>
      <c r="AK646" s="6"/>
      <c r="AL646" s="7">
        <f t="shared" ref="AL646:AL665" si="876">SUM(AE646:AK646)</f>
        <v>0</v>
      </c>
      <c r="AM646" s="11">
        <f t="shared" si="834"/>
        <v>0</v>
      </c>
      <c r="AN646" s="25"/>
      <c r="AO646" s="10" t="str">
        <f t="shared" si="835"/>
        <v>OutubroSEMANA 4Caldo de Cana</v>
      </c>
      <c r="AP646" s="7">
        <f>SUMIF(NF!$A:$A,$AO646,NF!$I:$I)</f>
        <v>0</v>
      </c>
      <c r="AQ646" s="6"/>
      <c r="AR646" s="6"/>
      <c r="AS646" s="6"/>
      <c r="AT646" s="6"/>
      <c r="AU646" s="6"/>
      <c r="AV646" s="6"/>
      <c r="AW646" s="6"/>
      <c r="AX646" s="7">
        <f t="shared" ref="AX646:AX665" si="877">SUM(AQ646:AW646)</f>
        <v>0</v>
      </c>
      <c r="AY646" s="11">
        <f t="shared" si="837"/>
        <v>0</v>
      </c>
      <c r="AZ646" s="25"/>
      <c r="BA646" s="10" t="str">
        <f t="shared" si="838"/>
        <v>OutubroSEMANA 5Caldo de Cana</v>
      </c>
      <c r="BB646" s="7">
        <f>SUMIF(NF!$A:$A,$BA646,NF!$I:$I)</f>
        <v>0</v>
      </c>
      <c r="BC646" s="6"/>
      <c r="BD646" s="6"/>
      <c r="BE646" s="6"/>
      <c r="BF646" s="74"/>
      <c r="BG646" s="74"/>
      <c r="BH646" s="74"/>
      <c r="BI646" s="74"/>
      <c r="BJ646" s="74"/>
      <c r="BK646" s="7">
        <f t="shared" ref="BK646:BK665" si="878">SUM(BC646:BJ646)</f>
        <v>0</v>
      </c>
      <c r="BL646" s="8">
        <f t="shared" si="840"/>
        <v>0</v>
      </c>
      <c r="BM646" s="51" t="str">
        <f>IFERROR(VLOOKUP(A646,NF!$M:$O,3,0),"")</f>
        <v>Mercado</v>
      </c>
      <c r="BN646" s="7">
        <f t="shared" si="841"/>
        <v>0</v>
      </c>
      <c r="BO646" s="8">
        <f t="array" ref="BO646">IFERROR(LARGE(IF(NF!$G$2:$G$3137='Mês atual'!A646,NF!$J$2:$J$3137),1),0)*BN646</f>
        <v>0</v>
      </c>
      <c r="BP646" s="50"/>
      <c r="BR646" s="147">
        <f t="array" ref="BR646">IFERROR(LARGE(IF(NF!$G$2:$G$3137='Mês atual'!A646,NF!$J$2:$J$3137),1),0)</f>
        <v>0</v>
      </c>
      <c r="BS646" s="143" t="str">
        <f>VLOOKUP(A646,NF!M:O,3,0)</f>
        <v>Mercado</v>
      </c>
    </row>
    <row r="647" spans="1:71" x14ac:dyDescent="0.25">
      <c r="A647" s="108" t="s">
        <v>201</v>
      </c>
      <c r="B647" s="12"/>
      <c r="C647" s="9"/>
      <c r="D647" s="25"/>
      <c r="E647" s="10" t="str">
        <f t="shared" si="826"/>
        <v>OutubroSEMANA 1Caldo de Carne</v>
      </c>
      <c r="F647" s="7">
        <f>SUMIF(NF!$A:$A,$E647,NF!$I:$I)</f>
        <v>0</v>
      </c>
      <c r="G647" s="6"/>
      <c r="H647" s="6"/>
      <c r="I647" s="6"/>
      <c r="J647" s="6"/>
      <c r="K647" s="6"/>
      <c r="L647" s="6"/>
      <c r="M647" s="6"/>
      <c r="N647" s="7">
        <f t="shared" si="874"/>
        <v>0</v>
      </c>
      <c r="O647" s="11">
        <f t="shared" si="828"/>
        <v>0</v>
      </c>
      <c r="P647" s="25"/>
      <c r="Q647" s="10" t="str">
        <f t="shared" si="829"/>
        <v>OutubroSEMANA 2Caldo de Carne</v>
      </c>
      <c r="R647" s="7">
        <f>SUMIF(NF!$A:$A,$Q647,NF!$I:$I)</f>
        <v>0</v>
      </c>
      <c r="S647" s="6"/>
      <c r="T647" s="6"/>
      <c r="U647" s="6"/>
      <c r="V647" s="6"/>
      <c r="W647" s="6"/>
      <c r="X647" s="6"/>
      <c r="Y647" s="6"/>
      <c r="Z647" s="7">
        <f t="shared" si="875"/>
        <v>0</v>
      </c>
      <c r="AA647" s="11">
        <f t="shared" si="831"/>
        <v>0</v>
      </c>
      <c r="AB647" s="25"/>
      <c r="AC647" s="10" t="str">
        <f t="shared" si="832"/>
        <v>OutubroSEMANA 3Caldo de Carne</v>
      </c>
      <c r="AD647" s="7">
        <f>SUMIF(NF!$A:$A,$AC647,NF!$I:$I)</f>
        <v>0</v>
      </c>
      <c r="AE647" s="6"/>
      <c r="AF647" s="6"/>
      <c r="AG647" s="6"/>
      <c r="AH647" s="6"/>
      <c r="AI647" s="6"/>
      <c r="AJ647" s="6"/>
      <c r="AK647" s="6"/>
      <c r="AL647" s="7">
        <f t="shared" si="876"/>
        <v>0</v>
      </c>
      <c r="AM647" s="11">
        <f t="shared" si="834"/>
        <v>0</v>
      </c>
      <c r="AN647" s="25"/>
      <c r="AO647" s="10" t="str">
        <f t="shared" si="835"/>
        <v>OutubroSEMANA 4Caldo de Carne</v>
      </c>
      <c r="AP647" s="7">
        <f>SUMIF(NF!$A:$A,$AO647,NF!$I:$I)</f>
        <v>0</v>
      </c>
      <c r="AQ647" s="6"/>
      <c r="AR647" s="6"/>
      <c r="AS647" s="6"/>
      <c r="AT647" s="6"/>
      <c r="AU647" s="6"/>
      <c r="AV647" s="6"/>
      <c r="AW647" s="6"/>
      <c r="AX647" s="7">
        <f t="shared" si="877"/>
        <v>0</v>
      </c>
      <c r="AY647" s="11">
        <f t="shared" si="837"/>
        <v>0</v>
      </c>
      <c r="AZ647" s="25"/>
      <c r="BA647" s="10" t="str">
        <f t="shared" si="838"/>
        <v>OutubroSEMANA 5Caldo de Carne</v>
      </c>
      <c r="BB647" s="7">
        <f>SUMIF(NF!$A:$A,$BA647,NF!$I:$I)</f>
        <v>0</v>
      </c>
      <c r="BC647" s="6"/>
      <c r="BD647" s="6"/>
      <c r="BE647" s="6"/>
      <c r="BF647" s="74"/>
      <c r="BG647" s="74"/>
      <c r="BH647" s="74"/>
      <c r="BI647" s="74"/>
      <c r="BJ647" s="74"/>
      <c r="BK647" s="7">
        <f t="shared" si="878"/>
        <v>0</v>
      </c>
      <c r="BL647" s="8">
        <f t="shared" si="840"/>
        <v>0</v>
      </c>
      <c r="BM647" s="51" t="str">
        <f>IFERROR(VLOOKUP(A647,NF!$M:$O,3,0),"")</f>
        <v>Mercado</v>
      </c>
      <c r="BN647" s="7">
        <f t="shared" si="841"/>
        <v>0</v>
      </c>
      <c r="BO647" s="8">
        <f t="array" ref="BO647">IFERROR(LARGE(IF(NF!$G$2:$G$3137='Mês atual'!A647,NF!$J$2:$J$3137),1),0)*BN647</f>
        <v>0</v>
      </c>
      <c r="BP647" s="50"/>
      <c r="BR647" s="147">
        <f t="array" ref="BR647">IFERROR(LARGE(IF(NF!$G$2:$G$3137='Mês atual'!A647,NF!$J$2:$J$3137),1),0)</f>
        <v>0</v>
      </c>
      <c r="BS647" s="143" t="str">
        <f>VLOOKUP(A647,NF!M:O,3,0)</f>
        <v>Mercado</v>
      </c>
    </row>
    <row r="648" spans="1:71" x14ac:dyDescent="0.25">
      <c r="A648" s="108" t="s">
        <v>202</v>
      </c>
      <c r="B648" s="12"/>
      <c r="C648" s="9"/>
      <c r="D648" s="25"/>
      <c r="E648" s="10" t="str">
        <f t="shared" si="826"/>
        <v>OutubroSEMANA 1Caldo de Galinha</v>
      </c>
      <c r="F648" s="7">
        <f>SUMIF(NF!$A:$A,$E648,NF!$I:$I)</f>
        <v>0</v>
      </c>
      <c r="G648" s="6"/>
      <c r="H648" s="6"/>
      <c r="I648" s="6"/>
      <c r="J648" s="6"/>
      <c r="K648" s="6"/>
      <c r="L648" s="6"/>
      <c r="M648" s="6"/>
      <c r="N648" s="7">
        <f t="shared" si="874"/>
        <v>0</v>
      </c>
      <c r="O648" s="11">
        <f t="shared" si="828"/>
        <v>0</v>
      </c>
      <c r="P648" s="25"/>
      <c r="Q648" s="10" t="str">
        <f t="shared" si="829"/>
        <v>OutubroSEMANA 2Caldo de Galinha</v>
      </c>
      <c r="R648" s="7">
        <f>SUMIF(NF!$A:$A,$Q648,NF!$I:$I)</f>
        <v>0</v>
      </c>
      <c r="S648" s="6"/>
      <c r="T648" s="6"/>
      <c r="U648" s="6"/>
      <c r="V648" s="6"/>
      <c r="W648" s="6"/>
      <c r="X648" s="6"/>
      <c r="Y648" s="6"/>
      <c r="Z648" s="7">
        <f t="shared" si="875"/>
        <v>0</v>
      </c>
      <c r="AA648" s="11">
        <f t="shared" si="831"/>
        <v>0</v>
      </c>
      <c r="AB648" s="25"/>
      <c r="AC648" s="10" t="str">
        <f t="shared" si="832"/>
        <v>OutubroSEMANA 3Caldo de Galinha</v>
      </c>
      <c r="AD648" s="7">
        <f>SUMIF(NF!$A:$A,$AC648,NF!$I:$I)</f>
        <v>0</v>
      </c>
      <c r="AE648" s="6"/>
      <c r="AF648" s="6"/>
      <c r="AG648" s="6"/>
      <c r="AH648" s="6"/>
      <c r="AI648" s="6"/>
      <c r="AJ648" s="6"/>
      <c r="AK648" s="6"/>
      <c r="AL648" s="7">
        <f t="shared" si="876"/>
        <v>0</v>
      </c>
      <c r="AM648" s="11">
        <f t="shared" si="834"/>
        <v>0</v>
      </c>
      <c r="AN648" s="25"/>
      <c r="AO648" s="10" t="str">
        <f t="shared" si="835"/>
        <v>OutubroSEMANA 4Caldo de Galinha</v>
      </c>
      <c r="AP648" s="7">
        <f>SUMIF(NF!$A:$A,$AO648,NF!$I:$I)</f>
        <v>0</v>
      </c>
      <c r="AQ648" s="6"/>
      <c r="AR648" s="6"/>
      <c r="AS648" s="6"/>
      <c r="AT648" s="6"/>
      <c r="AU648" s="6"/>
      <c r="AV648" s="6"/>
      <c r="AW648" s="6"/>
      <c r="AX648" s="7">
        <f t="shared" si="877"/>
        <v>0</v>
      </c>
      <c r="AY648" s="11">
        <f t="shared" si="837"/>
        <v>0</v>
      </c>
      <c r="AZ648" s="25"/>
      <c r="BA648" s="10" t="str">
        <f t="shared" si="838"/>
        <v>OutubroSEMANA 5Caldo de Galinha</v>
      </c>
      <c r="BB648" s="7">
        <f>SUMIF(NF!$A:$A,$BA648,NF!$I:$I)</f>
        <v>0</v>
      </c>
      <c r="BC648" s="6"/>
      <c r="BD648" s="6"/>
      <c r="BE648" s="6"/>
      <c r="BF648" s="74"/>
      <c r="BG648" s="74"/>
      <c r="BH648" s="74"/>
      <c r="BI648" s="74"/>
      <c r="BJ648" s="74"/>
      <c r="BK648" s="7">
        <f t="shared" si="878"/>
        <v>0</v>
      </c>
      <c r="BL648" s="8">
        <f t="shared" si="840"/>
        <v>0</v>
      </c>
      <c r="BM648" s="51" t="str">
        <f>IFERROR(VLOOKUP(A648,NF!$M:$O,3,0),"")</f>
        <v>Mercado</v>
      </c>
      <c r="BN648" s="7">
        <f t="shared" si="841"/>
        <v>0</v>
      </c>
      <c r="BO648" s="8">
        <f t="array" ref="BO648">IFERROR(LARGE(IF(NF!$G$2:$G$3137='Mês atual'!A648,NF!$J$2:$J$3137),1),0)*BN648</f>
        <v>0</v>
      </c>
      <c r="BP648" s="50"/>
      <c r="BR648" s="147">
        <f t="array" ref="BR648">IFERROR(LARGE(IF(NF!$G$2:$G$3137='Mês atual'!A648,NF!$J$2:$J$3137),1),0)</f>
        <v>0</v>
      </c>
      <c r="BS648" s="143" t="str">
        <f>VLOOKUP(A648,NF!M:O,3,0)</f>
        <v>Mercado</v>
      </c>
    </row>
    <row r="649" spans="1:71" x14ac:dyDescent="0.25">
      <c r="A649" s="108" t="s">
        <v>203</v>
      </c>
      <c r="B649" s="12"/>
      <c r="C649" s="9">
        <v>0.5</v>
      </c>
      <c r="D649" s="25"/>
      <c r="E649" s="10" t="str">
        <f t="shared" si="826"/>
        <v>OutubroSEMANA 1Canela</v>
      </c>
      <c r="F649" s="7">
        <f>SUMIF(NF!$A:$A,$E649,NF!$I:$I)</f>
        <v>0</v>
      </c>
      <c r="G649" s="6"/>
      <c r="H649" s="6"/>
      <c r="I649" s="6"/>
      <c r="J649" s="6"/>
      <c r="K649" s="6"/>
      <c r="L649" s="6"/>
      <c r="M649" s="6"/>
      <c r="N649" s="7">
        <f t="shared" si="874"/>
        <v>0</v>
      </c>
      <c r="O649" s="11">
        <f t="shared" si="828"/>
        <v>0.5</v>
      </c>
      <c r="P649" s="25"/>
      <c r="Q649" s="10" t="str">
        <f t="shared" si="829"/>
        <v>OutubroSEMANA 2Canela</v>
      </c>
      <c r="R649" s="7">
        <f>SUMIF(NF!$A:$A,$Q649,NF!$I:$I)</f>
        <v>0</v>
      </c>
      <c r="S649" s="6"/>
      <c r="T649" s="6"/>
      <c r="U649" s="6"/>
      <c r="V649" s="6"/>
      <c r="W649" s="6"/>
      <c r="X649" s="6"/>
      <c r="Y649" s="6"/>
      <c r="Z649" s="7">
        <f t="shared" si="875"/>
        <v>0</v>
      </c>
      <c r="AA649" s="11">
        <f t="shared" si="831"/>
        <v>0.5</v>
      </c>
      <c r="AB649" s="25"/>
      <c r="AC649" s="10" t="str">
        <f t="shared" si="832"/>
        <v>OutubroSEMANA 3Canela</v>
      </c>
      <c r="AD649" s="7">
        <f>SUMIF(NF!$A:$A,$AC649,NF!$I:$I)</f>
        <v>0</v>
      </c>
      <c r="AE649" s="6"/>
      <c r="AF649" s="6"/>
      <c r="AG649" s="6"/>
      <c r="AH649" s="6"/>
      <c r="AI649" s="6"/>
      <c r="AJ649" s="6"/>
      <c r="AK649" s="6"/>
      <c r="AL649" s="7">
        <f t="shared" si="876"/>
        <v>0</v>
      </c>
      <c r="AM649" s="11">
        <f t="shared" si="834"/>
        <v>0.5</v>
      </c>
      <c r="AN649" s="25"/>
      <c r="AO649" s="10" t="str">
        <f t="shared" si="835"/>
        <v>OutubroSEMANA 4Canela</v>
      </c>
      <c r="AP649" s="7">
        <f>SUMIF(NF!$A:$A,$AO649,NF!$I:$I)</f>
        <v>0</v>
      </c>
      <c r="AQ649" s="6"/>
      <c r="AR649" s="6"/>
      <c r="AS649" s="6"/>
      <c r="AT649" s="6"/>
      <c r="AU649" s="6"/>
      <c r="AV649" s="6"/>
      <c r="AW649" s="6"/>
      <c r="AX649" s="7">
        <f t="shared" si="877"/>
        <v>0</v>
      </c>
      <c r="AY649" s="11">
        <f t="shared" si="837"/>
        <v>0.5</v>
      </c>
      <c r="AZ649" s="25"/>
      <c r="BA649" s="10" t="str">
        <f t="shared" si="838"/>
        <v>OutubroSEMANA 5Canela</v>
      </c>
      <c r="BB649" s="7">
        <f>SUMIF(NF!$A:$A,$BA649,NF!$I:$I)</f>
        <v>0</v>
      </c>
      <c r="BC649" s="6"/>
      <c r="BD649" s="6"/>
      <c r="BE649" s="6"/>
      <c r="BF649" s="74"/>
      <c r="BG649" s="74"/>
      <c r="BH649" s="74"/>
      <c r="BI649" s="74"/>
      <c r="BJ649" s="74"/>
      <c r="BK649" s="7">
        <f t="shared" si="878"/>
        <v>0</v>
      </c>
      <c r="BL649" s="8">
        <f t="shared" si="840"/>
        <v>0.5</v>
      </c>
      <c r="BM649" s="51" t="str">
        <f>IFERROR(VLOOKUP(A649,NF!$M:$O,3,0),"")</f>
        <v>Mercado</v>
      </c>
      <c r="BN649" s="7">
        <f t="shared" si="841"/>
        <v>0</v>
      </c>
      <c r="BO649" s="8">
        <f t="array" ref="BO649">IFERROR(LARGE(IF(NF!$G$2:$G$3137='Mês atual'!A649,NF!$J$2:$J$3137),1),0)*BN649</f>
        <v>0</v>
      </c>
      <c r="BP649" s="50"/>
      <c r="BR649" s="147">
        <f t="array" ref="BR649">IFERROR(LARGE(IF(NF!$G$2:$G$3137='Mês atual'!A649,NF!$J$2:$J$3137),1),0)</f>
        <v>0</v>
      </c>
      <c r="BS649" s="143" t="str">
        <f>VLOOKUP(A649,NF!M:O,3,0)</f>
        <v>Mercado</v>
      </c>
    </row>
    <row r="650" spans="1:71" x14ac:dyDescent="0.25">
      <c r="A650" s="108" t="s">
        <v>204</v>
      </c>
      <c r="B650" s="12"/>
      <c r="C650" s="9"/>
      <c r="D650" s="25"/>
      <c r="E650" s="10" t="str">
        <f t="shared" si="826"/>
        <v>OutubroSEMANA 1Canelonni Misto</v>
      </c>
      <c r="F650" s="7">
        <f>SUMIF(NF!$A:$A,$E650,NF!$I:$I)</f>
        <v>0</v>
      </c>
      <c r="G650" s="6"/>
      <c r="H650" s="6"/>
      <c r="I650" s="6"/>
      <c r="J650" s="6"/>
      <c r="K650" s="6"/>
      <c r="L650" s="6"/>
      <c r="M650" s="6"/>
      <c r="N650" s="7">
        <f t="shared" si="874"/>
        <v>0</v>
      </c>
      <c r="O650" s="11">
        <f t="shared" si="828"/>
        <v>0</v>
      </c>
      <c r="P650" s="25"/>
      <c r="Q650" s="10" t="str">
        <f t="shared" si="829"/>
        <v>OutubroSEMANA 2Canelonni Misto</v>
      </c>
      <c r="R650" s="7">
        <f>SUMIF(NF!$A:$A,$Q650,NF!$I:$I)</f>
        <v>0</v>
      </c>
      <c r="S650" s="6"/>
      <c r="T650" s="6"/>
      <c r="U650" s="6"/>
      <c r="V650" s="6"/>
      <c r="W650" s="6"/>
      <c r="X650" s="6"/>
      <c r="Y650" s="6"/>
      <c r="Z650" s="7">
        <f t="shared" si="875"/>
        <v>0</v>
      </c>
      <c r="AA650" s="11">
        <f t="shared" si="831"/>
        <v>0</v>
      </c>
      <c r="AB650" s="25"/>
      <c r="AC650" s="10" t="str">
        <f t="shared" si="832"/>
        <v>OutubroSEMANA 3Canelonni Misto</v>
      </c>
      <c r="AD650" s="7">
        <f>SUMIF(NF!$A:$A,$AC650,NF!$I:$I)</f>
        <v>0</v>
      </c>
      <c r="AE650" s="6"/>
      <c r="AF650" s="6"/>
      <c r="AG650" s="6"/>
      <c r="AH650" s="6"/>
      <c r="AI650" s="6"/>
      <c r="AJ650" s="6"/>
      <c r="AK650" s="6"/>
      <c r="AL650" s="7">
        <f t="shared" si="876"/>
        <v>0</v>
      </c>
      <c r="AM650" s="11">
        <f t="shared" si="834"/>
        <v>0</v>
      </c>
      <c r="AN650" s="25"/>
      <c r="AO650" s="10" t="str">
        <f t="shared" si="835"/>
        <v>OutubroSEMANA 4Canelonni Misto</v>
      </c>
      <c r="AP650" s="7">
        <f>SUMIF(NF!$A:$A,$AO650,NF!$I:$I)</f>
        <v>0</v>
      </c>
      <c r="AQ650" s="6"/>
      <c r="AR650" s="6"/>
      <c r="AS650" s="6"/>
      <c r="AT650" s="6"/>
      <c r="AU650" s="6"/>
      <c r="AV650" s="6"/>
      <c r="AW650" s="6"/>
      <c r="AX650" s="7">
        <f t="shared" si="877"/>
        <v>0</v>
      </c>
      <c r="AY650" s="11">
        <f t="shared" si="837"/>
        <v>0</v>
      </c>
      <c r="AZ650" s="25"/>
      <c r="BA650" s="10" t="str">
        <f t="shared" si="838"/>
        <v>OutubroSEMANA 5Canelonni Misto</v>
      </c>
      <c r="BB650" s="7">
        <f>SUMIF(NF!$A:$A,$BA650,NF!$I:$I)</f>
        <v>0</v>
      </c>
      <c r="BC650" s="6"/>
      <c r="BD650" s="6"/>
      <c r="BE650" s="6"/>
      <c r="BF650" s="74"/>
      <c r="BG650" s="74"/>
      <c r="BH650" s="74"/>
      <c r="BI650" s="74"/>
      <c r="BJ650" s="74"/>
      <c r="BK650" s="7">
        <f t="shared" si="878"/>
        <v>0</v>
      </c>
      <c r="BL650" s="8">
        <f t="shared" si="840"/>
        <v>0</v>
      </c>
      <c r="BM650" s="51" t="str">
        <f>IFERROR(VLOOKUP(A650,NF!$M:$O,3,0),"")</f>
        <v>Mercado</v>
      </c>
      <c r="BN650" s="7">
        <f t="shared" si="841"/>
        <v>0</v>
      </c>
      <c r="BO650" s="8">
        <f t="array" ref="BO650">IFERROR(LARGE(IF(NF!$G$2:$G$3137='Mês atual'!A650,NF!$J$2:$J$3137),1),0)*BN650</f>
        <v>0</v>
      </c>
      <c r="BP650" s="50"/>
      <c r="BR650" s="147">
        <f t="array" ref="BR650">IFERROR(LARGE(IF(NF!$G$2:$G$3137='Mês atual'!A650,NF!$J$2:$J$3137),1),0)</f>
        <v>0</v>
      </c>
      <c r="BS650" s="143" t="str">
        <f>VLOOKUP(A650,NF!M:O,3,0)</f>
        <v>Mercado</v>
      </c>
    </row>
    <row r="651" spans="1:71" x14ac:dyDescent="0.25">
      <c r="A651" s="108" t="s">
        <v>208</v>
      </c>
      <c r="B651" s="12"/>
      <c r="C651" s="9"/>
      <c r="D651" s="25"/>
      <c r="E651" s="10" t="str">
        <f t="shared" si="826"/>
        <v>OutubroSEMANA 1Canjica de Milho</v>
      </c>
      <c r="F651" s="7">
        <f>SUMIF(NF!$A:$A,$E651,NF!$I:$I)</f>
        <v>0</v>
      </c>
      <c r="G651" s="6"/>
      <c r="H651" s="6"/>
      <c r="I651" s="6"/>
      <c r="J651" s="6"/>
      <c r="K651" s="6"/>
      <c r="L651" s="6"/>
      <c r="M651" s="6"/>
      <c r="N651" s="7">
        <f t="shared" si="874"/>
        <v>0</v>
      </c>
      <c r="O651" s="11">
        <f t="shared" si="828"/>
        <v>0</v>
      </c>
      <c r="P651" s="25"/>
      <c r="Q651" s="10" t="str">
        <f t="shared" si="829"/>
        <v>OutubroSEMANA 2Canjica de Milho</v>
      </c>
      <c r="R651" s="7">
        <f>SUMIF(NF!$A:$A,$Q651,NF!$I:$I)</f>
        <v>0</v>
      </c>
      <c r="S651" s="6"/>
      <c r="T651" s="6"/>
      <c r="U651" s="6"/>
      <c r="V651" s="6"/>
      <c r="W651" s="6"/>
      <c r="X651" s="6"/>
      <c r="Y651" s="6"/>
      <c r="Z651" s="7">
        <f t="shared" si="875"/>
        <v>0</v>
      </c>
      <c r="AA651" s="11">
        <f t="shared" si="831"/>
        <v>0</v>
      </c>
      <c r="AB651" s="25"/>
      <c r="AC651" s="10" t="str">
        <f t="shared" si="832"/>
        <v>OutubroSEMANA 3Canjica de Milho</v>
      </c>
      <c r="AD651" s="7">
        <f>SUMIF(NF!$A:$A,$AC651,NF!$I:$I)</f>
        <v>0</v>
      </c>
      <c r="AE651" s="6"/>
      <c r="AF651" s="6"/>
      <c r="AG651" s="6"/>
      <c r="AH651" s="6"/>
      <c r="AI651" s="6"/>
      <c r="AJ651" s="6"/>
      <c r="AK651" s="6"/>
      <c r="AL651" s="7">
        <f t="shared" si="876"/>
        <v>0</v>
      </c>
      <c r="AM651" s="11">
        <f t="shared" si="834"/>
        <v>0</v>
      </c>
      <c r="AN651" s="25"/>
      <c r="AO651" s="10" t="str">
        <f t="shared" si="835"/>
        <v>OutubroSEMANA 4Canjica de Milho</v>
      </c>
      <c r="AP651" s="7">
        <f>SUMIF(NF!$A:$A,$AO651,NF!$I:$I)</f>
        <v>0</v>
      </c>
      <c r="AQ651" s="6"/>
      <c r="AR651" s="6"/>
      <c r="AS651" s="6"/>
      <c r="AT651" s="6"/>
      <c r="AU651" s="6"/>
      <c r="AV651" s="6"/>
      <c r="AW651" s="6"/>
      <c r="AX651" s="7">
        <f t="shared" si="877"/>
        <v>0</v>
      </c>
      <c r="AY651" s="11">
        <f t="shared" si="837"/>
        <v>0</v>
      </c>
      <c r="AZ651" s="25"/>
      <c r="BA651" s="10" t="str">
        <f t="shared" si="838"/>
        <v>OutubroSEMANA 5Canjica de Milho</v>
      </c>
      <c r="BB651" s="7">
        <f>SUMIF(NF!$A:$A,$BA651,NF!$I:$I)</f>
        <v>0</v>
      </c>
      <c r="BC651" s="6"/>
      <c r="BD651" s="6"/>
      <c r="BE651" s="6"/>
      <c r="BF651" s="74"/>
      <c r="BG651" s="74"/>
      <c r="BH651" s="74"/>
      <c r="BI651" s="74"/>
      <c r="BJ651" s="74"/>
      <c r="BK651" s="7">
        <f t="shared" si="878"/>
        <v>0</v>
      </c>
      <c r="BL651" s="8">
        <f t="shared" si="840"/>
        <v>0</v>
      </c>
      <c r="BM651" s="51" t="str">
        <f>IFERROR(VLOOKUP(A651,NF!$M:$O,3,0),"")</f>
        <v>Mercado</v>
      </c>
      <c r="BN651" s="7">
        <f t="shared" si="841"/>
        <v>0</v>
      </c>
      <c r="BO651" s="8">
        <f t="array" ref="BO651">IFERROR(LARGE(IF(NF!$G$2:$G$3137='Mês atual'!A651,NF!$J$2:$J$3137),1),0)*BN651</f>
        <v>0</v>
      </c>
      <c r="BP651" s="50"/>
      <c r="BR651" s="147">
        <f t="array" ref="BR651">IFERROR(LARGE(IF(NF!$G$2:$G$3137='Mês atual'!A651,NF!$J$2:$J$3137),1),0)</f>
        <v>0</v>
      </c>
      <c r="BS651" s="143" t="str">
        <f>VLOOKUP(A651,NF!M:O,3,0)</f>
        <v>Mercado</v>
      </c>
    </row>
    <row r="652" spans="1:71" x14ac:dyDescent="0.25">
      <c r="A652" s="108" t="s">
        <v>210</v>
      </c>
      <c r="B652" s="12"/>
      <c r="C652" s="9"/>
      <c r="D652" s="25"/>
      <c r="E652" s="10" t="str">
        <f t="shared" si="826"/>
        <v>OutubroSEMANA 1Capeletti</v>
      </c>
      <c r="F652" s="7">
        <f>SUMIF(NF!$A:$A,$E652,NF!$I:$I)</f>
        <v>0</v>
      </c>
      <c r="G652" s="6"/>
      <c r="H652" s="6"/>
      <c r="I652" s="6"/>
      <c r="J652" s="6"/>
      <c r="K652" s="6"/>
      <c r="L652" s="6"/>
      <c r="M652" s="6"/>
      <c r="N652" s="7">
        <f t="shared" si="874"/>
        <v>0</v>
      </c>
      <c r="O652" s="11">
        <f t="shared" si="828"/>
        <v>0</v>
      </c>
      <c r="P652" s="25"/>
      <c r="Q652" s="10" t="str">
        <f t="shared" si="829"/>
        <v>OutubroSEMANA 2Capeletti</v>
      </c>
      <c r="R652" s="7">
        <f>SUMIF(NF!$A:$A,$Q652,NF!$I:$I)</f>
        <v>0</v>
      </c>
      <c r="S652" s="6"/>
      <c r="T652" s="6"/>
      <c r="U652" s="6"/>
      <c r="V652" s="6"/>
      <c r="W652" s="6"/>
      <c r="X652" s="6"/>
      <c r="Y652" s="6"/>
      <c r="Z652" s="7">
        <f t="shared" si="875"/>
        <v>0</v>
      </c>
      <c r="AA652" s="11">
        <f t="shared" si="831"/>
        <v>0</v>
      </c>
      <c r="AB652" s="25"/>
      <c r="AC652" s="10" t="str">
        <f t="shared" si="832"/>
        <v>OutubroSEMANA 3Capeletti</v>
      </c>
      <c r="AD652" s="7">
        <f>SUMIF(NF!$A:$A,$AC652,NF!$I:$I)</f>
        <v>0</v>
      </c>
      <c r="AE652" s="6"/>
      <c r="AF652" s="6"/>
      <c r="AG652" s="6"/>
      <c r="AH652" s="6"/>
      <c r="AI652" s="6"/>
      <c r="AJ652" s="6"/>
      <c r="AK652" s="6"/>
      <c r="AL652" s="7">
        <f t="shared" si="876"/>
        <v>0</v>
      </c>
      <c r="AM652" s="11">
        <f t="shared" si="834"/>
        <v>0</v>
      </c>
      <c r="AN652" s="25"/>
      <c r="AO652" s="10" t="str">
        <f t="shared" si="835"/>
        <v>OutubroSEMANA 4Capeletti</v>
      </c>
      <c r="AP652" s="7">
        <f>SUMIF(NF!$A:$A,$AO652,NF!$I:$I)</f>
        <v>0</v>
      </c>
      <c r="AQ652" s="6"/>
      <c r="AR652" s="6"/>
      <c r="AS652" s="6"/>
      <c r="AT652" s="6"/>
      <c r="AU652" s="6"/>
      <c r="AV652" s="6"/>
      <c r="AW652" s="6"/>
      <c r="AX652" s="7">
        <f t="shared" si="877"/>
        <v>0</v>
      </c>
      <c r="AY652" s="11">
        <f t="shared" si="837"/>
        <v>0</v>
      </c>
      <c r="AZ652" s="25"/>
      <c r="BA652" s="10" t="str">
        <f t="shared" si="838"/>
        <v>OutubroSEMANA 5Capeletti</v>
      </c>
      <c r="BB652" s="7">
        <f>SUMIF(NF!$A:$A,$BA652,NF!$I:$I)</f>
        <v>0</v>
      </c>
      <c r="BC652" s="6"/>
      <c r="BD652" s="6"/>
      <c r="BE652" s="6"/>
      <c r="BF652" s="74"/>
      <c r="BG652" s="74"/>
      <c r="BH652" s="74"/>
      <c r="BI652" s="74"/>
      <c r="BJ652" s="74"/>
      <c r="BK652" s="7">
        <f t="shared" si="878"/>
        <v>0</v>
      </c>
      <c r="BL652" s="8">
        <f t="shared" si="840"/>
        <v>0</v>
      </c>
      <c r="BM652" s="51" t="str">
        <f>IFERROR(VLOOKUP(A652,NF!$M:$O,3,0),"")</f>
        <v>Mercado</v>
      </c>
      <c r="BN652" s="7">
        <f t="shared" si="841"/>
        <v>0</v>
      </c>
      <c r="BO652" s="8">
        <f t="array" ref="BO652">IFERROR(LARGE(IF(NF!$G$2:$G$3137='Mês atual'!A652,NF!$J$2:$J$3137),1),0)*BN652</f>
        <v>0</v>
      </c>
      <c r="BP652" s="50"/>
      <c r="BR652" s="147">
        <f t="array" ref="BR652">IFERROR(LARGE(IF(NF!$G$2:$G$3137='Mês atual'!A652,NF!$J$2:$J$3137),1),0)</f>
        <v>0</v>
      </c>
      <c r="BS652" s="143" t="str">
        <f>VLOOKUP(A652,NF!M:O,3,0)</f>
        <v>Mercado</v>
      </c>
    </row>
    <row r="653" spans="1:71" x14ac:dyDescent="0.25">
      <c r="A653" s="108" t="s">
        <v>214</v>
      </c>
      <c r="B653" s="12"/>
      <c r="C653" s="9"/>
      <c r="D653" s="25"/>
      <c r="E653" s="10" t="str">
        <f t="shared" si="826"/>
        <v>OutubroSEMANA 1Cardomomo Semente</v>
      </c>
      <c r="F653" s="7">
        <f>SUMIF(NF!$A:$A,$E653,NF!$I:$I)</f>
        <v>0</v>
      </c>
      <c r="G653" s="6"/>
      <c r="H653" s="6"/>
      <c r="I653" s="6"/>
      <c r="J653" s="6"/>
      <c r="K653" s="6"/>
      <c r="L653" s="6"/>
      <c r="M653" s="6"/>
      <c r="N653" s="7">
        <f t="shared" si="874"/>
        <v>0</v>
      </c>
      <c r="O653" s="11">
        <f t="shared" si="828"/>
        <v>0</v>
      </c>
      <c r="P653" s="25"/>
      <c r="Q653" s="10" t="str">
        <f t="shared" si="829"/>
        <v>OutubroSEMANA 2Cardomomo Semente</v>
      </c>
      <c r="R653" s="7">
        <f>SUMIF(NF!$A:$A,$Q653,NF!$I:$I)</f>
        <v>0</v>
      </c>
      <c r="S653" s="6"/>
      <c r="T653" s="6"/>
      <c r="U653" s="6"/>
      <c r="V653" s="6"/>
      <c r="W653" s="6"/>
      <c r="X653" s="6"/>
      <c r="Y653" s="6"/>
      <c r="Z653" s="7">
        <f t="shared" si="875"/>
        <v>0</v>
      </c>
      <c r="AA653" s="11">
        <f t="shared" si="831"/>
        <v>0</v>
      </c>
      <c r="AB653" s="25"/>
      <c r="AC653" s="10" t="str">
        <f t="shared" si="832"/>
        <v>OutubroSEMANA 3Cardomomo Semente</v>
      </c>
      <c r="AD653" s="7">
        <f>SUMIF(NF!$A:$A,$AC653,NF!$I:$I)</f>
        <v>0</v>
      </c>
      <c r="AE653" s="6"/>
      <c r="AF653" s="6"/>
      <c r="AG653" s="6"/>
      <c r="AH653" s="6"/>
      <c r="AI653" s="6"/>
      <c r="AJ653" s="6"/>
      <c r="AK653" s="6"/>
      <c r="AL653" s="7">
        <f t="shared" si="876"/>
        <v>0</v>
      </c>
      <c r="AM653" s="11">
        <f t="shared" si="834"/>
        <v>0</v>
      </c>
      <c r="AN653" s="25"/>
      <c r="AO653" s="10" t="str">
        <f t="shared" si="835"/>
        <v>OutubroSEMANA 4Cardomomo Semente</v>
      </c>
      <c r="AP653" s="7">
        <f>SUMIF(NF!$A:$A,$AO653,NF!$I:$I)</f>
        <v>0</v>
      </c>
      <c r="AQ653" s="6"/>
      <c r="AR653" s="6"/>
      <c r="AS653" s="6"/>
      <c r="AT653" s="6"/>
      <c r="AU653" s="6"/>
      <c r="AV653" s="6"/>
      <c r="AW653" s="6"/>
      <c r="AX653" s="7">
        <f t="shared" si="877"/>
        <v>0</v>
      </c>
      <c r="AY653" s="11">
        <f t="shared" si="837"/>
        <v>0</v>
      </c>
      <c r="AZ653" s="25"/>
      <c r="BA653" s="10" t="str">
        <f t="shared" si="838"/>
        <v>OutubroSEMANA 5Cardomomo Semente</v>
      </c>
      <c r="BB653" s="7">
        <f>SUMIF(NF!$A:$A,$BA653,NF!$I:$I)</f>
        <v>0</v>
      </c>
      <c r="BC653" s="6"/>
      <c r="BD653" s="6"/>
      <c r="BE653" s="6"/>
      <c r="BF653" s="74"/>
      <c r="BG653" s="74"/>
      <c r="BH653" s="74"/>
      <c r="BI653" s="74"/>
      <c r="BJ653" s="74"/>
      <c r="BK653" s="7">
        <f t="shared" si="878"/>
        <v>0</v>
      </c>
      <c r="BL653" s="8">
        <f t="shared" si="840"/>
        <v>0</v>
      </c>
      <c r="BM653" s="51" t="str">
        <f>IFERROR(VLOOKUP(A653,NF!$M:$O,3,0),"")</f>
        <v>Mercado</v>
      </c>
      <c r="BN653" s="7">
        <f t="shared" si="841"/>
        <v>0</v>
      </c>
      <c r="BO653" s="8">
        <f t="array" ref="BO653">IFERROR(LARGE(IF(NF!$G$2:$G$3137='Mês atual'!A653,NF!$J$2:$J$3137),1),0)*BN653</f>
        <v>0</v>
      </c>
      <c r="BP653" s="50"/>
      <c r="BR653" s="147">
        <f t="array" ref="BR653">IFERROR(LARGE(IF(NF!$G$2:$G$3137='Mês atual'!A653,NF!$J$2:$J$3137),1),0)</f>
        <v>0</v>
      </c>
      <c r="BS653" s="143" t="str">
        <f>VLOOKUP(A653,NF!M:O,3,0)</f>
        <v>Mercado</v>
      </c>
    </row>
    <row r="654" spans="1:71" x14ac:dyDescent="0.25">
      <c r="A654" s="108" t="s">
        <v>1028</v>
      </c>
      <c r="B654" s="12"/>
      <c r="C654" s="9">
        <v>1.004</v>
      </c>
      <c r="D654" s="25"/>
      <c r="E654" s="10" t="str">
        <f t="shared" si="826"/>
        <v>OutubroSEMANA 1Castanha de Caju Crua</v>
      </c>
      <c r="F654" s="7">
        <f>SUMIF(NF!$A:$A,$E654,NF!$I:$I)</f>
        <v>0</v>
      </c>
      <c r="G654" s="6"/>
      <c r="H654" s="6"/>
      <c r="I654" s="6"/>
      <c r="J654" s="6"/>
      <c r="K654" s="6"/>
      <c r="L654" s="6"/>
      <c r="M654" s="6">
        <v>1</v>
      </c>
      <c r="N654" s="7">
        <f t="shared" ref="N654" si="879">SUM(G654:M654)</f>
        <v>1</v>
      </c>
      <c r="O654" s="11">
        <f t="shared" ref="O654" si="880">F654+C654-N654</f>
        <v>4.0000000000000036E-3</v>
      </c>
      <c r="P654" s="25"/>
      <c r="Q654" s="10" t="str">
        <f t="shared" si="829"/>
        <v>OutubroSEMANA 2Castanha de Caju Crua</v>
      </c>
      <c r="R654" s="7">
        <f>SUMIF(NF!$A:$A,$Q654,NF!$I:$I)</f>
        <v>1.014</v>
      </c>
      <c r="S654" s="6"/>
      <c r="T654" s="6"/>
      <c r="U654" s="6"/>
      <c r="V654" s="6"/>
      <c r="W654" s="6"/>
      <c r="X654" s="6"/>
      <c r="Y654" s="6"/>
      <c r="Z654" s="7">
        <f t="shared" ref="Z654" si="881">SUM(S654:Y654)</f>
        <v>0</v>
      </c>
      <c r="AA654" s="11">
        <f t="shared" ref="AA654" si="882">R654+O654-Z654</f>
        <v>1.018</v>
      </c>
      <c r="AB654" s="25"/>
      <c r="AC654" s="10" t="str">
        <f t="shared" si="832"/>
        <v>OutubroSEMANA 3Castanha de Caju Crua</v>
      </c>
      <c r="AD654" s="7">
        <f>SUMIF(NF!$A:$A,$AC654,NF!$I:$I)</f>
        <v>1.014</v>
      </c>
      <c r="AE654" s="6"/>
      <c r="AF654" s="6"/>
      <c r="AG654" s="6"/>
      <c r="AH654" s="6"/>
      <c r="AI654" s="6"/>
      <c r="AJ654" s="6"/>
      <c r="AK654" s="6">
        <v>1</v>
      </c>
      <c r="AL654" s="7">
        <f t="shared" ref="AL654" si="883">SUM(AE654:AK654)</f>
        <v>1</v>
      </c>
      <c r="AM654" s="11">
        <f t="shared" ref="AM654" si="884">AD654+AA654-AL654</f>
        <v>1.032</v>
      </c>
      <c r="AN654" s="25"/>
      <c r="AO654" s="10" t="str">
        <f t="shared" si="835"/>
        <v>OutubroSEMANA 4Castanha de Caju Crua</v>
      </c>
      <c r="AP654" s="7">
        <f>SUMIF(NF!$A:$A,$AO654,NF!$I:$I)</f>
        <v>0</v>
      </c>
      <c r="AQ654" s="6"/>
      <c r="AR654" s="6"/>
      <c r="AS654" s="6"/>
      <c r="AT654" s="6"/>
      <c r="AU654" s="6"/>
      <c r="AV654" s="6"/>
      <c r="AW654" s="6"/>
      <c r="AX654" s="7">
        <f t="shared" ref="AX654" si="885">SUM(AQ654:AW654)</f>
        <v>0</v>
      </c>
      <c r="AY654" s="11">
        <f t="shared" ref="AY654" si="886">AP654+AM654-AX654</f>
        <v>1.032</v>
      </c>
      <c r="AZ654" s="25"/>
      <c r="BA654" s="10" t="str">
        <f t="shared" si="838"/>
        <v>OutubroSEMANA 5Castanha de Caju Crua</v>
      </c>
      <c r="BB654" s="7">
        <f>SUMIF(NF!$A:$A,$BA654,NF!$I:$I)</f>
        <v>0</v>
      </c>
      <c r="BC654" s="6"/>
      <c r="BD654" s="6"/>
      <c r="BE654" s="6"/>
      <c r="BF654" s="74"/>
      <c r="BG654" s="74"/>
      <c r="BH654" s="74"/>
      <c r="BI654" s="74"/>
      <c r="BJ654" s="74"/>
      <c r="BK654" s="7">
        <f t="shared" ref="BK654" si="887">SUM(BC654:BJ654)</f>
        <v>0</v>
      </c>
      <c r="BL654" s="8">
        <f t="shared" ref="BL654" si="888">BB654+AY654-BK654</f>
        <v>1.032</v>
      </c>
      <c r="BM654" s="51" t="str">
        <f>IFERROR(VLOOKUP(A654,NF!$M:$O,3,0),"")</f>
        <v>Mercado</v>
      </c>
      <c r="BN654" s="7">
        <f t="shared" ref="BN654" si="889">SUM(N654,Z654,AL654,AX654,BK654)</f>
        <v>2</v>
      </c>
      <c r="BO654" s="8">
        <f t="array" ref="BO654">IFERROR(LARGE(IF(NF!$G$2:$G$3137='Mês atual'!A654,NF!$J$2:$J$3137),1),0)*BN654</f>
        <v>158.75739999999999</v>
      </c>
      <c r="BP654" s="50"/>
      <c r="BR654" s="147">
        <f t="array" ref="BR654">IFERROR(LARGE(IF(NF!$G$2:$G$3137='Mês atual'!A654,NF!$J$2:$J$3137),1),0)</f>
        <v>79.378699999999995</v>
      </c>
      <c r="BS654" s="143" t="str">
        <f>VLOOKUP(A654,NF!M:O,3,0)</f>
        <v>Mercado</v>
      </c>
    </row>
    <row r="655" spans="1:71" x14ac:dyDescent="0.25">
      <c r="A655" s="108" t="s">
        <v>238</v>
      </c>
      <c r="B655" s="12"/>
      <c r="C655" s="9">
        <v>1</v>
      </c>
      <c r="D655" s="25"/>
      <c r="E655" s="10" t="str">
        <f t="shared" si="826"/>
        <v>OutubroSEMANA 1Castanha de Caju Picada</v>
      </c>
      <c r="F655" s="7">
        <f>SUMIF(NF!$A:$A,$E655,NF!$I:$I)</f>
        <v>1</v>
      </c>
      <c r="G655" s="6"/>
      <c r="H655" s="6"/>
      <c r="I655" s="6"/>
      <c r="J655" s="6"/>
      <c r="K655" s="6"/>
      <c r="L655" s="6"/>
      <c r="M655" s="6"/>
      <c r="N655" s="7">
        <f t="shared" si="874"/>
        <v>0</v>
      </c>
      <c r="O655" s="11">
        <f t="shared" si="828"/>
        <v>2</v>
      </c>
      <c r="P655" s="25"/>
      <c r="Q655" s="10" t="str">
        <f t="shared" si="829"/>
        <v>OutubroSEMANA 2Castanha de Caju Picada</v>
      </c>
      <c r="R655" s="7">
        <f>SUMIF(NF!$A:$A,$Q655,NF!$I:$I)</f>
        <v>0</v>
      </c>
      <c r="S655" s="6"/>
      <c r="T655" s="6"/>
      <c r="U655" s="6">
        <v>1</v>
      </c>
      <c r="V655" s="6"/>
      <c r="W655" s="6"/>
      <c r="X655" s="6"/>
      <c r="Y655" s="6"/>
      <c r="Z655" s="7">
        <f t="shared" si="875"/>
        <v>1</v>
      </c>
      <c r="AA655" s="11">
        <f t="shared" si="831"/>
        <v>1</v>
      </c>
      <c r="AB655" s="25"/>
      <c r="AC655" s="10" t="str">
        <f t="shared" si="832"/>
        <v>OutubroSEMANA 3Castanha de Caju Picada</v>
      </c>
      <c r="AD655" s="7">
        <f>SUMIF(NF!$A:$A,$AC655,NF!$I:$I)</f>
        <v>1</v>
      </c>
      <c r="AE655" s="6"/>
      <c r="AF655" s="6"/>
      <c r="AG655" s="6"/>
      <c r="AH655" s="6"/>
      <c r="AI655" s="6"/>
      <c r="AJ655" s="6">
        <v>1</v>
      </c>
      <c r="AK655" s="6"/>
      <c r="AL655" s="7">
        <f t="shared" si="876"/>
        <v>1</v>
      </c>
      <c r="AM655" s="11">
        <f t="shared" si="834"/>
        <v>1</v>
      </c>
      <c r="AN655" s="25"/>
      <c r="AO655" s="10" t="str">
        <f t="shared" si="835"/>
        <v>OutubroSEMANA 4Castanha de Caju Picada</v>
      </c>
      <c r="AP655" s="7">
        <f>SUMIF(NF!$A:$A,$AO655,NF!$I:$I)</f>
        <v>1</v>
      </c>
      <c r="AQ655" s="6"/>
      <c r="AR655" s="6">
        <v>1</v>
      </c>
      <c r="AS655" s="6"/>
      <c r="AT655" s="6"/>
      <c r="AU655" s="6"/>
      <c r="AV655" s="6"/>
      <c r="AW655" s="6"/>
      <c r="AX655" s="7">
        <f t="shared" si="877"/>
        <v>1</v>
      </c>
      <c r="AY655" s="11">
        <f t="shared" si="837"/>
        <v>1</v>
      </c>
      <c r="AZ655" s="25"/>
      <c r="BA655" s="10" t="str">
        <f t="shared" si="838"/>
        <v>OutubroSEMANA 5Castanha de Caju Picada</v>
      </c>
      <c r="BB655" s="7">
        <f>SUMIF(NF!$A:$A,$BA655,NF!$I:$I)</f>
        <v>0</v>
      </c>
      <c r="BC655" s="6"/>
      <c r="BD655" s="6"/>
      <c r="BE655" s="6"/>
      <c r="BF655" s="74"/>
      <c r="BG655" s="74"/>
      <c r="BH655" s="74"/>
      <c r="BI655" s="74"/>
      <c r="BJ655" s="74"/>
      <c r="BK655" s="7">
        <f t="shared" si="878"/>
        <v>0</v>
      </c>
      <c r="BL655" s="8">
        <f t="shared" si="840"/>
        <v>1</v>
      </c>
      <c r="BM655" s="51" t="str">
        <f>IFERROR(VLOOKUP(A655,NF!$M:$O,3,0),"")</f>
        <v>Mercado</v>
      </c>
      <c r="BN655" s="7">
        <f t="shared" si="841"/>
        <v>3</v>
      </c>
      <c r="BO655" s="8">
        <f t="array" ref="BO655">IFERROR(LARGE(IF(NF!$G$2:$G$3137='Mês atual'!A655,NF!$J$2:$J$3137),1),0)*BN655</f>
        <v>134.69999999999999</v>
      </c>
      <c r="BP655" s="50"/>
      <c r="BR655" s="147">
        <f t="array" ref="BR655">IFERROR(LARGE(IF(NF!$G$2:$G$3137='Mês atual'!A655,NF!$J$2:$J$3137),1),0)</f>
        <v>44.9</v>
      </c>
      <c r="BS655" s="143" t="str">
        <f>VLOOKUP(A655,NF!M:O,3,0)</f>
        <v>Mercado</v>
      </c>
    </row>
    <row r="656" spans="1:71" x14ac:dyDescent="0.25">
      <c r="A656" s="108" t="s">
        <v>239</v>
      </c>
      <c r="B656" s="12"/>
      <c r="C656" s="9"/>
      <c r="D656" s="25"/>
      <c r="E656" s="10" t="str">
        <f t="shared" si="826"/>
        <v>OutubroSEMANA 1Castanha do Pará</v>
      </c>
      <c r="F656" s="7">
        <f>SUMIF(NF!$A:$A,$E656,NF!$I:$I)</f>
        <v>0</v>
      </c>
      <c r="G656" s="6"/>
      <c r="H656" s="6"/>
      <c r="I656" s="6"/>
      <c r="J656" s="6"/>
      <c r="K656" s="6"/>
      <c r="L656" s="6"/>
      <c r="M656" s="6"/>
      <c r="N656" s="7">
        <f t="shared" si="874"/>
        <v>0</v>
      </c>
      <c r="O656" s="11">
        <f t="shared" si="828"/>
        <v>0</v>
      </c>
      <c r="P656" s="25"/>
      <c r="Q656" s="10" t="str">
        <f t="shared" si="829"/>
        <v>OutubroSEMANA 2Castanha do Pará</v>
      </c>
      <c r="R656" s="7">
        <f>SUMIF(NF!$A:$A,$Q656,NF!$I:$I)</f>
        <v>0</v>
      </c>
      <c r="S656" s="6"/>
      <c r="T656" s="6"/>
      <c r="U656" s="6"/>
      <c r="V656" s="6"/>
      <c r="W656" s="6"/>
      <c r="X656" s="6"/>
      <c r="Y656" s="6"/>
      <c r="Z656" s="7">
        <f t="shared" si="875"/>
        <v>0</v>
      </c>
      <c r="AA656" s="11">
        <f t="shared" si="831"/>
        <v>0</v>
      </c>
      <c r="AB656" s="25"/>
      <c r="AC656" s="10" t="str">
        <f t="shared" si="832"/>
        <v>OutubroSEMANA 3Castanha do Pará</v>
      </c>
      <c r="AD656" s="7">
        <f>SUMIF(NF!$A:$A,$AC656,NF!$I:$I)</f>
        <v>0</v>
      </c>
      <c r="AE656" s="6"/>
      <c r="AF656" s="6"/>
      <c r="AG656" s="6"/>
      <c r="AH656" s="6"/>
      <c r="AI656" s="6"/>
      <c r="AJ656" s="6"/>
      <c r="AK656" s="6"/>
      <c r="AL656" s="7">
        <f t="shared" si="876"/>
        <v>0</v>
      </c>
      <c r="AM656" s="11">
        <f t="shared" si="834"/>
        <v>0</v>
      </c>
      <c r="AN656" s="25"/>
      <c r="AO656" s="10" t="str">
        <f t="shared" si="835"/>
        <v>OutubroSEMANA 4Castanha do Pará</v>
      </c>
      <c r="AP656" s="7">
        <f>SUMIF(NF!$A:$A,$AO656,NF!$I:$I)</f>
        <v>0</v>
      </c>
      <c r="AQ656" s="6"/>
      <c r="AR656" s="6"/>
      <c r="AS656" s="6"/>
      <c r="AT656" s="6"/>
      <c r="AU656" s="6"/>
      <c r="AV656" s="6"/>
      <c r="AW656" s="6"/>
      <c r="AX656" s="7">
        <f t="shared" si="877"/>
        <v>0</v>
      </c>
      <c r="AY656" s="11">
        <f t="shared" si="837"/>
        <v>0</v>
      </c>
      <c r="AZ656" s="25"/>
      <c r="BA656" s="10" t="str">
        <f t="shared" si="838"/>
        <v>OutubroSEMANA 5Castanha do Pará</v>
      </c>
      <c r="BB656" s="7">
        <f>SUMIF(NF!$A:$A,$BA656,NF!$I:$I)</f>
        <v>0</v>
      </c>
      <c r="BC656" s="6"/>
      <c r="BD656" s="6"/>
      <c r="BE656" s="6"/>
      <c r="BF656" s="74"/>
      <c r="BG656" s="74"/>
      <c r="BH656" s="74"/>
      <c r="BI656" s="74"/>
      <c r="BJ656" s="74"/>
      <c r="BK656" s="7">
        <f t="shared" si="878"/>
        <v>0</v>
      </c>
      <c r="BL656" s="8">
        <f t="shared" si="840"/>
        <v>0</v>
      </c>
      <c r="BM656" s="51" t="str">
        <f>IFERROR(VLOOKUP(A656,NF!$M:$O,3,0),"")</f>
        <v>Mercado</v>
      </c>
      <c r="BN656" s="7">
        <f t="shared" si="841"/>
        <v>0</v>
      </c>
      <c r="BO656" s="8">
        <f t="array" ref="BO656">IFERROR(LARGE(IF(NF!$G$2:$G$3137='Mês atual'!A656,NF!$J$2:$J$3137),1),0)*BN656</f>
        <v>0</v>
      </c>
      <c r="BP656" s="50"/>
      <c r="BR656" s="147">
        <f t="array" ref="BR656">IFERROR(LARGE(IF(NF!$G$2:$G$3137='Mês atual'!A656,NF!$J$2:$J$3137),1),0)</f>
        <v>0</v>
      </c>
      <c r="BS656" s="143" t="str">
        <f>VLOOKUP(A656,NF!M:O,3,0)</f>
        <v>Mercado</v>
      </c>
    </row>
    <row r="657" spans="1:71" x14ac:dyDescent="0.25">
      <c r="A657" s="108" t="s">
        <v>240</v>
      </c>
      <c r="B657" s="12"/>
      <c r="C657" s="9">
        <v>4</v>
      </c>
      <c r="D657" s="25"/>
      <c r="E657" s="10" t="str">
        <f t="shared" si="826"/>
        <v>OutubroSEMANA 1Catchup 3,6 Kg</v>
      </c>
      <c r="F657" s="7">
        <f>SUMIF(NF!$A:$A,$E657,NF!$I:$I)</f>
        <v>0</v>
      </c>
      <c r="G657" s="6"/>
      <c r="H657" s="6"/>
      <c r="I657" s="6"/>
      <c r="J657" s="6"/>
      <c r="K657" s="6"/>
      <c r="L657" s="6"/>
      <c r="M657" s="6"/>
      <c r="N657" s="7">
        <f t="shared" si="874"/>
        <v>0</v>
      </c>
      <c r="O657" s="11">
        <f t="shared" si="828"/>
        <v>4</v>
      </c>
      <c r="P657" s="25"/>
      <c r="Q657" s="10" t="str">
        <f t="shared" si="829"/>
        <v>OutubroSEMANA 2Catchup 3,6 Kg</v>
      </c>
      <c r="R657" s="7">
        <f>SUMIF(NF!$A:$A,$Q657,NF!$I:$I)</f>
        <v>0</v>
      </c>
      <c r="S657" s="6"/>
      <c r="T657" s="6"/>
      <c r="U657" s="6">
        <v>1</v>
      </c>
      <c r="V657" s="6"/>
      <c r="W657" s="6"/>
      <c r="X657" s="6"/>
      <c r="Y657" s="6"/>
      <c r="Z657" s="7">
        <f t="shared" si="875"/>
        <v>1</v>
      </c>
      <c r="AA657" s="11">
        <f t="shared" si="831"/>
        <v>3</v>
      </c>
      <c r="AB657" s="25"/>
      <c r="AC657" s="10" t="str">
        <f t="shared" si="832"/>
        <v>OutubroSEMANA 3Catchup 3,6 Kg</v>
      </c>
      <c r="AD657" s="7">
        <f>SUMIF(NF!$A:$A,$AC657,NF!$I:$I)</f>
        <v>0</v>
      </c>
      <c r="AE657" s="6"/>
      <c r="AF657" s="6"/>
      <c r="AG657" s="6"/>
      <c r="AH657" s="6">
        <v>1</v>
      </c>
      <c r="AI657" s="6"/>
      <c r="AJ657" s="6"/>
      <c r="AK657" s="6"/>
      <c r="AL657" s="7">
        <f t="shared" si="876"/>
        <v>1</v>
      </c>
      <c r="AM657" s="11">
        <f t="shared" si="834"/>
        <v>2</v>
      </c>
      <c r="AN657" s="25"/>
      <c r="AO657" s="10" t="str">
        <f t="shared" si="835"/>
        <v>OutubroSEMANA 4Catchup 3,6 Kg</v>
      </c>
      <c r="AP657" s="7">
        <f>SUMIF(NF!$A:$A,$AO657,NF!$I:$I)</f>
        <v>1</v>
      </c>
      <c r="AQ657" s="6">
        <v>1</v>
      </c>
      <c r="AR657" s="6"/>
      <c r="AS657" s="6"/>
      <c r="AT657" s="6"/>
      <c r="AU657" s="6"/>
      <c r="AV657" s="6"/>
      <c r="AW657" s="6"/>
      <c r="AX657" s="7">
        <f t="shared" si="877"/>
        <v>1</v>
      </c>
      <c r="AY657" s="11">
        <f t="shared" si="837"/>
        <v>2</v>
      </c>
      <c r="AZ657" s="25"/>
      <c r="BA657" s="10" t="str">
        <f t="shared" si="838"/>
        <v>OutubroSEMANA 5Catchup 3,6 Kg</v>
      </c>
      <c r="BB657" s="7">
        <f>SUMIF(NF!$A:$A,$BA657,NF!$I:$I)</f>
        <v>0</v>
      </c>
      <c r="BC657" s="6"/>
      <c r="BD657" s="6"/>
      <c r="BE657" s="6"/>
      <c r="BF657" s="74"/>
      <c r="BG657" s="74"/>
      <c r="BH657" s="74"/>
      <c r="BI657" s="74"/>
      <c r="BJ657" s="74"/>
      <c r="BK657" s="7">
        <f t="shared" si="878"/>
        <v>0</v>
      </c>
      <c r="BL657" s="8">
        <f t="shared" si="840"/>
        <v>2</v>
      </c>
      <c r="BM657" s="51" t="str">
        <f>IFERROR(VLOOKUP(A657,NF!$M:$O,3,0),"")</f>
        <v>Mercado</v>
      </c>
      <c r="BN657" s="7">
        <f t="shared" si="841"/>
        <v>3</v>
      </c>
      <c r="BO657" s="8">
        <f t="array" ref="BO657">IFERROR(LARGE(IF(NF!$G$2:$G$3137='Mês atual'!A657,NF!$J$2:$J$3137),1),0)*BN657</f>
        <v>43.5</v>
      </c>
      <c r="BP657" s="50"/>
      <c r="BR657" s="147">
        <f t="array" ref="BR657">IFERROR(LARGE(IF(NF!$G$2:$G$3137='Mês atual'!A657,NF!$J$2:$J$3137),1),0)</f>
        <v>14.5</v>
      </c>
      <c r="BS657" s="143" t="str">
        <f>VLOOKUP(A657,NF!M:O,3,0)</f>
        <v>Mercado</v>
      </c>
    </row>
    <row r="658" spans="1:71" x14ac:dyDescent="0.25">
      <c r="A658" s="108" t="s">
        <v>245</v>
      </c>
      <c r="B658" s="12"/>
      <c r="C658" s="9"/>
      <c r="D658" s="25"/>
      <c r="E658" s="10" t="str">
        <f t="shared" si="826"/>
        <v>OutubroSEMANA 1Cebolete em conserva</v>
      </c>
      <c r="F658" s="7">
        <f>SUMIF(NF!$A:$A,$E658,NF!$I:$I)</f>
        <v>0</v>
      </c>
      <c r="G658" s="6"/>
      <c r="H658" s="6"/>
      <c r="I658" s="6"/>
      <c r="J658" s="6"/>
      <c r="K658" s="6"/>
      <c r="L658" s="6"/>
      <c r="M658" s="6"/>
      <c r="N658" s="7">
        <f t="shared" si="874"/>
        <v>0</v>
      </c>
      <c r="O658" s="11">
        <f t="shared" si="828"/>
        <v>0</v>
      </c>
      <c r="P658" s="25"/>
      <c r="Q658" s="10" t="str">
        <f t="shared" si="829"/>
        <v>OutubroSEMANA 2Cebolete em conserva</v>
      </c>
      <c r="R658" s="7">
        <f>SUMIF(NF!$A:$A,$Q658,NF!$I:$I)</f>
        <v>0</v>
      </c>
      <c r="S658" s="6"/>
      <c r="T658" s="6"/>
      <c r="U658" s="6"/>
      <c r="V658" s="6"/>
      <c r="W658" s="6"/>
      <c r="X658" s="6"/>
      <c r="Y658" s="6"/>
      <c r="Z658" s="7">
        <f t="shared" si="875"/>
        <v>0</v>
      </c>
      <c r="AA658" s="11">
        <f t="shared" si="831"/>
        <v>0</v>
      </c>
      <c r="AB658" s="25"/>
      <c r="AC658" s="10" t="str">
        <f t="shared" si="832"/>
        <v>OutubroSEMANA 3Cebolete em conserva</v>
      </c>
      <c r="AD658" s="7">
        <f>SUMIF(NF!$A:$A,$AC658,NF!$I:$I)</f>
        <v>0</v>
      </c>
      <c r="AE658" s="6"/>
      <c r="AF658" s="6"/>
      <c r="AG658" s="6"/>
      <c r="AH658" s="6"/>
      <c r="AI658" s="6"/>
      <c r="AJ658" s="6"/>
      <c r="AK658" s="6"/>
      <c r="AL658" s="7">
        <f t="shared" si="876"/>
        <v>0</v>
      </c>
      <c r="AM658" s="11">
        <f t="shared" si="834"/>
        <v>0</v>
      </c>
      <c r="AN658" s="25"/>
      <c r="AO658" s="10" t="str">
        <f t="shared" si="835"/>
        <v>OutubroSEMANA 4Cebolete em conserva</v>
      </c>
      <c r="AP658" s="7">
        <f>SUMIF(NF!$A:$A,$AO658,NF!$I:$I)</f>
        <v>0</v>
      </c>
      <c r="AQ658" s="6"/>
      <c r="AR658" s="6"/>
      <c r="AS658" s="6"/>
      <c r="AT658" s="6"/>
      <c r="AU658" s="6"/>
      <c r="AV658" s="6"/>
      <c r="AW658" s="6"/>
      <c r="AX658" s="7">
        <f t="shared" si="877"/>
        <v>0</v>
      </c>
      <c r="AY658" s="11">
        <f t="shared" si="837"/>
        <v>0</v>
      </c>
      <c r="AZ658" s="25"/>
      <c r="BA658" s="10" t="str">
        <f t="shared" si="838"/>
        <v>OutubroSEMANA 5Cebolete em conserva</v>
      </c>
      <c r="BB658" s="7">
        <f>SUMIF(NF!$A:$A,$BA658,NF!$I:$I)</f>
        <v>0</v>
      </c>
      <c r="BC658" s="6"/>
      <c r="BD658" s="6"/>
      <c r="BE658" s="6"/>
      <c r="BF658" s="74"/>
      <c r="BG658" s="74"/>
      <c r="BH658" s="74"/>
      <c r="BI658" s="74"/>
      <c r="BJ658" s="74"/>
      <c r="BK658" s="7">
        <f t="shared" si="878"/>
        <v>0</v>
      </c>
      <c r="BL658" s="8">
        <f t="shared" si="840"/>
        <v>0</v>
      </c>
      <c r="BM658" s="51" t="str">
        <f>IFERROR(VLOOKUP(A658,NF!$M:$O,3,0),"")</f>
        <v>Mercado</v>
      </c>
      <c r="BN658" s="7">
        <f t="shared" si="841"/>
        <v>0</v>
      </c>
      <c r="BO658" s="8">
        <f t="array" ref="BO658">IFERROR(LARGE(IF(NF!$G$2:$G$3137='Mês atual'!A658,NF!$J$2:$J$3137),1),0)*BN658</f>
        <v>0</v>
      </c>
      <c r="BP658" s="50"/>
      <c r="BR658" s="147">
        <f t="array" ref="BR658">IFERROR(LARGE(IF(NF!$G$2:$G$3137='Mês atual'!A658,NF!$J$2:$J$3137),1),0)</f>
        <v>0</v>
      </c>
      <c r="BS658" s="143" t="str">
        <f>VLOOKUP(A658,NF!M:O,3,0)</f>
        <v>Mercado</v>
      </c>
    </row>
    <row r="659" spans="1:71" x14ac:dyDescent="0.25">
      <c r="A659" s="108" t="s">
        <v>251</v>
      </c>
      <c r="B659" s="12"/>
      <c r="C659" s="9"/>
      <c r="D659" s="25"/>
      <c r="E659" s="10" t="str">
        <f t="shared" si="826"/>
        <v>OutubroSEMANA 1Cenoura Baby</v>
      </c>
      <c r="F659" s="7">
        <f>SUMIF(NF!$A:$A,$E659,NF!$I:$I)</f>
        <v>0</v>
      </c>
      <c r="G659" s="6"/>
      <c r="H659" s="6"/>
      <c r="I659" s="6"/>
      <c r="J659" s="6"/>
      <c r="K659" s="6"/>
      <c r="L659" s="6"/>
      <c r="M659" s="6"/>
      <c r="N659" s="7">
        <f t="shared" si="874"/>
        <v>0</v>
      </c>
      <c r="O659" s="11">
        <f t="shared" si="828"/>
        <v>0</v>
      </c>
      <c r="P659" s="25"/>
      <c r="Q659" s="10" t="str">
        <f t="shared" si="829"/>
        <v>OutubroSEMANA 2Cenoura Baby</v>
      </c>
      <c r="R659" s="7">
        <f>SUMIF(NF!$A:$A,$Q659,NF!$I:$I)</f>
        <v>0</v>
      </c>
      <c r="S659" s="6"/>
      <c r="T659" s="6"/>
      <c r="U659" s="6"/>
      <c r="V659" s="6"/>
      <c r="W659" s="6"/>
      <c r="X659" s="6"/>
      <c r="Y659" s="6"/>
      <c r="Z659" s="7">
        <f t="shared" si="875"/>
        <v>0</v>
      </c>
      <c r="AA659" s="11">
        <f t="shared" si="831"/>
        <v>0</v>
      </c>
      <c r="AB659" s="25"/>
      <c r="AC659" s="10" t="str">
        <f t="shared" si="832"/>
        <v>OutubroSEMANA 3Cenoura Baby</v>
      </c>
      <c r="AD659" s="7">
        <f>SUMIF(NF!$A:$A,$AC659,NF!$I:$I)</f>
        <v>0</v>
      </c>
      <c r="AE659" s="6"/>
      <c r="AF659" s="6"/>
      <c r="AG659" s="6"/>
      <c r="AH659" s="6"/>
      <c r="AI659" s="6"/>
      <c r="AJ659" s="6"/>
      <c r="AK659" s="6"/>
      <c r="AL659" s="7">
        <f t="shared" si="876"/>
        <v>0</v>
      </c>
      <c r="AM659" s="11">
        <f t="shared" si="834"/>
        <v>0</v>
      </c>
      <c r="AN659" s="25"/>
      <c r="AO659" s="10" t="str">
        <f t="shared" si="835"/>
        <v>OutubroSEMANA 4Cenoura Baby</v>
      </c>
      <c r="AP659" s="7">
        <f>SUMIF(NF!$A:$A,$AO659,NF!$I:$I)</f>
        <v>0</v>
      </c>
      <c r="AQ659" s="6"/>
      <c r="AR659" s="6"/>
      <c r="AS659" s="6"/>
      <c r="AT659" s="6"/>
      <c r="AU659" s="6"/>
      <c r="AV659" s="6"/>
      <c r="AW659" s="6"/>
      <c r="AX659" s="7">
        <f t="shared" si="877"/>
        <v>0</v>
      </c>
      <c r="AY659" s="11">
        <f t="shared" si="837"/>
        <v>0</v>
      </c>
      <c r="AZ659" s="25"/>
      <c r="BA659" s="10" t="str">
        <f t="shared" si="838"/>
        <v>OutubroSEMANA 5Cenoura Baby</v>
      </c>
      <c r="BB659" s="7">
        <f>SUMIF(NF!$A:$A,$BA659,NF!$I:$I)</f>
        <v>0</v>
      </c>
      <c r="BC659" s="6"/>
      <c r="BD659" s="6"/>
      <c r="BE659" s="6"/>
      <c r="BF659" s="74"/>
      <c r="BG659" s="74"/>
      <c r="BH659" s="74"/>
      <c r="BI659" s="74"/>
      <c r="BJ659" s="74"/>
      <c r="BK659" s="7">
        <f t="shared" si="878"/>
        <v>0</v>
      </c>
      <c r="BL659" s="8">
        <f t="shared" si="840"/>
        <v>0</v>
      </c>
      <c r="BM659" s="51" t="str">
        <f>IFERROR(VLOOKUP(A659,NF!$M:$O,3,0),"")</f>
        <v>Mercado</v>
      </c>
      <c r="BN659" s="7">
        <f t="shared" si="841"/>
        <v>0</v>
      </c>
      <c r="BO659" s="8">
        <f t="array" ref="BO659">IFERROR(LARGE(IF(NF!$G$2:$G$3137='Mês atual'!A659,NF!$J$2:$J$3137),1),0)*BN659</f>
        <v>0</v>
      </c>
      <c r="BP659" s="50"/>
      <c r="BR659" s="147">
        <f t="array" ref="BR659">IFERROR(LARGE(IF(NF!$G$2:$G$3137='Mês atual'!A659,NF!$J$2:$J$3137),1),0)</f>
        <v>0</v>
      </c>
      <c r="BS659" s="143" t="str">
        <f>VLOOKUP(A659,NF!M:O,3,0)</f>
        <v>Mercado</v>
      </c>
    </row>
    <row r="660" spans="1:71" x14ac:dyDescent="0.25">
      <c r="A660" s="108" t="s">
        <v>253</v>
      </c>
      <c r="B660" s="12"/>
      <c r="C660" s="9"/>
      <c r="D660" s="25"/>
      <c r="E660" s="10" t="str">
        <f t="shared" si="826"/>
        <v>OutubroSEMANA 1Cereja Conserva</v>
      </c>
      <c r="F660" s="7">
        <f>SUMIF(NF!$A:$A,$E660,NF!$I:$I)</f>
        <v>0</v>
      </c>
      <c r="G660" s="6"/>
      <c r="H660" s="6"/>
      <c r="I660" s="6"/>
      <c r="J660" s="6"/>
      <c r="K660" s="6"/>
      <c r="L660" s="6"/>
      <c r="M660" s="6"/>
      <c r="N660" s="7">
        <f t="shared" si="874"/>
        <v>0</v>
      </c>
      <c r="O660" s="11">
        <f t="shared" si="828"/>
        <v>0</v>
      </c>
      <c r="P660" s="25"/>
      <c r="Q660" s="10" t="str">
        <f t="shared" si="829"/>
        <v>OutubroSEMANA 2Cereja Conserva</v>
      </c>
      <c r="R660" s="7">
        <f>SUMIF(NF!$A:$A,$Q660,NF!$I:$I)</f>
        <v>0</v>
      </c>
      <c r="S660" s="6"/>
      <c r="T660" s="6"/>
      <c r="U660" s="6"/>
      <c r="V660" s="6"/>
      <c r="W660" s="6"/>
      <c r="X660" s="6"/>
      <c r="Y660" s="6"/>
      <c r="Z660" s="7">
        <f t="shared" si="875"/>
        <v>0</v>
      </c>
      <c r="AA660" s="11">
        <f t="shared" si="831"/>
        <v>0</v>
      </c>
      <c r="AB660" s="25"/>
      <c r="AC660" s="10" t="str">
        <f t="shared" si="832"/>
        <v>OutubroSEMANA 3Cereja Conserva</v>
      </c>
      <c r="AD660" s="7">
        <f>SUMIF(NF!$A:$A,$AC660,NF!$I:$I)</f>
        <v>0</v>
      </c>
      <c r="AE660" s="6"/>
      <c r="AF660" s="6"/>
      <c r="AG660" s="6"/>
      <c r="AH660" s="6"/>
      <c r="AI660" s="6"/>
      <c r="AJ660" s="6"/>
      <c r="AK660" s="6"/>
      <c r="AL660" s="7">
        <f t="shared" si="876"/>
        <v>0</v>
      </c>
      <c r="AM660" s="11">
        <f t="shared" si="834"/>
        <v>0</v>
      </c>
      <c r="AN660" s="25"/>
      <c r="AO660" s="10" t="str">
        <f t="shared" si="835"/>
        <v>OutubroSEMANA 4Cereja Conserva</v>
      </c>
      <c r="AP660" s="7">
        <f>SUMIF(NF!$A:$A,$AO660,NF!$I:$I)</f>
        <v>0</v>
      </c>
      <c r="AQ660" s="6"/>
      <c r="AR660" s="6"/>
      <c r="AS660" s="6"/>
      <c r="AT660" s="6"/>
      <c r="AU660" s="6"/>
      <c r="AV660" s="6"/>
      <c r="AW660" s="6"/>
      <c r="AX660" s="7">
        <f t="shared" si="877"/>
        <v>0</v>
      </c>
      <c r="AY660" s="11">
        <f t="shared" si="837"/>
        <v>0</v>
      </c>
      <c r="AZ660" s="25"/>
      <c r="BA660" s="10" t="str">
        <f t="shared" si="838"/>
        <v>OutubroSEMANA 5Cereja Conserva</v>
      </c>
      <c r="BB660" s="7">
        <f>SUMIF(NF!$A:$A,$BA660,NF!$I:$I)</f>
        <v>0</v>
      </c>
      <c r="BC660" s="6"/>
      <c r="BD660" s="6"/>
      <c r="BE660" s="6"/>
      <c r="BF660" s="74"/>
      <c r="BG660" s="74"/>
      <c r="BH660" s="74"/>
      <c r="BI660" s="74"/>
      <c r="BJ660" s="74"/>
      <c r="BK660" s="7">
        <f t="shared" si="878"/>
        <v>0</v>
      </c>
      <c r="BL660" s="8">
        <f t="shared" si="840"/>
        <v>0</v>
      </c>
      <c r="BM660" s="51" t="str">
        <f>IFERROR(VLOOKUP(A660,NF!$M:$O,3,0),"")</f>
        <v>Mercado</v>
      </c>
      <c r="BN660" s="7">
        <f t="shared" si="841"/>
        <v>0</v>
      </c>
      <c r="BO660" s="8">
        <f t="array" ref="BO660">IFERROR(LARGE(IF(NF!$G$2:$G$3137='Mês atual'!A660,NF!$J$2:$J$3137),1),0)*BN660</f>
        <v>0</v>
      </c>
      <c r="BP660" s="50"/>
      <c r="BR660" s="147">
        <f t="array" ref="BR660">IFERROR(LARGE(IF(NF!$G$2:$G$3137='Mês atual'!A660,NF!$J$2:$J$3137),1),0)</f>
        <v>0</v>
      </c>
      <c r="BS660" s="143" t="str">
        <f>VLOOKUP(A660,NF!M:O,3,0)</f>
        <v>Mercado</v>
      </c>
    </row>
    <row r="661" spans="1:71" x14ac:dyDescent="0.25">
      <c r="A661" s="108" t="s">
        <v>269</v>
      </c>
      <c r="B661" s="12"/>
      <c r="C661" s="9">
        <v>1</v>
      </c>
      <c r="D661" s="25"/>
      <c r="E661" s="10" t="str">
        <f t="shared" si="826"/>
        <v>OutubroSEMANA 1Cevadinha</v>
      </c>
      <c r="F661" s="7">
        <f>SUMIF(NF!$A:$A,$E661,NF!$I:$I)</f>
        <v>3</v>
      </c>
      <c r="G661" s="6"/>
      <c r="H661" s="6">
        <v>1</v>
      </c>
      <c r="I661" s="6"/>
      <c r="J661" s="6"/>
      <c r="K661" s="6"/>
      <c r="L661" s="6"/>
      <c r="M661" s="6">
        <v>1</v>
      </c>
      <c r="N661" s="7">
        <f t="shared" si="874"/>
        <v>2</v>
      </c>
      <c r="O661" s="11">
        <f t="shared" si="828"/>
        <v>2</v>
      </c>
      <c r="P661" s="25"/>
      <c r="Q661" s="10" t="str">
        <f t="shared" si="829"/>
        <v>OutubroSEMANA 2Cevadinha</v>
      </c>
      <c r="R661" s="7">
        <f>SUMIF(NF!$A:$A,$Q661,NF!$I:$I)</f>
        <v>2</v>
      </c>
      <c r="S661" s="6"/>
      <c r="T661" s="6">
        <v>1</v>
      </c>
      <c r="U661" s="6"/>
      <c r="V661" s="6"/>
      <c r="W661" s="6"/>
      <c r="X661" s="6"/>
      <c r="Y661" s="6"/>
      <c r="Z661" s="7">
        <f t="shared" si="875"/>
        <v>1</v>
      </c>
      <c r="AA661" s="11">
        <f t="shared" si="831"/>
        <v>3</v>
      </c>
      <c r="AB661" s="25"/>
      <c r="AC661" s="10" t="str">
        <f t="shared" si="832"/>
        <v>OutubroSEMANA 3Cevadinha</v>
      </c>
      <c r="AD661" s="7">
        <f>SUMIF(NF!$A:$A,$AC661,NF!$I:$I)</f>
        <v>2</v>
      </c>
      <c r="AE661" s="6"/>
      <c r="AF661" s="6">
        <v>2</v>
      </c>
      <c r="AG661" s="6"/>
      <c r="AH661" s="6"/>
      <c r="AI661" s="6"/>
      <c r="AJ661" s="6"/>
      <c r="AK661" s="6"/>
      <c r="AL661" s="7">
        <f t="shared" si="876"/>
        <v>2</v>
      </c>
      <c r="AM661" s="11">
        <f t="shared" si="834"/>
        <v>3</v>
      </c>
      <c r="AN661" s="25"/>
      <c r="AO661" s="10" t="str">
        <f t="shared" si="835"/>
        <v>OutubroSEMANA 4Cevadinha</v>
      </c>
      <c r="AP661" s="7">
        <f>SUMIF(NF!$A:$A,$AO661,NF!$I:$I)</f>
        <v>0</v>
      </c>
      <c r="AQ661" s="6"/>
      <c r="AR661" s="6"/>
      <c r="AS661" s="6"/>
      <c r="AT661" s="6">
        <v>1</v>
      </c>
      <c r="AU661" s="6"/>
      <c r="AV661" s="6"/>
      <c r="AW661" s="6"/>
      <c r="AX661" s="7">
        <f t="shared" si="877"/>
        <v>1</v>
      </c>
      <c r="AY661" s="11">
        <f t="shared" si="837"/>
        <v>2</v>
      </c>
      <c r="AZ661" s="25"/>
      <c r="BA661" s="10" t="str">
        <f t="shared" si="838"/>
        <v>OutubroSEMANA 5Cevadinha</v>
      </c>
      <c r="BB661" s="7">
        <f>SUMIF(NF!$A:$A,$BA661,NF!$I:$I)</f>
        <v>0</v>
      </c>
      <c r="BC661" s="6"/>
      <c r="BD661" s="6"/>
      <c r="BE661" s="6"/>
      <c r="BF661" s="74"/>
      <c r="BG661" s="74"/>
      <c r="BH661" s="74"/>
      <c r="BI661" s="74"/>
      <c r="BJ661" s="74"/>
      <c r="BK661" s="7">
        <f t="shared" si="878"/>
        <v>0</v>
      </c>
      <c r="BL661" s="8">
        <f t="shared" si="840"/>
        <v>2</v>
      </c>
      <c r="BM661" s="51" t="str">
        <f>IFERROR(VLOOKUP(A661,NF!$M:$O,3,0),"")</f>
        <v>Mercado</v>
      </c>
      <c r="BN661" s="7">
        <f t="shared" si="841"/>
        <v>6</v>
      </c>
      <c r="BO661" s="8">
        <f t="array" ref="BO661">IFERROR(LARGE(IF(NF!$G$2:$G$3137='Mês atual'!A661,NF!$J$2:$J$3137),1),0)*BN661</f>
        <v>35.400000000000006</v>
      </c>
      <c r="BP661" s="50"/>
      <c r="BR661" s="147">
        <f t="array" ref="BR661">IFERROR(LARGE(IF(NF!$G$2:$G$3137='Mês atual'!A661,NF!$J$2:$J$3137),1),0)</f>
        <v>5.9</v>
      </c>
      <c r="BS661" s="143" t="str">
        <f>VLOOKUP(A661,NF!M:O,3,0)</f>
        <v>Mercado</v>
      </c>
    </row>
    <row r="662" spans="1:71" x14ac:dyDescent="0.25">
      <c r="A662" s="108" t="s">
        <v>270</v>
      </c>
      <c r="B662" s="12"/>
      <c r="C662" s="9"/>
      <c r="D662" s="25"/>
      <c r="E662" s="10" t="str">
        <f t="shared" si="826"/>
        <v>OutubroSEMANA 1Chá diversos sache</v>
      </c>
      <c r="F662" s="7">
        <f>SUMIF(NF!$A:$A,$E662,NF!$I:$I)</f>
        <v>1</v>
      </c>
      <c r="G662" s="6"/>
      <c r="H662" s="6"/>
      <c r="I662" s="6">
        <v>1</v>
      </c>
      <c r="J662" s="6"/>
      <c r="K662" s="6"/>
      <c r="L662" s="6"/>
      <c r="M662" s="6"/>
      <c r="N662" s="7">
        <f t="shared" si="874"/>
        <v>1</v>
      </c>
      <c r="O662" s="11">
        <f t="shared" si="828"/>
        <v>0</v>
      </c>
      <c r="P662" s="25"/>
      <c r="Q662" s="10" t="str">
        <f t="shared" si="829"/>
        <v>OutubroSEMANA 2Chá diversos sache</v>
      </c>
      <c r="R662" s="7">
        <f>SUMIF(NF!$A:$A,$Q662,NF!$I:$I)</f>
        <v>1</v>
      </c>
      <c r="S662" s="6"/>
      <c r="T662" s="6"/>
      <c r="U662" s="6"/>
      <c r="V662" s="6"/>
      <c r="W662" s="6"/>
      <c r="X662" s="6">
        <v>1</v>
      </c>
      <c r="Y662" s="6"/>
      <c r="Z662" s="7">
        <f t="shared" si="875"/>
        <v>1</v>
      </c>
      <c r="AA662" s="11">
        <f t="shared" si="831"/>
        <v>0</v>
      </c>
      <c r="AB662" s="25"/>
      <c r="AC662" s="10" t="str">
        <f t="shared" si="832"/>
        <v>OutubroSEMANA 3Chá diversos sache</v>
      </c>
      <c r="AD662" s="7">
        <f>SUMIF(NF!$A:$A,$AC662,NF!$I:$I)</f>
        <v>0</v>
      </c>
      <c r="AE662" s="6"/>
      <c r="AF662" s="6"/>
      <c r="AG662" s="6"/>
      <c r="AH662" s="6"/>
      <c r="AI662" s="6"/>
      <c r="AJ662" s="6"/>
      <c r="AK662" s="6"/>
      <c r="AL662" s="7">
        <f t="shared" si="876"/>
        <v>0</v>
      </c>
      <c r="AM662" s="11">
        <f t="shared" si="834"/>
        <v>0</v>
      </c>
      <c r="AN662" s="25"/>
      <c r="AO662" s="10" t="str">
        <f t="shared" si="835"/>
        <v>OutubroSEMANA 4Chá diversos sache</v>
      </c>
      <c r="AP662" s="7">
        <f>SUMIF(NF!$A:$A,$AO662,NF!$I:$I)</f>
        <v>0</v>
      </c>
      <c r="AQ662" s="6"/>
      <c r="AR662" s="6"/>
      <c r="AS662" s="6"/>
      <c r="AT662" s="6"/>
      <c r="AU662" s="6"/>
      <c r="AV662" s="6"/>
      <c r="AW662" s="6"/>
      <c r="AX662" s="7">
        <f t="shared" si="877"/>
        <v>0</v>
      </c>
      <c r="AY662" s="11">
        <f t="shared" si="837"/>
        <v>0</v>
      </c>
      <c r="AZ662" s="25"/>
      <c r="BA662" s="10" t="str">
        <f t="shared" si="838"/>
        <v>OutubroSEMANA 5Chá diversos sache</v>
      </c>
      <c r="BB662" s="7">
        <f>SUMIF(NF!$A:$A,$BA662,NF!$I:$I)</f>
        <v>0</v>
      </c>
      <c r="BC662" s="6"/>
      <c r="BD662" s="6"/>
      <c r="BE662" s="6"/>
      <c r="BF662" s="74"/>
      <c r="BG662" s="74"/>
      <c r="BH662" s="74"/>
      <c r="BI662" s="74"/>
      <c r="BJ662" s="74"/>
      <c r="BK662" s="7">
        <f t="shared" si="878"/>
        <v>0</v>
      </c>
      <c r="BL662" s="8">
        <f t="shared" si="840"/>
        <v>0</v>
      </c>
      <c r="BM662" s="51" t="str">
        <f>IFERROR(VLOOKUP(A662,NF!$M:$O,3,0),"")</f>
        <v>Mercado</v>
      </c>
      <c r="BN662" s="7">
        <f t="shared" si="841"/>
        <v>2</v>
      </c>
      <c r="BO662" s="8">
        <f t="array" ref="BO662">IFERROR(LARGE(IF(NF!$G$2:$G$3137='Mês atual'!A662,NF!$J$2:$J$3137),1),0)*BN662</f>
        <v>11.96</v>
      </c>
      <c r="BP662" s="50"/>
      <c r="BR662" s="147">
        <f t="array" ref="BR662">IFERROR(LARGE(IF(NF!$G$2:$G$3137='Mês atual'!A662,NF!$J$2:$J$3137),1),0)</f>
        <v>5.98</v>
      </c>
      <c r="BS662" s="143" t="str">
        <f>VLOOKUP(A662,NF!M:O,3,0)</f>
        <v>Mercado</v>
      </c>
    </row>
    <row r="663" spans="1:71" x14ac:dyDescent="0.25">
      <c r="A663" s="108" t="s">
        <v>271</v>
      </c>
      <c r="B663" s="12"/>
      <c r="C663" s="9">
        <v>2</v>
      </c>
      <c r="D663" s="25"/>
      <c r="E663" s="10" t="str">
        <f t="shared" si="826"/>
        <v>OutubroSEMANA 1Chá verde 200gr</v>
      </c>
      <c r="F663" s="7">
        <f>SUMIF(NF!$A:$A,$E663,NF!$I:$I)</f>
        <v>0</v>
      </c>
      <c r="G663" s="6"/>
      <c r="H663" s="6"/>
      <c r="I663" s="6"/>
      <c r="J663" s="6"/>
      <c r="K663" s="6"/>
      <c r="L663" s="6">
        <v>1</v>
      </c>
      <c r="M663" s="6"/>
      <c r="N663" s="7">
        <f t="shared" si="874"/>
        <v>1</v>
      </c>
      <c r="O663" s="11">
        <f t="shared" si="828"/>
        <v>1</v>
      </c>
      <c r="P663" s="25"/>
      <c r="Q663" s="10" t="str">
        <f t="shared" si="829"/>
        <v>OutubroSEMANA 2Chá verde 200gr</v>
      </c>
      <c r="R663" s="7">
        <f>SUMIF(NF!$A:$A,$Q663,NF!$I:$I)</f>
        <v>0</v>
      </c>
      <c r="S663" s="6"/>
      <c r="T663" s="6"/>
      <c r="U663" s="6"/>
      <c r="V663" s="6"/>
      <c r="W663" s="6"/>
      <c r="X663" s="6"/>
      <c r="Y663" s="6"/>
      <c r="Z663" s="7">
        <f t="shared" si="875"/>
        <v>0</v>
      </c>
      <c r="AA663" s="11">
        <f t="shared" si="831"/>
        <v>1</v>
      </c>
      <c r="AB663" s="25"/>
      <c r="AC663" s="10" t="str">
        <f t="shared" si="832"/>
        <v>OutubroSEMANA 3Chá verde 200gr</v>
      </c>
      <c r="AD663" s="7">
        <f>SUMIF(NF!$A:$A,$AC663,NF!$I:$I)</f>
        <v>1</v>
      </c>
      <c r="AE663" s="6"/>
      <c r="AF663" s="6"/>
      <c r="AG663" s="6"/>
      <c r="AH663" s="6"/>
      <c r="AI663" s="6">
        <v>1</v>
      </c>
      <c r="AJ663" s="6"/>
      <c r="AK663" s="6"/>
      <c r="AL663" s="7">
        <f t="shared" si="876"/>
        <v>1</v>
      </c>
      <c r="AM663" s="11">
        <f t="shared" si="834"/>
        <v>1</v>
      </c>
      <c r="AN663" s="25"/>
      <c r="AO663" s="10" t="str">
        <f t="shared" si="835"/>
        <v>OutubroSEMANA 4Chá verde 200gr</v>
      </c>
      <c r="AP663" s="7">
        <f>SUMIF(NF!$A:$A,$AO663,NF!$I:$I)</f>
        <v>0</v>
      </c>
      <c r="AQ663" s="6"/>
      <c r="AR663" s="6"/>
      <c r="AS663" s="6"/>
      <c r="AT663" s="6"/>
      <c r="AU663" s="6"/>
      <c r="AV663" s="6"/>
      <c r="AW663" s="6">
        <v>1</v>
      </c>
      <c r="AX663" s="7">
        <f t="shared" si="877"/>
        <v>1</v>
      </c>
      <c r="AY663" s="11">
        <f t="shared" si="837"/>
        <v>0</v>
      </c>
      <c r="AZ663" s="25"/>
      <c r="BA663" s="10" t="str">
        <f t="shared" si="838"/>
        <v>OutubroSEMANA 5Chá verde 200gr</v>
      </c>
      <c r="BB663" s="7">
        <f>SUMIF(NF!$A:$A,$BA663,NF!$I:$I)</f>
        <v>2</v>
      </c>
      <c r="BC663" s="6"/>
      <c r="BD663" s="6"/>
      <c r="BE663" s="6"/>
      <c r="BF663" s="74"/>
      <c r="BG663" s="74"/>
      <c r="BH663" s="74"/>
      <c r="BI663" s="74"/>
      <c r="BJ663" s="74"/>
      <c r="BK663" s="7">
        <f t="shared" si="878"/>
        <v>0</v>
      </c>
      <c r="BL663" s="8">
        <f t="shared" si="840"/>
        <v>2</v>
      </c>
      <c r="BM663" s="51" t="str">
        <f>IFERROR(VLOOKUP(A663,NF!$M:$O,3,0),"")</f>
        <v>Mercado</v>
      </c>
      <c r="BN663" s="7">
        <f t="shared" si="841"/>
        <v>3</v>
      </c>
      <c r="BO663" s="8">
        <f t="array" ref="BO663">IFERROR(LARGE(IF(NF!$G$2:$G$3137='Mês atual'!A663,NF!$J$2:$J$3137),1),0)*BN663</f>
        <v>41.76</v>
      </c>
      <c r="BP663" s="50"/>
      <c r="BR663" s="147">
        <f t="array" ref="BR663">IFERROR(LARGE(IF(NF!$G$2:$G$3137='Mês atual'!A663,NF!$J$2:$J$3137),1),0)</f>
        <v>13.92</v>
      </c>
      <c r="BS663" s="143" t="str">
        <f>VLOOKUP(A663,NF!M:O,3,0)</f>
        <v>Mercado</v>
      </c>
    </row>
    <row r="664" spans="1:71" x14ac:dyDescent="0.25">
      <c r="A664" s="108" t="s">
        <v>272</v>
      </c>
      <c r="B664" s="12"/>
      <c r="C664" s="9"/>
      <c r="D664" s="25"/>
      <c r="E664" s="10" t="str">
        <f t="shared" si="826"/>
        <v>OutubroSEMANA 1Chia em Grão</v>
      </c>
      <c r="F664" s="7">
        <f>SUMIF(NF!$A:$A,$E664,NF!$I:$I)</f>
        <v>0</v>
      </c>
      <c r="G664" s="6"/>
      <c r="H664" s="6"/>
      <c r="I664" s="6"/>
      <c r="J664" s="6"/>
      <c r="K664" s="6"/>
      <c r="L664" s="6"/>
      <c r="M664" s="6"/>
      <c r="N664" s="7">
        <f t="shared" si="874"/>
        <v>0</v>
      </c>
      <c r="O664" s="11">
        <f t="shared" si="828"/>
        <v>0</v>
      </c>
      <c r="P664" s="25"/>
      <c r="Q664" s="10" t="str">
        <f t="shared" si="829"/>
        <v>OutubroSEMANA 2Chia em Grão</v>
      </c>
      <c r="R664" s="7">
        <f>SUMIF(NF!$A:$A,$Q664,NF!$I:$I)</f>
        <v>0</v>
      </c>
      <c r="S664" s="6"/>
      <c r="T664" s="6"/>
      <c r="U664" s="6"/>
      <c r="V664" s="6"/>
      <c r="W664" s="6"/>
      <c r="X664" s="6"/>
      <c r="Y664" s="6"/>
      <c r="Z664" s="7">
        <f t="shared" si="875"/>
        <v>0</v>
      </c>
      <c r="AA664" s="11">
        <f t="shared" si="831"/>
        <v>0</v>
      </c>
      <c r="AB664" s="25"/>
      <c r="AC664" s="10" t="str">
        <f t="shared" si="832"/>
        <v>OutubroSEMANA 3Chia em Grão</v>
      </c>
      <c r="AD664" s="7">
        <f>SUMIF(NF!$A:$A,$AC664,NF!$I:$I)</f>
        <v>0</v>
      </c>
      <c r="AE664" s="6"/>
      <c r="AF664" s="6"/>
      <c r="AG664" s="6"/>
      <c r="AH664" s="6"/>
      <c r="AI664" s="6"/>
      <c r="AJ664" s="6"/>
      <c r="AK664" s="6"/>
      <c r="AL664" s="7">
        <f t="shared" si="876"/>
        <v>0</v>
      </c>
      <c r="AM664" s="11">
        <f t="shared" si="834"/>
        <v>0</v>
      </c>
      <c r="AN664" s="25"/>
      <c r="AO664" s="10" t="str">
        <f t="shared" si="835"/>
        <v>OutubroSEMANA 4Chia em Grão</v>
      </c>
      <c r="AP664" s="7">
        <f>SUMIF(NF!$A:$A,$AO664,NF!$I:$I)</f>
        <v>0</v>
      </c>
      <c r="AQ664" s="6"/>
      <c r="AR664" s="6"/>
      <c r="AS664" s="6"/>
      <c r="AT664" s="6"/>
      <c r="AU664" s="6"/>
      <c r="AV664" s="6"/>
      <c r="AW664" s="6"/>
      <c r="AX664" s="7">
        <f t="shared" si="877"/>
        <v>0</v>
      </c>
      <c r="AY664" s="11">
        <f t="shared" si="837"/>
        <v>0</v>
      </c>
      <c r="AZ664" s="25"/>
      <c r="BA664" s="10" t="str">
        <f t="shared" si="838"/>
        <v>OutubroSEMANA 5Chia em Grão</v>
      </c>
      <c r="BB664" s="7">
        <f>SUMIF(NF!$A:$A,$BA664,NF!$I:$I)</f>
        <v>0</v>
      </c>
      <c r="BC664" s="6"/>
      <c r="BD664" s="6"/>
      <c r="BE664" s="6"/>
      <c r="BF664" s="74"/>
      <c r="BG664" s="74"/>
      <c r="BH664" s="74"/>
      <c r="BI664" s="74"/>
      <c r="BJ664" s="74"/>
      <c r="BK664" s="7">
        <f t="shared" si="878"/>
        <v>0</v>
      </c>
      <c r="BL664" s="8">
        <f t="shared" si="840"/>
        <v>0</v>
      </c>
      <c r="BM664" s="51" t="str">
        <f>IFERROR(VLOOKUP(A664,NF!$M:$O,3,0),"")</f>
        <v>Mercado</v>
      </c>
      <c r="BN664" s="7">
        <f t="shared" si="841"/>
        <v>0</v>
      </c>
      <c r="BO664" s="8">
        <f t="array" ref="BO664">IFERROR(LARGE(IF(NF!$G$2:$G$3137='Mês atual'!A664,NF!$J$2:$J$3137),1),0)*BN664</f>
        <v>0</v>
      </c>
      <c r="BP664" s="50"/>
      <c r="BR664" s="147">
        <f t="array" ref="BR664">IFERROR(LARGE(IF(NF!$G$2:$G$3137='Mês atual'!A664,NF!$J$2:$J$3137),1),0)</f>
        <v>0</v>
      </c>
      <c r="BS664" s="143" t="str">
        <f>VLOOKUP(A664,NF!M:O,3,0)</f>
        <v>Mercado</v>
      </c>
    </row>
    <row r="665" spans="1:71" x14ac:dyDescent="0.25">
      <c r="A665" s="108" t="s">
        <v>277</v>
      </c>
      <c r="B665" s="12"/>
      <c r="C665" s="9"/>
      <c r="D665" s="25"/>
      <c r="E665" s="10" t="str">
        <f t="shared" si="826"/>
        <v>OutubroSEMANA 1Chimichurri</v>
      </c>
      <c r="F665" s="7">
        <f>SUMIF(NF!$A:$A,$E665,NF!$I:$I)</f>
        <v>0.2</v>
      </c>
      <c r="G665" s="6"/>
      <c r="H665" s="6"/>
      <c r="I665" s="6"/>
      <c r="J665" s="6"/>
      <c r="K665" s="6"/>
      <c r="L665" s="6"/>
      <c r="M665" s="6"/>
      <c r="N665" s="7">
        <f t="shared" si="874"/>
        <v>0</v>
      </c>
      <c r="O665" s="11">
        <f t="shared" si="828"/>
        <v>0.2</v>
      </c>
      <c r="P665" s="25"/>
      <c r="Q665" s="10" t="str">
        <f t="shared" si="829"/>
        <v>OutubroSEMANA 2Chimichurri</v>
      </c>
      <c r="R665" s="7">
        <f>SUMIF(NF!$A:$A,$Q665,NF!$I:$I)</f>
        <v>0</v>
      </c>
      <c r="S665" s="6"/>
      <c r="T665" s="6"/>
      <c r="U665" s="6"/>
      <c r="V665" s="6"/>
      <c r="W665" s="6"/>
      <c r="X665" s="6"/>
      <c r="Y665" s="6"/>
      <c r="Z665" s="7">
        <f t="shared" si="875"/>
        <v>0</v>
      </c>
      <c r="AA665" s="11">
        <f t="shared" si="831"/>
        <v>0.2</v>
      </c>
      <c r="AB665" s="25"/>
      <c r="AC665" s="10" t="str">
        <f t="shared" si="832"/>
        <v>OutubroSEMANA 3Chimichurri</v>
      </c>
      <c r="AD665" s="7">
        <f>SUMIF(NF!$A:$A,$AC665,NF!$I:$I)</f>
        <v>0</v>
      </c>
      <c r="AE665" s="6"/>
      <c r="AF665" s="6"/>
      <c r="AG665" s="6"/>
      <c r="AH665" s="6"/>
      <c r="AI665" s="6"/>
      <c r="AJ665" s="6"/>
      <c r="AK665" s="6"/>
      <c r="AL665" s="7">
        <f t="shared" si="876"/>
        <v>0</v>
      </c>
      <c r="AM665" s="11">
        <f t="shared" si="834"/>
        <v>0.2</v>
      </c>
      <c r="AN665" s="25"/>
      <c r="AO665" s="10" t="str">
        <f t="shared" si="835"/>
        <v>OutubroSEMANA 4Chimichurri</v>
      </c>
      <c r="AP665" s="7">
        <f>SUMIF(NF!$A:$A,$AO665,NF!$I:$I)</f>
        <v>0</v>
      </c>
      <c r="AQ665" s="6"/>
      <c r="AR665" s="6"/>
      <c r="AS665" s="6"/>
      <c r="AT665" s="6"/>
      <c r="AU665" s="6"/>
      <c r="AV665" s="6"/>
      <c r="AW665" s="6"/>
      <c r="AX665" s="7">
        <f t="shared" si="877"/>
        <v>0</v>
      </c>
      <c r="AY665" s="11">
        <f t="shared" si="837"/>
        <v>0.2</v>
      </c>
      <c r="AZ665" s="25"/>
      <c r="BA665" s="10" t="str">
        <f t="shared" si="838"/>
        <v>OutubroSEMANA 5Chimichurri</v>
      </c>
      <c r="BB665" s="7">
        <f>SUMIF(NF!$A:$A,$BA665,NF!$I:$I)</f>
        <v>0</v>
      </c>
      <c r="BC665" s="6"/>
      <c r="BD665" s="6"/>
      <c r="BE665" s="6"/>
      <c r="BF665" s="74"/>
      <c r="BG665" s="74"/>
      <c r="BH665" s="74"/>
      <c r="BI665" s="74"/>
      <c r="BJ665" s="74"/>
      <c r="BK665" s="7">
        <f t="shared" si="878"/>
        <v>0</v>
      </c>
      <c r="BL665" s="8">
        <f t="shared" si="840"/>
        <v>0.2</v>
      </c>
      <c r="BM665" s="51" t="str">
        <f>IFERROR(VLOOKUP(A665,NF!$M:$O,3,0),"")</f>
        <v>Mercado</v>
      </c>
      <c r="BN665" s="7">
        <f t="shared" si="841"/>
        <v>0</v>
      </c>
      <c r="BO665" s="8">
        <f t="array" ref="BO665">IFERROR(LARGE(IF(NF!$G$2:$G$3137='Mês atual'!A665,NF!$J$2:$J$3137),1),0)*BN665</f>
        <v>0</v>
      </c>
      <c r="BP665" s="50"/>
      <c r="BR665" s="147">
        <f t="array" ref="BR665">IFERROR(LARGE(IF(NF!$G$2:$G$3137='Mês atual'!A665,NF!$J$2:$J$3137),1),0)</f>
        <v>26.5</v>
      </c>
      <c r="BS665" s="143" t="str">
        <f>VLOOKUP(A665,NF!M:O,3,0)</f>
        <v>Mercado</v>
      </c>
    </row>
    <row r="666" spans="1:71" x14ac:dyDescent="0.25">
      <c r="A666" s="108" t="s">
        <v>933</v>
      </c>
      <c r="B666" s="12"/>
      <c r="C666" s="9"/>
      <c r="D666" s="25"/>
      <c r="E666" s="10" t="str">
        <f t="shared" si="826"/>
        <v>OutubroSEMANA 1Chocolate em Pó Solúvel 200g</v>
      </c>
      <c r="F666" s="7">
        <f>SUMIF(NF!$A:$A,$E666,NF!$I:$I)</f>
        <v>0</v>
      </c>
      <c r="G666" s="6"/>
      <c r="H666" s="6"/>
      <c r="I666" s="6"/>
      <c r="J666" s="6"/>
      <c r="K666" s="6"/>
      <c r="L666" s="6"/>
      <c r="M666" s="6"/>
      <c r="N666" s="7">
        <f t="shared" ref="N666" si="890">SUM(G666:M666)</f>
        <v>0</v>
      </c>
      <c r="O666" s="11">
        <f t="shared" si="828"/>
        <v>0</v>
      </c>
      <c r="P666" s="25"/>
      <c r="Q666" s="10" t="str">
        <f t="shared" si="829"/>
        <v>OutubroSEMANA 2Chocolate em Pó Solúvel 200g</v>
      </c>
      <c r="R666" s="7">
        <f>SUMIF(NF!$A:$A,$Q666,NF!$I:$I)</f>
        <v>0</v>
      </c>
      <c r="S666" s="6"/>
      <c r="T666" s="6"/>
      <c r="U666" s="6"/>
      <c r="V666" s="6"/>
      <c r="W666" s="6"/>
      <c r="X666" s="6"/>
      <c r="Y666" s="6"/>
      <c r="Z666" s="7">
        <f t="shared" ref="Z666" si="891">SUM(S666:Y666)</f>
        <v>0</v>
      </c>
      <c r="AA666" s="11">
        <f t="shared" si="831"/>
        <v>0</v>
      </c>
      <c r="AB666" s="25"/>
      <c r="AC666" s="10" t="str">
        <f t="shared" si="832"/>
        <v>OutubroSEMANA 3Chocolate em Pó Solúvel 200g</v>
      </c>
      <c r="AD666" s="7">
        <f>SUMIF(NF!$A:$A,$AC666,NF!$I:$I)</f>
        <v>1</v>
      </c>
      <c r="AE666" s="6"/>
      <c r="AF666" s="6"/>
      <c r="AG666" s="6"/>
      <c r="AH666" s="6">
        <v>1</v>
      </c>
      <c r="AI666" s="6"/>
      <c r="AJ666" s="6"/>
      <c r="AK666" s="6"/>
      <c r="AL666" s="7">
        <f t="shared" ref="AL666" si="892">SUM(AE666:AK666)</f>
        <v>1</v>
      </c>
      <c r="AM666" s="11">
        <f t="shared" si="834"/>
        <v>0</v>
      </c>
      <c r="AN666" s="25"/>
      <c r="AO666" s="10" t="str">
        <f t="shared" si="835"/>
        <v>OutubroSEMANA 4Chocolate em Pó Solúvel 200g</v>
      </c>
      <c r="AP666" s="7">
        <f>SUMIF(NF!$A:$A,$AO666,NF!$I:$I)</f>
        <v>0</v>
      </c>
      <c r="AQ666" s="6"/>
      <c r="AR666" s="6"/>
      <c r="AS666" s="6"/>
      <c r="AT666" s="6"/>
      <c r="AU666" s="6"/>
      <c r="AV666" s="6"/>
      <c r="AW666" s="6"/>
      <c r="AX666" s="7">
        <f t="shared" ref="AX666" si="893">SUM(AQ666:AW666)</f>
        <v>0</v>
      </c>
      <c r="AY666" s="11">
        <f t="shared" si="837"/>
        <v>0</v>
      </c>
      <c r="AZ666" s="25"/>
      <c r="BA666" s="10" t="str">
        <f t="shared" si="838"/>
        <v>OutubroSEMANA 5Chocolate em Pó Solúvel 200g</v>
      </c>
      <c r="BB666" s="7">
        <f>SUMIF(NF!$A:$A,$BA666,NF!$I:$I)</f>
        <v>0</v>
      </c>
      <c r="BC666" s="6"/>
      <c r="BD666" s="6"/>
      <c r="BE666" s="6"/>
      <c r="BF666" s="74"/>
      <c r="BG666" s="74"/>
      <c r="BH666" s="74"/>
      <c r="BI666" s="74"/>
      <c r="BJ666" s="74"/>
      <c r="BK666" s="7">
        <f t="shared" ref="BK666" si="894">SUM(BC666:BJ666)</f>
        <v>0</v>
      </c>
      <c r="BL666" s="8">
        <f t="shared" si="840"/>
        <v>0</v>
      </c>
      <c r="BM666" s="51" t="str">
        <f>IFERROR(VLOOKUP(A666,NF!$M:$O,3,0),"")</f>
        <v>Mercado</v>
      </c>
      <c r="BN666" s="7">
        <f t="shared" si="841"/>
        <v>1</v>
      </c>
      <c r="BO666" s="8">
        <f t="array" ref="BO666">IFERROR(LARGE(IF(NF!$G$2:$G$3137='Mês atual'!A666,NF!$J$2:$J$3137),1),0)*BN666</f>
        <v>13.5</v>
      </c>
      <c r="BP666" s="50"/>
      <c r="BR666" s="147">
        <f t="array" ref="BR666">IFERROR(LARGE(IF(NF!$G$2:$G$3137='Mês atual'!A666,NF!$J$2:$J$3137),1),0)</f>
        <v>13.5</v>
      </c>
      <c r="BS666" s="143" t="str">
        <f>VLOOKUP(A666,NF!M:O,3,0)</f>
        <v>Mercado</v>
      </c>
    </row>
    <row r="667" spans="1:71" x14ac:dyDescent="0.25">
      <c r="A667" s="108" t="s">
        <v>279</v>
      </c>
      <c r="B667" s="12"/>
      <c r="C667" s="9">
        <v>1</v>
      </c>
      <c r="D667" s="25"/>
      <c r="E667" s="10" t="str">
        <f t="shared" si="826"/>
        <v>OutubroSEMANA 1Chocolate Granulado 1,01 Kg</v>
      </c>
      <c r="F667" s="7">
        <f>SUMIF(NF!$A:$A,$E667,NF!$I:$I)</f>
        <v>0</v>
      </c>
      <c r="G667" s="6"/>
      <c r="H667" s="6"/>
      <c r="I667" s="6"/>
      <c r="J667" s="6"/>
      <c r="K667" s="6"/>
      <c r="L667" s="6"/>
      <c r="M667" s="6"/>
      <c r="N667" s="7">
        <f t="shared" ref="N667:N674" si="895">SUM(G667:M667)</f>
        <v>0</v>
      </c>
      <c r="O667" s="11">
        <f t="shared" si="828"/>
        <v>1</v>
      </c>
      <c r="P667" s="25"/>
      <c r="Q667" s="10" t="str">
        <f t="shared" si="829"/>
        <v>OutubroSEMANA 2Chocolate Granulado 1,01 Kg</v>
      </c>
      <c r="R667" s="7">
        <f>SUMIF(NF!$A:$A,$Q667,NF!$I:$I)</f>
        <v>0</v>
      </c>
      <c r="S667" s="6"/>
      <c r="T667" s="6"/>
      <c r="U667" s="6"/>
      <c r="V667" s="6"/>
      <c r="W667" s="6"/>
      <c r="X667" s="6"/>
      <c r="Y667" s="6"/>
      <c r="Z667" s="7">
        <f t="shared" ref="Z667:Z674" si="896">SUM(S667:Y667)</f>
        <v>0</v>
      </c>
      <c r="AA667" s="11">
        <f t="shared" si="831"/>
        <v>1</v>
      </c>
      <c r="AB667" s="25"/>
      <c r="AC667" s="10" t="str">
        <f t="shared" si="832"/>
        <v>OutubroSEMANA 3Chocolate Granulado 1,01 Kg</v>
      </c>
      <c r="AD667" s="7">
        <f>SUMIF(NF!$A:$A,$AC667,NF!$I:$I)</f>
        <v>0</v>
      </c>
      <c r="AE667" s="6"/>
      <c r="AF667" s="6"/>
      <c r="AG667" s="6"/>
      <c r="AH667" s="6">
        <v>1</v>
      </c>
      <c r="AI667" s="6"/>
      <c r="AJ667" s="6"/>
      <c r="AK667" s="6"/>
      <c r="AL667" s="7">
        <f t="shared" ref="AL667:AL674" si="897">SUM(AE667:AK667)</f>
        <v>1</v>
      </c>
      <c r="AM667" s="11">
        <f t="shared" si="834"/>
        <v>0</v>
      </c>
      <c r="AN667" s="25"/>
      <c r="AO667" s="10" t="str">
        <f t="shared" si="835"/>
        <v>OutubroSEMANA 4Chocolate Granulado 1,01 Kg</v>
      </c>
      <c r="AP667" s="7">
        <f>SUMIF(NF!$A:$A,$AO667,NF!$I:$I)</f>
        <v>1</v>
      </c>
      <c r="AQ667" s="6"/>
      <c r="AR667" s="6"/>
      <c r="AS667" s="6"/>
      <c r="AT667" s="6"/>
      <c r="AU667" s="6"/>
      <c r="AV667" s="6"/>
      <c r="AW667" s="6"/>
      <c r="AX667" s="7">
        <f t="shared" ref="AX667:AX674" si="898">SUM(AQ667:AW667)</f>
        <v>0</v>
      </c>
      <c r="AY667" s="11">
        <f t="shared" si="837"/>
        <v>1</v>
      </c>
      <c r="AZ667" s="25"/>
      <c r="BA667" s="10" t="str">
        <f t="shared" si="838"/>
        <v>OutubroSEMANA 5Chocolate Granulado 1,01 Kg</v>
      </c>
      <c r="BB667" s="7">
        <f>SUMIF(NF!$A:$A,$BA667,NF!$I:$I)</f>
        <v>0</v>
      </c>
      <c r="BC667" s="6"/>
      <c r="BD667" s="6"/>
      <c r="BE667" s="6"/>
      <c r="BF667" s="74"/>
      <c r="BG667" s="74"/>
      <c r="BH667" s="74"/>
      <c r="BI667" s="74"/>
      <c r="BJ667" s="74"/>
      <c r="BK667" s="7">
        <f t="shared" ref="BK667:BK674" si="899">SUM(BC667:BJ667)</f>
        <v>0</v>
      </c>
      <c r="BL667" s="8">
        <f t="shared" si="840"/>
        <v>1</v>
      </c>
      <c r="BM667" s="51" t="str">
        <f>IFERROR(VLOOKUP(A667,NF!$M:$O,3,0),"")</f>
        <v>Mercado</v>
      </c>
      <c r="BN667" s="7">
        <f t="shared" si="841"/>
        <v>1</v>
      </c>
      <c r="BO667" s="8">
        <f t="array" ref="BO667">IFERROR(LARGE(IF(NF!$G$2:$G$3137='Mês atual'!A667,NF!$J$2:$J$3137),1),0)*BN667</f>
        <v>9.44</v>
      </c>
      <c r="BP667" s="50"/>
      <c r="BR667" s="147">
        <f t="array" ref="BR667">IFERROR(LARGE(IF(NF!$G$2:$G$3137='Mês atual'!A667,NF!$J$2:$J$3137),1),0)</f>
        <v>9.44</v>
      </c>
      <c r="BS667" s="143" t="str">
        <f>VLOOKUP(A667,NF!M:O,3,0)</f>
        <v>Mercado</v>
      </c>
    </row>
    <row r="668" spans="1:71" x14ac:dyDescent="0.25">
      <c r="A668" s="108" t="s">
        <v>282</v>
      </c>
      <c r="B668" s="12"/>
      <c r="C668" s="9">
        <v>9.5399999999999991</v>
      </c>
      <c r="D668" s="25"/>
      <c r="E668" s="10" t="str">
        <f t="shared" si="826"/>
        <v>OutubroSEMANA 1Clara de Ovo</v>
      </c>
      <c r="F668" s="7">
        <f>SUMIF(NF!$A:$A,$E668,NF!$I:$I)</f>
        <v>7.73</v>
      </c>
      <c r="G668" s="6"/>
      <c r="H668" s="6">
        <v>9.5399999999999991</v>
      </c>
      <c r="I668" s="6"/>
      <c r="J668" s="6"/>
      <c r="K668" s="6"/>
      <c r="L668" s="6"/>
      <c r="M668" s="6"/>
      <c r="N668" s="7">
        <f t="shared" si="895"/>
        <v>9.5399999999999991</v>
      </c>
      <c r="O668" s="11">
        <f t="shared" si="828"/>
        <v>7.73</v>
      </c>
      <c r="P668" s="25"/>
      <c r="Q668" s="10" t="str">
        <f t="shared" si="829"/>
        <v>OutubroSEMANA 2Clara de Ovo</v>
      </c>
      <c r="R668" s="7">
        <f>SUMIF(NF!$A:$A,$Q668,NF!$I:$I)</f>
        <v>7.57</v>
      </c>
      <c r="S668" s="6"/>
      <c r="T668" s="6">
        <v>7.73</v>
      </c>
      <c r="U668" s="6"/>
      <c r="V668" s="6"/>
      <c r="W668" s="6"/>
      <c r="X668" s="6"/>
      <c r="Y668" s="6"/>
      <c r="Z668" s="7">
        <f t="shared" si="896"/>
        <v>7.73</v>
      </c>
      <c r="AA668" s="11">
        <f t="shared" si="831"/>
        <v>7.57</v>
      </c>
      <c r="AB668" s="25"/>
      <c r="AC668" s="10" t="str">
        <f t="shared" si="832"/>
        <v>OutubroSEMANA 3Clara de Ovo</v>
      </c>
      <c r="AD668" s="7">
        <f>SUMIF(NF!$A:$A,$AC668,NF!$I:$I)</f>
        <v>13.9</v>
      </c>
      <c r="AE668" s="6"/>
      <c r="AF668" s="6">
        <v>7.57</v>
      </c>
      <c r="AG668" s="6"/>
      <c r="AH668" s="6"/>
      <c r="AI668" s="6"/>
      <c r="AJ668" s="6"/>
      <c r="AK668" s="6"/>
      <c r="AL668" s="7">
        <f t="shared" si="897"/>
        <v>7.57</v>
      </c>
      <c r="AM668" s="11">
        <f t="shared" si="834"/>
        <v>13.899999999999999</v>
      </c>
      <c r="AN668" s="25"/>
      <c r="AO668" s="10" t="str">
        <f t="shared" si="835"/>
        <v>OutubroSEMANA 4Clara de Ovo</v>
      </c>
      <c r="AP668" s="7">
        <f>SUMIF(NF!$A:$A,$AO668,NF!$I:$I)</f>
        <v>10.88</v>
      </c>
      <c r="AQ668" s="6">
        <v>6.95</v>
      </c>
      <c r="AR668" s="6">
        <v>6.95</v>
      </c>
      <c r="AS668" s="6"/>
      <c r="AT668" s="6"/>
      <c r="AU668" s="6"/>
      <c r="AV668" s="6"/>
      <c r="AW668" s="6"/>
      <c r="AX668" s="7">
        <f t="shared" si="898"/>
        <v>13.9</v>
      </c>
      <c r="AY668" s="11">
        <f t="shared" si="837"/>
        <v>10.88</v>
      </c>
      <c r="AZ668" s="25"/>
      <c r="BA668" s="10" t="str">
        <f t="shared" si="838"/>
        <v>OutubroSEMANA 5Clara de Ovo</v>
      </c>
      <c r="BB668" s="7">
        <f>SUMIF(NF!$A:$A,$BA668,NF!$I:$I)</f>
        <v>0</v>
      </c>
      <c r="BC668" s="6"/>
      <c r="BD668" s="6"/>
      <c r="BE668" s="6"/>
      <c r="BF668" s="74"/>
      <c r="BG668" s="74"/>
      <c r="BH668" s="74"/>
      <c r="BI668" s="74"/>
      <c r="BJ668" s="74"/>
      <c r="BK668" s="7">
        <f t="shared" si="899"/>
        <v>0</v>
      </c>
      <c r="BL668" s="8">
        <f t="shared" si="840"/>
        <v>10.88</v>
      </c>
      <c r="BM668" s="51" t="str">
        <f>IFERROR(VLOOKUP(A668,NF!$M:$O,3,0),"")</f>
        <v>Mercado</v>
      </c>
      <c r="BN668" s="7">
        <f t="shared" si="841"/>
        <v>38.74</v>
      </c>
      <c r="BO668" s="8">
        <f t="array" ref="BO668">IFERROR(LARGE(IF(NF!$G$2:$G$3137='Mês atual'!A668,NF!$J$2:$J$3137),1),0)*BN668</f>
        <v>278.70503597122303</v>
      </c>
      <c r="BP668" s="50"/>
      <c r="BR668" s="147">
        <f t="array" ref="BR668">IFERROR(LARGE(IF(NF!$G$2:$G$3137='Mês atual'!A668,NF!$J$2:$J$3137),1),0)</f>
        <v>7.1942446043165464</v>
      </c>
      <c r="BS668" s="143" t="str">
        <f>VLOOKUP(A668,NF!M:O,3,0)</f>
        <v>Mercado</v>
      </c>
    </row>
    <row r="669" spans="1:71" x14ac:dyDescent="0.25">
      <c r="A669" s="108" t="s">
        <v>291</v>
      </c>
      <c r="B669" s="12"/>
      <c r="C669" s="9">
        <v>1</v>
      </c>
      <c r="D669" s="25"/>
      <c r="E669" s="10" t="str">
        <f t="shared" ref="E669:E737" si="900">CONCATENATE($C$2,$F$1,$A669)</f>
        <v>OutubroSEMANA 1Cogumelo Fatiado Bd 2 Kg</v>
      </c>
      <c r="F669" s="7">
        <f>SUMIF(NF!$A:$A,$E669,NF!$I:$I)</f>
        <v>0</v>
      </c>
      <c r="G669" s="6"/>
      <c r="H669" s="6"/>
      <c r="I669" s="6"/>
      <c r="J669" s="6"/>
      <c r="K669" s="6"/>
      <c r="L669" s="6"/>
      <c r="M669" s="6"/>
      <c r="N669" s="7">
        <f t="shared" si="895"/>
        <v>0</v>
      </c>
      <c r="O669" s="11">
        <f t="shared" si="828"/>
        <v>1</v>
      </c>
      <c r="P669" s="25"/>
      <c r="Q669" s="10" t="str">
        <f t="shared" ref="Q669:Q737" si="901">CONCATENATE($C$2,$R$1,$A669)</f>
        <v>OutubroSEMANA 2Cogumelo Fatiado Bd 2 Kg</v>
      </c>
      <c r="R669" s="7">
        <f>SUMIF(NF!$A:$A,$Q669,NF!$I:$I)</f>
        <v>1</v>
      </c>
      <c r="S669" s="6"/>
      <c r="T669" s="6"/>
      <c r="U669" s="6"/>
      <c r="V669" s="6"/>
      <c r="W669" s="6"/>
      <c r="X669" s="6"/>
      <c r="Y669" s="6"/>
      <c r="Z669" s="7">
        <f t="shared" si="896"/>
        <v>0</v>
      </c>
      <c r="AA669" s="11">
        <f t="shared" si="831"/>
        <v>2</v>
      </c>
      <c r="AB669" s="25"/>
      <c r="AC669" s="10" t="str">
        <f t="shared" ref="AC669:AC737" si="902">CONCATENATE($C$2,$AD$1,$A669)</f>
        <v>OutubroSEMANA 3Cogumelo Fatiado Bd 2 Kg</v>
      </c>
      <c r="AD669" s="7">
        <f>SUMIF(NF!$A:$A,$AC669,NF!$I:$I)</f>
        <v>0</v>
      </c>
      <c r="AE669" s="6"/>
      <c r="AF669" s="6"/>
      <c r="AG669" s="6">
        <v>1</v>
      </c>
      <c r="AH669" s="6"/>
      <c r="AI669" s="6"/>
      <c r="AJ669" s="6"/>
      <c r="AK669" s="6"/>
      <c r="AL669" s="7">
        <f t="shared" si="897"/>
        <v>1</v>
      </c>
      <c r="AM669" s="11">
        <f t="shared" si="834"/>
        <v>1</v>
      </c>
      <c r="AN669" s="25"/>
      <c r="AO669" s="10" t="str">
        <f t="shared" ref="AO669:AO737" si="903">CONCATENATE($C$2,$AP$1,$A669)</f>
        <v>OutubroSEMANA 4Cogumelo Fatiado Bd 2 Kg</v>
      </c>
      <c r="AP669" s="7">
        <f>SUMIF(NF!$A:$A,$AO669,NF!$I:$I)</f>
        <v>0</v>
      </c>
      <c r="AQ669" s="6"/>
      <c r="AR669" s="6"/>
      <c r="AS669" s="6"/>
      <c r="AT669" s="6"/>
      <c r="AU669" s="6"/>
      <c r="AV669" s="6"/>
      <c r="AW669" s="6"/>
      <c r="AX669" s="7">
        <f t="shared" si="898"/>
        <v>0</v>
      </c>
      <c r="AY669" s="11">
        <f t="shared" si="837"/>
        <v>1</v>
      </c>
      <c r="AZ669" s="25"/>
      <c r="BA669" s="10" t="str">
        <f t="shared" ref="BA669:BA737" si="904">CONCATENATE($C$2,$BB$1,$A669)</f>
        <v>OutubroSEMANA 5Cogumelo Fatiado Bd 2 Kg</v>
      </c>
      <c r="BB669" s="7">
        <f>SUMIF(NF!$A:$A,$BA669,NF!$I:$I)</f>
        <v>1</v>
      </c>
      <c r="BC669" s="6"/>
      <c r="BD669" s="6">
        <v>1</v>
      </c>
      <c r="BE669" s="6"/>
      <c r="BF669" s="74"/>
      <c r="BG669" s="74"/>
      <c r="BH669" s="74"/>
      <c r="BI669" s="74"/>
      <c r="BJ669" s="74"/>
      <c r="BK669" s="7">
        <f t="shared" si="899"/>
        <v>1</v>
      </c>
      <c r="BL669" s="8">
        <f t="shared" si="840"/>
        <v>1</v>
      </c>
      <c r="BM669" s="51" t="str">
        <f>IFERROR(VLOOKUP(A669,NF!$M:$O,3,0),"")</f>
        <v>Mercado</v>
      </c>
      <c r="BN669" s="7">
        <f t="shared" si="841"/>
        <v>2</v>
      </c>
      <c r="BO669" s="8">
        <f t="array" ref="BO669">IFERROR(LARGE(IF(NF!$G$2:$G$3137='Mês atual'!A669,NF!$J$2:$J$3137),1),0)*BN669</f>
        <v>74</v>
      </c>
      <c r="BP669" s="50"/>
      <c r="BR669" s="147">
        <f t="array" ref="BR669">IFERROR(LARGE(IF(NF!$G$2:$G$3137='Mês atual'!A669,NF!$J$2:$J$3137),1),0)</f>
        <v>37</v>
      </c>
      <c r="BS669" s="143" t="str">
        <f>VLOOKUP(A669,NF!M:O,3,0)</f>
        <v>Mercado</v>
      </c>
    </row>
    <row r="670" spans="1:71" x14ac:dyDescent="0.25">
      <c r="A670" s="108" t="s">
        <v>292</v>
      </c>
      <c r="B670" s="12"/>
      <c r="C670" s="9">
        <v>5</v>
      </c>
      <c r="D670" s="25"/>
      <c r="E670" s="10" t="str">
        <f t="shared" si="900"/>
        <v>OutubroSEMANA 1Cogumelo Paris</v>
      </c>
      <c r="F670" s="7">
        <f>SUMIF(NF!$A:$A,$E670,NF!$I:$I)</f>
        <v>5</v>
      </c>
      <c r="G670" s="6"/>
      <c r="H670" s="6"/>
      <c r="I670" s="6">
        <v>1</v>
      </c>
      <c r="J670" s="6"/>
      <c r="K670" s="6">
        <v>1</v>
      </c>
      <c r="L670" s="6"/>
      <c r="M670" s="6"/>
      <c r="N670" s="7">
        <f t="shared" si="895"/>
        <v>2</v>
      </c>
      <c r="O670" s="11">
        <f t="shared" si="828"/>
        <v>8</v>
      </c>
      <c r="P670" s="25"/>
      <c r="Q670" s="10" t="str">
        <f t="shared" si="901"/>
        <v>OutubroSEMANA 2Cogumelo Paris</v>
      </c>
      <c r="R670" s="7">
        <f>SUMIF(NF!$A:$A,$Q670,NF!$I:$I)</f>
        <v>5</v>
      </c>
      <c r="S670" s="6">
        <v>4.5</v>
      </c>
      <c r="T670" s="6"/>
      <c r="U670" s="6">
        <v>1</v>
      </c>
      <c r="V670" s="6">
        <v>2</v>
      </c>
      <c r="W670" s="6"/>
      <c r="X670" s="6"/>
      <c r="Y670" s="6">
        <v>1</v>
      </c>
      <c r="Z670" s="7">
        <f t="shared" si="896"/>
        <v>8.5</v>
      </c>
      <c r="AA670" s="11">
        <f t="shared" si="831"/>
        <v>4.5</v>
      </c>
      <c r="AB670" s="25"/>
      <c r="AC670" s="10" t="str">
        <f t="shared" si="902"/>
        <v>OutubroSEMANA 3Cogumelo Paris</v>
      </c>
      <c r="AD670" s="7">
        <f>SUMIF(NF!$A:$A,$AC670,NF!$I:$I)</f>
        <v>6</v>
      </c>
      <c r="AE670" s="6">
        <v>1.5</v>
      </c>
      <c r="AF670" s="6"/>
      <c r="AG670" s="6"/>
      <c r="AH670" s="6"/>
      <c r="AI670" s="6"/>
      <c r="AJ670" s="6"/>
      <c r="AK670" s="6">
        <v>3</v>
      </c>
      <c r="AL670" s="7">
        <f t="shared" si="897"/>
        <v>4.5</v>
      </c>
      <c r="AM670" s="11">
        <f t="shared" si="834"/>
        <v>6</v>
      </c>
      <c r="AN670" s="25"/>
      <c r="AO670" s="10" t="str">
        <f t="shared" si="903"/>
        <v>OutubroSEMANA 4Cogumelo Paris</v>
      </c>
      <c r="AP670" s="7">
        <f>SUMIF(NF!$A:$A,$AO670,NF!$I:$I)</f>
        <v>6</v>
      </c>
      <c r="AQ670" s="6">
        <v>1.5</v>
      </c>
      <c r="AR670" s="6">
        <v>2</v>
      </c>
      <c r="AS670" s="6"/>
      <c r="AT670" s="6">
        <v>1</v>
      </c>
      <c r="AU670" s="6">
        <v>0.5</v>
      </c>
      <c r="AV670" s="6"/>
      <c r="AW670" s="6"/>
      <c r="AX670" s="7">
        <f t="shared" si="898"/>
        <v>5</v>
      </c>
      <c r="AY670" s="11">
        <f t="shared" si="837"/>
        <v>7</v>
      </c>
      <c r="AZ670" s="25"/>
      <c r="BA670" s="10" t="str">
        <f t="shared" si="904"/>
        <v>OutubroSEMANA 5Cogumelo Paris</v>
      </c>
      <c r="BB670" s="7">
        <f>SUMIF(NF!$A:$A,$BA670,NF!$I:$I)</f>
        <v>4</v>
      </c>
      <c r="BC670" s="6">
        <v>1.5</v>
      </c>
      <c r="BD670" s="6">
        <v>2</v>
      </c>
      <c r="BE670" s="6">
        <v>1.5</v>
      </c>
      <c r="BF670" s="74"/>
      <c r="BG670" s="74"/>
      <c r="BH670" s="74"/>
      <c r="BI670" s="74"/>
      <c r="BJ670" s="74"/>
      <c r="BK670" s="7">
        <f t="shared" si="899"/>
        <v>5</v>
      </c>
      <c r="BL670" s="8">
        <f t="shared" si="840"/>
        <v>6</v>
      </c>
      <c r="BM670" s="51" t="str">
        <f>IFERROR(VLOOKUP(A670,NF!$M:$O,3,0),"")</f>
        <v>Mercado</v>
      </c>
      <c r="BN670" s="7">
        <f t="shared" si="841"/>
        <v>25</v>
      </c>
      <c r="BO670" s="8">
        <f t="array" ref="BO670">IFERROR(LARGE(IF(NF!$G$2:$G$3137='Mês atual'!A670,NF!$J$2:$J$3137),1),0)*BN670</f>
        <v>387.5</v>
      </c>
      <c r="BP670" s="50"/>
      <c r="BR670" s="147">
        <f t="array" ref="BR670">IFERROR(LARGE(IF(NF!$G$2:$G$3137='Mês atual'!A670,NF!$J$2:$J$3137),1),0)</f>
        <v>15.5</v>
      </c>
      <c r="BS670" s="143" t="str">
        <f>VLOOKUP(A670,NF!M:O,3,0)</f>
        <v>Mercado</v>
      </c>
    </row>
    <row r="671" spans="1:71" x14ac:dyDescent="0.25">
      <c r="A671" s="108" t="s">
        <v>293</v>
      </c>
      <c r="B671" s="12"/>
      <c r="C671" s="9"/>
      <c r="D671" s="25"/>
      <c r="E671" s="10" t="str">
        <f t="shared" si="900"/>
        <v>OutubroSEMANA 1Cogumelo Portobello</v>
      </c>
      <c r="F671" s="7">
        <f>SUMIF(NF!$A:$A,$E671,NF!$I:$I)</f>
        <v>0</v>
      </c>
      <c r="G671" s="6"/>
      <c r="H671" s="6"/>
      <c r="I671" s="6"/>
      <c r="J671" s="6"/>
      <c r="K671" s="6"/>
      <c r="L671" s="6"/>
      <c r="M671" s="6"/>
      <c r="N671" s="7">
        <f t="shared" si="895"/>
        <v>0</v>
      </c>
      <c r="O671" s="11">
        <f t="shared" si="828"/>
        <v>0</v>
      </c>
      <c r="P671" s="25"/>
      <c r="Q671" s="10" t="str">
        <f t="shared" si="901"/>
        <v>OutubroSEMANA 2Cogumelo Portobello</v>
      </c>
      <c r="R671" s="7">
        <f>SUMIF(NF!$A:$A,$Q671,NF!$I:$I)</f>
        <v>0</v>
      </c>
      <c r="S671" s="6"/>
      <c r="T671" s="6"/>
      <c r="U671" s="6"/>
      <c r="V671" s="6"/>
      <c r="W671" s="6"/>
      <c r="X671" s="6"/>
      <c r="Y671" s="6"/>
      <c r="Z671" s="7">
        <f t="shared" si="896"/>
        <v>0</v>
      </c>
      <c r="AA671" s="11">
        <f t="shared" si="831"/>
        <v>0</v>
      </c>
      <c r="AB671" s="25"/>
      <c r="AC671" s="10" t="str">
        <f t="shared" si="902"/>
        <v>OutubroSEMANA 3Cogumelo Portobello</v>
      </c>
      <c r="AD671" s="7">
        <f>SUMIF(NF!$A:$A,$AC671,NF!$I:$I)</f>
        <v>0</v>
      </c>
      <c r="AE671" s="6"/>
      <c r="AF671" s="6"/>
      <c r="AG671" s="6"/>
      <c r="AH671" s="6"/>
      <c r="AI671" s="6"/>
      <c r="AJ671" s="6"/>
      <c r="AK671" s="6"/>
      <c r="AL671" s="7">
        <f t="shared" si="897"/>
        <v>0</v>
      </c>
      <c r="AM671" s="11">
        <f t="shared" si="834"/>
        <v>0</v>
      </c>
      <c r="AN671" s="25"/>
      <c r="AO671" s="10" t="str">
        <f t="shared" si="903"/>
        <v>OutubroSEMANA 4Cogumelo Portobello</v>
      </c>
      <c r="AP671" s="7">
        <f>SUMIF(NF!$A:$A,$AO671,NF!$I:$I)</f>
        <v>0</v>
      </c>
      <c r="AQ671" s="6"/>
      <c r="AR671" s="6"/>
      <c r="AS671" s="6"/>
      <c r="AT671" s="6"/>
      <c r="AU671" s="6"/>
      <c r="AV671" s="6"/>
      <c r="AW671" s="6"/>
      <c r="AX671" s="7">
        <f t="shared" si="898"/>
        <v>0</v>
      </c>
      <c r="AY671" s="11">
        <f t="shared" si="837"/>
        <v>0</v>
      </c>
      <c r="AZ671" s="25"/>
      <c r="BA671" s="10" t="str">
        <f t="shared" si="904"/>
        <v>OutubroSEMANA 5Cogumelo Portobello</v>
      </c>
      <c r="BB671" s="7">
        <f>SUMIF(NF!$A:$A,$BA671,NF!$I:$I)</f>
        <v>0</v>
      </c>
      <c r="BC671" s="6"/>
      <c r="BD671" s="6"/>
      <c r="BE671" s="6"/>
      <c r="BF671" s="74"/>
      <c r="BG671" s="74"/>
      <c r="BH671" s="74"/>
      <c r="BI671" s="74"/>
      <c r="BJ671" s="74"/>
      <c r="BK671" s="7">
        <f t="shared" si="899"/>
        <v>0</v>
      </c>
      <c r="BL671" s="8">
        <f t="shared" si="840"/>
        <v>0</v>
      </c>
      <c r="BM671" s="51" t="str">
        <f>IFERROR(VLOOKUP(A671,NF!$M:$O,3,0),"")</f>
        <v>Mercado</v>
      </c>
      <c r="BN671" s="7">
        <f t="shared" si="841"/>
        <v>0</v>
      </c>
      <c r="BO671" s="8">
        <f t="array" ref="BO671">IFERROR(LARGE(IF(NF!$G$2:$G$3137='Mês atual'!A671,NF!$J$2:$J$3137),1),0)*BN671</f>
        <v>0</v>
      </c>
      <c r="BP671" s="50"/>
      <c r="BR671" s="147">
        <f t="array" ref="BR671">IFERROR(LARGE(IF(NF!$G$2:$G$3137='Mês atual'!A671,NF!$J$2:$J$3137),1),0)</f>
        <v>0</v>
      </c>
      <c r="BS671" s="143" t="str">
        <f>VLOOKUP(A671,NF!M:O,3,0)</f>
        <v>Mercado</v>
      </c>
    </row>
    <row r="672" spans="1:71" x14ac:dyDescent="0.25">
      <c r="A672" s="108" t="s">
        <v>295</v>
      </c>
      <c r="B672" s="12"/>
      <c r="C672" s="9">
        <v>0.6</v>
      </c>
      <c r="D672" s="25"/>
      <c r="E672" s="10" t="str">
        <f t="shared" si="900"/>
        <v>OutubroSEMANA 1Coloral</v>
      </c>
      <c r="F672" s="7">
        <f>SUMIF(NF!$A:$A,$E672,NF!$I:$I)</f>
        <v>0.3</v>
      </c>
      <c r="G672" s="6">
        <v>0.3</v>
      </c>
      <c r="H672" s="6"/>
      <c r="I672" s="6"/>
      <c r="J672" s="6"/>
      <c r="K672" s="6"/>
      <c r="L672" s="6"/>
      <c r="M672" s="6"/>
      <c r="N672" s="7">
        <f t="shared" si="895"/>
        <v>0.3</v>
      </c>
      <c r="O672" s="11">
        <f t="shared" si="828"/>
        <v>0.59999999999999987</v>
      </c>
      <c r="P672" s="25"/>
      <c r="Q672" s="10" t="str">
        <f t="shared" si="901"/>
        <v>OutubroSEMANA 2Coloral</v>
      </c>
      <c r="R672" s="7">
        <f>SUMIF(NF!$A:$A,$Q672,NF!$I:$I)</f>
        <v>0.3</v>
      </c>
      <c r="S672" s="6">
        <v>0.3</v>
      </c>
      <c r="T672" s="6"/>
      <c r="U672" s="6"/>
      <c r="V672" s="6"/>
      <c r="W672" s="6"/>
      <c r="X672" s="6">
        <v>0.30499999999999999</v>
      </c>
      <c r="Y672" s="6"/>
      <c r="Z672" s="7">
        <f t="shared" si="896"/>
        <v>0.60499999999999998</v>
      </c>
      <c r="AA672" s="11">
        <f t="shared" si="831"/>
        <v>0.29499999999999993</v>
      </c>
      <c r="AB672" s="25"/>
      <c r="AC672" s="10" t="str">
        <f t="shared" si="902"/>
        <v>OutubroSEMANA 3Coloral</v>
      </c>
      <c r="AD672" s="7">
        <f>SUMIF(NF!$A:$A,$AC672,NF!$I:$I)</f>
        <v>0.3</v>
      </c>
      <c r="AE672" s="6"/>
      <c r="AF672" s="6"/>
      <c r="AG672" s="6"/>
      <c r="AH672" s="6"/>
      <c r="AI672" s="6"/>
      <c r="AJ672" s="6"/>
      <c r="AK672" s="6">
        <v>0.3</v>
      </c>
      <c r="AL672" s="7">
        <f t="shared" si="897"/>
        <v>0.3</v>
      </c>
      <c r="AM672" s="11">
        <f t="shared" si="834"/>
        <v>0.29499999999999998</v>
      </c>
      <c r="AN672" s="25"/>
      <c r="AO672" s="10" t="str">
        <f t="shared" si="903"/>
        <v>OutubroSEMANA 4Coloral</v>
      </c>
      <c r="AP672" s="7">
        <f>SUMIF(NF!$A:$A,$AO672,NF!$I:$I)</f>
        <v>0.3</v>
      </c>
      <c r="AQ672" s="6"/>
      <c r="AR672" s="6"/>
      <c r="AS672" s="6"/>
      <c r="AT672" s="6">
        <v>0.29499999999999998</v>
      </c>
      <c r="AU672" s="6"/>
      <c r="AV672" s="6"/>
      <c r="AW672" s="6"/>
      <c r="AX672" s="7">
        <f t="shared" si="898"/>
        <v>0.29499999999999998</v>
      </c>
      <c r="AY672" s="11">
        <f t="shared" si="837"/>
        <v>0.3</v>
      </c>
      <c r="AZ672" s="25"/>
      <c r="BA672" s="10" t="str">
        <f t="shared" si="904"/>
        <v>OutubroSEMANA 5Coloral</v>
      </c>
      <c r="BB672" s="7">
        <f>SUMIF(NF!$A:$A,$BA672,NF!$I:$I)</f>
        <v>0</v>
      </c>
      <c r="BC672" s="6"/>
      <c r="BD672" s="6"/>
      <c r="BE672" s="6"/>
      <c r="BF672" s="74"/>
      <c r="BG672" s="74"/>
      <c r="BH672" s="74"/>
      <c r="BI672" s="74"/>
      <c r="BJ672" s="74"/>
      <c r="BK672" s="7">
        <f t="shared" si="899"/>
        <v>0</v>
      </c>
      <c r="BL672" s="8">
        <f t="shared" si="840"/>
        <v>0.3</v>
      </c>
      <c r="BM672" s="51" t="str">
        <f>IFERROR(VLOOKUP(A672,NF!$M:$O,3,0),"")</f>
        <v>Mercado</v>
      </c>
      <c r="BN672" s="7">
        <f t="shared" si="841"/>
        <v>1.5</v>
      </c>
      <c r="BO672" s="8">
        <f t="array" ref="BO672">IFERROR(LARGE(IF(NF!$G$2:$G$3137='Mês atual'!A672,NF!$J$2:$J$3137),1),0)*BN672</f>
        <v>8.25</v>
      </c>
      <c r="BP672" s="50"/>
      <c r="BR672" s="147">
        <f t="array" ref="BR672">IFERROR(LARGE(IF(NF!$G$2:$G$3137='Mês atual'!A672,NF!$J$2:$J$3137),1),0)</f>
        <v>5.5</v>
      </c>
      <c r="BS672" s="143" t="str">
        <f>VLOOKUP(A672,NF!M:O,3,0)</f>
        <v>Mercado</v>
      </c>
    </row>
    <row r="673" spans="1:71" x14ac:dyDescent="0.25">
      <c r="A673" s="108" t="s">
        <v>296</v>
      </c>
      <c r="B673" s="12"/>
      <c r="C673" s="9"/>
      <c r="D673" s="25"/>
      <c r="E673" s="10" t="str">
        <f t="shared" si="900"/>
        <v>OutubroSEMANA 1Conchile de Frango Fresco</v>
      </c>
      <c r="F673" s="7">
        <f>SUMIF(NF!$A:$A,$E673,NF!$I:$I)</f>
        <v>0</v>
      </c>
      <c r="G673" s="6"/>
      <c r="H673" s="6"/>
      <c r="I673" s="6"/>
      <c r="J673" s="6"/>
      <c r="K673" s="6"/>
      <c r="L673" s="6"/>
      <c r="M673" s="6"/>
      <c r="N673" s="7">
        <f t="shared" si="895"/>
        <v>0</v>
      </c>
      <c r="O673" s="11">
        <f t="shared" si="828"/>
        <v>0</v>
      </c>
      <c r="P673" s="25"/>
      <c r="Q673" s="10" t="str">
        <f t="shared" si="901"/>
        <v>OutubroSEMANA 2Conchile de Frango Fresco</v>
      </c>
      <c r="R673" s="7">
        <f>SUMIF(NF!$A:$A,$Q673,NF!$I:$I)</f>
        <v>0</v>
      </c>
      <c r="S673" s="6"/>
      <c r="T673" s="6"/>
      <c r="U673" s="6"/>
      <c r="V673" s="6"/>
      <c r="W673" s="6"/>
      <c r="X673" s="6"/>
      <c r="Y673" s="6"/>
      <c r="Z673" s="7">
        <f t="shared" si="896"/>
        <v>0</v>
      </c>
      <c r="AA673" s="11">
        <f t="shared" si="831"/>
        <v>0</v>
      </c>
      <c r="AB673" s="25"/>
      <c r="AC673" s="10" t="str">
        <f t="shared" si="902"/>
        <v>OutubroSEMANA 3Conchile de Frango Fresco</v>
      </c>
      <c r="AD673" s="7">
        <f>SUMIF(NF!$A:$A,$AC673,NF!$I:$I)</f>
        <v>0</v>
      </c>
      <c r="AE673" s="6"/>
      <c r="AF673" s="6"/>
      <c r="AG673" s="6"/>
      <c r="AH673" s="6"/>
      <c r="AI673" s="6"/>
      <c r="AJ673" s="6"/>
      <c r="AK673" s="6"/>
      <c r="AL673" s="7">
        <f t="shared" si="897"/>
        <v>0</v>
      </c>
      <c r="AM673" s="11">
        <f t="shared" si="834"/>
        <v>0</v>
      </c>
      <c r="AN673" s="25"/>
      <c r="AO673" s="10" t="str">
        <f t="shared" si="903"/>
        <v>OutubroSEMANA 4Conchile de Frango Fresco</v>
      </c>
      <c r="AP673" s="7">
        <f>SUMIF(NF!$A:$A,$AO673,NF!$I:$I)</f>
        <v>0</v>
      </c>
      <c r="AQ673" s="6"/>
      <c r="AR673" s="6"/>
      <c r="AS673" s="6"/>
      <c r="AT673" s="6"/>
      <c r="AU673" s="6"/>
      <c r="AV673" s="6"/>
      <c r="AW673" s="6"/>
      <c r="AX673" s="7">
        <f t="shared" si="898"/>
        <v>0</v>
      </c>
      <c r="AY673" s="11">
        <f t="shared" si="837"/>
        <v>0</v>
      </c>
      <c r="AZ673" s="25"/>
      <c r="BA673" s="10" t="str">
        <f t="shared" si="904"/>
        <v>OutubroSEMANA 5Conchile de Frango Fresco</v>
      </c>
      <c r="BB673" s="7">
        <f>SUMIF(NF!$A:$A,$BA673,NF!$I:$I)</f>
        <v>0</v>
      </c>
      <c r="BC673" s="6"/>
      <c r="BD673" s="6"/>
      <c r="BE673" s="6"/>
      <c r="BF673" s="74"/>
      <c r="BG673" s="74"/>
      <c r="BH673" s="74"/>
      <c r="BI673" s="74"/>
      <c r="BJ673" s="74"/>
      <c r="BK673" s="7">
        <f t="shared" si="899"/>
        <v>0</v>
      </c>
      <c r="BL673" s="8">
        <f t="shared" si="840"/>
        <v>0</v>
      </c>
      <c r="BM673" s="51" t="str">
        <f>IFERROR(VLOOKUP(A673,NF!$M:$O,3,0),"")</f>
        <v>Mercado</v>
      </c>
      <c r="BN673" s="7">
        <f t="shared" si="841"/>
        <v>0</v>
      </c>
      <c r="BO673" s="8">
        <f t="array" ref="BO673">IFERROR(LARGE(IF(NF!$G$2:$G$3137='Mês atual'!A673,NF!$J$2:$J$3137),1),0)*BN673</f>
        <v>0</v>
      </c>
      <c r="BP673" s="50"/>
      <c r="BR673" s="147">
        <f t="array" ref="BR673">IFERROR(LARGE(IF(NF!$G$2:$G$3137='Mês atual'!A673,NF!$J$2:$J$3137),1),0)</f>
        <v>0</v>
      </c>
      <c r="BS673" s="143" t="str">
        <f>VLOOKUP(A673,NF!M:O,3,0)</f>
        <v>Mercado</v>
      </c>
    </row>
    <row r="674" spans="1:71" x14ac:dyDescent="0.25">
      <c r="A674" s="108" t="s">
        <v>309</v>
      </c>
      <c r="B674" s="12"/>
      <c r="C674" s="9"/>
      <c r="D674" s="25"/>
      <c r="E674" s="10" t="str">
        <f t="shared" si="900"/>
        <v>OutubroSEMANA 1Cranberry</v>
      </c>
      <c r="F674" s="7">
        <f>SUMIF(NF!$A:$A,$E674,NF!$I:$I)</f>
        <v>0</v>
      </c>
      <c r="G674" s="6"/>
      <c r="H674" s="6"/>
      <c r="I674" s="6"/>
      <c r="J674" s="6"/>
      <c r="K674" s="6"/>
      <c r="L674" s="6"/>
      <c r="M674" s="6"/>
      <c r="N674" s="7">
        <f t="shared" si="895"/>
        <v>0</v>
      </c>
      <c r="O674" s="11">
        <f t="shared" si="828"/>
        <v>0</v>
      </c>
      <c r="P674" s="25"/>
      <c r="Q674" s="10" t="str">
        <f t="shared" si="901"/>
        <v>OutubroSEMANA 2Cranberry</v>
      </c>
      <c r="R674" s="7">
        <f>SUMIF(NF!$A:$A,$Q674,NF!$I:$I)</f>
        <v>0</v>
      </c>
      <c r="S674" s="6"/>
      <c r="T674" s="6"/>
      <c r="U674" s="6"/>
      <c r="V674" s="6"/>
      <c r="W674" s="6"/>
      <c r="X674" s="6"/>
      <c r="Y674" s="6"/>
      <c r="Z674" s="7">
        <f t="shared" si="896"/>
        <v>0</v>
      </c>
      <c r="AA674" s="11">
        <f t="shared" si="831"/>
        <v>0</v>
      </c>
      <c r="AB674" s="25"/>
      <c r="AC674" s="10" t="str">
        <f t="shared" si="902"/>
        <v>OutubroSEMANA 3Cranberry</v>
      </c>
      <c r="AD674" s="7">
        <f>SUMIF(NF!$A:$A,$AC674,NF!$I:$I)</f>
        <v>0</v>
      </c>
      <c r="AE674" s="6"/>
      <c r="AF674" s="6"/>
      <c r="AG674" s="6"/>
      <c r="AH674" s="6"/>
      <c r="AI674" s="6"/>
      <c r="AJ674" s="6"/>
      <c r="AK674" s="6"/>
      <c r="AL674" s="7">
        <f t="shared" si="897"/>
        <v>0</v>
      </c>
      <c r="AM674" s="11">
        <f t="shared" si="834"/>
        <v>0</v>
      </c>
      <c r="AN674" s="25"/>
      <c r="AO674" s="10" t="str">
        <f t="shared" si="903"/>
        <v>OutubroSEMANA 4Cranberry</v>
      </c>
      <c r="AP674" s="7">
        <f>SUMIF(NF!$A:$A,$AO674,NF!$I:$I)</f>
        <v>0</v>
      </c>
      <c r="AQ674" s="6"/>
      <c r="AR674" s="6"/>
      <c r="AS674" s="6"/>
      <c r="AT674" s="6"/>
      <c r="AU674" s="6"/>
      <c r="AV674" s="6"/>
      <c r="AW674" s="6"/>
      <c r="AX674" s="7">
        <f t="shared" si="898"/>
        <v>0</v>
      </c>
      <c r="AY674" s="11">
        <f t="shared" si="837"/>
        <v>0</v>
      </c>
      <c r="AZ674" s="25"/>
      <c r="BA674" s="10" t="str">
        <f t="shared" si="904"/>
        <v>OutubroSEMANA 5Cranberry</v>
      </c>
      <c r="BB674" s="7">
        <f>SUMIF(NF!$A:$A,$BA674,NF!$I:$I)</f>
        <v>0</v>
      </c>
      <c r="BC674" s="6"/>
      <c r="BD674" s="6"/>
      <c r="BE674" s="6"/>
      <c r="BF674" s="74"/>
      <c r="BG674" s="74"/>
      <c r="BH674" s="74"/>
      <c r="BI674" s="74"/>
      <c r="BJ674" s="74"/>
      <c r="BK674" s="7">
        <f t="shared" si="899"/>
        <v>0</v>
      </c>
      <c r="BL674" s="8">
        <f t="shared" si="840"/>
        <v>0</v>
      </c>
      <c r="BM674" s="51" t="str">
        <f>IFERROR(VLOOKUP(A674,NF!$M:$O,3,0),"")</f>
        <v>Mercado</v>
      </c>
      <c r="BN674" s="7">
        <f t="shared" si="841"/>
        <v>0</v>
      </c>
      <c r="BO674" s="8">
        <f t="array" ref="BO674">IFERROR(LARGE(IF(NF!$G$2:$G$3137='Mês atual'!A674,NF!$J$2:$J$3137),1),0)*BN674</f>
        <v>0</v>
      </c>
      <c r="BP674" s="50"/>
      <c r="BR674" s="147">
        <f t="array" ref="BR674">IFERROR(LARGE(IF(NF!$G$2:$G$3137='Mês atual'!A674,NF!$J$2:$J$3137),1),0)</f>
        <v>0</v>
      </c>
      <c r="BS674" s="143" t="str">
        <f>VLOOKUP(A674,NF!M:O,3,0)</f>
        <v>Mercado</v>
      </c>
    </row>
    <row r="675" spans="1:71" x14ac:dyDescent="0.25">
      <c r="A675" s="108" t="s">
        <v>965</v>
      </c>
      <c r="B675" s="12"/>
      <c r="C675" s="9">
        <v>0.30399999999999999</v>
      </c>
      <c r="D675" s="25"/>
      <c r="E675" s="10" t="str">
        <f t="shared" si="900"/>
        <v>OutubroSEMANA 1Cravo em Flor</v>
      </c>
      <c r="F675" s="7">
        <f>SUMIF(NF!$A:$A,$E675,NF!$I:$I)</f>
        <v>0</v>
      </c>
      <c r="G675" s="6"/>
      <c r="H675" s="6"/>
      <c r="I675" s="6"/>
      <c r="J675" s="6"/>
      <c r="K675" s="6"/>
      <c r="L675" s="6"/>
      <c r="M675" s="6"/>
      <c r="N675" s="7">
        <f t="shared" ref="N675" si="905">SUM(G675:M675)</f>
        <v>0</v>
      </c>
      <c r="O675" s="11">
        <f t="shared" si="828"/>
        <v>0.30399999999999999</v>
      </c>
      <c r="P675" s="25"/>
      <c r="Q675" s="10" t="str">
        <f t="shared" si="901"/>
        <v>OutubroSEMANA 2Cravo em Flor</v>
      </c>
      <c r="R675" s="7">
        <f>SUMIF(NF!$A:$A,$Q675,NF!$I:$I)</f>
        <v>0</v>
      </c>
      <c r="S675" s="6"/>
      <c r="T675" s="6"/>
      <c r="U675" s="6"/>
      <c r="V675" s="6"/>
      <c r="W675" s="6"/>
      <c r="X675" s="6"/>
      <c r="Y675" s="6"/>
      <c r="Z675" s="7">
        <f t="shared" ref="Z675" si="906">SUM(S675:Y675)</f>
        <v>0</v>
      </c>
      <c r="AA675" s="11">
        <f t="shared" si="831"/>
        <v>0.30399999999999999</v>
      </c>
      <c r="AB675" s="25"/>
      <c r="AC675" s="10" t="str">
        <f t="shared" si="902"/>
        <v>OutubroSEMANA 3Cravo em Flor</v>
      </c>
      <c r="AD675" s="7">
        <f>SUMIF(NF!$A:$A,$AC675,NF!$I:$I)</f>
        <v>0</v>
      </c>
      <c r="AE675" s="6"/>
      <c r="AF675" s="6"/>
      <c r="AG675" s="6"/>
      <c r="AH675" s="6"/>
      <c r="AI675" s="6"/>
      <c r="AJ675" s="6"/>
      <c r="AK675" s="6"/>
      <c r="AL675" s="7">
        <f t="shared" ref="AL675" si="907">SUM(AE675:AK675)</f>
        <v>0</v>
      </c>
      <c r="AM675" s="11">
        <f t="shared" si="834"/>
        <v>0.30399999999999999</v>
      </c>
      <c r="AN675" s="25"/>
      <c r="AO675" s="10" t="str">
        <f t="shared" si="903"/>
        <v>OutubroSEMANA 4Cravo em Flor</v>
      </c>
      <c r="AP675" s="7">
        <f>SUMIF(NF!$A:$A,$AO675,NF!$I:$I)</f>
        <v>0</v>
      </c>
      <c r="AQ675" s="6"/>
      <c r="AR675" s="6"/>
      <c r="AS675" s="6"/>
      <c r="AT675" s="6"/>
      <c r="AU675" s="6"/>
      <c r="AV675" s="6"/>
      <c r="AW675" s="6"/>
      <c r="AX675" s="7">
        <f t="shared" ref="AX675" si="908">SUM(AQ675:AW675)</f>
        <v>0</v>
      </c>
      <c r="AY675" s="11">
        <f t="shared" si="837"/>
        <v>0.30399999999999999</v>
      </c>
      <c r="AZ675" s="25"/>
      <c r="BA675" s="10" t="str">
        <f t="shared" si="904"/>
        <v>OutubroSEMANA 5Cravo em Flor</v>
      </c>
      <c r="BB675" s="7">
        <f>SUMIF(NF!$A:$A,$BA675,NF!$I:$I)</f>
        <v>0</v>
      </c>
      <c r="BC675" s="6"/>
      <c r="BD675" s="6"/>
      <c r="BE675" s="6"/>
      <c r="BF675" s="74"/>
      <c r="BG675" s="74"/>
      <c r="BH675" s="74"/>
      <c r="BI675" s="74"/>
      <c r="BJ675" s="74"/>
      <c r="BK675" s="7">
        <f t="shared" ref="BK675" si="909">SUM(BC675:BJ675)</f>
        <v>0</v>
      </c>
      <c r="BL675" s="8">
        <f t="shared" si="840"/>
        <v>0.30399999999999999</v>
      </c>
      <c r="BM675" s="51" t="str">
        <f>IFERROR(VLOOKUP(A675,NF!$M:$O,3,0),"")</f>
        <v>Mercado</v>
      </c>
      <c r="BN675" s="7">
        <f t="shared" si="841"/>
        <v>0</v>
      </c>
      <c r="BO675" s="8">
        <f t="array" ref="BO675">IFERROR(LARGE(IF(NF!$G$2:$G$3137='Mês atual'!A675,NF!$J$2:$J$3137),1),0)*BN675</f>
        <v>0</v>
      </c>
      <c r="BP675" s="50"/>
      <c r="BR675" s="147">
        <f t="array" ref="BR675">IFERROR(LARGE(IF(NF!$G$2:$G$3137='Mês atual'!A675,NF!$J$2:$J$3137),1),0)</f>
        <v>0</v>
      </c>
      <c r="BS675" s="143" t="str">
        <f>VLOOKUP(A675,NF!M:O,3,0)</f>
        <v>Mercado</v>
      </c>
    </row>
    <row r="676" spans="1:71" x14ac:dyDescent="0.25">
      <c r="A676" s="108" t="s">
        <v>310</v>
      </c>
      <c r="B676" s="12"/>
      <c r="C676" s="9"/>
      <c r="D676" s="25"/>
      <c r="E676" s="10" t="str">
        <f t="shared" si="900"/>
        <v>OutubroSEMANA 1Cream Cheese</v>
      </c>
      <c r="F676" s="7">
        <f>SUMIF(NF!$A:$A,$E676,NF!$I:$I)</f>
        <v>0</v>
      </c>
      <c r="G676" s="6"/>
      <c r="H676" s="6"/>
      <c r="I676" s="6"/>
      <c r="J676" s="6"/>
      <c r="K676" s="6"/>
      <c r="L676" s="6"/>
      <c r="M676" s="6"/>
      <c r="N676" s="7">
        <f t="shared" ref="N676:N685" si="910">SUM(G676:M676)</f>
        <v>0</v>
      </c>
      <c r="O676" s="11">
        <f t="shared" si="828"/>
        <v>0</v>
      </c>
      <c r="P676" s="25"/>
      <c r="Q676" s="10" t="str">
        <f t="shared" si="901"/>
        <v>OutubroSEMANA 2Cream Cheese</v>
      </c>
      <c r="R676" s="7">
        <f>SUMIF(NF!$A:$A,$Q676,NF!$I:$I)</f>
        <v>0</v>
      </c>
      <c r="S676" s="6"/>
      <c r="T676" s="6"/>
      <c r="U676" s="6"/>
      <c r="V676" s="6"/>
      <c r="W676" s="6"/>
      <c r="X676" s="6"/>
      <c r="Y676" s="6"/>
      <c r="Z676" s="7">
        <f t="shared" ref="Z676:Z685" si="911">SUM(S676:Y676)</f>
        <v>0</v>
      </c>
      <c r="AA676" s="11">
        <f t="shared" si="831"/>
        <v>0</v>
      </c>
      <c r="AB676" s="25"/>
      <c r="AC676" s="10" t="str">
        <f t="shared" si="902"/>
        <v>OutubroSEMANA 3Cream Cheese</v>
      </c>
      <c r="AD676" s="7">
        <f>SUMIF(NF!$A:$A,$AC676,NF!$I:$I)</f>
        <v>0</v>
      </c>
      <c r="AE676" s="6"/>
      <c r="AF676" s="6"/>
      <c r="AG676" s="6"/>
      <c r="AH676" s="6"/>
      <c r="AI676" s="6"/>
      <c r="AJ676" s="6"/>
      <c r="AK676" s="6"/>
      <c r="AL676" s="7">
        <f t="shared" ref="AL676:AL685" si="912">SUM(AE676:AK676)</f>
        <v>0</v>
      </c>
      <c r="AM676" s="11">
        <f t="shared" si="834"/>
        <v>0</v>
      </c>
      <c r="AN676" s="25"/>
      <c r="AO676" s="10" t="str">
        <f t="shared" si="903"/>
        <v>OutubroSEMANA 4Cream Cheese</v>
      </c>
      <c r="AP676" s="7">
        <f>SUMIF(NF!$A:$A,$AO676,NF!$I:$I)</f>
        <v>0</v>
      </c>
      <c r="AQ676" s="6"/>
      <c r="AR676" s="6"/>
      <c r="AS676" s="6"/>
      <c r="AT676" s="6"/>
      <c r="AU676" s="6"/>
      <c r="AV676" s="6"/>
      <c r="AW676" s="6"/>
      <c r="AX676" s="7">
        <f t="shared" ref="AX676:AX685" si="913">SUM(AQ676:AW676)</f>
        <v>0</v>
      </c>
      <c r="AY676" s="11">
        <f t="shared" si="837"/>
        <v>0</v>
      </c>
      <c r="AZ676" s="25"/>
      <c r="BA676" s="10" t="str">
        <f t="shared" si="904"/>
        <v>OutubroSEMANA 5Cream Cheese</v>
      </c>
      <c r="BB676" s="7">
        <f>SUMIF(NF!$A:$A,$BA676,NF!$I:$I)</f>
        <v>0</v>
      </c>
      <c r="BC676" s="6"/>
      <c r="BD676" s="6"/>
      <c r="BE676" s="6"/>
      <c r="BF676" s="74"/>
      <c r="BG676" s="74"/>
      <c r="BH676" s="74"/>
      <c r="BI676" s="74"/>
      <c r="BJ676" s="74"/>
      <c r="BK676" s="7">
        <f t="shared" ref="BK676:BK685" si="914">SUM(BC676:BJ676)</f>
        <v>0</v>
      </c>
      <c r="BL676" s="8">
        <f t="shared" si="840"/>
        <v>0</v>
      </c>
      <c r="BM676" s="51" t="str">
        <f>IFERROR(VLOOKUP(A676,NF!$M:$O,3,0),"")</f>
        <v>Mercado</v>
      </c>
      <c r="BN676" s="7">
        <f t="shared" si="841"/>
        <v>0</v>
      </c>
      <c r="BO676" s="8">
        <f t="array" ref="BO676">IFERROR(LARGE(IF(NF!$G$2:$G$3137='Mês atual'!A676,NF!$J$2:$J$3137),1),0)*BN676</f>
        <v>0</v>
      </c>
      <c r="BP676" s="50"/>
      <c r="BR676" s="147">
        <f t="array" ref="BR676">IFERROR(LARGE(IF(NF!$G$2:$G$3137='Mês atual'!A676,NF!$J$2:$J$3137),1),0)</f>
        <v>0</v>
      </c>
      <c r="BS676" s="143" t="str">
        <f>VLOOKUP(A676,NF!M:O,3,0)</f>
        <v>Mercado</v>
      </c>
    </row>
    <row r="677" spans="1:71" x14ac:dyDescent="0.25">
      <c r="A677" s="108" t="s">
        <v>312</v>
      </c>
      <c r="B677" s="12"/>
      <c r="C677" s="9"/>
      <c r="D677" s="25"/>
      <c r="E677" s="10" t="str">
        <f t="shared" si="900"/>
        <v>OutubroSEMANA 1Creme de Cebola</v>
      </c>
      <c r="F677" s="7">
        <f>SUMIF(NF!$A:$A,$E677,NF!$I:$I)</f>
        <v>0</v>
      </c>
      <c r="G677" s="6"/>
      <c r="H677" s="6"/>
      <c r="I677" s="6"/>
      <c r="J677" s="6"/>
      <c r="K677" s="6"/>
      <c r="L677" s="6"/>
      <c r="M677" s="6"/>
      <c r="N677" s="7">
        <f t="shared" si="910"/>
        <v>0</v>
      </c>
      <c r="O677" s="11">
        <f t="shared" si="828"/>
        <v>0</v>
      </c>
      <c r="P677" s="25"/>
      <c r="Q677" s="10" t="str">
        <f t="shared" si="901"/>
        <v>OutubroSEMANA 2Creme de Cebola</v>
      </c>
      <c r="R677" s="7">
        <f>SUMIF(NF!$A:$A,$Q677,NF!$I:$I)</f>
        <v>0</v>
      </c>
      <c r="S677" s="6"/>
      <c r="T677" s="6"/>
      <c r="U677" s="6"/>
      <c r="V677" s="6"/>
      <c r="W677" s="6"/>
      <c r="X677" s="6"/>
      <c r="Y677" s="6"/>
      <c r="Z677" s="7">
        <f t="shared" si="911"/>
        <v>0</v>
      </c>
      <c r="AA677" s="11">
        <f t="shared" si="831"/>
        <v>0</v>
      </c>
      <c r="AB677" s="25"/>
      <c r="AC677" s="10" t="str">
        <f t="shared" si="902"/>
        <v>OutubroSEMANA 3Creme de Cebola</v>
      </c>
      <c r="AD677" s="7">
        <f>SUMIF(NF!$A:$A,$AC677,NF!$I:$I)</f>
        <v>0</v>
      </c>
      <c r="AE677" s="6"/>
      <c r="AF677" s="6"/>
      <c r="AG677" s="6"/>
      <c r="AH677" s="6"/>
      <c r="AI677" s="6"/>
      <c r="AJ677" s="6"/>
      <c r="AK677" s="6"/>
      <c r="AL677" s="7">
        <f t="shared" si="912"/>
        <v>0</v>
      </c>
      <c r="AM677" s="11">
        <f t="shared" si="834"/>
        <v>0</v>
      </c>
      <c r="AN677" s="25"/>
      <c r="AO677" s="10" t="str">
        <f t="shared" si="903"/>
        <v>OutubroSEMANA 4Creme de Cebola</v>
      </c>
      <c r="AP677" s="7">
        <f>SUMIF(NF!$A:$A,$AO677,NF!$I:$I)</f>
        <v>0</v>
      </c>
      <c r="AQ677" s="6"/>
      <c r="AR677" s="6"/>
      <c r="AS677" s="6"/>
      <c r="AT677" s="6"/>
      <c r="AU677" s="6"/>
      <c r="AV677" s="6"/>
      <c r="AW677" s="6"/>
      <c r="AX677" s="7">
        <f t="shared" si="913"/>
        <v>0</v>
      </c>
      <c r="AY677" s="11">
        <f t="shared" si="837"/>
        <v>0</v>
      </c>
      <c r="AZ677" s="25"/>
      <c r="BA677" s="10" t="str">
        <f t="shared" si="904"/>
        <v>OutubroSEMANA 5Creme de Cebola</v>
      </c>
      <c r="BB677" s="7">
        <f>SUMIF(NF!$A:$A,$BA677,NF!$I:$I)</f>
        <v>0</v>
      </c>
      <c r="BC677" s="6"/>
      <c r="BD677" s="6"/>
      <c r="BE677" s="6"/>
      <c r="BF677" s="74"/>
      <c r="BG677" s="74"/>
      <c r="BH677" s="74"/>
      <c r="BI677" s="74"/>
      <c r="BJ677" s="74"/>
      <c r="BK677" s="7">
        <f t="shared" si="914"/>
        <v>0</v>
      </c>
      <c r="BL677" s="8">
        <f t="shared" si="840"/>
        <v>0</v>
      </c>
      <c r="BM677" s="51" t="str">
        <f>IFERROR(VLOOKUP(A677,NF!$M:$O,3,0),"")</f>
        <v>Mercado</v>
      </c>
      <c r="BN677" s="7">
        <f t="shared" si="841"/>
        <v>0</v>
      </c>
      <c r="BO677" s="8">
        <f t="array" ref="BO677">IFERROR(LARGE(IF(NF!$G$2:$G$3137='Mês atual'!A677,NF!$J$2:$J$3137),1),0)*BN677</f>
        <v>0</v>
      </c>
      <c r="BP677" s="50"/>
      <c r="BR677" s="147">
        <f t="array" ref="BR677">IFERROR(LARGE(IF(NF!$G$2:$G$3137='Mês atual'!A677,NF!$J$2:$J$3137),1),0)</f>
        <v>0</v>
      </c>
      <c r="BS677" s="143" t="str">
        <f>VLOOKUP(A677,NF!M:O,3,0)</f>
        <v>Mercado</v>
      </c>
    </row>
    <row r="678" spans="1:71" x14ac:dyDescent="0.25">
      <c r="A678" s="108" t="s">
        <v>313</v>
      </c>
      <c r="B678" s="12"/>
      <c r="C678" s="9">
        <v>39</v>
      </c>
      <c r="D678" s="25"/>
      <c r="E678" s="10" t="str">
        <f t="shared" si="900"/>
        <v>OutubroSEMANA 1Creme de Leite 300 g</v>
      </c>
      <c r="F678" s="7">
        <f>SUMIF(NF!$A:$A,$E678,NF!$I:$I)</f>
        <v>0</v>
      </c>
      <c r="G678" s="6">
        <v>2</v>
      </c>
      <c r="H678" s="6">
        <v>1</v>
      </c>
      <c r="I678" s="6"/>
      <c r="J678" s="6"/>
      <c r="K678" s="6">
        <v>2</v>
      </c>
      <c r="L678" s="6">
        <v>1</v>
      </c>
      <c r="M678" s="6"/>
      <c r="N678" s="7">
        <f t="shared" si="910"/>
        <v>6</v>
      </c>
      <c r="O678" s="11">
        <f t="shared" si="828"/>
        <v>33</v>
      </c>
      <c r="P678" s="25"/>
      <c r="Q678" s="10" t="str">
        <f t="shared" si="901"/>
        <v>OutubroSEMANA 2Creme de Leite 300 g</v>
      </c>
      <c r="R678" s="7">
        <f>SUMIF(NF!$A:$A,$Q678,NF!$I:$I)</f>
        <v>0</v>
      </c>
      <c r="S678" s="6">
        <v>2</v>
      </c>
      <c r="T678" s="6">
        <v>1</v>
      </c>
      <c r="U678" s="6"/>
      <c r="V678" s="6">
        <v>2</v>
      </c>
      <c r="W678" s="6">
        <v>1</v>
      </c>
      <c r="X678" s="6">
        <v>2</v>
      </c>
      <c r="Y678" s="6">
        <v>1</v>
      </c>
      <c r="Z678" s="7">
        <f t="shared" si="911"/>
        <v>9</v>
      </c>
      <c r="AA678" s="11">
        <f t="shared" si="831"/>
        <v>24</v>
      </c>
      <c r="AB678" s="25"/>
      <c r="AC678" s="10" t="str">
        <f t="shared" si="902"/>
        <v>OutubroSEMANA 3Creme de Leite 300 g</v>
      </c>
      <c r="AD678" s="7">
        <f>SUMIF(NF!$A:$A,$AC678,NF!$I:$I)</f>
        <v>0</v>
      </c>
      <c r="AE678" s="6"/>
      <c r="AF678" s="6">
        <v>3</v>
      </c>
      <c r="AG678" s="6"/>
      <c r="AH678" s="6">
        <v>1</v>
      </c>
      <c r="AI678" s="6">
        <v>2</v>
      </c>
      <c r="AJ678" s="6"/>
      <c r="AK678" s="6">
        <v>3</v>
      </c>
      <c r="AL678" s="7">
        <f t="shared" si="912"/>
        <v>9</v>
      </c>
      <c r="AM678" s="11">
        <f t="shared" si="834"/>
        <v>15</v>
      </c>
      <c r="AN678" s="25"/>
      <c r="AO678" s="10" t="str">
        <f t="shared" si="903"/>
        <v>OutubroSEMANA 4Creme de Leite 300 g</v>
      </c>
      <c r="AP678" s="7">
        <f>SUMIF(NF!$A:$A,$AO678,NF!$I:$I)</f>
        <v>0</v>
      </c>
      <c r="AQ678" s="6"/>
      <c r="AR678" s="6"/>
      <c r="AS678" s="6">
        <v>3</v>
      </c>
      <c r="AT678" s="6"/>
      <c r="AU678" s="6"/>
      <c r="AV678" s="6">
        <v>2</v>
      </c>
      <c r="AW678" s="6"/>
      <c r="AX678" s="7">
        <f t="shared" si="913"/>
        <v>5</v>
      </c>
      <c r="AY678" s="11">
        <f t="shared" si="837"/>
        <v>10</v>
      </c>
      <c r="AZ678" s="25"/>
      <c r="BA678" s="10" t="str">
        <f t="shared" si="904"/>
        <v>OutubroSEMANA 5Creme de Leite 300 g</v>
      </c>
      <c r="BB678" s="7">
        <f>SUMIF(NF!$A:$A,$BA678,NF!$I:$I)</f>
        <v>0</v>
      </c>
      <c r="BC678" s="6">
        <v>1</v>
      </c>
      <c r="BD678" s="6">
        <v>2</v>
      </c>
      <c r="BE678" s="6"/>
      <c r="BF678" s="74"/>
      <c r="BG678" s="74"/>
      <c r="BH678" s="74"/>
      <c r="BI678" s="74"/>
      <c r="BJ678" s="74"/>
      <c r="BK678" s="7">
        <f t="shared" si="914"/>
        <v>3</v>
      </c>
      <c r="BL678" s="8">
        <f t="shared" si="840"/>
        <v>7</v>
      </c>
      <c r="BM678" s="51" t="str">
        <f>IFERROR(VLOOKUP(A678,NF!$M:$O,3,0),"")</f>
        <v>Mercado</v>
      </c>
      <c r="BN678" s="7">
        <f t="shared" si="841"/>
        <v>32</v>
      </c>
      <c r="BO678" s="8">
        <f t="array" ref="BO678">IFERROR(LARGE(IF(NF!$G$2:$G$3137='Mês atual'!A678,NF!$J$2:$J$3137),1),0)*BN678</f>
        <v>0</v>
      </c>
      <c r="BP678" s="50"/>
      <c r="BR678" s="147">
        <f t="array" ref="BR678">IFERROR(LARGE(IF(NF!$G$2:$G$3137='Mês atual'!A678,NF!$J$2:$J$3137),1),0)</f>
        <v>0</v>
      </c>
      <c r="BS678" s="143" t="str">
        <f>VLOOKUP(A678,NF!M:O,3,0)</f>
        <v>Mercado</v>
      </c>
    </row>
    <row r="679" spans="1:71" x14ac:dyDescent="0.25">
      <c r="A679" s="108" t="s">
        <v>314</v>
      </c>
      <c r="B679" s="12"/>
      <c r="C679" s="9">
        <v>0.5</v>
      </c>
      <c r="D679" s="25"/>
      <c r="E679" s="10" t="str">
        <f t="shared" si="900"/>
        <v>OutubroSEMANA 1Creme de Leite Chantily</v>
      </c>
      <c r="F679" s="7">
        <f>SUMIF(NF!$A:$A,$E679,NF!$I:$I)</f>
        <v>0</v>
      </c>
      <c r="G679" s="6"/>
      <c r="H679" s="6"/>
      <c r="I679" s="6"/>
      <c r="J679" s="6"/>
      <c r="K679" s="6"/>
      <c r="L679" s="6"/>
      <c r="M679" s="6"/>
      <c r="N679" s="7">
        <f t="shared" si="910"/>
        <v>0</v>
      </c>
      <c r="O679" s="11">
        <f t="shared" si="828"/>
        <v>0.5</v>
      </c>
      <c r="P679" s="25"/>
      <c r="Q679" s="10" t="str">
        <f t="shared" si="901"/>
        <v>OutubroSEMANA 2Creme de Leite Chantily</v>
      </c>
      <c r="R679" s="7">
        <f>SUMIF(NF!$A:$A,$Q679,NF!$I:$I)</f>
        <v>1</v>
      </c>
      <c r="S679" s="6"/>
      <c r="T679" s="6">
        <v>1</v>
      </c>
      <c r="U679" s="6"/>
      <c r="V679" s="6"/>
      <c r="W679" s="6"/>
      <c r="X679" s="6"/>
      <c r="Y679" s="6"/>
      <c r="Z679" s="7">
        <f t="shared" si="911"/>
        <v>1</v>
      </c>
      <c r="AA679" s="11">
        <f t="shared" si="831"/>
        <v>0.5</v>
      </c>
      <c r="AB679" s="25"/>
      <c r="AC679" s="10" t="str">
        <f t="shared" si="902"/>
        <v>OutubroSEMANA 3Creme de Leite Chantily</v>
      </c>
      <c r="AD679" s="7">
        <f>SUMIF(NF!$A:$A,$AC679,NF!$I:$I)</f>
        <v>0</v>
      </c>
      <c r="AE679" s="6"/>
      <c r="AF679" s="6"/>
      <c r="AG679" s="6"/>
      <c r="AH679" s="6"/>
      <c r="AI679" s="6"/>
      <c r="AJ679" s="6">
        <v>0.5</v>
      </c>
      <c r="AK679" s="6"/>
      <c r="AL679" s="7">
        <f t="shared" si="912"/>
        <v>0.5</v>
      </c>
      <c r="AM679" s="11">
        <f t="shared" si="834"/>
        <v>0</v>
      </c>
      <c r="AN679" s="25"/>
      <c r="AO679" s="10" t="str">
        <f t="shared" si="903"/>
        <v>OutubroSEMANA 4Creme de Leite Chantily</v>
      </c>
      <c r="AP679" s="7">
        <f>SUMIF(NF!$A:$A,$AO679,NF!$I:$I)</f>
        <v>0.5</v>
      </c>
      <c r="AQ679" s="6"/>
      <c r="AR679" s="6"/>
      <c r="AS679" s="6"/>
      <c r="AT679" s="6"/>
      <c r="AU679" s="6"/>
      <c r="AV679" s="6"/>
      <c r="AW679" s="6"/>
      <c r="AX679" s="7">
        <f t="shared" si="913"/>
        <v>0</v>
      </c>
      <c r="AY679" s="11">
        <f t="shared" si="837"/>
        <v>0.5</v>
      </c>
      <c r="AZ679" s="25"/>
      <c r="BA679" s="10" t="str">
        <f t="shared" si="904"/>
        <v>OutubroSEMANA 5Creme de Leite Chantily</v>
      </c>
      <c r="BB679" s="7">
        <f>SUMIF(NF!$A:$A,$BA679,NF!$I:$I)</f>
        <v>0</v>
      </c>
      <c r="BC679" s="6"/>
      <c r="BD679" s="6"/>
      <c r="BE679" s="6"/>
      <c r="BF679" s="74"/>
      <c r="BG679" s="74"/>
      <c r="BH679" s="74"/>
      <c r="BI679" s="74"/>
      <c r="BJ679" s="74"/>
      <c r="BK679" s="7">
        <f t="shared" si="914"/>
        <v>0</v>
      </c>
      <c r="BL679" s="8">
        <f t="shared" si="840"/>
        <v>0.5</v>
      </c>
      <c r="BM679" s="51" t="str">
        <f>IFERROR(VLOOKUP(A679,NF!$M:$O,3,0),"")</f>
        <v>Mercado</v>
      </c>
      <c r="BN679" s="7">
        <f t="shared" si="841"/>
        <v>1.5</v>
      </c>
      <c r="BO679" s="8">
        <f t="array" ref="BO679">IFERROR(LARGE(IF(NF!$G$2:$G$3137='Mês atual'!A679,NF!$J$2:$J$3137),1),0)*BN679</f>
        <v>52.5</v>
      </c>
      <c r="BP679" s="50"/>
      <c r="BR679" s="147">
        <f t="array" ref="BR679">IFERROR(LARGE(IF(NF!$G$2:$G$3137='Mês atual'!A679,NF!$J$2:$J$3137),1),0)</f>
        <v>35</v>
      </c>
      <c r="BS679" s="143" t="str">
        <f>VLOOKUP(A679,NF!M:O,3,0)</f>
        <v>Mercado</v>
      </c>
    </row>
    <row r="680" spans="1:71" x14ac:dyDescent="0.25">
      <c r="A680" s="108" t="s">
        <v>315</v>
      </c>
      <c r="B680" s="12"/>
      <c r="C680" s="9">
        <v>4</v>
      </c>
      <c r="D680" s="25"/>
      <c r="E680" s="10" t="str">
        <f t="shared" si="900"/>
        <v>OutubroSEMANA 1Creme de Leite Culinário 20% Bd 10 Lt</v>
      </c>
      <c r="F680" s="7">
        <f>SUMIF(NF!$A:$A,$E680,NF!$I:$I)</f>
        <v>4</v>
      </c>
      <c r="G680" s="6">
        <v>1</v>
      </c>
      <c r="H680" s="6"/>
      <c r="I680" s="6"/>
      <c r="J680" s="6">
        <v>1</v>
      </c>
      <c r="K680" s="6">
        <v>1</v>
      </c>
      <c r="L680" s="6">
        <v>1</v>
      </c>
      <c r="M680" s="6">
        <v>1</v>
      </c>
      <c r="N680" s="7">
        <f t="shared" si="910"/>
        <v>5</v>
      </c>
      <c r="O680" s="11">
        <f t="shared" si="828"/>
        <v>3</v>
      </c>
      <c r="P680" s="25"/>
      <c r="Q680" s="10" t="str">
        <f t="shared" si="901"/>
        <v>OutubroSEMANA 2Creme de Leite Culinário 20% Bd 10 Lt</v>
      </c>
      <c r="R680" s="7">
        <f>SUMIF(NF!$A:$A,$Q680,NF!$I:$I)</f>
        <v>6</v>
      </c>
      <c r="S680" s="6">
        <v>1</v>
      </c>
      <c r="T680" s="6">
        <v>1</v>
      </c>
      <c r="U680" s="6">
        <v>1</v>
      </c>
      <c r="V680" s="6"/>
      <c r="W680" s="6"/>
      <c r="X680" s="6">
        <v>1</v>
      </c>
      <c r="Y680" s="6">
        <v>1</v>
      </c>
      <c r="Z680" s="7">
        <f t="shared" si="911"/>
        <v>5</v>
      </c>
      <c r="AA680" s="11">
        <f t="shared" si="831"/>
        <v>4</v>
      </c>
      <c r="AB680" s="25"/>
      <c r="AC680" s="10" t="str">
        <f t="shared" si="902"/>
        <v>OutubroSEMANA 3Creme de Leite Culinário 20% Bd 10 Lt</v>
      </c>
      <c r="AD680" s="7">
        <f>SUMIF(NF!$A:$A,$AC680,NF!$I:$I)</f>
        <v>6</v>
      </c>
      <c r="AE680" s="6">
        <v>1</v>
      </c>
      <c r="AF680" s="6"/>
      <c r="AG680" s="6"/>
      <c r="AH680" s="6">
        <v>1</v>
      </c>
      <c r="AI680" s="6">
        <v>2</v>
      </c>
      <c r="AJ680" s="6">
        <v>1</v>
      </c>
      <c r="AK680" s="6">
        <v>1</v>
      </c>
      <c r="AL680" s="7">
        <f t="shared" si="912"/>
        <v>6</v>
      </c>
      <c r="AM680" s="11">
        <f t="shared" si="834"/>
        <v>4</v>
      </c>
      <c r="AN680" s="25"/>
      <c r="AO680" s="10" t="str">
        <f t="shared" si="903"/>
        <v>OutubroSEMANA 4Creme de Leite Culinário 20% Bd 10 Lt</v>
      </c>
      <c r="AP680" s="7">
        <f>SUMIF(NF!$A:$A,$AO680,NF!$I:$I)</f>
        <v>4</v>
      </c>
      <c r="AQ680" s="6"/>
      <c r="AR680" s="6">
        <v>1</v>
      </c>
      <c r="AS680" s="6"/>
      <c r="AT680" s="6">
        <v>1</v>
      </c>
      <c r="AU680" s="6">
        <v>1</v>
      </c>
      <c r="AV680" s="6"/>
      <c r="AW680" s="6"/>
      <c r="AX680" s="7">
        <f t="shared" si="913"/>
        <v>3</v>
      </c>
      <c r="AY680" s="11">
        <f t="shared" si="837"/>
        <v>5</v>
      </c>
      <c r="AZ680" s="25"/>
      <c r="BA680" s="10" t="str">
        <f t="shared" si="904"/>
        <v>OutubroSEMANA 5Creme de Leite Culinário 20% Bd 10 Lt</v>
      </c>
      <c r="BB680" s="7">
        <f>SUMIF(NF!$A:$A,$BA680,NF!$I:$I)</f>
        <v>1</v>
      </c>
      <c r="BC680" s="6">
        <v>1</v>
      </c>
      <c r="BD680" s="6">
        <v>1</v>
      </c>
      <c r="BE680" s="6">
        <v>1</v>
      </c>
      <c r="BF680" s="74"/>
      <c r="BG680" s="74"/>
      <c r="BH680" s="74"/>
      <c r="BI680" s="74"/>
      <c r="BJ680" s="74"/>
      <c r="BK680" s="7">
        <f t="shared" si="914"/>
        <v>3</v>
      </c>
      <c r="BL680" s="8">
        <f t="shared" si="840"/>
        <v>3</v>
      </c>
      <c r="BM680" s="51" t="str">
        <f>IFERROR(VLOOKUP(A680,NF!$M:$O,3,0),"")</f>
        <v>Mercado</v>
      </c>
      <c r="BN680" s="7">
        <f t="shared" si="841"/>
        <v>22</v>
      </c>
      <c r="BO680" s="8">
        <f t="array" ref="BO680">IFERROR(LARGE(IF(NF!$G$2:$G$3137='Mês atual'!A680,NF!$J$2:$J$3137),1),0)*BN680</f>
        <v>3133.8999999999996</v>
      </c>
      <c r="BP680" s="50"/>
      <c r="BR680" s="147">
        <f t="array" ref="BR680">IFERROR(LARGE(IF(NF!$G$2:$G$3137='Mês atual'!A680,NF!$J$2:$J$3137),1),0)</f>
        <v>142.44999999999999</v>
      </c>
      <c r="BS680" s="143" t="str">
        <f>VLOOKUP(A680,NF!M:O,3,0)</f>
        <v>Mercado</v>
      </c>
    </row>
    <row r="681" spans="1:71" x14ac:dyDescent="0.25">
      <c r="A681" s="108" t="s">
        <v>317</v>
      </c>
      <c r="B681" s="12"/>
      <c r="C681" s="9">
        <v>0.6</v>
      </c>
      <c r="D681" s="25"/>
      <c r="E681" s="10" t="str">
        <f t="shared" si="900"/>
        <v>OutubroSEMANA 1Curry</v>
      </c>
      <c r="F681" s="7">
        <f>SUMIF(NF!$A:$A,$E681,NF!$I:$I)</f>
        <v>0</v>
      </c>
      <c r="G681" s="6"/>
      <c r="H681" s="6"/>
      <c r="I681" s="6"/>
      <c r="J681" s="6"/>
      <c r="K681" s="6"/>
      <c r="L681" s="6"/>
      <c r="M681" s="6"/>
      <c r="N681" s="7">
        <f t="shared" si="910"/>
        <v>0</v>
      </c>
      <c r="O681" s="11">
        <f t="shared" si="828"/>
        <v>0.6</v>
      </c>
      <c r="P681" s="25"/>
      <c r="Q681" s="10" t="str">
        <f t="shared" si="901"/>
        <v>OutubroSEMANA 2Curry</v>
      </c>
      <c r="R681" s="7">
        <f>SUMIF(NF!$A:$A,$Q681,NF!$I:$I)</f>
        <v>0</v>
      </c>
      <c r="S681" s="6"/>
      <c r="T681" s="6"/>
      <c r="U681" s="6"/>
      <c r="V681" s="6"/>
      <c r="W681" s="6"/>
      <c r="X681" s="6"/>
      <c r="Y681" s="6"/>
      <c r="Z681" s="7">
        <f t="shared" si="911"/>
        <v>0</v>
      </c>
      <c r="AA681" s="11">
        <f t="shared" si="831"/>
        <v>0.6</v>
      </c>
      <c r="AB681" s="25"/>
      <c r="AC681" s="10" t="str">
        <f t="shared" si="902"/>
        <v>OutubroSEMANA 3Curry</v>
      </c>
      <c r="AD681" s="7">
        <f>SUMIF(NF!$A:$A,$AC681,NF!$I:$I)</f>
        <v>0</v>
      </c>
      <c r="AE681" s="6"/>
      <c r="AF681" s="6"/>
      <c r="AG681" s="6"/>
      <c r="AH681" s="6"/>
      <c r="AI681" s="6"/>
      <c r="AJ681" s="6"/>
      <c r="AK681" s="6"/>
      <c r="AL681" s="7">
        <f t="shared" si="912"/>
        <v>0</v>
      </c>
      <c r="AM681" s="11">
        <f t="shared" si="834"/>
        <v>0.6</v>
      </c>
      <c r="AN681" s="25"/>
      <c r="AO681" s="10" t="str">
        <f t="shared" si="903"/>
        <v>OutubroSEMANA 4Curry</v>
      </c>
      <c r="AP681" s="7">
        <f>SUMIF(NF!$A:$A,$AO681,NF!$I:$I)</f>
        <v>0</v>
      </c>
      <c r="AQ681" s="6"/>
      <c r="AR681" s="6"/>
      <c r="AS681" s="6"/>
      <c r="AT681" s="6"/>
      <c r="AU681" s="6"/>
      <c r="AV681" s="6"/>
      <c r="AW681" s="6"/>
      <c r="AX681" s="7">
        <f t="shared" si="913"/>
        <v>0</v>
      </c>
      <c r="AY681" s="11">
        <f t="shared" si="837"/>
        <v>0.6</v>
      </c>
      <c r="AZ681" s="25"/>
      <c r="BA681" s="10" t="str">
        <f t="shared" si="904"/>
        <v>OutubroSEMANA 5Curry</v>
      </c>
      <c r="BB681" s="7">
        <f>SUMIF(NF!$A:$A,$BA681,NF!$I:$I)</f>
        <v>0</v>
      </c>
      <c r="BC681" s="6"/>
      <c r="BD681" s="6"/>
      <c r="BE681" s="6"/>
      <c r="BF681" s="74"/>
      <c r="BG681" s="74"/>
      <c r="BH681" s="74"/>
      <c r="BI681" s="74"/>
      <c r="BJ681" s="74"/>
      <c r="BK681" s="7">
        <f t="shared" si="914"/>
        <v>0</v>
      </c>
      <c r="BL681" s="8">
        <f t="shared" si="840"/>
        <v>0.6</v>
      </c>
      <c r="BM681" s="51" t="str">
        <f>IFERROR(VLOOKUP(A681,NF!$M:$O,3,0),"")</f>
        <v>Mercado</v>
      </c>
      <c r="BN681" s="7">
        <f t="shared" si="841"/>
        <v>0</v>
      </c>
      <c r="BO681" s="8">
        <f t="array" ref="BO681">IFERROR(LARGE(IF(NF!$G$2:$G$3137='Mês atual'!A681,NF!$J$2:$J$3137),1),0)*BN681</f>
        <v>0</v>
      </c>
      <c r="BP681" s="50"/>
      <c r="BR681" s="147">
        <f t="array" ref="BR681">IFERROR(LARGE(IF(NF!$G$2:$G$3137='Mês atual'!A681,NF!$J$2:$J$3137),1),0)</f>
        <v>0</v>
      </c>
      <c r="BS681" s="143" t="str">
        <f>VLOOKUP(A681,NF!M:O,3,0)</f>
        <v>Mercado</v>
      </c>
    </row>
    <row r="682" spans="1:71" x14ac:dyDescent="0.25">
      <c r="A682" s="108" t="s">
        <v>318</v>
      </c>
      <c r="B682" s="12"/>
      <c r="C682" s="9">
        <v>7</v>
      </c>
      <c r="D682" s="25"/>
      <c r="E682" s="10" t="str">
        <f t="shared" si="900"/>
        <v>OutubroSEMANA 1Cuscus</v>
      </c>
      <c r="F682" s="7">
        <f>SUMIF(NF!$A:$A,$E682,NF!$I:$I)</f>
        <v>0</v>
      </c>
      <c r="G682" s="6"/>
      <c r="H682" s="6"/>
      <c r="I682" s="6"/>
      <c r="J682" s="6"/>
      <c r="K682" s="6"/>
      <c r="L682" s="6"/>
      <c r="M682" s="6"/>
      <c r="N682" s="7">
        <f t="shared" si="910"/>
        <v>0</v>
      </c>
      <c r="O682" s="11">
        <f t="shared" si="828"/>
        <v>7</v>
      </c>
      <c r="P682" s="25"/>
      <c r="Q682" s="10" t="str">
        <f t="shared" si="901"/>
        <v>OutubroSEMANA 2Cuscus</v>
      </c>
      <c r="R682" s="7">
        <f>SUMIF(NF!$A:$A,$Q682,NF!$I:$I)</f>
        <v>0</v>
      </c>
      <c r="S682" s="6"/>
      <c r="T682" s="6"/>
      <c r="U682" s="6">
        <v>2</v>
      </c>
      <c r="V682" s="6"/>
      <c r="W682" s="6"/>
      <c r="X682" s="6"/>
      <c r="Y682" s="6"/>
      <c r="Z682" s="7">
        <f t="shared" si="911"/>
        <v>2</v>
      </c>
      <c r="AA682" s="11">
        <f t="shared" si="831"/>
        <v>5</v>
      </c>
      <c r="AB682" s="25"/>
      <c r="AC682" s="10" t="str">
        <f t="shared" si="902"/>
        <v>OutubroSEMANA 3Cuscus</v>
      </c>
      <c r="AD682" s="7">
        <f>SUMIF(NF!$A:$A,$AC682,NF!$I:$I)</f>
        <v>2</v>
      </c>
      <c r="AE682" s="6"/>
      <c r="AF682" s="6"/>
      <c r="AG682" s="6"/>
      <c r="AH682" s="6"/>
      <c r="AI682" s="6"/>
      <c r="AJ682" s="6"/>
      <c r="AK682" s="6"/>
      <c r="AL682" s="7">
        <f t="shared" si="912"/>
        <v>0</v>
      </c>
      <c r="AM682" s="11">
        <f t="shared" si="834"/>
        <v>7</v>
      </c>
      <c r="AN682" s="25"/>
      <c r="AO682" s="10" t="str">
        <f t="shared" si="903"/>
        <v>OutubroSEMANA 4Cuscus</v>
      </c>
      <c r="AP682" s="7">
        <f>SUMIF(NF!$A:$A,$AO682,NF!$I:$I)</f>
        <v>1</v>
      </c>
      <c r="AQ682" s="6">
        <v>2</v>
      </c>
      <c r="AR682" s="6"/>
      <c r="AS682" s="6"/>
      <c r="AT682" s="6"/>
      <c r="AU682" s="6"/>
      <c r="AV682" s="6"/>
      <c r="AW682" s="6">
        <v>2</v>
      </c>
      <c r="AX682" s="7">
        <f t="shared" si="913"/>
        <v>4</v>
      </c>
      <c r="AY682" s="11">
        <f t="shared" si="837"/>
        <v>4</v>
      </c>
      <c r="AZ682" s="25"/>
      <c r="BA682" s="10" t="str">
        <f t="shared" si="904"/>
        <v>OutubroSEMANA 5Cuscus</v>
      </c>
      <c r="BB682" s="7">
        <f>SUMIF(NF!$A:$A,$BA682,NF!$I:$I)</f>
        <v>0</v>
      </c>
      <c r="BC682" s="6"/>
      <c r="BD682" s="6">
        <v>2</v>
      </c>
      <c r="BE682" s="6"/>
      <c r="BF682" s="74"/>
      <c r="BG682" s="74"/>
      <c r="BH682" s="74"/>
      <c r="BI682" s="74"/>
      <c r="BJ682" s="74"/>
      <c r="BK682" s="7">
        <f t="shared" si="914"/>
        <v>2</v>
      </c>
      <c r="BL682" s="8">
        <f t="shared" si="840"/>
        <v>2</v>
      </c>
      <c r="BM682" s="51" t="str">
        <f>IFERROR(VLOOKUP(A682,NF!$M:$O,3,0),"")</f>
        <v>Mercado</v>
      </c>
      <c r="BN682" s="7">
        <f t="shared" si="841"/>
        <v>8</v>
      </c>
      <c r="BO682" s="8">
        <f t="array" ref="BO682">IFERROR(LARGE(IF(NF!$G$2:$G$3137='Mês atual'!A682,NF!$J$2:$J$3137),1),0)*BN682</f>
        <v>215.2</v>
      </c>
      <c r="BP682" s="50"/>
      <c r="BR682" s="147">
        <f t="array" ref="BR682">IFERROR(LARGE(IF(NF!$G$2:$G$3137='Mês atual'!A682,NF!$J$2:$J$3137),1),0)</f>
        <v>26.9</v>
      </c>
      <c r="BS682" s="143" t="str">
        <f>VLOOKUP(A682,NF!M:O,3,0)</f>
        <v>Mercado</v>
      </c>
    </row>
    <row r="683" spans="1:71" x14ac:dyDescent="0.25">
      <c r="A683" s="108" t="s">
        <v>319</v>
      </c>
      <c r="B683" s="12"/>
      <c r="C683" s="9"/>
      <c r="D683" s="25"/>
      <c r="E683" s="10" t="str">
        <f t="shared" si="900"/>
        <v>OutubroSEMANA 1Damasco Seco</v>
      </c>
      <c r="F683" s="7">
        <f>SUMIF(NF!$A:$A,$E683,NF!$I:$I)</f>
        <v>0</v>
      </c>
      <c r="G683" s="6"/>
      <c r="H683" s="6"/>
      <c r="I683" s="6"/>
      <c r="J683" s="6"/>
      <c r="K683" s="6"/>
      <c r="L683" s="6"/>
      <c r="M683" s="6"/>
      <c r="N683" s="7">
        <f t="shared" si="910"/>
        <v>0</v>
      </c>
      <c r="O683" s="11">
        <f t="shared" si="828"/>
        <v>0</v>
      </c>
      <c r="P683" s="25"/>
      <c r="Q683" s="10" t="str">
        <f t="shared" si="901"/>
        <v>OutubroSEMANA 2Damasco Seco</v>
      </c>
      <c r="R683" s="7">
        <f>SUMIF(NF!$A:$A,$Q683,NF!$I:$I)</f>
        <v>1</v>
      </c>
      <c r="S683" s="6"/>
      <c r="T683" s="6"/>
      <c r="U683" s="6"/>
      <c r="V683" s="6"/>
      <c r="W683" s="6"/>
      <c r="X683" s="6"/>
      <c r="Y683" s="6"/>
      <c r="Z683" s="7">
        <f t="shared" si="911"/>
        <v>0</v>
      </c>
      <c r="AA683" s="11">
        <f t="shared" si="831"/>
        <v>1</v>
      </c>
      <c r="AB683" s="25"/>
      <c r="AC683" s="10" t="str">
        <f t="shared" si="902"/>
        <v>OutubroSEMANA 3Damasco Seco</v>
      </c>
      <c r="AD683" s="7">
        <f>SUMIF(NF!$A:$A,$AC683,NF!$I:$I)</f>
        <v>0</v>
      </c>
      <c r="AE683" s="6"/>
      <c r="AF683" s="6"/>
      <c r="AG683" s="6"/>
      <c r="AH683" s="6"/>
      <c r="AI683" s="6"/>
      <c r="AJ683" s="6"/>
      <c r="AK683" s="6"/>
      <c r="AL683" s="7">
        <f t="shared" si="912"/>
        <v>0</v>
      </c>
      <c r="AM683" s="11">
        <f t="shared" si="834"/>
        <v>1</v>
      </c>
      <c r="AN683" s="25"/>
      <c r="AO683" s="10" t="str">
        <f t="shared" si="903"/>
        <v>OutubroSEMANA 4Damasco Seco</v>
      </c>
      <c r="AP683" s="7">
        <f>SUMIF(NF!$A:$A,$AO683,NF!$I:$I)</f>
        <v>0</v>
      </c>
      <c r="AQ683" s="6"/>
      <c r="AR683" s="6"/>
      <c r="AS683" s="6"/>
      <c r="AT683" s="6"/>
      <c r="AU683" s="6"/>
      <c r="AV683" s="6"/>
      <c r="AW683" s="6"/>
      <c r="AX683" s="7">
        <f t="shared" si="913"/>
        <v>0</v>
      </c>
      <c r="AY683" s="11">
        <f t="shared" si="837"/>
        <v>1</v>
      </c>
      <c r="AZ683" s="25"/>
      <c r="BA683" s="10" t="str">
        <f t="shared" si="904"/>
        <v>OutubroSEMANA 5Damasco Seco</v>
      </c>
      <c r="BB683" s="7">
        <f>SUMIF(NF!$A:$A,$BA683,NF!$I:$I)</f>
        <v>0</v>
      </c>
      <c r="BC683" s="6"/>
      <c r="BD683" s="6"/>
      <c r="BE683" s="6"/>
      <c r="BF683" s="74"/>
      <c r="BG683" s="74"/>
      <c r="BH683" s="74"/>
      <c r="BI683" s="74"/>
      <c r="BJ683" s="74"/>
      <c r="BK683" s="7">
        <f t="shared" si="914"/>
        <v>0</v>
      </c>
      <c r="BL683" s="8">
        <f t="shared" si="840"/>
        <v>1</v>
      </c>
      <c r="BM683" s="51" t="str">
        <f>IFERROR(VLOOKUP(A683,NF!$M:$O,3,0),"")</f>
        <v>Mercado</v>
      </c>
      <c r="BN683" s="7">
        <f t="shared" si="841"/>
        <v>0</v>
      </c>
      <c r="BO683" s="8">
        <f t="array" ref="BO683">IFERROR(LARGE(IF(NF!$G$2:$G$3137='Mês atual'!A683,NF!$J$2:$J$3137),1),0)*BN683</f>
        <v>0</v>
      </c>
      <c r="BP683" s="50"/>
      <c r="BR683" s="147">
        <f t="array" ref="BR683">IFERROR(LARGE(IF(NF!$G$2:$G$3137='Mês atual'!A683,NF!$J$2:$J$3137),1),0)</f>
        <v>22.9</v>
      </c>
      <c r="BS683" s="143" t="str">
        <f>VLOOKUP(A683,NF!M:O,3,0)</f>
        <v>Mercado</v>
      </c>
    </row>
    <row r="684" spans="1:71" x14ac:dyDescent="0.25">
      <c r="A684" s="108" t="s">
        <v>329</v>
      </c>
      <c r="B684" s="12"/>
      <c r="C684" s="9">
        <v>10</v>
      </c>
      <c r="D684" s="25"/>
      <c r="E684" s="10" t="str">
        <f t="shared" si="900"/>
        <v>OutubroSEMANA 1Ervilha congelada</v>
      </c>
      <c r="F684" s="7">
        <f>SUMIF(NF!$A:$A,$E684,NF!$I:$I)</f>
        <v>0</v>
      </c>
      <c r="G684" s="6"/>
      <c r="H684" s="6"/>
      <c r="I684" s="6"/>
      <c r="J684" s="6"/>
      <c r="K684" s="6"/>
      <c r="L684" s="6"/>
      <c r="M684" s="6">
        <v>2.5</v>
      </c>
      <c r="N684" s="7">
        <f t="shared" si="910"/>
        <v>2.5</v>
      </c>
      <c r="O684" s="11">
        <f t="shared" si="828"/>
        <v>7.5</v>
      </c>
      <c r="P684" s="25"/>
      <c r="Q684" s="10" t="str">
        <f t="shared" si="901"/>
        <v>OutubroSEMANA 2Ervilha congelada</v>
      </c>
      <c r="R684" s="7">
        <f>SUMIF(NF!$A:$A,$Q684,NF!$I:$I)</f>
        <v>12</v>
      </c>
      <c r="S684" s="6"/>
      <c r="T684" s="6"/>
      <c r="U684" s="6"/>
      <c r="V684" s="6">
        <v>2.5</v>
      </c>
      <c r="W684" s="6">
        <v>2</v>
      </c>
      <c r="X684" s="6"/>
      <c r="Y684" s="6"/>
      <c r="Z684" s="7">
        <f t="shared" si="911"/>
        <v>4.5</v>
      </c>
      <c r="AA684" s="11">
        <f t="shared" si="831"/>
        <v>15</v>
      </c>
      <c r="AB684" s="25"/>
      <c r="AC684" s="10" t="str">
        <f t="shared" si="902"/>
        <v>OutubroSEMANA 3Ervilha congelada</v>
      </c>
      <c r="AD684" s="7">
        <f>SUMIF(NF!$A:$A,$AC684,NF!$I:$I)</f>
        <v>0</v>
      </c>
      <c r="AE684" s="6"/>
      <c r="AF684" s="6"/>
      <c r="AG684" s="6"/>
      <c r="AH684" s="6">
        <v>2.5</v>
      </c>
      <c r="AI684" s="6"/>
      <c r="AJ684" s="6"/>
      <c r="AK684" s="6">
        <v>2.5</v>
      </c>
      <c r="AL684" s="7">
        <f t="shared" si="912"/>
        <v>5</v>
      </c>
      <c r="AM684" s="11">
        <f t="shared" si="834"/>
        <v>10</v>
      </c>
      <c r="AN684" s="25"/>
      <c r="AO684" s="10" t="str">
        <f t="shared" si="903"/>
        <v>OutubroSEMANA 4Ervilha congelada</v>
      </c>
      <c r="AP684" s="7">
        <f>SUMIF(NF!$A:$A,$AO684,NF!$I:$I)</f>
        <v>0</v>
      </c>
      <c r="AQ684" s="6"/>
      <c r="AR684" s="6"/>
      <c r="AS684" s="6">
        <v>2</v>
      </c>
      <c r="AT684" s="6">
        <v>2</v>
      </c>
      <c r="AU684" s="6"/>
      <c r="AV684" s="6"/>
      <c r="AW684" s="6"/>
      <c r="AX684" s="7">
        <f t="shared" si="913"/>
        <v>4</v>
      </c>
      <c r="AY684" s="11">
        <f t="shared" si="837"/>
        <v>6</v>
      </c>
      <c r="AZ684" s="25"/>
      <c r="BA684" s="10" t="str">
        <f t="shared" si="904"/>
        <v>OutubroSEMANA 5Ervilha congelada</v>
      </c>
      <c r="BB684" s="7">
        <f>SUMIF(NF!$A:$A,$BA684,NF!$I:$I)</f>
        <v>0</v>
      </c>
      <c r="BC684" s="6"/>
      <c r="BD684" s="6"/>
      <c r="BE684" s="6"/>
      <c r="BF684" s="74"/>
      <c r="BG684" s="74"/>
      <c r="BH684" s="74"/>
      <c r="BI684" s="74"/>
      <c r="BJ684" s="74"/>
      <c r="BK684" s="7">
        <f t="shared" si="914"/>
        <v>0</v>
      </c>
      <c r="BL684" s="8">
        <f t="shared" si="840"/>
        <v>6</v>
      </c>
      <c r="BM684" s="51" t="str">
        <f>IFERROR(VLOOKUP(A684,NF!$M:$O,3,0),"")</f>
        <v>Mercado</v>
      </c>
      <c r="BN684" s="7">
        <f t="shared" si="841"/>
        <v>16</v>
      </c>
      <c r="BO684" s="8">
        <f t="array" ref="BO684">IFERROR(LARGE(IF(NF!$G$2:$G$3137='Mês atual'!A684,NF!$J$2:$J$3137),1),0)*BN684</f>
        <v>147.12</v>
      </c>
      <c r="BP684" s="50"/>
      <c r="BR684" s="147">
        <f t="array" ref="BR684">IFERROR(LARGE(IF(NF!$G$2:$G$3137='Mês atual'!A684,NF!$J$2:$J$3137),1),0)</f>
        <v>9.1950000000000003</v>
      </c>
      <c r="BS684" s="143" t="str">
        <f>VLOOKUP(A684,NF!M:O,3,0)</f>
        <v>Mercado</v>
      </c>
    </row>
    <row r="685" spans="1:71" x14ac:dyDescent="0.25">
      <c r="A685" s="108" t="s">
        <v>330</v>
      </c>
      <c r="B685" s="12"/>
      <c r="C685" s="9"/>
      <c r="D685" s="25"/>
      <c r="E685" s="10" t="str">
        <f t="shared" si="900"/>
        <v>OutubroSEMANA 1Ervilha lata</v>
      </c>
      <c r="F685" s="7">
        <f>SUMIF(NF!$A:$A,$E685,NF!$I:$I)</f>
        <v>0</v>
      </c>
      <c r="G685" s="6"/>
      <c r="H685" s="6"/>
      <c r="I685" s="6"/>
      <c r="J685" s="6"/>
      <c r="K685" s="6"/>
      <c r="L685" s="6"/>
      <c r="M685" s="6"/>
      <c r="N685" s="7">
        <f t="shared" si="910"/>
        <v>0</v>
      </c>
      <c r="O685" s="11">
        <f t="shared" si="828"/>
        <v>0</v>
      </c>
      <c r="P685" s="25"/>
      <c r="Q685" s="10" t="str">
        <f t="shared" si="901"/>
        <v>OutubroSEMANA 2Ervilha lata</v>
      </c>
      <c r="R685" s="7">
        <f>SUMIF(NF!$A:$A,$Q685,NF!$I:$I)</f>
        <v>0</v>
      </c>
      <c r="S685" s="6"/>
      <c r="T685" s="6"/>
      <c r="U685" s="6"/>
      <c r="V685" s="6"/>
      <c r="W685" s="6"/>
      <c r="X685" s="6"/>
      <c r="Y685" s="6"/>
      <c r="Z685" s="7">
        <f t="shared" si="911"/>
        <v>0</v>
      </c>
      <c r="AA685" s="11">
        <f t="shared" si="831"/>
        <v>0</v>
      </c>
      <c r="AB685" s="25"/>
      <c r="AC685" s="10" t="str">
        <f t="shared" si="902"/>
        <v>OutubroSEMANA 3Ervilha lata</v>
      </c>
      <c r="AD685" s="7">
        <f>SUMIF(NF!$A:$A,$AC685,NF!$I:$I)</f>
        <v>0</v>
      </c>
      <c r="AE685" s="6"/>
      <c r="AF685" s="6"/>
      <c r="AG685" s="6"/>
      <c r="AH685" s="6"/>
      <c r="AI685" s="6"/>
      <c r="AJ685" s="6"/>
      <c r="AK685" s="6"/>
      <c r="AL685" s="7">
        <f t="shared" si="912"/>
        <v>0</v>
      </c>
      <c r="AM685" s="11">
        <f t="shared" si="834"/>
        <v>0</v>
      </c>
      <c r="AN685" s="25"/>
      <c r="AO685" s="10" t="str">
        <f t="shared" si="903"/>
        <v>OutubroSEMANA 4Ervilha lata</v>
      </c>
      <c r="AP685" s="7">
        <f>SUMIF(NF!$A:$A,$AO685,NF!$I:$I)</f>
        <v>0</v>
      </c>
      <c r="AQ685" s="6"/>
      <c r="AR685" s="6"/>
      <c r="AS685" s="6"/>
      <c r="AT685" s="6"/>
      <c r="AU685" s="6"/>
      <c r="AV685" s="6"/>
      <c r="AW685" s="6"/>
      <c r="AX685" s="7">
        <f t="shared" si="913"/>
        <v>0</v>
      </c>
      <c r="AY685" s="11">
        <f t="shared" si="837"/>
        <v>0</v>
      </c>
      <c r="AZ685" s="25"/>
      <c r="BA685" s="10" t="str">
        <f t="shared" si="904"/>
        <v>OutubroSEMANA 5Ervilha lata</v>
      </c>
      <c r="BB685" s="7">
        <f>SUMIF(NF!$A:$A,$BA685,NF!$I:$I)</f>
        <v>0</v>
      </c>
      <c r="BC685" s="6"/>
      <c r="BD685" s="6"/>
      <c r="BE685" s="6"/>
      <c r="BF685" s="74"/>
      <c r="BG685" s="74"/>
      <c r="BH685" s="74"/>
      <c r="BI685" s="74"/>
      <c r="BJ685" s="74"/>
      <c r="BK685" s="7">
        <f t="shared" si="914"/>
        <v>0</v>
      </c>
      <c r="BL685" s="8">
        <f t="shared" si="840"/>
        <v>0</v>
      </c>
      <c r="BM685" s="51" t="str">
        <f>IFERROR(VLOOKUP(A685,NF!$M:$O,3,0),"")</f>
        <v>Mercado</v>
      </c>
      <c r="BN685" s="7">
        <f t="shared" si="841"/>
        <v>0</v>
      </c>
      <c r="BO685" s="8">
        <f t="array" ref="BO685">IFERROR(LARGE(IF(NF!$G$2:$G$3137='Mês atual'!A685,NF!$J$2:$J$3137),1),0)*BN685</f>
        <v>0</v>
      </c>
      <c r="BP685" s="50"/>
      <c r="BR685" s="147">
        <f t="array" ref="BR685">IFERROR(LARGE(IF(NF!$G$2:$G$3137='Mês atual'!A685,NF!$J$2:$J$3137),1),0)</f>
        <v>0</v>
      </c>
      <c r="BS685" s="143" t="str">
        <f>VLOOKUP(A685,NF!M:O,3,0)</f>
        <v>Mercado</v>
      </c>
    </row>
    <row r="686" spans="1:71" x14ac:dyDescent="0.25">
      <c r="A686" s="108" t="s">
        <v>341</v>
      </c>
      <c r="B686" s="12"/>
      <c r="C686" s="9">
        <v>33</v>
      </c>
      <c r="D686" s="25"/>
      <c r="E686" s="10" t="str">
        <f t="shared" si="900"/>
        <v>OutubroSEMANA 1Farinha de Mandioca</v>
      </c>
      <c r="F686" s="7">
        <f>SUMIF(NF!$A:$A,$E686,NF!$I:$I)</f>
        <v>20</v>
      </c>
      <c r="G686" s="6">
        <v>4</v>
      </c>
      <c r="H686" s="6">
        <v>4</v>
      </c>
      <c r="I686" s="6"/>
      <c r="J686" s="6">
        <v>3</v>
      </c>
      <c r="K686" s="6">
        <f>4+1+4</f>
        <v>9</v>
      </c>
      <c r="L686" s="6">
        <v>2</v>
      </c>
      <c r="M686" s="6">
        <v>5</v>
      </c>
      <c r="N686" s="7">
        <f t="shared" ref="N686:N687" si="915">SUM(G686:M686)</f>
        <v>27</v>
      </c>
      <c r="O686" s="11">
        <f t="shared" si="828"/>
        <v>26</v>
      </c>
      <c r="P686" s="25"/>
      <c r="Q686" s="10" t="str">
        <f t="shared" si="901"/>
        <v>OutubroSEMANA 2Farinha de Mandioca</v>
      </c>
      <c r="R686" s="7">
        <f>SUMIF(NF!$A:$A,$Q686,NF!$I:$I)</f>
        <v>20</v>
      </c>
      <c r="S686" s="6"/>
      <c r="T686" s="6"/>
      <c r="U686" s="6">
        <v>4</v>
      </c>
      <c r="V686" s="6">
        <v>2</v>
      </c>
      <c r="W686" s="6">
        <v>4</v>
      </c>
      <c r="X686" s="6">
        <v>3</v>
      </c>
      <c r="Y686" s="6"/>
      <c r="Z686" s="7">
        <f t="shared" ref="Z686:Z687" si="916">SUM(S686:Y686)</f>
        <v>13</v>
      </c>
      <c r="AA686" s="11">
        <f t="shared" si="831"/>
        <v>33</v>
      </c>
      <c r="AB686" s="25"/>
      <c r="AC686" s="10" t="str">
        <f t="shared" si="902"/>
        <v>OutubroSEMANA 3Farinha de Mandioca</v>
      </c>
      <c r="AD686" s="7">
        <f>SUMIF(NF!$A:$A,$AC686,NF!$I:$I)</f>
        <v>20</v>
      </c>
      <c r="AE686" s="6">
        <v>2</v>
      </c>
      <c r="AF686" s="6">
        <v>4</v>
      </c>
      <c r="AG686" s="6">
        <v>3</v>
      </c>
      <c r="AH686" s="6">
        <v>3</v>
      </c>
      <c r="AI686" s="6">
        <v>4</v>
      </c>
      <c r="AJ686" s="6">
        <v>5</v>
      </c>
      <c r="AK686" s="6">
        <v>3</v>
      </c>
      <c r="AL686" s="7">
        <f t="shared" ref="AL686:AL687" si="917">SUM(AE686:AK686)</f>
        <v>24</v>
      </c>
      <c r="AM686" s="11">
        <f t="shared" si="834"/>
        <v>29</v>
      </c>
      <c r="AN686" s="25"/>
      <c r="AO686" s="10" t="str">
        <f t="shared" si="903"/>
        <v>OutubroSEMANA 4Farinha de Mandioca</v>
      </c>
      <c r="AP686" s="7">
        <f>SUMIF(NF!$A:$A,$AO686,NF!$I:$I)</f>
        <v>20</v>
      </c>
      <c r="AQ686" s="6"/>
      <c r="AR686" s="6">
        <v>4</v>
      </c>
      <c r="AS686" s="6">
        <v>3</v>
      </c>
      <c r="AT686" s="6">
        <v>4</v>
      </c>
      <c r="AU686" s="6">
        <v>4</v>
      </c>
      <c r="AV686" s="6">
        <v>3</v>
      </c>
      <c r="AW686" s="6"/>
      <c r="AX686" s="7">
        <f t="shared" ref="AX686:AX687" si="918">SUM(AQ686:AW686)</f>
        <v>18</v>
      </c>
      <c r="AY686" s="11">
        <f t="shared" si="837"/>
        <v>31</v>
      </c>
      <c r="AZ686" s="25"/>
      <c r="BA686" s="10" t="str">
        <f t="shared" si="904"/>
        <v>OutubroSEMANA 5Farinha de Mandioca</v>
      </c>
      <c r="BB686" s="7">
        <f>SUMIF(NF!$A:$A,$BA686,NF!$I:$I)</f>
        <v>0</v>
      </c>
      <c r="BC686" s="6">
        <v>4</v>
      </c>
      <c r="BD686" s="6">
        <v>3</v>
      </c>
      <c r="BE686" s="6">
        <v>4</v>
      </c>
      <c r="BF686" s="74"/>
      <c r="BG686" s="74"/>
      <c r="BH686" s="74"/>
      <c r="BI686" s="74"/>
      <c r="BJ686" s="74"/>
      <c r="BK686" s="7">
        <f t="shared" ref="BK686:BK687" si="919">SUM(BC686:BJ686)</f>
        <v>11</v>
      </c>
      <c r="BL686" s="8">
        <f t="shared" si="840"/>
        <v>20</v>
      </c>
      <c r="BM686" s="51" t="str">
        <f>IFERROR(VLOOKUP(A686,NF!$M:$O,3,0),"")</f>
        <v>Mercado</v>
      </c>
      <c r="BN686" s="7">
        <f t="shared" si="841"/>
        <v>93</v>
      </c>
      <c r="BO686" s="8">
        <f t="array" ref="BO686">IFERROR(LARGE(IF(NF!$G$2:$G$3137='Mês atual'!A686,NF!$J$2:$J$3137),1),0)*BN686</f>
        <v>454.77</v>
      </c>
      <c r="BP686" s="50"/>
      <c r="BR686" s="147">
        <f t="array" ref="BR686">IFERROR(LARGE(IF(NF!$G$2:$G$3137='Mês atual'!A686,NF!$J$2:$J$3137),1),0)</f>
        <v>4.8899999999999997</v>
      </c>
      <c r="BS686" s="143" t="str">
        <f>VLOOKUP(A686,NF!M:O,3,0)</f>
        <v>Mercado</v>
      </c>
    </row>
    <row r="687" spans="1:71" x14ac:dyDescent="0.25">
      <c r="A687" s="108" t="s">
        <v>342</v>
      </c>
      <c r="B687" s="12"/>
      <c r="C687" s="9"/>
      <c r="D687" s="25"/>
      <c r="E687" s="10" t="str">
        <f t="shared" si="900"/>
        <v>OutubroSEMANA 1Farinha de Rosca</v>
      </c>
      <c r="F687" s="7">
        <f>SUMIF(NF!$A:$A,$E687,NF!$I:$I)</f>
        <v>0</v>
      </c>
      <c r="G687" s="6"/>
      <c r="H687" s="6"/>
      <c r="I687" s="6"/>
      <c r="J687" s="6"/>
      <c r="K687" s="6"/>
      <c r="L687" s="6"/>
      <c r="M687" s="6"/>
      <c r="N687" s="7">
        <f t="shared" si="915"/>
        <v>0</v>
      </c>
      <c r="O687" s="11">
        <f t="shared" si="828"/>
        <v>0</v>
      </c>
      <c r="P687" s="25"/>
      <c r="Q687" s="10" t="str">
        <f t="shared" si="901"/>
        <v>OutubroSEMANA 2Farinha de Rosca</v>
      </c>
      <c r="R687" s="7">
        <f>SUMIF(NF!$A:$A,$Q687,NF!$I:$I)</f>
        <v>10</v>
      </c>
      <c r="S687" s="6"/>
      <c r="T687" s="6"/>
      <c r="U687" s="6"/>
      <c r="V687" s="6"/>
      <c r="W687" s="6">
        <v>10</v>
      </c>
      <c r="X687" s="6"/>
      <c r="Y687" s="6"/>
      <c r="Z687" s="7">
        <f t="shared" si="916"/>
        <v>10</v>
      </c>
      <c r="AA687" s="11">
        <f t="shared" si="831"/>
        <v>0</v>
      </c>
      <c r="AB687" s="25"/>
      <c r="AC687" s="10" t="str">
        <f t="shared" si="902"/>
        <v>OutubroSEMANA 3Farinha de Rosca</v>
      </c>
      <c r="AD687" s="7">
        <f>SUMIF(NF!$A:$A,$AC687,NF!$I:$I)</f>
        <v>0</v>
      </c>
      <c r="AE687" s="6"/>
      <c r="AF687" s="6"/>
      <c r="AG687" s="6"/>
      <c r="AH687" s="6"/>
      <c r="AI687" s="6"/>
      <c r="AJ687" s="6"/>
      <c r="AK687" s="6"/>
      <c r="AL687" s="7">
        <f t="shared" si="917"/>
        <v>0</v>
      </c>
      <c r="AM687" s="11">
        <f t="shared" si="834"/>
        <v>0</v>
      </c>
      <c r="AN687" s="25"/>
      <c r="AO687" s="10" t="str">
        <f t="shared" si="903"/>
        <v>OutubroSEMANA 4Farinha de Rosca</v>
      </c>
      <c r="AP687" s="7">
        <f>SUMIF(NF!$A:$A,$AO687,NF!$I:$I)</f>
        <v>10</v>
      </c>
      <c r="AQ687" s="6"/>
      <c r="AR687" s="6"/>
      <c r="AS687" s="6"/>
      <c r="AT687" s="6"/>
      <c r="AU687" s="6"/>
      <c r="AV687" s="6"/>
      <c r="AW687" s="6"/>
      <c r="AX687" s="7">
        <f t="shared" si="918"/>
        <v>0</v>
      </c>
      <c r="AY687" s="11">
        <f t="shared" si="837"/>
        <v>10</v>
      </c>
      <c r="AZ687" s="25"/>
      <c r="BA687" s="10" t="str">
        <f t="shared" si="904"/>
        <v>OutubroSEMANA 5Farinha de Rosca</v>
      </c>
      <c r="BB687" s="7">
        <f>SUMIF(NF!$A:$A,$BA687,NF!$I:$I)</f>
        <v>0</v>
      </c>
      <c r="BC687" s="6"/>
      <c r="BD687" s="6"/>
      <c r="BE687" s="6">
        <v>10</v>
      </c>
      <c r="BF687" s="74"/>
      <c r="BG687" s="74"/>
      <c r="BH687" s="74"/>
      <c r="BI687" s="74"/>
      <c r="BJ687" s="74"/>
      <c r="BK687" s="7">
        <f t="shared" si="919"/>
        <v>10</v>
      </c>
      <c r="BL687" s="8">
        <f t="shared" si="840"/>
        <v>0</v>
      </c>
      <c r="BM687" s="51" t="str">
        <f>IFERROR(VLOOKUP(A687,NF!$M:$O,3,0),"")</f>
        <v>Mercado</v>
      </c>
      <c r="BN687" s="7">
        <f t="shared" si="841"/>
        <v>20</v>
      </c>
      <c r="BO687" s="8">
        <f t="array" ref="BO687">IFERROR(LARGE(IF(NF!$G$2:$G$3137='Mês atual'!A687,NF!$J$2:$J$3137),1),0)*BN687</f>
        <v>180</v>
      </c>
      <c r="BP687" s="50"/>
      <c r="BR687" s="147">
        <f t="array" ref="BR687">IFERROR(LARGE(IF(NF!$G$2:$G$3137='Mês atual'!A687,NF!$J$2:$J$3137),1),0)</f>
        <v>9</v>
      </c>
      <c r="BS687" s="143" t="str">
        <f>VLOOKUP(A687,NF!M:O,3,0)</f>
        <v>Mercado</v>
      </c>
    </row>
    <row r="688" spans="1:71" x14ac:dyDescent="0.25">
      <c r="A688" s="108" t="s">
        <v>343</v>
      </c>
      <c r="B688" s="12"/>
      <c r="C688" s="9">
        <v>40</v>
      </c>
      <c r="D688" s="25"/>
      <c r="E688" s="10" t="str">
        <f t="shared" si="900"/>
        <v>OutubroSEMANA 1Farinha de Trigo</v>
      </c>
      <c r="F688" s="7">
        <f>SUMIF(NF!$A:$A,$E688,NF!$I:$I)</f>
        <v>19</v>
      </c>
      <c r="G688" s="6">
        <v>10</v>
      </c>
      <c r="H688" s="6"/>
      <c r="I688" s="6"/>
      <c r="J688" s="6">
        <v>10</v>
      </c>
      <c r="K688" s="6">
        <v>10</v>
      </c>
      <c r="L688" s="6"/>
      <c r="M688" s="6">
        <f>10-1</f>
        <v>9</v>
      </c>
      <c r="N688" s="7">
        <f t="shared" ref="N688:N698" si="920">SUM(G688:M688)</f>
        <v>39</v>
      </c>
      <c r="O688" s="11">
        <f t="shared" si="828"/>
        <v>20</v>
      </c>
      <c r="P688" s="25"/>
      <c r="Q688" s="10" t="str">
        <f t="shared" si="901"/>
        <v>OutubroSEMANA 2Farinha de Trigo</v>
      </c>
      <c r="R688" s="7">
        <f>SUMIF(NF!$A:$A,$Q688,NF!$I:$I)</f>
        <v>30</v>
      </c>
      <c r="S688" s="6"/>
      <c r="T688" s="6"/>
      <c r="U688" s="6">
        <v>10</v>
      </c>
      <c r="V688" s="6"/>
      <c r="W688" s="6">
        <v>10</v>
      </c>
      <c r="X688" s="6"/>
      <c r="Y688" s="6"/>
      <c r="Z688" s="7">
        <f>SUM(S688:Y688)</f>
        <v>20</v>
      </c>
      <c r="AA688" s="11">
        <f t="shared" si="831"/>
        <v>30</v>
      </c>
      <c r="AB688" s="25"/>
      <c r="AC688" s="10" t="str">
        <f t="shared" si="902"/>
        <v>OutubroSEMANA 3Farinha de Trigo</v>
      </c>
      <c r="AD688" s="7">
        <f>SUMIF(NF!$A:$A,$AC688,NF!$I:$I)</f>
        <v>30</v>
      </c>
      <c r="AE688" s="6"/>
      <c r="AF688" s="6">
        <v>10</v>
      </c>
      <c r="AG688" s="6">
        <v>10</v>
      </c>
      <c r="AH688" s="6"/>
      <c r="AI688" s="6">
        <v>10</v>
      </c>
      <c r="AJ688" s="6"/>
      <c r="AK688" s="6"/>
      <c r="AL688" s="7">
        <f>SUM(AE688:AK688)</f>
        <v>30</v>
      </c>
      <c r="AM688" s="11">
        <f t="shared" si="834"/>
        <v>30</v>
      </c>
      <c r="AN688" s="25"/>
      <c r="AO688" s="10" t="str">
        <f t="shared" si="903"/>
        <v>OutubroSEMANA 4Farinha de Trigo</v>
      </c>
      <c r="AP688" s="7">
        <f>SUMIF(NF!$A:$A,$AO688,NF!$I:$I)</f>
        <v>30</v>
      </c>
      <c r="AQ688" s="6"/>
      <c r="AR688" s="6">
        <v>10</v>
      </c>
      <c r="AS688" s="6">
        <v>10</v>
      </c>
      <c r="AT688" s="6"/>
      <c r="AU688" s="6"/>
      <c r="AV688" s="6"/>
      <c r="AW688" s="6">
        <v>10</v>
      </c>
      <c r="AX688" s="7">
        <f>SUM(AQ688:AW688)</f>
        <v>30</v>
      </c>
      <c r="AY688" s="11">
        <f t="shared" si="837"/>
        <v>30</v>
      </c>
      <c r="AZ688" s="25"/>
      <c r="BA688" s="10" t="str">
        <f t="shared" si="904"/>
        <v>OutubroSEMANA 5Farinha de Trigo</v>
      </c>
      <c r="BB688" s="7">
        <f>SUMIF(NF!$A:$A,$BA688,NF!$I:$I)</f>
        <v>0</v>
      </c>
      <c r="BC688" s="6"/>
      <c r="BD688" s="6">
        <v>10</v>
      </c>
      <c r="BE688" s="6"/>
      <c r="BF688" s="74"/>
      <c r="BG688" s="74"/>
      <c r="BH688" s="74"/>
      <c r="BI688" s="74"/>
      <c r="BJ688" s="74"/>
      <c r="BK688" s="7">
        <f>SUM(BC688:BJ688)</f>
        <v>10</v>
      </c>
      <c r="BL688" s="8">
        <f t="shared" si="840"/>
        <v>20</v>
      </c>
      <c r="BM688" s="51" t="str">
        <f>IFERROR(VLOOKUP(A688,NF!$M:$O,3,0),"")</f>
        <v>Mercado</v>
      </c>
      <c r="BN688" s="7">
        <f t="shared" si="841"/>
        <v>129</v>
      </c>
      <c r="BO688" s="8">
        <f t="array" ref="BO688">IFERROR(LARGE(IF(NF!$G$2:$G$3137='Mês atual'!A688,NF!$J$2:$J$3137),1),0)*BN688</f>
        <v>216.59100000000001</v>
      </c>
      <c r="BP688" s="50"/>
      <c r="BR688" s="147">
        <f t="array" ref="BR688">IFERROR(LARGE(IF(NF!$G$2:$G$3137='Mês atual'!A688,NF!$J$2:$J$3137),1),0)</f>
        <v>1.679</v>
      </c>
      <c r="BS688" s="143" t="str">
        <f>VLOOKUP(A688,NF!M:O,3,0)</f>
        <v>Mercado</v>
      </c>
    </row>
    <row r="689" spans="1:71" x14ac:dyDescent="0.25">
      <c r="A689" s="108" t="s">
        <v>344</v>
      </c>
      <c r="B689" s="12"/>
      <c r="C689" s="9"/>
      <c r="D689" s="25"/>
      <c r="E689" s="10" t="str">
        <f t="shared" si="900"/>
        <v>OutubroSEMANA 1Farinha de Trigo Semoli</v>
      </c>
      <c r="F689" s="7">
        <f>SUMIF(NF!$A:$A,$E689,NF!$I:$I)</f>
        <v>0</v>
      </c>
      <c r="G689" s="6"/>
      <c r="H689" s="6"/>
      <c r="I689" s="6"/>
      <c r="J689" s="6"/>
      <c r="K689" s="6"/>
      <c r="L689" s="6"/>
      <c r="M689" s="6"/>
      <c r="N689" s="7">
        <f t="shared" si="920"/>
        <v>0</v>
      </c>
      <c r="O689" s="11">
        <f t="shared" si="828"/>
        <v>0</v>
      </c>
      <c r="P689" s="25"/>
      <c r="Q689" s="10" t="str">
        <f t="shared" si="901"/>
        <v>OutubroSEMANA 2Farinha de Trigo Semoli</v>
      </c>
      <c r="R689" s="7">
        <f>SUMIF(NF!$A:$A,$Q689,NF!$I:$I)</f>
        <v>0</v>
      </c>
      <c r="S689" s="6"/>
      <c r="T689" s="6"/>
      <c r="U689" s="6"/>
      <c r="V689" s="6"/>
      <c r="W689" s="6"/>
      <c r="X689" s="6"/>
      <c r="Y689" s="6"/>
      <c r="Z689" s="7">
        <f t="shared" ref="Z689" si="921">SUM(S689:Y689)</f>
        <v>0</v>
      </c>
      <c r="AA689" s="11">
        <f t="shared" si="831"/>
        <v>0</v>
      </c>
      <c r="AB689" s="25"/>
      <c r="AC689" s="10" t="str">
        <f t="shared" si="902"/>
        <v>OutubroSEMANA 3Farinha de Trigo Semoli</v>
      </c>
      <c r="AD689" s="7">
        <f>SUMIF(NF!$A:$A,$AC689,NF!$I:$I)</f>
        <v>0</v>
      </c>
      <c r="AE689" s="6"/>
      <c r="AF689" s="6"/>
      <c r="AG689" s="6"/>
      <c r="AH689" s="6"/>
      <c r="AI689" s="6"/>
      <c r="AJ689" s="6"/>
      <c r="AK689" s="6"/>
      <c r="AL689" s="7">
        <f t="shared" ref="AL689" si="922">SUM(AE689:AK689)</f>
        <v>0</v>
      </c>
      <c r="AM689" s="11">
        <f t="shared" si="834"/>
        <v>0</v>
      </c>
      <c r="AN689" s="25"/>
      <c r="AO689" s="10" t="str">
        <f t="shared" si="903"/>
        <v>OutubroSEMANA 4Farinha de Trigo Semoli</v>
      </c>
      <c r="AP689" s="7">
        <f>SUMIF(NF!$A:$A,$AO689,NF!$I:$I)</f>
        <v>0</v>
      </c>
      <c r="AQ689" s="6"/>
      <c r="AR689" s="6"/>
      <c r="AS689" s="6"/>
      <c r="AT689" s="6"/>
      <c r="AU689" s="6"/>
      <c r="AV689" s="6"/>
      <c r="AW689" s="6"/>
      <c r="AX689" s="7">
        <f t="shared" ref="AX689" si="923">SUM(AQ689:AW689)</f>
        <v>0</v>
      </c>
      <c r="AY689" s="11">
        <f t="shared" si="837"/>
        <v>0</v>
      </c>
      <c r="AZ689" s="25"/>
      <c r="BA689" s="10" t="str">
        <f t="shared" si="904"/>
        <v>OutubroSEMANA 5Farinha de Trigo Semoli</v>
      </c>
      <c r="BB689" s="7">
        <f>SUMIF(NF!$A:$A,$BA689,NF!$I:$I)</f>
        <v>0</v>
      </c>
      <c r="BC689" s="6"/>
      <c r="BD689" s="6"/>
      <c r="BE689" s="6"/>
      <c r="BF689" s="74"/>
      <c r="BG689" s="74"/>
      <c r="BH689" s="74"/>
      <c r="BI689" s="74"/>
      <c r="BJ689" s="74"/>
      <c r="BK689" s="7">
        <f t="shared" ref="BK689" si="924">SUM(BC689:BJ689)</f>
        <v>0</v>
      </c>
      <c r="BL689" s="8">
        <f t="shared" si="840"/>
        <v>0</v>
      </c>
      <c r="BM689" s="51" t="str">
        <f>IFERROR(VLOOKUP(A689,NF!$M:$O,3,0),"")</f>
        <v>Mercado</v>
      </c>
      <c r="BN689" s="7">
        <f t="shared" si="841"/>
        <v>0</v>
      </c>
      <c r="BO689" s="8">
        <f t="array" ref="BO689">IFERROR(LARGE(IF(NF!$G$2:$G$3137='Mês atual'!A689,NF!$J$2:$J$3137),1),0)*BN689</f>
        <v>0</v>
      </c>
      <c r="BP689" s="50"/>
      <c r="BR689" s="147">
        <f t="array" ref="BR689">IFERROR(LARGE(IF(NF!$G$2:$G$3137='Mês atual'!A689,NF!$J$2:$J$3137),1),0)</f>
        <v>0</v>
      </c>
      <c r="BS689" s="143" t="str">
        <f>VLOOKUP(A689,NF!M:O,3,0)</f>
        <v>Mercado</v>
      </c>
    </row>
    <row r="690" spans="1:71" x14ac:dyDescent="0.25">
      <c r="A690" s="108" t="s">
        <v>345</v>
      </c>
      <c r="B690" s="12"/>
      <c r="C690" s="9">
        <v>5</v>
      </c>
      <c r="D690" s="25"/>
      <c r="E690" s="10" t="str">
        <f t="shared" si="900"/>
        <v>OutubroSEMANA 1Farinha Panco</v>
      </c>
      <c r="F690" s="7">
        <f>SUMIF(NF!$A:$A,$E690,NF!$I:$I)</f>
        <v>6</v>
      </c>
      <c r="G690" s="6"/>
      <c r="H690" s="6"/>
      <c r="I690" s="6">
        <v>1</v>
      </c>
      <c r="J690" s="6">
        <v>3</v>
      </c>
      <c r="K690" s="6"/>
      <c r="L690" s="6"/>
      <c r="M690" s="6"/>
      <c r="N690" s="7">
        <f t="shared" si="920"/>
        <v>4</v>
      </c>
      <c r="O690" s="11">
        <f t="shared" si="828"/>
        <v>7</v>
      </c>
      <c r="P690" s="25"/>
      <c r="Q690" s="10" t="str">
        <f t="shared" si="901"/>
        <v>OutubroSEMANA 2Farinha Panco</v>
      </c>
      <c r="R690" s="7">
        <f>SUMIF(NF!$A:$A,$Q690,NF!$I:$I)</f>
        <v>6</v>
      </c>
      <c r="S690" s="6"/>
      <c r="T690" s="6"/>
      <c r="U690" s="6"/>
      <c r="V690" s="6">
        <v>3</v>
      </c>
      <c r="W690" s="6"/>
      <c r="X690" s="6">
        <v>1</v>
      </c>
      <c r="Y690" s="6"/>
      <c r="Z690" s="7">
        <f t="shared" ref="Z690:Z698" si="925">SUM(S690:Y690)</f>
        <v>4</v>
      </c>
      <c r="AA690" s="11">
        <f t="shared" si="831"/>
        <v>9</v>
      </c>
      <c r="AB690" s="25"/>
      <c r="AC690" s="10" t="str">
        <f t="shared" si="902"/>
        <v>OutubroSEMANA 3Farinha Panco</v>
      </c>
      <c r="AD690" s="7">
        <f>SUMIF(NF!$A:$A,$AC690,NF!$I:$I)</f>
        <v>3</v>
      </c>
      <c r="AE690" s="6"/>
      <c r="AF690" s="6"/>
      <c r="AG690" s="6">
        <v>4</v>
      </c>
      <c r="AH690" s="6"/>
      <c r="AI690" s="6"/>
      <c r="AJ690" s="6"/>
      <c r="AK690" s="6"/>
      <c r="AL690" s="7">
        <f t="shared" ref="AL690:AL698" si="926">SUM(AE690:AK690)</f>
        <v>4</v>
      </c>
      <c r="AM690" s="11">
        <f t="shared" si="834"/>
        <v>8</v>
      </c>
      <c r="AN690" s="25"/>
      <c r="AO690" s="10" t="str">
        <f t="shared" si="903"/>
        <v>OutubroSEMANA 4Farinha Panco</v>
      </c>
      <c r="AP690" s="7">
        <f>SUMIF(NF!$A:$A,$AO690,NF!$I:$I)</f>
        <v>5</v>
      </c>
      <c r="AQ690" s="6"/>
      <c r="AR690" s="6">
        <v>3</v>
      </c>
      <c r="AS690" s="6"/>
      <c r="AT690" s="6">
        <v>1</v>
      </c>
      <c r="AU690" s="6"/>
      <c r="AV690" s="6"/>
      <c r="AW690" s="6">
        <f>2+1</f>
        <v>3</v>
      </c>
      <c r="AX690" s="7">
        <f t="shared" ref="AX690:AX698" si="927">SUM(AQ690:AW690)</f>
        <v>7</v>
      </c>
      <c r="AY690" s="11">
        <f t="shared" si="837"/>
        <v>6</v>
      </c>
      <c r="AZ690" s="25"/>
      <c r="BA690" s="10" t="str">
        <f t="shared" si="904"/>
        <v>OutubroSEMANA 5Farinha Panco</v>
      </c>
      <c r="BB690" s="7">
        <f>SUMIF(NF!$A:$A,$BA690,NF!$I:$I)</f>
        <v>9</v>
      </c>
      <c r="BC690" s="6"/>
      <c r="BD690" s="6"/>
      <c r="BE690" s="6"/>
      <c r="BF690" s="74"/>
      <c r="BG690" s="74"/>
      <c r="BH690" s="74"/>
      <c r="BI690" s="74"/>
      <c r="BJ690" s="74"/>
      <c r="BK690" s="7">
        <f t="shared" ref="BK690:BK698" si="928">SUM(BC690:BJ690)</f>
        <v>0</v>
      </c>
      <c r="BL690" s="8">
        <f t="shared" si="840"/>
        <v>15</v>
      </c>
      <c r="BM690" s="51" t="str">
        <f>IFERROR(VLOOKUP(A690,NF!$M:$O,3,0),"")</f>
        <v>Mercado</v>
      </c>
      <c r="BN690" s="7">
        <f t="shared" si="841"/>
        <v>19</v>
      </c>
      <c r="BO690" s="8">
        <f t="array" ref="BO690">IFERROR(LARGE(IF(NF!$G$2:$G$3137='Mês atual'!A690,NF!$J$2:$J$3137),1),0)*BN690</f>
        <v>336.3</v>
      </c>
      <c r="BP690" s="50"/>
      <c r="BR690" s="147">
        <f t="array" ref="BR690">IFERROR(LARGE(IF(NF!$G$2:$G$3137='Mês atual'!A690,NF!$J$2:$J$3137),1),0)</f>
        <v>17.7</v>
      </c>
      <c r="BS690" s="143" t="str">
        <f>VLOOKUP(A690,NF!M:O,3,0)</f>
        <v>Mercado</v>
      </c>
    </row>
    <row r="691" spans="1:71" x14ac:dyDescent="0.25">
      <c r="A691" s="108" t="s">
        <v>346</v>
      </c>
      <c r="B691" s="12"/>
      <c r="C691" s="9">
        <v>3.2</v>
      </c>
      <c r="D691" s="25"/>
      <c r="E691" s="10" t="str">
        <f t="shared" si="900"/>
        <v>OutubroSEMANA 1Favas</v>
      </c>
      <c r="F691" s="7">
        <f>SUMIF(NF!$A:$A,$E691,NF!$I:$I)</f>
        <v>0</v>
      </c>
      <c r="G691" s="6"/>
      <c r="H691" s="6"/>
      <c r="I691" s="6"/>
      <c r="J691" s="6"/>
      <c r="K691" s="6"/>
      <c r="L691" s="6"/>
      <c r="M691" s="6"/>
      <c r="N691" s="7">
        <f t="shared" si="920"/>
        <v>0</v>
      </c>
      <c r="O691" s="11">
        <f t="shared" si="828"/>
        <v>3.2</v>
      </c>
      <c r="P691" s="25"/>
      <c r="Q691" s="10" t="str">
        <f t="shared" si="901"/>
        <v>OutubroSEMANA 2Favas</v>
      </c>
      <c r="R691" s="7">
        <f>SUMIF(NF!$A:$A,$Q691,NF!$I:$I)</f>
        <v>6.4</v>
      </c>
      <c r="S691" s="6"/>
      <c r="T691" s="6"/>
      <c r="U691" s="6"/>
      <c r="V691" s="6"/>
      <c r="W691" s="6"/>
      <c r="X691" s="6"/>
      <c r="Y691" s="6"/>
      <c r="Z691" s="7">
        <f t="shared" si="925"/>
        <v>0</v>
      </c>
      <c r="AA691" s="11">
        <f t="shared" si="831"/>
        <v>9.6000000000000014</v>
      </c>
      <c r="AB691" s="25"/>
      <c r="AC691" s="10" t="str">
        <f t="shared" si="902"/>
        <v>OutubroSEMANA 3Favas</v>
      </c>
      <c r="AD691" s="7">
        <f>SUMIF(NF!$A:$A,$AC691,NF!$I:$I)</f>
        <v>0</v>
      </c>
      <c r="AE691" s="6"/>
      <c r="AF691" s="6"/>
      <c r="AG691" s="6"/>
      <c r="AH691" s="6"/>
      <c r="AI691" s="6"/>
      <c r="AJ691" s="6"/>
      <c r="AK691" s="6"/>
      <c r="AL691" s="7">
        <f t="shared" si="926"/>
        <v>0</v>
      </c>
      <c r="AM691" s="11">
        <f t="shared" si="834"/>
        <v>9.6000000000000014</v>
      </c>
      <c r="AN691" s="25"/>
      <c r="AO691" s="10" t="str">
        <f t="shared" si="903"/>
        <v>OutubroSEMANA 4Favas</v>
      </c>
      <c r="AP691" s="7">
        <f>SUMIF(NF!$A:$A,$AO691,NF!$I:$I)</f>
        <v>0</v>
      </c>
      <c r="AQ691" s="6"/>
      <c r="AR691" s="6"/>
      <c r="AS691" s="6"/>
      <c r="AT691" s="6"/>
      <c r="AU691" s="6"/>
      <c r="AV691" s="6"/>
      <c r="AW691" s="6"/>
      <c r="AX691" s="7">
        <f t="shared" si="927"/>
        <v>0</v>
      </c>
      <c r="AY691" s="11">
        <f t="shared" si="837"/>
        <v>9.6000000000000014</v>
      </c>
      <c r="AZ691" s="25"/>
      <c r="BA691" s="10" t="str">
        <f t="shared" si="904"/>
        <v>OutubroSEMANA 5Favas</v>
      </c>
      <c r="BB691" s="7">
        <f>SUMIF(NF!$A:$A,$BA691,NF!$I:$I)</f>
        <v>0</v>
      </c>
      <c r="BC691" s="6"/>
      <c r="BD691" s="6"/>
      <c r="BE691" s="6">
        <v>3.2</v>
      </c>
      <c r="BF691" s="74"/>
      <c r="BG691" s="74"/>
      <c r="BH691" s="74"/>
      <c r="BI691" s="74"/>
      <c r="BJ691" s="74"/>
      <c r="BK691" s="7">
        <f t="shared" si="928"/>
        <v>3.2</v>
      </c>
      <c r="BL691" s="8">
        <f t="shared" si="840"/>
        <v>6.4000000000000012</v>
      </c>
      <c r="BM691" s="51" t="str">
        <f>IFERROR(VLOOKUP(A691,NF!$M:$O,3,0),"")</f>
        <v>Mercado</v>
      </c>
      <c r="BN691" s="7">
        <f t="shared" si="841"/>
        <v>3.2</v>
      </c>
      <c r="BO691" s="8">
        <f t="array" ref="BO691">IFERROR(LARGE(IF(NF!$G$2:$G$3137='Mês atual'!A691,NF!$J$2:$J$3137),1),0)*BN691</f>
        <v>47.99</v>
      </c>
      <c r="BP691" s="50"/>
      <c r="BR691" s="147">
        <f t="array" ref="BR691">IFERROR(LARGE(IF(NF!$G$2:$G$3137='Mês atual'!A691,NF!$J$2:$J$3137),1),0)</f>
        <v>14.996874999999999</v>
      </c>
      <c r="BS691" s="143" t="str">
        <f>VLOOKUP(A691,NF!M:O,3,0)</f>
        <v>Mercado</v>
      </c>
    </row>
    <row r="692" spans="1:71" x14ac:dyDescent="0.25">
      <c r="A692" s="108" t="s">
        <v>347</v>
      </c>
      <c r="B692" s="12"/>
      <c r="C692" s="9">
        <v>1.5</v>
      </c>
      <c r="D692" s="25"/>
      <c r="E692" s="10" t="str">
        <f t="shared" si="900"/>
        <v>OutubroSEMANA 1Feijão Azuki</v>
      </c>
      <c r="F692" s="7">
        <f>SUMIF(NF!$A:$A,$E692,NF!$I:$I)</f>
        <v>1</v>
      </c>
      <c r="G692" s="6"/>
      <c r="H692" s="6"/>
      <c r="I692" s="6"/>
      <c r="J692" s="6"/>
      <c r="K692" s="6"/>
      <c r="L692" s="6"/>
      <c r="M692" s="6"/>
      <c r="N692" s="7">
        <f t="shared" si="920"/>
        <v>0</v>
      </c>
      <c r="O692" s="11">
        <f t="shared" si="828"/>
        <v>2.5</v>
      </c>
      <c r="P692" s="25"/>
      <c r="Q692" s="10" t="str">
        <f t="shared" si="901"/>
        <v>OutubroSEMANA 2Feijão Azuki</v>
      </c>
      <c r="R692" s="7">
        <f>SUMIF(NF!$A:$A,$Q692,NF!$I:$I)</f>
        <v>0</v>
      </c>
      <c r="S692" s="6"/>
      <c r="T692" s="6"/>
      <c r="U692" s="6"/>
      <c r="V692" s="6"/>
      <c r="W692" s="6"/>
      <c r="X692" s="6"/>
      <c r="Y692" s="6"/>
      <c r="Z692" s="7">
        <f t="shared" si="925"/>
        <v>0</v>
      </c>
      <c r="AA692" s="11">
        <f t="shared" si="831"/>
        <v>2.5</v>
      </c>
      <c r="AB692" s="25"/>
      <c r="AC692" s="10" t="str">
        <f t="shared" si="902"/>
        <v>OutubroSEMANA 3Feijão Azuki</v>
      </c>
      <c r="AD692" s="7">
        <f>SUMIF(NF!$A:$A,$AC692,NF!$I:$I)</f>
        <v>2</v>
      </c>
      <c r="AE692" s="6"/>
      <c r="AF692" s="6"/>
      <c r="AG692" s="6">
        <v>1</v>
      </c>
      <c r="AH692" s="6">
        <v>1</v>
      </c>
      <c r="AI692" s="6"/>
      <c r="AJ692" s="6"/>
      <c r="AK692" s="6"/>
      <c r="AL692" s="7">
        <f t="shared" si="926"/>
        <v>2</v>
      </c>
      <c r="AM692" s="11">
        <f t="shared" si="834"/>
        <v>2.5</v>
      </c>
      <c r="AN692" s="25"/>
      <c r="AO692" s="10" t="str">
        <f t="shared" si="903"/>
        <v>OutubroSEMANA 4Feijão Azuki</v>
      </c>
      <c r="AP692" s="7">
        <f>SUMIF(NF!$A:$A,$AO692,NF!$I:$I)</f>
        <v>0</v>
      </c>
      <c r="AQ692" s="6"/>
      <c r="AR692" s="6"/>
      <c r="AS692" s="6"/>
      <c r="AT692" s="6">
        <v>1</v>
      </c>
      <c r="AU692" s="6"/>
      <c r="AV692" s="6"/>
      <c r="AW692" s="6">
        <v>1</v>
      </c>
      <c r="AX692" s="7">
        <f t="shared" si="927"/>
        <v>2</v>
      </c>
      <c r="AY692" s="11">
        <f t="shared" si="837"/>
        <v>0.5</v>
      </c>
      <c r="AZ692" s="25"/>
      <c r="BA692" s="10" t="str">
        <f t="shared" si="904"/>
        <v>OutubroSEMANA 5Feijão Azuki</v>
      </c>
      <c r="BB692" s="7">
        <f>SUMIF(NF!$A:$A,$BA692,NF!$I:$I)</f>
        <v>0</v>
      </c>
      <c r="BC692" s="6"/>
      <c r="BD692" s="6"/>
      <c r="BE692" s="6"/>
      <c r="BF692" s="74"/>
      <c r="BG692" s="74"/>
      <c r="BH692" s="74"/>
      <c r="BI692" s="74"/>
      <c r="BJ692" s="74"/>
      <c r="BK692" s="7">
        <f t="shared" si="928"/>
        <v>0</v>
      </c>
      <c r="BL692" s="8">
        <f t="shared" si="840"/>
        <v>0.5</v>
      </c>
      <c r="BM692" s="51" t="str">
        <f>IFERROR(VLOOKUP(A692,NF!$M:$O,3,0),"")</f>
        <v>Mercado</v>
      </c>
      <c r="BN692" s="7">
        <f t="shared" si="841"/>
        <v>4</v>
      </c>
      <c r="BO692" s="8">
        <f t="array" ref="BO692">IFERROR(LARGE(IF(NF!$G$2:$G$3137='Mês atual'!A692,NF!$J$2:$J$3137),1),0)*BN692</f>
        <v>46</v>
      </c>
      <c r="BP692" s="50"/>
      <c r="BR692" s="147">
        <f t="array" ref="BR692">IFERROR(LARGE(IF(NF!$G$2:$G$3137='Mês atual'!A692,NF!$J$2:$J$3137),1),0)</f>
        <v>11.5</v>
      </c>
      <c r="BS692" s="143" t="str">
        <f>VLOOKUP(A692,NF!M:O,3,0)</f>
        <v>Mercado</v>
      </c>
    </row>
    <row r="693" spans="1:71" x14ac:dyDescent="0.25">
      <c r="A693" s="108" t="s">
        <v>348</v>
      </c>
      <c r="B693" s="12"/>
      <c r="C693" s="9">
        <v>3</v>
      </c>
      <c r="D693" s="25"/>
      <c r="E693" s="10" t="str">
        <f t="shared" si="900"/>
        <v>OutubroSEMANA 1Feijão Branco</v>
      </c>
      <c r="F693" s="7">
        <f>SUMIF(NF!$A:$A,$E693,NF!$I:$I)</f>
        <v>5</v>
      </c>
      <c r="G693" s="6"/>
      <c r="H693" s="6"/>
      <c r="I693" s="6"/>
      <c r="J693" s="6">
        <v>1.5</v>
      </c>
      <c r="K693" s="6"/>
      <c r="L693" s="6"/>
      <c r="M693" s="6"/>
      <c r="N693" s="7">
        <f t="shared" si="920"/>
        <v>1.5</v>
      </c>
      <c r="O693" s="11">
        <f t="shared" si="828"/>
        <v>6.5</v>
      </c>
      <c r="P693" s="25"/>
      <c r="Q693" s="10" t="str">
        <f t="shared" si="901"/>
        <v>OutubroSEMANA 2Feijão Branco</v>
      </c>
      <c r="R693" s="7">
        <f>SUMIF(NF!$A:$A,$Q693,NF!$I:$I)</f>
        <v>0</v>
      </c>
      <c r="S693" s="6"/>
      <c r="T693" s="6"/>
      <c r="U693" s="6"/>
      <c r="V693" s="6">
        <v>1</v>
      </c>
      <c r="W693" s="6"/>
      <c r="X693" s="6"/>
      <c r="Y693" s="6"/>
      <c r="Z693" s="7">
        <f t="shared" si="925"/>
        <v>1</v>
      </c>
      <c r="AA693" s="11">
        <f t="shared" si="831"/>
        <v>5.5</v>
      </c>
      <c r="AB693" s="25"/>
      <c r="AC693" s="10" t="str">
        <f t="shared" si="902"/>
        <v>OutubroSEMANA 3Feijão Branco</v>
      </c>
      <c r="AD693" s="7">
        <f>SUMIF(NF!$A:$A,$AC693,NF!$I:$I)</f>
        <v>0</v>
      </c>
      <c r="AE693" s="6"/>
      <c r="AF693" s="6"/>
      <c r="AG693" s="6">
        <v>1.5</v>
      </c>
      <c r="AH693" s="6"/>
      <c r="AI693" s="6"/>
      <c r="AJ693" s="6"/>
      <c r="AK693" s="6"/>
      <c r="AL693" s="7">
        <f t="shared" si="926"/>
        <v>1.5</v>
      </c>
      <c r="AM693" s="11">
        <f t="shared" si="834"/>
        <v>4</v>
      </c>
      <c r="AN693" s="25"/>
      <c r="AO693" s="10" t="str">
        <f t="shared" si="903"/>
        <v>OutubroSEMANA 4Feijão Branco</v>
      </c>
      <c r="AP693" s="7">
        <f>SUMIF(NF!$A:$A,$AO693,NF!$I:$I)</f>
        <v>0</v>
      </c>
      <c r="AQ693" s="6"/>
      <c r="AR693" s="6"/>
      <c r="AS693" s="6"/>
      <c r="AT693" s="6"/>
      <c r="AU693" s="6">
        <v>2</v>
      </c>
      <c r="AV693" s="6"/>
      <c r="AW693" s="6"/>
      <c r="AX693" s="7">
        <f t="shared" si="927"/>
        <v>2</v>
      </c>
      <c r="AY693" s="11">
        <f t="shared" si="837"/>
        <v>2</v>
      </c>
      <c r="AZ693" s="25"/>
      <c r="BA693" s="10" t="str">
        <f t="shared" si="904"/>
        <v>OutubroSEMANA 5Feijão Branco</v>
      </c>
      <c r="BB693" s="7">
        <f>SUMIF(NF!$A:$A,$BA693,NF!$I:$I)</f>
        <v>0</v>
      </c>
      <c r="BC693" s="6"/>
      <c r="BD693" s="6"/>
      <c r="BE693" s="6">
        <v>2</v>
      </c>
      <c r="BF693" s="74"/>
      <c r="BG693" s="74"/>
      <c r="BH693" s="74"/>
      <c r="BI693" s="74"/>
      <c r="BJ693" s="74"/>
      <c r="BK693" s="7">
        <f t="shared" si="928"/>
        <v>2</v>
      </c>
      <c r="BL693" s="8">
        <f t="shared" si="840"/>
        <v>0</v>
      </c>
      <c r="BM693" s="51" t="str">
        <f>IFERROR(VLOOKUP(A693,NF!$M:$O,3,0),"")</f>
        <v>Mercado</v>
      </c>
      <c r="BN693" s="7">
        <f t="shared" si="841"/>
        <v>8</v>
      </c>
      <c r="BO693" s="8">
        <f t="array" ref="BO693">IFERROR(LARGE(IF(NF!$G$2:$G$3137='Mês atual'!A693,NF!$J$2:$J$3137),1),0)*BN693</f>
        <v>58.4</v>
      </c>
      <c r="BP693" s="50"/>
      <c r="BR693" s="147">
        <f t="array" ref="BR693">IFERROR(LARGE(IF(NF!$G$2:$G$3137='Mês atual'!A693,NF!$J$2:$J$3137),1),0)</f>
        <v>7.3</v>
      </c>
      <c r="BS693" s="143" t="str">
        <f>VLOOKUP(A693,NF!M:O,3,0)</f>
        <v>Mercado</v>
      </c>
    </row>
    <row r="694" spans="1:71" x14ac:dyDescent="0.25">
      <c r="A694" s="108" t="s">
        <v>349</v>
      </c>
      <c r="B694" s="12"/>
      <c r="C694" s="9">
        <v>3</v>
      </c>
      <c r="D694" s="25"/>
      <c r="E694" s="10" t="str">
        <f t="shared" si="900"/>
        <v>OutubroSEMANA 1Feijão de Soja</v>
      </c>
      <c r="F694" s="7">
        <f>SUMIF(NF!$A:$A,$E694,NF!$I:$I)</f>
        <v>1</v>
      </c>
      <c r="G694" s="6"/>
      <c r="H694" s="6"/>
      <c r="I694" s="6"/>
      <c r="J694" s="6"/>
      <c r="K694" s="6">
        <v>1.5</v>
      </c>
      <c r="L694" s="6"/>
      <c r="M694" s="6"/>
      <c r="N694" s="7">
        <f t="shared" si="920"/>
        <v>1.5</v>
      </c>
      <c r="O694" s="11">
        <f t="shared" si="828"/>
        <v>2.5</v>
      </c>
      <c r="P694" s="25"/>
      <c r="Q694" s="10" t="str">
        <f t="shared" si="901"/>
        <v>OutubroSEMANA 2Feijão de Soja</v>
      </c>
      <c r="R694" s="7">
        <f>SUMIF(NF!$A:$A,$Q694,NF!$I:$I)</f>
        <v>0</v>
      </c>
      <c r="S694" s="6"/>
      <c r="T694" s="6"/>
      <c r="U694" s="6"/>
      <c r="V694" s="6"/>
      <c r="W694" s="6"/>
      <c r="X694" s="6"/>
      <c r="Y694" s="6"/>
      <c r="Z694" s="7">
        <f t="shared" si="925"/>
        <v>0</v>
      </c>
      <c r="AA694" s="11">
        <f t="shared" si="831"/>
        <v>2.5</v>
      </c>
      <c r="AB694" s="25"/>
      <c r="AC694" s="10" t="str">
        <f t="shared" si="902"/>
        <v>OutubroSEMANA 3Feijão de Soja</v>
      </c>
      <c r="AD694" s="7">
        <f>SUMIF(NF!$A:$A,$AC694,NF!$I:$I)</f>
        <v>0</v>
      </c>
      <c r="AE694" s="6"/>
      <c r="AF694" s="6"/>
      <c r="AG694" s="6"/>
      <c r="AH694" s="6"/>
      <c r="AI694" s="6"/>
      <c r="AJ694" s="6">
        <v>1</v>
      </c>
      <c r="AK694" s="6"/>
      <c r="AL694" s="7">
        <f t="shared" si="926"/>
        <v>1</v>
      </c>
      <c r="AM694" s="11">
        <f t="shared" si="834"/>
        <v>1.5</v>
      </c>
      <c r="AN694" s="25"/>
      <c r="AO694" s="10" t="str">
        <f t="shared" si="903"/>
        <v>OutubroSEMANA 4Feijão de Soja</v>
      </c>
      <c r="AP694" s="7">
        <f>SUMIF(NF!$A:$A,$AO694,NF!$I:$I)</f>
        <v>1</v>
      </c>
      <c r="AQ694" s="6"/>
      <c r="AR694" s="6"/>
      <c r="AS694" s="6"/>
      <c r="AT694" s="6"/>
      <c r="AU694" s="6"/>
      <c r="AV694" s="6">
        <v>1</v>
      </c>
      <c r="AW694" s="6"/>
      <c r="AX694" s="7">
        <f t="shared" si="927"/>
        <v>1</v>
      </c>
      <c r="AY694" s="11">
        <f t="shared" si="837"/>
        <v>1.5</v>
      </c>
      <c r="AZ694" s="25"/>
      <c r="BA694" s="10" t="str">
        <f t="shared" si="904"/>
        <v>OutubroSEMANA 5Feijão de Soja</v>
      </c>
      <c r="BB694" s="7">
        <f>SUMIF(NF!$A:$A,$BA694,NF!$I:$I)</f>
        <v>0</v>
      </c>
      <c r="BC694" s="6"/>
      <c r="BD694" s="6"/>
      <c r="BE694" s="6"/>
      <c r="BF694" s="74"/>
      <c r="BG694" s="74"/>
      <c r="BH694" s="74"/>
      <c r="BI694" s="74"/>
      <c r="BJ694" s="74"/>
      <c r="BK694" s="7">
        <f t="shared" si="928"/>
        <v>0</v>
      </c>
      <c r="BL694" s="8">
        <f t="shared" si="840"/>
        <v>1.5</v>
      </c>
      <c r="BM694" s="51" t="str">
        <f>IFERROR(VLOOKUP(A694,NF!$M:$O,3,0),"")</f>
        <v>Mercado</v>
      </c>
      <c r="BN694" s="7">
        <f t="shared" si="841"/>
        <v>3.5</v>
      </c>
      <c r="BO694" s="8">
        <f t="array" ref="BO694">IFERROR(LARGE(IF(NF!$G$2:$G$3137='Mês atual'!A694,NF!$J$2:$J$3137),1),0)*BN694</f>
        <v>19.95</v>
      </c>
      <c r="BP694" s="50"/>
      <c r="BR694" s="147">
        <f t="array" ref="BR694">IFERROR(LARGE(IF(NF!$G$2:$G$3137='Mês atual'!A694,NF!$J$2:$J$3137),1),0)</f>
        <v>5.7</v>
      </c>
      <c r="BS694" s="143" t="str">
        <f>VLOOKUP(A694,NF!M:O,3,0)</f>
        <v>Mercado</v>
      </c>
    </row>
    <row r="695" spans="1:71" x14ac:dyDescent="0.25">
      <c r="A695" s="108" t="s">
        <v>350</v>
      </c>
      <c r="B695" s="12"/>
      <c r="C695" s="9">
        <v>9.5</v>
      </c>
      <c r="D695" s="25"/>
      <c r="E695" s="10" t="str">
        <f t="shared" si="900"/>
        <v>OutubroSEMANA 1Feijão Fradinho</v>
      </c>
      <c r="F695" s="7">
        <f>SUMIF(NF!$A:$A,$E695,NF!$I:$I)</f>
        <v>0</v>
      </c>
      <c r="G695" s="6"/>
      <c r="H695" s="6">
        <v>0.5</v>
      </c>
      <c r="I695" s="6">
        <v>0.5</v>
      </c>
      <c r="J695" s="6"/>
      <c r="K695" s="6"/>
      <c r="L695" s="6"/>
      <c r="M695" s="6"/>
      <c r="N695" s="7">
        <f t="shared" si="920"/>
        <v>1</v>
      </c>
      <c r="O695" s="11">
        <f t="shared" si="828"/>
        <v>8.5</v>
      </c>
      <c r="P695" s="25"/>
      <c r="Q695" s="10" t="str">
        <f t="shared" si="901"/>
        <v>OutubroSEMANA 2Feijão Fradinho</v>
      </c>
      <c r="R695" s="7">
        <f>SUMIF(NF!$A:$A,$Q695,NF!$I:$I)</f>
        <v>0</v>
      </c>
      <c r="S695" s="6"/>
      <c r="T695" s="6"/>
      <c r="U695" s="6"/>
      <c r="V695" s="6"/>
      <c r="W695" s="6">
        <v>0.5</v>
      </c>
      <c r="X695" s="6"/>
      <c r="Y695" s="6"/>
      <c r="Z695" s="7">
        <f t="shared" si="925"/>
        <v>0.5</v>
      </c>
      <c r="AA695" s="11">
        <f t="shared" si="831"/>
        <v>8</v>
      </c>
      <c r="AB695" s="25"/>
      <c r="AC695" s="10" t="str">
        <f t="shared" si="902"/>
        <v>OutubroSEMANA 3Feijão Fradinho</v>
      </c>
      <c r="AD695" s="7">
        <f>SUMIF(NF!$A:$A,$AC695,NF!$I:$I)</f>
        <v>5</v>
      </c>
      <c r="AE695" s="6"/>
      <c r="AF695" s="6">
        <v>1.5</v>
      </c>
      <c r="AG695" s="6"/>
      <c r="AH695" s="6"/>
      <c r="AI695" s="6">
        <v>1.5</v>
      </c>
      <c r="AJ695" s="6"/>
      <c r="AK695" s="6"/>
      <c r="AL695" s="7">
        <f t="shared" si="926"/>
        <v>3</v>
      </c>
      <c r="AM695" s="11">
        <f t="shared" si="834"/>
        <v>10</v>
      </c>
      <c r="AN695" s="25"/>
      <c r="AO695" s="10" t="str">
        <f t="shared" si="903"/>
        <v>OutubroSEMANA 4Feijão Fradinho</v>
      </c>
      <c r="AP695" s="7">
        <f>SUMIF(NF!$A:$A,$AO695,NF!$I:$I)</f>
        <v>5</v>
      </c>
      <c r="AQ695" s="6"/>
      <c r="AR695" s="6">
        <v>2</v>
      </c>
      <c r="AS695" s="6"/>
      <c r="AT695" s="6">
        <v>4</v>
      </c>
      <c r="AU695" s="6"/>
      <c r="AV695" s="6"/>
      <c r="AW695" s="6"/>
      <c r="AX695" s="7">
        <f t="shared" si="927"/>
        <v>6</v>
      </c>
      <c r="AY695" s="11">
        <f t="shared" si="837"/>
        <v>9</v>
      </c>
      <c r="AZ695" s="25"/>
      <c r="BA695" s="10" t="str">
        <f t="shared" si="904"/>
        <v>OutubroSEMANA 5Feijão Fradinho</v>
      </c>
      <c r="BB695" s="7">
        <f>SUMIF(NF!$A:$A,$BA695,NF!$I:$I)</f>
        <v>0</v>
      </c>
      <c r="BC695" s="6">
        <v>1</v>
      </c>
      <c r="BD695" s="6"/>
      <c r="BE695" s="6"/>
      <c r="BF695" s="74"/>
      <c r="BG695" s="74"/>
      <c r="BH695" s="74"/>
      <c r="BI695" s="74"/>
      <c r="BJ695" s="74"/>
      <c r="BK695" s="7">
        <f t="shared" si="928"/>
        <v>1</v>
      </c>
      <c r="BL695" s="8">
        <f t="shared" si="840"/>
        <v>8</v>
      </c>
      <c r="BM695" s="51" t="str">
        <f>IFERROR(VLOOKUP(A695,NF!$M:$O,3,0),"")</f>
        <v>Mercado</v>
      </c>
      <c r="BN695" s="7">
        <f t="shared" si="841"/>
        <v>11.5</v>
      </c>
      <c r="BO695" s="8">
        <f t="array" ref="BO695">IFERROR(LARGE(IF(NF!$G$2:$G$3137='Mês atual'!A695,NF!$J$2:$J$3137),1),0)*BN695</f>
        <v>58.626999999999995</v>
      </c>
      <c r="BP695" s="50"/>
      <c r="BR695" s="147">
        <f t="array" ref="BR695">IFERROR(LARGE(IF(NF!$G$2:$G$3137='Mês atual'!A695,NF!$J$2:$J$3137),1),0)</f>
        <v>5.0979999999999999</v>
      </c>
      <c r="BS695" s="143" t="str">
        <f>VLOOKUP(A695,NF!M:O,3,0)</f>
        <v>Mercado</v>
      </c>
    </row>
    <row r="696" spans="1:71" x14ac:dyDescent="0.25">
      <c r="A696" s="108" t="s">
        <v>351</v>
      </c>
      <c r="B696" s="12"/>
      <c r="C696" s="9">
        <v>16.5</v>
      </c>
      <c r="D696" s="25"/>
      <c r="E696" s="10" t="str">
        <f t="shared" si="900"/>
        <v>OutubroSEMANA 1Feijão Mulatinho</v>
      </c>
      <c r="F696" s="7">
        <f>SUMIF(NF!$A:$A,$E696,NF!$I:$I)</f>
        <v>10</v>
      </c>
      <c r="G696" s="6">
        <v>5.5</v>
      </c>
      <c r="H696" s="6"/>
      <c r="I696" s="6"/>
      <c r="J696" s="6">
        <v>4.5</v>
      </c>
      <c r="K696" s="6">
        <v>2</v>
      </c>
      <c r="L696" s="6"/>
      <c r="M696" s="6"/>
      <c r="N696" s="7">
        <f t="shared" si="920"/>
        <v>12</v>
      </c>
      <c r="O696" s="11">
        <f t="shared" si="828"/>
        <v>14.5</v>
      </c>
      <c r="P696" s="25"/>
      <c r="Q696" s="10" t="str">
        <f t="shared" si="901"/>
        <v>OutubroSEMANA 2Feijão Mulatinho</v>
      </c>
      <c r="R696" s="7">
        <f>SUMIF(NF!$A:$A,$Q696,NF!$I:$I)</f>
        <v>15</v>
      </c>
      <c r="S696" s="6">
        <v>3.5</v>
      </c>
      <c r="T696" s="6"/>
      <c r="U696" s="6"/>
      <c r="V696" s="6">
        <v>5</v>
      </c>
      <c r="W696" s="6"/>
      <c r="X696" s="6"/>
      <c r="Y696" s="6"/>
      <c r="Z696" s="7">
        <f t="shared" si="925"/>
        <v>8.5</v>
      </c>
      <c r="AA696" s="11">
        <f t="shared" si="831"/>
        <v>21</v>
      </c>
      <c r="AB696" s="25"/>
      <c r="AC696" s="10" t="str">
        <f t="shared" si="902"/>
        <v>OutubroSEMANA 3Feijão Mulatinho</v>
      </c>
      <c r="AD696" s="7">
        <f>SUMIF(NF!$A:$A,$AC696,NF!$I:$I)</f>
        <v>0</v>
      </c>
      <c r="AE696" s="6">
        <v>5</v>
      </c>
      <c r="AF696" s="6"/>
      <c r="AG696" s="6"/>
      <c r="AH696" s="6">
        <v>4</v>
      </c>
      <c r="AI696" s="6"/>
      <c r="AJ696" s="6"/>
      <c r="AK696" s="6"/>
      <c r="AL696" s="7">
        <f t="shared" si="926"/>
        <v>9</v>
      </c>
      <c r="AM696" s="11">
        <f t="shared" si="834"/>
        <v>12</v>
      </c>
      <c r="AN696" s="25"/>
      <c r="AO696" s="10" t="str">
        <f t="shared" si="903"/>
        <v>OutubroSEMANA 4Feijão Mulatinho</v>
      </c>
      <c r="AP696" s="7">
        <f>SUMIF(NF!$A:$A,$AO696,NF!$I:$I)</f>
        <v>5</v>
      </c>
      <c r="AQ696" s="6">
        <v>3.5</v>
      </c>
      <c r="AR696" s="6"/>
      <c r="AS696" s="6"/>
      <c r="AT696" s="6">
        <v>5</v>
      </c>
      <c r="AU696" s="6">
        <v>2</v>
      </c>
      <c r="AV696" s="6"/>
      <c r="AW696" s="6"/>
      <c r="AX696" s="7">
        <f t="shared" si="927"/>
        <v>10.5</v>
      </c>
      <c r="AY696" s="11">
        <f t="shared" si="837"/>
        <v>6.5</v>
      </c>
      <c r="AZ696" s="25"/>
      <c r="BA696" s="10" t="str">
        <f t="shared" si="904"/>
        <v>OutubroSEMANA 5Feijão Mulatinho</v>
      </c>
      <c r="BB696" s="7">
        <f>SUMIF(NF!$A:$A,$BA696,NF!$I:$I)</f>
        <v>5</v>
      </c>
      <c r="BC696" s="6">
        <v>4</v>
      </c>
      <c r="BD696" s="6"/>
      <c r="BE696" s="6"/>
      <c r="BF696" s="74"/>
      <c r="BG696" s="74"/>
      <c r="BH696" s="74"/>
      <c r="BI696" s="74"/>
      <c r="BJ696" s="74"/>
      <c r="BK696" s="7">
        <f t="shared" si="928"/>
        <v>4</v>
      </c>
      <c r="BL696" s="8">
        <f t="shared" si="840"/>
        <v>7.5</v>
      </c>
      <c r="BM696" s="51" t="str">
        <f>IFERROR(VLOOKUP(A696,NF!$M:$O,3,0),"")</f>
        <v>Mercado</v>
      </c>
      <c r="BN696" s="7">
        <f t="shared" si="841"/>
        <v>44</v>
      </c>
      <c r="BO696" s="8">
        <f t="array" ref="BO696">IFERROR(LARGE(IF(NF!$G$2:$G$3137='Mês atual'!A696,NF!$J$2:$J$3137),1),0)*BN696</f>
        <v>504.24</v>
      </c>
      <c r="BP696" s="50"/>
      <c r="BR696" s="147">
        <f t="array" ref="BR696">IFERROR(LARGE(IF(NF!$G$2:$G$3137='Mês atual'!A696,NF!$J$2:$J$3137),1),0)</f>
        <v>11.46</v>
      </c>
      <c r="BS696" s="143" t="str">
        <f>VLOOKUP(A696,NF!M:O,3,0)</f>
        <v>Mercado</v>
      </c>
    </row>
    <row r="697" spans="1:71" x14ac:dyDescent="0.25">
      <c r="A697" s="108" t="s">
        <v>352</v>
      </c>
      <c r="B697" s="12"/>
      <c r="C697" s="9">
        <v>29</v>
      </c>
      <c r="D697" s="25"/>
      <c r="E697" s="10" t="str">
        <f t="shared" si="900"/>
        <v>OutubroSEMANA 1Feijão Preto</v>
      </c>
      <c r="F697" s="7">
        <f>SUMIF(NF!$A:$A,$E697,NF!$I:$I)</f>
        <v>30</v>
      </c>
      <c r="G697" s="6"/>
      <c r="H697" s="6">
        <v>5</v>
      </c>
      <c r="I697" s="6">
        <v>5</v>
      </c>
      <c r="J697" s="6"/>
      <c r="K697" s="6">
        <v>4</v>
      </c>
      <c r="L697" s="6">
        <v>9</v>
      </c>
      <c r="M697" s="6">
        <v>5</v>
      </c>
      <c r="N697" s="7">
        <f t="shared" si="920"/>
        <v>28</v>
      </c>
      <c r="O697" s="11">
        <f t="shared" si="828"/>
        <v>31</v>
      </c>
      <c r="P697" s="25"/>
      <c r="Q697" s="10" t="str">
        <f t="shared" si="901"/>
        <v>OutubroSEMANA 2Feijão Preto</v>
      </c>
      <c r="R697" s="7">
        <f>SUMIF(NF!$A:$A,$Q697,NF!$I:$I)</f>
        <v>20</v>
      </c>
      <c r="S697" s="6"/>
      <c r="T697" s="6">
        <v>5</v>
      </c>
      <c r="U697" s="6">
        <v>4</v>
      </c>
      <c r="V697" s="6"/>
      <c r="W697" s="6">
        <v>5</v>
      </c>
      <c r="X697" s="6">
        <v>8</v>
      </c>
      <c r="Y697" s="6">
        <v>5</v>
      </c>
      <c r="Z697" s="7">
        <f t="shared" si="925"/>
        <v>27</v>
      </c>
      <c r="AA697" s="11">
        <f t="shared" si="831"/>
        <v>24</v>
      </c>
      <c r="AB697" s="25"/>
      <c r="AC697" s="10" t="str">
        <f t="shared" si="902"/>
        <v>OutubroSEMANA 3Feijão Preto</v>
      </c>
      <c r="AD697" s="7">
        <f>SUMIF(NF!$A:$A,$AC697,NF!$I:$I)</f>
        <v>30</v>
      </c>
      <c r="AE697" s="6"/>
      <c r="AF697" s="6">
        <v>5</v>
      </c>
      <c r="AG697" s="6">
        <v>5</v>
      </c>
      <c r="AH697" s="6"/>
      <c r="AI697" s="6">
        <v>3</v>
      </c>
      <c r="AJ697" s="6">
        <v>8</v>
      </c>
      <c r="AK697" s="6">
        <v>4</v>
      </c>
      <c r="AL697" s="7">
        <f t="shared" si="926"/>
        <v>25</v>
      </c>
      <c r="AM697" s="11">
        <f t="shared" si="834"/>
        <v>29</v>
      </c>
      <c r="AN697" s="25"/>
      <c r="AO697" s="10" t="str">
        <f t="shared" si="903"/>
        <v>OutubroSEMANA 4Feijão Preto</v>
      </c>
      <c r="AP697" s="7">
        <f>SUMIF(NF!$A:$A,$AO697,NF!$I:$I)</f>
        <v>20</v>
      </c>
      <c r="AQ697" s="6"/>
      <c r="AR697" s="6">
        <v>5</v>
      </c>
      <c r="AS697" s="6">
        <v>4</v>
      </c>
      <c r="AT697" s="6"/>
      <c r="AU697" s="6">
        <v>4</v>
      </c>
      <c r="AV697" s="6">
        <v>8.5</v>
      </c>
      <c r="AW697" s="6">
        <v>5.5</v>
      </c>
      <c r="AX697" s="7">
        <f t="shared" si="927"/>
        <v>27</v>
      </c>
      <c r="AY697" s="11">
        <f t="shared" si="837"/>
        <v>22</v>
      </c>
      <c r="AZ697" s="25"/>
      <c r="BA697" s="10" t="str">
        <f t="shared" si="904"/>
        <v>OutubroSEMANA 5Feijão Preto</v>
      </c>
      <c r="BB697" s="7">
        <f>SUMIF(NF!$A:$A,$BA697,NF!$I:$I)</f>
        <v>0</v>
      </c>
      <c r="BC697" s="6"/>
      <c r="BD697" s="6">
        <v>5</v>
      </c>
      <c r="BE697" s="6">
        <v>5</v>
      </c>
      <c r="BF697" s="74"/>
      <c r="BG697" s="74"/>
      <c r="BH697" s="74"/>
      <c r="BI697" s="74"/>
      <c r="BJ697" s="74"/>
      <c r="BK697" s="7">
        <f t="shared" si="928"/>
        <v>10</v>
      </c>
      <c r="BL697" s="8">
        <f t="shared" si="840"/>
        <v>12</v>
      </c>
      <c r="BM697" s="51" t="str">
        <f>IFERROR(VLOOKUP(A697,NF!$M:$O,3,0),"")</f>
        <v>Mercado</v>
      </c>
      <c r="BN697" s="7">
        <f t="shared" si="841"/>
        <v>117</v>
      </c>
      <c r="BO697" s="8">
        <f t="array" ref="BO697">IFERROR(LARGE(IF(NF!$G$2:$G$3137='Mês atual'!A697,NF!$J$2:$J$3137),1),0)*BN697</f>
        <v>527.202</v>
      </c>
      <c r="BP697" s="50"/>
      <c r="BR697" s="147">
        <f t="array" ref="BR697">IFERROR(LARGE(IF(NF!$G$2:$G$3137='Mês atual'!A697,NF!$J$2:$J$3137),1),0)</f>
        <v>4.5060000000000002</v>
      </c>
      <c r="BS697" s="143" t="str">
        <f>VLOOKUP(A697,NF!M:O,3,0)</f>
        <v>Mercado</v>
      </c>
    </row>
    <row r="698" spans="1:71" x14ac:dyDescent="0.25">
      <c r="A698" s="108" t="s">
        <v>353</v>
      </c>
      <c r="B698" s="12"/>
      <c r="C698" s="9"/>
      <c r="D698" s="25"/>
      <c r="E698" s="10" t="str">
        <f t="shared" si="900"/>
        <v>OutubroSEMANA 1Fermento em Pó Royal 100 g</v>
      </c>
      <c r="F698" s="7">
        <f>SUMIF(NF!$A:$A,$E698,NF!$I:$I)</f>
        <v>0</v>
      </c>
      <c r="G698" s="6"/>
      <c r="H698" s="6"/>
      <c r="I698" s="6"/>
      <c r="J698" s="6"/>
      <c r="K698" s="6"/>
      <c r="L698" s="6"/>
      <c r="M698" s="6"/>
      <c r="N698" s="7">
        <f t="shared" si="920"/>
        <v>0</v>
      </c>
      <c r="O698" s="11">
        <f t="shared" si="828"/>
        <v>0</v>
      </c>
      <c r="P698" s="25"/>
      <c r="Q698" s="10" t="str">
        <f t="shared" si="901"/>
        <v>OutubroSEMANA 2Fermento em Pó Royal 100 g</v>
      </c>
      <c r="R698" s="7">
        <f>SUMIF(NF!$A:$A,$Q698,NF!$I:$I)</f>
        <v>0</v>
      </c>
      <c r="S698" s="6"/>
      <c r="T698" s="6"/>
      <c r="U698" s="6"/>
      <c r="V698" s="6"/>
      <c r="W698" s="6"/>
      <c r="X698" s="6"/>
      <c r="Y698" s="6"/>
      <c r="Z698" s="7">
        <f t="shared" si="925"/>
        <v>0</v>
      </c>
      <c r="AA698" s="11">
        <f t="shared" si="831"/>
        <v>0</v>
      </c>
      <c r="AB698" s="25"/>
      <c r="AC698" s="10" t="str">
        <f t="shared" si="902"/>
        <v>OutubroSEMANA 3Fermento em Pó Royal 100 g</v>
      </c>
      <c r="AD698" s="7">
        <f>SUMIF(NF!$A:$A,$AC698,NF!$I:$I)</f>
        <v>0</v>
      </c>
      <c r="AE698" s="6"/>
      <c r="AF698" s="6"/>
      <c r="AG698" s="6"/>
      <c r="AH698" s="6"/>
      <c r="AI698" s="6"/>
      <c r="AJ698" s="6"/>
      <c r="AK698" s="6"/>
      <c r="AL698" s="7">
        <f t="shared" si="926"/>
        <v>0</v>
      </c>
      <c r="AM698" s="11">
        <f t="shared" si="834"/>
        <v>0</v>
      </c>
      <c r="AN698" s="25"/>
      <c r="AO698" s="10" t="str">
        <f t="shared" si="903"/>
        <v>OutubroSEMANA 4Fermento em Pó Royal 100 g</v>
      </c>
      <c r="AP698" s="7">
        <f>SUMIF(NF!$A:$A,$AO698,NF!$I:$I)</f>
        <v>0</v>
      </c>
      <c r="AQ698" s="6"/>
      <c r="AR698" s="6"/>
      <c r="AS698" s="6"/>
      <c r="AT698" s="6"/>
      <c r="AU698" s="6"/>
      <c r="AV698" s="6"/>
      <c r="AW698" s="6"/>
      <c r="AX698" s="7">
        <f t="shared" si="927"/>
        <v>0</v>
      </c>
      <c r="AY698" s="11">
        <f t="shared" si="837"/>
        <v>0</v>
      </c>
      <c r="AZ698" s="25"/>
      <c r="BA698" s="10" t="str">
        <f t="shared" si="904"/>
        <v>OutubroSEMANA 5Fermento em Pó Royal 100 g</v>
      </c>
      <c r="BB698" s="7">
        <f>SUMIF(NF!$A:$A,$BA698,NF!$I:$I)</f>
        <v>0</v>
      </c>
      <c r="BC698" s="6"/>
      <c r="BD698" s="6"/>
      <c r="BE698" s="6"/>
      <c r="BF698" s="74"/>
      <c r="BG698" s="74"/>
      <c r="BH698" s="74"/>
      <c r="BI698" s="74"/>
      <c r="BJ698" s="74"/>
      <c r="BK698" s="7">
        <f t="shared" si="928"/>
        <v>0</v>
      </c>
      <c r="BL698" s="8">
        <f t="shared" si="840"/>
        <v>0</v>
      </c>
      <c r="BM698" s="51" t="str">
        <f>IFERROR(VLOOKUP(A698,NF!$M:$O,3,0),"")</f>
        <v>Mercado</v>
      </c>
      <c r="BN698" s="7">
        <f t="shared" si="841"/>
        <v>0</v>
      </c>
      <c r="BO698" s="8">
        <f t="array" ref="BO698">IFERROR(LARGE(IF(NF!$G$2:$G$3137='Mês atual'!A698,NF!$J$2:$J$3137),1),0)*BN698</f>
        <v>0</v>
      </c>
      <c r="BP698" s="50"/>
      <c r="BR698" s="147">
        <f t="array" ref="BR698">IFERROR(LARGE(IF(NF!$G$2:$G$3137='Mês atual'!A698,NF!$J$2:$J$3137),1),0)</f>
        <v>0</v>
      </c>
      <c r="BS698" s="143" t="str">
        <f>VLOOKUP(A698,NF!M:O,3,0)</f>
        <v>Mercado</v>
      </c>
    </row>
    <row r="699" spans="1:71" x14ac:dyDescent="0.25">
      <c r="A699" s="108" t="s">
        <v>354</v>
      </c>
      <c r="B699" s="12"/>
      <c r="C699" s="9">
        <v>2</v>
      </c>
      <c r="D699" s="25"/>
      <c r="E699" s="10" t="str">
        <f t="shared" si="900"/>
        <v>OutubroSEMANA 1Fermento em Pó Royal 250 g</v>
      </c>
      <c r="F699" s="7">
        <f>SUMIF(NF!$A:$A,$E699,NF!$I:$I)</f>
        <v>6</v>
      </c>
      <c r="G699" s="6"/>
      <c r="H699" s="6"/>
      <c r="I699" s="6">
        <v>1</v>
      </c>
      <c r="J699" s="6"/>
      <c r="K699" s="6">
        <v>1</v>
      </c>
      <c r="L699" s="6"/>
      <c r="M699" s="6"/>
      <c r="N699" s="7">
        <f t="shared" ref="N699" si="929">SUM(G699:M699)</f>
        <v>2</v>
      </c>
      <c r="O699" s="11">
        <f t="shared" si="828"/>
        <v>6</v>
      </c>
      <c r="P699" s="25"/>
      <c r="Q699" s="10" t="str">
        <f t="shared" si="901"/>
        <v>OutubroSEMANA 2Fermento em Pó Royal 250 g</v>
      </c>
      <c r="R699" s="7">
        <f>SUMIF(NF!$A:$A,$Q699,NF!$I:$I)</f>
        <v>0</v>
      </c>
      <c r="S699" s="6"/>
      <c r="T699" s="6"/>
      <c r="U699" s="6"/>
      <c r="V699" s="6"/>
      <c r="W699" s="6"/>
      <c r="X699" s="6"/>
      <c r="Y699" s="6">
        <v>1</v>
      </c>
      <c r="Z699" s="7">
        <f t="shared" ref="Z699" si="930">SUM(S699:Y699)</f>
        <v>1</v>
      </c>
      <c r="AA699" s="11">
        <f t="shared" si="831"/>
        <v>5</v>
      </c>
      <c r="AB699" s="25"/>
      <c r="AC699" s="10" t="str">
        <f t="shared" si="902"/>
        <v>OutubroSEMANA 3Fermento em Pó Royal 250 g</v>
      </c>
      <c r="AD699" s="7">
        <f>SUMIF(NF!$A:$A,$AC699,NF!$I:$I)</f>
        <v>0</v>
      </c>
      <c r="AE699" s="6"/>
      <c r="AF699" s="6"/>
      <c r="AG699" s="6"/>
      <c r="AH699" s="6"/>
      <c r="AI699" s="6"/>
      <c r="AJ699" s="6">
        <v>1</v>
      </c>
      <c r="AK699" s="6"/>
      <c r="AL699" s="7">
        <f t="shared" ref="AL699" si="931">SUM(AE699:AK699)</f>
        <v>1</v>
      </c>
      <c r="AM699" s="11">
        <f t="shared" si="834"/>
        <v>4</v>
      </c>
      <c r="AN699" s="25"/>
      <c r="AO699" s="10" t="str">
        <f t="shared" si="903"/>
        <v>OutubroSEMANA 4Fermento em Pó Royal 250 g</v>
      </c>
      <c r="AP699" s="7">
        <f>SUMIF(NF!$A:$A,$AO699,NF!$I:$I)</f>
        <v>0</v>
      </c>
      <c r="AQ699" s="6"/>
      <c r="AR699" s="6"/>
      <c r="AS699" s="6"/>
      <c r="AT699" s="6"/>
      <c r="AU699" s="6"/>
      <c r="AV699" s="6">
        <v>1</v>
      </c>
      <c r="AW699" s="6"/>
      <c r="AX699" s="7">
        <f t="shared" ref="AX699" si="932">SUM(AQ699:AW699)</f>
        <v>1</v>
      </c>
      <c r="AY699" s="11">
        <f t="shared" si="837"/>
        <v>3</v>
      </c>
      <c r="AZ699" s="25"/>
      <c r="BA699" s="10" t="str">
        <f t="shared" si="904"/>
        <v>OutubroSEMANA 5Fermento em Pó Royal 250 g</v>
      </c>
      <c r="BB699" s="7">
        <f>SUMIF(NF!$A:$A,$BA699,NF!$I:$I)</f>
        <v>0</v>
      </c>
      <c r="BC699" s="6"/>
      <c r="BD699" s="6"/>
      <c r="BE699" s="6"/>
      <c r="BF699" s="74"/>
      <c r="BG699" s="74"/>
      <c r="BH699" s="74"/>
      <c r="BI699" s="74"/>
      <c r="BJ699" s="74"/>
      <c r="BK699" s="7">
        <f t="shared" ref="BK699" si="933">SUM(BC699:BJ699)</f>
        <v>0</v>
      </c>
      <c r="BL699" s="8">
        <f t="shared" si="840"/>
        <v>3</v>
      </c>
      <c r="BM699" s="51" t="str">
        <f>IFERROR(VLOOKUP(A699,NF!$M:$O,3,0),"")</f>
        <v>Mercado</v>
      </c>
      <c r="BN699" s="7">
        <f t="shared" si="841"/>
        <v>5</v>
      </c>
      <c r="BO699" s="8">
        <f t="array" ref="BO699">IFERROR(LARGE(IF(NF!$G$2:$G$3137='Mês atual'!A699,NF!$J$2:$J$3137),1),0)*BN699</f>
        <v>34.5</v>
      </c>
      <c r="BP699" s="50"/>
      <c r="BR699" s="147">
        <f t="array" ref="BR699">IFERROR(LARGE(IF(NF!$G$2:$G$3137='Mês atual'!A699,NF!$J$2:$J$3137),1),0)</f>
        <v>6.9</v>
      </c>
      <c r="BS699" s="143" t="str">
        <f>VLOOKUP(A699,NF!M:O,3,0)</f>
        <v>Mercado</v>
      </c>
    </row>
    <row r="700" spans="1:71" x14ac:dyDescent="0.25">
      <c r="A700" s="108" t="s">
        <v>356</v>
      </c>
      <c r="B700" s="12"/>
      <c r="C700" s="9">
        <v>9</v>
      </c>
      <c r="D700" s="25"/>
      <c r="E700" s="10" t="str">
        <f t="shared" si="900"/>
        <v>OutubroSEMANA 1Figo em Calda</v>
      </c>
      <c r="F700" s="7">
        <f>SUMIF(NF!$A:$A,$E700,NF!$I:$I)</f>
        <v>0</v>
      </c>
      <c r="G700" s="6"/>
      <c r="H700" s="6"/>
      <c r="I700" s="6"/>
      <c r="J700" s="6"/>
      <c r="K700" s="6"/>
      <c r="L700" s="6"/>
      <c r="M700" s="6">
        <v>1</v>
      </c>
      <c r="N700" s="7">
        <f t="shared" ref="N700:N712" si="934">SUM(G700:M700)</f>
        <v>1</v>
      </c>
      <c r="O700" s="11">
        <f t="shared" si="828"/>
        <v>8</v>
      </c>
      <c r="P700" s="25"/>
      <c r="Q700" s="10" t="str">
        <f t="shared" si="901"/>
        <v>OutubroSEMANA 2Figo em Calda</v>
      </c>
      <c r="R700" s="7">
        <f>SUMIF(NF!$A:$A,$Q700,NF!$I:$I)</f>
        <v>0</v>
      </c>
      <c r="S700" s="6"/>
      <c r="T700" s="6"/>
      <c r="U700" s="6">
        <v>1</v>
      </c>
      <c r="V700" s="6">
        <v>1</v>
      </c>
      <c r="W700" s="6"/>
      <c r="X700" s="6"/>
      <c r="Y700" s="6"/>
      <c r="Z700" s="7">
        <f t="shared" ref="Z700:Z712" si="935">SUM(S700:Y700)</f>
        <v>2</v>
      </c>
      <c r="AA700" s="11">
        <f t="shared" si="831"/>
        <v>6</v>
      </c>
      <c r="AB700" s="25"/>
      <c r="AC700" s="10" t="str">
        <f t="shared" si="902"/>
        <v>OutubroSEMANA 3Figo em Calda</v>
      </c>
      <c r="AD700" s="7">
        <f>SUMIF(NF!$A:$A,$AC700,NF!$I:$I)</f>
        <v>0</v>
      </c>
      <c r="AE700" s="6"/>
      <c r="AF700" s="6">
        <v>1</v>
      </c>
      <c r="AG700" s="6"/>
      <c r="AH700" s="6"/>
      <c r="AI700" s="6"/>
      <c r="AJ700" s="6"/>
      <c r="AK700" s="6"/>
      <c r="AL700" s="7">
        <f t="shared" ref="AL700:AL712" si="936">SUM(AE700:AK700)</f>
        <v>1</v>
      </c>
      <c r="AM700" s="11">
        <f t="shared" si="834"/>
        <v>5</v>
      </c>
      <c r="AN700" s="25"/>
      <c r="AO700" s="10" t="str">
        <f t="shared" si="903"/>
        <v>OutubroSEMANA 4Figo em Calda</v>
      </c>
      <c r="AP700" s="7">
        <f>SUMIF(NF!$A:$A,$AO700,NF!$I:$I)</f>
        <v>0</v>
      </c>
      <c r="AQ700" s="6"/>
      <c r="AR700" s="6"/>
      <c r="AS700" s="6"/>
      <c r="AT700" s="6"/>
      <c r="AU700" s="6"/>
      <c r="AV700" s="6"/>
      <c r="AW700" s="6"/>
      <c r="AX700" s="7">
        <f t="shared" ref="AX700:AX712" si="937">SUM(AQ700:AW700)</f>
        <v>0</v>
      </c>
      <c r="AY700" s="11">
        <f t="shared" si="837"/>
        <v>5</v>
      </c>
      <c r="AZ700" s="25"/>
      <c r="BA700" s="10" t="str">
        <f t="shared" si="904"/>
        <v>OutubroSEMANA 5Figo em Calda</v>
      </c>
      <c r="BB700" s="7">
        <f>SUMIF(NF!$A:$A,$BA700,NF!$I:$I)</f>
        <v>0</v>
      </c>
      <c r="BC700" s="6"/>
      <c r="BD700" s="6"/>
      <c r="BE700" s="6"/>
      <c r="BF700" s="74"/>
      <c r="BG700" s="74"/>
      <c r="BH700" s="74"/>
      <c r="BI700" s="74"/>
      <c r="BJ700" s="74"/>
      <c r="BK700" s="7">
        <f t="shared" ref="BK700:BK712" si="938">SUM(BC700:BJ700)</f>
        <v>0</v>
      </c>
      <c r="BL700" s="8">
        <f t="shared" si="840"/>
        <v>5</v>
      </c>
      <c r="BM700" s="51" t="str">
        <f>IFERROR(VLOOKUP(A700,NF!$M:$O,3,0),"")</f>
        <v>Mercado</v>
      </c>
      <c r="BN700" s="7">
        <f t="shared" si="841"/>
        <v>4</v>
      </c>
      <c r="BO700" s="8">
        <f t="array" ref="BO700">IFERROR(LARGE(IF(NF!$G$2:$G$3137='Mês atual'!A700,NF!$J$2:$J$3137),1),0)*BN700</f>
        <v>0</v>
      </c>
      <c r="BP700" s="50"/>
      <c r="BR700" s="147">
        <f t="array" ref="BR700">IFERROR(LARGE(IF(NF!$G$2:$G$3137='Mês atual'!A700,NF!$J$2:$J$3137),1),0)</f>
        <v>0</v>
      </c>
      <c r="BS700" s="143" t="str">
        <f>VLOOKUP(A700,NF!M:O,3,0)</f>
        <v>Mercado</v>
      </c>
    </row>
    <row r="701" spans="1:71" x14ac:dyDescent="0.25">
      <c r="A701" s="108" t="s">
        <v>358</v>
      </c>
      <c r="B701" s="12"/>
      <c r="C701" s="9"/>
      <c r="D701" s="25"/>
      <c r="E701" s="10" t="str">
        <f t="shared" si="900"/>
        <v>OutubroSEMANA 1Figo Seco</v>
      </c>
      <c r="F701" s="7">
        <f>SUMIF(NF!$A:$A,$E701,NF!$I:$I)</f>
        <v>0</v>
      </c>
      <c r="G701" s="6"/>
      <c r="H701" s="6"/>
      <c r="I701" s="6"/>
      <c r="J701" s="6"/>
      <c r="K701" s="6"/>
      <c r="L701" s="6"/>
      <c r="M701" s="6"/>
      <c r="N701" s="7">
        <f t="shared" si="934"/>
        <v>0</v>
      </c>
      <c r="O701" s="11">
        <f t="shared" si="828"/>
        <v>0</v>
      </c>
      <c r="P701" s="25"/>
      <c r="Q701" s="10" t="str">
        <f t="shared" si="901"/>
        <v>OutubroSEMANA 2Figo Seco</v>
      </c>
      <c r="R701" s="7">
        <f>SUMIF(NF!$A:$A,$Q701,NF!$I:$I)</f>
        <v>0</v>
      </c>
      <c r="S701" s="6"/>
      <c r="T701" s="6"/>
      <c r="U701" s="6"/>
      <c r="V701" s="6"/>
      <c r="W701" s="6"/>
      <c r="X701" s="6"/>
      <c r="Y701" s="6"/>
      <c r="Z701" s="7">
        <f t="shared" si="935"/>
        <v>0</v>
      </c>
      <c r="AA701" s="11">
        <f t="shared" si="831"/>
        <v>0</v>
      </c>
      <c r="AB701" s="25"/>
      <c r="AC701" s="10" t="str">
        <f t="shared" si="902"/>
        <v>OutubroSEMANA 3Figo Seco</v>
      </c>
      <c r="AD701" s="7">
        <f>SUMIF(NF!$A:$A,$AC701,NF!$I:$I)</f>
        <v>0</v>
      </c>
      <c r="AE701" s="6"/>
      <c r="AF701" s="6"/>
      <c r="AG701" s="6"/>
      <c r="AH701" s="6"/>
      <c r="AI701" s="6"/>
      <c r="AJ701" s="6"/>
      <c r="AK701" s="6"/>
      <c r="AL701" s="7">
        <f t="shared" si="936"/>
        <v>0</v>
      </c>
      <c r="AM701" s="11">
        <f t="shared" si="834"/>
        <v>0</v>
      </c>
      <c r="AN701" s="25"/>
      <c r="AO701" s="10" t="str">
        <f t="shared" si="903"/>
        <v>OutubroSEMANA 4Figo Seco</v>
      </c>
      <c r="AP701" s="7">
        <f>SUMIF(NF!$A:$A,$AO701,NF!$I:$I)</f>
        <v>0</v>
      </c>
      <c r="AQ701" s="6"/>
      <c r="AR701" s="6"/>
      <c r="AS701" s="6"/>
      <c r="AT701" s="6"/>
      <c r="AU701" s="6"/>
      <c r="AV701" s="6"/>
      <c r="AW701" s="6"/>
      <c r="AX701" s="7">
        <f t="shared" si="937"/>
        <v>0</v>
      </c>
      <c r="AY701" s="11">
        <f t="shared" si="837"/>
        <v>0</v>
      </c>
      <c r="AZ701" s="25"/>
      <c r="BA701" s="10" t="str">
        <f t="shared" si="904"/>
        <v>OutubroSEMANA 5Figo Seco</v>
      </c>
      <c r="BB701" s="7">
        <f>SUMIF(NF!$A:$A,$BA701,NF!$I:$I)</f>
        <v>0</v>
      </c>
      <c r="BC701" s="6"/>
      <c r="BD701" s="6"/>
      <c r="BE701" s="6"/>
      <c r="BF701" s="74"/>
      <c r="BG701" s="74"/>
      <c r="BH701" s="74"/>
      <c r="BI701" s="74"/>
      <c r="BJ701" s="74"/>
      <c r="BK701" s="7">
        <f t="shared" si="938"/>
        <v>0</v>
      </c>
      <c r="BL701" s="8">
        <f t="shared" si="840"/>
        <v>0</v>
      </c>
      <c r="BM701" s="51" t="str">
        <f>IFERROR(VLOOKUP(A701,NF!$M:$O,3,0),"")</f>
        <v>Mercado</v>
      </c>
      <c r="BN701" s="7">
        <f t="shared" si="841"/>
        <v>0</v>
      </c>
      <c r="BO701" s="8">
        <f t="array" ref="BO701">IFERROR(LARGE(IF(NF!$G$2:$G$3137='Mês atual'!A701,NF!$J$2:$J$3137),1),0)*BN701</f>
        <v>0</v>
      </c>
      <c r="BP701" s="50"/>
      <c r="BR701" s="147">
        <f t="array" ref="BR701">IFERROR(LARGE(IF(NF!$G$2:$G$3137='Mês atual'!A701,NF!$J$2:$J$3137),1),0)</f>
        <v>0</v>
      </c>
      <c r="BS701" s="143" t="str">
        <f>VLOOKUP(A701,NF!M:O,3,0)</f>
        <v>Mercado</v>
      </c>
    </row>
    <row r="702" spans="1:71" x14ac:dyDescent="0.25">
      <c r="A702" s="108" t="s">
        <v>894</v>
      </c>
      <c r="B702" s="12"/>
      <c r="C702" s="9">
        <v>1</v>
      </c>
      <c r="D702" s="25"/>
      <c r="E702" s="10" t="str">
        <f t="shared" si="900"/>
        <v>OutubroSEMANA 1Flocos de Arroz (cozinha)</v>
      </c>
      <c r="F702" s="7">
        <f>SUMIF(NF!$A:$A,$E702,NF!$I:$I)</f>
        <v>0</v>
      </c>
      <c r="G702" s="6"/>
      <c r="H702" s="6"/>
      <c r="I702" s="6"/>
      <c r="J702" s="6"/>
      <c r="K702" s="6"/>
      <c r="L702" s="6"/>
      <c r="M702" s="6"/>
      <c r="N702" s="7">
        <f t="shared" si="934"/>
        <v>0</v>
      </c>
      <c r="O702" s="11">
        <f t="shared" si="828"/>
        <v>1</v>
      </c>
      <c r="P702" s="25"/>
      <c r="Q702" s="10" t="str">
        <f t="shared" si="901"/>
        <v>OutubroSEMANA 2Flocos de Arroz (cozinha)</v>
      </c>
      <c r="R702" s="7">
        <f>SUMIF(NF!$A:$A,$Q702,NF!$I:$I)</f>
        <v>0</v>
      </c>
      <c r="S702" s="6"/>
      <c r="T702" s="6"/>
      <c r="U702" s="6"/>
      <c r="V702" s="6"/>
      <c r="W702" s="6"/>
      <c r="X702" s="6"/>
      <c r="Y702" s="6"/>
      <c r="Z702" s="7">
        <f t="shared" si="935"/>
        <v>0</v>
      </c>
      <c r="AA702" s="11">
        <f t="shared" si="831"/>
        <v>1</v>
      </c>
      <c r="AB702" s="25"/>
      <c r="AC702" s="10" t="str">
        <f t="shared" si="902"/>
        <v>OutubroSEMANA 3Flocos de Arroz (cozinha)</v>
      </c>
      <c r="AD702" s="7">
        <f>SUMIF(NF!$A:$A,$AC702,NF!$I:$I)</f>
        <v>1</v>
      </c>
      <c r="AE702" s="6"/>
      <c r="AF702" s="6"/>
      <c r="AG702" s="6">
        <v>1</v>
      </c>
      <c r="AH702" s="6"/>
      <c r="AI702" s="6"/>
      <c r="AJ702" s="6"/>
      <c r="AK702" s="6"/>
      <c r="AL702" s="7">
        <f t="shared" si="936"/>
        <v>1</v>
      </c>
      <c r="AM702" s="11">
        <f t="shared" si="834"/>
        <v>1</v>
      </c>
      <c r="AN702" s="25"/>
      <c r="AO702" s="10" t="str">
        <f t="shared" si="903"/>
        <v>OutubroSEMANA 4Flocos de Arroz (cozinha)</v>
      </c>
      <c r="AP702" s="7">
        <f>SUMIF(NF!$A:$A,$AO702,NF!$I:$I)</f>
        <v>0</v>
      </c>
      <c r="AQ702" s="6"/>
      <c r="AR702" s="6"/>
      <c r="AS702" s="6"/>
      <c r="AT702" s="6"/>
      <c r="AU702" s="6"/>
      <c r="AV702" s="6"/>
      <c r="AW702" s="6"/>
      <c r="AX702" s="7">
        <f t="shared" si="937"/>
        <v>0</v>
      </c>
      <c r="AY702" s="11">
        <f t="shared" si="837"/>
        <v>1</v>
      </c>
      <c r="AZ702" s="25"/>
      <c r="BA702" s="10" t="str">
        <f t="shared" si="904"/>
        <v>OutubroSEMANA 5Flocos de Arroz (cozinha)</v>
      </c>
      <c r="BB702" s="7">
        <f>SUMIF(NF!$A:$A,$BA702,NF!$I:$I)</f>
        <v>0</v>
      </c>
      <c r="BC702" s="6"/>
      <c r="BD702" s="6"/>
      <c r="BE702" s="6"/>
      <c r="BF702" s="74"/>
      <c r="BG702" s="74"/>
      <c r="BH702" s="74"/>
      <c r="BI702" s="74"/>
      <c r="BJ702" s="74"/>
      <c r="BK702" s="7">
        <f t="shared" si="938"/>
        <v>0</v>
      </c>
      <c r="BL702" s="8">
        <f t="shared" si="840"/>
        <v>1</v>
      </c>
      <c r="BM702" s="51" t="str">
        <f>IFERROR(VLOOKUP(A702,NF!$M:$O,3,0),"")</f>
        <v>Mercado</v>
      </c>
      <c r="BN702" s="7">
        <f t="shared" si="841"/>
        <v>1</v>
      </c>
      <c r="BO702" s="8">
        <f t="array" ref="BO702">IFERROR(LARGE(IF(NF!$G$2:$G$3137='Mês atual'!A702,NF!$J$2:$J$3137),1),0)*BN702</f>
        <v>17.82</v>
      </c>
      <c r="BP702" s="50"/>
      <c r="BR702" s="147">
        <f t="array" ref="BR702">IFERROR(LARGE(IF(NF!$G$2:$G$3137='Mês atual'!A702,NF!$J$2:$J$3137),1),0)</f>
        <v>17.82</v>
      </c>
      <c r="BS702" s="143" t="str">
        <f>VLOOKUP(A702,NF!M:O,3,0)</f>
        <v>Mercado</v>
      </c>
    </row>
    <row r="703" spans="1:71" x14ac:dyDescent="0.25">
      <c r="A703" s="108" t="s">
        <v>364</v>
      </c>
      <c r="B703" s="12"/>
      <c r="C703" s="9"/>
      <c r="D703" s="25"/>
      <c r="E703" s="10" t="str">
        <f t="shared" si="900"/>
        <v>OutubroSEMANA 1Flocos de Milho</v>
      </c>
      <c r="F703" s="7">
        <f>SUMIF(NF!$A:$A,$E703,NF!$I:$I)</f>
        <v>0.5</v>
      </c>
      <c r="G703" s="6"/>
      <c r="H703" s="6"/>
      <c r="I703" s="6"/>
      <c r="J703" s="6"/>
      <c r="K703" s="6"/>
      <c r="L703" s="6"/>
      <c r="M703" s="6">
        <v>0.5</v>
      </c>
      <c r="N703" s="7">
        <f t="shared" si="934"/>
        <v>0.5</v>
      </c>
      <c r="O703" s="11">
        <f t="shared" si="828"/>
        <v>0</v>
      </c>
      <c r="P703" s="25"/>
      <c r="Q703" s="10" t="str">
        <f t="shared" si="901"/>
        <v>OutubroSEMANA 2Flocos de Milho</v>
      </c>
      <c r="R703" s="7">
        <f>SUMIF(NF!$A:$A,$Q703,NF!$I:$I)</f>
        <v>0</v>
      </c>
      <c r="S703" s="6"/>
      <c r="T703" s="6"/>
      <c r="U703" s="6"/>
      <c r="V703" s="6"/>
      <c r="W703" s="6"/>
      <c r="X703" s="6"/>
      <c r="Y703" s="6"/>
      <c r="Z703" s="7">
        <f t="shared" si="935"/>
        <v>0</v>
      </c>
      <c r="AA703" s="11">
        <f t="shared" si="831"/>
        <v>0</v>
      </c>
      <c r="AB703" s="25"/>
      <c r="AC703" s="10" t="str">
        <f t="shared" si="902"/>
        <v>OutubroSEMANA 3Flocos de Milho</v>
      </c>
      <c r="AD703" s="7">
        <f>SUMIF(NF!$A:$A,$AC703,NF!$I:$I)</f>
        <v>2.5</v>
      </c>
      <c r="AE703" s="6"/>
      <c r="AF703" s="6"/>
      <c r="AG703" s="6"/>
      <c r="AH703" s="6"/>
      <c r="AI703" s="6">
        <v>2</v>
      </c>
      <c r="AJ703" s="6"/>
      <c r="AK703" s="6"/>
      <c r="AL703" s="7">
        <f t="shared" si="936"/>
        <v>2</v>
      </c>
      <c r="AM703" s="11">
        <f t="shared" si="834"/>
        <v>0.5</v>
      </c>
      <c r="AN703" s="25"/>
      <c r="AO703" s="10" t="str">
        <f t="shared" si="903"/>
        <v>OutubroSEMANA 4Flocos de Milho</v>
      </c>
      <c r="AP703" s="7">
        <f>SUMIF(NF!$A:$A,$AO703,NF!$I:$I)</f>
        <v>0</v>
      </c>
      <c r="AQ703" s="6"/>
      <c r="AR703" s="6"/>
      <c r="AS703" s="6"/>
      <c r="AT703" s="6"/>
      <c r="AU703" s="6"/>
      <c r="AV703" s="6"/>
      <c r="AW703" s="6"/>
      <c r="AX703" s="7">
        <f t="shared" si="937"/>
        <v>0</v>
      </c>
      <c r="AY703" s="11">
        <f t="shared" si="837"/>
        <v>0.5</v>
      </c>
      <c r="AZ703" s="25"/>
      <c r="BA703" s="10" t="str">
        <f t="shared" si="904"/>
        <v>OutubroSEMANA 5Flocos de Milho</v>
      </c>
      <c r="BB703" s="7">
        <f>SUMIF(NF!$A:$A,$BA703,NF!$I:$I)</f>
        <v>0</v>
      </c>
      <c r="BC703" s="6"/>
      <c r="BD703" s="6"/>
      <c r="BE703" s="6"/>
      <c r="BF703" s="74"/>
      <c r="BG703" s="74"/>
      <c r="BH703" s="74"/>
      <c r="BI703" s="74"/>
      <c r="BJ703" s="74"/>
      <c r="BK703" s="7">
        <f t="shared" si="938"/>
        <v>0</v>
      </c>
      <c r="BL703" s="8">
        <f t="shared" si="840"/>
        <v>0.5</v>
      </c>
      <c r="BM703" s="51" t="str">
        <f>IFERROR(VLOOKUP(A703,NF!$M:$O,3,0),"")</f>
        <v>Mercado</v>
      </c>
      <c r="BN703" s="7">
        <f t="shared" si="841"/>
        <v>2.5</v>
      </c>
      <c r="BO703" s="8">
        <f t="array" ref="BO703">IFERROR(LARGE(IF(NF!$G$2:$G$3137='Mês atual'!A703,NF!$J$2:$J$3137),1),0)*BN703</f>
        <v>52.5</v>
      </c>
      <c r="BP703" s="50"/>
      <c r="BR703" s="147">
        <f t="array" ref="BR703">IFERROR(LARGE(IF(NF!$G$2:$G$3137='Mês atual'!A703,NF!$J$2:$J$3137),1),0)</f>
        <v>21</v>
      </c>
      <c r="BS703" s="143" t="str">
        <f>VLOOKUP(A703,NF!M:O,3,0)</f>
        <v>Mercado</v>
      </c>
    </row>
    <row r="704" spans="1:71" x14ac:dyDescent="0.25">
      <c r="A704" s="108" t="s">
        <v>1302</v>
      </c>
      <c r="B704" s="12"/>
      <c r="C704" s="9"/>
      <c r="D704" s="25"/>
      <c r="E704" s="10" t="str">
        <f t="shared" si="900"/>
        <v>OutubroSEMANA 1Folha de Alga 50F (cozinha)</v>
      </c>
      <c r="F704" s="7">
        <f>SUMIF(NF!$A:$A,$E704,NF!$I:$I)</f>
        <v>2</v>
      </c>
      <c r="G704" s="6"/>
      <c r="H704" s="6"/>
      <c r="I704" s="6"/>
      <c r="J704" s="6"/>
      <c r="K704" s="6"/>
      <c r="L704" s="6"/>
      <c r="M704" s="6"/>
      <c r="N704" s="7">
        <f t="shared" ref="N704" si="939">SUM(G704:M704)</f>
        <v>0</v>
      </c>
      <c r="O704" s="11">
        <f t="shared" ref="O704" si="940">F704+C704-N704</f>
        <v>2</v>
      </c>
      <c r="P704" s="25"/>
      <c r="Q704" s="10" t="str">
        <f t="shared" si="901"/>
        <v>OutubroSEMANA 2Folha de Alga 50F (cozinha)</v>
      </c>
      <c r="R704" s="7">
        <f>SUMIF(NF!$A:$A,$Q704,NF!$I:$I)</f>
        <v>0</v>
      </c>
      <c r="S704" s="6"/>
      <c r="T704" s="6"/>
      <c r="U704" s="6"/>
      <c r="V704" s="6"/>
      <c r="W704" s="6"/>
      <c r="X704" s="6"/>
      <c r="Y704" s="6"/>
      <c r="Z704" s="7">
        <f t="shared" ref="Z704" si="941">SUM(S704:Y704)</f>
        <v>0</v>
      </c>
      <c r="AA704" s="11">
        <f t="shared" ref="AA704" si="942">R704+O704-Z704</f>
        <v>2</v>
      </c>
      <c r="AB704" s="25"/>
      <c r="AC704" s="10" t="str">
        <f t="shared" si="902"/>
        <v>OutubroSEMANA 3Folha de Alga 50F (cozinha)</v>
      </c>
      <c r="AD704" s="7">
        <f>SUMIF(NF!$A:$A,$AC704,NF!$I:$I)</f>
        <v>0</v>
      </c>
      <c r="AE704" s="6"/>
      <c r="AF704" s="6"/>
      <c r="AG704" s="6">
        <v>2</v>
      </c>
      <c r="AH704" s="6"/>
      <c r="AI704" s="6"/>
      <c r="AJ704" s="6"/>
      <c r="AK704" s="6"/>
      <c r="AL704" s="7">
        <f t="shared" ref="AL704" si="943">SUM(AE704:AK704)</f>
        <v>2</v>
      </c>
      <c r="AM704" s="11">
        <f t="shared" ref="AM704" si="944">AD704+AA704-AL704</f>
        <v>0</v>
      </c>
      <c r="AN704" s="25"/>
      <c r="AO704" s="10" t="str">
        <f t="shared" si="903"/>
        <v>OutubroSEMANA 4Folha de Alga 50F (cozinha)</v>
      </c>
      <c r="AP704" s="7">
        <f>SUMIF(NF!$A:$A,$AO704,NF!$I:$I)</f>
        <v>0</v>
      </c>
      <c r="AQ704" s="6"/>
      <c r="AR704" s="6"/>
      <c r="AS704" s="6"/>
      <c r="AT704" s="6"/>
      <c r="AU704" s="6"/>
      <c r="AV704" s="6"/>
      <c r="AW704" s="6"/>
      <c r="AX704" s="7">
        <f t="shared" ref="AX704" si="945">SUM(AQ704:AW704)</f>
        <v>0</v>
      </c>
      <c r="AY704" s="11">
        <f t="shared" ref="AY704" si="946">AP704+AM704-AX704</f>
        <v>0</v>
      </c>
      <c r="AZ704" s="25"/>
      <c r="BA704" s="10" t="str">
        <f t="shared" si="904"/>
        <v>OutubroSEMANA 5Folha de Alga 50F (cozinha)</v>
      </c>
      <c r="BB704" s="7">
        <f>SUMIF(NF!$A:$A,$BA704,NF!$I:$I)</f>
        <v>0</v>
      </c>
      <c r="BC704" s="6"/>
      <c r="BD704" s="6"/>
      <c r="BE704" s="6"/>
      <c r="BF704" s="74"/>
      <c r="BG704" s="74"/>
      <c r="BH704" s="74"/>
      <c r="BI704" s="74"/>
      <c r="BJ704" s="74"/>
      <c r="BK704" s="7">
        <f t="shared" ref="BK704" si="947">SUM(BC704:BJ704)</f>
        <v>0</v>
      </c>
      <c r="BL704" s="8">
        <f t="shared" ref="BL704" si="948">BB704+AY704-BK704</f>
        <v>0</v>
      </c>
      <c r="BM704" s="51" t="str">
        <f>IFERROR(VLOOKUP(A704,NF!$M:$O,3,0),"")</f>
        <v>Mercado</v>
      </c>
      <c r="BN704" s="7">
        <f t="shared" ref="BN704" si="949">SUM(N704,Z704,AL704,AX704,BK704)</f>
        <v>2</v>
      </c>
      <c r="BO704" s="8">
        <f t="array" ref="BO704">IFERROR(LARGE(IF(NF!$G$2:$G$3137='Mês atual'!A704,NF!$J$2:$J$3137),1),0)*BN704</f>
        <v>66</v>
      </c>
      <c r="BP704" s="50"/>
      <c r="BR704" s="147">
        <f t="array" ref="BR704">IFERROR(LARGE(IF(NF!$G$2:$G$3137='Mês atual'!A704,NF!$J$2:$J$3137),1),0)</f>
        <v>33</v>
      </c>
      <c r="BS704" s="143" t="str">
        <f>VLOOKUP(A704,NF!M:O,3,0)</f>
        <v>Mercado</v>
      </c>
    </row>
    <row r="705" spans="1:71" x14ac:dyDescent="0.25">
      <c r="A705" s="108" t="s">
        <v>372</v>
      </c>
      <c r="B705" s="12"/>
      <c r="C705" s="9"/>
      <c r="D705" s="25"/>
      <c r="E705" s="10" t="str">
        <f t="shared" si="900"/>
        <v>OutubroSEMANA 1Frutas Cristalizadas</v>
      </c>
      <c r="F705" s="7">
        <f>SUMIF(NF!$A:$A,$E705,NF!$I:$I)</f>
        <v>0</v>
      </c>
      <c r="G705" s="6"/>
      <c r="H705" s="6"/>
      <c r="I705" s="6"/>
      <c r="J705" s="6"/>
      <c r="K705" s="6"/>
      <c r="L705" s="6"/>
      <c r="M705" s="6"/>
      <c r="N705" s="7">
        <f t="shared" si="934"/>
        <v>0</v>
      </c>
      <c r="O705" s="11">
        <f t="shared" si="828"/>
        <v>0</v>
      </c>
      <c r="P705" s="25"/>
      <c r="Q705" s="10" t="str">
        <f t="shared" si="901"/>
        <v>OutubroSEMANA 2Frutas Cristalizadas</v>
      </c>
      <c r="R705" s="7">
        <f>SUMIF(NF!$A:$A,$Q705,NF!$I:$I)</f>
        <v>0</v>
      </c>
      <c r="S705" s="6"/>
      <c r="T705" s="6"/>
      <c r="U705" s="6"/>
      <c r="V705" s="6"/>
      <c r="W705" s="6"/>
      <c r="X705" s="6"/>
      <c r="Y705" s="6"/>
      <c r="Z705" s="7">
        <f t="shared" si="935"/>
        <v>0</v>
      </c>
      <c r="AA705" s="11">
        <f t="shared" si="831"/>
        <v>0</v>
      </c>
      <c r="AB705" s="25"/>
      <c r="AC705" s="10" t="str">
        <f t="shared" si="902"/>
        <v>OutubroSEMANA 3Frutas Cristalizadas</v>
      </c>
      <c r="AD705" s="7">
        <f>SUMIF(NF!$A:$A,$AC705,NF!$I:$I)</f>
        <v>0</v>
      </c>
      <c r="AE705" s="6"/>
      <c r="AF705" s="6"/>
      <c r="AG705" s="6"/>
      <c r="AH705" s="6"/>
      <c r="AI705" s="6"/>
      <c r="AJ705" s="6"/>
      <c r="AK705" s="6"/>
      <c r="AL705" s="7">
        <f t="shared" si="936"/>
        <v>0</v>
      </c>
      <c r="AM705" s="11">
        <f t="shared" si="834"/>
        <v>0</v>
      </c>
      <c r="AN705" s="25"/>
      <c r="AO705" s="10" t="str">
        <f t="shared" si="903"/>
        <v>OutubroSEMANA 4Frutas Cristalizadas</v>
      </c>
      <c r="AP705" s="7">
        <f>SUMIF(NF!$A:$A,$AO705,NF!$I:$I)</f>
        <v>0</v>
      </c>
      <c r="AQ705" s="6"/>
      <c r="AR705" s="6"/>
      <c r="AS705" s="6"/>
      <c r="AT705" s="6"/>
      <c r="AU705" s="6"/>
      <c r="AV705" s="6"/>
      <c r="AW705" s="6"/>
      <c r="AX705" s="7">
        <f t="shared" si="937"/>
        <v>0</v>
      </c>
      <c r="AY705" s="11">
        <f t="shared" si="837"/>
        <v>0</v>
      </c>
      <c r="AZ705" s="25"/>
      <c r="BA705" s="10" t="str">
        <f t="shared" si="904"/>
        <v>OutubroSEMANA 5Frutas Cristalizadas</v>
      </c>
      <c r="BB705" s="7">
        <f>SUMIF(NF!$A:$A,$BA705,NF!$I:$I)</f>
        <v>0</v>
      </c>
      <c r="BC705" s="6"/>
      <c r="BD705" s="6"/>
      <c r="BE705" s="6"/>
      <c r="BF705" s="74"/>
      <c r="BG705" s="74"/>
      <c r="BH705" s="74"/>
      <c r="BI705" s="74"/>
      <c r="BJ705" s="74"/>
      <c r="BK705" s="7">
        <f t="shared" si="938"/>
        <v>0</v>
      </c>
      <c r="BL705" s="8">
        <f t="shared" si="840"/>
        <v>0</v>
      </c>
      <c r="BM705" s="51" t="str">
        <f>IFERROR(VLOOKUP(A705,NF!$M:$O,3,0),"")</f>
        <v>Mercado</v>
      </c>
      <c r="BN705" s="7">
        <f t="shared" si="841"/>
        <v>0</v>
      </c>
      <c r="BO705" s="8">
        <f t="array" ref="BO705">IFERROR(LARGE(IF(NF!$G$2:$G$3137='Mês atual'!A705,NF!$J$2:$J$3137),1),0)*BN705</f>
        <v>0</v>
      </c>
      <c r="BP705" s="50"/>
      <c r="BR705" s="147">
        <f t="array" ref="BR705">IFERROR(LARGE(IF(NF!$G$2:$G$3137='Mês atual'!A705,NF!$J$2:$J$3137),1),0)</f>
        <v>0</v>
      </c>
      <c r="BS705" s="143" t="str">
        <f>VLOOKUP(A705,NF!M:O,3,0)</f>
        <v>Mercado</v>
      </c>
    </row>
    <row r="706" spans="1:71" x14ac:dyDescent="0.25">
      <c r="A706" s="108" t="s">
        <v>373</v>
      </c>
      <c r="B706" s="12"/>
      <c r="C706" s="9">
        <v>21</v>
      </c>
      <c r="D706" s="25"/>
      <c r="E706" s="10" t="str">
        <f t="shared" si="900"/>
        <v xml:space="preserve">OutubroSEMANA 1Fubá de Milho </v>
      </c>
      <c r="F706" s="7">
        <f>SUMIF(NF!$A:$A,$E706,NF!$I:$I)</f>
        <v>0</v>
      </c>
      <c r="G706" s="6"/>
      <c r="H706" s="6"/>
      <c r="I706" s="6">
        <v>1</v>
      </c>
      <c r="J706" s="6"/>
      <c r="K706" s="6"/>
      <c r="L706" s="6"/>
      <c r="M706" s="6">
        <v>1</v>
      </c>
      <c r="N706" s="7">
        <f t="shared" si="934"/>
        <v>2</v>
      </c>
      <c r="O706" s="11">
        <f t="shared" si="828"/>
        <v>19</v>
      </c>
      <c r="P706" s="25"/>
      <c r="Q706" s="10" t="str">
        <f t="shared" si="901"/>
        <v xml:space="preserve">OutubroSEMANA 2Fubá de Milho </v>
      </c>
      <c r="R706" s="7">
        <f>SUMIF(NF!$A:$A,$Q706,NF!$I:$I)</f>
        <v>0</v>
      </c>
      <c r="S706" s="6">
        <v>1</v>
      </c>
      <c r="T706" s="6"/>
      <c r="U706" s="6"/>
      <c r="V706" s="6"/>
      <c r="W706" s="6"/>
      <c r="X706" s="6"/>
      <c r="Y706" s="6"/>
      <c r="Z706" s="7">
        <f t="shared" si="935"/>
        <v>1</v>
      </c>
      <c r="AA706" s="11">
        <f t="shared" si="831"/>
        <v>18</v>
      </c>
      <c r="AB706" s="25"/>
      <c r="AC706" s="10" t="str">
        <f t="shared" si="902"/>
        <v xml:space="preserve">OutubroSEMANA 3Fubá de Milho </v>
      </c>
      <c r="AD706" s="7">
        <f>SUMIF(NF!$A:$A,$AC706,NF!$I:$I)</f>
        <v>0</v>
      </c>
      <c r="AE706" s="6">
        <v>2</v>
      </c>
      <c r="AF706" s="6"/>
      <c r="AG706" s="6">
        <v>1</v>
      </c>
      <c r="AH706" s="6"/>
      <c r="AI706" s="6"/>
      <c r="AJ706" s="6">
        <v>1</v>
      </c>
      <c r="AK706" s="6"/>
      <c r="AL706" s="7">
        <f t="shared" si="936"/>
        <v>4</v>
      </c>
      <c r="AM706" s="11">
        <f t="shared" si="834"/>
        <v>14</v>
      </c>
      <c r="AN706" s="25"/>
      <c r="AO706" s="10" t="str">
        <f t="shared" si="903"/>
        <v xml:space="preserve">OutubroSEMANA 4Fubá de Milho </v>
      </c>
      <c r="AP706" s="7">
        <f>SUMIF(NF!$A:$A,$AO706,NF!$I:$I)</f>
        <v>0</v>
      </c>
      <c r="AQ706" s="6"/>
      <c r="AR706" s="6"/>
      <c r="AS706" s="6"/>
      <c r="AT706" s="6"/>
      <c r="AU706" s="6"/>
      <c r="AV706" s="6"/>
      <c r="AW706" s="6"/>
      <c r="AX706" s="7">
        <f t="shared" si="937"/>
        <v>0</v>
      </c>
      <c r="AY706" s="11">
        <f t="shared" si="837"/>
        <v>14</v>
      </c>
      <c r="AZ706" s="25"/>
      <c r="BA706" s="10" t="str">
        <f t="shared" si="904"/>
        <v xml:space="preserve">OutubroSEMANA 5Fubá de Milho </v>
      </c>
      <c r="BB706" s="7">
        <f>SUMIF(NF!$A:$A,$BA706,NF!$I:$I)</f>
        <v>0</v>
      </c>
      <c r="BC706" s="6"/>
      <c r="BD706" s="6">
        <v>3</v>
      </c>
      <c r="BE706" s="6"/>
      <c r="BF706" s="74"/>
      <c r="BG706" s="74"/>
      <c r="BH706" s="74"/>
      <c r="BI706" s="74"/>
      <c r="BJ706" s="74"/>
      <c r="BK706" s="7">
        <f t="shared" si="938"/>
        <v>3</v>
      </c>
      <c r="BL706" s="8">
        <f t="shared" si="840"/>
        <v>11</v>
      </c>
      <c r="BM706" s="51" t="str">
        <f>IFERROR(VLOOKUP(A706,NF!$M:$O,3,0),"")</f>
        <v>Mercado</v>
      </c>
      <c r="BN706" s="7">
        <f t="shared" si="841"/>
        <v>10</v>
      </c>
      <c r="BO706" s="8">
        <f t="array" ref="BO706">IFERROR(LARGE(IF(NF!$G$2:$G$3137='Mês atual'!A706,NF!$J$2:$J$3137),1),0)*BN706</f>
        <v>0</v>
      </c>
      <c r="BP706" s="50"/>
      <c r="BR706" s="147">
        <f t="array" ref="BR706">IFERROR(LARGE(IF(NF!$G$2:$G$3137='Mês atual'!A706,NF!$J$2:$J$3137),1),0)</f>
        <v>0</v>
      </c>
      <c r="BS706" s="143" t="str">
        <f>VLOOKUP(A706,NF!M:O,3,0)</f>
        <v>Mercado</v>
      </c>
    </row>
    <row r="707" spans="1:71" x14ac:dyDescent="0.25">
      <c r="A707" s="108" t="s">
        <v>375</v>
      </c>
      <c r="B707" s="12"/>
      <c r="C707" s="9"/>
      <c r="D707" s="25"/>
      <c r="E707" s="10" t="str">
        <f t="shared" si="900"/>
        <v>OutubroSEMANA 1Fundo de Alcachofra</v>
      </c>
      <c r="F707" s="7">
        <f>SUMIF(NF!$A:$A,$E707,NF!$I:$I)</f>
        <v>0</v>
      </c>
      <c r="G707" s="6"/>
      <c r="H707" s="6"/>
      <c r="I707" s="6"/>
      <c r="J707" s="6"/>
      <c r="K707" s="6"/>
      <c r="L707" s="6"/>
      <c r="M707" s="6"/>
      <c r="N707" s="7">
        <f t="shared" ref="N707" si="950">SUM(G707:M707)</f>
        <v>0</v>
      </c>
      <c r="O707" s="11">
        <f t="shared" si="828"/>
        <v>0</v>
      </c>
      <c r="P707" s="25"/>
      <c r="Q707" s="10" t="str">
        <f t="shared" si="901"/>
        <v>OutubroSEMANA 2Fundo de Alcachofra</v>
      </c>
      <c r="R707" s="7">
        <f>SUMIF(NF!$A:$A,$Q707,NF!$I:$I)</f>
        <v>6.4</v>
      </c>
      <c r="S707" s="6"/>
      <c r="T707" s="6"/>
      <c r="U707" s="6"/>
      <c r="V707" s="6"/>
      <c r="W707" s="6"/>
      <c r="X707" s="6"/>
      <c r="Y707" s="6"/>
      <c r="Z707" s="7">
        <f t="shared" ref="Z707" si="951">SUM(S707:Y707)</f>
        <v>0</v>
      </c>
      <c r="AA707" s="11">
        <f t="shared" si="831"/>
        <v>6.4</v>
      </c>
      <c r="AB707" s="25"/>
      <c r="AC707" s="10" t="str">
        <f t="shared" si="902"/>
        <v>OutubroSEMANA 3Fundo de Alcachofra</v>
      </c>
      <c r="AD707" s="7">
        <f>SUMIF(NF!$A:$A,$AC707,NF!$I:$I)</f>
        <v>0</v>
      </c>
      <c r="AE707" s="6">
        <v>2.8</v>
      </c>
      <c r="AF707" s="6"/>
      <c r="AG707" s="6"/>
      <c r="AH707" s="6"/>
      <c r="AI707" s="6"/>
      <c r="AJ707" s="6"/>
      <c r="AK707" s="6"/>
      <c r="AL707" s="7">
        <f t="shared" ref="AL707" si="952">SUM(AE707:AK707)</f>
        <v>2.8</v>
      </c>
      <c r="AM707" s="11">
        <f t="shared" si="834"/>
        <v>3.6000000000000005</v>
      </c>
      <c r="AN707" s="25"/>
      <c r="AO707" s="10" t="str">
        <f t="shared" si="903"/>
        <v>OutubroSEMANA 4Fundo de Alcachofra</v>
      </c>
      <c r="AP707" s="7">
        <f>SUMIF(NF!$A:$A,$AO707,NF!$I:$I)</f>
        <v>0</v>
      </c>
      <c r="AQ707" s="6"/>
      <c r="AR707" s="6"/>
      <c r="AS707" s="6"/>
      <c r="AT707" s="6"/>
      <c r="AU707" s="6">
        <v>2.8</v>
      </c>
      <c r="AV707" s="6"/>
      <c r="AW707" s="6"/>
      <c r="AX707" s="7">
        <f t="shared" ref="AX707" si="953">SUM(AQ707:AW707)</f>
        <v>2.8</v>
      </c>
      <c r="AY707" s="11">
        <f t="shared" si="837"/>
        <v>0.80000000000000071</v>
      </c>
      <c r="AZ707" s="25"/>
      <c r="BA707" s="10" t="str">
        <f t="shared" si="904"/>
        <v>OutubroSEMANA 5Fundo de Alcachofra</v>
      </c>
      <c r="BB707" s="7">
        <f>SUMIF(NF!$A:$A,$BA707,NF!$I:$I)</f>
        <v>0</v>
      </c>
      <c r="BC707" s="6"/>
      <c r="BD707" s="6"/>
      <c r="BE707" s="6"/>
      <c r="BF707" s="74"/>
      <c r="BG707" s="74"/>
      <c r="BH707" s="74"/>
      <c r="BI707" s="74"/>
      <c r="BJ707" s="74"/>
      <c r="BK707" s="7">
        <f t="shared" ref="BK707" si="954">SUM(BC707:BJ707)</f>
        <v>0</v>
      </c>
      <c r="BL707" s="8">
        <f t="shared" si="840"/>
        <v>0.80000000000000071</v>
      </c>
      <c r="BM707" s="51" t="str">
        <f>IFERROR(VLOOKUP(A707,NF!$M:$O,3,0),"")</f>
        <v>Hortifruti</v>
      </c>
      <c r="BN707" s="7">
        <f t="shared" si="841"/>
        <v>5.6</v>
      </c>
      <c r="BO707" s="8">
        <f t="array" ref="BO707">IFERROR(LARGE(IF(NF!$G$2:$G$3137='Mês atual'!A707,NF!$J$2:$J$3137),1),0)*BN707</f>
        <v>125.10749999999997</v>
      </c>
      <c r="BP707" s="50"/>
      <c r="BR707" s="147">
        <f t="array" ref="BR707">IFERROR(LARGE(IF(NF!$G$2:$G$3137='Mês atual'!A707,NF!$J$2:$J$3137),1),0)</f>
        <v>22.340624999999996</v>
      </c>
      <c r="BS707" s="143" t="str">
        <f>VLOOKUP(A707,NF!M:O,3,0)</f>
        <v>Hortifruti</v>
      </c>
    </row>
    <row r="708" spans="1:71" x14ac:dyDescent="0.25">
      <c r="A708" s="108" t="s">
        <v>376</v>
      </c>
      <c r="B708" s="12"/>
      <c r="C708" s="9">
        <v>0.5</v>
      </c>
      <c r="D708" s="25"/>
      <c r="E708" s="10" t="str">
        <f t="shared" si="900"/>
        <v>OutubroSEMANA 1Funghi Seco</v>
      </c>
      <c r="F708" s="7">
        <f>SUMIF(NF!$A:$A,$E708,NF!$I:$I)</f>
        <v>0</v>
      </c>
      <c r="G708" s="6"/>
      <c r="H708" s="6"/>
      <c r="I708" s="6"/>
      <c r="J708" s="6"/>
      <c r="K708" s="6"/>
      <c r="L708" s="6"/>
      <c r="M708" s="6"/>
      <c r="N708" s="7">
        <f t="shared" si="934"/>
        <v>0</v>
      </c>
      <c r="O708" s="11">
        <f t="shared" si="828"/>
        <v>0.5</v>
      </c>
      <c r="P708" s="25"/>
      <c r="Q708" s="10" t="str">
        <f t="shared" si="901"/>
        <v>OutubroSEMANA 2Funghi Seco</v>
      </c>
      <c r="R708" s="7">
        <f>SUMIF(NF!$A:$A,$Q708,NF!$I:$I)</f>
        <v>0.50800000000000001</v>
      </c>
      <c r="S708" s="6"/>
      <c r="T708" s="6"/>
      <c r="U708" s="6"/>
      <c r="V708" s="6"/>
      <c r="W708" s="6"/>
      <c r="X708" s="6"/>
      <c r="Y708" s="6"/>
      <c r="Z708" s="7">
        <f t="shared" si="935"/>
        <v>0</v>
      </c>
      <c r="AA708" s="11">
        <f t="shared" si="831"/>
        <v>1.008</v>
      </c>
      <c r="AB708" s="25"/>
      <c r="AC708" s="10" t="str">
        <f t="shared" si="902"/>
        <v>OutubroSEMANA 3Funghi Seco</v>
      </c>
      <c r="AD708" s="7">
        <f>SUMIF(NF!$A:$A,$AC708,NF!$I:$I)</f>
        <v>0</v>
      </c>
      <c r="AE708" s="6"/>
      <c r="AF708" s="6"/>
      <c r="AG708" s="6"/>
      <c r="AH708" s="6"/>
      <c r="AI708" s="6"/>
      <c r="AJ708" s="6"/>
      <c r="AK708" s="6"/>
      <c r="AL708" s="7">
        <f t="shared" si="936"/>
        <v>0</v>
      </c>
      <c r="AM708" s="11">
        <f t="shared" si="834"/>
        <v>1.008</v>
      </c>
      <c r="AN708" s="25"/>
      <c r="AO708" s="10" t="str">
        <f t="shared" si="903"/>
        <v>OutubroSEMANA 4Funghi Seco</v>
      </c>
      <c r="AP708" s="7">
        <f>SUMIF(NF!$A:$A,$AO708,NF!$I:$I)</f>
        <v>0</v>
      </c>
      <c r="AQ708" s="6"/>
      <c r="AR708" s="6"/>
      <c r="AS708" s="6"/>
      <c r="AT708" s="6"/>
      <c r="AU708" s="6"/>
      <c r="AV708" s="6"/>
      <c r="AW708" s="6"/>
      <c r="AX708" s="7">
        <f t="shared" si="937"/>
        <v>0</v>
      </c>
      <c r="AY708" s="11">
        <f t="shared" si="837"/>
        <v>1.008</v>
      </c>
      <c r="AZ708" s="25"/>
      <c r="BA708" s="10" t="str">
        <f t="shared" si="904"/>
        <v>OutubroSEMANA 5Funghi Seco</v>
      </c>
      <c r="BB708" s="7">
        <f>SUMIF(NF!$A:$A,$BA708,NF!$I:$I)</f>
        <v>0</v>
      </c>
      <c r="BC708" s="6"/>
      <c r="BD708" s="6"/>
      <c r="BE708" s="6"/>
      <c r="BF708" s="74"/>
      <c r="BG708" s="74"/>
      <c r="BH708" s="74"/>
      <c r="BI708" s="74"/>
      <c r="BJ708" s="74"/>
      <c r="BK708" s="7">
        <f t="shared" si="938"/>
        <v>0</v>
      </c>
      <c r="BL708" s="8">
        <f t="shared" si="840"/>
        <v>1.008</v>
      </c>
      <c r="BM708" s="51" t="str">
        <f>IFERROR(VLOOKUP(A708,NF!$M:$O,3,0),"")</f>
        <v>Mercado</v>
      </c>
      <c r="BN708" s="7">
        <f t="shared" si="841"/>
        <v>0</v>
      </c>
      <c r="BO708" s="8">
        <f t="array" ref="BO708">IFERROR(LARGE(IF(NF!$G$2:$G$3137='Mês atual'!A708,NF!$J$2:$J$3137),1),0)*BN708</f>
        <v>0</v>
      </c>
      <c r="BP708" s="50"/>
      <c r="BR708" s="147">
        <f t="array" ref="BR708">IFERROR(LARGE(IF(NF!$G$2:$G$3137='Mês atual'!A708,NF!$J$2:$J$3137),1),0)</f>
        <v>79.822800000000001</v>
      </c>
      <c r="BS708" s="143" t="str">
        <f>VLOOKUP(A708,NF!M:O,3,0)</f>
        <v>Mercado</v>
      </c>
    </row>
    <row r="709" spans="1:71" x14ac:dyDescent="0.25">
      <c r="A709" s="108" t="s">
        <v>379</v>
      </c>
      <c r="B709" s="12"/>
      <c r="C709" s="9"/>
      <c r="D709" s="25"/>
      <c r="E709" s="10" t="str">
        <f t="shared" si="900"/>
        <v>OutubroSEMANA 1Gás Capsula p/ Chantilly</v>
      </c>
      <c r="F709" s="7">
        <f>SUMIF(NF!$A:$A,$E709,NF!$I:$I)</f>
        <v>0</v>
      </c>
      <c r="G709" s="6"/>
      <c r="H709" s="6"/>
      <c r="I709" s="6"/>
      <c r="J709" s="6"/>
      <c r="K709" s="6"/>
      <c r="L709" s="6"/>
      <c r="M709" s="6"/>
      <c r="N709" s="7">
        <f t="shared" si="934"/>
        <v>0</v>
      </c>
      <c r="O709" s="11">
        <f t="shared" si="828"/>
        <v>0</v>
      </c>
      <c r="P709" s="25"/>
      <c r="Q709" s="10" t="str">
        <f t="shared" si="901"/>
        <v>OutubroSEMANA 2Gás Capsula p/ Chantilly</v>
      </c>
      <c r="R709" s="7">
        <f>SUMIF(NF!$A:$A,$Q709,NF!$I:$I)</f>
        <v>0</v>
      </c>
      <c r="S709" s="6"/>
      <c r="T709" s="6"/>
      <c r="U709" s="6"/>
      <c r="V709" s="6"/>
      <c r="W709" s="6"/>
      <c r="X709" s="6"/>
      <c r="Y709" s="6"/>
      <c r="Z709" s="7">
        <f t="shared" si="935"/>
        <v>0</v>
      </c>
      <c r="AA709" s="11">
        <f t="shared" si="831"/>
        <v>0</v>
      </c>
      <c r="AB709" s="25"/>
      <c r="AC709" s="10" t="str">
        <f t="shared" si="902"/>
        <v>OutubroSEMANA 3Gás Capsula p/ Chantilly</v>
      </c>
      <c r="AD709" s="7">
        <f>SUMIF(NF!$A:$A,$AC709,NF!$I:$I)</f>
        <v>0</v>
      </c>
      <c r="AE709" s="6"/>
      <c r="AF709" s="6"/>
      <c r="AG709" s="6"/>
      <c r="AH709" s="6"/>
      <c r="AI709" s="6"/>
      <c r="AJ709" s="6"/>
      <c r="AK709" s="6"/>
      <c r="AL709" s="7">
        <f t="shared" si="936"/>
        <v>0</v>
      </c>
      <c r="AM709" s="11">
        <f t="shared" si="834"/>
        <v>0</v>
      </c>
      <c r="AN709" s="25"/>
      <c r="AO709" s="10" t="str">
        <f t="shared" si="903"/>
        <v>OutubroSEMANA 4Gás Capsula p/ Chantilly</v>
      </c>
      <c r="AP709" s="7">
        <f>SUMIF(NF!$A:$A,$AO709,NF!$I:$I)</f>
        <v>0</v>
      </c>
      <c r="AQ709" s="6"/>
      <c r="AR709" s="6"/>
      <c r="AS709" s="6"/>
      <c r="AT709" s="6"/>
      <c r="AU709" s="6"/>
      <c r="AV709" s="6"/>
      <c r="AW709" s="6"/>
      <c r="AX709" s="7">
        <f t="shared" si="937"/>
        <v>0</v>
      </c>
      <c r="AY709" s="11">
        <f t="shared" si="837"/>
        <v>0</v>
      </c>
      <c r="AZ709" s="25"/>
      <c r="BA709" s="10" t="str">
        <f t="shared" si="904"/>
        <v>OutubroSEMANA 5Gás Capsula p/ Chantilly</v>
      </c>
      <c r="BB709" s="7">
        <f>SUMIF(NF!$A:$A,$BA709,NF!$I:$I)</f>
        <v>0</v>
      </c>
      <c r="BC709" s="6"/>
      <c r="BD709" s="6"/>
      <c r="BE709" s="6"/>
      <c r="BF709" s="74"/>
      <c r="BG709" s="74"/>
      <c r="BH709" s="74"/>
      <c r="BI709" s="74"/>
      <c r="BJ709" s="74"/>
      <c r="BK709" s="7">
        <f t="shared" si="938"/>
        <v>0</v>
      </c>
      <c r="BL709" s="8">
        <f t="shared" si="840"/>
        <v>0</v>
      </c>
      <c r="BM709" s="51" t="str">
        <f>IFERROR(VLOOKUP(A709,NF!$M:$O,3,0),"")</f>
        <v>Mercado</v>
      </c>
      <c r="BN709" s="7">
        <f t="shared" si="841"/>
        <v>0</v>
      </c>
      <c r="BO709" s="8">
        <f t="array" ref="BO709">IFERROR(LARGE(IF(NF!$G$2:$G$3137='Mês atual'!A709,NF!$J$2:$J$3137),1),0)*BN709</f>
        <v>0</v>
      </c>
      <c r="BP709" s="50"/>
      <c r="BR709" s="147">
        <f t="array" ref="BR709">IFERROR(LARGE(IF(NF!$G$2:$G$3137='Mês atual'!A709,NF!$J$2:$J$3137),1),0)</f>
        <v>0</v>
      </c>
      <c r="BS709" s="143" t="str">
        <f>VLOOKUP(A709,NF!M:O,3,0)</f>
        <v>Mercado</v>
      </c>
    </row>
    <row r="710" spans="1:71" x14ac:dyDescent="0.25">
      <c r="A710" s="108" t="s">
        <v>380</v>
      </c>
      <c r="B710" s="12"/>
      <c r="C710" s="9"/>
      <c r="D710" s="25"/>
      <c r="E710" s="10" t="str">
        <f t="shared" si="900"/>
        <v>OutubroSEMANA 1Gelatina em pó s/ sabor (incolor)</v>
      </c>
      <c r="F710" s="7">
        <f>SUMIF(NF!$A:$A,$E710,NF!$I:$I)</f>
        <v>2</v>
      </c>
      <c r="G710" s="6"/>
      <c r="H710" s="6"/>
      <c r="I710" s="6"/>
      <c r="J710" s="6"/>
      <c r="K710" s="6"/>
      <c r="L710" s="6"/>
      <c r="M710" s="6"/>
      <c r="N710" s="7">
        <f t="shared" si="934"/>
        <v>0</v>
      </c>
      <c r="O710" s="11">
        <f t="shared" si="828"/>
        <v>2</v>
      </c>
      <c r="P710" s="25"/>
      <c r="Q710" s="10" t="str">
        <f t="shared" si="901"/>
        <v>OutubroSEMANA 2Gelatina em pó s/ sabor (incolor)</v>
      </c>
      <c r="R710" s="7">
        <f>SUMIF(NF!$A:$A,$Q710,NF!$I:$I)</f>
        <v>4</v>
      </c>
      <c r="S710" s="6"/>
      <c r="T710" s="6"/>
      <c r="U710" s="6">
        <v>2</v>
      </c>
      <c r="V710" s="6"/>
      <c r="W710" s="6"/>
      <c r="X710" s="6"/>
      <c r="Y710" s="6"/>
      <c r="Z710" s="7">
        <f t="shared" si="935"/>
        <v>2</v>
      </c>
      <c r="AA710" s="11">
        <f t="shared" si="831"/>
        <v>4</v>
      </c>
      <c r="AB710" s="25"/>
      <c r="AC710" s="10" t="str">
        <f t="shared" si="902"/>
        <v>OutubroSEMANA 3Gelatina em pó s/ sabor (incolor)</v>
      </c>
      <c r="AD710" s="7">
        <f>SUMIF(NF!$A:$A,$AC710,NF!$I:$I)</f>
        <v>0</v>
      </c>
      <c r="AE710" s="6"/>
      <c r="AF710" s="6">
        <v>2</v>
      </c>
      <c r="AG710" s="6"/>
      <c r="AH710" s="6"/>
      <c r="AI710" s="6">
        <v>2</v>
      </c>
      <c r="AJ710" s="6"/>
      <c r="AK710" s="6"/>
      <c r="AL710" s="7">
        <f t="shared" si="936"/>
        <v>4</v>
      </c>
      <c r="AM710" s="11">
        <f t="shared" si="834"/>
        <v>0</v>
      </c>
      <c r="AN710" s="25"/>
      <c r="AO710" s="10" t="str">
        <f t="shared" si="903"/>
        <v>OutubroSEMANA 4Gelatina em pó s/ sabor (incolor)</v>
      </c>
      <c r="AP710" s="7">
        <f>SUMIF(NF!$A:$A,$AO710,NF!$I:$I)</f>
        <v>0</v>
      </c>
      <c r="AQ710" s="6"/>
      <c r="AR710" s="6"/>
      <c r="AS710" s="6"/>
      <c r="AT710" s="6"/>
      <c r="AU710" s="6"/>
      <c r="AV710" s="6"/>
      <c r="AW710" s="6"/>
      <c r="AX710" s="7">
        <f t="shared" si="937"/>
        <v>0</v>
      </c>
      <c r="AY710" s="11">
        <f t="shared" si="837"/>
        <v>0</v>
      </c>
      <c r="AZ710" s="25"/>
      <c r="BA710" s="10" t="str">
        <f t="shared" si="904"/>
        <v>OutubroSEMANA 5Gelatina em pó s/ sabor (incolor)</v>
      </c>
      <c r="BB710" s="7">
        <f>SUMIF(NF!$A:$A,$BA710,NF!$I:$I)</f>
        <v>0</v>
      </c>
      <c r="BC710" s="6"/>
      <c r="BD710" s="6"/>
      <c r="BE710" s="6"/>
      <c r="BF710" s="74"/>
      <c r="BG710" s="74"/>
      <c r="BH710" s="74"/>
      <c r="BI710" s="74"/>
      <c r="BJ710" s="74"/>
      <c r="BK710" s="7">
        <f t="shared" si="938"/>
        <v>0</v>
      </c>
      <c r="BL710" s="8">
        <f t="shared" si="840"/>
        <v>0</v>
      </c>
      <c r="BM710" s="51" t="str">
        <f>IFERROR(VLOOKUP(A710,NF!$M:$O,3,0),"")</f>
        <v>Mercado</v>
      </c>
      <c r="BN710" s="7">
        <f t="shared" si="841"/>
        <v>6</v>
      </c>
      <c r="BO710" s="8">
        <f t="array" ref="BO710">IFERROR(LARGE(IF(NF!$G$2:$G$3137='Mês atual'!A710,NF!$J$2:$J$3137),1),0)*BN710</f>
        <v>32.700000000000003</v>
      </c>
      <c r="BP710" s="50"/>
      <c r="BR710" s="147">
        <f t="array" ref="BR710">IFERROR(LARGE(IF(NF!$G$2:$G$3137='Mês atual'!A710,NF!$J$2:$J$3137),1),0)</f>
        <v>5.45</v>
      </c>
      <c r="BS710" s="143" t="str">
        <f>VLOOKUP(A710,NF!M:O,3,0)</f>
        <v>Mercado</v>
      </c>
    </row>
    <row r="711" spans="1:71" x14ac:dyDescent="0.25">
      <c r="A711" s="108" t="s">
        <v>381</v>
      </c>
      <c r="B711" s="12"/>
      <c r="C711" s="9"/>
      <c r="D711" s="25"/>
      <c r="E711" s="10" t="str">
        <f t="shared" si="900"/>
        <v>OutubroSEMANA 1Gelatina Morango c/ Açucar Orgânico</v>
      </c>
      <c r="F711" s="7">
        <f>SUMIF(NF!$A:$A,$E711,NF!$I:$I)</f>
        <v>0</v>
      </c>
      <c r="G711" s="6"/>
      <c r="H711" s="6"/>
      <c r="I711" s="6"/>
      <c r="J711" s="6"/>
      <c r="K711" s="6"/>
      <c r="L711" s="6"/>
      <c r="M711" s="6"/>
      <c r="N711" s="7">
        <f t="shared" si="934"/>
        <v>0</v>
      </c>
      <c r="O711" s="11">
        <f t="shared" si="828"/>
        <v>0</v>
      </c>
      <c r="P711" s="25"/>
      <c r="Q711" s="10" t="str">
        <f t="shared" si="901"/>
        <v>OutubroSEMANA 2Gelatina Morango c/ Açucar Orgânico</v>
      </c>
      <c r="R711" s="7">
        <f>SUMIF(NF!$A:$A,$Q711,NF!$I:$I)</f>
        <v>0</v>
      </c>
      <c r="S711" s="6"/>
      <c r="T711" s="6"/>
      <c r="U711" s="6"/>
      <c r="V711" s="6"/>
      <c r="W711" s="6"/>
      <c r="X711" s="6"/>
      <c r="Y711" s="6"/>
      <c r="Z711" s="7">
        <f t="shared" si="935"/>
        <v>0</v>
      </c>
      <c r="AA711" s="11">
        <f t="shared" si="831"/>
        <v>0</v>
      </c>
      <c r="AB711" s="25"/>
      <c r="AC711" s="10" t="str">
        <f t="shared" si="902"/>
        <v>OutubroSEMANA 3Gelatina Morango c/ Açucar Orgânico</v>
      </c>
      <c r="AD711" s="7">
        <f>SUMIF(NF!$A:$A,$AC711,NF!$I:$I)</f>
        <v>0</v>
      </c>
      <c r="AE711" s="6"/>
      <c r="AF711" s="6"/>
      <c r="AG711" s="6"/>
      <c r="AH711" s="6"/>
      <c r="AI711" s="6"/>
      <c r="AJ711" s="6"/>
      <c r="AK711" s="6"/>
      <c r="AL711" s="7">
        <f t="shared" si="936"/>
        <v>0</v>
      </c>
      <c r="AM711" s="11">
        <f t="shared" si="834"/>
        <v>0</v>
      </c>
      <c r="AN711" s="25"/>
      <c r="AO711" s="10" t="str">
        <f t="shared" si="903"/>
        <v>OutubroSEMANA 4Gelatina Morango c/ Açucar Orgânico</v>
      </c>
      <c r="AP711" s="7">
        <f>SUMIF(NF!$A:$A,$AO711,NF!$I:$I)</f>
        <v>0</v>
      </c>
      <c r="AQ711" s="6"/>
      <c r="AR711" s="6"/>
      <c r="AS711" s="6"/>
      <c r="AT711" s="6"/>
      <c r="AU711" s="6"/>
      <c r="AV711" s="6"/>
      <c r="AW711" s="6"/>
      <c r="AX711" s="7">
        <f t="shared" si="937"/>
        <v>0</v>
      </c>
      <c r="AY711" s="11">
        <f t="shared" si="837"/>
        <v>0</v>
      </c>
      <c r="AZ711" s="25"/>
      <c r="BA711" s="10" t="str">
        <f t="shared" si="904"/>
        <v>OutubroSEMANA 5Gelatina Morango c/ Açucar Orgânico</v>
      </c>
      <c r="BB711" s="7">
        <f>SUMIF(NF!$A:$A,$BA711,NF!$I:$I)</f>
        <v>0</v>
      </c>
      <c r="BC711" s="6"/>
      <c r="BD711" s="6"/>
      <c r="BE711" s="6"/>
      <c r="BF711" s="74"/>
      <c r="BG711" s="74"/>
      <c r="BH711" s="74"/>
      <c r="BI711" s="74"/>
      <c r="BJ711" s="74"/>
      <c r="BK711" s="7">
        <f t="shared" si="938"/>
        <v>0</v>
      </c>
      <c r="BL711" s="8">
        <f t="shared" si="840"/>
        <v>0</v>
      </c>
      <c r="BM711" s="51" t="str">
        <f>IFERROR(VLOOKUP(A711,NF!$M:$O,3,0),"")</f>
        <v>Mercado</v>
      </c>
      <c r="BN711" s="7">
        <f t="shared" si="841"/>
        <v>0</v>
      </c>
      <c r="BO711" s="8">
        <f t="array" ref="BO711">IFERROR(LARGE(IF(NF!$G$2:$G$3137='Mês atual'!A711,NF!$J$2:$J$3137),1),0)*BN711</f>
        <v>0</v>
      </c>
      <c r="BP711" s="50"/>
      <c r="BR711" s="147">
        <f t="array" ref="BR711">IFERROR(LARGE(IF(NF!$G$2:$G$3137='Mês atual'!A711,NF!$J$2:$J$3137),1),0)</f>
        <v>0</v>
      </c>
      <c r="BS711" s="143" t="str">
        <f>VLOOKUP(A711,NF!M:O,3,0)</f>
        <v>Mercado</v>
      </c>
    </row>
    <row r="712" spans="1:71" x14ac:dyDescent="0.25">
      <c r="A712" s="108" t="s">
        <v>382</v>
      </c>
      <c r="B712" s="12"/>
      <c r="C712" s="9">
        <v>43</v>
      </c>
      <c r="D712" s="25"/>
      <c r="E712" s="10" t="str">
        <f t="shared" si="900"/>
        <v>OutubroSEMANA 1Gelatina Morango Stevia Plus Zero 10 g</v>
      </c>
      <c r="F712" s="7">
        <f>SUMIF(NF!$A:$A,$E712,NF!$I:$I)</f>
        <v>120</v>
      </c>
      <c r="G712" s="6">
        <v>7</v>
      </c>
      <c r="H712" s="6"/>
      <c r="I712" s="6"/>
      <c r="J712" s="6"/>
      <c r="K712" s="6">
        <v>7</v>
      </c>
      <c r="L712" s="6">
        <v>2</v>
      </c>
      <c r="M712" s="6">
        <v>5</v>
      </c>
      <c r="N712" s="7">
        <f t="shared" si="934"/>
        <v>21</v>
      </c>
      <c r="O712" s="11">
        <f t="shared" si="828"/>
        <v>142</v>
      </c>
      <c r="P712" s="25"/>
      <c r="Q712" s="10" t="str">
        <f t="shared" si="901"/>
        <v>OutubroSEMANA 2Gelatina Morango Stevia Plus Zero 10 g</v>
      </c>
      <c r="R712" s="7">
        <f>SUMIF(NF!$A:$A,$Q712,NF!$I:$I)</f>
        <v>0</v>
      </c>
      <c r="S712" s="6"/>
      <c r="T712" s="6">
        <v>2</v>
      </c>
      <c r="U712" s="6"/>
      <c r="V712" s="6">
        <v>7</v>
      </c>
      <c r="W712" s="6"/>
      <c r="X712" s="6">
        <v>7</v>
      </c>
      <c r="Y712" s="6">
        <v>2</v>
      </c>
      <c r="Z712" s="7">
        <f t="shared" si="935"/>
        <v>18</v>
      </c>
      <c r="AA712" s="11">
        <f t="shared" si="831"/>
        <v>124</v>
      </c>
      <c r="AB712" s="25"/>
      <c r="AC712" s="10" t="str">
        <f t="shared" si="902"/>
        <v>OutubroSEMANA 3Gelatina Morango Stevia Plus Zero 10 g</v>
      </c>
      <c r="AD712" s="7">
        <f>SUMIF(NF!$A:$A,$AC712,NF!$I:$I)</f>
        <v>0</v>
      </c>
      <c r="AE712" s="6">
        <v>5</v>
      </c>
      <c r="AF712" s="6"/>
      <c r="AG712" s="6"/>
      <c r="AH712" s="6">
        <v>2</v>
      </c>
      <c r="AI712" s="6">
        <v>7</v>
      </c>
      <c r="AJ712" s="6">
        <v>2</v>
      </c>
      <c r="AK712" s="6">
        <v>5</v>
      </c>
      <c r="AL712" s="7">
        <f t="shared" si="936"/>
        <v>21</v>
      </c>
      <c r="AM712" s="11">
        <f t="shared" si="834"/>
        <v>103</v>
      </c>
      <c r="AN712" s="25"/>
      <c r="AO712" s="10" t="str">
        <f t="shared" si="903"/>
        <v>OutubroSEMANA 4Gelatina Morango Stevia Plus Zero 10 g</v>
      </c>
      <c r="AP712" s="7">
        <f>SUMIF(NF!$A:$A,$AO712,NF!$I:$I)</f>
        <v>0</v>
      </c>
      <c r="AQ712" s="6"/>
      <c r="AR712" s="6"/>
      <c r="AS712" s="6">
        <v>5</v>
      </c>
      <c r="AT712" s="6">
        <v>2</v>
      </c>
      <c r="AU712" s="6"/>
      <c r="AV712" s="6">
        <v>5</v>
      </c>
      <c r="AW712" s="6"/>
      <c r="AX712" s="7">
        <f t="shared" si="937"/>
        <v>12</v>
      </c>
      <c r="AY712" s="11">
        <f t="shared" si="837"/>
        <v>91</v>
      </c>
      <c r="AZ712" s="25"/>
      <c r="BA712" s="10" t="str">
        <f t="shared" si="904"/>
        <v>OutubroSEMANA 5Gelatina Morango Stevia Plus Zero 10 g</v>
      </c>
      <c r="BB712" s="7">
        <f>SUMIF(NF!$A:$A,$BA712,NF!$I:$I)</f>
        <v>0</v>
      </c>
      <c r="BC712" s="6">
        <v>2</v>
      </c>
      <c r="BD712" s="6">
        <v>3</v>
      </c>
      <c r="BE712" s="6">
        <v>2</v>
      </c>
      <c r="BF712" s="74"/>
      <c r="BG712" s="74"/>
      <c r="BH712" s="74"/>
      <c r="BI712" s="74"/>
      <c r="BJ712" s="74"/>
      <c r="BK712" s="7">
        <f t="shared" si="938"/>
        <v>7</v>
      </c>
      <c r="BL712" s="8">
        <f t="shared" si="840"/>
        <v>84</v>
      </c>
      <c r="BM712" s="51" t="str">
        <f>IFERROR(VLOOKUP(A712,NF!$M:$O,3,0),"")</f>
        <v>Mercado</v>
      </c>
      <c r="BN712" s="7">
        <f t="shared" si="841"/>
        <v>79</v>
      </c>
      <c r="BO712" s="8">
        <f t="array" ref="BO712">IFERROR(LARGE(IF(NF!$G$2:$G$3137='Mês atual'!A712,NF!$J$2:$J$3137),1),0)*BN712</f>
        <v>130.35</v>
      </c>
      <c r="BP712" s="50"/>
      <c r="BR712" s="147">
        <f t="array" ref="BR712">IFERROR(LARGE(IF(NF!$G$2:$G$3137='Mês atual'!A712,NF!$J$2:$J$3137),1),0)</f>
        <v>1.65</v>
      </c>
      <c r="BS712" s="143" t="str">
        <f>VLOOKUP(A712,NF!M:O,3,0)</f>
        <v>Mercado</v>
      </c>
    </row>
    <row r="713" spans="1:71" x14ac:dyDescent="0.25">
      <c r="A713" s="108" t="s">
        <v>878</v>
      </c>
      <c r="B713" s="12"/>
      <c r="C713" s="9">
        <v>1</v>
      </c>
      <c r="D713" s="25"/>
      <c r="E713" s="10" t="str">
        <f t="shared" si="900"/>
        <v>OutubroSEMANA 1Geléia de Hortelã</v>
      </c>
      <c r="F713" s="7">
        <f>SUMIF(NF!$A:$A,$E713,NF!$I:$I)</f>
        <v>0</v>
      </c>
      <c r="G713" s="6"/>
      <c r="H713" s="6"/>
      <c r="I713" s="6"/>
      <c r="J713" s="6"/>
      <c r="K713" s="6"/>
      <c r="L713" s="6"/>
      <c r="M713" s="6"/>
      <c r="N713" s="7">
        <f t="shared" ref="N713:N721" si="955">SUM(G713:M713)</f>
        <v>0</v>
      </c>
      <c r="O713" s="11">
        <f t="shared" si="828"/>
        <v>1</v>
      </c>
      <c r="P713" s="25"/>
      <c r="Q713" s="10" t="str">
        <f t="shared" si="901"/>
        <v>OutubroSEMANA 2Geléia de Hortelã</v>
      </c>
      <c r="R713" s="7">
        <f>SUMIF(NF!$A:$A,$Q713,NF!$I:$I)</f>
        <v>0</v>
      </c>
      <c r="S713" s="6"/>
      <c r="T713" s="6"/>
      <c r="U713" s="6"/>
      <c r="V713" s="6"/>
      <c r="W713" s="6"/>
      <c r="X713" s="6"/>
      <c r="Y713" s="6"/>
      <c r="Z713" s="7">
        <f t="shared" ref="Z713:Z721" si="956">SUM(S713:Y713)</f>
        <v>0</v>
      </c>
      <c r="AA713" s="11">
        <f t="shared" si="831"/>
        <v>1</v>
      </c>
      <c r="AB713" s="25"/>
      <c r="AC713" s="10" t="str">
        <f t="shared" si="902"/>
        <v>OutubroSEMANA 3Geléia de Hortelã</v>
      </c>
      <c r="AD713" s="7">
        <f>SUMIF(NF!$A:$A,$AC713,NF!$I:$I)</f>
        <v>0</v>
      </c>
      <c r="AE713" s="6"/>
      <c r="AF713" s="6"/>
      <c r="AG713" s="6"/>
      <c r="AH713" s="6"/>
      <c r="AI713" s="6"/>
      <c r="AJ713" s="6"/>
      <c r="AK713" s="6"/>
      <c r="AL713" s="7">
        <f t="shared" ref="AL713:AL721" si="957">SUM(AE713:AK713)</f>
        <v>0</v>
      </c>
      <c r="AM713" s="11">
        <f t="shared" si="834"/>
        <v>1</v>
      </c>
      <c r="AN713" s="25"/>
      <c r="AO713" s="10" t="str">
        <f t="shared" si="903"/>
        <v>OutubroSEMANA 4Geléia de Hortelã</v>
      </c>
      <c r="AP713" s="7">
        <f>SUMIF(NF!$A:$A,$AO713,NF!$I:$I)</f>
        <v>0</v>
      </c>
      <c r="AQ713" s="6"/>
      <c r="AR713" s="6"/>
      <c r="AS713" s="6"/>
      <c r="AT713" s="6"/>
      <c r="AU713" s="6"/>
      <c r="AV713" s="6"/>
      <c r="AW713" s="6"/>
      <c r="AX713" s="7">
        <f t="shared" ref="AX713:AX721" si="958">SUM(AQ713:AW713)</f>
        <v>0</v>
      </c>
      <c r="AY713" s="11">
        <f t="shared" si="837"/>
        <v>1</v>
      </c>
      <c r="AZ713" s="25"/>
      <c r="BA713" s="10" t="str">
        <f t="shared" si="904"/>
        <v>OutubroSEMANA 5Geléia de Hortelã</v>
      </c>
      <c r="BB713" s="7">
        <f>SUMIF(NF!$A:$A,$BA713,NF!$I:$I)</f>
        <v>0</v>
      </c>
      <c r="BC713" s="6"/>
      <c r="BD713" s="6"/>
      <c r="BE713" s="6"/>
      <c r="BF713" s="74"/>
      <c r="BG713" s="74"/>
      <c r="BH713" s="74"/>
      <c r="BI713" s="74"/>
      <c r="BJ713" s="74"/>
      <c r="BK713" s="7">
        <f t="shared" ref="BK713:BK721" si="959">SUM(BC713:BJ713)</f>
        <v>0</v>
      </c>
      <c r="BL713" s="8">
        <f t="shared" si="840"/>
        <v>1</v>
      </c>
      <c r="BM713" s="51" t="str">
        <f>IFERROR(VLOOKUP(A713,NF!$M:$O,3,0),"")</f>
        <v>Mercado</v>
      </c>
      <c r="BN713" s="7">
        <f t="shared" si="841"/>
        <v>0</v>
      </c>
      <c r="BO713" s="8">
        <f t="array" ref="BO713">IFERROR(LARGE(IF(NF!$G$2:$G$3137='Mês atual'!A713,NF!$J$2:$J$3137),1),0)*BN713</f>
        <v>0</v>
      </c>
      <c r="BP713" s="50"/>
      <c r="BR713" s="147">
        <f t="array" ref="BR713">IFERROR(LARGE(IF(NF!$G$2:$G$3137='Mês atual'!A713,NF!$J$2:$J$3137),1),0)</f>
        <v>0</v>
      </c>
      <c r="BS713" s="143" t="str">
        <f>VLOOKUP(A713,NF!M:O,3,0)</f>
        <v>Mercado</v>
      </c>
    </row>
    <row r="714" spans="1:71" x14ac:dyDescent="0.25">
      <c r="A714" s="108" t="s">
        <v>383</v>
      </c>
      <c r="B714" s="12"/>
      <c r="C714" s="9"/>
      <c r="D714" s="25"/>
      <c r="E714" s="10" t="str">
        <f t="shared" si="900"/>
        <v>OutubroSEMANA 1Gelo em Cubo</v>
      </c>
      <c r="F714" s="7">
        <f>SUMIF(NF!$A:$A,$E714,NF!$I:$I)</f>
        <v>16</v>
      </c>
      <c r="G714" s="6">
        <v>2</v>
      </c>
      <c r="H714" s="6">
        <v>3</v>
      </c>
      <c r="I714" s="6">
        <v>2</v>
      </c>
      <c r="J714" s="6">
        <v>1</v>
      </c>
      <c r="K714" s="6">
        <v>4</v>
      </c>
      <c r="L714" s="6">
        <v>2</v>
      </c>
      <c r="M714" s="6">
        <v>2</v>
      </c>
      <c r="N714" s="7">
        <f t="shared" si="955"/>
        <v>16</v>
      </c>
      <c r="O714" s="11">
        <f t="shared" si="828"/>
        <v>0</v>
      </c>
      <c r="P714" s="25"/>
      <c r="Q714" s="10" t="str">
        <f t="shared" si="901"/>
        <v>OutubroSEMANA 2Gelo em Cubo</v>
      </c>
      <c r="R714" s="7">
        <f>SUMIF(NF!$A:$A,$Q714,NF!$I:$I)</f>
        <v>18</v>
      </c>
      <c r="S714" s="6">
        <v>2</v>
      </c>
      <c r="T714" s="6">
        <v>3</v>
      </c>
      <c r="U714" s="6">
        <v>2</v>
      </c>
      <c r="V714" s="6">
        <v>2</v>
      </c>
      <c r="W714" s="6">
        <v>3</v>
      </c>
      <c r="X714" s="6">
        <v>3</v>
      </c>
      <c r="Y714" s="6">
        <v>3</v>
      </c>
      <c r="Z714" s="7">
        <f t="shared" si="956"/>
        <v>18</v>
      </c>
      <c r="AA714" s="11">
        <f t="shared" si="831"/>
        <v>0</v>
      </c>
      <c r="AB714" s="25"/>
      <c r="AC714" s="10" t="str">
        <f t="shared" si="902"/>
        <v>OutubroSEMANA 3Gelo em Cubo</v>
      </c>
      <c r="AD714" s="7">
        <f>SUMIF(NF!$A:$A,$AC714,NF!$I:$I)</f>
        <v>17</v>
      </c>
      <c r="AE714" s="6">
        <v>2</v>
      </c>
      <c r="AF714" s="6">
        <v>5</v>
      </c>
      <c r="AG714" s="6">
        <v>2</v>
      </c>
      <c r="AH714" s="6">
        <v>2</v>
      </c>
      <c r="AI714" s="6">
        <v>1</v>
      </c>
      <c r="AJ714" s="6">
        <v>3</v>
      </c>
      <c r="AK714" s="6">
        <v>2</v>
      </c>
      <c r="AL714" s="7">
        <f t="shared" si="957"/>
        <v>17</v>
      </c>
      <c r="AM714" s="11">
        <f t="shared" si="834"/>
        <v>0</v>
      </c>
      <c r="AN714" s="25"/>
      <c r="AO714" s="10" t="str">
        <f t="shared" si="903"/>
        <v>OutubroSEMANA 4Gelo em Cubo</v>
      </c>
      <c r="AP714" s="7">
        <f>SUMIF(NF!$A:$A,$AO714,NF!$I:$I)</f>
        <v>16</v>
      </c>
      <c r="AQ714" s="6">
        <v>4</v>
      </c>
      <c r="AR714" s="6">
        <v>3</v>
      </c>
      <c r="AS714" s="6">
        <v>1</v>
      </c>
      <c r="AT714" s="6">
        <v>1</v>
      </c>
      <c r="AU714" s="6">
        <v>2</v>
      </c>
      <c r="AV714" s="6">
        <v>2</v>
      </c>
      <c r="AW714" s="6">
        <v>3</v>
      </c>
      <c r="AX714" s="7">
        <f t="shared" si="958"/>
        <v>16</v>
      </c>
      <c r="AY714" s="11">
        <f t="shared" si="837"/>
        <v>0</v>
      </c>
      <c r="AZ714" s="25"/>
      <c r="BA714" s="10" t="str">
        <f t="shared" si="904"/>
        <v>OutubroSEMANA 5Gelo em Cubo</v>
      </c>
      <c r="BB714" s="7">
        <f>SUMIF(NF!$A:$A,$BA714,NF!$I:$I)</f>
        <v>8</v>
      </c>
      <c r="BC714" s="6">
        <v>2</v>
      </c>
      <c r="BD714" s="6">
        <v>4</v>
      </c>
      <c r="BE714" s="6">
        <v>2</v>
      </c>
      <c r="BF714" s="74"/>
      <c r="BG714" s="74"/>
      <c r="BH714" s="74"/>
      <c r="BI714" s="74"/>
      <c r="BJ714" s="74"/>
      <c r="BK714" s="7">
        <f t="shared" si="959"/>
        <v>8</v>
      </c>
      <c r="BL714" s="8">
        <f t="shared" si="840"/>
        <v>0</v>
      </c>
      <c r="BM714" s="51" t="str">
        <f>IFERROR(VLOOKUP(A714,NF!$M:$O,3,0),"")</f>
        <v>Mercado</v>
      </c>
      <c r="BN714" s="7">
        <f t="shared" si="841"/>
        <v>75</v>
      </c>
      <c r="BO714" s="8">
        <f t="array" ref="BO714">IFERROR(LARGE(IF(NF!$G$2:$G$3137='Mês atual'!A714,NF!$J$2:$J$3137),1),0)*BN714</f>
        <v>562.5</v>
      </c>
      <c r="BP714" s="50"/>
      <c r="BR714" s="147">
        <f t="array" ref="BR714">IFERROR(LARGE(IF(NF!$G$2:$G$3137='Mês atual'!A714,NF!$J$2:$J$3137),1),0)</f>
        <v>7.5</v>
      </c>
      <c r="BS714" s="143" t="str">
        <f>VLOOKUP(A714,NF!M:O,3,0)</f>
        <v>Mercado</v>
      </c>
    </row>
    <row r="715" spans="1:71" x14ac:dyDescent="0.25">
      <c r="A715" s="108" t="s">
        <v>384</v>
      </c>
      <c r="B715" s="12"/>
      <c r="C715" s="9"/>
      <c r="D715" s="25"/>
      <c r="E715" s="10" t="str">
        <f t="shared" si="900"/>
        <v>OutubroSEMANA 1Gelo em Escamas</v>
      </c>
      <c r="F715" s="7">
        <f>SUMIF(NF!$A:$A,$E715,NF!$I:$I)</f>
        <v>9</v>
      </c>
      <c r="G715" s="6">
        <v>1</v>
      </c>
      <c r="H715" s="6">
        <v>1</v>
      </c>
      <c r="I715" s="6"/>
      <c r="J715" s="6">
        <v>1</v>
      </c>
      <c r="K715" s="6">
        <v>2</v>
      </c>
      <c r="L715" s="6">
        <v>2</v>
      </c>
      <c r="M715" s="6">
        <v>2</v>
      </c>
      <c r="N715" s="7">
        <f t="shared" si="955"/>
        <v>9</v>
      </c>
      <c r="O715" s="11">
        <f t="shared" si="828"/>
        <v>0</v>
      </c>
      <c r="P715" s="25"/>
      <c r="Q715" s="10" t="str">
        <f t="shared" si="901"/>
        <v>OutubroSEMANA 2Gelo em Escamas</v>
      </c>
      <c r="R715" s="7">
        <f>SUMIF(NF!$A:$A,$Q715,NF!$I:$I)</f>
        <v>11</v>
      </c>
      <c r="S715" s="6">
        <v>1</v>
      </c>
      <c r="T715" s="6">
        <v>1</v>
      </c>
      <c r="U715" s="6">
        <v>2</v>
      </c>
      <c r="V715" s="6">
        <v>2</v>
      </c>
      <c r="W715" s="6">
        <v>1</v>
      </c>
      <c r="X715" s="6">
        <v>2</v>
      </c>
      <c r="Y715" s="6">
        <v>2</v>
      </c>
      <c r="Z715" s="7">
        <f t="shared" si="956"/>
        <v>11</v>
      </c>
      <c r="AA715" s="11">
        <f t="shared" si="831"/>
        <v>0</v>
      </c>
      <c r="AB715" s="25"/>
      <c r="AC715" s="10" t="str">
        <f t="shared" si="902"/>
        <v>OutubroSEMANA 3Gelo em Escamas</v>
      </c>
      <c r="AD715" s="7">
        <f>SUMIF(NF!$A:$A,$AC715,NF!$I:$I)</f>
        <v>11</v>
      </c>
      <c r="AE715" s="6">
        <v>2</v>
      </c>
      <c r="AF715" s="6"/>
      <c r="AG715" s="6">
        <v>2</v>
      </c>
      <c r="AH715" s="6">
        <v>1</v>
      </c>
      <c r="AI715" s="6">
        <v>2</v>
      </c>
      <c r="AJ715" s="6">
        <v>2</v>
      </c>
      <c r="AK715" s="6">
        <v>2</v>
      </c>
      <c r="AL715" s="7">
        <f t="shared" si="957"/>
        <v>11</v>
      </c>
      <c r="AM715" s="11">
        <f t="shared" si="834"/>
        <v>0</v>
      </c>
      <c r="AN715" s="25"/>
      <c r="AO715" s="10" t="str">
        <f t="shared" si="903"/>
        <v>OutubroSEMANA 4Gelo em Escamas</v>
      </c>
      <c r="AP715" s="7">
        <f>SUMIF(NF!$A:$A,$AO715,NF!$I:$I)</f>
        <v>10</v>
      </c>
      <c r="AQ715" s="6">
        <v>2</v>
      </c>
      <c r="AR715" s="6"/>
      <c r="AS715" s="6">
        <v>2</v>
      </c>
      <c r="AT715" s="6">
        <v>2</v>
      </c>
      <c r="AU715" s="6"/>
      <c r="AV715" s="6">
        <v>2</v>
      </c>
      <c r="AW715" s="6">
        <v>2</v>
      </c>
      <c r="AX715" s="7">
        <f t="shared" si="958"/>
        <v>10</v>
      </c>
      <c r="AY715" s="11">
        <f t="shared" si="837"/>
        <v>0</v>
      </c>
      <c r="AZ715" s="25"/>
      <c r="BA715" s="10" t="str">
        <f t="shared" si="904"/>
        <v>OutubroSEMANA 5Gelo em Escamas</v>
      </c>
      <c r="BB715" s="7">
        <f>SUMIF(NF!$A:$A,$BA715,NF!$I:$I)</f>
        <v>4</v>
      </c>
      <c r="BC715" s="6">
        <v>1</v>
      </c>
      <c r="BD715" s="6">
        <v>1</v>
      </c>
      <c r="BE715" s="6">
        <v>2</v>
      </c>
      <c r="BF715" s="74"/>
      <c r="BG715" s="74"/>
      <c r="BH715" s="74"/>
      <c r="BI715" s="74"/>
      <c r="BJ715" s="74"/>
      <c r="BK715" s="7">
        <f t="shared" si="959"/>
        <v>4</v>
      </c>
      <c r="BL715" s="8">
        <f t="shared" si="840"/>
        <v>0</v>
      </c>
      <c r="BM715" s="51" t="str">
        <f>IFERROR(VLOOKUP(A715,NF!$M:$O,3,0),"")</f>
        <v>Mercado</v>
      </c>
      <c r="BN715" s="7">
        <f t="shared" si="841"/>
        <v>45</v>
      </c>
      <c r="BO715" s="8">
        <f t="array" ref="BO715">IFERROR(LARGE(IF(NF!$G$2:$G$3137='Mês atual'!A715,NF!$J$2:$J$3137),1),0)*BN715</f>
        <v>337.5</v>
      </c>
      <c r="BP715" s="50"/>
      <c r="BR715" s="147">
        <f t="array" ref="BR715">IFERROR(LARGE(IF(NF!$G$2:$G$3137='Mês atual'!A715,NF!$J$2:$J$3137),1),0)</f>
        <v>7.5</v>
      </c>
      <c r="BS715" s="143" t="str">
        <f>VLOOKUP(A715,NF!M:O,3,0)</f>
        <v>Mercado</v>
      </c>
    </row>
    <row r="716" spans="1:71" x14ac:dyDescent="0.25">
      <c r="A716" s="108" t="s">
        <v>387</v>
      </c>
      <c r="B716" s="12"/>
      <c r="C716" s="9"/>
      <c r="D716" s="25"/>
      <c r="E716" s="10" t="str">
        <f t="shared" si="900"/>
        <v>OutubroSEMANA 1Gergelim Branco</v>
      </c>
      <c r="F716" s="7">
        <f>SUMIF(NF!$A:$A,$E716,NF!$I:$I)</f>
        <v>1</v>
      </c>
      <c r="G716" s="6"/>
      <c r="H716" s="6"/>
      <c r="I716" s="6"/>
      <c r="J716" s="6"/>
      <c r="K716" s="6"/>
      <c r="L716" s="6"/>
      <c r="M716" s="6"/>
      <c r="N716" s="7">
        <f t="shared" si="955"/>
        <v>0</v>
      </c>
      <c r="O716" s="11">
        <f t="shared" si="828"/>
        <v>1</v>
      </c>
      <c r="P716" s="25"/>
      <c r="Q716" s="10" t="str">
        <f t="shared" si="901"/>
        <v>OutubroSEMANA 2Gergelim Branco</v>
      </c>
      <c r="R716" s="7">
        <f>SUMIF(NF!$A:$A,$Q716,NF!$I:$I)</f>
        <v>0</v>
      </c>
      <c r="S716" s="6"/>
      <c r="T716" s="6"/>
      <c r="U716" s="6"/>
      <c r="V716" s="6"/>
      <c r="W716" s="6"/>
      <c r="X716" s="6"/>
      <c r="Y716" s="6"/>
      <c r="Z716" s="7">
        <f t="shared" si="956"/>
        <v>0</v>
      </c>
      <c r="AA716" s="11">
        <f t="shared" si="831"/>
        <v>1</v>
      </c>
      <c r="AB716" s="25"/>
      <c r="AC716" s="10" t="str">
        <f t="shared" si="902"/>
        <v>OutubroSEMANA 3Gergelim Branco</v>
      </c>
      <c r="AD716" s="7">
        <f>SUMIF(NF!$A:$A,$AC716,NF!$I:$I)</f>
        <v>1</v>
      </c>
      <c r="AE716" s="6"/>
      <c r="AF716" s="6"/>
      <c r="AG716" s="6"/>
      <c r="AH716" s="6"/>
      <c r="AI716" s="6"/>
      <c r="AJ716" s="6">
        <v>2</v>
      </c>
      <c r="AK716" s="6"/>
      <c r="AL716" s="7">
        <f t="shared" si="957"/>
        <v>2</v>
      </c>
      <c r="AM716" s="11">
        <f t="shared" si="834"/>
        <v>0</v>
      </c>
      <c r="AN716" s="25"/>
      <c r="AO716" s="10" t="str">
        <f t="shared" si="903"/>
        <v>OutubroSEMANA 4Gergelim Branco</v>
      </c>
      <c r="AP716" s="7">
        <f>SUMIF(NF!$A:$A,$AO716,NF!$I:$I)</f>
        <v>2</v>
      </c>
      <c r="AQ716" s="6"/>
      <c r="AR716" s="6"/>
      <c r="AS716" s="6"/>
      <c r="AT716" s="6"/>
      <c r="AU716" s="6"/>
      <c r="AV716" s="6"/>
      <c r="AW716" s="6"/>
      <c r="AX716" s="7">
        <f t="shared" si="958"/>
        <v>0</v>
      </c>
      <c r="AY716" s="11">
        <f t="shared" si="837"/>
        <v>2</v>
      </c>
      <c r="AZ716" s="25"/>
      <c r="BA716" s="10" t="str">
        <f t="shared" si="904"/>
        <v>OutubroSEMANA 5Gergelim Branco</v>
      </c>
      <c r="BB716" s="7">
        <f>SUMIF(NF!$A:$A,$BA716,NF!$I:$I)</f>
        <v>0</v>
      </c>
      <c r="BC716" s="6"/>
      <c r="BD716" s="6"/>
      <c r="BE716" s="6"/>
      <c r="BF716" s="74"/>
      <c r="BG716" s="74"/>
      <c r="BH716" s="74"/>
      <c r="BI716" s="74"/>
      <c r="BJ716" s="74"/>
      <c r="BK716" s="7">
        <f t="shared" si="959"/>
        <v>0</v>
      </c>
      <c r="BL716" s="8">
        <f t="shared" si="840"/>
        <v>2</v>
      </c>
      <c r="BM716" s="51" t="str">
        <f>IFERROR(VLOOKUP(A716,NF!$M:$O,3,0),"")</f>
        <v>Mercado</v>
      </c>
      <c r="BN716" s="7">
        <f t="shared" si="841"/>
        <v>2</v>
      </c>
      <c r="BO716" s="8">
        <f t="array" ref="BO716">IFERROR(LARGE(IF(NF!$G$2:$G$3137='Mês atual'!A716,NF!$J$2:$J$3137),1),0)*BN716</f>
        <v>33.700000000000003</v>
      </c>
      <c r="BP716" s="50"/>
      <c r="BR716" s="147">
        <f t="array" ref="BR716">IFERROR(LARGE(IF(NF!$G$2:$G$3137='Mês atual'!A716,NF!$J$2:$J$3137),1),0)</f>
        <v>16.850000000000001</v>
      </c>
      <c r="BS716" s="143" t="str">
        <f>VLOOKUP(A716,NF!M:O,3,0)</f>
        <v>Mercado</v>
      </c>
    </row>
    <row r="717" spans="1:71" x14ac:dyDescent="0.25">
      <c r="A717" s="108" t="s">
        <v>389</v>
      </c>
      <c r="B717" s="12"/>
      <c r="C717" s="9">
        <v>1</v>
      </c>
      <c r="D717" s="25"/>
      <c r="E717" s="10" t="str">
        <f t="shared" si="900"/>
        <v>OutubroSEMANA 1Gergelim Preto</v>
      </c>
      <c r="F717" s="7">
        <f>SUMIF(NF!$A:$A,$E717,NF!$I:$I)</f>
        <v>0</v>
      </c>
      <c r="G717" s="6"/>
      <c r="H717" s="6"/>
      <c r="I717" s="6"/>
      <c r="J717" s="6"/>
      <c r="K717" s="6"/>
      <c r="L717" s="6"/>
      <c r="M717" s="6"/>
      <c r="N717" s="7">
        <f t="shared" si="955"/>
        <v>0</v>
      </c>
      <c r="O717" s="11">
        <f t="shared" si="828"/>
        <v>1</v>
      </c>
      <c r="P717" s="25"/>
      <c r="Q717" s="10" t="str">
        <f t="shared" si="901"/>
        <v>OutubroSEMANA 2Gergelim Preto</v>
      </c>
      <c r="R717" s="7">
        <f>SUMIF(NF!$A:$A,$Q717,NF!$I:$I)</f>
        <v>1</v>
      </c>
      <c r="S717" s="6"/>
      <c r="T717" s="6"/>
      <c r="U717" s="6"/>
      <c r="V717" s="6"/>
      <c r="W717" s="6"/>
      <c r="X717" s="6"/>
      <c r="Y717" s="6"/>
      <c r="Z717" s="7">
        <f t="shared" si="956"/>
        <v>0</v>
      </c>
      <c r="AA717" s="11">
        <f t="shared" si="831"/>
        <v>2</v>
      </c>
      <c r="AB717" s="25"/>
      <c r="AC717" s="10" t="str">
        <f t="shared" si="902"/>
        <v>OutubroSEMANA 3Gergelim Preto</v>
      </c>
      <c r="AD717" s="7">
        <f>SUMIF(NF!$A:$A,$AC717,NF!$I:$I)</f>
        <v>0</v>
      </c>
      <c r="AE717" s="6"/>
      <c r="AF717" s="6"/>
      <c r="AG717" s="6"/>
      <c r="AH717" s="6"/>
      <c r="AI717" s="6"/>
      <c r="AJ717" s="6">
        <v>1</v>
      </c>
      <c r="AK717" s="6"/>
      <c r="AL717" s="7">
        <f t="shared" si="957"/>
        <v>1</v>
      </c>
      <c r="AM717" s="11">
        <f t="shared" si="834"/>
        <v>1</v>
      </c>
      <c r="AN717" s="25"/>
      <c r="AO717" s="10" t="str">
        <f t="shared" si="903"/>
        <v>OutubroSEMANA 4Gergelim Preto</v>
      </c>
      <c r="AP717" s="7">
        <f>SUMIF(NF!$A:$A,$AO717,NF!$I:$I)</f>
        <v>1</v>
      </c>
      <c r="AQ717" s="6"/>
      <c r="AR717" s="6"/>
      <c r="AS717" s="6"/>
      <c r="AT717" s="6"/>
      <c r="AU717" s="6"/>
      <c r="AV717" s="6"/>
      <c r="AW717" s="6"/>
      <c r="AX717" s="7">
        <f t="shared" si="958"/>
        <v>0</v>
      </c>
      <c r="AY717" s="11">
        <f t="shared" si="837"/>
        <v>2</v>
      </c>
      <c r="AZ717" s="25"/>
      <c r="BA717" s="10" t="str">
        <f t="shared" si="904"/>
        <v>OutubroSEMANA 5Gergelim Preto</v>
      </c>
      <c r="BB717" s="7">
        <f>SUMIF(NF!$A:$A,$BA717,NF!$I:$I)</f>
        <v>0</v>
      </c>
      <c r="BC717" s="6"/>
      <c r="BD717" s="6"/>
      <c r="BE717" s="6"/>
      <c r="BF717" s="74"/>
      <c r="BG717" s="74"/>
      <c r="BH717" s="74"/>
      <c r="BI717" s="74"/>
      <c r="BJ717" s="74"/>
      <c r="BK717" s="7">
        <f t="shared" si="959"/>
        <v>0</v>
      </c>
      <c r="BL717" s="8">
        <f t="shared" si="840"/>
        <v>2</v>
      </c>
      <c r="BM717" s="51" t="str">
        <f>IFERROR(VLOOKUP(A717,NF!$M:$O,3,0),"")</f>
        <v>Mercado</v>
      </c>
      <c r="BN717" s="7">
        <f t="shared" si="841"/>
        <v>1</v>
      </c>
      <c r="BO717" s="8">
        <f t="array" ref="BO717">IFERROR(LARGE(IF(NF!$G$2:$G$3137='Mês atual'!A717,NF!$J$2:$J$3137),1),0)*BN717</f>
        <v>30.59</v>
      </c>
      <c r="BP717" s="50"/>
      <c r="BR717" s="147">
        <f t="array" ref="BR717">IFERROR(LARGE(IF(NF!$G$2:$G$3137='Mês atual'!A717,NF!$J$2:$J$3137),1),0)</f>
        <v>30.59</v>
      </c>
      <c r="BS717" s="143" t="str">
        <f>VLOOKUP(A717,NF!M:O,3,0)</f>
        <v>Mercado</v>
      </c>
    </row>
    <row r="718" spans="1:71" x14ac:dyDescent="0.25">
      <c r="A718" s="108" t="s">
        <v>1029</v>
      </c>
      <c r="B718" s="12"/>
      <c r="C718" s="9">
        <v>3.0059999999999998</v>
      </c>
      <c r="D718" s="25"/>
      <c r="E718" s="10" t="str">
        <f t="shared" si="900"/>
        <v>OutubroSEMANA 1Girassol s/ Casca</v>
      </c>
      <c r="F718" s="7">
        <f>SUMIF(NF!$A:$A,$E718,NF!$I:$I)</f>
        <v>0</v>
      </c>
      <c r="G718" s="6"/>
      <c r="H718" s="6"/>
      <c r="I718" s="6"/>
      <c r="J718" s="6"/>
      <c r="K718" s="6"/>
      <c r="L718" s="6"/>
      <c r="M718" s="6">
        <v>1.01</v>
      </c>
      <c r="N718" s="7">
        <f t="shared" ref="N718" si="960">SUM(G718:M718)</f>
        <v>1.01</v>
      </c>
      <c r="O718" s="11">
        <f t="shared" si="828"/>
        <v>1.9959999999999998</v>
      </c>
      <c r="P718" s="25"/>
      <c r="Q718" s="10" t="str">
        <f t="shared" si="901"/>
        <v>OutubroSEMANA 2Girassol s/ Casca</v>
      </c>
      <c r="R718" s="7">
        <f>SUMIF(NF!$A:$A,$Q718,NF!$I:$I)</f>
        <v>0</v>
      </c>
      <c r="S718" s="6"/>
      <c r="T718" s="6"/>
      <c r="U718" s="6"/>
      <c r="V718" s="6"/>
      <c r="W718" s="6"/>
      <c r="X718" s="6"/>
      <c r="Y718" s="6"/>
      <c r="Z718" s="7">
        <f t="shared" ref="Z718" si="961">SUM(S718:Y718)</f>
        <v>0</v>
      </c>
      <c r="AA718" s="11">
        <f t="shared" si="831"/>
        <v>1.9959999999999998</v>
      </c>
      <c r="AB718" s="25"/>
      <c r="AC718" s="10" t="str">
        <f t="shared" si="902"/>
        <v>OutubroSEMANA 3Girassol s/ Casca</v>
      </c>
      <c r="AD718" s="7">
        <f>SUMIF(NF!$A:$A,$AC718,NF!$I:$I)</f>
        <v>0</v>
      </c>
      <c r="AE718" s="6"/>
      <c r="AF718" s="6"/>
      <c r="AG718" s="6"/>
      <c r="AH718" s="6">
        <v>1</v>
      </c>
      <c r="AI718" s="6"/>
      <c r="AJ718" s="6"/>
      <c r="AK718" s="6"/>
      <c r="AL718" s="7">
        <f t="shared" ref="AL718" si="962">SUM(AE718:AK718)</f>
        <v>1</v>
      </c>
      <c r="AM718" s="11">
        <f t="shared" si="834"/>
        <v>0.99599999999999977</v>
      </c>
      <c r="AN718" s="25"/>
      <c r="AO718" s="10" t="str">
        <f t="shared" si="903"/>
        <v>OutubroSEMANA 4Girassol s/ Casca</v>
      </c>
      <c r="AP718" s="7">
        <f>SUMIF(NF!$A:$A,$AO718,NF!$I:$I)</f>
        <v>2.008</v>
      </c>
      <c r="AQ718" s="6"/>
      <c r="AR718" s="6"/>
      <c r="AS718" s="6"/>
      <c r="AT718" s="6">
        <v>1</v>
      </c>
      <c r="AU718" s="6"/>
      <c r="AV718" s="6"/>
      <c r="AW718" s="6"/>
      <c r="AX718" s="7">
        <f t="shared" ref="AX718" si="963">SUM(AQ718:AW718)</f>
        <v>1</v>
      </c>
      <c r="AY718" s="11">
        <f t="shared" si="837"/>
        <v>2.0039999999999996</v>
      </c>
      <c r="AZ718" s="25"/>
      <c r="BA718" s="10" t="str">
        <f t="shared" si="904"/>
        <v>OutubroSEMANA 5Girassol s/ Casca</v>
      </c>
      <c r="BB718" s="7">
        <f>SUMIF(NF!$A:$A,$BA718,NF!$I:$I)</f>
        <v>0</v>
      </c>
      <c r="BC718" s="6"/>
      <c r="BD718" s="6"/>
      <c r="BE718" s="6"/>
      <c r="BF718" s="74"/>
      <c r="BG718" s="74"/>
      <c r="BH718" s="74"/>
      <c r="BI718" s="74"/>
      <c r="BJ718" s="74"/>
      <c r="BK718" s="7">
        <f t="shared" ref="BK718" si="964">SUM(BC718:BJ718)</f>
        <v>0</v>
      </c>
      <c r="BL718" s="8">
        <f t="shared" si="840"/>
        <v>2.0039999999999996</v>
      </c>
      <c r="BM718" s="51" t="str">
        <f>IFERROR(VLOOKUP(A718,NF!$M:$O,3,0),"")</f>
        <v>Mercado</v>
      </c>
      <c r="BN718" s="7">
        <f t="shared" si="841"/>
        <v>3.01</v>
      </c>
      <c r="BO718" s="8">
        <f t="array" ref="BO718">IFERROR(LARGE(IF(NF!$G$2:$G$3137='Mês atual'!A718,NF!$J$2:$J$3137),1),0)*BN718</f>
        <v>50.381379999999993</v>
      </c>
      <c r="BP718" s="50"/>
      <c r="BR718" s="147">
        <f t="array" ref="BR718">IFERROR(LARGE(IF(NF!$G$2:$G$3137='Mês atual'!A718,NF!$J$2:$J$3137),1),0)</f>
        <v>16.738</v>
      </c>
      <c r="BS718" s="143" t="str">
        <f>VLOOKUP(A718,NF!M:O,3,0)</f>
        <v>Mercado</v>
      </c>
    </row>
    <row r="719" spans="1:71" x14ac:dyDescent="0.25">
      <c r="A719" s="108" t="s">
        <v>1000</v>
      </c>
      <c r="B719" s="12"/>
      <c r="C719" s="9">
        <v>6</v>
      </c>
      <c r="D719" s="25"/>
      <c r="E719" s="10" t="str">
        <f t="shared" si="900"/>
        <v>OutubroSEMANA 1Goiaba em Calda</v>
      </c>
      <c r="F719" s="7">
        <f>SUMIF(NF!$A:$A,$E719,NF!$I:$I)</f>
        <v>0</v>
      </c>
      <c r="G719" s="6"/>
      <c r="H719" s="6"/>
      <c r="I719" s="6"/>
      <c r="J719" s="6"/>
      <c r="K719" s="6"/>
      <c r="L719" s="6"/>
      <c r="M719" s="6"/>
      <c r="N719" s="7">
        <f t="shared" ref="N719" si="965">SUM(G719:M719)</f>
        <v>0</v>
      </c>
      <c r="O719" s="11">
        <f t="shared" ref="O719" si="966">F719+C719-N719</f>
        <v>6</v>
      </c>
      <c r="P719" s="25"/>
      <c r="Q719" s="10" t="str">
        <f t="shared" si="901"/>
        <v>OutubroSEMANA 2Goiaba em Calda</v>
      </c>
      <c r="R719" s="7">
        <f>SUMIF(NF!$A:$A,$Q719,NF!$I:$I)</f>
        <v>0</v>
      </c>
      <c r="S719" s="6"/>
      <c r="T719" s="6"/>
      <c r="U719" s="6">
        <v>1</v>
      </c>
      <c r="V719" s="6"/>
      <c r="W719" s="6"/>
      <c r="X719" s="6"/>
      <c r="Y719" s="6"/>
      <c r="Z719" s="7">
        <f t="shared" ref="Z719" si="967">SUM(S719:Y719)</f>
        <v>1</v>
      </c>
      <c r="AA719" s="11">
        <f t="shared" ref="AA719" si="968">R719+O719-Z719</f>
        <v>5</v>
      </c>
      <c r="AB719" s="25"/>
      <c r="AC719" s="10" t="str">
        <f t="shared" si="902"/>
        <v>OutubroSEMANA 3Goiaba em Calda</v>
      </c>
      <c r="AD719" s="7">
        <f>SUMIF(NF!$A:$A,$AC719,NF!$I:$I)</f>
        <v>0</v>
      </c>
      <c r="AE719" s="6"/>
      <c r="AF719" s="6">
        <v>1</v>
      </c>
      <c r="AG719" s="6"/>
      <c r="AH719" s="6"/>
      <c r="AI719" s="6"/>
      <c r="AJ719" s="6"/>
      <c r="AK719" s="6"/>
      <c r="AL719" s="7">
        <f t="shared" ref="AL719" si="969">SUM(AE719:AK719)</f>
        <v>1</v>
      </c>
      <c r="AM719" s="11">
        <f t="shared" ref="AM719" si="970">AD719+AA719-AL719</f>
        <v>4</v>
      </c>
      <c r="AN719" s="25"/>
      <c r="AO719" s="10" t="str">
        <f t="shared" si="903"/>
        <v>OutubroSEMANA 4Goiaba em Calda</v>
      </c>
      <c r="AP719" s="7">
        <f>SUMIF(NF!$A:$A,$AO719,NF!$I:$I)</f>
        <v>0</v>
      </c>
      <c r="AQ719" s="6"/>
      <c r="AR719" s="6"/>
      <c r="AS719" s="6"/>
      <c r="AT719" s="6"/>
      <c r="AU719" s="6"/>
      <c r="AV719" s="6"/>
      <c r="AW719" s="6"/>
      <c r="AX719" s="7">
        <f t="shared" ref="AX719" si="971">SUM(AQ719:AW719)</f>
        <v>0</v>
      </c>
      <c r="AY719" s="11">
        <f t="shared" ref="AY719" si="972">AP719+AM719-AX719</f>
        <v>4</v>
      </c>
      <c r="AZ719" s="25"/>
      <c r="BA719" s="10" t="str">
        <f t="shared" si="904"/>
        <v>OutubroSEMANA 5Goiaba em Calda</v>
      </c>
      <c r="BB719" s="7">
        <f>SUMIF(NF!$A:$A,$BA719,NF!$I:$I)</f>
        <v>0</v>
      </c>
      <c r="BC719" s="6"/>
      <c r="BD719" s="6"/>
      <c r="BE719" s="6"/>
      <c r="BF719" s="74"/>
      <c r="BG719" s="74"/>
      <c r="BH719" s="74"/>
      <c r="BI719" s="74"/>
      <c r="BJ719" s="74"/>
      <c r="BK719" s="7">
        <f t="shared" ref="BK719" si="973">SUM(BC719:BJ719)</f>
        <v>0</v>
      </c>
      <c r="BL719" s="8">
        <f t="shared" ref="BL719" si="974">BB719+AY719-BK719</f>
        <v>4</v>
      </c>
      <c r="BM719" s="51" t="str">
        <f>IFERROR(VLOOKUP(A719,NF!$M:$O,3,0),"")</f>
        <v>Mercado</v>
      </c>
      <c r="BN719" s="7">
        <f t="shared" ref="BN719" si="975">SUM(N719,Z719,AL719,AX719,BK719)</f>
        <v>2</v>
      </c>
      <c r="BO719" s="8">
        <f t="array" ref="BO719">IFERROR(LARGE(IF(NF!$G$2:$G$3137='Mês atual'!A719,NF!$J$2:$J$3137),1),0)*BN719</f>
        <v>0</v>
      </c>
      <c r="BP719" s="50"/>
      <c r="BR719" s="147">
        <f t="array" ref="BR719">IFERROR(LARGE(IF(NF!$G$2:$G$3137='Mês atual'!A719,NF!$J$2:$J$3137),1),0)</f>
        <v>0</v>
      </c>
      <c r="BS719" s="143" t="str">
        <f>VLOOKUP(A719,NF!M:O,3,0)</f>
        <v>Mercado</v>
      </c>
    </row>
    <row r="720" spans="1:71" x14ac:dyDescent="0.25">
      <c r="A720" s="108" t="s">
        <v>392</v>
      </c>
      <c r="B720" s="12"/>
      <c r="C720" s="9"/>
      <c r="D720" s="25"/>
      <c r="E720" s="10" t="str">
        <f t="shared" si="900"/>
        <v>OutubroSEMANA 1Goiabada</v>
      </c>
      <c r="F720" s="7">
        <f>SUMIF(NF!$A:$A,$E720,NF!$I:$I)</f>
        <v>2</v>
      </c>
      <c r="G720" s="6"/>
      <c r="H720" s="6"/>
      <c r="I720" s="6"/>
      <c r="J720" s="6"/>
      <c r="K720" s="6">
        <v>1</v>
      </c>
      <c r="L720" s="6"/>
      <c r="M720" s="6"/>
      <c r="N720" s="7">
        <f t="shared" si="955"/>
        <v>1</v>
      </c>
      <c r="O720" s="11">
        <f t="shared" si="828"/>
        <v>1</v>
      </c>
      <c r="P720" s="25"/>
      <c r="Q720" s="10" t="str">
        <f t="shared" si="901"/>
        <v>OutubroSEMANA 2Goiabada</v>
      </c>
      <c r="R720" s="7">
        <f>SUMIF(NF!$A:$A,$Q720,NF!$I:$I)</f>
        <v>0</v>
      </c>
      <c r="S720" s="6"/>
      <c r="T720" s="6"/>
      <c r="U720" s="6"/>
      <c r="V720" s="6"/>
      <c r="W720" s="6"/>
      <c r="X720" s="6"/>
      <c r="Y720" s="6"/>
      <c r="Z720" s="7">
        <f t="shared" si="956"/>
        <v>0</v>
      </c>
      <c r="AA720" s="11">
        <f t="shared" si="831"/>
        <v>1</v>
      </c>
      <c r="AB720" s="25"/>
      <c r="AC720" s="10" t="str">
        <f t="shared" si="902"/>
        <v>OutubroSEMANA 3Goiabada</v>
      </c>
      <c r="AD720" s="7">
        <f>SUMIF(NF!$A:$A,$AC720,NF!$I:$I)</f>
        <v>0</v>
      </c>
      <c r="AE720" s="6"/>
      <c r="AF720" s="6"/>
      <c r="AG720" s="6"/>
      <c r="AH720" s="6"/>
      <c r="AI720" s="6"/>
      <c r="AJ720" s="6"/>
      <c r="AK720" s="6"/>
      <c r="AL720" s="7">
        <f t="shared" si="957"/>
        <v>0</v>
      </c>
      <c r="AM720" s="11">
        <f t="shared" si="834"/>
        <v>1</v>
      </c>
      <c r="AN720" s="25"/>
      <c r="AO720" s="10" t="str">
        <f t="shared" si="903"/>
        <v>OutubroSEMANA 4Goiabada</v>
      </c>
      <c r="AP720" s="7">
        <f>SUMIF(NF!$A:$A,$AO720,NF!$I:$I)</f>
        <v>0</v>
      </c>
      <c r="AQ720" s="6"/>
      <c r="AR720" s="6"/>
      <c r="AS720" s="6"/>
      <c r="AT720" s="6"/>
      <c r="AU720" s="6"/>
      <c r="AV720" s="6"/>
      <c r="AW720" s="6"/>
      <c r="AX720" s="7">
        <f t="shared" si="958"/>
        <v>0</v>
      </c>
      <c r="AY720" s="11">
        <f t="shared" si="837"/>
        <v>1</v>
      </c>
      <c r="AZ720" s="25"/>
      <c r="BA720" s="10" t="str">
        <f t="shared" si="904"/>
        <v>OutubroSEMANA 5Goiabada</v>
      </c>
      <c r="BB720" s="7">
        <f>SUMIF(NF!$A:$A,$BA720,NF!$I:$I)</f>
        <v>0</v>
      </c>
      <c r="BC720" s="6"/>
      <c r="BD720" s="6"/>
      <c r="BE720" s="6"/>
      <c r="BF720" s="74"/>
      <c r="BG720" s="74"/>
      <c r="BH720" s="74"/>
      <c r="BI720" s="74"/>
      <c r="BJ720" s="74"/>
      <c r="BK720" s="7">
        <f t="shared" si="959"/>
        <v>0</v>
      </c>
      <c r="BL720" s="8">
        <f t="shared" si="840"/>
        <v>1</v>
      </c>
      <c r="BM720" s="51" t="str">
        <f>IFERROR(VLOOKUP(A720,NF!$M:$O,3,0),"")</f>
        <v>Mercado</v>
      </c>
      <c r="BN720" s="7">
        <f t="shared" si="841"/>
        <v>1</v>
      </c>
      <c r="BO720" s="8">
        <f t="array" ref="BO720">IFERROR(LARGE(IF(NF!$G$2:$G$3137='Mês atual'!A720,NF!$J$2:$J$3137),1),0)*BN720</f>
        <v>7.98</v>
      </c>
      <c r="BP720" s="50"/>
      <c r="BR720" s="147">
        <f t="array" ref="BR720">IFERROR(LARGE(IF(NF!$G$2:$G$3137='Mês atual'!A720,NF!$J$2:$J$3137),1),0)</f>
        <v>7.98</v>
      </c>
      <c r="BS720" s="143" t="str">
        <f>VLOOKUP(A720,NF!M:O,3,0)</f>
        <v>Mercado</v>
      </c>
    </row>
    <row r="721" spans="1:71" x14ac:dyDescent="0.25">
      <c r="A721" s="108" t="s">
        <v>393</v>
      </c>
      <c r="B721" s="12"/>
      <c r="C721" s="9"/>
      <c r="D721" s="25"/>
      <c r="E721" s="10" t="str">
        <f t="shared" si="900"/>
        <v>OutubroSEMANA 1Goma de Tapioca</v>
      </c>
      <c r="F721" s="7">
        <f>SUMIF(NF!$A:$A,$E721,NF!$I:$I)</f>
        <v>0</v>
      </c>
      <c r="G721" s="6"/>
      <c r="H721" s="6"/>
      <c r="I721" s="6"/>
      <c r="J721" s="6"/>
      <c r="K721" s="6"/>
      <c r="L721" s="6"/>
      <c r="M721" s="6"/>
      <c r="N721" s="7">
        <f t="shared" si="955"/>
        <v>0</v>
      </c>
      <c r="O721" s="11">
        <f t="shared" si="828"/>
        <v>0</v>
      </c>
      <c r="P721" s="25"/>
      <c r="Q721" s="10" t="str">
        <f t="shared" si="901"/>
        <v>OutubroSEMANA 2Goma de Tapioca</v>
      </c>
      <c r="R721" s="7">
        <f>SUMIF(NF!$A:$A,$Q721,NF!$I:$I)</f>
        <v>0</v>
      </c>
      <c r="S721" s="6"/>
      <c r="T721" s="6"/>
      <c r="U721" s="6"/>
      <c r="V721" s="6"/>
      <c r="W721" s="6"/>
      <c r="X721" s="6"/>
      <c r="Y721" s="6"/>
      <c r="Z721" s="7">
        <f t="shared" si="956"/>
        <v>0</v>
      </c>
      <c r="AA721" s="11">
        <f t="shared" si="831"/>
        <v>0</v>
      </c>
      <c r="AB721" s="25"/>
      <c r="AC721" s="10" t="str">
        <f t="shared" si="902"/>
        <v>OutubroSEMANA 3Goma de Tapioca</v>
      </c>
      <c r="AD721" s="7">
        <f>SUMIF(NF!$A:$A,$AC721,NF!$I:$I)</f>
        <v>0</v>
      </c>
      <c r="AE721" s="6"/>
      <c r="AF721" s="6"/>
      <c r="AG721" s="6"/>
      <c r="AH721" s="6"/>
      <c r="AI721" s="6"/>
      <c r="AJ721" s="6"/>
      <c r="AK721" s="6"/>
      <c r="AL721" s="7">
        <f t="shared" si="957"/>
        <v>0</v>
      </c>
      <c r="AM721" s="11">
        <f t="shared" si="834"/>
        <v>0</v>
      </c>
      <c r="AN721" s="25"/>
      <c r="AO721" s="10" t="str">
        <f t="shared" si="903"/>
        <v>OutubroSEMANA 4Goma de Tapioca</v>
      </c>
      <c r="AP721" s="7">
        <f>SUMIF(NF!$A:$A,$AO721,NF!$I:$I)</f>
        <v>0</v>
      </c>
      <c r="AQ721" s="6"/>
      <c r="AR721" s="6"/>
      <c r="AS721" s="6"/>
      <c r="AT721" s="6"/>
      <c r="AU721" s="6"/>
      <c r="AV721" s="6"/>
      <c r="AW721" s="6"/>
      <c r="AX721" s="7">
        <f t="shared" si="958"/>
        <v>0</v>
      </c>
      <c r="AY721" s="11">
        <f t="shared" si="837"/>
        <v>0</v>
      </c>
      <c r="AZ721" s="25"/>
      <c r="BA721" s="10" t="str">
        <f t="shared" si="904"/>
        <v>OutubroSEMANA 5Goma de Tapioca</v>
      </c>
      <c r="BB721" s="7">
        <f>SUMIF(NF!$A:$A,$BA721,NF!$I:$I)</f>
        <v>2</v>
      </c>
      <c r="BC721" s="6"/>
      <c r="BD721" s="6">
        <v>2</v>
      </c>
      <c r="BE721" s="6"/>
      <c r="BF721" s="74"/>
      <c r="BG721" s="74"/>
      <c r="BH721" s="74"/>
      <c r="BI721" s="74"/>
      <c r="BJ721" s="74"/>
      <c r="BK721" s="7">
        <f t="shared" si="959"/>
        <v>2</v>
      </c>
      <c r="BL721" s="8">
        <f t="shared" si="840"/>
        <v>0</v>
      </c>
      <c r="BM721" s="51" t="str">
        <f>IFERROR(VLOOKUP(A721,NF!$M:$O,3,0),"")</f>
        <v>Mercado</v>
      </c>
      <c r="BN721" s="7">
        <f t="shared" si="841"/>
        <v>2</v>
      </c>
      <c r="BO721" s="8">
        <f t="array" ref="BO721">IFERROR(LARGE(IF(NF!$G$2:$G$3137='Mês atual'!A721,NF!$J$2:$J$3137),1),0)*BN721</f>
        <v>16</v>
      </c>
      <c r="BP721" s="50"/>
      <c r="BR721" s="147">
        <f t="array" ref="BR721">IFERROR(LARGE(IF(NF!$G$2:$G$3137='Mês atual'!A721,NF!$J$2:$J$3137),1),0)</f>
        <v>8</v>
      </c>
      <c r="BS721" s="143" t="str">
        <f>VLOOKUP(A721,NF!M:O,3,0)</f>
        <v>Mercado</v>
      </c>
    </row>
    <row r="722" spans="1:71" x14ac:dyDescent="0.25">
      <c r="A722" s="108" t="s">
        <v>966</v>
      </c>
      <c r="B722" s="12"/>
      <c r="C722" s="9"/>
      <c r="D722" s="25"/>
      <c r="E722" s="10" t="str">
        <f t="shared" si="900"/>
        <v>OutubroSEMANA 1Granola</v>
      </c>
      <c r="F722" s="7">
        <f>SUMIF(NF!$A:$A,$E722,NF!$I:$I)</f>
        <v>0</v>
      </c>
      <c r="G722" s="6"/>
      <c r="H722" s="6"/>
      <c r="I722" s="6"/>
      <c r="J722" s="6"/>
      <c r="K722" s="6"/>
      <c r="L722" s="6"/>
      <c r="M722" s="6"/>
      <c r="N722" s="7">
        <f t="shared" ref="N722" si="976">SUM(G722:M722)</f>
        <v>0</v>
      </c>
      <c r="O722" s="11">
        <f t="shared" si="828"/>
        <v>0</v>
      </c>
      <c r="P722" s="25"/>
      <c r="Q722" s="10" t="str">
        <f t="shared" si="901"/>
        <v>OutubroSEMANA 2Granola</v>
      </c>
      <c r="R722" s="7">
        <f>SUMIF(NF!$A:$A,$Q722,NF!$I:$I)</f>
        <v>0</v>
      </c>
      <c r="S722" s="6"/>
      <c r="T722" s="6"/>
      <c r="U722" s="6"/>
      <c r="V722" s="6"/>
      <c r="W722" s="6"/>
      <c r="X722" s="6"/>
      <c r="Y722" s="6"/>
      <c r="Z722" s="7">
        <f t="shared" ref="Z722" si="977">SUM(S722:Y722)</f>
        <v>0</v>
      </c>
      <c r="AA722" s="11">
        <f t="shared" si="831"/>
        <v>0</v>
      </c>
      <c r="AB722" s="25"/>
      <c r="AC722" s="10" t="str">
        <f t="shared" si="902"/>
        <v>OutubroSEMANA 3Granola</v>
      </c>
      <c r="AD722" s="7">
        <f>SUMIF(NF!$A:$A,$AC722,NF!$I:$I)</f>
        <v>0</v>
      </c>
      <c r="AE722" s="6"/>
      <c r="AF722" s="6"/>
      <c r="AG722" s="6"/>
      <c r="AH722" s="6"/>
      <c r="AI722" s="6"/>
      <c r="AJ722" s="6"/>
      <c r="AK722" s="6"/>
      <c r="AL722" s="7">
        <f t="shared" ref="AL722" si="978">SUM(AE722:AK722)</f>
        <v>0</v>
      </c>
      <c r="AM722" s="11">
        <f t="shared" si="834"/>
        <v>0</v>
      </c>
      <c r="AN722" s="25"/>
      <c r="AO722" s="10" t="str">
        <f t="shared" si="903"/>
        <v>OutubroSEMANA 4Granola</v>
      </c>
      <c r="AP722" s="7">
        <f>SUMIF(NF!$A:$A,$AO722,NF!$I:$I)</f>
        <v>0</v>
      </c>
      <c r="AQ722" s="6"/>
      <c r="AR722" s="6"/>
      <c r="AS722" s="6"/>
      <c r="AT722" s="6"/>
      <c r="AU722" s="6"/>
      <c r="AV722" s="6"/>
      <c r="AW722" s="6"/>
      <c r="AX722" s="7">
        <f t="shared" ref="AX722" si="979">SUM(AQ722:AW722)</f>
        <v>0</v>
      </c>
      <c r="AY722" s="11">
        <f t="shared" si="837"/>
        <v>0</v>
      </c>
      <c r="AZ722" s="25"/>
      <c r="BA722" s="10" t="str">
        <f t="shared" si="904"/>
        <v>OutubroSEMANA 5Granola</v>
      </c>
      <c r="BB722" s="7">
        <f>SUMIF(NF!$A:$A,$BA722,NF!$I:$I)</f>
        <v>0</v>
      </c>
      <c r="BC722" s="6"/>
      <c r="BD722" s="6"/>
      <c r="BE722" s="6"/>
      <c r="BF722" s="74"/>
      <c r="BG722" s="74"/>
      <c r="BH722" s="74"/>
      <c r="BI722" s="74"/>
      <c r="BJ722" s="74"/>
      <c r="BK722" s="7">
        <f t="shared" ref="BK722" si="980">SUM(BC722:BJ722)</f>
        <v>0</v>
      </c>
      <c r="BL722" s="8">
        <f t="shared" si="840"/>
        <v>0</v>
      </c>
      <c r="BM722" s="51" t="str">
        <f>IFERROR(VLOOKUP(A722,NF!$M:$O,3,0),"")</f>
        <v>Mercado</v>
      </c>
      <c r="BN722" s="7">
        <f t="shared" si="841"/>
        <v>0</v>
      </c>
      <c r="BO722" s="8">
        <f t="array" ref="BO722">IFERROR(LARGE(IF(NF!$G$2:$G$3137='Mês atual'!A722,NF!$J$2:$J$3137),1),0)*BN722</f>
        <v>0</v>
      </c>
      <c r="BP722" s="50"/>
      <c r="BR722" s="147">
        <f t="array" ref="BR722">IFERROR(LARGE(IF(NF!$G$2:$G$3137='Mês atual'!A722,NF!$J$2:$J$3137),1),0)</f>
        <v>0</v>
      </c>
      <c r="BS722" s="143" t="str">
        <f>VLOOKUP(A722,NF!M:O,3,0)</f>
        <v>Mercado</v>
      </c>
    </row>
    <row r="723" spans="1:71" x14ac:dyDescent="0.25">
      <c r="A723" s="108" t="s">
        <v>396</v>
      </c>
      <c r="B723" s="12"/>
      <c r="C723" s="9">
        <v>11</v>
      </c>
      <c r="D723" s="25"/>
      <c r="E723" s="10" t="str">
        <f t="shared" si="900"/>
        <v>OutubroSEMANA 1Grão de Bico</v>
      </c>
      <c r="F723" s="7">
        <f>SUMIF(NF!$A:$A,$E723,NF!$I:$I)</f>
        <v>10</v>
      </c>
      <c r="G723" s="6">
        <v>1.5</v>
      </c>
      <c r="H723" s="6"/>
      <c r="I723" s="6"/>
      <c r="J723" s="6">
        <v>1</v>
      </c>
      <c r="K723" s="6">
        <v>3.5</v>
      </c>
      <c r="L723" s="6"/>
      <c r="M723" s="6"/>
      <c r="N723" s="7">
        <f t="shared" ref="N723:N766" si="981">SUM(G723:M723)</f>
        <v>6</v>
      </c>
      <c r="O723" s="11">
        <f t="shared" si="828"/>
        <v>15</v>
      </c>
      <c r="P723" s="25"/>
      <c r="Q723" s="10" t="str">
        <f t="shared" si="901"/>
        <v>OutubroSEMANA 2Grão de Bico</v>
      </c>
      <c r="R723" s="7">
        <f>SUMIF(NF!$A:$A,$Q723,NF!$I:$I)</f>
        <v>0</v>
      </c>
      <c r="S723" s="6">
        <v>1</v>
      </c>
      <c r="T723" s="6"/>
      <c r="U723" s="6"/>
      <c r="V723" s="6"/>
      <c r="W723" s="6"/>
      <c r="X723" s="6"/>
      <c r="Y723" s="6">
        <v>1</v>
      </c>
      <c r="Z723" s="7">
        <f t="shared" ref="Z723:Z764" si="982">SUM(S723:Y723)</f>
        <v>2</v>
      </c>
      <c r="AA723" s="11">
        <f t="shared" si="831"/>
        <v>13</v>
      </c>
      <c r="AB723" s="25"/>
      <c r="AC723" s="10" t="str">
        <f t="shared" si="902"/>
        <v>OutubroSEMANA 3Grão de Bico</v>
      </c>
      <c r="AD723" s="7">
        <f>SUMIF(NF!$A:$A,$AC723,NF!$I:$I)</f>
        <v>10</v>
      </c>
      <c r="AE723" s="6">
        <v>1.5</v>
      </c>
      <c r="AF723" s="6"/>
      <c r="AG723" s="6"/>
      <c r="AH723" s="6"/>
      <c r="AI723" s="6">
        <v>1.5</v>
      </c>
      <c r="AJ723" s="6"/>
      <c r="AK723" s="6">
        <v>1</v>
      </c>
      <c r="AL723" s="7">
        <f t="shared" ref="AL723:AL764" si="983">SUM(AE723:AK723)</f>
        <v>4</v>
      </c>
      <c r="AM723" s="11">
        <f t="shared" si="834"/>
        <v>19</v>
      </c>
      <c r="AN723" s="25"/>
      <c r="AO723" s="10" t="str">
        <f t="shared" si="903"/>
        <v>OutubroSEMANA 4Grão de Bico</v>
      </c>
      <c r="AP723" s="7">
        <f>SUMIF(NF!$A:$A,$AO723,NF!$I:$I)</f>
        <v>0</v>
      </c>
      <c r="AQ723" s="6"/>
      <c r="AR723" s="6"/>
      <c r="AS723" s="6"/>
      <c r="AT723" s="6"/>
      <c r="AU723" s="6"/>
      <c r="AV723" s="6">
        <v>3.5</v>
      </c>
      <c r="AW723" s="6">
        <v>1</v>
      </c>
      <c r="AX723" s="7">
        <f t="shared" ref="AX723:AX764" si="984">SUM(AQ723:AW723)</f>
        <v>4.5</v>
      </c>
      <c r="AY723" s="11">
        <f t="shared" si="837"/>
        <v>14.5</v>
      </c>
      <c r="AZ723" s="25"/>
      <c r="BA723" s="10" t="str">
        <f t="shared" si="904"/>
        <v>OutubroSEMANA 5Grão de Bico</v>
      </c>
      <c r="BB723" s="7">
        <f>SUMIF(NF!$A:$A,$BA723,NF!$I:$I)</f>
        <v>0</v>
      </c>
      <c r="BC723" s="6">
        <v>1.5</v>
      </c>
      <c r="BD723" s="6">
        <v>2.5</v>
      </c>
      <c r="BE723" s="6"/>
      <c r="BF723" s="74"/>
      <c r="BG723" s="74"/>
      <c r="BH723" s="74"/>
      <c r="BI723" s="74"/>
      <c r="BJ723" s="74"/>
      <c r="BK723" s="7">
        <f t="shared" ref="BK723:BK764" si="985">SUM(BC723:BJ723)</f>
        <v>4</v>
      </c>
      <c r="BL723" s="8">
        <f t="shared" si="840"/>
        <v>10.5</v>
      </c>
      <c r="BM723" s="51" t="str">
        <f>IFERROR(VLOOKUP(A723,NF!$M:$O,3,0),"")</f>
        <v>Mercado</v>
      </c>
      <c r="BN723" s="7">
        <f t="shared" si="841"/>
        <v>20.5</v>
      </c>
      <c r="BO723" s="8">
        <f t="array" ref="BO723">IFERROR(LARGE(IF(NF!$G$2:$G$3137='Mês atual'!A723,NF!$J$2:$J$3137),1),0)*BN723</f>
        <v>304.21999999999997</v>
      </c>
      <c r="BP723" s="50"/>
      <c r="BR723" s="147">
        <f t="array" ref="BR723">IFERROR(LARGE(IF(NF!$G$2:$G$3137='Mês atual'!A723,NF!$J$2:$J$3137),1),0)</f>
        <v>14.84</v>
      </c>
      <c r="BS723" s="143" t="str">
        <f>VLOOKUP(A723,NF!M:O,3,0)</f>
        <v>Mercado</v>
      </c>
    </row>
    <row r="724" spans="1:71" x14ac:dyDescent="0.25">
      <c r="A724" s="108" t="s">
        <v>403</v>
      </c>
      <c r="B724" s="12"/>
      <c r="C724" s="9">
        <v>264</v>
      </c>
      <c r="D724" s="25"/>
      <c r="E724" s="10" t="str">
        <f t="shared" si="900"/>
        <v>OutubroSEMANA 1Hondashi 6 saches</v>
      </c>
      <c r="F724" s="7">
        <f>SUMIF(NF!$A:$A,$E724,NF!$I:$I)</f>
        <v>0</v>
      </c>
      <c r="G724" s="6"/>
      <c r="H724" s="6">
        <v>6</v>
      </c>
      <c r="I724" s="6"/>
      <c r="J724" s="6">
        <v>6</v>
      </c>
      <c r="K724" s="6"/>
      <c r="L724" s="6"/>
      <c r="M724" s="6">
        <v>6</v>
      </c>
      <c r="N724" s="7">
        <f t="shared" si="981"/>
        <v>18</v>
      </c>
      <c r="O724" s="11">
        <f t="shared" si="828"/>
        <v>246</v>
      </c>
      <c r="P724" s="25"/>
      <c r="Q724" s="10" t="str">
        <f t="shared" si="901"/>
        <v>OutubroSEMANA 2Hondashi 6 saches</v>
      </c>
      <c r="R724" s="7">
        <f>SUMIF(NF!$A:$A,$Q724,NF!$I:$I)</f>
        <v>0</v>
      </c>
      <c r="S724" s="6"/>
      <c r="T724" s="6">
        <v>6</v>
      </c>
      <c r="U724" s="6"/>
      <c r="V724" s="6">
        <v>6</v>
      </c>
      <c r="W724" s="6">
        <v>6</v>
      </c>
      <c r="X724" s="6"/>
      <c r="Y724" s="6"/>
      <c r="Z724" s="7">
        <f t="shared" si="982"/>
        <v>18</v>
      </c>
      <c r="AA724" s="11">
        <f t="shared" si="831"/>
        <v>228</v>
      </c>
      <c r="AB724" s="25"/>
      <c r="AC724" s="10" t="str">
        <f t="shared" si="902"/>
        <v>OutubroSEMANA 3Hondashi 6 saches</v>
      </c>
      <c r="AD724" s="7">
        <f>SUMIF(NF!$A:$A,$AC724,NF!$I:$I)</f>
        <v>0</v>
      </c>
      <c r="AE724" s="6">
        <v>6</v>
      </c>
      <c r="AF724" s="6"/>
      <c r="AG724" s="6">
        <v>6</v>
      </c>
      <c r="AH724" s="6"/>
      <c r="AI724" s="6">
        <v>6</v>
      </c>
      <c r="AJ724" s="6">
        <v>6</v>
      </c>
      <c r="AK724" s="6"/>
      <c r="AL724" s="7">
        <f t="shared" si="983"/>
        <v>24</v>
      </c>
      <c r="AM724" s="11">
        <f t="shared" si="834"/>
        <v>204</v>
      </c>
      <c r="AN724" s="25"/>
      <c r="AO724" s="10" t="str">
        <f t="shared" si="903"/>
        <v>OutubroSEMANA 4Hondashi 6 saches</v>
      </c>
      <c r="AP724" s="7">
        <f>SUMIF(NF!$A:$A,$AO724,NF!$I:$I)</f>
        <v>0</v>
      </c>
      <c r="AQ724" s="6"/>
      <c r="AR724" s="6">
        <v>6</v>
      </c>
      <c r="AS724" s="6"/>
      <c r="AT724" s="6"/>
      <c r="AU724" s="6">
        <v>6</v>
      </c>
      <c r="AV724" s="6"/>
      <c r="AW724" s="6">
        <v>6</v>
      </c>
      <c r="AX724" s="7">
        <f t="shared" si="984"/>
        <v>18</v>
      </c>
      <c r="AY724" s="11">
        <f t="shared" si="837"/>
        <v>186</v>
      </c>
      <c r="AZ724" s="25"/>
      <c r="BA724" s="10" t="str">
        <f t="shared" si="904"/>
        <v>OutubroSEMANA 5Hondashi 6 saches</v>
      </c>
      <c r="BB724" s="7">
        <f>SUMIF(NF!$A:$A,$BA724,NF!$I:$I)</f>
        <v>0</v>
      </c>
      <c r="BC724" s="6">
        <v>6</v>
      </c>
      <c r="BD724" s="6"/>
      <c r="BE724" s="6">
        <v>6</v>
      </c>
      <c r="BF724" s="74"/>
      <c r="BG724" s="74"/>
      <c r="BH724" s="74"/>
      <c r="BI724" s="74"/>
      <c r="BJ724" s="74"/>
      <c r="BK724" s="7">
        <f t="shared" si="985"/>
        <v>12</v>
      </c>
      <c r="BL724" s="8">
        <f t="shared" si="840"/>
        <v>174</v>
      </c>
      <c r="BM724" s="51" t="str">
        <f>IFERROR(VLOOKUP(A724,NF!$M:$O,3,0),"")</f>
        <v>Mercado</v>
      </c>
      <c r="BN724" s="7">
        <f t="shared" si="841"/>
        <v>90</v>
      </c>
      <c r="BO724" s="8">
        <f t="array" ref="BO724">IFERROR(LARGE(IF(NF!$G$2:$G$3137='Mês atual'!A724,NF!$J$2:$J$3137),1),0)*BN724</f>
        <v>0</v>
      </c>
      <c r="BP724" s="50"/>
      <c r="BR724" s="147">
        <f t="array" ref="BR724">IFERROR(LARGE(IF(NF!$G$2:$G$3137='Mês atual'!A724,NF!$J$2:$J$3137),1),0)</f>
        <v>0</v>
      </c>
      <c r="BS724" s="143" t="str">
        <f>VLOOKUP(A724,NF!M:O,3,0)</f>
        <v>Mercado</v>
      </c>
    </row>
    <row r="725" spans="1:71" x14ac:dyDescent="0.25">
      <c r="A725" s="108" t="s">
        <v>453</v>
      </c>
      <c r="B725" s="12"/>
      <c r="C725" s="9">
        <v>22</v>
      </c>
      <c r="D725" s="25"/>
      <c r="E725" s="10" t="str">
        <f t="shared" si="900"/>
        <v>OutubroSEMANA 1Karo Mel</v>
      </c>
      <c r="F725" s="7">
        <f>SUMIF(NF!$A:$A,$E725,NF!$I:$I)</f>
        <v>12</v>
      </c>
      <c r="G725" s="6">
        <v>5</v>
      </c>
      <c r="H725" s="6"/>
      <c r="I725" s="6">
        <v>4</v>
      </c>
      <c r="J725" s="6"/>
      <c r="K725" s="6">
        <v>2</v>
      </c>
      <c r="L725" s="6"/>
      <c r="M725" s="6"/>
      <c r="N725" s="7">
        <f t="shared" si="981"/>
        <v>11</v>
      </c>
      <c r="O725" s="11">
        <f t="shared" si="828"/>
        <v>23</v>
      </c>
      <c r="P725" s="25"/>
      <c r="Q725" s="10" t="str">
        <f t="shared" si="901"/>
        <v>OutubroSEMANA 2Karo Mel</v>
      </c>
      <c r="R725" s="7">
        <f>SUMIF(NF!$A:$A,$Q725,NF!$I:$I)</f>
        <v>0</v>
      </c>
      <c r="S725" s="6">
        <v>1</v>
      </c>
      <c r="T725" s="6">
        <v>2</v>
      </c>
      <c r="U725" s="6">
        <v>3</v>
      </c>
      <c r="V725" s="6"/>
      <c r="W725" s="6"/>
      <c r="X725" s="6"/>
      <c r="Y725" s="6">
        <v>3</v>
      </c>
      <c r="Z725" s="7">
        <f t="shared" si="982"/>
        <v>9</v>
      </c>
      <c r="AA725" s="11">
        <f t="shared" si="831"/>
        <v>14</v>
      </c>
      <c r="AB725" s="25"/>
      <c r="AC725" s="10" t="str">
        <f t="shared" si="902"/>
        <v>OutubroSEMANA 3Karo Mel</v>
      </c>
      <c r="AD725" s="7">
        <f>SUMIF(NF!$A:$A,$AC725,NF!$I:$I)</f>
        <v>12</v>
      </c>
      <c r="AE725" s="6"/>
      <c r="AF725" s="6">
        <v>2</v>
      </c>
      <c r="AG725" s="6">
        <v>5</v>
      </c>
      <c r="AH725" s="6"/>
      <c r="AI725" s="6"/>
      <c r="AJ725" s="6">
        <v>1</v>
      </c>
      <c r="AK725" s="6">
        <v>1</v>
      </c>
      <c r="AL725" s="7">
        <f t="shared" si="983"/>
        <v>9</v>
      </c>
      <c r="AM725" s="11">
        <f t="shared" si="834"/>
        <v>17</v>
      </c>
      <c r="AN725" s="25"/>
      <c r="AO725" s="10" t="str">
        <f t="shared" si="903"/>
        <v>OutubroSEMANA 4Karo Mel</v>
      </c>
      <c r="AP725" s="7">
        <f>SUMIF(NF!$A:$A,$AO725,NF!$I:$I)</f>
        <v>12</v>
      </c>
      <c r="AQ725" s="6">
        <v>3</v>
      </c>
      <c r="AR725" s="6"/>
      <c r="AS725" s="6">
        <v>3</v>
      </c>
      <c r="AT725" s="6">
        <v>2</v>
      </c>
      <c r="AU725" s="6"/>
      <c r="AV725" s="6"/>
      <c r="AW725" s="6">
        <v>3</v>
      </c>
      <c r="AX725" s="7">
        <f t="shared" si="984"/>
        <v>11</v>
      </c>
      <c r="AY725" s="11">
        <f t="shared" si="837"/>
        <v>18</v>
      </c>
      <c r="AZ725" s="25"/>
      <c r="BA725" s="10" t="str">
        <f t="shared" si="904"/>
        <v>OutubroSEMANA 5Karo Mel</v>
      </c>
      <c r="BB725" s="7">
        <f>SUMIF(NF!$A:$A,$BA725,NF!$I:$I)</f>
        <v>0</v>
      </c>
      <c r="BC725" s="6">
        <v>3</v>
      </c>
      <c r="BD725" s="6"/>
      <c r="BE725" s="6"/>
      <c r="BF725" s="74"/>
      <c r="BG725" s="74"/>
      <c r="BH725" s="74"/>
      <c r="BI725" s="74"/>
      <c r="BJ725" s="74"/>
      <c r="BK725" s="7">
        <f t="shared" si="985"/>
        <v>3</v>
      </c>
      <c r="BL725" s="8">
        <f t="shared" si="840"/>
        <v>15</v>
      </c>
      <c r="BM725" s="51" t="str">
        <f>IFERROR(VLOOKUP(A725,NF!$M:$O,3,0),"")</f>
        <v>Mercado</v>
      </c>
      <c r="BN725" s="7">
        <f t="shared" si="841"/>
        <v>43</v>
      </c>
      <c r="BO725" s="8">
        <f t="array" ref="BO725">IFERROR(LARGE(IF(NF!$G$2:$G$3137='Mês atual'!A725,NF!$J$2:$J$3137),1),0)*BN725</f>
        <v>276.63333333333333</v>
      </c>
      <c r="BP725" s="50"/>
      <c r="BR725" s="147">
        <f t="array" ref="BR725">IFERROR(LARGE(IF(NF!$G$2:$G$3137='Mês atual'!A725,NF!$J$2:$J$3137),1),0)</f>
        <v>6.4333333333333336</v>
      </c>
      <c r="BS725" s="143" t="str">
        <f>VLOOKUP(A725,NF!M:O,3,0)</f>
        <v>Mercado</v>
      </c>
    </row>
    <row r="726" spans="1:71" x14ac:dyDescent="0.25">
      <c r="A726" s="108" t="s">
        <v>455</v>
      </c>
      <c r="B726" s="12"/>
      <c r="C726" s="9"/>
      <c r="D726" s="25"/>
      <c r="E726" s="10" t="str">
        <f t="shared" si="900"/>
        <v>OutubroSEMANA 1Kiwi Desidratado</v>
      </c>
      <c r="F726" s="7">
        <f>SUMIF(NF!$A:$A,$E726,NF!$I:$I)</f>
        <v>0</v>
      </c>
      <c r="G726" s="6"/>
      <c r="H726" s="6"/>
      <c r="I726" s="6"/>
      <c r="J726" s="6"/>
      <c r="K726" s="6"/>
      <c r="L726" s="6"/>
      <c r="M726" s="6"/>
      <c r="N726" s="7">
        <f t="shared" si="981"/>
        <v>0</v>
      </c>
      <c r="O726" s="11">
        <f t="shared" si="828"/>
        <v>0</v>
      </c>
      <c r="P726" s="25"/>
      <c r="Q726" s="10" t="str">
        <f t="shared" si="901"/>
        <v>OutubroSEMANA 2Kiwi Desidratado</v>
      </c>
      <c r="R726" s="7">
        <f>SUMIF(NF!$A:$A,$Q726,NF!$I:$I)</f>
        <v>0</v>
      </c>
      <c r="S726" s="6"/>
      <c r="T726" s="6"/>
      <c r="U726" s="6"/>
      <c r="V726" s="6"/>
      <c r="W726" s="6"/>
      <c r="X726" s="6"/>
      <c r="Y726" s="6"/>
      <c r="Z726" s="7">
        <f t="shared" si="982"/>
        <v>0</v>
      </c>
      <c r="AA726" s="11">
        <f t="shared" si="831"/>
        <v>0</v>
      </c>
      <c r="AB726" s="25"/>
      <c r="AC726" s="10" t="str">
        <f t="shared" si="902"/>
        <v>OutubroSEMANA 3Kiwi Desidratado</v>
      </c>
      <c r="AD726" s="7">
        <f>SUMIF(NF!$A:$A,$AC726,NF!$I:$I)</f>
        <v>0</v>
      </c>
      <c r="AE726" s="6"/>
      <c r="AF726" s="6"/>
      <c r="AG726" s="6"/>
      <c r="AH726" s="6"/>
      <c r="AI726" s="6"/>
      <c r="AJ726" s="6"/>
      <c r="AK726" s="6"/>
      <c r="AL726" s="7">
        <f t="shared" si="983"/>
        <v>0</v>
      </c>
      <c r="AM726" s="11">
        <f t="shared" si="834"/>
        <v>0</v>
      </c>
      <c r="AN726" s="25"/>
      <c r="AO726" s="10" t="str">
        <f t="shared" si="903"/>
        <v>OutubroSEMANA 4Kiwi Desidratado</v>
      </c>
      <c r="AP726" s="7">
        <f>SUMIF(NF!$A:$A,$AO726,NF!$I:$I)</f>
        <v>0.3</v>
      </c>
      <c r="AQ726" s="6"/>
      <c r="AR726" s="6"/>
      <c r="AS726" s="6">
        <v>0.3</v>
      </c>
      <c r="AT726" s="6"/>
      <c r="AU726" s="6"/>
      <c r="AV726" s="6"/>
      <c r="AW726" s="6"/>
      <c r="AX726" s="7">
        <f t="shared" si="984"/>
        <v>0.3</v>
      </c>
      <c r="AY726" s="11">
        <f t="shared" si="837"/>
        <v>0</v>
      </c>
      <c r="AZ726" s="25"/>
      <c r="BA726" s="10" t="str">
        <f t="shared" si="904"/>
        <v>OutubroSEMANA 5Kiwi Desidratado</v>
      </c>
      <c r="BB726" s="7">
        <f>SUMIF(NF!$A:$A,$BA726,NF!$I:$I)</f>
        <v>0</v>
      </c>
      <c r="BC726" s="6"/>
      <c r="BD726" s="6"/>
      <c r="BE726" s="6"/>
      <c r="BF726" s="74"/>
      <c r="BG726" s="74"/>
      <c r="BH726" s="74"/>
      <c r="BI726" s="74"/>
      <c r="BJ726" s="74"/>
      <c r="BK726" s="7">
        <f t="shared" si="985"/>
        <v>0</v>
      </c>
      <c r="BL726" s="8">
        <f t="shared" si="840"/>
        <v>0</v>
      </c>
      <c r="BM726" s="51" t="str">
        <f>IFERROR(VLOOKUP(A726,NF!$M:$O,3,0),"")</f>
        <v>Mercado</v>
      </c>
      <c r="BN726" s="7">
        <f t="shared" si="841"/>
        <v>0.3</v>
      </c>
      <c r="BO726" s="8">
        <f t="array" ref="BO726">IFERROR(LARGE(IF(NF!$G$2:$G$3137='Mês atual'!A726,NF!$J$2:$J$3137),1),0)*BN726</f>
        <v>13.469999999999999</v>
      </c>
      <c r="BP726" s="50"/>
      <c r="BR726" s="147">
        <f t="array" ref="BR726">IFERROR(LARGE(IF(NF!$G$2:$G$3137='Mês atual'!A726,NF!$J$2:$J$3137),1),0)</f>
        <v>44.9</v>
      </c>
      <c r="BS726" s="143" t="str">
        <f>VLOOKUP(A726,NF!M:O,3,0)</f>
        <v>Mercado</v>
      </c>
    </row>
    <row r="727" spans="1:71" x14ac:dyDescent="0.25">
      <c r="A727" s="108" t="s">
        <v>459</v>
      </c>
      <c r="B727" s="12"/>
      <c r="C727" s="9">
        <v>40</v>
      </c>
      <c r="D727" s="25"/>
      <c r="E727" s="10" t="str">
        <f t="shared" si="900"/>
        <v>OutubroSEMANA 1Leite Condensado 395 g</v>
      </c>
      <c r="F727" s="7">
        <f>SUMIF(NF!$A:$A,$E727,NF!$I:$I)</f>
        <v>48</v>
      </c>
      <c r="G727" s="6">
        <v>6</v>
      </c>
      <c r="H727" s="6">
        <v>2</v>
      </c>
      <c r="I727" s="6">
        <v>1</v>
      </c>
      <c r="J727" s="6">
        <v>5</v>
      </c>
      <c r="K727" s="6">
        <v>2</v>
      </c>
      <c r="L727" s="6">
        <v>1</v>
      </c>
      <c r="M727" s="6">
        <v>2</v>
      </c>
      <c r="N727" s="7">
        <f t="shared" si="981"/>
        <v>19</v>
      </c>
      <c r="O727" s="11">
        <f t="shared" si="828"/>
        <v>69</v>
      </c>
      <c r="P727" s="25"/>
      <c r="Q727" s="10" t="str">
        <f t="shared" si="901"/>
        <v>OutubroSEMANA 2Leite Condensado 395 g</v>
      </c>
      <c r="R727" s="7">
        <f>SUMIF(NF!$A:$A,$Q727,NF!$I:$I)</f>
        <v>0</v>
      </c>
      <c r="S727" s="6">
        <v>5</v>
      </c>
      <c r="T727" s="6">
        <v>3</v>
      </c>
      <c r="U727" s="6"/>
      <c r="V727" s="6">
        <v>1</v>
      </c>
      <c r="W727" s="6">
        <v>1</v>
      </c>
      <c r="X727" s="6">
        <v>6</v>
      </c>
      <c r="Y727" s="6">
        <v>3</v>
      </c>
      <c r="Z727" s="7">
        <f t="shared" si="982"/>
        <v>19</v>
      </c>
      <c r="AA727" s="11">
        <f t="shared" si="831"/>
        <v>50</v>
      </c>
      <c r="AB727" s="25"/>
      <c r="AC727" s="10" t="str">
        <f t="shared" si="902"/>
        <v>OutubroSEMANA 3Leite Condensado 395 g</v>
      </c>
      <c r="AD727" s="7">
        <f>SUMIF(NF!$A:$A,$AC727,NF!$I:$I)</f>
        <v>0</v>
      </c>
      <c r="AE727" s="6"/>
      <c r="AF727" s="6">
        <v>3</v>
      </c>
      <c r="AG727" s="6">
        <v>3</v>
      </c>
      <c r="AH727" s="6">
        <v>1</v>
      </c>
      <c r="AI727" s="6">
        <v>2</v>
      </c>
      <c r="AJ727" s="6"/>
      <c r="AK727" s="6">
        <v>6</v>
      </c>
      <c r="AL727" s="7">
        <f t="shared" si="983"/>
        <v>15</v>
      </c>
      <c r="AM727" s="11">
        <f t="shared" si="834"/>
        <v>35</v>
      </c>
      <c r="AN727" s="25"/>
      <c r="AO727" s="10" t="str">
        <f t="shared" si="903"/>
        <v>OutubroSEMANA 4Leite Condensado 395 g</v>
      </c>
      <c r="AP727" s="7">
        <f>SUMIF(NF!$A:$A,$AO727,NF!$I:$I)</f>
        <v>48</v>
      </c>
      <c r="AQ727" s="6">
        <v>2</v>
      </c>
      <c r="AR727" s="6">
        <v>1</v>
      </c>
      <c r="AS727" s="6">
        <v>3</v>
      </c>
      <c r="AT727" s="6">
        <v>3</v>
      </c>
      <c r="AU727" s="6">
        <v>1</v>
      </c>
      <c r="AV727" s="6">
        <v>1</v>
      </c>
      <c r="AW727" s="6">
        <f>3+(11)</f>
        <v>14</v>
      </c>
      <c r="AX727" s="7">
        <f t="shared" si="984"/>
        <v>25</v>
      </c>
      <c r="AY727" s="11">
        <f t="shared" si="837"/>
        <v>58</v>
      </c>
      <c r="AZ727" s="25"/>
      <c r="BA727" s="10" t="str">
        <f t="shared" si="904"/>
        <v>OutubroSEMANA 5Leite Condensado 395 g</v>
      </c>
      <c r="BB727" s="7">
        <f>SUMIF(NF!$A:$A,$BA727,NF!$I:$I)</f>
        <v>0</v>
      </c>
      <c r="BC727" s="6">
        <v>4</v>
      </c>
      <c r="BD727" s="6">
        <v>5</v>
      </c>
      <c r="BE727" s="6"/>
      <c r="BF727" s="74"/>
      <c r="BG727" s="74"/>
      <c r="BH727" s="74"/>
      <c r="BI727" s="74"/>
      <c r="BJ727" s="74"/>
      <c r="BK727" s="7">
        <f t="shared" si="985"/>
        <v>9</v>
      </c>
      <c r="BL727" s="8">
        <f t="shared" si="840"/>
        <v>49</v>
      </c>
      <c r="BM727" s="51" t="str">
        <f>IFERROR(VLOOKUP(A727,NF!$M:$O,3,0),"")</f>
        <v>Mercado</v>
      </c>
      <c r="BN727" s="7">
        <f t="shared" si="841"/>
        <v>87</v>
      </c>
      <c r="BO727" s="8">
        <f t="array" ref="BO727">IFERROR(LARGE(IF(NF!$G$2:$G$3137='Mês atual'!A727,NF!$J$2:$J$3137),1),0)*BN727</f>
        <v>577.86124999999993</v>
      </c>
      <c r="BP727" s="50"/>
      <c r="BR727" s="147">
        <f t="array" ref="BR727">IFERROR(LARGE(IF(NF!$G$2:$G$3137='Mês atual'!A727,NF!$J$2:$J$3137),1),0)</f>
        <v>6.6420833333333329</v>
      </c>
      <c r="BS727" s="143" t="str">
        <f>VLOOKUP(A727,NF!M:O,3,0)</f>
        <v>Mercado</v>
      </c>
    </row>
    <row r="728" spans="1:71" x14ac:dyDescent="0.25">
      <c r="A728" s="108" t="s">
        <v>460</v>
      </c>
      <c r="B728" s="12"/>
      <c r="C728" s="9">
        <v>22</v>
      </c>
      <c r="D728" s="25"/>
      <c r="E728" s="10" t="str">
        <f t="shared" si="900"/>
        <v>OutubroSEMANA 1Leite de Côco</v>
      </c>
      <c r="F728" s="7">
        <f>SUMIF(NF!$A:$A,$E728,NF!$I:$I)</f>
        <v>12</v>
      </c>
      <c r="G728" s="6">
        <v>4</v>
      </c>
      <c r="H728" s="6">
        <v>1</v>
      </c>
      <c r="I728" s="6">
        <v>2</v>
      </c>
      <c r="J728" s="6"/>
      <c r="K728" s="6">
        <v>3</v>
      </c>
      <c r="L728" s="6">
        <v>1</v>
      </c>
      <c r="M728" s="6"/>
      <c r="N728" s="7">
        <f t="shared" si="981"/>
        <v>11</v>
      </c>
      <c r="O728" s="11">
        <f t="shared" si="828"/>
        <v>23</v>
      </c>
      <c r="P728" s="25"/>
      <c r="Q728" s="10" t="str">
        <f t="shared" si="901"/>
        <v>OutubroSEMANA 2Leite de Côco</v>
      </c>
      <c r="R728" s="7">
        <f>SUMIF(NF!$A:$A,$Q728,NF!$I:$I)</f>
        <v>0</v>
      </c>
      <c r="S728" s="6">
        <v>4</v>
      </c>
      <c r="T728" s="6"/>
      <c r="U728" s="6">
        <v>1</v>
      </c>
      <c r="V728" s="6"/>
      <c r="W728" s="6">
        <v>1</v>
      </c>
      <c r="X728" s="6"/>
      <c r="Y728" s="6">
        <v>2</v>
      </c>
      <c r="Z728" s="7">
        <f t="shared" si="982"/>
        <v>8</v>
      </c>
      <c r="AA728" s="11">
        <f t="shared" si="831"/>
        <v>15</v>
      </c>
      <c r="AB728" s="25"/>
      <c r="AC728" s="10" t="str">
        <f t="shared" si="902"/>
        <v>OutubroSEMANA 3Leite de Côco</v>
      </c>
      <c r="AD728" s="7">
        <f>SUMIF(NF!$A:$A,$AC728,NF!$I:$I)</f>
        <v>12</v>
      </c>
      <c r="AE728" s="6"/>
      <c r="AF728" s="6">
        <v>2</v>
      </c>
      <c r="AG728" s="6"/>
      <c r="AH728" s="6"/>
      <c r="AI728" s="6">
        <v>1</v>
      </c>
      <c r="AJ728" s="6">
        <v>1</v>
      </c>
      <c r="AK728" s="6">
        <v>1</v>
      </c>
      <c r="AL728" s="7">
        <f t="shared" si="983"/>
        <v>5</v>
      </c>
      <c r="AM728" s="11">
        <f t="shared" si="834"/>
        <v>22</v>
      </c>
      <c r="AN728" s="25"/>
      <c r="AO728" s="10" t="str">
        <f t="shared" si="903"/>
        <v>OutubroSEMANA 4Leite de Côco</v>
      </c>
      <c r="AP728" s="7">
        <f>SUMIF(NF!$A:$A,$AO728,NF!$I:$I)</f>
        <v>12</v>
      </c>
      <c r="AQ728" s="6">
        <v>5</v>
      </c>
      <c r="AR728" s="6">
        <v>2</v>
      </c>
      <c r="AS728" s="6"/>
      <c r="AT728" s="6">
        <v>6</v>
      </c>
      <c r="AU728" s="6"/>
      <c r="AV728" s="6">
        <v>3</v>
      </c>
      <c r="AW728" s="6">
        <v>1</v>
      </c>
      <c r="AX728" s="7">
        <f t="shared" si="984"/>
        <v>17</v>
      </c>
      <c r="AY728" s="11">
        <f t="shared" si="837"/>
        <v>17</v>
      </c>
      <c r="AZ728" s="25"/>
      <c r="BA728" s="10" t="str">
        <f t="shared" si="904"/>
        <v>OutubroSEMANA 5Leite de Côco</v>
      </c>
      <c r="BB728" s="7">
        <f>SUMIF(NF!$A:$A,$BA728,NF!$I:$I)</f>
        <v>0</v>
      </c>
      <c r="BC728" s="6">
        <v>3</v>
      </c>
      <c r="BD728" s="6">
        <v>1</v>
      </c>
      <c r="BE728" s="6">
        <v>2</v>
      </c>
      <c r="BF728" s="74"/>
      <c r="BG728" s="74"/>
      <c r="BH728" s="74"/>
      <c r="BI728" s="74"/>
      <c r="BJ728" s="74"/>
      <c r="BK728" s="7">
        <f t="shared" si="985"/>
        <v>6</v>
      </c>
      <c r="BL728" s="8">
        <f t="shared" si="840"/>
        <v>11</v>
      </c>
      <c r="BM728" s="51" t="str">
        <f>IFERROR(VLOOKUP(A728,NF!$M:$O,3,0),"")</f>
        <v>Mercado</v>
      </c>
      <c r="BN728" s="7">
        <f t="shared" si="841"/>
        <v>47</v>
      </c>
      <c r="BO728" s="8">
        <f t="array" ref="BO728">IFERROR(LARGE(IF(NF!$G$2:$G$3137='Mês atual'!A728,NF!$J$2:$J$3137),1),0)*BN728</f>
        <v>710.17</v>
      </c>
      <c r="BP728" s="50"/>
      <c r="BR728" s="147">
        <f t="array" ref="BR728">IFERROR(LARGE(IF(NF!$G$2:$G$3137='Mês atual'!A728,NF!$J$2:$J$3137),1),0)</f>
        <v>15.11</v>
      </c>
      <c r="BS728" s="143" t="str">
        <f>VLOOKUP(A728,NF!M:O,3,0)</f>
        <v>Mercado</v>
      </c>
    </row>
    <row r="729" spans="1:71" x14ac:dyDescent="0.25">
      <c r="A729" s="108" t="s">
        <v>461</v>
      </c>
      <c r="B729" s="12"/>
      <c r="C729" s="9">
        <v>85</v>
      </c>
      <c r="D729" s="25"/>
      <c r="E729" s="10" t="str">
        <f t="shared" si="900"/>
        <v>OutubroSEMANA 1Leite Integral</v>
      </c>
      <c r="F729" s="7">
        <f>SUMIF(NF!$A:$A,$E729,NF!$I:$I)</f>
        <v>72</v>
      </c>
      <c r="G729" s="6">
        <v>12</v>
      </c>
      <c r="H729" s="6">
        <f>2+11</f>
        <v>13</v>
      </c>
      <c r="I729" s="6">
        <v>2</v>
      </c>
      <c r="J729" s="6">
        <v>10</v>
      </c>
      <c r="K729" s="6">
        <f>4+12</f>
        <v>16</v>
      </c>
      <c r="L729" s="6">
        <v>12</v>
      </c>
      <c r="M729" s="6">
        <v>12</v>
      </c>
      <c r="N729" s="7">
        <f t="shared" si="981"/>
        <v>77</v>
      </c>
      <c r="O729" s="11">
        <f t="shared" si="828"/>
        <v>80</v>
      </c>
      <c r="P729" s="25"/>
      <c r="Q729" s="10" t="str">
        <f t="shared" si="901"/>
        <v>OutubroSEMANA 2Leite Integral</v>
      </c>
      <c r="R729" s="7">
        <f>SUMIF(NF!$A:$A,$Q729,NF!$I:$I)</f>
        <v>72</v>
      </c>
      <c r="S729" s="6">
        <v>8</v>
      </c>
      <c r="T729" s="6">
        <v>12</v>
      </c>
      <c r="U729" s="6">
        <f>12+12</f>
        <v>24</v>
      </c>
      <c r="V729" s="6">
        <v>12</v>
      </c>
      <c r="W729" s="6">
        <v>12</v>
      </c>
      <c r="X729" s="6">
        <v>12</v>
      </c>
      <c r="Y729" s="6">
        <v>12</v>
      </c>
      <c r="Z729" s="7">
        <f t="shared" si="982"/>
        <v>92</v>
      </c>
      <c r="AA729" s="11">
        <f t="shared" si="831"/>
        <v>60</v>
      </c>
      <c r="AB729" s="25"/>
      <c r="AC729" s="10" t="str">
        <f t="shared" si="902"/>
        <v>OutubroSEMANA 3Leite Integral</v>
      </c>
      <c r="AD729" s="7">
        <f>SUMIF(NF!$A:$A,$AC729,NF!$I:$I)</f>
        <v>108</v>
      </c>
      <c r="AE729" s="6">
        <v>12</v>
      </c>
      <c r="AF729" s="6">
        <v>12</v>
      </c>
      <c r="AG729" s="6">
        <v>12</v>
      </c>
      <c r="AH729" s="6">
        <v>12</v>
      </c>
      <c r="AI729" s="6">
        <v>12</v>
      </c>
      <c r="AJ729" s="6">
        <v>12</v>
      </c>
      <c r="AK729" s="6">
        <v>12</v>
      </c>
      <c r="AL729" s="7">
        <f t="shared" si="983"/>
        <v>84</v>
      </c>
      <c r="AM729" s="11">
        <f t="shared" si="834"/>
        <v>84</v>
      </c>
      <c r="AN729" s="25"/>
      <c r="AO729" s="10" t="str">
        <f t="shared" si="903"/>
        <v>OutubroSEMANA 4Leite Integral</v>
      </c>
      <c r="AP729" s="7">
        <f>SUMIF(NF!$A:$A,$AO729,NF!$I:$I)</f>
        <v>60</v>
      </c>
      <c r="AQ729" s="6">
        <v>12</v>
      </c>
      <c r="AR729" s="6">
        <v>12</v>
      </c>
      <c r="AS729" s="6">
        <v>12</v>
      </c>
      <c r="AT729" s="6">
        <v>12</v>
      </c>
      <c r="AU729" s="6">
        <v>12</v>
      </c>
      <c r="AV729" s="6">
        <v>2</v>
      </c>
      <c r="AW729" s="6">
        <v>10</v>
      </c>
      <c r="AX729" s="7">
        <f t="shared" si="984"/>
        <v>72</v>
      </c>
      <c r="AY729" s="11">
        <f t="shared" si="837"/>
        <v>72</v>
      </c>
      <c r="AZ729" s="25"/>
      <c r="BA729" s="10" t="str">
        <f t="shared" si="904"/>
        <v>OutubroSEMANA 5Leite Integral</v>
      </c>
      <c r="BB729" s="7">
        <f>SUMIF(NF!$A:$A,$BA729,NF!$I:$I)</f>
        <v>0</v>
      </c>
      <c r="BC729" s="6">
        <v>12</v>
      </c>
      <c r="BD729" s="6">
        <v>12</v>
      </c>
      <c r="BE729" s="6">
        <v>12</v>
      </c>
      <c r="BF729" s="74"/>
      <c r="BG729" s="74"/>
      <c r="BH729" s="74"/>
      <c r="BI729" s="74"/>
      <c r="BJ729" s="74"/>
      <c r="BK729" s="7">
        <f t="shared" si="985"/>
        <v>36</v>
      </c>
      <c r="BL729" s="8">
        <f t="shared" si="840"/>
        <v>36</v>
      </c>
      <c r="BM729" s="51" t="str">
        <f>IFERROR(VLOOKUP(A729,NF!$M:$O,3,0),"")</f>
        <v>Mercado</v>
      </c>
      <c r="BN729" s="7">
        <f t="shared" si="841"/>
        <v>361</v>
      </c>
      <c r="BO729" s="8">
        <f t="array" ref="BO729">IFERROR(LARGE(IF(NF!$G$2:$G$3137='Mês atual'!A729,NF!$J$2:$J$3137),1),0)*BN729</f>
        <v>1061.2898611111111</v>
      </c>
      <c r="BP729" s="50"/>
      <c r="BR729" s="147">
        <f t="array" ref="BR729">IFERROR(LARGE(IF(NF!$G$2:$G$3137='Mês atual'!A729,NF!$J$2:$J$3137),1),0)</f>
        <v>2.939861111111111</v>
      </c>
      <c r="BS729" s="143" t="str">
        <f>VLOOKUP(A729,NF!M:O,3,0)</f>
        <v>Mercado</v>
      </c>
    </row>
    <row r="730" spans="1:71" x14ac:dyDescent="0.25">
      <c r="A730" s="108" t="s">
        <v>462</v>
      </c>
      <c r="B730" s="12"/>
      <c r="C730" s="9">
        <v>15.5</v>
      </c>
      <c r="D730" s="25"/>
      <c r="E730" s="10" t="str">
        <f t="shared" si="900"/>
        <v>OutubroSEMANA 1Lentilha</v>
      </c>
      <c r="F730" s="7">
        <f>SUMIF(NF!$A:$A,$E730,NF!$I:$I)</f>
        <v>0</v>
      </c>
      <c r="G730" s="6">
        <v>1.5</v>
      </c>
      <c r="H730" s="6"/>
      <c r="I730" s="6">
        <v>2.5</v>
      </c>
      <c r="J730" s="6"/>
      <c r="K730" s="6"/>
      <c r="L730" s="6">
        <v>2.5</v>
      </c>
      <c r="M730" s="6"/>
      <c r="N730" s="7">
        <f t="shared" si="981"/>
        <v>6.5</v>
      </c>
      <c r="O730" s="11">
        <f t="shared" si="828"/>
        <v>9</v>
      </c>
      <c r="P730" s="25"/>
      <c r="Q730" s="10" t="str">
        <f t="shared" si="901"/>
        <v>OutubroSEMANA 2Lentilha</v>
      </c>
      <c r="R730" s="7">
        <f>SUMIF(NF!$A:$A,$Q730,NF!$I:$I)</f>
        <v>10</v>
      </c>
      <c r="S730" s="6"/>
      <c r="T730" s="6">
        <v>2</v>
      </c>
      <c r="U730" s="6">
        <v>1.5</v>
      </c>
      <c r="V730" s="6">
        <v>3</v>
      </c>
      <c r="W730" s="6"/>
      <c r="X730" s="6"/>
      <c r="Y730" s="6"/>
      <c r="Z730" s="7">
        <f t="shared" si="982"/>
        <v>6.5</v>
      </c>
      <c r="AA730" s="11">
        <f t="shared" si="831"/>
        <v>12.5</v>
      </c>
      <c r="AB730" s="25"/>
      <c r="AC730" s="10" t="str">
        <f t="shared" si="902"/>
        <v>OutubroSEMANA 3Lentilha</v>
      </c>
      <c r="AD730" s="7">
        <f>SUMIF(NF!$A:$A,$AC730,NF!$I:$I)</f>
        <v>0</v>
      </c>
      <c r="AE730" s="6"/>
      <c r="AF730" s="6"/>
      <c r="AG730" s="6">
        <v>3</v>
      </c>
      <c r="AH730" s="6"/>
      <c r="AI730" s="6"/>
      <c r="AJ730" s="6">
        <v>1</v>
      </c>
      <c r="AK730" s="6"/>
      <c r="AL730" s="7">
        <f t="shared" si="983"/>
        <v>4</v>
      </c>
      <c r="AM730" s="11">
        <f t="shared" si="834"/>
        <v>8.5</v>
      </c>
      <c r="AN730" s="25"/>
      <c r="AO730" s="10" t="str">
        <f t="shared" si="903"/>
        <v>OutubroSEMANA 4Lentilha</v>
      </c>
      <c r="AP730" s="7">
        <f>SUMIF(NF!$A:$A,$AO730,NF!$I:$I)</f>
        <v>0</v>
      </c>
      <c r="AQ730" s="6"/>
      <c r="AR730" s="6"/>
      <c r="AS730" s="6"/>
      <c r="AT730" s="6"/>
      <c r="AU730" s="6"/>
      <c r="AV730" s="6"/>
      <c r="AW730" s="6"/>
      <c r="AX730" s="7">
        <f t="shared" si="984"/>
        <v>0</v>
      </c>
      <c r="AY730" s="11">
        <f t="shared" si="837"/>
        <v>8.5</v>
      </c>
      <c r="AZ730" s="25"/>
      <c r="BA730" s="10" t="str">
        <f t="shared" si="904"/>
        <v>OutubroSEMANA 5Lentilha</v>
      </c>
      <c r="BB730" s="7">
        <f>SUMIF(NF!$A:$A,$BA730,NF!$I:$I)</f>
        <v>0</v>
      </c>
      <c r="BC730" s="6">
        <v>2</v>
      </c>
      <c r="BD730" s="6"/>
      <c r="BE730" s="6"/>
      <c r="BF730" s="74"/>
      <c r="BG730" s="74"/>
      <c r="BH730" s="74"/>
      <c r="BI730" s="74"/>
      <c r="BJ730" s="74"/>
      <c r="BK730" s="7">
        <f t="shared" si="985"/>
        <v>2</v>
      </c>
      <c r="BL730" s="8">
        <f t="shared" si="840"/>
        <v>6.5</v>
      </c>
      <c r="BM730" s="51" t="str">
        <f>IFERROR(VLOOKUP(A730,NF!$M:$O,3,0),"")</f>
        <v>Mercado</v>
      </c>
      <c r="BN730" s="7">
        <f t="shared" si="841"/>
        <v>19</v>
      </c>
      <c r="BO730" s="8">
        <f t="array" ref="BO730">IFERROR(LARGE(IF(NF!$G$2:$G$3137='Mês atual'!A730,NF!$J$2:$J$3137),1),0)*BN730</f>
        <v>241.68</v>
      </c>
      <c r="BP730" s="50"/>
      <c r="BR730" s="147">
        <f t="array" ref="BR730">IFERROR(LARGE(IF(NF!$G$2:$G$3137='Mês atual'!A730,NF!$J$2:$J$3137),1),0)</f>
        <v>12.72</v>
      </c>
      <c r="BS730" s="143" t="str">
        <f>VLOOKUP(A730,NF!M:O,3,0)</f>
        <v>Mercado</v>
      </c>
    </row>
    <row r="731" spans="1:71" x14ac:dyDescent="0.25">
      <c r="A731" s="108" t="s">
        <v>463</v>
      </c>
      <c r="B731" s="12"/>
      <c r="C731" s="9"/>
      <c r="D731" s="25"/>
      <c r="E731" s="10" t="str">
        <f t="shared" si="900"/>
        <v>OutubroSEMANA 1Lichia em Calda</v>
      </c>
      <c r="F731" s="7">
        <f>SUMIF(NF!$A:$A,$E731,NF!$I:$I)</f>
        <v>0</v>
      </c>
      <c r="G731" s="6"/>
      <c r="H731" s="6"/>
      <c r="I731" s="6"/>
      <c r="J731" s="6"/>
      <c r="K731" s="6"/>
      <c r="L731" s="6"/>
      <c r="M731" s="6"/>
      <c r="N731" s="7">
        <f t="shared" si="981"/>
        <v>0</v>
      </c>
      <c r="O731" s="11">
        <f t="shared" si="828"/>
        <v>0</v>
      </c>
      <c r="P731" s="25"/>
      <c r="Q731" s="10" t="str">
        <f t="shared" si="901"/>
        <v>OutubroSEMANA 2Lichia em Calda</v>
      </c>
      <c r="R731" s="7">
        <f>SUMIF(NF!$A:$A,$Q731,NF!$I:$I)</f>
        <v>0</v>
      </c>
      <c r="S731" s="6"/>
      <c r="T731" s="6"/>
      <c r="U731" s="6"/>
      <c r="V731" s="6"/>
      <c r="W731" s="6"/>
      <c r="X731" s="6"/>
      <c r="Y731" s="6"/>
      <c r="Z731" s="7">
        <f t="shared" si="982"/>
        <v>0</v>
      </c>
      <c r="AA731" s="11">
        <f t="shared" si="831"/>
        <v>0</v>
      </c>
      <c r="AB731" s="25"/>
      <c r="AC731" s="10" t="str">
        <f t="shared" si="902"/>
        <v>OutubroSEMANA 3Lichia em Calda</v>
      </c>
      <c r="AD731" s="7">
        <f>SUMIF(NF!$A:$A,$AC731,NF!$I:$I)</f>
        <v>0</v>
      </c>
      <c r="AE731" s="6"/>
      <c r="AF731" s="6"/>
      <c r="AG731" s="6"/>
      <c r="AH731" s="6"/>
      <c r="AI731" s="6"/>
      <c r="AJ731" s="6"/>
      <c r="AK731" s="6"/>
      <c r="AL731" s="7">
        <f t="shared" si="983"/>
        <v>0</v>
      </c>
      <c r="AM731" s="11">
        <f t="shared" si="834"/>
        <v>0</v>
      </c>
      <c r="AN731" s="25"/>
      <c r="AO731" s="10" t="str">
        <f t="shared" si="903"/>
        <v>OutubroSEMANA 4Lichia em Calda</v>
      </c>
      <c r="AP731" s="7">
        <f>SUMIF(NF!$A:$A,$AO731,NF!$I:$I)</f>
        <v>0</v>
      </c>
      <c r="AQ731" s="6"/>
      <c r="AR731" s="6"/>
      <c r="AS731" s="6"/>
      <c r="AT731" s="6"/>
      <c r="AU731" s="6"/>
      <c r="AV731" s="6"/>
      <c r="AW731" s="6"/>
      <c r="AX731" s="7">
        <f t="shared" si="984"/>
        <v>0</v>
      </c>
      <c r="AY731" s="11">
        <f t="shared" si="837"/>
        <v>0</v>
      </c>
      <c r="AZ731" s="25"/>
      <c r="BA731" s="10" t="str">
        <f t="shared" si="904"/>
        <v>OutubroSEMANA 5Lichia em Calda</v>
      </c>
      <c r="BB731" s="7">
        <f>SUMIF(NF!$A:$A,$BA731,NF!$I:$I)</f>
        <v>0</v>
      </c>
      <c r="BC731" s="6"/>
      <c r="BD731" s="6"/>
      <c r="BE731" s="6"/>
      <c r="BF731" s="74"/>
      <c r="BG731" s="74"/>
      <c r="BH731" s="74"/>
      <c r="BI731" s="74"/>
      <c r="BJ731" s="74"/>
      <c r="BK731" s="7">
        <f t="shared" si="985"/>
        <v>0</v>
      </c>
      <c r="BL731" s="8">
        <f t="shared" si="840"/>
        <v>0</v>
      </c>
      <c r="BM731" s="51" t="str">
        <f>IFERROR(VLOOKUP(A731,NF!$M:$O,3,0),"")</f>
        <v>Mercado</v>
      </c>
      <c r="BN731" s="7">
        <f t="shared" si="841"/>
        <v>0</v>
      </c>
      <c r="BO731" s="8">
        <f t="array" ref="BO731">IFERROR(LARGE(IF(NF!$G$2:$G$3137='Mês atual'!A731,NF!$J$2:$J$3137),1),0)*BN731</f>
        <v>0</v>
      </c>
      <c r="BP731" s="50"/>
      <c r="BR731" s="147">
        <f t="array" ref="BR731">IFERROR(LARGE(IF(NF!$G$2:$G$3137='Mês atual'!A731,NF!$J$2:$J$3137),1),0)</f>
        <v>0</v>
      </c>
      <c r="BS731" s="143" t="str">
        <f>VLOOKUP(A731,NF!M:O,3,0)</f>
        <v>Mercado</v>
      </c>
    </row>
    <row r="732" spans="1:71" x14ac:dyDescent="0.25">
      <c r="A732" s="108" t="s">
        <v>467</v>
      </c>
      <c r="B732" s="12"/>
      <c r="C732" s="9"/>
      <c r="D732" s="25"/>
      <c r="E732" s="10" t="str">
        <f t="shared" si="900"/>
        <v>OutubroSEMANA 1Linhaça</v>
      </c>
      <c r="F732" s="7">
        <f>SUMIF(NF!$A:$A,$E732,NF!$I:$I)</f>
        <v>0</v>
      </c>
      <c r="G732" s="6"/>
      <c r="H732" s="6"/>
      <c r="I732" s="6"/>
      <c r="J732" s="6"/>
      <c r="K732" s="6"/>
      <c r="L732" s="6"/>
      <c r="M732" s="6"/>
      <c r="N732" s="7">
        <f t="shared" si="981"/>
        <v>0</v>
      </c>
      <c r="O732" s="11">
        <f t="shared" si="828"/>
        <v>0</v>
      </c>
      <c r="P732" s="25"/>
      <c r="Q732" s="10" t="str">
        <f t="shared" si="901"/>
        <v>OutubroSEMANA 2Linhaça</v>
      </c>
      <c r="R732" s="7">
        <f>SUMIF(NF!$A:$A,$Q732,NF!$I:$I)</f>
        <v>0</v>
      </c>
      <c r="S732" s="6"/>
      <c r="T732" s="6"/>
      <c r="U732" s="6"/>
      <c r="V732" s="6"/>
      <c r="W732" s="6"/>
      <c r="X732" s="6"/>
      <c r="Y732" s="6"/>
      <c r="Z732" s="7">
        <f t="shared" si="982"/>
        <v>0</v>
      </c>
      <c r="AA732" s="11">
        <f t="shared" si="831"/>
        <v>0</v>
      </c>
      <c r="AB732" s="25"/>
      <c r="AC732" s="10" t="str">
        <f t="shared" si="902"/>
        <v>OutubroSEMANA 3Linhaça</v>
      </c>
      <c r="AD732" s="7">
        <f>SUMIF(NF!$A:$A,$AC732,NF!$I:$I)</f>
        <v>0</v>
      </c>
      <c r="AE732" s="6"/>
      <c r="AF732" s="6"/>
      <c r="AG732" s="6"/>
      <c r="AH732" s="6"/>
      <c r="AI732" s="6"/>
      <c r="AJ732" s="6"/>
      <c r="AK732" s="6"/>
      <c r="AL732" s="7">
        <f t="shared" si="983"/>
        <v>0</v>
      </c>
      <c r="AM732" s="11">
        <f t="shared" si="834"/>
        <v>0</v>
      </c>
      <c r="AN732" s="25"/>
      <c r="AO732" s="10" t="str">
        <f t="shared" si="903"/>
        <v>OutubroSEMANA 4Linhaça</v>
      </c>
      <c r="AP732" s="7">
        <f>SUMIF(NF!$A:$A,$AO732,NF!$I:$I)</f>
        <v>0</v>
      </c>
      <c r="AQ732" s="6"/>
      <c r="AR732" s="6"/>
      <c r="AS732" s="6"/>
      <c r="AT732" s="6"/>
      <c r="AU732" s="6"/>
      <c r="AV732" s="6"/>
      <c r="AW732" s="6"/>
      <c r="AX732" s="7">
        <f t="shared" si="984"/>
        <v>0</v>
      </c>
      <c r="AY732" s="11">
        <f t="shared" si="837"/>
        <v>0</v>
      </c>
      <c r="AZ732" s="25"/>
      <c r="BA732" s="10" t="str">
        <f t="shared" si="904"/>
        <v>OutubroSEMANA 5Linhaça</v>
      </c>
      <c r="BB732" s="7">
        <f>SUMIF(NF!$A:$A,$BA732,NF!$I:$I)</f>
        <v>0</v>
      </c>
      <c r="BC732" s="6"/>
      <c r="BD732" s="6"/>
      <c r="BE732" s="6"/>
      <c r="BF732" s="74"/>
      <c r="BG732" s="74"/>
      <c r="BH732" s="74"/>
      <c r="BI732" s="74"/>
      <c r="BJ732" s="74"/>
      <c r="BK732" s="7">
        <f t="shared" si="985"/>
        <v>0</v>
      </c>
      <c r="BL732" s="8">
        <f t="shared" si="840"/>
        <v>0</v>
      </c>
      <c r="BM732" s="51" t="str">
        <f>IFERROR(VLOOKUP(A732,NF!$M:$O,3,0),"")</f>
        <v>Mercado</v>
      </c>
      <c r="BN732" s="7">
        <f t="shared" si="841"/>
        <v>0</v>
      </c>
      <c r="BO732" s="8">
        <f t="array" ref="BO732">IFERROR(LARGE(IF(NF!$G$2:$G$3137='Mês atual'!A732,NF!$J$2:$J$3137),1),0)*BN732</f>
        <v>0</v>
      </c>
      <c r="BP732" s="50"/>
      <c r="BR732" s="147">
        <f t="array" ref="BR732">IFERROR(LARGE(IF(NF!$G$2:$G$3137='Mês atual'!A732,NF!$J$2:$J$3137),1),0)</f>
        <v>0</v>
      </c>
      <c r="BS732" s="143" t="str">
        <f>VLOOKUP(A732,NF!M:O,3,0)</f>
        <v>Mercado</v>
      </c>
    </row>
    <row r="733" spans="1:71" x14ac:dyDescent="0.25">
      <c r="A733" s="108" t="s">
        <v>468</v>
      </c>
      <c r="B733" s="12"/>
      <c r="C733" s="9">
        <v>0.4</v>
      </c>
      <c r="D733" s="25"/>
      <c r="E733" s="10" t="str">
        <f t="shared" si="900"/>
        <v>OutubroSEMANA 1Linhaça Dourada</v>
      </c>
      <c r="F733" s="7">
        <f>SUMIF(NF!$A:$A,$E733,NF!$I:$I)</f>
        <v>0</v>
      </c>
      <c r="G733" s="6"/>
      <c r="H733" s="6"/>
      <c r="I733" s="6"/>
      <c r="J733" s="6"/>
      <c r="K733" s="6"/>
      <c r="L733" s="6"/>
      <c r="M733" s="6"/>
      <c r="N733" s="7">
        <f t="shared" si="981"/>
        <v>0</v>
      </c>
      <c r="O733" s="11">
        <f t="shared" si="828"/>
        <v>0.4</v>
      </c>
      <c r="P733" s="25"/>
      <c r="Q733" s="10" t="str">
        <f t="shared" si="901"/>
        <v>OutubroSEMANA 2Linhaça Dourada</v>
      </c>
      <c r="R733" s="7">
        <f>SUMIF(NF!$A:$A,$Q733,NF!$I:$I)</f>
        <v>0</v>
      </c>
      <c r="S733" s="6"/>
      <c r="T733" s="6"/>
      <c r="U733" s="6"/>
      <c r="V733" s="6"/>
      <c r="W733" s="6"/>
      <c r="X733" s="6"/>
      <c r="Y733" s="6"/>
      <c r="Z733" s="7">
        <f t="shared" si="982"/>
        <v>0</v>
      </c>
      <c r="AA733" s="11">
        <f t="shared" si="831"/>
        <v>0.4</v>
      </c>
      <c r="AB733" s="25"/>
      <c r="AC733" s="10" t="str">
        <f t="shared" si="902"/>
        <v>OutubroSEMANA 3Linhaça Dourada</v>
      </c>
      <c r="AD733" s="7">
        <f>SUMIF(NF!$A:$A,$AC733,NF!$I:$I)</f>
        <v>0</v>
      </c>
      <c r="AE733" s="6"/>
      <c r="AF733" s="6"/>
      <c r="AG733" s="6"/>
      <c r="AH733" s="6"/>
      <c r="AI733" s="6"/>
      <c r="AJ733" s="6"/>
      <c r="AK733" s="6"/>
      <c r="AL733" s="7">
        <f t="shared" si="983"/>
        <v>0</v>
      </c>
      <c r="AM733" s="11">
        <f t="shared" si="834"/>
        <v>0.4</v>
      </c>
      <c r="AN733" s="25"/>
      <c r="AO733" s="10" t="str">
        <f t="shared" si="903"/>
        <v>OutubroSEMANA 4Linhaça Dourada</v>
      </c>
      <c r="AP733" s="7">
        <f>SUMIF(NF!$A:$A,$AO733,NF!$I:$I)</f>
        <v>0</v>
      </c>
      <c r="AQ733" s="6"/>
      <c r="AR733" s="6"/>
      <c r="AS733" s="6"/>
      <c r="AT733" s="6"/>
      <c r="AU733" s="6"/>
      <c r="AV733" s="6"/>
      <c r="AW733" s="6"/>
      <c r="AX733" s="7">
        <f t="shared" si="984"/>
        <v>0</v>
      </c>
      <c r="AY733" s="11">
        <f t="shared" si="837"/>
        <v>0.4</v>
      </c>
      <c r="AZ733" s="25"/>
      <c r="BA733" s="10" t="str">
        <f t="shared" si="904"/>
        <v>OutubroSEMANA 5Linhaça Dourada</v>
      </c>
      <c r="BB733" s="7">
        <f>SUMIF(NF!$A:$A,$BA733,NF!$I:$I)</f>
        <v>0</v>
      </c>
      <c r="BC733" s="6"/>
      <c r="BD733" s="6"/>
      <c r="BE733" s="6"/>
      <c r="BF733" s="74"/>
      <c r="BG733" s="74"/>
      <c r="BH733" s="74"/>
      <c r="BI733" s="74"/>
      <c r="BJ733" s="74"/>
      <c r="BK733" s="7">
        <f t="shared" si="985"/>
        <v>0</v>
      </c>
      <c r="BL733" s="8">
        <f t="shared" si="840"/>
        <v>0.4</v>
      </c>
      <c r="BM733" s="51" t="str">
        <f>IFERROR(VLOOKUP(A733,NF!$M:$O,3,0),"")</f>
        <v>Mercado</v>
      </c>
      <c r="BN733" s="7">
        <f t="shared" si="841"/>
        <v>0</v>
      </c>
      <c r="BO733" s="8">
        <f t="array" ref="BO733">IFERROR(LARGE(IF(NF!$G$2:$G$3137='Mês atual'!A733,NF!$J$2:$J$3137),1),0)*BN733</f>
        <v>0</v>
      </c>
      <c r="BP733" s="50"/>
      <c r="BR733" s="147">
        <f t="array" ref="BR733">IFERROR(LARGE(IF(NF!$G$2:$G$3137='Mês atual'!A733,NF!$J$2:$J$3137),1),0)</f>
        <v>0</v>
      </c>
      <c r="BS733" s="143" t="str">
        <f>VLOOKUP(A733,NF!M:O,3,0)</f>
        <v>Mercado</v>
      </c>
    </row>
    <row r="734" spans="1:71" x14ac:dyDescent="0.25">
      <c r="A734" s="108" t="s">
        <v>476</v>
      </c>
      <c r="B734" s="12"/>
      <c r="C734" s="9"/>
      <c r="D734" s="25"/>
      <c r="E734" s="10" t="str">
        <f t="shared" si="900"/>
        <v>OutubroSEMANA 1Maçã Desidratada</v>
      </c>
      <c r="F734" s="7">
        <f>SUMIF(NF!$A:$A,$E734,NF!$I:$I)</f>
        <v>0</v>
      </c>
      <c r="G734" s="6"/>
      <c r="H734" s="6"/>
      <c r="I734" s="6"/>
      <c r="J734" s="6"/>
      <c r="K734" s="6"/>
      <c r="L734" s="6"/>
      <c r="M734" s="6"/>
      <c r="N734" s="7">
        <f t="shared" si="981"/>
        <v>0</v>
      </c>
      <c r="O734" s="11">
        <f t="shared" si="828"/>
        <v>0</v>
      </c>
      <c r="P734" s="25"/>
      <c r="Q734" s="10" t="str">
        <f t="shared" si="901"/>
        <v>OutubroSEMANA 2Maçã Desidratada</v>
      </c>
      <c r="R734" s="7">
        <f>SUMIF(NF!$A:$A,$Q734,NF!$I:$I)</f>
        <v>0</v>
      </c>
      <c r="S734" s="6"/>
      <c r="T734" s="6"/>
      <c r="U734" s="6"/>
      <c r="V734" s="6"/>
      <c r="W734" s="6"/>
      <c r="X734" s="6"/>
      <c r="Y734" s="6"/>
      <c r="Z734" s="7">
        <f t="shared" si="982"/>
        <v>0</v>
      </c>
      <c r="AA734" s="11">
        <f t="shared" si="831"/>
        <v>0</v>
      </c>
      <c r="AB734" s="25"/>
      <c r="AC734" s="10" t="str">
        <f t="shared" si="902"/>
        <v>OutubroSEMANA 3Maçã Desidratada</v>
      </c>
      <c r="AD734" s="7">
        <f>SUMIF(NF!$A:$A,$AC734,NF!$I:$I)</f>
        <v>0</v>
      </c>
      <c r="AE734" s="6"/>
      <c r="AF734" s="6"/>
      <c r="AG734" s="6"/>
      <c r="AH734" s="6"/>
      <c r="AI734" s="6"/>
      <c r="AJ734" s="6"/>
      <c r="AK734" s="6"/>
      <c r="AL734" s="7">
        <f t="shared" si="983"/>
        <v>0</v>
      </c>
      <c r="AM734" s="11">
        <f t="shared" si="834"/>
        <v>0</v>
      </c>
      <c r="AN734" s="25"/>
      <c r="AO734" s="10" t="str">
        <f t="shared" si="903"/>
        <v>OutubroSEMANA 4Maçã Desidratada</v>
      </c>
      <c r="AP734" s="7">
        <f>SUMIF(NF!$A:$A,$AO734,NF!$I:$I)</f>
        <v>0.30399999999999999</v>
      </c>
      <c r="AQ734" s="6"/>
      <c r="AR734" s="6"/>
      <c r="AS734" s="6">
        <v>0.30399999999999999</v>
      </c>
      <c r="AT734" s="6"/>
      <c r="AU734" s="6"/>
      <c r="AV734" s="6"/>
      <c r="AW734" s="6"/>
      <c r="AX734" s="7">
        <f t="shared" si="984"/>
        <v>0.30399999999999999</v>
      </c>
      <c r="AY734" s="11">
        <f t="shared" si="837"/>
        <v>0</v>
      </c>
      <c r="AZ734" s="25"/>
      <c r="BA734" s="10" t="str">
        <f t="shared" si="904"/>
        <v>OutubroSEMANA 5Maçã Desidratada</v>
      </c>
      <c r="BB734" s="7">
        <f>SUMIF(NF!$A:$A,$BA734,NF!$I:$I)</f>
        <v>0</v>
      </c>
      <c r="BC734" s="6"/>
      <c r="BD734" s="6"/>
      <c r="BE734" s="6"/>
      <c r="BF734" s="74"/>
      <c r="BG734" s="74"/>
      <c r="BH734" s="74"/>
      <c r="BI734" s="74"/>
      <c r="BJ734" s="74"/>
      <c r="BK734" s="7">
        <f t="shared" si="985"/>
        <v>0</v>
      </c>
      <c r="BL734" s="8">
        <f t="shared" si="840"/>
        <v>0</v>
      </c>
      <c r="BM734" s="51" t="str">
        <f>IFERROR(VLOOKUP(A734,NF!$M:$O,3,0),"")</f>
        <v>Mercado</v>
      </c>
      <c r="BN734" s="7">
        <f t="shared" si="841"/>
        <v>0.30399999999999999</v>
      </c>
      <c r="BO734" s="8">
        <f t="array" ref="BO734">IFERROR(LARGE(IF(NF!$G$2:$G$3137='Mês atual'!A734,NF!$J$2:$J$3137),1),0)*BN734</f>
        <v>14.880009600000001</v>
      </c>
      <c r="BP734" s="50"/>
      <c r="BR734" s="147">
        <f t="array" ref="BR734">IFERROR(LARGE(IF(NF!$G$2:$G$3137='Mês atual'!A734,NF!$J$2:$J$3137),1),0)</f>
        <v>48.947400000000002</v>
      </c>
      <c r="BS734" s="143" t="str">
        <f>VLOOKUP(A734,NF!M:O,3,0)</f>
        <v>Mercado</v>
      </c>
    </row>
    <row r="735" spans="1:71" x14ac:dyDescent="0.25">
      <c r="A735" s="108" t="s">
        <v>478</v>
      </c>
      <c r="B735" s="12"/>
      <c r="C735" s="9"/>
      <c r="D735" s="25"/>
      <c r="E735" s="10" t="str">
        <f t="shared" si="900"/>
        <v>OutubroSEMANA 1Macarrão Cabelo de Anjo</v>
      </c>
      <c r="F735" s="7">
        <f>SUMIF(NF!$A:$A,$E735,NF!$I:$I)</f>
        <v>0</v>
      </c>
      <c r="G735" s="6"/>
      <c r="H735" s="6"/>
      <c r="I735" s="6"/>
      <c r="J735" s="6"/>
      <c r="K735" s="6"/>
      <c r="L735" s="6"/>
      <c r="M735" s="6"/>
      <c r="N735" s="7">
        <f t="shared" si="981"/>
        <v>0</v>
      </c>
      <c r="O735" s="11">
        <f t="shared" si="828"/>
        <v>0</v>
      </c>
      <c r="P735" s="25"/>
      <c r="Q735" s="10" t="str">
        <f t="shared" si="901"/>
        <v>OutubroSEMANA 2Macarrão Cabelo de Anjo</v>
      </c>
      <c r="R735" s="7">
        <f>SUMIF(NF!$A:$A,$Q735,NF!$I:$I)</f>
        <v>0</v>
      </c>
      <c r="S735" s="6"/>
      <c r="T735" s="6"/>
      <c r="U735" s="6"/>
      <c r="V735" s="6"/>
      <c r="W735" s="6"/>
      <c r="X735" s="6"/>
      <c r="Y735" s="6"/>
      <c r="Z735" s="7">
        <f t="shared" si="982"/>
        <v>0</v>
      </c>
      <c r="AA735" s="11">
        <f t="shared" si="831"/>
        <v>0</v>
      </c>
      <c r="AB735" s="25"/>
      <c r="AC735" s="10" t="str">
        <f t="shared" si="902"/>
        <v>OutubroSEMANA 3Macarrão Cabelo de Anjo</v>
      </c>
      <c r="AD735" s="7">
        <f>SUMIF(NF!$A:$A,$AC735,NF!$I:$I)</f>
        <v>0</v>
      </c>
      <c r="AE735" s="6"/>
      <c r="AF735" s="6"/>
      <c r="AG735" s="6"/>
      <c r="AH735" s="6"/>
      <c r="AI735" s="6"/>
      <c r="AJ735" s="6"/>
      <c r="AK735" s="6"/>
      <c r="AL735" s="7">
        <f t="shared" si="983"/>
        <v>0</v>
      </c>
      <c r="AM735" s="11">
        <f t="shared" si="834"/>
        <v>0</v>
      </c>
      <c r="AN735" s="25"/>
      <c r="AO735" s="10" t="str">
        <f t="shared" si="903"/>
        <v>OutubroSEMANA 4Macarrão Cabelo de Anjo</v>
      </c>
      <c r="AP735" s="7">
        <f>SUMIF(NF!$A:$A,$AO735,NF!$I:$I)</f>
        <v>0</v>
      </c>
      <c r="AQ735" s="6"/>
      <c r="AR735" s="6"/>
      <c r="AS735" s="6"/>
      <c r="AT735" s="6"/>
      <c r="AU735" s="6"/>
      <c r="AV735" s="6"/>
      <c r="AW735" s="6"/>
      <c r="AX735" s="7">
        <f t="shared" si="984"/>
        <v>0</v>
      </c>
      <c r="AY735" s="11">
        <f t="shared" si="837"/>
        <v>0</v>
      </c>
      <c r="AZ735" s="25"/>
      <c r="BA735" s="10" t="str">
        <f t="shared" si="904"/>
        <v>OutubroSEMANA 5Macarrão Cabelo de Anjo</v>
      </c>
      <c r="BB735" s="7">
        <f>SUMIF(NF!$A:$A,$BA735,NF!$I:$I)</f>
        <v>0</v>
      </c>
      <c r="BC735" s="6"/>
      <c r="BD735" s="6"/>
      <c r="BE735" s="6"/>
      <c r="BF735" s="74"/>
      <c r="BG735" s="74"/>
      <c r="BH735" s="74"/>
      <c r="BI735" s="74"/>
      <c r="BJ735" s="74"/>
      <c r="BK735" s="7">
        <f t="shared" si="985"/>
        <v>0</v>
      </c>
      <c r="BL735" s="8">
        <f t="shared" si="840"/>
        <v>0</v>
      </c>
      <c r="BM735" s="51" t="str">
        <f>IFERROR(VLOOKUP(A735,NF!$M:$O,3,0),"")</f>
        <v>Mercado</v>
      </c>
      <c r="BN735" s="7">
        <f t="shared" si="841"/>
        <v>0</v>
      </c>
      <c r="BO735" s="8">
        <f t="array" ref="BO735">IFERROR(LARGE(IF(NF!$G$2:$G$3137='Mês atual'!A735,NF!$J$2:$J$3137),1),0)*BN735</f>
        <v>0</v>
      </c>
      <c r="BP735" s="50"/>
      <c r="BR735" s="147">
        <f t="array" ref="BR735">IFERROR(LARGE(IF(NF!$G$2:$G$3137='Mês atual'!A735,NF!$J$2:$J$3137),1),0)</f>
        <v>0</v>
      </c>
      <c r="BS735" s="143" t="str">
        <f>VLOOKUP(A735,NF!M:O,3,0)</f>
        <v>Mercado</v>
      </c>
    </row>
    <row r="736" spans="1:71" x14ac:dyDescent="0.25">
      <c r="A736" s="108" t="s">
        <v>479</v>
      </c>
      <c r="B736" s="12"/>
      <c r="C736" s="9"/>
      <c r="D736" s="25"/>
      <c r="E736" s="10" t="str">
        <f t="shared" si="900"/>
        <v>OutubroSEMANA 1Macarrão Celentani</v>
      </c>
      <c r="F736" s="7">
        <f>SUMIF(NF!$A:$A,$E736,NF!$I:$I)</f>
        <v>0</v>
      </c>
      <c r="G736" s="6"/>
      <c r="H736" s="6"/>
      <c r="I736" s="6"/>
      <c r="J736" s="6"/>
      <c r="K736" s="6"/>
      <c r="L736" s="6"/>
      <c r="M736" s="6"/>
      <c r="N736" s="7">
        <f t="shared" si="981"/>
        <v>0</v>
      </c>
      <c r="O736" s="11">
        <f t="shared" si="828"/>
        <v>0</v>
      </c>
      <c r="P736" s="25"/>
      <c r="Q736" s="10" t="str">
        <f t="shared" si="901"/>
        <v>OutubroSEMANA 2Macarrão Celentani</v>
      </c>
      <c r="R736" s="7">
        <f>SUMIF(NF!$A:$A,$Q736,NF!$I:$I)</f>
        <v>0</v>
      </c>
      <c r="S736" s="6"/>
      <c r="T736" s="6"/>
      <c r="U736" s="6"/>
      <c r="V736" s="6"/>
      <c r="W736" s="6"/>
      <c r="X736" s="6"/>
      <c r="Y736" s="6"/>
      <c r="Z736" s="7">
        <f t="shared" si="982"/>
        <v>0</v>
      </c>
      <c r="AA736" s="11">
        <f t="shared" si="831"/>
        <v>0</v>
      </c>
      <c r="AB736" s="25"/>
      <c r="AC736" s="10" t="str">
        <f t="shared" si="902"/>
        <v>OutubroSEMANA 3Macarrão Celentani</v>
      </c>
      <c r="AD736" s="7">
        <f>SUMIF(NF!$A:$A,$AC736,NF!$I:$I)</f>
        <v>0</v>
      </c>
      <c r="AE736" s="6"/>
      <c r="AF736" s="6"/>
      <c r="AG736" s="6"/>
      <c r="AH736" s="6"/>
      <c r="AI736" s="6"/>
      <c r="AJ736" s="6"/>
      <c r="AK736" s="6"/>
      <c r="AL736" s="7">
        <f t="shared" si="983"/>
        <v>0</v>
      </c>
      <c r="AM736" s="11">
        <f t="shared" si="834"/>
        <v>0</v>
      </c>
      <c r="AN736" s="25"/>
      <c r="AO736" s="10" t="str">
        <f t="shared" si="903"/>
        <v>OutubroSEMANA 4Macarrão Celentani</v>
      </c>
      <c r="AP736" s="7">
        <f>SUMIF(NF!$A:$A,$AO736,NF!$I:$I)</f>
        <v>0</v>
      </c>
      <c r="AQ736" s="6"/>
      <c r="AR736" s="6"/>
      <c r="AS736" s="6"/>
      <c r="AT736" s="6"/>
      <c r="AU736" s="6"/>
      <c r="AV736" s="6"/>
      <c r="AW736" s="6"/>
      <c r="AX736" s="7">
        <f t="shared" si="984"/>
        <v>0</v>
      </c>
      <c r="AY736" s="11">
        <f t="shared" si="837"/>
        <v>0</v>
      </c>
      <c r="AZ736" s="25"/>
      <c r="BA736" s="10" t="str">
        <f t="shared" si="904"/>
        <v>OutubroSEMANA 5Macarrão Celentani</v>
      </c>
      <c r="BB736" s="7">
        <f>SUMIF(NF!$A:$A,$BA736,NF!$I:$I)</f>
        <v>0</v>
      </c>
      <c r="BC736" s="6"/>
      <c r="BD736" s="6"/>
      <c r="BE736" s="6"/>
      <c r="BF736" s="74"/>
      <c r="BG736" s="74"/>
      <c r="BH736" s="74"/>
      <c r="BI736" s="74"/>
      <c r="BJ736" s="74"/>
      <c r="BK736" s="7">
        <f t="shared" si="985"/>
        <v>0</v>
      </c>
      <c r="BL736" s="8">
        <f t="shared" si="840"/>
        <v>0</v>
      </c>
      <c r="BM736" s="51" t="str">
        <f>IFERROR(VLOOKUP(A736,NF!$M:$O,3,0),"")</f>
        <v>Mercado</v>
      </c>
      <c r="BN736" s="7">
        <f t="shared" si="841"/>
        <v>0</v>
      </c>
      <c r="BO736" s="8">
        <f t="array" ref="BO736">IFERROR(LARGE(IF(NF!$G$2:$G$3137='Mês atual'!A736,NF!$J$2:$J$3137),1),0)*BN736</f>
        <v>0</v>
      </c>
      <c r="BP736" s="50"/>
      <c r="BR736" s="147">
        <f t="array" ref="BR736">IFERROR(LARGE(IF(NF!$G$2:$G$3137='Mês atual'!A736,NF!$J$2:$J$3137),1),0)</f>
        <v>0</v>
      </c>
      <c r="BS736" s="143" t="str">
        <f>VLOOKUP(A736,NF!M:O,3,0)</f>
        <v>Mercado</v>
      </c>
    </row>
    <row r="737" spans="1:71" x14ac:dyDescent="0.25">
      <c r="A737" s="108" t="s">
        <v>480</v>
      </c>
      <c r="B737" s="12"/>
      <c r="C737" s="9"/>
      <c r="D737" s="25"/>
      <c r="E737" s="10" t="str">
        <f t="shared" si="900"/>
        <v>OutubroSEMANA 1Macarrão Conchiglie Rigate</v>
      </c>
      <c r="F737" s="7">
        <f>SUMIF(NF!$A:$A,$E737,NF!$I:$I)</f>
        <v>0</v>
      </c>
      <c r="G737" s="6"/>
      <c r="H737" s="6"/>
      <c r="I737" s="6"/>
      <c r="J737" s="6"/>
      <c r="K737" s="6"/>
      <c r="L737" s="6"/>
      <c r="M737" s="6"/>
      <c r="N737" s="7">
        <f t="shared" si="981"/>
        <v>0</v>
      </c>
      <c r="O737" s="11">
        <f t="shared" si="828"/>
        <v>0</v>
      </c>
      <c r="P737" s="25"/>
      <c r="Q737" s="10" t="str">
        <f t="shared" si="901"/>
        <v>OutubroSEMANA 2Macarrão Conchiglie Rigate</v>
      </c>
      <c r="R737" s="7">
        <f>SUMIF(NF!$A:$A,$Q737,NF!$I:$I)</f>
        <v>0</v>
      </c>
      <c r="S737" s="6"/>
      <c r="T737" s="6"/>
      <c r="U737" s="6"/>
      <c r="V737" s="6"/>
      <c r="W737" s="6"/>
      <c r="X737" s="6"/>
      <c r="Y737" s="6"/>
      <c r="Z737" s="7">
        <f t="shared" si="982"/>
        <v>0</v>
      </c>
      <c r="AA737" s="11">
        <f t="shared" si="831"/>
        <v>0</v>
      </c>
      <c r="AB737" s="25"/>
      <c r="AC737" s="10" t="str">
        <f t="shared" si="902"/>
        <v>OutubroSEMANA 3Macarrão Conchiglie Rigate</v>
      </c>
      <c r="AD737" s="7">
        <f>SUMIF(NF!$A:$A,$AC737,NF!$I:$I)</f>
        <v>0</v>
      </c>
      <c r="AE737" s="6"/>
      <c r="AF737" s="6"/>
      <c r="AG737" s="6"/>
      <c r="AH737" s="6"/>
      <c r="AI737" s="6"/>
      <c r="AJ737" s="6"/>
      <c r="AK737" s="6"/>
      <c r="AL737" s="7">
        <f t="shared" si="983"/>
        <v>0</v>
      </c>
      <c r="AM737" s="11">
        <f t="shared" si="834"/>
        <v>0</v>
      </c>
      <c r="AN737" s="25"/>
      <c r="AO737" s="10" t="str">
        <f t="shared" si="903"/>
        <v>OutubroSEMANA 4Macarrão Conchiglie Rigate</v>
      </c>
      <c r="AP737" s="7">
        <f>SUMIF(NF!$A:$A,$AO737,NF!$I:$I)</f>
        <v>0</v>
      </c>
      <c r="AQ737" s="6"/>
      <c r="AR737" s="6"/>
      <c r="AS737" s="6"/>
      <c r="AT737" s="6"/>
      <c r="AU737" s="6"/>
      <c r="AV737" s="6"/>
      <c r="AW737" s="6"/>
      <c r="AX737" s="7">
        <f t="shared" si="984"/>
        <v>0</v>
      </c>
      <c r="AY737" s="11">
        <f t="shared" si="837"/>
        <v>0</v>
      </c>
      <c r="AZ737" s="25"/>
      <c r="BA737" s="10" t="str">
        <f t="shared" si="904"/>
        <v>OutubroSEMANA 5Macarrão Conchiglie Rigate</v>
      </c>
      <c r="BB737" s="7">
        <f>SUMIF(NF!$A:$A,$BA737,NF!$I:$I)</f>
        <v>0</v>
      </c>
      <c r="BC737" s="6"/>
      <c r="BD737" s="6"/>
      <c r="BE737" s="6"/>
      <c r="BF737" s="74"/>
      <c r="BG737" s="74"/>
      <c r="BH737" s="74"/>
      <c r="BI737" s="74"/>
      <c r="BJ737" s="74"/>
      <c r="BK737" s="7">
        <f t="shared" si="985"/>
        <v>0</v>
      </c>
      <c r="BL737" s="8">
        <f t="shared" si="840"/>
        <v>0</v>
      </c>
      <c r="BM737" s="51" t="str">
        <f>IFERROR(VLOOKUP(A737,NF!$M:$O,3,0),"")</f>
        <v>Mercado</v>
      </c>
      <c r="BN737" s="7">
        <f t="shared" si="841"/>
        <v>0</v>
      </c>
      <c r="BO737" s="8">
        <f t="array" ref="BO737">IFERROR(LARGE(IF(NF!$G$2:$G$3137='Mês atual'!A737,NF!$J$2:$J$3137),1),0)*BN737</f>
        <v>0</v>
      </c>
      <c r="BP737" s="50"/>
      <c r="BR737" s="147">
        <f t="array" ref="BR737">IFERROR(LARGE(IF(NF!$G$2:$G$3137='Mês atual'!A737,NF!$J$2:$J$3137),1),0)</f>
        <v>0</v>
      </c>
      <c r="BS737" s="143" t="str">
        <f>VLOOKUP(A737,NF!M:O,3,0)</f>
        <v>Mercado</v>
      </c>
    </row>
    <row r="738" spans="1:71" x14ac:dyDescent="0.25">
      <c r="A738" s="108" t="s">
        <v>481</v>
      </c>
      <c r="B738" s="12"/>
      <c r="C738" s="9">
        <v>10</v>
      </c>
      <c r="D738" s="25"/>
      <c r="E738" s="10" t="str">
        <f t="shared" ref="E738:E866" si="986">CONCATENATE($C$2,$F$1,$A738)</f>
        <v>OutubroSEMANA 1Macarrão de Feijão (Harusame) 200g</v>
      </c>
      <c r="F738" s="7">
        <f>SUMIF(NF!$A:$A,$E738,NF!$I:$I)</f>
        <v>0</v>
      </c>
      <c r="G738" s="6"/>
      <c r="H738" s="6"/>
      <c r="I738" s="6"/>
      <c r="J738" s="6"/>
      <c r="K738" s="6"/>
      <c r="L738" s="6"/>
      <c r="M738" s="6">
        <v>4</v>
      </c>
      <c r="N738" s="7">
        <f t="shared" si="981"/>
        <v>4</v>
      </c>
      <c r="O738" s="11">
        <f t="shared" si="828"/>
        <v>6</v>
      </c>
      <c r="P738" s="25"/>
      <c r="Q738" s="10" t="str">
        <f t="shared" ref="Q738:Q866" si="987">CONCATENATE($C$2,$R$1,$A738)</f>
        <v>OutubroSEMANA 2Macarrão de Feijão (Harusame) 200g</v>
      </c>
      <c r="R738" s="7">
        <f>SUMIF(NF!$A:$A,$Q738,NF!$I:$I)</f>
        <v>4</v>
      </c>
      <c r="S738" s="6"/>
      <c r="T738" s="6"/>
      <c r="U738" s="6"/>
      <c r="V738" s="6">
        <v>3</v>
      </c>
      <c r="W738" s="6">
        <v>2</v>
      </c>
      <c r="X738" s="6"/>
      <c r="Y738" s="6"/>
      <c r="Z738" s="7">
        <f t="shared" si="982"/>
        <v>5</v>
      </c>
      <c r="AA738" s="11">
        <f t="shared" si="831"/>
        <v>5</v>
      </c>
      <c r="AB738" s="25"/>
      <c r="AC738" s="10" t="str">
        <f t="shared" ref="AC738:AC866" si="988">CONCATENATE($C$2,$AD$1,$A738)</f>
        <v>OutubroSEMANA 3Macarrão de Feijão (Harusame) 200g</v>
      </c>
      <c r="AD738" s="7">
        <f>SUMIF(NF!$A:$A,$AC738,NF!$I:$I)</f>
        <v>10</v>
      </c>
      <c r="AE738" s="6"/>
      <c r="AF738" s="6">
        <v>5</v>
      </c>
      <c r="AG738" s="6"/>
      <c r="AH738" s="6"/>
      <c r="AI738" s="6"/>
      <c r="AJ738" s="6"/>
      <c r="AK738" s="6"/>
      <c r="AL738" s="7">
        <f t="shared" si="983"/>
        <v>5</v>
      </c>
      <c r="AM738" s="11">
        <f t="shared" si="834"/>
        <v>10</v>
      </c>
      <c r="AN738" s="25"/>
      <c r="AO738" s="10" t="str">
        <f t="shared" ref="AO738:AO866" si="989">CONCATENATE($C$2,$AP$1,$A738)</f>
        <v>OutubroSEMANA 4Macarrão de Feijão (Harusame) 200g</v>
      </c>
      <c r="AP738" s="7">
        <f>SUMIF(NF!$A:$A,$AO738,NF!$I:$I)</f>
        <v>3</v>
      </c>
      <c r="AQ738" s="6">
        <v>3</v>
      </c>
      <c r="AR738" s="6"/>
      <c r="AS738" s="6"/>
      <c r="AT738" s="6"/>
      <c r="AU738" s="6"/>
      <c r="AV738" s="6">
        <v>4</v>
      </c>
      <c r="AW738" s="6"/>
      <c r="AX738" s="7">
        <f t="shared" si="984"/>
        <v>7</v>
      </c>
      <c r="AY738" s="11">
        <f t="shared" si="837"/>
        <v>6</v>
      </c>
      <c r="AZ738" s="25"/>
      <c r="BA738" s="10" t="str">
        <f t="shared" ref="BA738:BA866" si="990">CONCATENATE($C$2,$BB$1,$A738)</f>
        <v>OutubroSEMANA 5Macarrão de Feijão (Harusame) 200g</v>
      </c>
      <c r="BB738" s="7">
        <f>SUMIF(NF!$A:$A,$BA738,NF!$I:$I)</f>
        <v>9</v>
      </c>
      <c r="BC738" s="6"/>
      <c r="BD738" s="6">
        <v>5</v>
      </c>
      <c r="BE738" s="6"/>
      <c r="BF738" s="74"/>
      <c r="BG738" s="74"/>
      <c r="BH738" s="74"/>
      <c r="BI738" s="74"/>
      <c r="BJ738" s="74"/>
      <c r="BK738" s="7">
        <f t="shared" si="985"/>
        <v>5</v>
      </c>
      <c r="BL738" s="8">
        <f t="shared" si="840"/>
        <v>10</v>
      </c>
      <c r="BM738" s="51" t="str">
        <f>IFERROR(VLOOKUP(A738,NF!$M:$O,3,0),"")</f>
        <v>Mercado</v>
      </c>
      <c r="BN738" s="7">
        <f t="shared" si="841"/>
        <v>26</v>
      </c>
      <c r="BO738" s="8">
        <f t="array" ref="BO738">IFERROR(LARGE(IF(NF!$G$2:$G$3137='Mês atual'!A738,NF!$J$2:$J$3137),1),0)*BN738</f>
        <v>220.48000000000002</v>
      </c>
      <c r="BP738" s="50"/>
      <c r="BR738" s="147">
        <f t="array" ref="BR738">IFERROR(LARGE(IF(NF!$G$2:$G$3137='Mês atual'!A738,NF!$J$2:$J$3137),1),0)</f>
        <v>8.48</v>
      </c>
      <c r="BS738" s="143" t="str">
        <f>VLOOKUP(A738,NF!M:O,3,0)</f>
        <v>Mercado</v>
      </c>
    </row>
    <row r="739" spans="1:71" x14ac:dyDescent="0.25">
      <c r="A739" s="108" t="s">
        <v>482</v>
      </c>
      <c r="B739" s="12"/>
      <c r="C739" s="9">
        <v>19</v>
      </c>
      <c r="D739" s="25"/>
      <c r="E739" s="10" t="str">
        <f t="shared" si="986"/>
        <v>OutubroSEMANA 1Macarrão Espaghetti</v>
      </c>
      <c r="F739" s="7">
        <f>SUMIF(NF!$A:$A,$E739,NF!$I:$I)</f>
        <v>0</v>
      </c>
      <c r="G739" s="6"/>
      <c r="H739" s="6"/>
      <c r="I739" s="6"/>
      <c r="J739" s="6">
        <v>0.5</v>
      </c>
      <c r="K739" s="6"/>
      <c r="L739" s="6"/>
      <c r="M739" s="6"/>
      <c r="N739" s="7">
        <f t="shared" si="981"/>
        <v>0.5</v>
      </c>
      <c r="O739" s="11">
        <f t="shared" si="828"/>
        <v>18.5</v>
      </c>
      <c r="P739" s="25"/>
      <c r="Q739" s="10" t="str">
        <f t="shared" si="987"/>
        <v>OutubroSEMANA 2Macarrão Espaghetti</v>
      </c>
      <c r="R739" s="7">
        <f>SUMIF(NF!$A:$A,$Q739,NF!$I:$I)</f>
        <v>0</v>
      </c>
      <c r="S739" s="6"/>
      <c r="T739" s="6">
        <v>1</v>
      </c>
      <c r="U739" s="6"/>
      <c r="V739" s="6"/>
      <c r="W739" s="6">
        <v>0.5</v>
      </c>
      <c r="X739" s="6"/>
      <c r="Y739" s="6"/>
      <c r="Z739" s="7">
        <f t="shared" si="982"/>
        <v>1.5</v>
      </c>
      <c r="AA739" s="11">
        <f t="shared" si="831"/>
        <v>17</v>
      </c>
      <c r="AB739" s="25"/>
      <c r="AC739" s="10" t="str">
        <f t="shared" si="988"/>
        <v>OutubroSEMANA 3Macarrão Espaghetti</v>
      </c>
      <c r="AD739" s="7">
        <f>SUMIF(NF!$A:$A,$AC739,NF!$I:$I)</f>
        <v>0</v>
      </c>
      <c r="AE739" s="6"/>
      <c r="AF739" s="6"/>
      <c r="AG739" s="6"/>
      <c r="AH739" s="6"/>
      <c r="AI739" s="6">
        <v>2.5</v>
      </c>
      <c r="AJ739" s="6"/>
      <c r="AK739" s="6"/>
      <c r="AL739" s="7">
        <f t="shared" si="983"/>
        <v>2.5</v>
      </c>
      <c r="AM739" s="11">
        <f t="shared" si="834"/>
        <v>14.5</v>
      </c>
      <c r="AN739" s="25"/>
      <c r="AO739" s="10" t="str">
        <f t="shared" si="989"/>
        <v>OutubroSEMANA 4Macarrão Espaghetti</v>
      </c>
      <c r="AP739" s="7">
        <f>SUMIF(NF!$A:$A,$AO739,NF!$I:$I)</f>
        <v>0</v>
      </c>
      <c r="AQ739" s="6"/>
      <c r="AR739" s="6"/>
      <c r="AS739" s="6"/>
      <c r="AT739" s="6"/>
      <c r="AU739" s="6"/>
      <c r="AV739" s="6"/>
      <c r="AW739" s="6"/>
      <c r="AX739" s="7">
        <f t="shared" si="984"/>
        <v>0</v>
      </c>
      <c r="AY739" s="11">
        <f t="shared" si="837"/>
        <v>14.5</v>
      </c>
      <c r="AZ739" s="25"/>
      <c r="BA739" s="10" t="str">
        <f t="shared" si="990"/>
        <v>OutubroSEMANA 5Macarrão Espaghetti</v>
      </c>
      <c r="BB739" s="7">
        <f>SUMIF(NF!$A:$A,$BA739,NF!$I:$I)</f>
        <v>0</v>
      </c>
      <c r="BC739" s="6"/>
      <c r="BD739" s="6">
        <v>2</v>
      </c>
      <c r="BE739" s="6"/>
      <c r="BF739" s="74"/>
      <c r="BG739" s="74"/>
      <c r="BH739" s="74"/>
      <c r="BI739" s="74"/>
      <c r="BJ739" s="74"/>
      <c r="BK739" s="7">
        <f t="shared" si="985"/>
        <v>2</v>
      </c>
      <c r="BL739" s="8">
        <f t="shared" si="840"/>
        <v>12.5</v>
      </c>
      <c r="BM739" s="51" t="str">
        <f>IFERROR(VLOOKUP(A739,NF!$M:$O,3,0),"")</f>
        <v>Mercado</v>
      </c>
      <c r="BN739" s="7">
        <f t="shared" si="841"/>
        <v>6.5</v>
      </c>
      <c r="BO739" s="8">
        <f t="array" ref="BO739">IFERROR(LARGE(IF(NF!$G$2:$G$3137='Mês atual'!A739,NF!$J$2:$J$3137),1),0)*BN739</f>
        <v>0</v>
      </c>
      <c r="BP739" s="50"/>
      <c r="BR739" s="147">
        <f t="array" ref="BR739">IFERROR(LARGE(IF(NF!$G$2:$G$3137='Mês atual'!A739,NF!$J$2:$J$3137),1),0)</f>
        <v>0</v>
      </c>
      <c r="BS739" s="143" t="str">
        <f>VLOOKUP(A739,NF!M:O,3,0)</f>
        <v>Mercado</v>
      </c>
    </row>
    <row r="740" spans="1:71" x14ac:dyDescent="0.25">
      <c r="A740" s="108" t="s">
        <v>483</v>
      </c>
      <c r="B740" s="12"/>
      <c r="C740" s="9">
        <v>1.5</v>
      </c>
      <c r="D740" s="25"/>
      <c r="E740" s="10" t="str">
        <f t="shared" si="986"/>
        <v>OutubroSEMANA 1Macarrão Espaghetti Nissim</v>
      </c>
      <c r="F740" s="7">
        <f>SUMIF(NF!$A:$A,$E740,NF!$I:$I)</f>
        <v>1.5</v>
      </c>
      <c r="G740" s="6"/>
      <c r="H740" s="6"/>
      <c r="I740" s="6"/>
      <c r="J740" s="6"/>
      <c r="K740" s="6"/>
      <c r="L740" s="6"/>
      <c r="M740" s="6"/>
      <c r="N740" s="7">
        <f t="shared" si="981"/>
        <v>0</v>
      </c>
      <c r="O740" s="11">
        <f t="shared" si="828"/>
        <v>3</v>
      </c>
      <c r="P740" s="25"/>
      <c r="Q740" s="10" t="str">
        <f t="shared" si="987"/>
        <v>OutubroSEMANA 2Macarrão Espaghetti Nissim</v>
      </c>
      <c r="R740" s="7">
        <f>SUMIF(NF!$A:$A,$Q740,NF!$I:$I)</f>
        <v>2.5</v>
      </c>
      <c r="S740" s="6"/>
      <c r="T740" s="6"/>
      <c r="U740" s="6"/>
      <c r="V740" s="6"/>
      <c r="W740" s="6">
        <v>0.5</v>
      </c>
      <c r="X740" s="6"/>
      <c r="Y740" s="6">
        <v>0.5</v>
      </c>
      <c r="Z740" s="7">
        <f t="shared" si="982"/>
        <v>1</v>
      </c>
      <c r="AA740" s="11">
        <f t="shared" si="831"/>
        <v>4.5</v>
      </c>
      <c r="AB740" s="25"/>
      <c r="AC740" s="10" t="str">
        <f t="shared" si="988"/>
        <v>OutubroSEMANA 3Macarrão Espaghetti Nissim</v>
      </c>
      <c r="AD740" s="7">
        <f>SUMIF(NF!$A:$A,$AC740,NF!$I:$I)</f>
        <v>0</v>
      </c>
      <c r="AE740" s="6"/>
      <c r="AF740" s="6"/>
      <c r="AG740" s="6"/>
      <c r="AH740" s="6"/>
      <c r="AI740" s="6"/>
      <c r="AJ740" s="6"/>
      <c r="AK740" s="6"/>
      <c r="AL740" s="7">
        <f t="shared" si="983"/>
        <v>0</v>
      </c>
      <c r="AM740" s="11">
        <f t="shared" si="834"/>
        <v>4.5</v>
      </c>
      <c r="AN740" s="25"/>
      <c r="AO740" s="10" t="str">
        <f t="shared" si="989"/>
        <v>OutubroSEMANA 4Macarrão Espaghetti Nissim</v>
      </c>
      <c r="AP740" s="7">
        <f>SUMIF(NF!$A:$A,$AO740,NF!$I:$I)</f>
        <v>0</v>
      </c>
      <c r="AQ740" s="6">
        <v>1</v>
      </c>
      <c r="AR740" s="6"/>
      <c r="AS740" s="6"/>
      <c r="AT740" s="6"/>
      <c r="AU740" s="6"/>
      <c r="AV740" s="6"/>
      <c r="AW740" s="6"/>
      <c r="AX740" s="7">
        <f t="shared" si="984"/>
        <v>1</v>
      </c>
      <c r="AY740" s="11">
        <f t="shared" si="837"/>
        <v>3.5</v>
      </c>
      <c r="AZ740" s="25"/>
      <c r="BA740" s="10" t="str">
        <f t="shared" si="990"/>
        <v>OutubroSEMANA 5Macarrão Espaghetti Nissim</v>
      </c>
      <c r="BB740" s="7">
        <f>SUMIF(NF!$A:$A,$BA740,NF!$I:$I)</f>
        <v>0</v>
      </c>
      <c r="BC740" s="6"/>
      <c r="BD740" s="6"/>
      <c r="BE740" s="6"/>
      <c r="BF740" s="74"/>
      <c r="BG740" s="74"/>
      <c r="BH740" s="74"/>
      <c r="BI740" s="74"/>
      <c r="BJ740" s="74"/>
      <c r="BK740" s="7">
        <f t="shared" si="985"/>
        <v>0</v>
      </c>
      <c r="BL740" s="8">
        <f t="shared" si="840"/>
        <v>3.5</v>
      </c>
      <c r="BM740" s="51" t="str">
        <f>IFERROR(VLOOKUP(A740,NF!$M:$O,3,0),"")</f>
        <v>Mercado</v>
      </c>
      <c r="BN740" s="7">
        <f t="shared" si="841"/>
        <v>2</v>
      </c>
      <c r="BO740" s="8">
        <f t="array" ref="BO740">IFERROR(LARGE(IF(NF!$G$2:$G$3137='Mês atual'!A740,NF!$J$2:$J$3137),1),0)*BN740</f>
        <v>21.911999999999999</v>
      </c>
      <c r="BP740" s="50"/>
      <c r="BR740" s="147">
        <f t="array" ref="BR740">IFERROR(LARGE(IF(NF!$G$2:$G$3137='Mês atual'!A740,NF!$J$2:$J$3137),1),0)</f>
        <v>10.956</v>
      </c>
      <c r="BS740" s="143" t="str">
        <f>VLOOKUP(A740,NF!M:O,3,0)</f>
        <v>Mercado</v>
      </c>
    </row>
    <row r="741" spans="1:71" x14ac:dyDescent="0.25">
      <c r="A741" s="108" t="s">
        <v>484</v>
      </c>
      <c r="B741" s="12"/>
      <c r="C741" s="9">
        <v>9.5</v>
      </c>
      <c r="D741" s="25"/>
      <c r="E741" s="10" t="str">
        <f t="shared" si="986"/>
        <v>OutubroSEMANA 1Macarrão Farfalle</v>
      </c>
      <c r="F741" s="7">
        <f>SUMIF(NF!$A:$A,$E741,NF!$I:$I)</f>
        <v>0</v>
      </c>
      <c r="G741" s="6"/>
      <c r="H741" s="6"/>
      <c r="I741" s="6">
        <v>1</v>
      </c>
      <c r="J741" s="6"/>
      <c r="K741" s="6"/>
      <c r="L741" s="6"/>
      <c r="M741" s="6"/>
      <c r="N741" s="7">
        <f t="shared" si="981"/>
        <v>1</v>
      </c>
      <c r="O741" s="11">
        <f t="shared" si="828"/>
        <v>8.5</v>
      </c>
      <c r="P741" s="25"/>
      <c r="Q741" s="10" t="str">
        <f t="shared" si="987"/>
        <v>OutubroSEMANA 2Macarrão Farfalle</v>
      </c>
      <c r="R741" s="7">
        <f>SUMIF(NF!$A:$A,$Q741,NF!$I:$I)</f>
        <v>0</v>
      </c>
      <c r="S741" s="6"/>
      <c r="T741" s="6"/>
      <c r="U741" s="6"/>
      <c r="V741" s="6"/>
      <c r="W741" s="6"/>
      <c r="X741" s="6">
        <v>1</v>
      </c>
      <c r="Y741" s="6"/>
      <c r="Z741" s="7">
        <f t="shared" si="982"/>
        <v>1</v>
      </c>
      <c r="AA741" s="11">
        <f t="shared" si="831"/>
        <v>7.5</v>
      </c>
      <c r="AB741" s="25"/>
      <c r="AC741" s="10" t="str">
        <f t="shared" si="988"/>
        <v>OutubroSEMANA 3Macarrão Farfalle</v>
      </c>
      <c r="AD741" s="7">
        <f>SUMIF(NF!$A:$A,$AC741,NF!$I:$I)</f>
        <v>0</v>
      </c>
      <c r="AE741" s="6"/>
      <c r="AF741" s="6">
        <v>1</v>
      </c>
      <c r="AG741" s="6"/>
      <c r="AH741" s="6"/>
      <c r="AI741" s="6"/>
      <c r="AJ741" s="6">
        <v>1.5</v>
      </c>
      <c r="AK741" s="6"/>
      <c r="AL741" s="7">
        <f t="shared" si="983"/>
        <v>2.5</v>
      </c>
      <c r="AM741" s="11">
        <f t="shared" si="834"/>
        <v>5</v>
      </c>
      <c r="AN741" s="25"/>
      <c r="AO741" s="10" t="str">
        <f t="shared" si="989"/>
        <v>OutubroSEMANA 4Macarrão Farfalle</v>
      </c>
      <c r="AP741" s="7">
        <f>SUMIF(NF!$A:$A,$AO741,NF!$I:$I)</f>
        <v>0</v>
      </c>
      <c r="AQ741" s="6"/>
      <c r="AR741" s="6"/>
      <c r="AS741" s="6">
        <v>1.5</v>
      </c>
      <c r="AT741" s="6"/>
      <c r="AU741" s="6"/>
      <c r="AV741" s="6"/>
      <c r="AW741" s="6">
        <v>1</v>
      </c>
      <c r="AX741" s="7">
        <f t="shared" si="984"/>
        <v>2.5</v>
      </c>
      <c r="AY741" s="11">
        <f t="shared" si="837"/>
        <v>2.5</v>
      </c>
      <c r="AZ741" s="25"/>
      <c r="BA741" s="10" t="str">
        <f t="shared" si="990"/>
        <v>OutubroSEMANA 5Macarrão Farfalle</v>
      </c>
      <c r="BB741" s="7">
        <f>SUMIF(NF!$A:$A,$BA741,NF!$I:$I)</f>
        <v>0</v>
      </c>
      <c r="BC741" s="6"/>
      <c r="BD741" s="6"/>
      <c r="BE741" s="6"/>
      <c r="BF741" s="74"/>
      <c r="BG741" s="74"/>
      <c r="BH741" s="74"/>
      <c r="BI741" s="74"/>
      <c r="BJ741" s="74"/>
      <c r="BK741" s="7">
        <f t="shared" si="985"/>
        <v>0</v>
      </c>
      <c r="BL741" s="8">
        <f t="shared" si="840"/>
        <v>2.5</v>
      </c>
      <c r="BM741" s="51" t="str">
        <f>IFERROR(VLOOKUP(A741,NF!$M:$O,3,0),"")</f>
        <v>Mercado</v>
      </c>
      <c r="BN741" s="7">
        <f t="shared" si="841"/>
        <v>7</v>
      </c>
      <c r="BO741" s="8">
        <f t="array" ref="BO741">IFERROR(LARGE(IF(NF!$G$2:$G$3137='Mês atual'!A741,NF!$J$2:$J$3137),1),0)*BN741</f>
        <v>0</v>
      </c>
      <c r="BP741" s="50"/>
      <c r="BR741" s="147">
        <f t="array" ref="BR741">IFERROR(LARGE(IF(NF!$G$2:$G$3137='Mês atual'!A741,NF!$J$2:$J$3137),1),0)</f>
        <v>0</v>
      </c>
      <c r="BS741" s="143" t="str">
        <f>VLOOKUP(A741,NF!M:O,3,0)</f>
        <v>Mercado</v>
      </c>
    </row>
    <row r="742" spans="1:71" x14ac:dyDescent="0.25">
      <c r="A742" s="108" t="s">
        <v>485</v>
      </c>
      <c r="B742" s="12"/>
      <c r="C742" s="9">
        <v>6.5</v>
      </c>
      <c r="D742" s="25"/>
      <c r="E742" s="10" t="str">
        <f t="shared" si="986"/>
        <v>OutubroSEMANA 1Macarrão Fusili</v>
      </c>
      <c r="F742" s="7">
        <f>SUMIF(NF!$A:$A,$E742,NF!$I:$I)</f>
        <v>0</v>
      </c>
      <c r="G742" s="6"/>
      <c r="H742" s="6"/>
      <c r="I742" s="6"/>
      <c r="J742" s="6"/>
      <c r="K742" s="6"/>
      <c r="L742" s="6"/>
      <c r="M742" s="6"/>
      <c r="N742" s="7">
        <f t="shared" si="981"/>
        <v>0</v>
      </c>
      <c r="O742" s="11">
        <f t="shared" si="828"/>
        <v>6.5</v>
      </c>
      <c r="P742" s="25"/>
      <c r="Q742" s="10" t="str">
        <f t="shared" si="987"/>
        <v>OutubroSEMANA 2Macarrão Fusili</v>
      </c>
      <c r="R742" s="7">
        <f>SUMIF(NF!$A:$A,$Q742,NF!$I:$I)</f>
        <v>0</v>
      </c>
      <c r="S742" s="6"/>
      <c r="T742" s="6"/>
      <c r="U742" s="6"/>
      <c r="V742" s="6"/>
      <c r="W742" s="6"/>
      <c r="X742" s="6"/>
      <c r="Y742" s="6"/>
      <c r="Z742" s="7">
        <f t="shared" si="982"/>
        <v>0</v>
      </c>
      <c r="AA742" s="11">
        <f t="shared" si="831"/>
        <v>6.5</v>
      </c>
      <c r="AB742" s="25"/>
      <c r="AC742" s="10" t="str">
        <f t="shared" si="988"/>
        <v>OutubroSEMANA 3Macarrão Fusili</v>
      </c>
      <c r="AD742" s="7">
        <f>SUMIF(NF!$A:$A,$AC742,NF!$I:$I)</f>
        <v>0</v>
      </c>
      <c r="AE742" s="6"/>
      <c r="AF742" s="6"/>
      <c r="AG742" s="6">
        <v>1.5</v>
      </c>
      <c r="AH742" s="6"/>
      <c r="AI742" s="6"/>
      <c r="AJ742" s="6"/>
      <c r="AK742" s="6"/>
      <c r="AL742" s="7">
        <f t="shared" si="983"/>
        <v>1.5</v>
      </c>
      <c r="AM742" s="11">
        <f t="shared" si="834"/>
        <v>5</v>
      </c>
      <c r="AN742" s="25"/>
      <c r="AO742" s="10" t="str">
        <f t="shared" si="989"/>
        <v>OutubroSEMANA 4Macarrão Fusili</v>
      </c>
      <c r="AP742" s="7">
        <f>SUMIF(NF!$A:$A,$AO742,NF!$I:$I)</f>
        <v>0</v>
      </c>
      <c r="AQ742" s="6"/>
      <c r="AR742" s="6"/>
      <c r="AS742" s="6"/>
      <c r="AT742" s="6">
        <v>1.5</v>
      </c>
      <c r="AU742" s="6"/>
      <c r="AV742" s="6"/>
      <c r="AW742" s="6"/>
      <c r="AX742" s="7">
        <f t="shared" si="984"/>
        <v>1.5</v>
      </c>
      <c r="AY742" s="11">
        <f t="shared" si="837"/>
        <v>3.5</v>
      </c>
      <c r="AZ742" s="25"/>
      <c r="BA742" s="10" t="str">
        <f t="shared" si="990"/>
        <v>OutubroSEMANA 5Macarrão Fusili</v>
      </c>
      <c r="BB742" s="7">
        <f>SUMIF(NF!$A:$A,$BA742,NF!$I:$I)</f>
        <v>0</v>
      </c>
      <c r="BC742" s="6"/>
      <c r="BD742" s="6"/>
      <c r="BE742" s="6">
        <v>1.5</v>
      </c>
      <c r="BF742" s="74"/>
      <c r="BG742" s="74"/>
      <c r="BH742" s="74"/>
      <c r="BI742" s="74"/>
      <c r="BJ742" s="74"/>
      <c r="BK742" s="7">
        <f t="shared" si="985"/>
        <v>1.5</v>
      </c>
      <c r="BL742" s="8">
        <f t="shared" si="840"/>
        <v>2</v>
      </c>
      <c r="BM742" s="51" t="str">
        <f>IFERROR(VLOOKUP(A742,NF!$M:$O,3,0),"")</f>
        <v>Mercado</v>
      </c>
      <c r="BN742" s="7">
        <f t="shared" si="841"/>
        <v>4.5</v>
      </c>
      <c r="BO742" s="8">
        <f t="array" ref="BO742">IFERROR(LARGE(IF(NF!$G$2:$G$3137='Mês atual'!A742,NF!$J$2:$J$3137),1),0)*BN742</f>
        <v>0</v>
      </c>
      <c r="BP742" s="50"/>
      <c r="BR742" s="147">
        <f t="array" ref="BR742">IFERROR(LARGE(IF(NF!$G$2:$G$3137='Mês atual'!A742,NF!$J$2:$J$3137),1),0)</f>
        <v>0</v>
      </c>
      <c r="BS742" s="143" t="str">
        <f>VLOOKUP(A742,NF!M:O,3,0)</f>
        <v>Mercado</v>
      </c>
    </row>
    <row r="743" spans="1:71" x14ac:dyDescent="0.25">
      <c r="A743" s="108" t="s">
        <v>988</v>
      </c>
      <c r="B743" s="12"/>
      <c r="C743" s="9">
        <v>7.5</v>
      </c>
      <c r="D743" s="25"/>
      <c r="E743" s="10" t="str">
        <f t="shared" si="986"/>
        <v>OutubroSEMANA 1Macarrão Integrale Fusilli</v>
      </c>
      <c r="F743" s="7">
        <f>SUMIF(NF!$A:$A,$E743,NF!$I:$I)</f>
        <v>0</v>
      </c>
      <c r="G743" s="6">
        <v>1</v>
      </c>
      <c r="H743" s="6"/>
      <c r="I743" s="6"/>
      <c r="J743" s="6"/>
      <c r="K743" s="6"/>
      <c r="L743" s="6"/>
      <c r="M743" s="6"/>
      <c r="N743" s="7">
        <f t="shared" si="981"/>
        <v>1</v>
      </c>
      <c r="O743" s="11">
        <f t="shared" si="828"/>
        <v>6.5</v>
      </c>
      <c r="P743" s="25"/>
      <c r="Q743" s="10" t="str">
        <f t="shared" si="987"/>
        <v>OutubroSEMANA 2Macarrão Integrale Fusilli</v>
      </c>
      <c r="R743" s="7">
        <f>SUMIF(NF!$A:$A,$Q743,NF!$I:$I)</f>
        <v>0</v>
      </c>
      <c r="S743" s="6"/>
      <c r="T743" s="6">
        <v>1</v>
      </c>
      <c r="U743" s="6"/>
      <c r="V743" s="6"/>
      <c r="W743" s="6"/>
      <c r="X743" s="6">
        <v>1.5</v>
      </c>
      <c r="Y743" s="6"/>
      <c r="Z743" s="7">
        <f t="shared" si="982"/>
        <v>2.5</v>
      </c>
      <c r="AA743" s="11">
        <f t="shared" si="831"/>
        <v>4</v>
      </c>
      <c r="AB743" s="25"/>
      <c r="AC743" s="10" t="str">
        <f t="shared" si="988"/>
        <v>OutubroSEMANA 3Macarrão Integrale Fusilli</v>
      </c>
      <c r="AD743" s="7">
        <f>SUMIF(NF!$A:$A,$AC743,NF!$I:$I)</f>
        <v>0</v>
      </c>
      <c r="AE743" s="6"/>
      <c r="AF743" s="6"/>
      <c r="AG743" s="6"/>
      <c r="AH743" s="6"/>
      <c r="AI743" s="6"/>
      <c r="AJ743" s="6"/>
      <c r="AK743" s="6"/>
      <c r="AL743" s="7">
        <f t="shared" si="983"/>
        <v>0</v>
      </c>
      <c r="AM743" s="11">
        <f t="shared" si="834"/>
        <v>4</v>
      </c>
      <c r="AN743" s="25"/>
      <c r="AO743" s="10" t="str">
        <f t="shared" si="989"/>
        <v>OutubroSEMANA 4Macarrão Integrale Fusilli</v>
      </c>
      <c r="AP743" s="7">
        <f>SUMIF(NF!$A:$A,$AO743,NF!$I:$I)</f>
        <v>0</v>
      </c>
      <c r="AQ743" s="6"/>
      <c r="AR743" s="6">
        <v>1.5</v>
      </c>
      <c r="AS743" s="6"/>
      <c r="AT743" s="6"/>
      <c r="AU743" s="6"/>
      <c r="AV743" s="6"/>
      <c r="AW743" s="6"/>
      <c r="AX743" s="7">
        <f t="shared" si="984"/>
        <v>1.5</v>
      </c>
      <c r="AY743" s="11">
        <f t="shared" si="837"/>
        <v>2.5</v>
      </c>
      <c r="AZ743" s="25"/>
      <c r="BA743" s="10" t="str">
        <f t="shared" si="990"/>
        <v>OutubroSEMANA 5Macarrão Integrale Fusilli</v>
      </c>
      <c r="BB743" s="7">
        <f>SUMIF(NF!$A:$A,$BA743,NF!$I:$I)</f>
        <v>0</v>
      </c>
      <c r="BC743" s="6"/>
      <c r="BD743" s="6"/>
      <c r="BE743" s="6"/>
      <c r="BF743" s="74"/>
      <c r="BG743" s="74"/>
      <c r="BH743" s="74"/>
      <c r="BI743" s="74"/>
      <c r="BJ743" s="74"/>
      <c r="BK743" s="7">
        <f t="shared" si="985"/>
        <v>0</v>
      </c>
      <c r="BL743" s="8">
        <f t="shared" si="840"/>
        <v>2.5</v>
      </c>
      <c r="BM743" s="51" t="str">
        <f>IFERROR(VLOOKUP(A743,NF!$M:$O,3,0),"")</f>
        <v>Mercado</v>
      </c>
      <c r="BN743" s="7">
        <f t="shared" si="841"/>
        <v>5</v>
      </c>
      <c r="BO743" s="8">
        <f t="array" ref="BO743">IFERROR(LARGE(IF(NF!$G$2:$G$3137='Mês atual'!A743,NF!$J$2:$J$3137),1),0)*BN743</f>
        <v>0</v>
      </c>
      <c r="BP743" s="50"/>
      <c r="BR743" s="147">
        <f t="array" ref="BR743">IFERROR(LARGE(IF(NF!$G$2:$G$3137='Mês atual'!A743,NF!$J$2:$J$3137),1),0)</f>
        <v>0</v>
      </c>
      <c r="BS743" s="143" t="str">
        <f>VLOOKUP(A743,NF!M:O,3,0)</f>
        <v>Mercado</v>
      </c>
    </row>
    <row r="744" spans="1:71" x14ac:dyDescent="0.25">
      <c r="A744" s="108" t="s">
        <v>486</v>
      </c>
      <c r="B744" s="12"/>
      <c r="C744" s="9"/>
      <c r="D744" s="25"/>
      <c r="E744" s="10" t="str">
        <f t="shared" si="986"/>
        <v>OutubroSEMANA 1Macarrão Integrale Farfalle</v>
      </c>
      <c r="F744" s="7">
        <f>SUMIF(NF!$A:$A,$E744,NF!$I:$I)</f>
        <v>0</v>
      </c>
      <c r="G744" s="6"/>
      <c r="H744" s="6"/>
      <c r="I744" s="6"/>
      <c r="J744" s="6"/>
      <c r="K744" s="6"/>
      <c r="L744" s="6"/>
      <c r="M744" s="6"/>
      <c r="N744" s="7">
        <f t="shared" si="981"/>
        <v>0</v>
      </c>
      <c r="O744" s="11">
        <f t="shared" si="828"/>
        <v>0</v>
      </c>
      <c r="P744" s="25"/>
      <c r="Q744" s="10" t="str">
        <f t="shared" si="987"/>
        <v>OutubroSEMANA 2Macarrão Integrale Farfalle</v>
      </c>
      <c r="R744" s="7">
        <f>SUMIF(NF!$A:$A,$Q744,NF!$I:$I)</f>
        <v>0</v>
      </c>
      <c r="S744" s="6"/>
      <c r="T744" s="6"/>
      <c r="U744" s="6"/>
      <c r="V744" s="6"/>
      <c r="W744" s="6"/>
      <c r="X744" s="6"/>
      <c r="Y744" s="6"/>
      <c r="Z744" s="7">
        <f t="shared" si="982"/>
        <v>0</v>
      </c>
      <c r="AA744" s="11">
        <f t="shared" si="831"/>
        <v>0</v>
      </c>
      <c r="AB744" s="25"/>
      <c r="AC744" s="10" t="str">
        <f t="shared" si="988"/>
        <v>OutubroSEMANA 3Macarrão Integrale Farfalle</v>
      </c>
      <c r="AD744" s="7">
        <f>SUMIF(NF!$A:$A,$AC744,NF!$I:$I)</f>
        <v>0</v>
      </c>
      <c r="AE744" s="6"/>
      <c r="AF744" s="6"/>
      <c r="AG744" s="6"/>
      <c r="AH744" s="6"/>
      <c r="AI744" s="6"/>
      <c r="AJ744" s="6"/>
      <c r="AK744" s="6"/>
      <c r="AL744" s="7">
        <f t="shared" si="983"/>
        <v>0</v>
      </c>
      <c r="AM744" s="11">
        <f t="shared" si="834"/>
        <v>0</v>
      </c>
      <c r="AN744" s="25"/>
      <c r="AO744" s="10" t="str">
        <f t="shared" si="989"/>
        <v>OutubroSEMANA 4Macarrão Integrale Farfalle</v>
      </c>
      <c r="AP744" s="7">
        <f>SUMIF(NF!$A:$A,$AO744,NF!$I:$I)</f>
        <v>0</v>
      </c>
      <c r="AQ744" s="6"/>
      <c r="AR744" s="6"/>
      <c r="AS744" s="6"/>
      <c r="AT744" s="6"/>
      <c r="AU744" s="6"/>
      <c r="AV744" s="6"/>
      <c r="AW744" s="6"/>
      <c r="AX744" s="7">
        <f t="shared" si="984"/>
        <v>0</v>
      </c>
      <c r="AY744" s="11">
        <f t="shared" si="837"/>
        <v>0</v>
      </c>
      <c r="AZ744" s="25"/>
      <c r="BA744" s="10" t="str">
        <f t="shared" si="990"/>
        <v>OutubroSEMANA 5Macarrão Integrale Farfalle</v>
      </c>
      <c r="BB744" s="7">
        <f>SUMIF(NF!$A:$A,$BA744,NF!$I:$I)</f>
        <v>0</v>
      </c>
      <c r="BC744" s="6"/>
      <c r="BD744" s="6"/>
      <c r="BE744" s="6"/>
      <c r="BF744" s="74"/>
      <c r="BG744" s="74"/>
      <c r="BH744" s="74"/>
      <c r="BI744" s="74"/>
      <c r="BJ744" s="74"/>
      <c r="BK744" s="7">
        <f t="shared" si="985"/>
        <v>0</v>
      </c>
      <c r="BL744" s="8">
        <f t="shared" si="840"/>
        <v>0</v>
      </c>
      <c r="BM744" s="51" t="str">
        <f>IFERROR(VLOOKUP(A744,NF!$M:$O,3,0),"")</f>
        <v>Mercado</v>
      </c>
      <c r="BN744" s="7">
        <f t="shared" si="841"/>
        <v>0</v>
      </c>
      <c r="BO744" s="8">
        <f t="array" ref="BO744">IFERROR(LARGE(IF(NF!$G$2:$G$3137='Mês atual'!A744,NF!$J$2:$J$3137),1),0)*BN744</f>
        <v>0</v>
      </c>
      <c r="BP744" s="50"/>
      <c r="BR744" s="147">
        <f t="array" ref="BR744">IFERROR(LARGE(IF(NF!$G$2:$G$3137='Mês atual'!A744,NF!$J$2:$J$3137),1),0)</f>
        <v>0</v>
      </c>
      <c r="BS744" s="143" t="str">
        <f>VLOOKUP(A744,NF!M:O,3,0)</f>
        <v>Mercado</v>
      </c>
    </row>
    <row r="745" spans="1:71" x14ac:dyDescent="0.25">
      <c r="A745" s="108" t="s">
        <v>487</v>
      </c>
      <c r="B745" s="12"/>
      <c r="C745" s="9">
        <v>2.5</v>
      </c>
      <c r="D745" s="25"/>
      <c r="E745" s="10" t="str">
        <f t="shared" si="986"/>
        <v>OutubroSEMANA 1Macarrão Integrale Penne</v>
      </c>
      <c r="F745" s="7">
        <f>SUMIF(NF!$A:$A,$E745,NF!$I:$I)</f>
        <v>0</v>
      </c>
      <c r="G745" s="6">
        <v>2</v>
      </c>
      <c r="H745" s="6"/>
      <c r="I745" s="6"/>
      <c r="J745" s="6"/>
      <c r="K745" s="6"/>
      <c r="L745" s="6"/>
      <c r="M745" s="6"/>
      <c r="N745" s="7">
        <f t="shared" si="981"/>
        <v>2</v>
      </c>
      <c r="O745" s="11">
        <f t="shared" si="828"/>
        <v>0.5</v>
      </c>
      <c r="P745" s="25"/>
      <c r="Q745" s="10" t="str">
        <f t="shared" si="987"/>
        <v>OutubroSEMANA 2Macarrão Integrale Penne</v>
      </c>
      <c r="R745" s="7">
        <f>SUMIF(NF!$A:$A,$Q745,NF!$I:$I)</f>
        <v>0</v>
      </c>
      <c r="S745" s="6"/>
      <c r="T745" s="6"/>
      <c r="U745" s="6"/>
      <c r="V745" s="6"/>
      <c r="W745" s="6"/>
      <c r="X745" s="6"/>
      <c r="Y745" s="6"/>
      <c r="Z745" s="7">
        <f t="shared" si="982"/>
        <v>0</v>
      </c>
      <c r="AA745" s="11">
        <f t="shared" si="831"/>
        <v>0.5</v>
      </c>
      <c r="AB745" s="25"/>
      <c r="AC745" s="10" t="str">
        <f t="shared" si="988"/>
        <v>OutubroSEMANA 3Macarrão Integrale Penne</v>
      </c>
      <c r="AD745" s="7">
        <f>SUMIF(NF!$A:$A,$AC745,NF!$I:$I)</f>
        <v>0</v>
      </c>
      <c r="AE745" s="6"/>
      <c r="AF745" s="6"/>
      <c r="AG745" s="6"/>
      <c r="AH745" s="6"/>
      <c r="AI745" s="6"/>
      <c r="AJ745" s="6"/>
      <c r="AK745" s="6"/>
      <c r="AL745" s="7">
        <f t="shared" si="983"/>
        <v>0</v>
      </c>
      <c r="AM745" s="11">
        <f t="shared" si="834"/>
        <v>0.5</v>
      </c>
      <c r="AN745" s="25"/>
      <c r="AO745" s="10" t="str">
        <f t="shared" si="989"/>
        <v>OutubroSEMANA 4Macarrão Integrale Penne</v>
      </c>
      <c r="AP745" s="7">
        <f>SUMIF(NF!$A:$A,$AO745,NF!$I:$I)</f>
        <v>0</v>
      </c>
      <c r="AQ745" s="6"/>
      <c r="AR745" s="6"/>
      <c r="AS745" s="6"/>
      <c r="AT745" s="6"/>
      <c r="AU745" s="6"/>
      <c r="AV745" s="6"/>
      <c r="AW745" s="6"/>
      <c r="AX745" s="7">
        <f t="shared" si="984"/>
        <v>0</v>
      </c>
      <c r="AY745" s="11">
        <f t="shared" si="837"/>
        <v>0.5</v>
      </c>
      <c r="AZ745" s="25"/>
      <c r="BA745" s="10" t="str">
        <f t="shared" si="990"/>
        <v>OutubroSEMANA 5Macarrão Integrale Penne</v>
      </c>
      <c r="BB745" s="7">
        <f>SUMIF(NF!$A:$A,$BA745,NF!$I:$I)</f>
        <v>0</v>
      </c>
      <c r="BC745" s="6"/>
      <c r="BD745" s="6"/>
      <c r="BE745" s="6"/>
      <c r="BF745" s="74"/>
      <c r="BG745" s="74"/>
      <c r="BH745" s="74"/>
      <c r="BI745" s="74"/>
      <c r="BJ745" s="74"/>
      <c r="BK745" s="7">
        <f t="shared" si="985"/>
        <v>0</v>
      </c>
      <c r="BL745" s="8">
        <f t="shared" si="840"/>
        <v>0.5</v>
      </c>
      <c r="BM745" s="51" t="str">
        <f>IFERROR(VLOOKUP(A745,NF!$M:$O,3,0),"")</f>
        <v>Mercado</v>
      </c>
      <c r="BN745" s="7">
        <f t="shared" si="841"/>
        <v>2</v>
      </c>
      <c r="BO745" s="8">
        <f t="array" ref="BO745">IFERROR(LARGE(IF(NF!$G$2:$G$3137='Mês atual'!A745,NF!$J$2:$J$3137),1),0)*BN745</f>
        <v>0</v>
      </c>
      <c r="BP745" s="50"/>
      <c r="BR745" s="147">
        <f t="array" ref="BR745">IFERROR(LARGE(IF(NF!$G$2:$G$3137='Mês atual'!A745,NF!$J$2:$J$3137),1),0)</f>
        <v>0</v>
      </c>
      <c r="BS745" s="143" t="str">
        <f>VLOOKUP(A745,NF!M:O,3,0)</f>
        <v>Mercado</v>
      </c>
    </row>
    <row r="746" spans="1:71" x14ac:dyDescent="0.25">
      <c r="A746" s="108" t="s">
        <v>488</v>
      </c>
      <c r="B746" s="12"/>
      <c r="C746" s="9">
        <v>3.5</v>
      </c>
      <c r="D746" s="25"/>
      <c r="E746" s="10" t="str">
        <f t="shared" si="986"/>
        <v>OutubroSEMANA 1Macarrão Linguine</v>
      </c>
      <c r="F746" s="7">
        <f>SUMIF(NF!$A:$A,$E746,NF!$I:$I)</f>
        <v>0</v>
      </c>
      <c r="G746" s="6"/>
      <c r="H746" s="6"/>
      <c r="I746" s="6"/>
      <c r="J746" s="6">
        <v>1.5</v>
      </c>
      <c r="K746" s="6"/>
      <c r="L746" s="6"/>
      <c r="M746" s="6">
        <v>1.5</v>
      </c>
      <c r="N746" s="7">
        <f t="shared" si="981"/>
        <v>3</v>
      </c>
      <c r="O746" s="11">
        <f t="shared" si="828"/>
        <v>0.5</v>
      </c>
      <c r="P746" s="25"/>
      <c r="Q746" s="10" t="str">
        <f t="shared" si="987"/>
        <v>OutubroSEMANA 2Macarrão Linguine</v>
      </c>
      <c r="R746" s="7">
        <f>SUMIF(NF!$A:$A,$Q746,NF!$I:$I)</f>
        <v>0</v>
      </c>
      <c r="S746" s="6"/>
      <c r="T746" s="6"/>
      <c r="U746" s="6"/>
      <c r="V746" s="6"/>
      <c r="W746" s="6"/>
      <c r="X746" s="6"/>
      <c r="Y746" s="6"/>
      <c r="Z746" s="7">
        <f t="shared" si="982"/>
        <v>0</v>
      </c>
      <c r="AA746" s="11">
        <f t="shared" si="831"/>
        <v>0.5</v>
      </c>
      <c r="AB746" s="25"/>
      <c r="AC746" s="10" t="str">
        <f t="shared" si="988"/>
        <v>OutubroSEMANA 3Macarrão Linguine</v>
      </c>
      <c r="AD746" s="7">
        <f>SUMIF(NF!$A:$A,$AC746,NF!$I:$I)</f>
        <v>0</v>
      </c>
      <c r="AE746" s="6"/>
      <c r="AF746" s="6"/>
      <c r="AG746" s="6"/>
      <c r="AH746" s="6"/>
      <c r="AI746" s="6"/>
      <c r="AJ746" s="6"/>
      <c r="AK746" s="6"/>
      <c r="AL746" s="7">
        <f t="shared" si="983"/>
        <v>0</v>
      </c>
      <c r="AM746" s="11">
        <f t="shared" si="834"/>
        <v>0.5</v>
      </c>
      <c r="AN746" s="25"/>
      <c r="AO746" s="10" t="str">
        <f t="shared" si="989"/>
        <v>OutubroSEMANA 4Macarrão Linguine</v>
      </c>
      <c r="AP746" s="7">
        <f>SUMIF(NF!$A:$A,$AO746,NF!$I:$I)</f>
        <v>0</v>
      </c>
      <c r="AQ746" s="6"/>
      <c r="AR746" s="6"/>
      <c r="AS746" s="6"/>
      <c r="AT746" s="6"/>
      <c r="AU746" s="6"/>
      <c r="AV746" s="6"/>
      <c r="AW746" s="6"/>
      <c r="AX746" s="7">
        <f t="shared" si="984"/>
        <v>0</v>
      </c>
      <c r="AY746" s="11">
        <f t="shared" si="837"/>
        <v>0.5</v>
      </c>
      <c r="AZ746" s="25"/>
      <c r="BA746" s="10" t="str">
        <f t="shared" si="990"/>
        <v>OutubroSEMANA 5Macarrão Linguine</v>
      </c>
      <c r="BB746" s="7">
        <f>SUMIF(NF!$A:$A,$BA746,NF!$I:$I)</f>
        <v>0</v>
      </c>
      <c r="BC746" s="6"/>
      <c r="BD746" s="6"/>
      <c r="BE746" s="6"/>
      <c r="BF746" s="74"/>
      <c r="BG746" s="74"/>
      <c r="BH746" s="74"/>
      <c r="BI746" s="74"/>
      <c r="BJ746" s="74"/>
      <c r="BK746" s="7">
        <f t="shared" si="985"/>
        <v>0</v>
      </c>
      <c r="BL746" s="8">
        <f t="shared" si="840"/>
        <v>0.5</v>
      </c>
      <c r="BM746" s="51" t="str">
        <f>IFERROR(VLOOKUP(A746,NF!$M:$O,3,0),"")</f>
        <v>Mercado</v>
      </c>
      <c r="BN746" s="7">
        <f t="shared" si="841"/>
        <v>3</v>
      </c>
      <c r="BO746" s="8">
        <f t="array" ref="BO746">IFERROR(LARGE(IF(NF!$G$2:$G$3137='Mês atual'!A746,NF!$J$2:$J$3137),1),0)*BN746</f>
        <v>0</v>
      </c>
      <c r="BP746" s="50"/>
      <c r="BR746" s="147">
        <f t="array" ref="BR746">IFERROR(LARGE(IF(NF!$G$2:$G$3137='Mês atual'!A746,NF!$J$2:$J$3137),1),0)</f>
        <v>0</v>
      </c>
      <c r="BS746" s="143" t="str">
        <f>VLOOKUP(A746,NF!M:O,3,0)</f>
        <v>Mercado</v>
      </c>
    </row>
    <row r="747" spans="1:71" x14ac:dyDescent="0.25">
      <c r="A747" s="108" t="s">
        <v>489</v>
      </c>
      <c r="B747" s="12"/>
      <c r="C747" s="9">
        <v>1.8</v>
      </c>
      <c r="D747" s="25"/>
      <c r="E747" s="10" t="str">
        <f t="shared" si="986"/>
        <v>OutubroSEMANA 1Macarrão Pappardelle</v>
      </c>
      <c r="F747" s="7">
        <f>SUMIF(NF!$A:$A,$E747,NF!$I:$I)</f>
        <v>0</v>
      </c>
      <c r="G747" s="6"/>
      <c r="H747" s="6"/>
      <c r="I747" s="6"/>
      <c r="J747" s="6"/>
      <c r="K747" s="6"/>
      <c r="L747" s="6"/>
      <c r="M747" s="6"/>
      <c r="N747" s="7">
        <f t="shared" si="981"/>
        <v>0</v>
      </c>
      <c r="O747" s="11">
        <f t="shared" si="828"/>
        <v>1.8</v>
      </c>
      <c r="P747" s="25"/>
      <c r="Q747" s="10" t="str">
        <f t="shared" si="987"/>
        <v>OutubroSEMANA 2Macarrão Pappardelle</v>
      </c>
      <c r="R747" s="7">
        <f>SUMIF(NF!$A:$A,$Q747,NF!$I:$I)</f>
        <v>0</v>
      </c>
      <c r="S747" s="6">
        <v>1</v>
      </c>
      <c r="T747" s="6"/>
      <c r="U747" s="6">
        <v>0.2</v>
      </c>
      <c r="V747" s="6"/>
      <c r="W747" s="6"/>
      <c r="X747" s="6"/>
      <c r="Y747" s="6"/>
      <c r="Z747" s="7">
        <f t="shared" si="982"/>
        <v>1.2</v>
      </c>
      <c r="AA747" s="11">
        <f t="shared" si="831"/>
        <v>0.60000000000000009</v>
      </c>
      <c r="AB747" s="25"/>
      <c r="AC747" s="10" t="str">
        <f t="shared" si="988"/>
        <v>OutubroSEMANA 3Macarrão Pappardelle</v>
      </c>
      <c r="AD747" s="7">
        <f>SUMIF(NF!$A:$A,$AC747,NF!$I:$I)</f>
        <v>0</v>
      </c>
      <c r="AE747" s="6"/>
      <c r="AF747" s="6"/>
      <c r="AG747" s="6"/>
      <c r="AH747" s="6"/>
      <c r="AI747" s="6"/>
      <c r="AJ747" s="6"/>
      <c r="AK747" s="6"/>
      <c r="AL747" s="7">
        <f t="shared" si="983"/>
        <v>0</v>
      </c>
      <c r="AM747" s="11">
        <f t="shared" si="834"/>
        <v>0.60000000000000009</v>
      </c>
      <c r="AN747" s="25"/>
      <c r="AO747" s="10" t="str">
        <f t="shared" si="989"/>
        <v>OutubroSEMANA 4Macarrão Pappardelle</v>
      </c>
      <c r="AP747" s="7">
        <f>SUMIF(NF!$A:$A,$AO747,NF!$I:$I)</f>
        <v>0</v>
      </c>
      <c r="AQ747" s="6"/>
      <c r="AR747" s="6"/>
      <c r="AS747" s="6"/>
      <c r="AT747" s="6"/>
      <c r="AU747" s="6"/>
      <c r="AV747" s="6"/>
      <c r="AW747" s="6"/>
      <c r="AX747" s="7">
        <f t="shared" si="984"/>
        <v>0</v>
      </c>
      <c r="AY747" s="11">
        <f t="shared" si="837"/>
        <v>0.60000000000000009</v>
      </c>
      <c r="AZ747" s="25"/>
      <c r="BA747" s="10" t="str">
        <f t="shared" si="990"/>
        <v>OutubroSEMANA 5Macarrão Pappardelle</v>
      </c>
      <c r="BB747" s="7">
        <f>SUMIF(NF!$A:$A,$BA747,NF!$I:$I)</f>
        <v>0</v>
      </c>
      <c r="BC747" s="6"/>
      <c r="BD747" s="6"/>
      <c r="BE747" s="6"/>
      <c r="BF747" s="74"/>
      <c r="BG747" s="74"/>
      <c r="BH747" s="74"/>
      <c r="BI747" s="74"/>
      <c r="BJ747" s="74"/>
      <c r="BK747" s="7">
        <f t="shared" si="985"/>
        <v>0</v>
      </c>
      <c r="BL747" s="8">
        <f t="shared" si="840"/>
        <v>0.60000000000000009</v>
      </c>
      <c r="BM747" s="51" t="str">
        <f>IFERROR(VLOOKUP(A747,NF!$M:$O,3,0),"")</f>
        <v>Mercado</v>
      </c>
      <c r="BN747" s="7">
        <f t="shared" si="841"/>
        <v>1.2</v>
      </c>
      <c r="BO747" s="8">
        <f t="array" ref="BO747">IFERROR(LARGE(IF(NF!$G$2:$G$3137='Mês atual'!A747,NF!$J$2:$J$3137),1),0)*BN747</f>
        <v>0</v>
      </c>
      <c r="BP747" s="50"/>
      <c r="BR747" s="147">
        <f t="array" ref="BR747">IFERROR(LARGE(IF(NF!$G$2:$G$3137='Mês atual'!A747,NF!$J$2:$J$3137),1),0)</f>
        <v>0</v>
      </c>
      <c r="BS747" s="143" t="str">
        <f>VLOOKUP(A747,NF!M:O,3,0)</f>
        <v>Mercado</v>
      </c>
    </row>
    <row r="748" spans="1:71" x14ac:dyDescent="0.25">
      <c r="A748" s="108" t="s">
        <v>490</v>
      </c>
      <c r="B748" s="12"/>
      <c r="C748" s="9">
        <v>7</v>
      </c>
      <c r="D748" s="25"/>
      <c r="E748" s="10" t="str">
        <f t="shared" si="986"/>
        <v>OutubroSEMANA 1Macarrão Penne</v>
      </c>
      <c r="F748" s="7">
        <f>SUMIF(NF!$A:$A,$E748,NF!$I:$I)</f>
        <v>0</v>
      </c>
      <c r="G748" s="6"/>
      <c r="H748" s="6"/>
      <c r="I748" s="6"/>
      <c r="J748" s="6"/>
      <c r="K748" s="6"/>
      <c r="L748" s="6">
        <v>1.5</v>
      </c>
      <c r="M748" s="6"/>
      <c r="N748" s="7">
        <f t="shared" si="981"/>
        <v>1.5</v>
      </c>
      <c r="O748" s="11">
        <f t="shared" si="828"/>
        <v>5.5</v>
      </c>
      <c r="P748" s="25"/>
      <c r="Q748" s="10" t="str">
        <f t="shared" si="987"/>
        <v>OutubroSEMANA 2Macarrão Penne</v>
      </c>
      <c r="R748" s="7">
        <f>SUMIF(NF!$A:$A,$Q748,NF!$I:$I)</f>
        <v>0</v>
      </c>
      <c r="S748" s="6"/>
      <c r="T748" s="6"/>
      <c r="U748" s="6"/>
      <c r="V748" s="6"/>
      <c r="W748" s="6"/>
      <c r="X748" s="6"/>
      <c r="Y748" s="6"/>
      <c r="Z748" s="7">
        <f t="shared" si="982"/>
        <v>0</v>
      </c>
      <c r="AA748" s="11">
        <f t="shared" si="831"/>
        <v>5.5</v>
      </c>
      <c r="AB748" s="25"/>
      <c r="AC748" s="10" t="str">
        <f t="shared" si="988"/>
        <v>OutubroSEMANA 3Macarrão Penne</v>
      </c>
      <c r="AD748" s="7">
        <f>SUMIF(NF!$A:$A,$AC748,NF!$I:$I)</f>
        <v>0</v>
      </c>
      <c r="AE748" s="6"/>
      <c r="AF748" s="6"/>
      <c r="AG748" s="6">
        <v>2.5</v>
      </c>
      <c r="AH748" s="6"/>
      <c r="AI748" s="6"/>
      <c r="AJ748" s="6"/>
      <c r="AK748" s="6"/>
      <c r="AL748" s="7">
        <f t="shared" si="983"/>
        <v>2.5</v>
      </c>
      <c r="AM748" s="11">
        <f t="shared" si="834"/>
        <v>3</v>
      </c>
      <c r="AN748" s="25"/>
      <c r="AO748" s="10" t="str">
        <f t="shared" si="989"/>
        <v>OutubroSEMANA 4Macarrão Penne</v>
      </c>
      <c r="AP748" s="7">
        <f>SUMIF(NF!$A:$A,$AO748,NF!$I:$I)</f>
        <v>0</v>
      </c>
      <c r="AQ748" s="6"/>
      <c r="AR748" s="6"/>
      <c r="AS748" s="6"/>
      <c r="AT748" s="6"/>
      <c r="AU748" s="6">
        <v>1</v>
      </c>
      <c r="AV748" s="6"/>
      <c r="AW748" s="6"/>
      <c r="AX748" s="7">
        <f t="shared" si="984"/>
        <v>1</v>
      </c>
      <c r="AY748" s="11">
        <f t="shared" si="837"/>
        <v>2</v>
      </c>
      <c r="AZ748" s="25"/>
      <c r="BA748" s="10" t="str">
        <f t="shared" si="990"/>
        <v>OutubroSEMANA 5Macarrão Penne</v>
      </c>
      <c r="BB748" s="7">
        <f>SUMIF(NF!$A:$A,$BA748,NF!$I:$I)</f>
        <v>0</v>
      </c>
      <c r="BC748" s="6">
        <v>1</v>
      </c>
      <c r="BD748" s="6">
        <v>1</v>
      </c>
      <c r="BE748" s="6"/>
      <c r="BF748" s="74"/>
      <c r="BG748" s="74"/>
      <c r="BH748" s="74"/>
      <c r="BI748" s="74"/>
      <c r="BJ748" s="74"/>
      <c r="BK748" s="7">
        <f t="shared" si="985"/>
        <v>2</v>
      </c>
      <c r="BL748" s="8">
        <f t="shared" si="840"/>
        <v>0</v>
      </c>
      <c r="BM748" s="51" t="str">
        <f>IFERROR(VLOOKUP(A748,NF!$M:$O,3,0),"")</f>
        <v>Mercado</v>
      </c>
      <c r="BN748" s="7">
        <f t="shared" si="841"/>
        <v>7</v>
      </c>
      <c r="BO748" s="8">
        <f t="array" ref="BO748">IFERROR(LARGE(IF(NF!$G$2:$G$3137='Mês atual'!A748,NF!$J$2:$J$3137),1),0)*BN748</f>
        <v>0</v>
      </c>
      <c r="BP748" s="50"/>
      <c r="BR748" s="147">
        <f t="array" ref="BR748">IFERROR(LARGE(IF(NF!$G$2:$G$3137='Mês atual'!A748,NF!$J$2:$J$3137),1),0)</f>
        <v>0</v>
      </c>
      <c r="BS748" s="143" t="str">
        <f>VLOOKUP(A748,NF!M:O,3,0)</f>
        <v>Mercado</v>
      </c>
    </row>
    <row r="749" spans="1:71" x14ac:dyDescent="0.25">
      <c r="A749" s="108" t="s">
        <v>491</v>
      </c>
      <c r="B749" s="12"/>
      <c r="C749" s="9">
        <v>12</v>
      </c>
      <c r="D749" s="25"/>
      <c r="E749" s="10" t="str">
        <f t="shared" si="986"/>
        <v>OutubroSEMANA 1Macarrão Talharim</v>
      </c>
      <c r="F749" s="7">
        <f>SUMIF(NF!$A:$A,$E749,NF!$I:$I)</f>
        <v>0</v>
      </c>
      <c r="G749" s="6"/>
      <c r="H749" s="6">
        <v>1.5</v>
      </c>
      <c r="I749" s="6"/>
      <c r="J749" s="6"/>
      <c r="K749" s="6"/>
      <c r="L749" s="6"/>
      <c r="M749" s="6"/>
      <c r="N749" s="7">
        <f t="shared" si="981"/>
        <v>1.5</v>
      </c>
      <c r="O749" s="11">
        <f t="shared" si="828"/>
        <v>10.5</v>
      </c>
      <c r="P749" s="25"/>
      <c r="Q749" s="10" t="str">
        <f t="shared" si="987"/>
        <v>OutubroSEMANA 2Macarrão Talharim</v>
      </c>
      <c r="R749" s="7">
        <f>SUMIF(NF!$A:$A,$Q749,NF!$I:$I)</f>
        <v>0</v>
      </c>
      <c r="S749" s="6"/>
      <c r="T749" s="6"/>
      <c r="U749" s="6">
        <v>1.5</v>
      </c>
      <c r="V749" s="6"/>
      <c r="W749" s="6"/>
      <c r="X749" s="6"/>
      <c r="Y749" s="6"/>
      <c r="Z749" s="7">
        <f t="shared" si="982"/>
        <v>1.5</v>
      </c>
      <c r="AA749" s="11">
        <f t="shared" si="831"/>
        <v>9</v>
      </c>
      <c r="AB749" s="25"/>
      <c r="AC749" s="10" t="str">
        <f t="shared" si="988"/>
        <v>OutubroSEMANA 3Macarrão Talharim</v>
      </c>
      <c r="AD749" s="7">
        <f>SUMIF(NF!$A:$A,$AC749,NF!$I:$I)</f>
        <v>0</v>
      </c>
      <c r="AE749" s="6"/>
      <c r="AF749" s="6">
        <v>1</v>
      </c>
      <c r="AG749" s="6"/>
      <c r="AH749" s="6"/>
      <c r="AI749" s="6"/>
      <c r="AJ749" s="6"/>
      <c r="AK749" s="6"/>
      <c r="AL749" s="7">
        <f t="shared" si="983"/>
        <v>1</v>
      </c>
      <c r="AM749" s="11">
        <f t="shared" si="834"/>
        <v>8</v>
      </c>
      <c r="AN749" s="25"/>
      <c r="AO749" s="10" t="str">
        <f t="shared" si="989"/>
        <v>OutubroSEMANA 4Macarrão Talharim</v>
      </c>
      <c r="AP749" s="7">
        <f>SUMIF(NF!$A:$A,$AO749,NF!$I:$I)</f>
        <v>0</v>
      </c>
      <c r="AQ749" s="6"/>
      <c r="AR749" s="6"/>
      <c r="AS749" s="6"/>
      <c r="AT749" s="6"/>
      <c r="AU749" s="6"/>
      <c r="AV749" s="6">
        <v>1.5</v>
      </c>
      <c r="AW749" s="6"/>
      <c r="AX749" s="7">
        <f t="shared" si="984"/>
        <v>1.5</v>
      </c>
      <c r="AY749" s="11">
        <f t="shared" si="837"/>
        <v>6.5</v>
      </c>
      <c r="AZ749" s="25"/>
      <c r="BA749" s="10" t="str">
        <f t="shared" si="990"/>
        <v>OutubroSEMANA 5Macarrão Talharim</v>
      </c>
      <c r="BB749" s="7">
        <f>SUMIF(NF!$A:$A,$BA749,NF!$I:$I)</f>
        <v>0</v>
      </c>
      <c r="BC749" s="6"/>
      <c r="BD749" s="6"/>
      <c r="BE749" s="6"/>
      <c r="BF749" s="74"/>
      <c r="BG749" s="74"/>
      <c r="BH749" s="74"/>
      <c r="BI749" s="74"/>
      <c r="BJ749" s="74"/>
      <c r="BK749" s="7">
        <f t="shared" si="985"/>
        <v>0</v>
      </c>
      <c r="BL749" s="8">
        <f t="shared" si="840"/>
        <v>6.5</v>
      </c>
      <c r="BM749" s="51" t="str">
        <f>IFERROR(VLOOKUP(A749,NF!$M:$O,3,0),"")</f>
        <v>Mercado</v>
      </c>
      <c r="BN749" s="7">
        <f t="shared" si="841"/>
        <v>5.5</v>
      </c>
      <c r="BO749" s="8">
        <f t="array" ref="BO749">IFERROR(LARGE(IF(NF!$G$2:$G$3137='Mês atual'!A749,NF!$J$2:$J$3137),1),0)*BN749</f>
        <v>0</v>
      </c>
      <c r="BP749" s="50"/>
      <c r="BR749" s="147">
        <f t="array" ref="BR749">IFERROR(LARGE(IF(NF!$G$2:$G$3137='Mês atual'!A749,NF!$J$2:$J$3137),1),0)</f>
        <v>0</v>
      </c>
      <c r="BS749" s="143" t="str">
        <f>VLOOKUP(A749,NF!M:O,3,0)</f>
        <v>Mercado</v>
      </c>
    </row>
    <row r="750" spans="1:71" x14ac:dyDescent="0.25">
      <c r="A750" s="108" t="s">
        <v>492</v>
      </c>
      <c r="B750" s="12"/>
      <c r="C750" s="9">
        <v>5</v>
      </c>
      <c r="D750" s="25"/>
      <c r="E750" s="10" t="str">
        <f t="shared" si="986"/>
        <v>OutubroSEMANA 1Maionese Hellmanns Bd 3 Kg</v>
      </c>
      <c r="F750" s="7">
        <f>SUMIF(NF!$A:$A,$E750,NF!$I:$I)</f>
        <v>6</v>
      </c>
      <c r="G750" s="6">
        <v>1</v>
      </c>
      <c r="H750" s="6">
        <v>1</v>
      </c>
      <c r="I750" s="6"/>
      <c r="J750" s="6"/>
      <c r="K750" s="6">
        <v>1</v>
      </c>
      <c r="L750" s="6"/>
      <c r="M750" s="6"/>
      <c r="N750" s="7">
        <f t="shared" si="981"/>
        <v>3</v>
      </c>
      <c r="O750" s="11">
        <f t="shared" si="828"/>
        <v>8</v>
      </c>
      <c r="P750" s="25"/>
      <c r="Q750" s="10" t="str">
        <f t="shared" si="987"/>
        <v>OutubroSEMANA 2Maionese Hellmanns Bd 3 Kg</v>
      </c>
      <c r="R750" s="7">
        <f>SUMIF(NF!$A:$A,$Q750,NF!$I:$I)</f>
        <v>6</v>
      </c>
      <c r="S750" s="6">
        <v>1</v>
      </c>
      <c r="T750" s="6">
        <v>1</v>
      </c>
      <c r="U750" s="6">
        <v>1</v>
      </c>
      <c r="V750" s="6">
        <v>1</v>
      </c>
      <c r="W750" s="6">
        <v>1</v>
      </c>
      <c r="X750" s="6">
        <v>1</v>
      </c>
      <c r="Y750" s="6"/>
      <c r="Z750" s="7">
        <f t="shared" si="982"/>
        <v>6</v>
      </c>
      <c r="AA750" s="11">
        <f t="shared" si="831"/>
        <v>8</v>
      </c>
      <c r="AB750" s="25"/>
      <c r="AC750" s="10" t="str">
        <f t="shared" si="988"/>
        <v>OutubroSEMANA 3Maionese Hellmanns Bd 3 Kg</v>
      </c>
      <c r="AD750" s="7">
        <f>SUMIF(NF!$A:$A,$AC750,NF!$I:$I)</f>
        <v>0</v>
      </c>
      <c r="AE750" s="6"/>
      <c r="AF750" s="6"/>
      <c r="AG750" s="6">
        <v>1</v>
      </c>
      <c r="AH750" s="6"/>
      <c r="AI750" s="6">
        <v>1</v>
      </c>
      <c r="AJ750" s="6"/>
      <c r="AK750" s="6">
        <v>1</v>
      </c>
      <c r="AL750" s="7">
        <f t="shared" si="983"/>
        <v>3</v>
      </c>
      <c r="AM750" s="11">
        <f t="shared" si="834"/>
        <v>5</v>
      </c>
      <c r="AN750" s="25"/>
      <c r="AO750" s="10" t="str">
        <f t="shared" si="989"/>
        <v>OutubroSEMANA 4Maionese Hellmanns Bd 3 Kg</v>
      </c>
      <c r="AP750" s="7">
        <f>SUMIF(NF!$A:$A,$AO750,NF!$I:$I)</f>
        <v>6</v>
      </c>
      <c r="AQ750" s="6"/>
      <c r="AR750" s="6">
        <v>1</v>
      </c>
      <c r="AS750" s="6"/>
      <c r="AT750" s="6">
        <v>1</v>
      </c>
      <c r="AU750" s="6"/>
      <c r="AV750" s="6">
        <v>1</v>
      </c>
      <c r="AW750" s="6"/>
      <c r="AX750" s="7">
        <f t="shared" si="984"/>
        <v>3</v>
      </c>
      <c r="AY750" s="11">
        <f t="shared" si="837"/>
        <v>8</v>
      </c>
      <c r="AZ750" s="25"/>
      <c r="BA750" s="10" t="str">
        <f t="shared" si="990"/>
        <v>OutubroSEMANA 5Maionese Hellmanns Bd 3 Kg</v>
      </c>
      <c r="BB750" s="7">
        <f>SUMIF(NF!$A:$A,$BA750,NF!$I:$I)</f>
        <v>0</v>
      </c>
      <c r="BC750" s="6">
        <v>1</v>
      </c>
      <c r="BD750" s="6"/>
      <c r="BE750" s="6">
        <v>1</v>
      </c>
      <c r="BF750" s="74"/>
      <c r="BG750" s="74"/>
      <c r="BH750" s="74"/>
      <c r="BI750" s="74"/>
      <c r="BJ750" s="74"/>
      <c r="BK750" s="7">
        <f t="shared" si="985"/>
        <v>2</v>
      </c>
      <c r="BL750" s="8">
        <f t="shared" si="840"/>
        <v>6</v>
      </c>
      <c r="BM750" s="51" t="str">
        <f>IFERROR(VLOOKUP(A750,NF!$M:$O,3,0),"")</f>
        <v>Mercado</v>
      </c>
      <c r="BN750" s="7">
        <f t="shared" si="841"/>
        <v>17</v>
      </c>
      <c r="BO750" s="8">
        <f t="array" ref="BO750">IFERROR(LARGE(IF(NF!$G$2:$G$3137='Mês atual'!A750,NF!$J$2:$J$3137),1),0)*BN750</f>
        <v>414.12</v>
      </c>
      <c r="BP750" s="50"/>
      <c r="BR750" s="147">
        <f t="array" ref="BR750">IFERROR(LARGE(IF(NF!$G$2:$G$3137='Mês atual'!A750,NF!$J$2:$J$3137),1),0)</f>
        <v>24.36</v>
      </c>
      <c r="BS750" s="143" t="str">
        <f>VLOOKUP(A750,NF!M:O,3,0)</f>
        <v>Mercado</v>
      </c>
    </row>
    <row r="751" spans="1:71" x14ac:dyDescent="0.25">
      <c r="A751" s="108" t="s">
        <v>493</v>
      </c>
      <c r="B751" s="12"/>
      <c r="C751" s="9">
        <v>12</v>
      </c>
      <c r="D751" s="25"/>
      <c r="E751" s="10" t="str">
        <f t="shared" si="986"/>
        <v>OutubroSEMANA 1Maisena Amido de Milho 1 Kg</v>
      </c>
      <c r="F751" s="7">
        <f>SUMIF(NF!$A:$A,$E751,NF!$I:$I)</f>
        <v>0</v>
      </c>
      <c r="G751" s="6"/>
      <c r="H751" s="6">
        <v>1</v>
      </c>
      <c r="I751" s="6">
        <v>1</v>
      </c>
      <c r="J751" s="6">
        <v>1</v>
      </c>
      <c r="K751" s="6">
        <v>1</v>
      </c>
      <c r="L751" s="6">
        <v>2</v>
      </c>
      <c r="M751" s="6"/>
      <c r="N751" s="7">
        <f t="shared" si="981"/>
        <v>6</v>
      </c>
      <c r="O751" s="11">
        <f t="shared" si="828"/>
        <v>6</v>
      </c>
      <c r="P751" s="25"/>
      <c r="Q751" s="10" t="str">
        <f t="shared" si="987"/>
        <v>OutubroSEMANA 2Maisena Amido de Milho 1 Kg</v>
      </c>
      <c r="R751" s="7">
        <f>SUMIF(NF!$A:$A,$Q751,NF!$I:$I)</f>
        <v>10</v>
      </c>
      <c r="S751" s="6">
        <v>1</v>
      </c>
      <c r="T751" s="6"/>
      <c r="U751" s="6">
        <v>1</v>
      </c>
      <c r="V751" s="6">
        <v>1</v>
      </c>
      <c r="W751" s="6">
        <v>1</v>
      </c>
      <c r="X751" s="6"/>
      <c r="Y751" s="6">
        <v>1</v>
      </c>
      <c r="Z751" s="7">
        <f t="shared" si="982"/>
        <v>5</v>
      </c>
      <c r="AA751" s="11">
        <f t="shared" si="831"/>
        <v>11</v>
      </c>
      <c r="AB751" s="25"/>
      <c r="AC751" s="10" t="str">
        <f t="shared" si="988"/>
        <v>OutubroSEMANA 3Maisena Amido de Milho 1 Kg</v>
      </c>
      <c r="AD751" s="7">
        <f>SUMIF(NF!$A:$A,$AC751,NF!$I:$I)</f>
        <v>0</v>
      </c>
      <c r="AE751" s="6"/>
      <c r="AF751" s="6">
        <v>1</v>
      </c>
      <c r="AG751" s="6">
        <v>1</v>
      </c>
      <c r="AH751" s="6">
        <v>1</v>
      </c>
      <c r="AI751" s="6">
        <v>1</v>
      </c>
      <c r="AJ751" s="6">
        <v>1</v>
      </c>
      <c r="AK751" s="6">
        <v>1</v>
      </c>
      <c r="AL751" s="7">
        <f t="shared" si="983"/>
        <v>6</v>
      </c>
      <c r="AM751" s="11">
        <f t="shared" si="834"/>
        <v>5</v>
      </c>
      <c r="AN751" s="25"/>
      <c r="AO751" s="10" t="str">
        <f t="shared" si="989"/>
        <v>OutubroSEMANA 4Maisena Amido de Milho 1 Kg</v>
      </c>
      <c r="AP751" s="7">
        <f>SUMIF(NF!$A:$A,$AO751,NF!$I:$I)</f>
        <v>4</v>
      </c>
      <c r="AQ751" s="6"/>
      <c r="AR751" s="6">
        <v>1</v>
      </c>
      <c r="AS751" s="6">
        <v>1</v>
      </c>
      <c r="AT751" s="6">
        <v>2</v>
      </c>
      <c r="AU751" s="6">
        <v>1</v>
      </c>
      <c r="AV751" s="6"/>
      <c r="AW751" s="6">
        <v>1</v>
      </c>
      <c r="AX751" s="7">
        <f t="shared" si="984"/>
        <v>6</v>
      </c>
      <c r="AY751" s="11">
        <f t="shared" si="837"/>
        <v>3</v>
      </c>
      <c r="AZ751" s="25"/>
      <c r="BA751" s="10" t="str">
        <f t="shared" si="990"/>
        <v>OutubroSEMANA 5Maisena Amido de Milho 1 Kg</v>
      </c>
      <c r="BB751" s="7">
        <f>SUMIF(NF!$A:$A,$BA751,NF!$I:$I)</f>
        <v>7</v>
      </c>
      <c r="BC751" s="6">
        <v>1</v>
      </c>
      <c r="BD751" s="6"/>
      <c r="BE751" s="6">
        <v>2</v>
      </c>
      <c r="BF751" s="74"/>
      <c r="BG751" s="74"/>
      <c r="BH751" s="74"/>
      <c r="BI751" s="74"/>
      <c r="BJ751" s="74"/>
      <c r="BK751" s="7">
        <f t="shared" si="985"/>
        <v>3</v>
      </c>
      <c r="BL751" s="8">
        <f t="shared" si="840"/>
        <v>7</v>
      </c>
      <c r="BM751" s="51" t="str">
        <f>IFERROR(VLOOKUP(A751,NF!$M:$O,3,0),"")</f>
        <v>Mercado</v>
      </c>
      <c r="BN751" s="7">
        <f t="shared" si="841"/>
        <v>26</v>
      </c>
      <c r="BO751" s="8">
        <f t="array" ref="BO751">IFERROR(LARGE(IF(NF!$G$2:$G$3137='Mês atual'!A751,NF!$J$2:$J$3137),1),0)*BN751</f>
        <v>296.92</v>
      </c>
      <c r="BP751" s="50"/>
      <c r="BR751" s="147">
        <f t="array" ref="BR751">IFERROR(LARGE(IF(NF!$G$2:$G$3137='Mês atual'!A751,NF!$J$2:$J$3137),1),0)</f>
        <v>11.42</v>
      </c>
      <c r="BS751" s="143" t="str">
        <f>VLOOKUP(A751,NF!M:O,3,0)</f>
        <v>Mercado</v>
      </c>
    </row>
    <row r="752" spans="1:71" x14ac:dyDescent="0.25">
      <c r="A752" s="108" t="s">
        <v>503</v>
      </c>
      <c r="B752" s="12"/>
      <c r="C752" s="9">
        <v>1</v>
      </c>
      <c r="D752" s="25"/>
      <c r="E752" s="10" t="str">
        <f t="shared" si="986"/>
        <v>OutubroSEMANA 1Manteiga de Garrafa</v>
      </c>
      <c r="F752" s="7">
        <f>SUMIF(NF!$A:$A,$E752,NF!$I:$I)</f>
        <v>0</v>
      </c>
      <c r="G752" s="6"/>
      <c r="H752" s="6"/>
      <c r="I752" s="6"/>
      <c r="J752" s="6"/>
      <c r="K752" s="6"/>
      <c r="L752" s="6"/>
      <c r="M752" s="6"/>
      <c r="N752" s="7">
        <f t="shared" si="981"/>
        <v>0</v>
      </c>
      <c r="O752" s="11">
        <f t="shared" si="828"/>
        <v>1</v>
      </c>
      <c r="P752" s="25"/>
      <c r="Q752" s="10" t="str">
        <f t="shared" si="987"/>
        <v>OutubroSEMANA 2Manteiga de Garrafa</v>
      </c>
      <c r="R752" s="7">
        <f>SUMIF(NF!$A:$A,$Q752,NF!$I:$I)</f>
        <v>1</v>
      </c>
      <c r="S752" s="6"/>
      <c r="T752" s="6">
        <v>1</v>
      </c>
      <c r="U752" s="6"/>
      <c r="V752" s="6"/>
      <c r="W752" s="6"/>
      <c r="X752" s="6"/>
      <c r="Y752" s="6"/>
      <c r="Z752" s="7">
        <f t="shared" si="982"/>
        <v>1</v>
      </c>
      <c r="AA752" s="11">
        <f t="shared" si="831"/>
        <v>1</v>
      </c>
      <c r="AB752" s="25"/>
      <c r="AC752" s="10" t="str">
        <f t="shared" si="988"/>
        <v>OutubroSEMANA 3Manteiga de Garrafa</v>
      </c>
      <c r="AD752" s="7">
        <f>SUMIF(NF!$A:$A,$AC752,NF!$I:$I)</f>
        <v>0</v>
      </c>
      <c r="AE752" s="6"/>
      <c r="AF752" s="6"/>
      <c r="AG752" s="6"/>
      <c r="AH752" s="6"/>
      <c r="AI752" s="6"/>
      <c r="AJ752" s="6"/>
      <c r="AK752" s="6"/>
      <c r="AL752" s="7">
        <f t="shared" si="983"/>
        <v>0</v>
      </c>
      <c r="AM752" s="11">
        <f t="shared" si="834"/>
        <v>1</v>
      </c>
      <c r="AN752" s="25"/>
      <c r="AO752" s="10" t="str">
        <f t="shared" si="989"/>
        <v>OutubroSEMANA 4Manteiga de Garrafa</v>
      </c>
      <c r="AP752" s="7">
        <f>SUMIF(NF!$A:$A,$AO752,NF!$I:$I)</f>
        <v>0</v>
      </c>
      <c r="AQ752" s="6"/>
      <c r="AR752" s="6"/>
      <c r="AS752" s="6"/>
      <c r="AT752" s="6"/>
      <c r="AU752" s="6"/>
      <c r="AV752" s="6"/>
      <c r="AW752" s="6"/>
      <c r="AX752" s="7">
        <f t="shared" si="984"/>
        <v>0</v>
      </c>
      <c r="AY752" s="11">
        <f t="shared" si="837"/>
        <v>1</v>
      </c>
      <c r="AZ752" s="25"/>
      <c r="BA752" s="10" t="str">
        <f t="shared" si="990"/>
        <v>OutubroSEMANA 5Manteiga de Garrafa</v>
      </c>
      <c r="BB752" s="7">
        <f>SUMIF(NF!$A:$A,$BA752,NF!$I:$I)</f>
        <v>0</v>
      </c>
      <c r="BC752" s="6"/>
      <c r="BD752" s="6"/>
      <c r="BE752" s="6"/>
      <c r="BF752" s="74"/>
      <c r="BG752" s="74"/>
      <c r="BH752" s="74"/>
      <c r="BI752" s="74"/>
      <c r="BJ752" s="74"/>
      <c r="BK752" s="7">
        <f t="shared" si="985"/>
        <v>0</v>
      </c>
      <c r="BL752" s="8">
        <f t="shared" si="840"/>
        <v>1</v>
      </c>
      <c r="BM752" s="51" t="str">
        <f>IFERROR(VLOOKUP(A752,NF!$M:$O,3,0),"")</f>
        <v>Mercado</v>
      </c>
      <c r="BN752" s="7">
        <f t="shared" si="841"/>
        <v>1</v>
      </c>
      <c r="BO752" s="8">
        <f t="array" ref="BO752">IFERROR(LARGE(IF(NF!$G$2:$G$3137='Mês atual'!A752,NF!$J$2:$J$3137),1),0)*BN752</f>
        <v>22.05</v>
      </c>
      <c r="BP752" s="50"/>
      <c r="BR752" s="147">
        <f t="array" ref="BR752">IFERROR(LARGE(IF(NF!$G$2:$G$3137='Mês atual'!A752,NF!$J$2:$J$3137),1),0)</f>
        <v>22.05</v>
      </c>
      <c r="BS752" s="143" t="str">
        <f>VLOOKUP(A752,NF!M:O,3,0)</f>
        <v>Mercado</v>
      </c>
    </row>
    <row r="753" spans="1:71" x14ac:dyDescent="0.25">
      <c r="A753" s="108" t="s">
        <v>505</v>
      </c>
      <c r="B753" s="12"/>
      <c r="C753" s="9">
        <v>2</v>
      </c>
      <c r="D753" s="25"/>
      <c r="E753" s="10" t="str">
        <f t="shared" si="986"/>
        <v>OutubroSEMANA 1Margarina Bd 15 Kg</v>
      </c>
      <c r="F753" s="7">
        <f>SUMIF(NF!$A:$A,$E753,NF!$I:$I)</f>
        <v>1</v>
      </c>
      <c r="G753" s="6">
        <v>1</v>
      </c>
      <c r="H753" s="6"/>
      <c r="I753" s="6"/>
      <c r="J753" s="6"/>
      <c r="K753" s="6"/>
      <c r="L753" s="6"/>
      <c r="M753" s="6"/>
      <c r="N753" s="7">
        <f t="shared" si="981"/>
        <v>1</v>
      </c>
      <c r="O753" s="11">
        <f t="shared" si="828"/>
        <v>2</v>
      </c>
      <c r="P753" s="25"/>
      <c r="Q753" s="10" t="str">
        <f t="shared" si="987"/>
        <v>OutubroSEMANA 2Margarina Bd 15 Kg</v>
      </c>
      <c r="R753" s="7">
        <f>SUMIF(NF!$A:$A,$Q753,NF!$I:$I)</f>
        <v>1</v>
      </c>
      <c r="S753" s="6"/>
      <c r="T753" s="6">
        <v>1</v>
      </c>
      <c r="U753" s="6"/>
      <c r="V753" s="6"/>
      <c r="W753" s="6"/>
      <c r="X753" s="6"/>
      <c r="Y753" s="6"/>
      <c r="Z753" s="7">
        <f t="shared" si="982"/>
        <v>1</v>
      </c>
      <c r="AA753" s="11">
        <f t="shared" si="831"/>
        <v>2</v>
      </c>
      <c r="AB753" s="25"/>
      <c r="AC753" s="10" t="str">
        <f t="shared" si="988"/>
        <v>OutubroSEMANA 3Margarina Bd 15 Kg</v>
      </c>
      <c r="AD753" s="7">
        <f>SUMIF(NF!$A:$A,$AC753,NF!$I:$I)</f>
        <v>1</v>
      </c>
      <c r="AE753" s="6"/>
      <c r="AF753" s="6">
        <v>1</v>
      </c>
      <c r="AG753" s="6"/>
      <c r="AH753" s="6"/>
      <c r="AI753" s="6"/>
      <c r="AJ753" s="6"/>
      <c r="AK753" s="6"/>
      <c r="AL753" s="7">
        <f t="shared" si="983"/>
        <v>1</v>
      </c>
      <c r="AM753" s="11">
        <f t="shared" si="834"/>
        <v>2</v>
      </c>
      <c r="AN753" s="25"/>
      <c r="AO753" s="10" t="str">
        <f t="shared" si="989"/>
        <v>OutubroSEMANA 4Margarina Bd 15 Kg</v>
      </c>
      <c r="AP753" s="7">
        <f>SUMIF(NF!$A:$A,$AO753,NF!$I:$I)</f>
        <v>1</v>
      </c>
      <c r="AQ753" s="6">
        <v>1</v>
      </c>
      <c r="AR753" s="6"/>
      <c r="AS753" s="6"/>
      <c r="AT753" s="6"/>
      <c r="AU753" s="6"/>
      <c r="AV753" s="6"/>
      <c r="AW753" s="6"/>
      <c r="AX753" s="7">
        <f t="shared" si="984"/>
        <v>1</v>
      </c>
      <c r="AY753" s="11">
        <f t="shared" si="837"/>
        <v>2</v>
      </c>
      <c r="AZ753" s="25"/>
      <c r="BA753" s="10" t="str">
        <f t="shared" si="990"/>
        <v>OutubroSEMANA 5Margarina Bd 15 Kg</v>
      </c>
      <c r="BB753" s="7">
        <f>SUMIF(NF!$A:$A,$BA753,NF!$I:$I)</f>
        <v>0</v>
      </c>
      <c r="BC753" s="6"/>
      <c r="BD753" s="6">
        <v>1</v>
      </c>
      <c r="BE753" s="6"/>
      <c r="BF753" s="74"/>
      <c r="BG753" s="74"/>
      <c r="BH753" s="74"/>
      <c r="BI753" s="74"/>
      <c r="BJ753" s="74"/>
      <c r="BK753" s="7">
        <f t="shared" si="985"/>
        <v>1</v>
      </c>
      <c r="BL753" s="8">
        <f t="shared" si="840"/>
        <v>1</v>
      </c>
      <c r="BM753" s="51" t="str">
        <f>IFERROR(VLOOKUP(A753,NF!$M:$O,3,0),"")</f>
        <v>Mercado</v>
      </c>
      <c r="BN753" s="7">
        <f t="shared" si="841"/>
        <v>5</v>
      </c>
      <c r="BO753" s="8">
        <f t="array" ref="BO753">IFERROR(LARGE(IF(NF!$G$2:$G$3137='Mês atual'!A753,NF!$J$2:$J$3137),1),0)*BN753</f>
        <v>371.75</v>
      </c>
      <c r="BP753" s="50"/>
      <c r="BR753" s="147">
        <f t="array" ref="BR753">IFERROR(LARGE(IF(NF!$G$2:$G$3137='Mês atual'!A753,NF!$J$2:$J$3137),1),0)</f>
        <v>74.349999999999994</v>
      </c>
      <c r="BS753" s="143" t="str">
        <f>VLOOKUP(A753,NF!M:O,3,0)</f>
        <v>Mercado</v>
      </c>
    </row>
    <row r="754" spans="1:71" x14ac:dyDescent="0.25">
      <c r="A754" s="108" t="s">
        <v>506</v>
      </c>
      <c r="B754" s="12"/>
      <c r="C754" s="9">
        <v>5</v>
      </c>
      <c r="D754" s="25"/>
      <c r="E754" s="10" t="str">
        <f t="shared" si="986"/>
        <v>OutubroSEMANA 1Margarina Qualy 500 g</v>
      </c>
      <c r="F754" s="7">
        <f>SUMIF(NF!$A:$A,$E754,NF!$I:$I)</f>
        <v>6</v>
      </c>
      <c r="G754" s="6"/>
      <c r="H754" s="6"/>
      <c r="I754" s="6"/>
      <c r="J754" s="6">
        <v>1</v>
      </c>
      <c r="K754" s="6"/>
      <c r="L754" s="6"/>
      <c r="M754" s="6">
        <v>0.5</v>
      </c>
      <c r="N754" s="7">
        <f t="shared" si="981"/>
        <v>1.5</v>
      </c>
      <c r="O754" s="11">
        <f t="shared" si="828"/>
        <v>9.5</v>
      </c>
      <c r="P754" s="25"/>
      <c r="Q754" s="10" t="str">
        <f t="shared" si="987"/>
        <v>OutubroSEMANA 2Margarina Qualy 500 g</v>
      </c>
      <c r="R754" s="7">
        <f>SUMIF(NF!$A:$A,$Q754,NF!$I:$I)</f>
        <v>0</v>
      </c>
      <c r="S754" s="6"/>
      <c r="T754" s="6">
        <v>1</v>
      </c>
      <c r="U754" s="6"/>
      <c r="V754" s="6"/>
      <c r="W754" s="6">
        <v>1</v>
      </c>
      <c r="X754" s="6"/>
      <c r="Y754" s="6"/>
      <c r="Z754" s="7">
        <f t="shared" si="982"/>
        <v>2</v>
      </c>
      <c r="AA754" s="11">
        <f t="shared" si="831"/>
        <v>7.5</v>
      </c>
      <c r="AB754" s="25"/>
      <c r="AC754" s="10" t="str">
        <f t="shared" si="988"/>
        <v>OutubroSEMANA 3Margarina Qualy 500 g</v>
      </c>
      <c r="AD754" s="7">
        <f>SUMIF(NF!$A:$A,$AC754,NF!$I:$I)</f>
        <v>0</v>
      </c>
      <c r="AE754" s="6"/>
      <c r="AF754" s="6"/>
      <c r="AG754" s="6"/>
      <c r="AH754" s="6">
        <v>1</v>
      </c>
      <c r="AI754" s="6"/>
      <c r="AJ754" s="6">
        <v>0.5</v>
      </c>
      <c r="AK754" s="6"/>
      <c r="AL754" s="7">
        <f t="shared" si="983"/>
        <v>1.5</v>
      </c>
      <c r="AM754" s="11">
        <f t="shared" si="834"/>
        <v>6</v>
      </c>
      <c r="AN754" s="25"/>
      <c r="AO754" s="10" t="str">
        <f t="shared" si="989"/>
        <v>OutubroSEMANA 4Margarina Qualy 500 g</v>
      </c>
      <c r="AP754" s="7">
        <f>SUMIF(NF!$A:$A,$AO754,NF!$I:$I)</f>
        <v>0</v>
      </c>
      <c r="AQ754" s="6">
        <v>1</v>
      </c>
      <c r="AR754" s="6">
        <v>1</v>
      </c>
      <c r="AS754" s="6"/>
      <c r="AT754" s="6"/>
      <c r="AU754" s="6"/>
      <c r="AV754" s="6"/>
      <c r="AW754" s="6">
        <v>0.5</v>
      </c>
      <c r="AX754" s="7">
        <f t="shared" si="984"/>
        <v>2.5</v>
      </c>
      <c r="AY754" s="11">
        <f t="shared" si="837"/>
        <v>3.5</v>
      </c>
      <c r="AZ754" s="25"/>
      <c r="BA754" s="10" t="str">
        <f t="shared" si="990"/>
        <v>OutubroSEMANA 5Margarina Qualy 500 g</v>
      </c>
      <c r="BB754" s="7">
        <f>SUMIF(NF!$A:$A,$BA754,NF!$I:$I)</f>
        <v>0</v>
      </c>
      <c r="BC754" s="6">
        <v>0.5</v>
      </c>
      <c r="BD754" s="6">
        <v>1</v>
      </c>
      <c r="BE754" s="6">
        <v>1</v>
      </c>
      <c r="BF754" s="74"/>
      <c r="BG754" s="74"/>
      <c r="BH754" s="74"/>
      <c r="BI754" s="74"/>
      <c r="BJ754" s="74"/>
      <c r="BK754" s="7">
        <f t="shared" si="985"/>
        <v>2.5</v>
      </c>
      <c r="BL754" s="8">
        <f t="shared" si="840"/>
        <v>1</v>
      </c>
      <c r="BM754" s="51" t="str">
        <f>IFERROR(VLOOKUP(A754,NF!$M:$O,3,0),"")</f>
        <v>Mercado</v>
      </c>
      <c r="BN754" s="7">
        <f t="shared" si="841"/>
        <v>10</v>
      </c>
      <c r="BO754" s="8">
        <f t="array" ref="BO754">IFERROR(LARGE(IF(NF!$G$2:$G$3137='Mês atual'!A754,NF!$J$2:$J$3137),1),0)*BN754</f>
        <v>86.4</v>
      </c>
      <c r="BP754" s="50"/>
      <c r="BR754" s="147">
        <f t="array" ref="BR754">IFERROR(LARGE(IF(NF!$G$2:$G$3137='Mês atual'!A754,NF!$J$2:$J$3137),1),0)</f>
        <v>8.64</v>
      </c>
      <c r="BS754" s="143" t="str">
        <f>VLOOKUP(A754,NF!M:O,3,0)</f>
        <v>Mercado</v>
      </c>
    </row>
    <row r="755" spans="1:71" x14ac:dyDescent="0.25">
      <c r="A755" s="108" t="s">
        <v>507</v>
      </c>
      <c r="B755" s="12"/>
      <c r="C755" s="9">
        <v>108</v>
      </c>
      <c r="D755" s="25"/>
      <c r="E755" s="10" t="str">
        <f t="shared" si="986"/>
        <v>OutubroSEMANA 1Massa de Harumaki</v>
      </c>
      <c r="F755" s="7">
        <f>SUMIF(NF!$A:$A,$E755,NF!$I:$I)</f>
        <v>120</v>
      </c>
      <c r="G755" s="6"/>
      <c r="H755" s="6"/>
      <c r="I755" s="6"/>
      <c r="J755" s="6">
        <f>12+96+36-12</f>
        <v>132</v>
      </c>
      <c r="K755" s="6"/>
      <c r="L755" s="6"/>
      <c r="M755" s="6"/>
      <c r="N755" s="7">
        <f t="shared" si="981"/>
        <v>132</v>
      </c>
      <c r="O755" s="11">
        <f t="shared" si="828"/>
        <v>96</v>
      </c>
      <c r="P755" s="25"/>
      <c r="Q755" s="10" t="str">
        <f t="shared" si="987"/>
        <v>OutubroSEMANA 2Massa de Harumaki</v>
      </c>
      <c r="R755" s="7">
        <f>SUMIF(NF!$A:$A,$Q755,NF!$I:$I)</f>
        <v>150</v>
      </c>
      <c r="S755" s="6"/>
      <c r="T755" s="6"/>
      <c r="U755" s="6"/>
      <c r="V755" s="6">
        <f>84+60+12</f>
        <v>156</v>
      </c>
      <c r="W755" s="6"/>
      <c r="X755" s="6"/>
      <c r="Y755" s="6"/>
      <c r="Z755" s="7">
        <f t="shared" si="982"/>
        <v>156</v>
      </c>
      <c r="AA755" s="11">
        <f t="shared" si="831"/>
        <v>90</v>
      </c>
      <c r="AB755" s="25"/>
      <c r="AC755" s="10" t="str">
        <f t="shared" si="988"/>
        <v>OutubroSEMANA 3Massa de Harumaki</v>
      </c>
      <c r="AD755" s="7">
        <f>SUMIF(NF!$A:$A,$AC755,NF!$I:$I)</f>
        <v>120</v>
      </c>
      <c r="AE755" s="6"/>
      <c r="AF755" s="6"/>
      <c r="AG755" s="6"/>
      <c r="AH755" s="6">
        <v>90</v>
      </c>
      <c r="AI755" s="6"/>
      <c r="AJ755" s="6"/>
      <c r="AK755" s="6"/>
      <c r="AL755" s="7">
        <f t="shared" si="983"/>
        <v>90</v>
      </c>
      <c r="AM755" s="11">
        <f t="shared" si="834"/>
        <v>120</v>
      </c>
      <c r="AN755" s="25"/>
      <c r="AO755" s="10" t="str">
        <f t="shared" si="989"/>
        <v>OutubroSEMANA 4Massa de Harumaki</v>
      </c>
      <c r="AP755" s="7">
        <f>SUMIF(NF!$A:$A,$AO755,NF!$I:$I)</f>
        <v>144</v>
      </c>
      <c r="AQ755" s="6"/>
      <c r="AR755" s="6"/>
      <c r="AS755" s="6"/>
      <c r="AT755" s="6">
        <f>108+36+12</f>
        <v>156</v>
      </c>
      <c r="AU755" s="6"/>
      <c r="AV755" s="6"/>
      <c r="AW755" s="6"/>
      <c r="AX755" s="7">
        <f t="shared" si="984"/>
        <v>156</v>
      </c>
      <c r="AY755" s="11">
        <f t="shared" si="837"/>
        <v>108</v>
      </c>
      <c r="AZ755" s="25"/>
      <c r="BA755" s="10" t="str">
        <f t="shared" si="990"/>
        <v>OutubroSEMANA 5Massa de Harumaki</v>
      </c>
      <c r="BB755" s="7">
        <f>SUMIF(NF!$A:$A,$BA755,NF!$I:$I)</f>
        <v>144</v>
      </c>
      <c r="BC755" s="6"/>
      <c r="BD755" s="6"/>
      <c r="BE755" s="6"/>
      <c r="BF755" s="74"/>
      <c r="BG755" s="74"/>
      <c r="BH755" s="74"/>
      <c r="BI755" s="74"/>
      <c r="BJ755" s="74"/>
      <c r="BK755" s="7">
        <f t="shared" si="985"/>
        <v>0</v>
      </c>
      <c r="BL755" s="8">
        <f t="shared" si="840"/>
        <v>252</v>
      </c>
      <c r="BM755" s="51" t="str">
        <f>IFERROR(VLOOKUP(A755,NF!$M:$O,3,0),"")</f>
        <v>Mercado</v>
      </c>
      <c r="BN755" s="7">
        <f t="shared" si="841"/>
        <v>534</v>
      </c>
      <c r="BO755" s="8">
        <f t="array" ref="BO755">IFERROR(LARGE(IF(NF!$G$2:$G$3137='Mês atual'!A755,NF!$J$2:$J$3137),1),0)*BN755</f>
        <v>307.495</v>
      </c>
      <c r="BP755" s="50"/>
      <c r="BR755" s="147">
        <f t="array" ref="BR755">IFERROR(LARGE(IF(NF!$G$2:$G$3137='Mês atual'!A755,NF!$J$2:$J$3137),1),0)</f>
        <v>0.57583333333333331</v>
      </c>
      <c r="BS755" s="143" t="str">
        <f>VLOOKUP(A755,NF!M:O,3,0)</f>
        <v>Mercado</v>
      </c>
    </row>
    <row r="756" spans="1:71" x14ac:dyDescent="0.25">
      <c r="A756" s="108" t="s">
        <v>508</v>
      </c>
      <c r="B756" s="12"/>
      <c r="C756" s="9">
        <v>23.42</v>
      </c>
      <c r="D756" s="25"/>
      <c r="E756" s="10" t="str">
        <f t="shared" si="986"/>
        <v>OutubroSEMANA 1Massa de Pastel</v>
      </c>
      <c r="F756" s="7">
        <f>SUMIF(NF!$A:$A,$E756,NF!$I:$I)</f>
        <v>28.2</v>
      </c>
      <c r="G756" s="6">
        <v>7.4</v>
      </c>
      <c r="H756" s="6">
        <f>9.3-1.5</f>
        <v>7.8000000000000007</v>
      </c>
      <c r="I756" s="6"/>
      <c r="J756" s="6"/>
      <c r="K756" s="6">
        <v>6.6</v>
      </c>
      <c r="L756" s="6">
        <v>7.54</v>
      </c>
      <c r="M756" s="6"/>
      <c r="N756" s="7">
        <f t="shared" si="981"/>
        <v>29.34</v>
      </c>
      <c r="O756" s="11">
        <f t="shared" si="828"/>
        <v>22.280000000000005</v>
      </c>
      <c r="P756" s="25"/>
      <c r="Q756" s="10" t="str">
        <f t="shared" si="987"/>
        <v>OutubroSEMANA 2Massa de Pastel</v>
      </c>
      <c r="R756" s="7">
        <f>SUMIF(NF!$A:$A,$Q756,NF!$I:$I)</f>
        <v>28.36</v>
      </c>
      <c r="S756" s="6">
        <v>6.52</v>
      </c>
      <c r="T756" s="6">
        <f>8.36-1.5</f>
        <v>6.8599999999999994</v>
      </c>
      <c r="U756" s="6"/>
      <c r="V756" s="6"/>
      <c r="W756" s="6">
        <v>7.56</v>
      </c>
      <c r="X756" s="6">
        <v>4.6479999999999997</v>
      </c>
      <c r="Y756" s="6"/>
      <c r="Z756" s="7">
        <f t="shared" si="982"/>
        <v>25.587999999999997</v>
      </c>
      <c r="AA756" s="11">
        <f t="shared" si="831"/>
        <v>25.052000000000003</v>
      </c>
      <c r="AB756" s="25"/>
      <c r="AC756" s="10" t="str">
        <f t="shared" si="988"/>
        <v>OutubroSEMANA 3Massa de Pastel</v>
      </c>
      <c r="AD756" s="7">
        <f>SUMIF(NF!$A:$A,$AC756,NF!$I:$I)</f>
        <v>27.45</v>
      </c>
      <c r="AE756" s="6">
        <f>6.68+0.914-0.5</f>
        <v>7.0939999999999994</v>
      </c>
      <c r="AF756" s="6">
        <v>7.53</v>
      </c>
      <c r="AG756" s="6"/>
      <c r="AH756" s="6"/>
      <c r="AI756" s="6">
        <v>6.5250000000000004</v>
      </c>
      <c r="AJ756" s="6">
        <f>8.605-1.5</f>
        <v>7.1050000000000004</v>
      </c>
      <c r="AK756" s="6"/>
      <c r="AL756" s="7">
        <f t="shared" si="983"/>
        <v>28.254000000000001</v>
      </c>
      <c r="AM756" s="11">
        <f t="shared" si="834"/>
        <v>24.248000000000001</v>
      </c>
      <c r="AN756" s="25"/>
      <c r="AO756" s="10" t="str">
        <f t="shared" si="989"/>
        <v>OutubroSEMANA 4Massa de Pastel</v>
      </c>
      <c r="AP756" s="7">
        <f>SUMIF(NF!$A:$A,$AO756,NF!$I:$I)</f>
        <v>28.5</v>
      </c>
      <c r="AQ756" s="6">
        <f>7.58-0.5</f>
        <v>7.08</v>
      </c>
      <c r="AR756" s="6">
        <v>6.69</v>
      </c>
      <c r="AS756" s="6"/>
      <c r="AT756" s="6"/>
      <c r="AU756" s="6">
        <f>7.565-0.705</f>
        <v>6.86</v>
      </c>
      <c r="AV756" s="6">
        <v>5.6520000000000001</v>
      </c>
      <c r="AW756" s="6"/>
      <c r="AX756" s="7">
        <f t="shared" si="984"/>
        <v>26.282</v>
      </c>
      <c r="AY756" s="11">
        <f t="shared" si="837"/>
        <v>26.466000000000005</v>
      </c>
      <c r="AZ756" s="25"/>
      <c r="BA756" s="10" t="str">
        <f t="shared" si="990"/>
        <v>OutubroSEMANA 5Massa de Pastel</v>
      </c>
      <c r="BB756" s="7">
        <f>SUMIF(NF!$A:$A,$BA756,NF!$I:$I)</f>
        <v>27.68</v>
      </c>
      <c r="BC756" s="6">
        <v>7.5540000000000003</v>
      </c>
      <c r="BD756" s="6">
        <v>7.54</v>
      </c>
      <c r="BE756" s="6"/>
      <c r="BF756" s="74"/>
      <c r="BG756" s="74"/>
      <c r="BH756" s="74"/>
      <c r="BI756" s="74"/>
      <c r="BJ756" s="74"/>
      <c r="BK756" s="7">
        <f t="shared" si="985"/>
        <v>15.094000000000001</v>
      </c>
      <c r="BL756" s="8">
        <f t="shared" si="840"/>
        <v>39.052</v>
      </c>
      <c r="BM756" s="51" t="str">
        <f>IFERROR(VLOOKUP(A756,NF!$M:$O,3,0),"")</f>
        <v>Mercado</v>
      </c>
      <c r="BN756" s="7">
        <f t="shared" si="841"/>
        <v>124.55799999999999</v>
      </c>
      <c r="BO756" s="8">
        <f t="array" ref="BO756">IFERROR(LARGE(IF(NF!$G$2:$G$3137='Mês atual'!A756,NF!$J$2:$J$3137),1),0)*BN756</f>
        <v>952.90273224043722</v>
      </c>
      <c r="BP756" s="50"/>
      <c r="BR756" s="147">
        <f t="array" ref="BR756">IFERROR(LARGE(IF(NF!$G$2:$G$3137='Mês atual'!A756,NF!$J$2:$J$3137),1),0)</f>
        <v>7.6502732240437163</v>
      </c>
      <c r="BS756" s="143" t="str">
        <f>VLOOKUP(A756,NF!M:O,3,0)</f>
        <v>Mercado</v>
      </c>
    </row>
    <row r="757" spans="1:71" x14ac:dyDescent="0.25">
      <c r="A757" s="108" t="s">
        <v>509</v>
      </c>
      <c r="B757" s="12"/>
      <c r="C757" s="9"/>
      <c r="D757" s="25"/>
      <c r="E757" s="10" t="str">
        <f t="shared" si="986"/>
        <v>OutubroSEMANA 1Massa Paglia e Fieno</v>
      </c>
      <c r="F757" s="7">
        <f>SUMIF(NF!$A:$A,$E757,NF!$I:$I)</f>
        <v>0</v>
      </c>
      <c r="G757" s="6"/>
      <c r="H757" s="6"/>
      <c r="I757" s="6"/>
      <c r="J757" s="6"/>
      <c r="K757" s="6"/>
      <c r="L757" s="6"/>
      <c r="M757" s="6"/>
      <c r="N757" s="7">
        <f t="shared" si="981"/>
        <v>0</v>
      </c>
      <c r="O757" s="11">
        <f t="shared" si="828"/>
        <v>0</v>
      </c>
      <c r="P757" s="25"/>
      <c r="Q757" s="10" t="str">
        <f t="shared" si="987"/>
        <v>OutubroSEMANA 2Massa Paglia e Fieno</v>
      </c>
      <c r="R757" s="7">
        <f>SUMIF(NF!$A:$A,$Q757,NF!$I:$I)</f>
        <v>0</v>
      </c>
      <c r="S757" s="6"/>
      <c r="T757" s="6"/>
      <c r="U757" s="6"/>
      <c r="V757" s="6"/>
      <c r="W757" s="6"/>
      <c r="X757" s="6"/>
      <c r="Y757" s="6"/>
      <c r="Z757" s="7">
        <f t="shared" si="982"/>
        <v>0</v>
      </c>
      <c r="AA757" s="11">
        <f t="shared" si="831"/>
        <v>0</v>
      </c>
      <c r="AB757" s="25"/>
      <c r="AC757" s="10" t="str">
        <f t="shared" si="988"/>
        <v>OutubroSEMANA 3Massa Paglia e Fieno</v>
      </c>
      <c r="AD757" s="7">
        <f>SUMIF(NF!$A:$A,$AC757,NF!$I:$I)</f>
        <v>0</v>
      </c>
      <c r="AE757" s="6"/>
      <c r="AF757" s="6"/>
      <c r="AG757" s="6"/>
      <c r="AH757" s="6"/>
      <c r="AI757" s="6"/>
      <c r="AJ757" s="6"/>
      <c r="AK757" s="6"/>
      <c r="AL757" s="7">
        <f t="shared" si="983"/>
        <v>0</v>
      </c>
      <c r="AM757" s="11">
        <f t="shared" si="834"/>
        <v>0</v>
      </c>
      <c r="AN757" s="25"/>
      <c r="AO757" s="10" t="str">
        <f t="shared" si="989"/>
        <v>OutubroSEMANA 4Massa Paglia e Fieno</v>
      </c>
      <c r="AP757" s="7">
        <f>SUMIF(NF!$A:$A,$AO757,NF!$I:$I)</f>
        <v>0</v>
      </c>
      <c r="AQ757" s="6"/>
      <c r="AR757" s="6"/>
      <c r="AS757" s="6"/>
      <c r="AT757" s="6"/>
      <c r="AU757" s="6"/>
      <c r="AV757" s="6"/>
      <c r="AW757" s="6"/>
      <c r="AX757" s="7">
        <f t="shared" si="984"/>
        <v>0</v>
      </c>
      <c r="AY757" s="11">
        <f t="shared" si="837"/>
        <v>0</v>
      </c>
      <c r="AZ757" s="25"/>
      <c r="BA757" s="10" t="str">
        <f t="shared" si="990"/>
        <v>OutubroSEMANA 5Massa Paglia e Fieno</v>
      </c>
      <c r="BB757" s="7">
        <f>SUMIF(NF!$A:$A,$BA757,NF!$I:$I)</f>
        <v>0</v>
      </c>
      <c r="BC757" s="6"/>
      <c r="BD757" s="6"/>
      <c r="BE757" s="6"/>
      <c r="BF757" s="74"/>
      <c r="BG757" s="74"/>
      <c r="BH757" s="74"/>
      <c r="BI757" s="74"/>
      <c r="BJ757" s="74"/>
      <c r="BK757" s="7">
        <f t="shared" si="985"/>
        <v>0</v>
      </c>
      <c r="BL757" s="8">
        <f t="shared" si="840"/>
        <v>0</v>
      </c>
      <c r="BM757" s="51" t="str">
        <f>IFERROR(VLOOKUP(A757,NF!$M:$O,3,0),"")</f>
        <v>Mercado</v>
      </c>
      <c r="BN757" s="7">
        <f t="shared" si="841"/>
        <v>0</v>
      </c>
      <c r="BO757" s="8">
        <f t="array" ref="BO757">IFERROR(LARGE(IF(NF!$G$2:$G$3137='Mês atual'!A757,NF!$J$2:$J$3137),1),0)*BN757</f>
        <v>0</v>
      </c>
      <c r="BP757" s="50"/>
      <c r="BR757" s="147">
        <f t="array" ref="BR757">IFERROR(LARGE(IF(NF!$G$2:$G$3137='Mês atual'!A757,NF!$J$2:$J$3137),1),0)</f>
        <v>0</v>
      </c>
      <c r="BS757" s="143" t="str">
        <f>VLOOKUP(A757,NF!M:O,3,0)</f>
        <v>Mercado</v>
      </c>
    </row>
    <row r="758" spans="1:71" x14ac:dyDescent="0.25">
      <c r="A758" s="108" t="s">
        <v>510</v>
      </c>
      <c r="B758" s="12"/>
      <c r="C758" s="9">
        <v>13.33</v>
      </c>
      <c r="D758" s="25"/>
      <c r="E758" s="10" t="str">
        <f t="shared" si="986"/>
        <v>OutubroSEMANA 1Massa para Lasanha</v>
      </c>
      <c r="F758" s="7">
        <f>SUMIF(NF!$A:$A,$E758,NF!$I:$I)</f>
        <v>0</v>
      </c>
      <c r="G758" s="6"/>
      <c r="H758" s="6"/>
      <c r="I758" s="6">
        <v>3.8719999999999999</v>
      </c>
      <c r="J758" s="6"/>
      <c r="K758" s="6"/>
      <c r="L758" s="6"/>
      <c r="M758" s="6"/>
      <c r="N758" s="7">
        <f t="shared" si="981"/>
        <v>3.8719999999999999</v>
      </c>
      <c r="O758" s="11">
        <f t="shared" si="828"/>
        <v>9.4580000000000002</v>
      </c>
      <c r="P758" s="25"/>
      <c r="Q758" s="10" t="str">
        <f t="shared" si="987"/>
        <v>OutubroSEMANA 2Massa para Lasanha</v>
      </c>
      <c r="R758" s="7">
        <f>SUMIF(NF!$A:$A,$Q758,NF!$I:$I)</f>
        <v>0</v>
      </c>
      <c r="S758" s="6"/>
      <c r="T758" s="6"/>
      <c r="U758" s="6"/>
      <c r="V758" s="6">
        <v>2.222</v>
      </c>
      <c r="W758" s="6"/>
      <c r="X758" s="6"/>
      <c r="Y758" s="6"/>
      <c r="Z758" s="7">
        <f t="shared" si="982"/>
        <v>2.222</v>
      </c>
      <c r="AA758" s="11">
        <f t="shared" si="831"/>
        <v>7.2360000000000007</v>
      </c>
      <c r="AB758" s="25"/>
      <c r="AC758" s="10" t="str">
        <f t="shared" si="988"/>
        <v>OutubroSEMANA 3Massa para Lasanha</v>
      </c>
      <c r="AD758" s="7">
        <f>SUMIF(NF!$A:$A,$AC758,NF!$I:$I)</f>
        <v>0</v>
      </c>
      <c r="AE758" s="6">
        <v>2.3650000000000002</v>
      </c>
      <c r="AF758" s="6"/>
      <c r="AG758" s="6"/>
      <c r="AH758" s="6">
        <v>4.87</v>
      </c>
      <c r="AI758" s="6"/>
      <c r="AJ758" s="6"/>
      <c r="AK758" s="6"/>
      <c r="AL758" s="7">
        <f t="shared" si="983"/>
        <v>7.2350000000000003</v>
      </c>
      <c r="AM758" s="11">
        <f t="shared" si="834"/>
        <v>1.000000000000334E-3</v>
      </c>
      <c r="AN758" s="25"/>
      <c r="AO758" s="10" t="str">
        <f t="shared" si="989"/>
        <v>OutubroSEMANA 4Massa para Lasanha</v>
      </c>
      <c r="AP758" s="7">
        <f>SUMIF(NF!$A:$A,$AO758,NF!$I:$I)</f>
        <v>15.9</v>
      </c>
      <c r="AQ758" s="6"/>
      <c r="AR758" s="6"/>
      <c r="AS758" s="6"/>
      <c r="AT758" s="6"/>
      <c r="AU758" s="6">
        <v>2.1800000000000002</v>
      </c>
      <c r="AV758" s="6"/>
      <c r="AW758" s="6"/>
      <c r="AX758" s="7">
        <f t="shared" si="984"/>
        <v>2.1800000000000002</v>
      </c>
      <c r="AY758" s="11">
        <f t="shared" si="837"/>
        <v>13.721</v>
      </c>
      <c r="AZ758" s="25"/>
      <c r="BA758" s="10" t="str">
        <f t="shared" si="990"/>
        <v>OutubroSEMANA 5Massa para Lasanha</v>
      </c>
      <c r="BB758" s="7">
        <f>SUMIF(NF!$A:$A,$BA758,NF!$I:$I)</f>
        <v>0</v>
      </c>
      <c r="BC758" s="6"/>
      <c r="BD758" s="6"/>
      <c r="BE758" s="6"/>
      <c r="BF758" s="74"/>
      <c r="BG758" s="74"/>
      <c r="BH758" s="74"/>
      <c r="BI758" s="74"/>
      <c r="BJ758" s="74"/>
      <c r="BK758" s="7">
        <f t="shared" si="985"/>
        <v>0</v>
      </c>
      <c r="BL758" s="8">
        <f t="shared" si="840"/>
        <v>13.721</v>
      </c>
      <c r="BM758" s="51" t="str">
        <f>IFERROR(VLOOKUP(A758,NF!$M:$O,3,0),"")</f>
        <v>Mercado</v>
      </c>
      <c r="BN758" s="7">
        <f t="shared" si="841"/>
        <v>15.509</v>
      </c>
      <c r="BO758" s="8">
        <f t="array" ref="BO758">IFERROR(LARGE(IF(NF!$G$2:$G$3137='Mês atual'!A758,NF!$J$2:$J$3137),1),0)*BN758</f>
        <v>153.53910000000002</v>
      </c>
      <c r="BP758" s="50"/>
      <c r="BR758" s="147">
        <f t="array" ref="BR758">IFERROR(LARGE(IF(NF!$G$2:$G$3137='Mês atual'!A758,NF!$J$2:$J$3137),1),0)</f>
        <v>9.9</v>
      </c>
      <c r="BS758" s="143" t="str">
        <f>VLOOKUP(A758,NF!M:O,3,0)</f>
        <v>Mercado</v>
      </c>
    </row>
    <row r="759" spans="1:71" x14ac:dyDescent="0.25">
      <c r="A759" s="108" t="s">
        <v>516</v>
      </c>
      <c r="B759" s="12"/>
      <c r="C759" s="9"/>
      <c r="D759" s="25"/>
      <c r="E759" s="10" t="str">
        <f t="shared" si="986"/>
        <v>OutubroSEMANA 1Mel Orgânico</v>
      </c>
      <c r="F759" s="7">
        <f>SUMIF(NF!$A:$A,$E759,NF!$I:$I)</f>
        <v>0</v>
      </c>
      <c r="G759" s="6"/>
      <c r="H759" s="6"/>
      <c r="I759" s="6"/>
      <c r="J759" s="6"/>
      <c r="K759" s="6"/>
      <c r="L759" s="6"/>
      <c r="M759" s="6"/>
      <c r="N759" s="7">
        <f t="shared" si="981"/>
        <v>0</v>
      </c>
      <c r="O759" s="11">
        <f t="shared" si="828"/>
        <v>0</v>
      </c>
      <c r="P759" s="25"/>
      <c r="Q759" s="10" t="str">
        <f t="shared" si="987"/>
        <v>OutubroSEMANA 2Mel Orgânico</v>
      </c>
      <c r="R759" s="7">
        <f>SUMIF(NF!$A:$A,$Q759,NF!$I:$I)</f>
        <v>0</v>
      </c>
      <c r="S759" s="6"/>
      <c r="T759" s="6"/>
      <c r="U759" s="6"/>
      <c r="V759" s="6"/>
      <c r="W759" s="6"/>
      <c r="X759" s="6"/>
      <c r="Y759" s="6"/>
      <c r="Z759" s="7">
        <f t="shared" si="982"/>
        <v>0</v>
      </c>
      <c r="AA759" s="11">
        <f t="shared" si="831"/>
        <v>0</v>
      </c>
      <c r="AB759" s="25"/>
      <c r="AC759" s="10" t="str">
        <f t="shared" si="988"/>
        <v>OutubroSEMANA 3Mel Orgânico</v>
      </c>
      <c r="AD759" s="7">
        <f>SUMIF(NF!$A:$A,$AC759,NF!$I:$I)</f>
        <v>0</v>
      </c>
      <c r="AE759" s="6"/>
      <c r="AF759" s="6"/>
      <c r="AG759" s="6"/>
      <c r="AH759" s="6"/>
      <c r="AI759" s="6"/>
      <c r="AJ759" s="6"/>
      <c r="AK759" s="6"/>
      <c r="AL759" s="7">
        <f t="shared" si="983"/>
        <v>0</v>
      </c>
      <c r="AM759" s="11">
        <f t="shared" si="834"/>
        <v>0</v>
      </c>
      <c r="AN759" s="25"/>
      <c r="AO759" s="10" t="str">
        <f t="shared" si="989"/>
        <v>OutubroSEMANA 4Mel Orgânico</v>
      </c>
      <c r="AP759" s="7">
        <f>SUMIF(NF!$A:$A,$AO759,NF!$I:$I)</f>
        <v>0</v>
      </c>
      <c r="AQ759" s="6"/>
      <c r="AR759" s="6"/>
      <c r="AS759" s="6"/>
      <c r="AT759" s="6"/>
      <c r="AU759" s="6"/>
      <c r="AV759" s="6"/>
      <c r="AW759" s="6"/>
      <c r="AX759" s="7">
        <f t="shared" si="984"/>
        <v>0</v>
      </c>
      <c r="AY759" s="11">
        <f t="shared" si="837"/>
        <v>0</v>
      </c>
      <c r="AZ759" s="25"/>
      <c r="BA759" s="10" t="str">
        <f t="shared" si="990"/>
        <v>OutubroSEMANA 5Mel Orgânico</v>
      </c>
      <c r="BB759" s="7">
        <f>SUMIF(NF!$A:$A,$BA759,NF!$I:$I)</f>
        <v>0</v>
      </c>
      <c r="BC759" s="6"/>
      <c r="BD759" s="6"/>
      <c r="BE759" s="6"/>
      <c r="BF759" s="74"/>
      <c r="BG759" s="74"/>
      <c r="BH759" s="74"/>
      <c r="BI759" s="74"/>
      <c r="BJ759" s="74"/>
      <c r="BK759" s="7">
        <f t="shared" si="985"/>
        <v>0</v>
      </c>
      <c r="BL759" s="8">
        <f t="shared" si="840"/>
        <v>0</v>
      </c>
      <c r="BM759" s="51" t="str">
        <f>IFERROR(VLOOKUP(A759,NF!$M:$O,3,0),"")</f>
        <v>Mercado</v>
      </c>
      <c r="BN759" s="7">
        <f t="shared" si="841"/>
        <v>0</v>
      </c>
      <c r="BO759" s="8">
        <f t="array" ref="BO759">IFERROR(LARGE(IF(NF!$G$2:$G$3137='Mês atual'!A759,NF!$J$2:$J$3137),1),0)*BN759</f>
        <v>0</v>
      </c>
      <c r="BP759" s="50"/>
      <c r="BR759" s="147">
        <f t="array" ref="BR759">IFERROR(LARGE(IF(NF!$G$2:$G$3137='Mês atual'!A759,NF!$J$2:$J$3137),1),0)</f>
        <v>0</v>
      </c>
      <c r="BS759" s="143" t="str">
        <f>VLOOKUP(A759,NF!M:O,3,0)</f>
        <v>Mercado</v>
      </c>
    </row>
    <row r="760" spans="1:71" x14ac:dyDescent="0.25">
      <c r="A760" s="108" t="s">
        <v>522</v>
      </c>
      <c r="B760" s="12"/>
      <c r="C760" s="9">
        <v>2</v>
      </c>
      <c r="D760" s="25"/>
      <c r="E760" s="10" t="str">
        <f t="shared" si="986"/>
        <v>OutubroSEMANA 1Milho Mini Conserva lata 1,5 Kg</v>
      </c>
      <c r="F760" s="7">
        <f>SUMIF(NF!$A:$A,$E760,NF!$I:$I)</f>
        <v>0</v>
      </c>
      <c r="G760" s="6"/>
      <c r="H760" s="6"/>
      <c r="I760" s="6"/>
      <c r="J760" s="6"/>
      <c r="K760" s="6"/>
      <c r="L760" s="6"/>
      <c r="M760" s="6"/>
      <c r="N760" s="7">
        <f t="shared" si="981"/>
        <v>0</v>
      </c>
      <c r="O760" s="11">
        <f t="shared" si="828"/>
        <v>2</v>
      </c>
      <c r="P760" s="25"/>
      <c r="Q760" s="10" t="str">
        <f t="shared" si="987"/>
        <v>OutubroSEMANA 2Milho Mini Conserva lata 1,5 Kg</v>
      </c>
      <c r="R760" s="7">
        <f>SUMIF(NF!$A:$A,$Q760,NF!$I:$I)</f>
        <v>0</v>
      </c>
      <c r="S760" s="6"/>
      <c r="T760" s="6"/>
      <c r="U760" s="6"/>
      <c r="V760" s="6"/>
      <c r="W760" s="6"/>
      <c r="X760" s="6">
        <v>1</v>
      </c>
      <c r="Y760" s="6"/>
      <c r="Z760" s="7">
        <f t="shared" si="982"/>
        <v>1</v>
      </c>
      <c r="AA760" s="11">
        <f t="shared" si="831"/>
        <v>1</v>
      </c>
      <c r="AB760" s="25"/>
      <c r="AC760" s="10" t="str">
        <f t="shared" si="988"/>
        <v>OutubroSEMANA 3Milho Mini Conserva lata 1,5 Kg</v>
      </c>
      <c r="AD760" s="7">
        <f>SUMIF(NF!$A:$A,$AC760,NF!$I:$I)</f>
        <v>1</v>
      </c>
      <c r="AE760" s="6"/>
      <c r="AF760" s="6"/>
      <c r="AG760" s="6"/>
      <c r="AH760" s="6"/>
      <c r="AI760" s="6"/>
      <c r="AJ760" s="6"/>
      <c r="AK760" s="6"/>
      <c r="AL760" s="7">
        <f t="shared" si="983"/>
        <v>0</v>
      </c>
      <c r="AM760" s="11">
        <f t="shared" si="834"/>
        <v>2</v>
      </c>
      <c r="AN760" s="25"/>
      <c r="AO760" s="10" t="str">
        <f t="shared" si="989"/>
        <v>OutubroSEMANA 4Milho Mini Conserva lata 1,5 Kg</v>
      </c>
      <c r="AP760" s="7">
        <f>SUMIF(NF!$A:$A,$AO760,NF!$I:$I)</f>
        <v>0</v>
      </c>
      <c r="AQ760" s="6"/>
      <c r="AR760" s="6"/>
      <c r="AS760" s="6"/>
      <c r="AT760" s="6"/>
      <c r="AU760" s="6"/>
      <c r="AV760" s="6"/>
      <c r="AW760" s="6"/>
      <c r="AX760" s="7">
        <f t="shared" si="984"/>
        <v>0</v>
      </c>
      <c r="AY760" s="11">
        <f t="shared" si="837"/>
        <v>2</v>
      </c>
      <c r="AZ760" s="25"/>
      <c r="BA760" s="10" t="str">
        <f t="shared" si="990"/>
        <v>OutubroSEMANA 5Milho Mini Conserva lata 1,5 Kg</v>
      </c>
      <c r="BB760" s="7">
        <f>SUMIF(NF!$A:$A,$BA760,NF!$I:$I)</f>
        <v>0</v>
      </c>
      <c r="BC760" s="6"/>
      <c r="BD760" s="6"/>
      <c r="BE760" s="6"/>
      <c r="BF760" s="74"/>
      <c r="BG760" s="74"/>
      <c r="BH760" s="74"/>
      <c r="BI760" s="74"/>
      <c r="BJ760" s="74"/>
      <c r="BK760" s="7">
        <f t="shared" si="985"/>
        <v>0</v>
      </c>
      <c r="BL760" s="8">
        <f t="shared" si="840"/>
        <v>2</v>
      </c>
      <c r="BM760" s="51" t="str">
        <f>IFERROR(VLOOKUP(A760,NF!$M:$O,3,0),"")</f>
        <v>Mercado</v>
      </c>
      <c r="BN760" s="7">
        <f t="shared" si="841"/>
        <v>1</v>
      </c>
      <c r="BO760" s="8">
        <f t="array" ref="BO760">IFERROR(LARGE(IF(NF!$G$2:$G$3137='Mês atual'!A760,NF!$J$2:$J$3137),1),0)*BN760</f>
        <v>28</v>
      </c>
      <c r="BP760" s="50"/>
      <c r="BR760" s="147">
        <f t="array" ref="BR760">IFERROR(LARGE(IF(NF!$G$2:$G$3137='Mês atual'!A760,NF!$J$2:$J$3137),1),0)</f>
        <v>28</v>
      </c>
      <c r="BS760" s="143" t="str">
        <f>VLOOKUP(A760,NF!M:O,3,0)</f>
        <v>Mercado</v>
      </c>
    </row>
    <row r="761" spans="1:71" x14ac:dyDescent="0.25">
      <c r="A761" s="108" t="s">
        <v>523</v>
      </c>
      <c r="B761" s="12"/>
      <c r="C761" s="9">
        <v>10</v>
      </c>
      <c r="D761" s="25"/>
      <c r="E761" s="10" t="str">
        <f t="shared" si="986"/>
        <v>OutubroSEMANA 1Milho Verde 2 Kg</v>
      </c>
      <c r="F761" s="7">
        <f>SUMIF(NF!$A:$A,$E761,NF!$I:$I)</f>
        <v>0</v>
      </c>
      <c r="G761" s="6"/>
      <c r="H761" s="6"/>
      <c r="I761" s="6"/>
      <c r="J761" s="6"/>
      <c r="K761" s="6"/>
      <c r="L761" s="6">
        <v>2</v>
      </c>
      <c r="M761" s="6">
        <v>1</v>
      </c>
      <c r="N761" s="7">
        <f t="shared" si="981"/>
        <v>3</v>
      </c>
      <c r="O761" s="11">
        <f t="shared" si="828"/>
        <v>7</v>
      </c>
      <c r="P761" s="25"/>
      <c r="Q761" s="10" t="str">
        <f t="shared" si="987"/>
        <v>OutubroSEMANA 2Milho Verde 2 Kg</v>
      </c>
      <c r="R761" s="7">
        <f>SUMIF(NF!$A:$A,$Q761,NF!$I:$I)</f>
        <v>0</v>
      </c>
      <c r="S761" s="6"/>
      <c r="T761" s="6"/>
      <c r="U761" s="6"/>
      <c r="V761" s="6">
        <v>1</v>
      </c>
      <c r="W761" s="6">
        <v>1</v>
      </c>
      <c r="X761" s="6"/>
      <c r="Y761" s="6">
        <v>1</v>
      </c>
      <c r="Z761" s="7">
        <f t="shared" si="982"/>
        <v>3</v>
      </c>
      <c r="AA761" s="11">
        <f t="shared" si="831"/>
        <v>4</v>
      </c>
      <c r="AB761" s="25"/>
      <c r="AC761" s="10" t="str">
        <f t="shared" si="988"/>
        <v>OutubroSEMANA 3Milho Verde 2 Kg</v>
      </c>
      <c r="AD761" s="7">
        <f>SUMIF(NF!$A:$A,$AC761,NF!$I:$I)</f>
        <v>6</v>
      </c>
      <c r="AE761" s="6"/>
      <c r="AF761" s="6">
        <v>1</v>
      </c>
      <c r="AG761" s="6"/>
      <c r="AH761" s="6"/>
      <c r="AI761" s="6"/>
      <c r="AJ761" s="6">
        <v>2</v>
      </c>
      <c r="AK761" s="6"/>
      <c r="AL761" s="7">
        <f t="shared" si="983"/>
        <v>3</v>
      </c>
      <c r="AM761" s="11">
        <f t="shared" si="834"/>
        <v>7</v>
      </c>
      <c r="AN761" s="25"/>
      <c r="AO761" s="10" t="str">
        <f t="shared" si="989"/>
        <v>OutubroSEMANA 4Milho Verde 2 Kg</v>
      </c>
      <c r="AP761" s="7">
        <f>SUMIF(NF!$A:$A,$AO761,NF!$I:$I)</f>
        <v>0</v>
      </c>
      <c r="AQ761" s="6"/>
      <c r="AR761" s="6"/>
      <c r="AS761" s="6"/>
      <c r="AT761" s="6"/>
      <c r="AU761" s="6">
        <v>2</v>
      </c>
      <c r="AV761" s="6"/>
      <c r="AW761" s="6">
        <v>1</v>
      </c>
      <c r="AX761" s="7">
        <f t="shared" si="984"/>
        <v>3</v>
      </c>
      <c r="AY761" s="11">
        <f t="shared" si="837"/>
        <v>4</v>
      </c>
      <c r="AZ761" s="25"/>
      <c r="BA761" s="10" t="str">
        <f t="shared" si="990"/>
        <v>OutubroSEMANA 5Milho Verde 2 Kg</v>
      </c>
      <c r="BB761" s="7">
        <f>SUMIF(NF!$A:$A,$BA761,NF!$I:$I)</f>
        <v>0</v>
      </c>
      <c r="BC761" s="6"/>
      <c r="BD761" s="6"/>
      <c r="BE761" s="6">
        <v>1</v>
      </c>
      <c r="BF761" s="74"/>
      <c r="BG761" s="74"/>
      <c r="BH761" s="74"/>
      <c r="BI761" s="74"/>
      <c r="BJ761" s="74"/>
      <c r="BK761" s="7">
        <f t="shared" si="985"/>
        <v>1</v>
      </c>
      <c r="BL761" s="8">
        <f t="shared" si="840"/>
        <v>3</v>
      </c>
      <c r="BM761" s="51" t="str">
        <f>IFERROR(VLOOKUP(A761,NF!$M:$O,3,0),"")</f>
        <v>Mercado</v>
      </c>
      <c r="BN761" s="7">
        <f t="shared" si="841"/>
        <v>13</v>
      </c>
      <c r="BO761" s="8">
        <f t="array" ref="BO761">IFERROR(LARGE(IF(NF!$G$2:$G$3137='Mês atual'!A761,NF!$J$2:$J$3137),1),0)*BN761</f>
        <v>102.31</v>
      </c>
      <c r="BP761" s="50"/>
      <c r="BR761" s="147">
        <f t="array" ref="BR761">IFERROR(LARGE(IF(NF!$G$2:$G$3137='Mês atual'!A761,NF!$J$2:$J$3137),1),0)</f>
        <v>7.87</v>
      </c>
      <c r="BS761" s="143" t="str">
        <f>VLOOKUP(A761,NF!M:O,3,0)</f>
        <v>Mercado</v>
      </c>
    </row>
    <row r="762" spans="1:71" x14ac:dyDescent="0.25">
      <c r="A762" s="108" t="s">
        <v>524</v>
      </c>
      <c r="B762" s="12"/>
      <c r="C762" s="9">
        <v>4</v>
      </c>
      <c r="D762" s="25"/>
      <c r="E762" s="10" t="str">
        <f t="shared" si="986"/>
        <v>OutubroSEMANA 1Misso Shiro</v>
      </c>
      <c r="F762" s="7">
        <f>SUMIF(NF!$A:$A,$E762,NF!$I:$I)</f>
        <v>5</v>
      </c>
      <c r="G762" s="6">
        <v>1</v>
      </c>
      <c r="H762" s="6">
        <v>1</v>
      </c>
      <c r="I762" s="6">
        <v>1</v>
      </c>
      <c r="J762" s="6"/>
      <c r="K762" s="6">
        <v>1</v>
      </c>
      <c r="L762" s="6"/>
      <c r="M762" s="6">
        <v>1</v>
      </c>
      <c r="N762" s="7">
        <f t="shared" si="981"/>
        <v>5</v>
      </c>
      <c r="O762" s="11">
        <f t="shared" si="828"/>
        <v>4</v>
      </c>
      <c r="P762" s="25"/>
      <c r="Q762" s="10" t="str">
        <f t="shared" si="987"/>
        <v>OutubroSEMANA 2Misso Shiro</v>
      </c>
      <c r="R762" s="7">
        <f>SUMIF(NF!$A:$A,$Q762,NF!$I:$I)</f>
        <v>10</v>
      </c>
      <c r="S762" s="6">
        <v>1</v>
      </c>
      <c r="T762" s="6">
        <v>1</v>
      </c>
      <c r="U762" s="6"/>
      <c r="V762" s="6">
        <v>1</v>
      </c>
      <c r="W762" s="6">
        <v>1</v>
      </c>
      <c r="X762" s="6">
        <v>1</v>
      </c>
      <c r="Y762" s="6">
        <v>2</v>
      </c>
      <c r="Z762" s="7">
        <f t="shared" si="982"/>
        <v>7</v>
      </c>
      <c r="AA762" s="11">
        <f t="shared" si="831"/>
        <v>7</v>
      </c>
      <c r="AB762" s="25"/>
      <c r="AC762" s="10" t="str">
        <f t="shared" si="988"/>
        <v>OutubroSEMANA 3Misso Shiro</v>
      </c>
      <c r="AD762" s="7">
        <f>SUMIF(NF!$A:$A,$AC762,NF!$I:$I)</f>
        <v>12</v>
      </c>
      <c r="AE762" s="6"/>
      <c r="AF762" s="6">
        <v>1</v>
      </c>
      <c r="AG762" s="6"/>
      <c r="AH762" s="6">
        <v>1</v>
      </c>
      <c r="AI762" s="6"/>
      <c r="AJ762" s="6"/>
      <c r="AK762" s="6">
        <v>1</v>
      </c>
      <c r="AL762" s="7">
        <f t="shared" si="983"/>
        <v>3</v>
      </c>
      <c r="AM762" s="11">
        <f t="shared" si="834"/>
        <v>16</v>
      </c>
      <c r="AN762" s="25"/>
      <c r="AO762" s="10" t="str">
        <f t="shared" si="989"/>
        <v>OutubroSEMANA 4Misso Shiro</v>
      </c>
      <c r="AP762" s="7">
        <f>SUMIF(NF!$A:$A,$AO762,NF!$I:$I)</f>
        <v>0</v>
      </c>
      <c r="AQ762" s="6"/>
      <c r="AR762" s="6">
        <v>1</v>
      </c>
      <c r="AS762" s="6"/>
      <c r="AT762" s="6">
        <v>1</v>
      </c>
      <c r="AU762" s="6"/>
      <c r="AV762" s="6">
        <v>1</v>
      </c>
      <c r="AW762" s="6">
        <v>1</v>
      </c>
      <c r="AX762" s="7">
        <f t="shared" si="984"/>
        <v>4</v>
      </c>
      <c r="AY762" s="11">
        <f t="shared" si="837"/>
        <v>12</v>
      </c>
      <c r="AZ762" s="25"/>
      <c r="BA762" s="10" t="str">
        <f t="shared" si="990"/>
        <v>OutubroSEMANA 5Misso Shiro</v>
      </c>
      <c r="BB762" s="7">
        <f>SUMIF(NF!$A:$A,$BA762,NF!$I:$I)</f>
        <v>0</v>
      </c>
      <c r="BC762" s="6">
        <v>1</v>
      </c>
      <c r="BD762" s="6">
        <v>1</v>
      </c>
      <c r="BE762" s="6"/>
      <c r="BF762" s="74"/>
      <c r="BG762" s="74"/>
      <c r="BH762" s="74"/>
      <c r="BI762" s="74"/>
      <c r="BJ762" s="74"/>
      <c r="BK762" s="7">
        <f t="shared" si="985"/>
        <v>2</v>
      </c>
      <c r="BL762" s="8">
        <f t="shared" si="840"/>
        <v>10</v>
      </c>
      <c r="BM762" s="51" t="str">
        <f>IFERROR(VLOOKUP(A762,NF!$M:$O,3,0),"")</f>
        <v>Mercado</v>
      </c>
      <c r="BN762" s="7">
        <f t="shared" si="841"/>
        <v>21</v>
      </c>
      <c r="BO762" s="8">
        <f t="array" ref="BO762">IFERROR(LARGE(IF(NF!$G$2:$G$3137='Mês atual'!A762,NF!$J$2:$J$3137),1),0)*BN762</f>
        <v>462</v>
      </c>
      <c r="BP762" s="50"/>
      <c r="BR762" s="147">
        <f t="array" ref="BR762">IFERROR(LARGE(IF(NF!$G$2:$G$3137='Mês atual'!A762,NF!$J$2:$J$3137),1),0)</f>
        <v>22</v>
      </c>
      <c r="BS762" s="143" t="str">
        <f>VLOOKUP(A762,NF!M:O,3,0)</f>
        <v>Mercado</v>
      </c>
    </row>
    <row r="763" spans="1:71" x14ac:dyDescent="0.25">
      <c r="A763" s="108" t="s">
        <v>526</v>
      </c>
      <c r="B763" s="12"/>
      <c r="C763" s="9">
        <v>3</v>
      </c>
      <c r="D763" s="25"/>
      <c r="E763" s="10" t="str">
        <f t="shared" si="986"/>
        <v>OutubroSEMANA 1Molho de Peixe</v>
      </c>
      <c r="F763" s="7">
        <f>SUMIF(NF!$A:$A,$E763,NF!$I:$I)</f>
        <v>0</v>
      </c>
      <c r="G763" s="6"/>
      <c r="H763" s="6"/>
      <c r="I763" s="6"/>
      <c r="J763" s="6"/>
      <c r="K763" s="6"/>
      <c r="L763" s="6"/>
      <c r="M763" s="6"/>
      <c r="N763" s="7">
        <f t="shared" si="981"/>
        <v>0</v>
      </c>
      <c r="O763" s="11">
        <f t="shared" si="828"/>
        <v>3</v>
      </c>
      <c r="P763" s="25"/>
      <c r="Q763" s="10" t="str">
        <f t="shared" si="987"/>
        <v>OutubroSEMANA 2Molho de Peixe</v>
      </c>
      <c r="R763" s="7">
        <f>SUMIF(NF!$A:$A,$Q763,NF!$I:$I)</f>
        <v>0</v>
      </c>
      <c r="S763" s="6"/>
      <c r="T763" s="6"/>
      <c r="U763" s="6"/>
      <c r="V763" s="6"/>
      <c r="W763" s="6"/>
      <c r="X763" s="6"/>
      <c r="Y763" s="6"/>
      <c r="Z763" s="7">
        <f t="shared" si="982"/>
        <v>0</v>
      </c>
      <c r="AA763" s="11">
        <f t="shared" si="831"/>
        <v>3</v>
      </c>
      <c r="AB763" s="25"/>
      <c r="AC763" s="10" t="str">
        <f t="shared" si="988"/>
        <v>OutubroSEMANA 3Molho de Peixe</v>
      </c>
      <c r="AD763" s="7">
        <f>SUMIF(NF!$A:$A,$AC763,NF!$I:$I)</f>
        <v>0</v>
      </c>
      <c r="AE763" s="6"/>
      <c r="AF763" s="6"/>
      <c r="AG763" s="6"/>
      <c r="AH763" s="6"/>
      <c r="AI763" s="6"/>
      <c r="AJ763" s="6"/>
      <c r="AK763" s="6"/>
      <c r="AL763" s="7">
        <f t="shared" si="983"/>
        <v>0</v>
      </c>
      <c r="AM763" s="11">
        <f t="shared" si="834"/>
        <v>3</v>
      </c>
      <c r="AN763" s="25"/>
      <c r="AO763" s="10" t="str">
        <f t="shared" si="989"/>
        <v>OutubroSEMANA 4Molho de Peixe</v>
      </c>
      <c r="AP763" s="7">
        <f>SUMIF(NF!$A:$A,$AO763,NF!$I:$I)</f>
        <v>0</v>
      </c>
      <c r="AQ763" s="6"/>
      <c r="AR763" s="6"/>
      <c r="AS763" s="6"/>
      <c r="AT763" s="6"/>
      <c r="AU763" s="6"/>
      <c r="AV763" s="6"/>
      <c r="AW763" s="6"/>
      <c r="AX763" s="7">
        <f t="shared" si="984"/>
        <v>0</v>
      </c>
      <c r="AY763" s="11">
        <f t="shared" si="837"/>
        <v>3</v>
      </c>
      <c r="AZ763" s="25"/>
      <c r="BA763" s="10" t="str">
        <f t="shared" si="990"/>
        <v>OutubroSEMANA 5Molho de Peixe</v>
      </c>
      <c r="BB763" s="7">
        <f>SUMIF(NF!$A:$A,$BA763,NF!$I:$I)</f>
        <v>0</v>
      </c>
      <c r="BC763" s="6"/>
      <c r="BD763" s="6"/>
      <c r="BE763" s="6"/>
      <c r="BF763" s="74"/>
      <c r="BG763" s="74"/>
      <c r="BH763" s="74"/>
      <c r="BI763" s="74"/>
      <c r="BJ763" s="74"/>
      <c r="BK763" s="7">
        <f t="shared" si="985"/>
        <v>0</v>
      </c>
      <c r="BL763" s="8">
        <f t="shared" si="840"/>
        <v>3</v>
      </c>
      <c r="BM763" s="51" t="str">
        <f>IFERROR(VLOOKUP(A763,NF!$M:$O,3,0),"")</f>
        <v>Mercado</v>
      </c>
      <c r="BN763" s="7">
        <f t="shared" si="841"/>
        <v>0</v>
      </c>
      <c r="BO763" s="8">
        <f t="array" ref="BO763">IFERROR(LARGE(IF(NF!$G$2:$G$3137='Mês atual'!A763,NF!$J$2:$J$3137),1),0)*BN763</f>
        <v>0</v>
      </c>
      <c r="BP763" s="50"/>
      <c r="BR763" s="147">
        <f t="array" ref="BR763">IFERROR(LARGE(IF(NF!$G$2:$G$3137='Mês atual'!A763,NF!$J$2:$J$3137),1),0)</f>
        <v>0</v>
      </c>
      <c r="BS763" s="143" t="str">
        <f>VLOOKUP(A763,NF!M:O,3,0)</f>
        <v>Mercado</v>
      </c>
    </row>
    <row r="764" spans="1:71" x14ac:dyDescent="0.25">
      <c r="A764" s="108" t="s">
        <v>527</v>
      </c>
      <c r="B764" s="12"/>
      <c r="C764" s="9"/>
      <c r="D764" s="25"/>
      <c r="E764" s="10" t="str">
        <f t="shared" si="986"/>
        <v>OutubroSEMANA 1Molho de Pimenta</v>
      </c>
      <c r="F764" s="7">
        <f>SUMIF(NF!$A:$A,$E764,NF!$I:$I)</f>
        <v>0</v>
      </c>
      <c r="G764" s="6"/>
      <c r="H764" s="6"/>
      <c r="I764" s="6"/>
      <c r="J764" s="6"/>
      <c r="K764" s="6"/>
      <c r="L764" s="6"/>
      <c r="M764" s="6"/>
      <c r="N764" s="7">
        <f t="shared" si="981"/>
        <v>0</v>
      </c>
      <c r="O764" s="11">
        <f t="shared" si="828"/>
        <v>0</v>
      </c>
      <c r="P764" s="25"/>
      <c r="Q764" s="10" t="str">
        <f t="shared" si="987"/>
        <v>OutubroSEMANA 2Molho de Pimenta</v>
      </c>
      <c r="R764" s="7">
        <f>SUMIF(NF!$A:$A,$Q764,NF!$I:$I)</f>
        <v>0</v>
      </c>
      <c r="S764" s="6"/>
      <c r="T764" s="6"/>
      <c r="U764" s="6"/>
      <c r="V764" s="6"/>
      <c r="W764" s="6"/>
      <c r="X764" s="6"/>
      <c r="Y764" s="6"/>
      <c r="Z764" s="7">
        <f t="shared" si="982"/>
        <v>0</v>
      </c>
      <c r="AA764" s="11">
        <f t="shared" si="831"/>
        <v>0</v>
      </c>
      <c r="AB764" s="25"/>
      <c r="AC764" s="10" t="str">
        <f t="shared" si="988"/>
        <v>OutubroSEMANA 3Molho de Pimenta</v>
      </c>
      <c r="AD764" s="7">
        <f>SUMIF(NF!$A:$A,$AC764,NF!$I:$I)</f>
        <v>0</v>
      </c>
      <c r="AE764" s="6"/>
      <c r="AF764" s="6"/>
      <c r="AG764" s="6"/>
      <c r="AH764" s="6"/>
      <c r="AI764" s="6"/>
      <c r="AJ764" s="6"/>
      <c r="AK764" s="6"/>
      <c r="AL764" s="7">
        <f t="shared" si="983"/>
        <v>0</v>
      </c>
      <c r="AM764" s="11">
        <f t="shared" si="834"/>
        <v>0</v>
      </c>
      <c r="AN764" s="25"/>
      <c r="AO764" s="10" t="str">
        <f t="shared" si="989"/>
        <v>OutubroSEMANA 4Molho de Pimenta</v>
      </c>
      <c r="AP764" s="7">
        <f>SUMIF(NF!$A:$A,$AO764,NF!$I:$I)</f>
        <v>0</v>
      </c>
      <c r="AQ764" s="6"/>
      <c r="AR764" s="6"/>
      <c r="AS764" s="6"/>
      <c r="AT764" s="6"/>
      <c r="AU764" s="6"/>
      <c r="AV764" s="6"/>
      <c r="AW764" s="6"/>
      <c r="AX764" s="7">
        <f t="shared" si="984"/>
        <v>0</v>
      </c>
      <c r="AY764" s="11">
        <f t="shared" si="837"/>
        <v>0</v>
      </c>
      <c r="AZ764" s="25"/>
      <c r="BA764" s="10" t="str">
        <f t="shared" si="990"/>
        <v>OutubroSEMANA 5Molho de Pimenta</v>
      </c>
      <c r="BB764" s="7">
        <f>SUMIF(NF!$A:$A,$BA764,NF!$I:$I)</f>
        <v>0</v>
      </c>
      <c r="BC764" s="6"/>
      <c r="BD764" s="6"/>
      <c r="BE764" s="6"/>
      <c r="BF764" s="74"/>
      <c r="BG764" s="74"/>
      <c r="BH764" s="74"/>
      <c r="BI764" s="74"/>
      <c r="BJ764" s="74"/>
      <c r="BK764" s="7">
        <f t="shared" si="985"/>
        <v>0</v>
      </c>
      <c r="BL764" s="8">
        <f t="shared" si="840"/>
        <v>0</v>
      </c>
      <c r="BM764" s="51" t="str">
        <f>IFERROR(VLOOKUP(A764,NF!$M:$O,3,0),"")</f>
        <v>Mercado</v>
      </c>
      <c r="BN764" s="7">
        <f t="shared" si="841"/>
        <v>0</v>
      </c>
      <c r="BO764" s="8">
        <f t="array" ref="BO764">IFERROR(LARGE(IF(NF!$G$2:$G$3137='Mês atual'!A764,NF!$J$2:$J$3137),1),0)*BN764</f>
        <v>0</v>
      </c>
      <c r="BP764" s="50"/>
      <c r="BR764" s="147">
        <f t="array" ref="BR764">IFERROR(LARGE(IF(NF!$G$2:$G$3137='Mês atual'!A764,NF!$J$2:$J$3137),1),0)</f>
        <v>0</v>
      </c>
      <c r="BS764" s="143" t="str">
        <f>VLOOKUP(A764,NF!M:O,3,0)</f>
        <v>Mercado</v>
      </c>
    </row>
    <row r="765" spans="1:71" x14ac:dyDescent="0.25">
      <c r="A765" s="108" t="s">
        <v>528</v>
      </c>
      <c r="B765" s="12"/>
      <c r="C765" s="9">
        <v>3</v>
      </c>
      <c r="D765" s="25"/>
      <c r="E765" s="10" t="str">
        <f t="shared" si="986"/>
        <v>OutubroSEMANA 1Molho Inglês 1 Lt</v>
      </c>
      <c r="F765" s="7">
        <f>SUMIF(NF!$A:$A,$E765,NF!$I:$I)</f>
        <v>0</v>
      </c>
      <c r="G765" s="6"/>
      <c r="H765" s="6"/>
      <c r="I765" s="6"/>
      <c r="J765" s="6"/>
      <c r="K765" s="6"/>
      <c r="L765" s="6"/>
      <c r="M765" s="6"/>
      <c r="N765" s="7">
        <f t="shared" si="981"/>
        <v>0</v>
      </c>
      <c r="O765" s="11">
        <f t="shared" si="828"/>
        <v>3</v>
      </c>
      <c r="P765" s="25"/>
      <c r="Q765" s="10" t="str">
        <f t="shared" si="987"/>
        <v>OutubroSEMANA 2Molho Inglês 1 Lt</v>
      </c>
      <c r="R765" s="7">
        <f>SUMIF(NF!$A:$A,$Q765,NF!$I:$I)</f>
        <v>0</v>
      </c>
      <c r="S765" s="6"/>
      <c r="T765" s="6"/>
      <c r="U765" s="6"/>
      <c r="V765" s="6"/>
      <c r="W765" s="6"/>
      <c r="X765" s="6"/>
      <c r="Y765" s="6"/>
      <c r="Z765" s="7">
        <f t="shared" ref="Z765" si="991">SUM(S765:Y765)</f>
        <v>0</v>
      </c>
      <c r="AA765" s="11">
        <f t="shared" si="831"/>
        <v>3</v>
      </c>
      <c r="AB765" s="25"/>
      <c r="AC765" s="10" t="str">
        <f t="shared" si="988"/>
        <v>OutubroSEMANA 3Molho Inglês 1 Lt</v>
      </c>
      <c r="AD765" s="7">
        <f>SUMIF(NF!$A:$A,$AC765,NF!$I:$I)</f>
        <v>0</v>
      </c>
      <c r="AE765" s="6"/>
      <c r="AF765" s="6"/>
      <c r="AG765" s="6"/>
      <c r="AH765" s="6"/>
      <c r="AI765" s="6"/>
      <c r="AJ765" s="6"/>
      <c r="AK765" s="6"/>
      <c r="AL765" s="7">
        <f t="shared" ref="AL765" si="992">SUM(AE765:AK765)</f>
        <v>0</v>
      </c>
      <c r="AM765" s="11">
        <f t="shared" si="834"/>
        <v>3</v>
      </c>
      <c r="AN765" s="25"/>
      <c r="AO765" s="10" t="str">
        <f t="shared" si="989"/>
        <v>OutubroSEMANA 4Molho Inglês 1 Lt</v>
      </c>
      <c r="AP765" s="7">
        <f>SUMIF(NF!$A:$A,$AO765,NF!$I:$I)</f>
        <v>0</v>
      </c>
      <c r="AQ765" s="6"/>
      <c r="AR765" s="6"/>
      <c r="AS765" s="6"/>
      <c r="AT765" s="6"/>
      <c r="AU765" s="6"/>
      <c r="AV765" s="6"/>
      <c r="AW765" s="6"/>
      <c r="AX765" s="7">
        <f t="shared" ref="AX765" si="993">SUM(AQ765:AW765)</f>
        <v>0</v>
      </c>
      <c r="AY765" s="11">
        <f t="shared" si="837"/>
        <v>3</v>
      </c>
      <c r="AZ765" s="25"/>
      <c r="BA765" s="10" t="str">
        <f t="shared" si="990"/>
        <v>OutubroSEMANA 5Molho Inglês 1 Lt</v>
      </c>
      <c r="BB765" s="7">
        <f>SUMIF(NF!$A:$A,$BA765,NF!$I:$I)</f>
        <v>0</v>
      </c>
      <c r="BC765" s="6"/>
      <c r="BD765" s="6"/>
      <c r="BE765" s="6"/>
      <c r="BF765" s="74"/>
      <c r="BG765" s="74"/>
      <c r="BH765" s="74"/>
      <c r="BI765" s="74"/>
      <c r="BJ765" s="74"/>
      <c r="BK765" s="7">
        <f>SUM(BC765:BJ765)</f>
        <v>0</v>
      </c>
      <c r="BL765" s="8">
        <f t="shared" si="840"/>
        <v>3</v>
      </c>
      <c r="BM765" s="51" t="str">
        <f>IFERROR(VLOOKUP(A765,NF!$M:$O,3,0),"")</f>
        <v>Mercado</v>
      </c>
      <c r="BN765" s="7">
        <f t="shared" si="841"/>
        <v>0</v>
      </c>
      <c r="BO765" s="8">
        <f t="array" ref="BO765">IFERROR(LARGE(IF(NF!$G$2:$G$3137='Mês atual'!A765,NF!$J$2:$J$3137),1),0)*BN765</f>
        <v>0</v>
      </c>
      <c r="BP765" s="50"/>
      <c r="BR765" s="147">
        <f t="array" ref="BR765">IFERROR(LARGE(IF(NF!$G$2:$G$3137='Mês atual'!A765,NF!$J$2:$J$3137),1),0)</f>
        <v>0</v>
      </c>
      <c r="BS765" s="143" t="str">
        <f>VLOOKUP(A765,NF!M:O,3,0)</f>
        <v>Mercado</v>
      </c>
    </row>
    <row r="766" spans="1:71" x14ac:dyDescent="0.25">
      <c r="A766" s="108" t="s">
        <v>529</v>
      </c>
      <c r="B766" s="12"/>
      <c r="C766" s="9"/>
      <c r="D766" s="25"/>
      <c r="E766" s="10" t="str">
        <f t="shared" si="986"/>
        <v>OutubroSEMANA 1Molho Inglês Bb 5 Lt</v>
      </c>
      <c r="F766" s="7">
        <f>SUMIF(NF!$A:$A,$E766,NF!$I:$I)</f>
        <v>0</v>
      </c>
      <c r="G766" s="6"/>
      <c r="H766" s="6"/>
      <c r="I766" s="6"/>
      <c r="J766" s="6"/>
      <c r="K766" s="6"/>
      <c r="L766" s="6"/>
      <c r="M766" s="6"/>
      <c r="N766" s="7">
        <f t="shared" si="981"/>
        <v>0</v>
      </c>
      <c r="O766" s="11">
        <f t="shared" si="828"/>
        <v>0</v>
      </c>
      <c r="P766" s="25"/>
      <c r="Q766" s="10" t="str">
        <f t="shared" si="987"/>
        <v>OutubroSEMANA 2Molho Inglês Bb 5 Lt</v>
      </c>
      <c r="R766" s="7">
        <f>SUMIF(NF!$A:$A,$Q766,NF!$I:$I)</f>
        <v>0</v>
      </c>
      <c r="S766" s="6"/>
      <c r="T766" s="6"/>
      <c r="U766" s="6"/>
      <c r="V766" s="6"/>
      <c r="W766" s="6"/>
      <c r="X766" s="6"/>
      <c r="Y766" s="6"/>
      <c r="Z766" s="7">
        <f t="shared" ref="Z766" si="994">SUM(S766:Y766)</f>
        <v>0</v>
      </c>
      <c r="AA766" s="11">
        <f t="shared" si="831"/>
        <v>0</v>
      </c>
      <c r="AB766" s="25"/>
      <c r="AC766" s="10" t="str">
        <f t="shared" si="988"/>
        <v>OutubroSEMANA 3Molho Inglês Bb 5 Lt</v>
      </c>
      <c r="AD766" s="7">
        <f>SUMIF(NF!$A:$A,$AC766,NF!$I:$I)</f>
        <v>0</v>
      </c>
      <c r="AE766" s="6"/>
      <c r="AF766" s="6"/>
      <c r="AG766" s="6"/>
      <c r="AH766" s="6"/>
      <c r="AI766" s="6"/>
      <c r="AJ766" s="6"/>
      <c r="AK766" s="6"/>
      <c r="AL766" s="7">
        <f t="shared" ref="AL766" si="995">SUM(AE766:AK766)</f>
        <v>0</v>
      </c>
      <c r="AM766" s="11">
        <f t="shared" si="834"/>
        <v>0</v>
      </c>
      <c r="AN766" s="25"/>
      <c r="AO766" s="10" t="str">
        <f t="shared" si="989"/>
        <v>OutubroSEMANA 4Molho Inglês Bb 5 Lt</v>
      </c>
      <c r="AP766" s="7">
        <f>SUMIF(NF!$A:$A,$AO766,NF!$I:$I)</f>
        <v>0</v>
      </c>
      <c r="AQ766" s="6"/>
      <c r="AR766" s="6"/>
      <c r="AS766" s="6"/>
      <c r="AT766" s="6"/>
      <c r="AU766" s="6"/>
      <c r="AV766" s="6"/>
      <c r="AW766" s="6"/>
      <c r="AX766" s="7">
        <f t="shared" ref="AX766" si="996">SUM(AQ766:AW766)</f>
        <v>0</v>
      </c>
      <c r="AY766" s="11">
        <f t="shared" si="837"/>
        <v>0</v>
      </c>
      <c r="AZ766" s="25"/>
      <c r="BA766" s="10" t="str">
        <f t="shared" si="990"/>
        <v>OutubroSEMANA 5Molho Inglês Bb 5 Lt</v>
      </c>
      <c r="BB766" s="7">
        <f>SUMIF(NF!$A:$A,$BA766,NF!$I:$I)</f>
        <v>0</v>
      </c>
      <c r="BC766" s="6"/>
      <c r="BD766" s="6"/>
      <c r="BE766" s="6"/>
      <c r="BF766" s="74"/>
      <c r="BG766" s="74"/>
      <c r="BH766" s="74"/>
      <c r="BI766" s="74"/>
      <c r="BJ766" s="74"/>
      <c r="BK766" s="7">
        <f t="shared" ref="BK766" si="997">SUM(BC766:BJ766)</f>
        <v>0</v>
      </c>
      <c r="BL766" s="8">
        <f t="shared" si="840"/>
        <v>0</v>
      </c>
      <c r="BM766" s="51" t="str">
        <f>IFERROR(VLOOKUP(A766,NF!$M:$O,3,0),"")</f>
        <v>Mercado</v>
      </c>
      <c r="BN766" s="7">
        <f t="shared" si="841"/>
        <v>0</v>
      </c>
      <c r="BO766" s="8">
        <f t="array" ref="BO766">IFERROR(LARGE(IF(NF!$G$2:$G$3137='Mês atual'!A766,NF!$J$2:$J$3137),1),0)*BN766</f>
        <v>0</v>
      </c>
      <c r="BP766" s="50"/>
      <c r="BR766" s="147">
        <f t="array" ref="BR766">IFERROR(LARGE(IF(NF!$G$2:$G$3137='Mês atual'!A766,NF!$J$2:$J$3137),1),0)</f>
        <v>0</v>
      </c>
      <c r="BS766" s="143" t="str">
        <f>VLOOKUP(A766,NF!M:O,3,0)</f>
        <v>Mercado</v>
      </c>
    </row>
    <row r="767" spans="1:71" x14ac:dyDescent="0.25">
      <c r="A767" s="108" t="s">
        <v>530</v>
      </c>
      <c r="B767" s="12"/>
      <c r="C767" s="9">
        <v>1</v>
      </c>
      <c r="D767" s="25"/>
      <c r="E767" s="10" t="str">
        <f t="shared" si="986"/>
        <v>OutubroSEMANA 1Molho Ostra</v>
      </c>
      <c r="F767" s="7">
        <f>SUMIF(NF!$A:$A,$E767,NF!$I:$I)</f>
        <v>0</v>
      </c>
      <c r="G767" s="6"/>
      <c r="H767" s="6"/>
      <c r="I767" s="6"/>
      <c r="J767" s="6"/>
      <c r="K767" s="6"/>
      <c r="L767" s="6"/>
      <c r="M767" s="6"/>
      <c r="N767" s="7">
        <f t="shared" ref="N767:N773" si="998">SUM(G767:M767)</f>
        <v>0</v>
      </c>
      <c r="O767" s="11">
        <f t="shared" si="828"/>
        <v>1</v>
      </c>
      <c r="P767" s="25"/>
      <c r="Q767" s="10" t="str">
        <f t="shared" si="987"/>
        <v>OutubroSEMANA 2Molho Ostra</v>
      </c>
      <c r="R767" s="7">
        <f>SUMIF(NF!$A:$A,$Q767,NF!$I:$I)</f>
        <v>0</v>
      </c>
      <c r="S767" s="6"/>
      <c r="T767" s="6"/>
      <c r="U767" s="6"/>
      <c r="V767" s="6"/>
      <c r="W767" s="6"/>
      <c r="X767" s="6"/>
      <c r="Y767" s="6"/>
      <c r="Z767" s="7">
        <f t="shared" ref="Z767:Z773" si="999">SUM(S767:Y767)</f>
        <v>0</v>
      </c>
      <c r="AA767" s="11">
        <f t="shared" si="831"/>
        <v>1</v>
      </c>
      <c r="AB767" s="25"/>
      <c r="AC767" s="10" t="str">
        <f t="shared" si="988"/>
        <v>OutubroSEMANA 3Molho Ostra</v>
      </c>
      <c r="AD767" s="7">
        <f>SUMIF(NF!$A:$A,$AC767,NF!$I:$I)</f>
        <v>0</v>
      </c>
      <c r="AE767" s="6"/>
      <c r="AF767" s="6"/>
      <c r="AG767" s="6"/>
      <c r="AH767" s="6"/>
      <c r="AI767" s="6"/>
      <c r="AJ767" s="6"/>
      <c r="AK767" s="6"/>
      <c r="AL767" s="7">
        <f t="shared" ref="AL767:AL773" si="1000">SUM(AE767:AK767)</f>
        <v>0</v>
      </c>
      <c r="AM767" s="11">
        <f t="shared" si="834"/>
        <v>1</v>
      </c>
      <c r="AN767" s="25"/>
      <c r="AO767" s="10" t="str">
        <f t="shared" si="989"/>
        <v>OutubroSEMANA 4Molho Ostra</v>
      </c>
      <c r="AP767" s="7">
        <f>SUMIF(NF!$A:$A,$AO767,NF!$I:$I)</f>
        <v>1</v>
      </c>
      <c r="AQ767" s="6">
        <v>1</v>
      </c>
      <c r="AR767" s="6"/>
      <c r="AS767" s="6"/>
      <c r="AT767" s="6"/>
      <c r="AU767" s="6"/>
      <c r="AV767" s="6"/>
      <c r="AW767" s="6"/>
      <c r="AX767" s="7">
        <f t="shared" ref="AX767:AX773" si="1001">SUM(AQ767:AW767)</f>
        <v>1</v>
      </c>
      <c r="AY767" s="11">
        <f t="shared" si="837"/>
        <v>1</v>
      </c>
      <c r="AZ767" s="25"/>
      <c r="BA767" s="10" t="str">
        <f t="shared" si="990"/>
        <v>OutubroSEMANA 5Molho Ostra</v>
      </c>
      <c r="BB767" s="7">
        <f>SUMIF(NF!$A:$A,$BA767,NF!$I:$I)</f>
        <v>0</v>
      </c>
      <c r="BC767" s="6"/>
      <c r="BD767" s="6"/>
      <c r="BE767" s="6"/>
      <c r="BF767" s="74"/>
      <c r="BG767" s="74"/>
      <c r="BH767" s="74"/>
      <c r="BI767" s="74"/>
      <c r="BJ767" s="74"/>
      <c r="BK767" s="7">
        <f t="shared" ref="BK767:BK773" si="1002">SUM(BC767:BJ767)</f>
        <v>0</v>
      </c>
      <c r="BL767" s="8">
        <f t="shared" si="840"/>
        <v>1</v>
      </c>
      <c r="BM767" s="51" t="str">
        <f>IFERROR(VLOOKUP(A767,NF!$M:$O,3,0),"")</f>
        <v>Mercado</v>
      </c>
      <c r="BN767" s="7">
        <f t="shared" si="841"/>
        <v>1</v>
      </c>
      <c r="BO767" s="8">
        <f t="array" ref="BO767">IFERROR(LARGE(IF(NF!$G$2:$G$3137='Mês atual'!A767,NF!$J$2:$J$3137),1),0)*BN767</f>
        <v>13.5</v>
      </c>
      <c r="BP767" s="50"/>
      <c r="BR767" s="147">
        <f t="array" ref="BR767">IFERROR(LARGE(IF(NF!$G$2:$G$3137='Mês atual'!A767,NF!$J$2:$J$3137),1),0)</f>
        <v>13.5</v>
      </c>
      <c r="BS767" s="143" t="str">
        <f>VLOOKUP(A767,NF!M:O,3,0)</f>
        <v>Mercado</v>
      </c>
    </row>
    <row r="768" spans="1:71" x14ac:dyDescent="0.25">
      <c r="A768" s="108" t="s">
        <v>532</v>
      </c>
      <c r="B768" s="12"/>
      <c r="C768" s="9">
        <v>2</v>
      </c>
      <c r="D768" s="25"/>
      <c r="E768" s="10" t="str">
        <f t="shared" si="986"/>
        <v>OutubroSEMANA 1Mostarda Bb 3,3, Kg</v>
      </c>
      <c r="F768" s="7">
        <f>SUMIF(NF!$A:$A,$E768,NF!$I:$I)</f>
        <v>1</v>
      </c>
      <c r="G768" s="6"/>
      <c r="H768" s="6"/>
      <c r="I768" s="6"/>
      <c r="J768" s="6">
        <v>1</v>
      </c>
      <c r="K768" s="6"/>
      <c r="L768" s="6"/>
      <c r="M768" s="6"/>
      <c r="N768" s="7">
        <f t="shared" si="998"/>
        <v>1</v>
      </c>
      <c r="O768" s="11">
        <f t="shared" si="828"/>
        <v>2</v>
      </c>
      <c r="P768" s="25"/>
      <c r="Q768" s="10" t="str">
        <f t="shared" si="987"/>
        <v>OutubroSEMANA 2Mostarda Bb 3,3, Kg</v>
      </c>
      <c r="R768" s="7">
        <f>SUMIF(NF!$A:$A,$Q768,NF!$I:$I)</f>
        <v>1</v>
      </c>
      <c r="S768" s="6"/>
      <c r="T768" s="6"/>
      <c r="U768" s="6">
        <v>1</v>
      </c>
      <c r="V768" s="6"/>
      <c r="W768" s="6"/>
      <c r="X768" s="6"/>
      <c r="Y768" s="6"/>
      <c r="Z768" s="7">
        <f t="shared" si="999"/>
        <v>1</v>
      </c>
      <c r="AA768" s="11">
        <f t="shared" si="831"/>
        <v>2</v>
      </c>
      <c r="AB768" s="25"/>
      <c r="AC768" s="10" t="str">
        <f t="shared" si="988"/>
        <v>OutubroSEMANA 3Mostarda Bb 3,3, Kg</v>
      </c>
      <c r="AD768" s="7">
        <f>SUMIF(NF!$A:$A,$AC768,NF!$I:$I)</f>
        <v>1</v>
      </c>
      <c r="AE768" s="6"/>
      <c r="AF768" s="6"/>
      <c r="AG768" s="6"/>
      <c r="AH768" s="6"/>
      <c r="AI768" s="6"/>
      <c r="AJ768" s="6"/>
      <c r="AK768" s="6"/>
      <c r="AL768" s="7">
        <f t="shared" si="1000"/>
        <v>0</v>
      </c>
      <c r="AM768" s="11">
        <f t="shared" si="834"/>
        <v>3</v>
      </c>
      <c r="AN768" s="25"/>
      <c r="AO768" s="10" t="str">
        <f t="shared" si="989"/>
        <v>OutubroSEMANA 4Mostarda Bb 3,3, Kg</v>
      </c>
      <c r="AP768" s="7">
        <f>SUMIF(NF!$A:$A,$AO768,NF!$I:$I)</f>
        <v>0</v>
      </c>
      <c r="AQ768" s="6"/>
      <c r="AR768" s="6"/>
      <c r="AS768" s="6"/>
      <c r="AT768" s="6">
        <v>1</v>
      </c>
      <c r="AU768" s="6"/>
      <c r="AV768" s="6"/>
      <c r="AW768" s="6"/>
      <c r="AX768" s="7">
        <f t="shared" si="1001"/>
        <v>1</v>
      </c>
      <c r="AY768" s="11">
        <f t="shared" si="837"/>
        <v>2</v>
      </c>
      <c r="AZ768" s="25"/>
      <c r="BA768" s="10" t="str">
        <f t="shared" si="990"/>
        <v>OutubroSEMANA 5Mostarda Bb 3,3, Kg</v>
      </c>
      <c r="BB768" s="7">
        <f>SUMIF(NF!$A:$A,$BA768,NF!$I:$I)</f>
        <v>0</v>
      </c>
      <c r="BC768" s="6"/>
      <c r="BD768" s="6"/>
      <c r="BE768" s="6"/>
      <c r="BF768" s="74"/>
      <c r="BG768" s="74"/>
      <c r="BH768" s="74"/>
      <c r="BI768" s="74"/>
      <c r="BJ768" s="74"/>
      <c r="BK768" s="7">
        <f t="shared" si="1002"/>
        <v>0</v>
      </c>
      <c r="BL768" s="8">
        <f t="shared" si="840"/>
        <v>2</v>
      </c>
      <c r="BM768" s="51" t="str">
        <f>IFERROR(VLOOKUP(A768,NF!$M:$O,3,0),"")</f>
        <v>Mercado</v>
      </c>
      <c r="BN768" s="7">
        <f t="shared" si="841"/>
        <v>3</v>
      </c>
      <c r="BO768" s="8">
        <f t="array" ref="BO768">IFERROR(LARGE(IF(NF!$G$2:$G$3137='Mês atual'!A768,NF!$J$2:$J$3137),1),0)*BN768</f>
        <v>37.950000000000003</v>
      </c>
      <c r="BP768" s="50"/>
      <c r="BR768" s="147">
        <f t="array" ref="BR768">IFERROR(LARGE(IF(NF!$G$2:$G$3137='Mês atual'!A768,NF!$J$2:$J$3137),1),0)</f>
        <v>12.65</v>
      </c>
      <c r="BS768" s="143" t="str">
        <f>VLOOKUP(A768,NF!M:O,3,0)</f>
        <v>Mercado</v>
      </c>
    </row>
    <row r="769" spans="1:71" x14ac:dyDescent="0.25">
      <c r="A769" s="108" t="s">
        <v>533</v>
      </c>
      <c r="B769" s="12"/>
      <c r="C769" s="9">
        <v>2</v>
      </c>
      <c r="D769" s="25"/>
      <c r="E769" s="10" t="str">
        <f t="shared" si="986"/>
        <v>OutubroSEMANA 1Mostarda Dijom em Grão</v>
      </c>
      <c r="F769" s="7">
        <f>SUMIF(NF!$A:$A,$E769,NF!$I:$I)</f>
        <v>0</v>
      </c>
      <c r="G769" s="6"/>
      <c r="H769" s="6">
        <v>1</v>
      </c>
      <c r="I769" s="6"/>
      <c r="J769" s="6"/>
      <c r="K769" s="6"/>
      <c r="L769" s="6"/>
      <c r="M769" s="6"/>
      <c r="N769" s="7">
        <f t="shared" si="998"/>
        <v>1</v>
      </c>
      <c r="O769" s="11">
        <f t="shared" si="828"/>
        <v>1</v>
      </c>
      <c r="P769" s="25"/>
      <c r="Q769" s="10" t="str">
        <f t="shared" si="987"/>
        <v>OutubroSEMANA 2Mostarda Dijom em Grão</v>
      </c>
      <c r="R769" s="7">
        <f>SUMIF(NF!$A:$A,$Q769,NF!$I:$I)</f>
        <v>0</v>
      </c>
      <c r="S769" s="6"/>
      <c r="T769" s="6"/>
      <c r="U769" s="6"/>
      <c r="V769" s="6"/>
      <c r="W769" s="6"/>
      <c r="X769" s="6"/>
      <c r="Y769" s="6"/>
      <c r="Z769" s="7">
        <f t="shared" si="999"/>
        <v>0</v>
      </c>
      <c r="AA769" s="11">
        <f t="shared" si="831"/>
        <v>1</v>
      </c>
      <c r="AB769" s="25"/>
      <c r="AC769" s="10" t="str">
        <f t="shared" si="988"/>
        <v>OutubroSEMANA 3Mostarda Dijom em Grão</v>
      </c>
      <c r="AD769" s="7">
        <f>SUMIF(NF!$A:$A,$AC769,NF!$I:$I)</f>
        <v>1</v>
      </c>
      <c r="AE769" s="6"/>
      <c r="AF769" s="6"/>
      <c r="AG769" s="6">
        <v>1</v>
      </c>
      <c r="AH769" s="6"/>
      <c r="AI769" s="6"/>
      <c r="AJ769" s="6"/>
      <c r="AK769" s="6"/>
      <c r="AL769" s="7">
        <f t="shared" si="1000"/>
        <v>1</v>
      </c>
      <c r="AM769" s="11">
        <f t="shared" si="834"/>
        <v>1</v>
      </c>
      <c r="AN769" s="25"/>
      <c r="AO769" s="10" t="str">
        <f t="shared" si="989"/>
        <v>OutubroSEMANA 4Mostarda Dijom em Grão</v>
      </c>
      <c r="AP769" s="7">
        <f>SUMIF(NF!$A:$A,$AO769,NF!$I:$I)</f>
        <v>0</v>
      </c>
      <c r="AQ769" s="6"/>
      <c r="AR769" s="6"/>
      <c r="AS769" s="6"/>
      <c r="AT769" s="6"/>
      <c r="AU769" s="6"/>
      <c r="AV769" s="6"/>
      <c r="AW769" s="6"/>
      <c r="AX769" s="7">
        <f t="shared" si="1001"/>
        <v>0</v>
      </c>
      <c r="AY769" s="11">
        <f t="shared" si="837"/>
        <v>1</v>
      </c>
      <c r="AZ769" s="25"/>
      <c r="BA769" s="10" t="str">
        <f t="shared" si="990"/>
        <v>OutubroSEMANA 5Mostarda Dijom em Grão</v>
      </c>
      <c r="BB769" s="7">
        <f>SUMIF(NF!$A:$A,$BA769,NF!$I:$I)</f>
        <v>0</v>
      </c>
      <c r="BC769" s="6"/>
      <c r="BD769" s="6"/>
      <c r="BE769" s="6"/>
      <c r="BF769" s="74"/>
      <c r="BG769" s="74"/>
      <c r="BH769" s="74"/>
      <c r="BI769" s="74"/>
      <c r="BJ769" s="74"/>
      <c r="BK769" s="7">
        <f t="shared" si="1002"/>
        <v>0</v>
      </c>
      <c r="BL769" s="8">
        <f t="shared" si="840"/>
        <v>1</v>
      </c>
      <c r="BM769" s="51" t="str">
        <f>IFERROR(VLOOKUP(A769,NF!$M:$O,3,0),"")</f>
        <v>Mercado</v>
      </c>
      <c r="BN769" s="7">
        <f t="shared" si="841"/>
        <v>2</v>
      </c>
      <c r="BO769" s="8">
        <f t="array" ref="BO769">IFERROR(LARGE(IF(NF!$G$2:$G$3137='Mês atual'!A769,NF!$J$2:$J$3137),1),0)*BN769</f>
        <v>43.8</v>
      </c>
      <c r="BP769" s="50"/>
      <c r="BR769" s="147">
        <f t="array" ref="BR769">IFERROR(LARGE(IF(NF!$G$2:$G$3137='Mês atual'!A769,NF!$J$2:$J$3137),1),0)</f>
        <v>21.9</v>
      </c>
      <c r="BS769" s="143" t="str">
        <f>VLOOKUP(A769,NF!M:O,3,0)</f>
        <v>Mercado</v>
      </c>
    </row>
    <row r="770" spans="1:71" x14ac:dyDescent="0.25">
      <c r="A770" s="108" t="s">
        <v>534</v>
      </c>
      <c r="B770" s="12"/>
      <c r="C770" s="9"/>
      <c r="D770" s="25"/>
      <c r="E770" s="10" t="str">
        <f t="shared" si="986"/>
        <v>OutubroSEMANA 1Mostarda Escura Hemmer 200 g</v>
      </c>
      <c r="F770" s="7">
        <f>SUMIF(NF!$A:$A,$E770,NF!$I:$I)</f>
        <v>0</v>
      </c>
      <c r="G770" s="6"/>
      <c r="H770" s="6"/>
      <c r="I770" s="6"/>
      <c r="J770" s="6"/>
      <c r="K770" s="6"/>
      <c r="L770" s="6"/>
      <c r="M770" s="6"/>
      <c r="N770" s="7">
        <f t="shared" si="998"/>
        <v>0</v>
      </c>
      <c r="O770" s="11">
        <f t="shared" si="828"/>
        <v>0</v>
      </c>
      <c r="P770" s="25"/>
      <c r="Q770" s="10" t="str">
        <f t="shared" si="987"/>
        <v>OutubroSEMANA 2Mostarda Escura Hemmer 200 g</v>
      </c>
      <c r="R770" s="7">
        <f>SUMIF(NF!$A:$A,$Q770,NF!$I:$I)</f>
        <v>0</v>
      </c>
      <c r="S770" s="6"/>
      <c r="T770" s="6"/>
      <c r="U770" s="6"/>
      <c r="V770" s="6"/>
      <c r="W770" s="6"/>
      <c r="X770" s="6"/>
      <c r="Y770" s="6"/>
      <c r="Z770" s="7">
        <f t="shared" si="999"/>
        <v>0</v>
      </c>
      <c r="AA770" s="11">
        <f t="shared" si="831"/>
        <v>0</v>
      </c>
      <c r="AB770" s="25"/>
      <c r="AC770" s="10" t="str">
        <f t="shared" si="988"/>
        <v>OutubroSEMANA 3Mostarda Escura Hemmer 200 g</v>
      </c>
      <c r="AD770" s="7">
        <f>SUMIF(NF!$A:$A,$AC770,NF!$I:$I)</f>
        <v>0</v>
      </c>
      <c r="AE770" s="6"/>
      <c r="AF770" s="6"/>
      <c r="AG770" s="6"/>
      <c r="AH770" s="6"/>
      <c r="AI770" s="6"/>
      <c r="AJ770" s="6"/>
      <c r="AK770" s="6"/>
      <c r="AL770" s="7">
        <f t="shared" si="1000"/>
        <v>0</v>
      </c>
      <c r="AM770" s="11">
        <f t="shared" si="834"/>
        <v>0</v>
      </c>
      <c r="AN770" s="25"/>
      <c r="AO770" s="10" t="str">
        <f t="shared" si="989"/>
        <v>OutubroSEMANA 4Mostarda Escura Hemmer 200 g</v>
      </c>
      <c r="AP770" s="7">
        <f>SUMIF(NF!$A:$A,$AO770,NF!$I:$I)</f>
        <v>0</v>
      </c>
      <c r="AQ770" s="6"/>
      <c r="AR770" s="6"/>
      <c r="AS770" s="6"/>
      <c r="AT770" s="6"/>
      <c r="AU770" s="6"/>
      <c r="AV770" s="6"/>
      <c r="AW770" s="6"/>
      <c r="AX770" s="7">
        <f t="shared" si="1001"/>
        <v>0</v>
      </c>
      <c r="AY770" s="11">
        <f t="shared" si="837"/>
        <v>0</v>
      </c>
      <c r="AZ770" s="25"/>
      <c r="BA770" s="10" t="str">
        <f t="shared" si="990"/>
        <v>OutubroSEMANA 5Mostarda Escura Hemmer 200 g</v>
      </c>
      <c r="BB770" s="7">
        <f>SUMIF(NF!$A:$A,$BA770,NF!$I:$I)</f>
        <v>0</v>
      </c>
      <c r="BC770" s="6"/>
      <c r="BD770" s="6"/>
      <c r="BE770" s="6"/>
      <c r="BF770" s="74"/>
      <c r="BG770" s="74"/>
      <c r="BH770" s="74"/>
      <c r="BI770" s="74"/>
      <c r="BJ770" s="74"/>
      <c r="BK770" s="7">
        <f t="shared" si="1002"/>
        <v>0</v>
      </c>
      <c r="BL770" s="8">
        <f t="shared" si="840"/>
        <v>0</v>
      </c>
      <c r="BM770" s="51" t="str">
        <f>IFERROR(VLOOKUP(A770,NF!$M:$O,3,0),"")</f>
        <v>Mercado</v>
      </c>
      <c r="BN770" s="7">
        <f t="shared" si="841"/>
        <v>0</v>
      </c>
      <c r="BO770" s="8">
        <f t="array" ref="BO770">IFERROR(LARGE(IF(NF!$G$2:$G$3137='Mês atual'!A770,NF!$J$2:$J$3137),1),0)*BN770</f>
        <v>0</v>
      </c>
      <c r="BP770" s="50"/>
      <c r="BR770" s="147">
        <f t="array" ref="BR770">IFERROR(LARGE(IF(NF!$G$2:$G$3137='Mês atual'!A770,NF!$J$2:$J$3137),1),0)</f>
        <v>0</v>
      </c>
      <c r="BS770" s="143" t="str">
        <f>VLOOKUP(A770,NF!M:O,3,0)</f>
        <v>Mercado</v>
      </c>
    </row>
    <row r="771" spans="1:71" x14ac:dyDescent="0.25">
      <c r="A771" s="108" t="s">
        <v>538</v>
      </c>
      <c r="B771" s="12"/>
      <c r="C771" s="9">
        <v>2</v>
      </c>
      <c r="D771" s="25"/>
      <c r="E771" s="10" t="str">
        <f t="shared" si="986"/>
        <v>OutubroSEMANA 1Nescau (Nestle)</v>
      </c>
      <c r="F771" s="7">
        <f>SUMIF(NF!$A:$A,$E771,NF!$I:$I)</f>
        <v>3</v>
      </c>
      <c r="G771" s="6">
        <v>1</v>
      </c>
      <c r="H771" s="6"/>
      <c r="I771" s="6"/>
      <c r="J771" s="6"/>
      <c r="K771" s="6"/>
      <c r="L771" s="6"/>
      <c r="M771" s="6"/>
      <c r="N771" s="7">
        <f t="shared" si="998"/>
        <v>1</v>
      </c>
      <c r="O771" s="11">
        <f t="shared" si="828"/>
        <v>4</v>
      </c>
      <c r="P771" s="25"/>
      <c r="Q771" s="10" t="str">
        <f t="shared" si="987"/>
        <v>OutubroSEMANA 2Nescau (Nestle)</v>
      </c>
      <c r="R771" s="7">
        <f>SUMIF(NF!$A:$A,$Q771,NF!$I:$I)</f>
        <v>0</v>
      </c>
      <c r="S771" s="6"/>
      <c r="T771" s="6">
        <v>1</v>
      </c>
      <c r="U771" s="6">
        <v>1</v>
      </c>
      <c r="V771" s="6"/>
      <c r="W771" s="6"/>
      <c r="X771" s="6"/>
      <c r="Y771" s="6"/>
      <c r="Z771" s="7">
        <f t="shared" si="999"/>
        <v>2</v>
      </c>
      <c r="AA771" s="11">
        <f t="shared" si="831"/>
        <v>2</v>
      </c>
      <c r="AB771" s="25"/>
      <c r="AC771" s="10" t="str">
        <f t="shared" si="988"/>
        <v>OutubroSEMANA 3Nescau (Nestle)</v>
      </c>
      <c r="AD771" s="7">
        <f>SUMIF(NF!$A:$A,$AC771,NF!$I:$I)</f>
        <v>2</v>
      </c>
      <c r="AE771" s="6"/>
      <c r="AF771" s="6"/>
      <c r="AG771" s="6"/>
      <c r="AH771" s="6">
        <v>1</v>
      </c>
      <c r="AI771" s="6"/>
      <c r="AJ771" s="6"/>
      <c r="AK771" s="6">
        <v>1</v>
      </c>
      <c r="AL771" s="7">
        <f t="shared" si="1000"/>
        <v>2</v>
      </c>
      <c r="AM771" s="11">
        <f t="shared" si="834"/>
        <v>2</v>
      </c>
      <c r="AN771" s="25"/>
      <c r="AO771" s="10" t="str">
        <f t="shared" si="989"/>
        <v>OutubroSEMANA 4Nescau (Nestle)</v>
      </c>
      <c r="AP771" s="7">
        <f>SUMIF(NF!$A:$A,$AO771,NF!$I:$I)</f>
        <v>1</v>
      </c>
      <c r="AQ771" s="6"/>
      <c r="AR771" s="6"/>
      <c r="AS771" s="6"/>
      <c r="AT771" s="6"/>
      <c r="AU771" s="6"/>
      <c r="AV771" s="6"/>
      <c r="AW771" s="6"/>
      <c r="AX771" s="7">
        <f t="shared" si="1001"/>
        <v>0</v>
      </c>
      <c r="AY771" s="11">
        <f t="shared" si="837"/>
        <v>3</v>
      </c>
      <c r="AZ771" s="25"/>
      <c r="BA771" s="10" t="str">
        <f t="shared" si="990"/>
        <v>OutubroSEMANA 5Nescau (Nestle)</v>
      </c>
      <c r="BB771" s="7">
        <f>SUMIF(NF!$A:$A,$BA771,NF!$I:$I)</f>
        <v>0</v>
      </c>
      <c r="BC771" s="6"/>
      <c r="BD771" s="6"/>
      <c r="BE771" s="6"/>
      <c r="BF771" s="74"/>
      <c r="BG771" s="74"/>
      <c r="BH771" s="74"/>
      <c r="BI771" s="74"/>
      <c r="BJ771" s="74"/>
      <c r="BK771" s="7">
        <f t="shared" si="1002"/>
        <v>0</v>
      </c>
      <c r="BL771" s="8">
        <f t="shared" si="840"/>
        <v>3</v>
      </c>
      <c r="BM771" s="51" t="str">
        <f>IFERROR(VLOOKUP(A771,NF!$M:$O,3,0),"")</f>
        <v>Mercado</v>
      </c>
      <c r="BN771" s="7">
        <f t="shared" si="841"/>
        <v>5</v>
      </c>
      <c r="BO771" s="8">
        <f t="array" ref="BO771">IFERROR(LARGE(IF(NF!$G$2:$G$3137='Mês atual'!A771,NF!$J$2:$J$3137),1),0)*BN771</f>
        <v>93.9</v>
      </c>
      <c r="BP771" s="50"/>
      <c r="BR771" s="147">
        <f t="array" ref="BR771">IFERROR(LARGE(IF(NF!$G$2:$G$3137='Mês atual'!A771,NF!$J$2:$J$3137),1),0)</f>
        <v>18.78</v>
      </c>
      <c r="BS771" s="143" t="str">
        <f>VLOOKUP(A771,NF!M:O,3,0)</f>
        <v>Mercado</v>
      </c>
    </row>
    <row r="772" spans="1:71" x14ac:dyDescent="0.25">
      <c r="A772" s="108" t="s">
        <v>540</v>
      </c>
      <c r="B772" s="12"/>
      <c r="C772" s="9"/>
      <c r="D772" s="25"/>
      <c r="E772" s="10" t="str">
        <f t="shared" si="986"/>
        <v>OutubroSEMANA 1Nozes sem casca</v>
      </c>
      <c r="F772" s="7">
        <f>SUMIF(NF!$A:$A,$E772,NF!$I:$I)</f>
        <v>1</v>
      </c>
      <c r="G772" s="6"/>
      <c r="H772" s="6"/>
      <c r="I772" s="6"/>
      <c r="J772" s="6"/>
      <c r="K772" s="6"/>
      <c r="L772" s="6"/>
      <c r="M772" s="6"/>
      <c r="N772" s="7">
        <f t="shared" si="998"/>
        <v>0</v>
      </c>
      <c r="O772" s="11">
        <f t="shared" si="828"/>
        <v>1</v>
      </c>
      <c r="P772" s="25"/>
      <c r="Q772" s="10" t="str">
        <f t="shared" si="987"/>
        <v>OutubroSEMANA 2Nozes sem casca</v>
      </c>
      <c r="R772" s="7">
        <f>SUMIF(NF!$A:$A,$Q772,NF!$I:$I)</f>
        <v>1</v>
      </c>
      <c r="S772" s="6"/>
      <c r="T772" s="6"/>
      <c r="U772" s="6">
        <v>1</v>
      </c>
      <c r="V772" s="6"/>
      <c r="W772" s="6"/>
      <c r="X772" s="6"/>
      <c r="Y772" s="6"/>
      <c r="Z772" s="7">
        <f t="shared" si="999"/>
        <v>1</v>
      </c>
      <c r="AA772" s="11">
        <f t="shared" si="831"/>
        <v>1</v>
      </c>
      <c r="AB772" s="25"/>
      <c r="AC772" s="10" t="str">
        <f t="shared" si="988"/>
        <v>OutubroSEMANA 3Nozes sem casca</v>
      </c>
      <c r="AD772" s="7">
        <f>SUMIF(NF!$A:$A,$AC772,NF!$I:$I)</f>
        <v>1</v>
      </c>
      <c r="AE772" s="6"/>
      <c r="AF772" s="6"/>
      <c r="AG772" s="6"/>
      <c r="AH772" s="6"/>
      <c r="AI772" s="6"/>
      <c r="AJ772" s="6">
        <v>1</v>
      </c>
      <c r="AK772" s="6"/>
      <c r="AL772" s="7">
        <f t="shared" si="1000"/>
        <v>1</v>
      </c>
      <c r="AM772" s="11">
        <f t="shared" si="834"/>
        <v>1</v>
      </c>
      <c r="AN772" s="25"/>
      <c r="AO772" s="10" t="str">
        <f t="shared" si="989"/>
        <v>OutubroSEMANA 4Nozes sem casca</v>
      </c>
      <c r="AP772" s="7">
        <f>SUMIF(NF!$A:$A,$AO772,NF!$I:$I)</f>
        <v>1</v>
      </c>
      <c r="AQ772" s="6"/>
      <c r="AR772" s="6">
        <v>1</v>
      </c>
      <c r="AS772" s="6"/>
      <c r="AT772" s="6"/>
      <c r="AU772" s="6"/>
      <c r="AV772" s="6"/>
      <c r="AW772" s="6"/>
      <c r="AX772" s="7">
        <f t="shared" si="1001"/>
        <v>1</v>
      </c>
      <c r="AY772" s="11">
        <f t="shared" si="837"/>
        <v>1</v>
      </c>
      <c r="AZ772" s="25"/>
      <c r="BA772" s="10" t="str">
        <f t="shared" si="990"/>
        <v>OutubroSEMANA 5Nozes sem casca</v>
      </c>
      <c r="BB772" s="7">
        <f>SUMIF(NF!$A:$A,$BA772,NF!$I:$I)</f>
        <v>0</v>
      </c>
      <c r="BC772" s="6"/>
      <c r="BD772" s="6"/>
      <c r="BE772" s="6"/>
      <c r="BF772" s="74"/>
      <c r="BG772" s="74"/>
      <c r="BH772" s="74"/>
      <c r="BI772" s="74"/>
      <c r="BJ772" s="74"/>
      <c r="BK772" s="7">
        <f t="shared" si="1002"/>
        <v>0</v>
      </c>
      <c r="BL772" s="8">
        <f t="shared" si="840"/>
        <v>1</v>
      </c>
      <c r="BM772" s="51" t="str">
        <f>IFERROR(VLOOKUP(A772,NF!$M:$O,3,0),"")</f>
        <v>Mercado</v>
      </c>
      <c r="BN772" s="7">
        <f t="shared" si="841"/>
        <v>3</v>
      </c>
      <c r="BO772" s="8">
        <f t="array" ref="BO772">IFERROR(LARGE(IF(NF!$G$2:$G$3137='Mês atual'!A772,NF!$J$2:$J$3137),1),0)*BN772</f>
        <v>189</v>
      </c>
      <c r="BP772" s="50"/>
      <c r="BR772" s="147">
        <f t="array" ref="BR772">IFERROR(LARGE(IF(NF!$G$2:$G$3137='Mês atual'!A772,NF!$J$2:$J$3137),1),0)</f>
        <v>63</v>
      </c>
      <c r="BS772" s="143" t="str">
        <f>VLOOKUP(A772,NF!M:O,3,0)</f>
        <v>Mercado</v>
      </c>
    </row>
    <row r="773" spans="1:71" x14ac:dyDescent="0.25">
      <c r="A773" s="108" t="s">
        <v>542</v>
      </c>
      <c r="B773" s="12"/>
      <c r="C773" s="9">
        <v>34</v>
      </c>
      <c r="D773" s="25"/>
      <c r="E773" s="10" t="str">
        <f t="shared" si="986"/>
        <v>OutubroSEMANA 1Óleo Composto 500ml</v>
      </c>
      <c r="F773" s="7">
        <f>SUMIF(NF!$A:$A,$E773,NF!$I:$I)</f>
        <v>48</v>
      </c>
      <c r="G773" s="6">
        <v>5</v>
      </c>
      <c r="H773" s="6">
        <v>3</v>
      </c>
      <c r="I773" s="6">
        <v>7</v>
      </c>
      <c r="J773" s="6">
        <v>2</v>
      </c>
      <c r="K773" s="6">
        <v>5</v>
      </c>
      <c r="L773" s="6">
        <f>3+1</f>
        <v>4</v>
      </c>
      <c r="M773" s="6">
        <f>4+1</f>
        <v>5</v>
      </c>
      <c r="N773" s="7">
        <f t="shared" si="998"/>
        <v>31</v>
      </c>
      <c r="O773" s="11">
        <f t="shared" si="828"/>
        <v>51</v>
      </c>
      <c r="P773" s="25"/>
      <c r="Q773" s="10" t="str">
        <f t="shared" si="987"/>
        <v>OutubroSEMANA 2Óleo Composto 500ml</v>
      </c>
      <c r="R773" s="7">
        <f>SUMIF(NF!$A:$A,$Q773,NF!$I:$I)</f>
        <v>12</v>
      </c>
      <c r="S773" s="6">
        <v>2</v>
      </c>
      <c r="T773" s="6">
        <v>6</v>
      </c>
      <c r="U773" s="6">
        <v>8</v>
      </c>
      <c r="V773" s="6">
        <v>3</v>
      </c>
      <c r="W773" s="6">
        <v>4</v>
      </c>
      <c r="X773" s="6">
        <v>3</v>
      </c>
      <c r="Y773" s="6">
        <v>3</v>
      </c>
      <c r="Z773" s="7">
        <f t="shared" si="999"/>
        <v>29</v>
      </c>
      <c r="AA773" s="11">
        <f t="shared" si="831"/>
        <v>34</v>
      </c>
      <c r="AB773" s="25"/>
      <c r="AC773" s="10" t="str">
        <f t="shared" si="988"/>
        <v>OutubroSEMANA 3Óleo Composto 500ml</v>
      </c>
      <c r="AD773" s="7">
        <f>SUMIF(NF!$A:$A,$AC773,NF!$I:$I)</f>
        <v>36</v>
      </c>
      <c r="AE773" s="6">
        <v>4</v>
      </c>
      <c r="AF773" s="6">
        <v>3</v>
      </c>
      <c r="AG773" s="6">
        <v>6</v>
      </c>
      <c r="AH773" s="6">
        <v>3</v>
      </c>
      <c r="AI773" s="6">
        <v>7</v>
      </c>
      <c r="AJ773" s="6">
        <v>7</v>
      </c>
      <c r="AK773" s="6">
        <v>4</v>
      </c>
      <c r="AL773" s="7">
        <f t="shared" si="1000"/>
        <v>34</v>
      </c>
      <c r="AM773" s="11">
        <f t="shared" si="834"/>
        <v>36</v>
      </c>
      <c r="AN773" s="25"/>
      <c r="AO773" s="10" t="str">
        <f t="shared" si="989"/>
        <v>OutubroSEMANA 4Óleo Composto 500ml</v>
      </c>
      <c r="AP773" s="7">
        <f>SUMIF(NF!$A:$A,$AO773,NF!$I:$I)</f>
        <v>12</v>
      </c>
      <c r="AQ773" s="6">
        <v>4</v>
      </c>
      <c r="AR773" s="6">
        <v>3</v>
      </c>
      <c r="AS773" s="6">
        <v>3</v>
      </c>
      <c r="AT773" s="6">
        <v>5</v>
      </c>
      <c r="AU773" s="6">
        <v>2</v>
      </c>
      <c r="AV773" s="6">
        <v>4</v>
      </c>
      <c r="AW773" s="6">
        <v>3</v>
      </c>
      <c r="AX773" s="7">
        <f t="shared" si="1001"/>
        <v>24</v>
      </c>
      <c r="AY773" s="11">
        <f t="shared" si="837"/>
        <v>24</v>
      </c>
      <c r="AZ773" s="25"/>
      <c r="BA773" s="10" t="str">
        <f t="shared" si="990"/>
        <v>OutubroSEMANA 5Óleo Composto 500ml</v>
      </c>
      <c r="BB773" s="7">
        <f>SUMIF(NF!$A:$A,$BA773,NF!$I:$I)</f>
        <v>0</v>
      </c>
      <c r="BC773" s="6">
        <v>4</v>
      </c>
      <c r="BD773" s="6">
        <v>4</v>
      </c>
      <c r="BE773" s="6">
        <v>3</v>
      </c>
      <c r="BF773" s="74"/>
      <c r="BG773" s="74"/>
      <c r="BH773" s="74"/>
      <c r="BI773" s="74"/>
      <c r="BJ773" s="74"/>
      <c r="BK773" s="7">
        <f t="shared" si="1002"/>
        <v>11</v>
      </c>
      <c r="BL773" s="8">
        <f t="shared" si="840"/>
        <v>13</v>
      </c>
      <c r="BM773" s="51" t="str">
        <f>IFERROR(VLOOKUP(A773,NF!$M:$O,3,0),"")</f>
        <v>Mercado</v>
      </c>
      <c r="BN773" s="7">
        <f t="shared" si="841"/>
        <v>129</v>
      </c>
      <c r="BO773" s="8">
        <f t="array" ref="BO773">IFERROR(LARGE(IF(NF!$G$2:$G$3137='Mês atual'!A773,NF!$J$2:$J$3137),1),0)*BN773</f>
        <v>449.13500000000005</v>
      </c>
      <c r="BP773" s="50"/>
      <c r="BR773" s="147">
        <f t="array" ref="BR773">IFERROR(LARGE(IF(NF!$G$2:$G$3137='Mês atual'!A773,NF!$J$2:$J$3137),1),0)</f>
        <v>3.4816666666666669</v>
      </c>
      <c r="BS773" s="143" t="str">
        <f>VLOOKUP(A773,NF!M:O,3,0)</f>
        <v>Mercado</v>
      </c>
    </row>
    <row r="774" spans="1:71" x14ac:dyDescent="0.25">
      <c r="A774" s="108" t="s">
        <v>543</v>
      </c>
      <c r="B774" s="12"/>
      <c r="C774" s="9"/>
      <c r="D774" s="25"/>
      <c r="E774" s="10" t="str">
        <f t="shared" si="986"/>
        <v>OutubroSEMANA 1Óleo de Côco Orgânico 200ml</v>
      </c>
      <c r="F774" s="7">
        <f>SUMIF(NF!$A:$A,$E774,NF!$I:$I)</f>
        <v>0</v>
      </c>
      <c r="G774" s="6"/>
      <c r="H774" s="6"/>
      <c r="I774" s="6"/>
      <c r="J774" s="6"/>
      <c r="K774" s="6"/>
      <c r="L774" s="6"/>
      <c r="M774" s="6"/>
      <c r="N774" s="7">
        <f t="shared" ref="N774" si="1003">SUM(G774:M774)</f>
        <v>0</v>
      </c>
      <c r="O774" s="11">
        <f t="shared" si="828"/>
        <v>0</v>
      </c>
      <c r="P774" s="25"/>
      <c r="Q774" s="10" t="str">
        <f t="shared" si="987"/>
        <v>OutubroSEMANA 2Óleo de Côco Orgânico 200ml</v>
      </c>
      <c r="R774" s="7">
        <f>SUMIF(NF!$A:$A,$Q774,NF!$I:$I)</f>
        <v>0</v>
      </c>
      <c r="S774" s="6"/>
      <c r="T774" s="6"/>
      <c r="U774" s="6"/>
      <c r="V774" s="6"/>
      <c r="W774" s="6"/>
      <c r="X774" s="6"/>
      <c r="Y774" s="6"/>
      <c r="Z774" s="7">
        <f t="shared" ref="Z774" si="1004">SUM(S774:Y774)</f>
        <v>0</v>
      </c>
      <c r="AA774" s="11">
        <f t="shared" si="831"/>
        <v>0</v>
      </c>
      <c r="AB774" s="25"/>
      <c r="AC774" s="10" t="str">
        <f t="shared" si="988"/>
        <v>OutubroSEMANA 3Óleo de Côco Orgânico 200ml</v>
      </c>
      <c r="AD774" s="7">
        <f>SUMIF(NF!$A:$A,$AC774,NF!$I:$I)</f>
        <v>0</v>
      </c>
      <c r="AE774" s="6"/>
      <c r="AF774" s="6"/>
      <c r="AG774" s="6"/>
      <c r="AH774" s="6"/>
      <c r="AI774" s="6"/>
      <c r="AJ774" s="6"/>
      <c r="AK774" s="6"/>
      <c r="AL774" s="7">
        <f t="shared" ref="AL774" si="1005">SUM(AE774:AK774)</f>
        <v>0</v>
      </c>
      <c r="AM774" s="11">
        <f t="shared" si="834"/>
        <v>0</v>
      </c>
      <c r="AN774" s="25"/>
      <c r="AO774" s="10" t="str">
        <f t="shared" si="989"/>
        <v>OutubroSEMANA 4Óleo de Côco Orgânico 200ml</v>
      </c>
      <c r="AP774" s="7">
        <f>SUMIF(NF!$A:$A,$AO774,NF!$I:$I)</f>
        <v>0</v>
      </c>
      <c r="AQ774" s="6"/>
      <c r="AR774" s="6"/>
      <c r="AS774" s="6"/>
      <c r="AT774" s="6"/>
      <c r="AU774" s="6"/>
      <c r="AV774" s="6"/>
      <c r="AW774" s="6"/>
      <c r="AX774" s="7">
        <f t="shared" ref="AX774" si="1006">SUM(AQ774:AW774)</f>
        <v>0</v>
      </c>
      <c r="AY774" s="11">
        <f t="shared" si="837"/>
        <v>0</v>
      </c>
      <c r="AZ774" s="25"/>
      <c r="BA774" s="10" t="str">
        <f t="shared" si="990"/>
        <v>OutubroSEMANA 5Óleo de Côco Orgânico 200ml</v>
      </c>
      <c r="BB774" s="7">
        <f>SUMIF(NF!$A:$A,$BA774,NF!$I:$I)</f>
        <v>0</v>
      </c>
      <c r="BC774" s="6"/>
      <c r="BD774" s="6"/>
      <c r="BE774" s="6"/>
      <c r="BF774" s="74"/>
      <c r="BG774" s="74"/>
      <c r="BH774" s="74"/>
      <c r="BI774" s="74"/>
      <c r="BJ774" s="74"/>
      <c r="BK774" s="7">
        <f t="shared" ref="BK774" si="1007">SUM(BC774:BJ774)</f>
        <v>0</v>
      </c>
      <c r="BL774" s="8">
        <f t="shared" si="840"/>
        <v>0</v>
      </c>
      <c r="BM774" s="51" t="str">
        <f>IFERROR(VLOOKUP(A774,NF!$M:$O,3,0),"")</f>
        <v>Mercado</v>
      </c>
      <c r="BN774" s="7">
        <f t="shared" si="841"/>
        <v>0</v>
      </c>
      <c r="BO774" s="8">
        <f t="array" ref="BO774">IFERROR(LARGE(IF(NF!$G$2:$G$3137='Mês atual'!A774,NF!$J$2:$J$3137),1),0)*BN774</f>
        <v>0</v>
      </c>
      <c r="BP774" s="50"/>
      <c r="BR774" s="147">
        <f t="array" ref="BR774">IFERROR(LARGE(IF(NF!$G$2:$G$3137='Mês atual'!A774,NF!$J$2:$J$3137),1),0)</f>
        <v>0</v>
      </c>
      <c r="BS774" s="143" t="str">
        <f>VLOOKUP(A774,NF!M:O,3,0)</f>
        <v>Mercado</v>
      </c>
    </row>
    <row r="775" spans="1:71" x14ac:dyDescent="0.25">
      <c r="A775" s="108" t="s">
        <v>544</v>
      </c>
      <c r="B775" s="12"/>
      <c r="C775" s="9">
        <v>2</v>
      </c>
      <c r="D775" s="25"/>
      <c r="E775" s="10" t="str">
        <f t="shared" si="986"/>
        <v>OutubroSEMANA 1Óleo de Gergelim</v>
      </c>
      <c r="F775" s="7">
        <f>SUMIF(NF!$A:$A,$E775,NF!$I:$I)</f>
        <v>0</v>
      </c>
      <c r="G775" s="6"/>
      <c r="H775" s="6"/>
      <c r="I775" s="6"/>
      <c r="J775" s="6"/>
      <c r="K775" s="6"/>
      <c r="L775" s="6"/>
      <c r="M775" s="6"/>
      <c r="N775" s="7">
        <f t="shared" ref="N775:N802" si="1008">SUM(G775:M775)</f>
        <v>0</v>
      </c>
      <c r="O775" s="11">
        <f t="shared" si="828"/>
        <v>2</v>
      </c>
      <c r="P775" s="25"/>
      <c r="Q775" s="10" t="str">
        <f t="shared" si="987"/>
        <v>OutubroSEMANA 2Óleo de Gergelim</v>
      </c>
      <c r="R775" s="7">
        <f>SUMIF(NF!$A:$A,$Q775,NF!$I:$I)</f>
        <v>0</v>
      </c>
      <c r="S775" s="6"/>
      <c r="T775" s="6"/>
      <c r="U775" s="6"/>
      <c r="V775" s="6">
        <v>1</v>
      </c>
      <c r="W775" s="6"/>
      <c r="X775" s="6"/>
      <c r="Y775" s="6">
        <v>1</v>
      </c>
      <c r="Z775" s="7">
        <f t="shared" ref="Z775:Z802" si="1009">SUM(S775:Y775)</f>
        <v>2</v>
      </c>
      <c r="AA775" s="11">
        <f t="shared" si="831"/>
        <v>0</v>
      </c>
      <c r="AB775" s="25"/>
      <c r="AC775" s="10" t="str">
        <f t="shared" si="988"/>
        <v>OutubroSEMANA 3Óleo de Gergelim</v>
      </c>
      <c r="AD775" s="7">
        <f>SUMIF(NF!$A:$A,$AC775,NF!$I:$I)</f>
        <v>1</v>
      </c>
      <c r="AE775" s="6"/>
      <c r="AF775" s="6"/>
      <c r="AG775" s="6"/>
      <c r="AH775" s="6"/>
      <c r="AI775" s="6"/>
      <c r="AJ775" s="6">
        <v>1</v>
      </c>
      <c r="AK775" s="6"/>
      <c r="AL775" s="7">
        <f t="shared" ref="AL775:AL802" si="1010">SUM(AE775:AK775)</f>
        <v>1</v>
      </c>
      <c r="AM775" s="11">
        <f t="shared" si="834"/>
        <v>0</v>
      </c>
      <c r="AN775" s="25"/>
      <c r="AO775" s="10" t="str">
        <f t="shared" si="989"/>
        <v>OutubroSEMANA 4Óleo de Gergelim</v>
      </c>
      <c r="AP775" s="7">
        <f>SUMIF(NF!$A:$A,$AO775,NF!$I:$I)</f>
        <v>2</v>
      </c>
      <c r="AQ775" s="6"/>
      <c r="AR775" s="6"/>
      <c r="AS775" s="6"/>
      <c r="AT775" s="6"/>
      <c r="AU775" s="6"/>
      <c r="AV775" s="6"/>
      <c r="AW775" s="6"/>
      <c r="AX775" s="7">
        <f t="shared" ref="AX775:AX802" si="1011">SUM(AQ775:AW775)</f>
        <v>0</v>
      </c>
      <c r="AY775" s="11">
        <f t="shared" si="837"/>
        <v>2</v>
      </c>
      <c r="AZ775" s="25"/>
      <c r="BA775" s="10" t="str">
        <f t="shared" si="990"/>
        <v>OutubroSEMANA 5Óleo de Gergelim</v>
      </c>
      <c r="BB775" s="7">
        <f>SUMIF(NF!$A:$A,$BA775,NF!$I:$I)</f>
        <v>0</v>
      </c>
      <c r="BC775" s="6"/>
      <c r="BD775" s="6"/>
      <c r="BE775" s="6"/>
      <c r="BF775" s="74"/>
      <c r="BG775" s="74"/>
      <c r="BH775" s="74"/>
      <c r="BI775" s="74"/>
      <c r="BJ775" s="74"/>
      <c r="BK775" s="7">
        <f t="shared" ref="BK775:BK802" si="1012">SUM(BC775:BJ775)</f>
        <v>0</v>
      </c>
      <c r="BL775" s="8">
        <f t="shared" si="840"/>
        <v>2</v>
      </c>
      <c r="BM775" s="51" t="str">
        <f>IFERROR(VLOOKUP(A775,NF!$M:$O,3,0),"")</f>
        <v>Mercado</v>
      </c>
      <c r="BN775" s="7">
        <f t="shared" si="841"/>
        <v>3</v>
      </c>
      <c r="BO775" s="8">
        <f t="array" ref="BO775">IFERROR(LARGE(IF(NF!$G$2:$G$3137='Mês atual'!A775,NF!$J$2:$J$3137),1),0)*BN775</f>
        <v>162</v>
      </c>
      <c r="BP775" s="50"/>
      <c r="BR775" s="147">
        <f t="array" ref="BR775">IFERROR(LARGE(IF(NF!$G$2:$G$3137='Mês atual'!A775,NF!$J$2:$J$3137),1),0)</f>
        <v>54</v>
      </c>
      <c r="BS775" s="143" t="str">
        <f>VLOOKUP(A775,NF!M:O,3,0)</f>
        <v>Mercado</v>
      </c>
    </row>
    <row r="776" spans="1:71" x14ac:dyDescent="0.25">
      <c r="A776" s="108" t="s">
        <v>545</v>
      </c>
      <c r="B776" s="12"/>
      <c r="C776" s="9">
        <v>4</v>
      </c>
      <c r="D776" s="25"/>
      <c r="E776" s="10" t="str">
        <f t="shared" si="986"/>
        <v>OutubroSEMANA 1Óleo de Soja 18 Lt</v>
      </c>
      <c r="F776" s="7">
        <f>SUMIF(NF!$A:$A,$E776,NF!$I:$I)</f>
        <v>6</v>
      </c>
      <c r="G776" s="6"/>
      <c r="H776" s="6"/>
      <c r="I776" s="6">
        <v>2</v>
      </c>
      <c r="J776" s="6"/>
      <c r="K776" s="6">
        <v>1</v>
      </c>
      <c r="L776" s="6"/>
      <c r="M776" s="6">
        <v>2</v>
      </c>
      <c r="N776" s="7">
        <f t="shared" si="1008"/>
        <v>5</v>
      </c>
      <c r="O776" s="11">
        <f t="shared" si="828"/>
        <v>5</v>
      </c>
      <c r="P776" s="25"/>
      <c r="Q776" s="10" t="str">
        <f t="shared" si="987"/>
        <v>OutubroSEMANA 2Óleo de Soja 18 Lt</v>
      </c>
      <c r="R776" s="7">
        <f>SUMIF(NF!$A:$A,$Q776,NF!$I:$I)</f>
        <v>3</v>
      </c>
      <c r="S776" s="6"/>
      <c r="T776" s="6">
        <v>1</v>
      </c>
      <c r="U776" s="6"/>
      <c r="V776" s="6">
        <v>2</v>
      </c>
      <c r="W776" s="6"/>
      <c r="X776" s="6">
        <v>1</v>
      </c>
      <c r="Y776" s="6"/>
      <c r="Z776" s="7">
        <f t="shared" si="1009"/>
        <v>4</v>
      </c>
      <c r="AA776" s="11">
        <f t="shared" si="831"/>
        <v>4</v>
      </c>
      <c r="AB776" s="25"/>
      <c r="AC776" s="10" t="str">
        <f t="shared" si="988"/>
        <v>OutubroSEMANA 3Óleo de Soja 18 Lt</v>
      </c>
      <c r="AD776" s="7">
        <f>SUMIF(NF!$A:$A,$AC776,NF!$I:$I)</f>
        <v>5</v>
      </c>
      <c r="AE776" s="6"/>
      <c r="AF776" s="6">
        <v>2</v>
      </c>
      <c r="AG776" s="6"/>
      <c r="AH776" s="6">
        <v>1</v>
      </c>
      <c r="AI776" s="6"/>
      <c r="AJ776" s="6">
        <v>1</v>
      </c>
      <c r="AK776" s="6">
        <v>1</v>
      </c>
      <c r="AL776" s="7">
        <f t="shared" si="1010"/>
        <v>5</v>
      </c>
      <c r="AM776" s="11">
        <f t="shared" si="834"/>
        <v>4</v>
      </c>
      <c r="AN776" s="25"/>
      <c r="AO776" s="10" t="str">
        <f t="shared" si="989"/>
        <v>OutubroSEMANA 4Óleo de Soja 18 Lt</v>
      </c>
      <c r="AP776" s="7">
        <f>SUMIF(NF!$A:$A,$AO776,NF!$I:$I)</f>
        <v>3</v>
      </c>
      <c r="AQ776" s="6">
        <v>1</v>
      </c>
      <c r="AR776" s="6"/>
      <c r="AS776" s="6"/>
      <c r="AT776" s="6">
        <v>1</v>
      </c>
      <c r="AU776" s="6">
        <v>2</v>
      </c>
      <c r="AV776" s="6"/>
      <c r="AW776" s="6"/>
      <c r="AX776" s="7">
        <f t="shared" si="1011"/>
        <v>4</v>
      </c>
      <c r="AY776" s="11">
        <f t="shared" si="837"/>
        <v>3</v>
      </c>
      <c r="AZ776" s="25"/>
      <c r="BA776" s="10" t="str">
        <f t="shared" si="990"/>
        <v>OutubroSEMANA 5Óleo de Soja 18 Lt</v>
      </c>
      <c r="BB776" s="7">
        <f>SUMIF(NF!$A:$A,$BA776,NF!$I:$I)</f>
        <v>1</v>
      </c>
      <c r="BC776" s="6">
        <v>1</v>
      </c>
      <c r="BD776" s="6">
        <v>1</v>
      </c>
      <c r="BE776" s="6">
        <v>1</v>
      </c>
      <c r="BF776" s="74"/>
      <c r="BG776" s="74"/>
      <c r="BH776" s="74"/>
      <c r="BI776" s="74"/>
      <c r="BJ776" s="74"/>
      <c r="BK776" s="7">
        <f t="shared" si="1012"/>
        <v>3</v>
      </c>
      <c r="BL776" s="8">
        <f t="shared" si="840"/>
        <v>1</v>
      </c>
      <c r="BM776" s="51" t="str">
        <f>IFERROR(VLOOKUP(A776,NF!$M:$O,3,0),"")</f>
        <v>Mercado</v>
      </c>
      <c r="BN776" s="7">
        <f t="shared" si="841"/>
        <v>21</v>
      </c>
      <c r="BO776" s="8">
        <f t="array" ref="BO776">IFERROR(LARGE(IF(NF!$G$2:$G$3137='Mês atual'!A776,NF!$J$2:$J$3137),1),0)*BN776</f>
        <v>1428</v>
      </c>
      <c r="BP776" s="50"/>
      <c r="BR776" s="147">
        <f t="array" ref="BR776">IFERROR(LARGE(IF(NF!$G$2:$G$3137='Mês atual'!A776,NF!$J$2:$J$3137),1),0)</f>
        <v>68</v>
      </c>
      <c r="BS776" s="143" t="str">
        <f>VLOOKUP(A776,NF!M:O,3,0)</f>
        <v>Mercado</v>
      </c>
    </row>
    <row r="777" spans="1:71" x14ac:dyDescent="0.25">
      <c r="A777" s="108" t="s">
        <v>546</v>
      </c>
      <c r="B777" s="12"/>
      <c r="C777" s="9"/>
      <c r="D777" s="25"/>
      <c r="E777" s="10" t="str">
        <f t="shared" si="986"/>
        <v>OutubroSEMANA 1Óleo de Soja Pet</v>
      </c>
      <c r="F777" s="7">
        <f>SUMIF(NF!$A:$A,$E777,NF!$I:$I)</f>
        <v>0</v>
      </c>
      <c r="G777" s="6"/>
      <c r="H777" s="6"/>
      <c r="I777" s="6"/>
      <c r="J777" s="6"/>
      <c r="K777" s="6"/>
      <c r="L777" s="6"/>
      <c r="M777" s="6"/>
      <c r="N777" s="7">
        <f t="shared" si="1008"/>
        <v>0</v>
      </c>
      <c r="O777" s="11">
        <f t="shared" si="828"/>
        <v>0</v>
      </c>
      <c r="P777" s="25"/>
      <c r="Q777" s="10" t="str">
        <f t="shared" si="987"/>
        <v>OutubroSEMANA 2Óleo de Soja Pet</v>
      </c>
      <c r="R777" s="7">
        <f>SUMIF(NF!$A:$A,$Q777,NF!$I:$I)</f>
        <v>0</v>
      </c>
      <c r="S777" s="6"/>
      <c r="T777" s="6"/>
      <c r="U777" s="6"/>
      <c r="V777" s="6"/>
      <c r="W777" s="6"/>
      <c r="X777" s="6"/>
      <c r="Y777" s="6"/>
      <c r="Z777" s="7">
        <f t="shared" si="1009"/>
        <v>0</v>
      </c>
      <c r="AA777" s="11">
        <f t="shared" si="831"/>
        <v>0</v>
      </c>
      <c r="AB777" s="25"/>
      <c r="AC777" s="10" t="str">
        <f t="shared" si="988"/>
        <v>OutubroSEMANA 3Óleo de Soja Pet</v>
      </c>
      <c r="AD777" s="7">
        <f>SUMIF(NF!$A:$A,$AC777,NF!$I:$I)</f>
        <v>0</v>
      </c>
      <c r="AE777" s="6"/>
      <c r="AF777" s="6"/>
      <c r="AG777" s="6"/>
      <c r="AH777" s="6"/>
      <c r="AI777" s="6"/>
      <c r="AJ777" s="6"/>
      <c r="AK777" s="6"/>
      <c r="AL777" s="7">
        <f t="shared" si="1010"/>
        <v>0</v>
      </c>
      <c r="AM777" s="11">
        <f t="shared" si="834"/>
        <v>0</v>
      </c>
      <c r="AN777" s="25"/>
      <c r="AO777" s="10" t="str">
        <f t="shared" si="989"/>
        <v>OutubroSEMANA 4Óleo de Soja Pet</v>
      </c>
      <c r="AP777" s="7">
        <f>SUMIF(NF!$A:$A,$AO777,NF!$I:$I)</f>
        <v>0</v>
      </c>
      <c r="AQ777" s="6"/>
      <c r="AR777" s="6"/>
      <c r="AS777" s="6"/>
      <c r="AT777" s="6"/>
      <c r="AU777" s="6"/>
      <c r="AV777" s="6"/>
      <c r="AW777" s="6"/>
      <c r="AX777" s="7">
        <f t="shared" si="1011"/>
        <v>0</v>
      </c>
      <c r="AY777" s="11">
        <f t="shared" si="837"/>
        <v>0</v>
      </c>
      <c r="AZ777" s="25"/>
      <c r="BA777" s="10" t="str">
        <f t="shared" si="990"/>
        <v>OutubroSEMANA 5Óleo de Soja Pet</v>
      </c>
      <c r="BB777" s="7">
        <f>SUMIF(NF!$A:$A,$BA777,NF!$I:$I)</f>
        <v>0</v>
      </c>
      <c r="BC777" s="6"/>
      <c r="BD777" s="6"/>
      <c r="BE777" s="6"/>
      <c r="BF777" s="74"/>
      <c r="BG777" s="74"/>
      <c r="BH777" s="74"/>
      <c r="BI777" s="74"/>
      <c r="BJ777" s="74"/>
      <c r="BK777" s="7">
        <f t="shared" si="1012"/>
        <v>0</v>
      </c>
      <c r="BL777" s="8">
        <f t="shared" si="840"/>
        <v>0</v>
      </c>
      <c r="BM777" s="51" t="str">
        <f>IFERROR(VLOOKUP(A777,NF!$M:$O,3,0),"")</f>
        <v>Mercado</v>
      </c>
      <c r="BN777" s="7">
        <f t="shared" si="841"/>
        <v>0</v>
      </c>
      <c r="BO777" s="8">
        <f t="array" ref="BO777">IFERROR(LARGE(IF(NF!$G$2:$G$3137='Mês atual'!A777,NF!$J$2:$J$3137),1),0)*BN777</f>
        <v>0</v>
      </c>
      <c r="BP777" s="50"/>
      <c r="BR777" s="147">
        <f t="array" ref="BR777">IFERROR(LARGE(IF(NF!$G$2:$G$3137='Mês atual'!A777,NF!$J$2:$J$3137),1),0)</f>
        <v>0</v>
      </c>
      <c r="BS777" s="143" t="str">
        <f>VLOOKUP(A777,NF!M:O,3,0)</f>
        <v>Mercado</v>
      </c>
    </row>
    <row r="778" spans="1:71" x14ac:dyDescent="0.25">
      <c r="A778" s="108" t="s">
        <v>547</v>
      </c>
      <c r="B778" s="12"/>
      <c r="C778" s="9">
        <v>0.7</v>
      </c>
      <c r="D778" s="25"/>
      <c r="E778" s="10" t="str">
        <f t="shared" si="986"/>
        <v>OutubroSEMANA 1Orégano Chileno</v>
      </c>
      <c r="F778" s="7">
        <f>SUMIF(NF!$A:$A,$E778,NF!$I:$I)</f>
        <v>0</v>
      </c>
      <c r="G778" s="6"/>
      <c r="H778" s="6"/>
      <c r="I778" s="6"/>
      <c r="J778" s="6"/>
      <c r="K778" s="6"/>
      <c r="L778" s="6"/>
      <c r="M778" s="6"/>
      <c r="N778" s="7">
        <f t="shared" si="1008"/>
        <v>0</v>
      </c>
      <c r="O778" s="11">
        <f t="shared" si="828"/>
        <v>0.7</v>
      </c>
      <c r="P778" s="25"/>
      <c r="Q778" s="10" t="str">
        <f t="shared" si="987"/>
        <v>OutubroSEMANA 2Orégano Chileno</v>
      </c>
      <c r="R778" s="7">
        <f>SUMIF(NF!$A:$A,$Q778,NF!$I:$I)</f>
        <v>0</v>
      </c>
      <c r="S778" s="6"/>
      <c r="T778" s="6"/>
      <c r="U778" s="6">
        <v>0.25</v>
      </c>
      <c r="V778" s="6"/>
      <c r="W778" s="6"/>
      <c r="X778" s="6"/>
      <c r="Y778" s="6"/>
      <c r="Z778" s="7">
        <f t="shared" si="1009"/>
        <v>0.25</v>
      </c>
      <c r="AA778" s="11">
        <f t="shared" si="831"/>
        <v>0.44999999999999996</v>
      </c>
      <c r="AB778" s="25"/>
      <c r="AC778" s="10" t="str">
        <f t="shared" si="988"/>
        <v>OutubroSEMANA 3Orégano Chileno</v>
      </c>
      <c r="AD778" s="7">
        <f>SUMIF(NF!$A:$A,$AC778,NF!$I:$I)</f>
        <v>0</v>
      </c>
      <c r="AE778" s="6"/>
      <c r="AF778" s="6"/>
      <c r="AG778" s="6"/>
      <c r="AH778" s="6"/>
      <c r="AI778" s="6"/>
      <c r="AJ778" s="6">
        <v>0.25</v>
      </c>
      <c r="AK778" s="6"/>
      <c r="AL778" s="7">
        <f t="shared" si="1010"/>
        <v>0.25</v>
      </c>
      <c r="AM778" s="11">
        <f t="shared" si="834"/>
        <v>0.19999999999999996</v>
      </c>
      <c r="AN778" s="25"/>
      <c r="AO778" s="10" t="str">
        <f t="shared" si="989"/>
        <v>OutubroSEMANA 4Orégano Chileno</v>
      </c>
      <c r="AP778" s="7">
        <f>SUMIF(NF!$A:$A,$AO778,NF!$I:$I)</f>
        <v>0</v>
      </c>
      <c r="AQ778" s="6"/>
      <c r="AR778" s="6"/>
      <c r="AS778" s="6"/>
      <c r="AT778" s="6"/>
      <c r="AU778" s="6"/>
      <c r="AV778" s="6"/>
      <c r="AW778" s="6"/>
      <c r="AX778" s="7">
        <f t="shared" si="1011"/>
        <v>0</v>
      </c>
      <c r="AY778" s="11">
        <f t="shared" si="837"/>
        <v>0.19999999999999996</v>
      </c>
      <c r="AZ778" s="25"/>
      <c r="BA778" s="10" t="str">
        <f t="shared" si="990"/>
        <v>OutubroSEMANA 5Orégano Chileno</v>
      </c>
      <c r="BB778" s="7">
        <f>SUMIF(NF!$A:$A,$BA778,NF!$I:$I)</f>
        <v>0</v>
      </c>
      <c r="BC778" s="6"/>
      <c r="BD778" s="6"/>
      <c r="BE778" s="6"/>
      <c r="BF778" s="74"/>
      <c r="BG778" s="74"/>
      <c r="BH778" s="74"/>
      <c r="BI778" s="74"/>
      <c r="BJ778" s="74"/>
      <c r="BK778" s="7">
        <f t="shared" si="1012"/>
        <v>0</v>
      </c>
      <c r="BL778" s="8">
        <f t="shared" si="840"/>
        <v>0.19999999999999996</v>
      </c>
      <c r="BM778" s="51" t="str">
        <f>IFERROR(VLOOKUP(A778,NF!$M:$O,3,0),"")</f>
        <v>Mercado</v>
      </c>
      <c r="BN778" s="7">
        <f t="shared" si="841"/>
        <v>0.5</v>
      </c>
      <c r="BO778" s="8">
        <f t="array" ref="BO778">IFERROR(LARGE(IF(NF!$G$2:$G$3137='Mês atual'!A778,NF!$J$2:$J$3137),1),0)*BN778</f>
        <v>0</v>
      </c>
      <c r="BP778" s="50"/>
      <c r="BR778" s="147">
        <f t="array" ref="BR778">IFERROR(LARGE(IF(NF!$G$2:$G$3137='Mês atual'!A778,NF!$J$2:$J$3137),1),0)</f>
        <v>0</v>
      </c>
      <c r="BS778" s="143" t="str">
        <f>VLOOKUP(A778,NF!M:O,3,0)</f>
        <v>Mercado</v>
      </c>
    </row>
    <row r="779" spans="1:71" x14ac:dyDescent="0.25">
      <c r="A779" s="108" t="s">
        <v>556</v>
      </c>
      <c r="B779" s="12"/>
      <c r="C779" s="9">
        <v>46</v>
      </c>
      <c r="D779" s="25"/>
      <c r="E779" s="10" t="str">
        <f t="shared" si="986"/>
        <v>OutubroSEMANA 1Palmito lata 500gr</v>
      </c>
      <c r="F779" s="7">
        <f>SUMIF(NF!$A:$A,$E779,NF!$I:$I)</f>
        <v>0</v>
      </c>
      <c r="G779" s="6"/>
      <c r="H779" s="6"/>
      <c r="I779" s="6"/>
      <c r="J779" s="6">
        <v>2</v>
      </c>
      <c r="K779" s="6">
        <v>3</v>
      </c>
      <c r="L779" s="6">
        <f>11+1</f>
        <v>12</v>
      </c>
      <c r="M779" s="6">
        <v>3</v>
      </c>
      <c r="N779" s="7">
        <f t="shared" si="1008"/>
        <v>20</v>
      </c>
      <c r="O779" s="11">
        <f t="shared" si="828"/>
        <v>26</v>
      </c>
      <c r="P779" s="25"/>
      <c r="Q779" s="10" t="str">
        <f t="shared" si="987"/>
        <v>OutubroSEMANA 2Palmito lata 500gr</v>
      </c>
      <c r="R779" s="7">
        <f>SUMIF(NF!$A:$A,$Q779,NF!$I:$I)</f>
        <v>36</v>
      </c>
      <c r="S779" s="6"/>
      <c r="T779" s="6"/>
      <c r="U779" s="6">
        <v>2</v>
      </c>
      <c r="V779" s="6">
        <v>1</v>
      </c>
      <c r="W779" s="6"/>
      <c r="X779" s="6"/>
      <c r="Y779" s="6">
        <v>2</v>
      </c>
      <c r="Z779" s="7">
        <f t="shared" si="1009"/>
        <v>5</v>
      </c>
      <c r="AA779" s="11">
        <f t="shared" si="831"/>
        <v>57</v>
      </c>
      <c r="AB779" s="25"/>
      <c r="AC779" s="10" t="str">
        <f t="shared" si="988"/>
        <v>OutubroSEMANA 3Palmito lata 500gr</v>
      </c>
      <c r="AD779" s="7">
        <f>SUMIF(NF!$A:$A,$AC779,NF!$I:$I)</f>
        <v>0</v>
      </c>
      <c r="AE779" s="6">
        <v>5</v>
      </c>
      <c r="AF779" s="6"/>
      <c r="AG779" s="6">
        <v>3</v>
      </c>
      <c r="AH779" s="6">
        <v>2</v>
      </c>
      <c r="AI779" s="6"/>
      <c r="AJ779" s="6"/>
      <c r="AK779" s="6"/>
      <c r="AL779" s="7">
        <f t="shared" si="1010"/>
        <v>10</v>
      </c>
      <c r="AM779" s="11">
        <f t="shared" si="834"/>
        <v>47</v>
      </c>
      <c r="AN779" s="25"/>
      <c r="AO779" s="10" t="str">
        <f t="shared" si="989"/>
        <v>OutubroSEMANA 4Palmito lata 500gr</v>
      </c>
      <c r="AP779" s="7">
        <f>SUMIF(NF!$A:$A,$AO779,NF!$I:$I)</f>
        <v>0</v>
      </c>
      <c r="AQ779" s="6">
        <v>2</v>
      </c>
      <c r="AR779" s="6"/>
      <c r="AS779" s="6"/>
      <c r="AT779" s="6">
        <v>4</v>
      </c>
      <c r="AU779" s="6"/>
      <c r="AV779" s="6"/>
      <c r="AW779" s="6">
        <v>2</v>
      </c>
      <c r="AX779" s="7">
        <f t="shared" si="1011"/>
        <v>8</v>
      </c>
      <c r="AY779" s="11">
        <f t="shared" si="837"/>
        <v>39</v>
      </c>
      <c r="AZ779" s="25"/>
      <c r="BA779" s="10" t="str">
        <f t="shared" si="990"/>
        <v>OutubroSEMANA 5Palmito lata 500gr</v>
      </c>
      <c r="BB779" s="7">
        <f>SUMIF(NF!$A:$A,$BA779,NF!$I:$I)</f>
        <v>0</v>
      </c>
      <c r="BC779" s="6">
        <v>2</v>
      </c>
      <c r="BD779" s="6"/>
      <c r="BE779" s="6">
        <v>2</v>
      </c>
      <c r="BF779" s="74"/>
      <c r="BG779" s="74"/>
      <c r="BH779" s="74"/>
      <c r="BI779" s="74"/>
      <c r="BJ779" s="74"/>
      <c r="BK779" s="7">
        <f t="shared" si="1012"/>
        <v>4</v>
      </c>
      <c r="BL779" s="8">
        <f t="shared" si="840"/>
        <v>35</v>
      </c>
      <c r="BM779" s="51" t="str">
        <f>IFERROR(VLOOKUP(A779,NF!$M:$O,3,0),"")</f>
        <v>Mercado</v>
      </c>
      <c r="BN779" s="7">
        <f t="shared" si="841"/>
        <v>47</v>
      </c>
      <c r="BO779" s="8">
        <f t="array" ref="BO779">IFERROR(LARGE(IF(NF!$G$2:$G$3137='Mês atual'!A779,NF!$J$2:$J$3137),1),0)*BN779</f>
        <v>830.33333333333337</v>
      </c>
      <c r="BP779" s="50"/>
      <c r="BR779" s="147">
        <f t="array" ref="BR779">IFERROR(LARGE(IF(NF!$G$2:$G$3137='Mês atual'!A779,NF!$J$2:$J$3137),1),0)</f>
        <v>17.666666666666668</v>
      </c>
      <c r="BS779" s="143" t="str">
        <f>VLOOKUP(A779,NF!M:O,3,0)</f>
        <v>Mercado</v>
      </c>
    </row>
    <row r="780" spans="1:71" x14ac:dyDescent="0.25">
      <c r="A780" s="108" t="s">
        <v>558</v>
      </c>
      <c r="B780" s="12"/>
      <c r="C780" s="9"/>
      <c r="D780" s="25"/>
      <c r="E780" s="10" t="str">
        <f t="shared" si="986"/>
        <v>OutubroSEMANA 1Palmito Picado 1,8 Kg</v>
      </c>
      <c r="F780" s="7">
        <f>SUMIF(NF!$A:$A,$E780,NF!$I:$I)</f>
        <v>0</v>
      </c>
      <c r="G780" s="6"/>
      <c r="H780" s="6"/>
      <c r="I780" s="6"/>
      <c r="J780" s="6"/>
      <c r="K780" s="6"/>
      <c r="L780" s="6"/>
      <c r="M780" s="6"/>
      <c r="N780" s="7">
        <f t="shared" si="1008"/>
        <v>0</v>
      </c>
      <c r="O780" s="11">
        <f t="shared" si="828"/>
        <v>0</v>
      </c>
      <c r="P780" s="25"/>
      <c r="Q780" s="10" t="str">
        <f t="shared" si="987"/>
        <v>OutubroSEMANA 2Palmito Picado 1,8 Kg</v>
      </c>
      <c r="R780" s="7">
        <f>SUMIF(NF!$A:$A,$Q780,NF!$I:$I)</f>
        <v>0</v>
      </c>
      <c r="S780" s="6"/>
      <c r="T780" s="6"/>
      <c r="U780" s="6"/>
      <c r="V780" s="6"/>
      <c r="W780" s="6"/>
      <c r="X780" s="6"/>
      <c r="Y780" s="6"/>
      <c r="Z780" s="7">
        <f t="shared" si="1009"/>
        <v>0</v>
      </c>
      <c r="AA780" s="11">
        <f t="shared" si="831"/>
        <v>0</v>
      </c>
      <c r="AB780" s="25"/>
      <c r="AC780" s="10" t="str">
        <f t="shared" si="988"/>
        <v>OutubroSEMANA 3Palmito Picado 1,8 Kg</v>
      </c>
      <c r="AD780" s="7">
        <f>SUMIF(NF!$A:$A,$AC780,NF!$I:$I)</f>
        <v>0</v>
      </c>
      <c r="AE780" s="6"/>
      <c r="AF780" s="6"/>
      <c r="AG780" s="6"/>
      <c r="AH780" s="6"/>
      <c r="AI780" s="6"/>
      <c r="AJ780" s="6"/>
      <c r="AK780" s="6"/>
      <c r="AL780" s="7">
        <f t="shared" si="1010"/>
        <v>0</v>
      </c>
      <c r="AM780" s="11">
        <f t="shared" si="834"/>
        <v>0</v>
      </c>
      <c r="AN780" s="25"/>
      <c r="AO780" s="10" t="str">
        <f t="shared" si="989"/>
        <v>OutubroSEMANA 4Palmito Picado 1,8 Kg</v>
      </c>
      <c r="AP780" s="7">
        <f>SUMIF(NF!$A:$A,$AO780,NF!$I:$I)</f>
        <v>0</v>
      </c>
      <c r="AQ780" s="6"/>
      <c r="AR780" s="6"/>
      <c r="AS780" s="6"/>
      <c r="AT780" s="6"/>
      <c r="AU780" s="6"/>
      <c r="AV780" s="6"/>
      <c r="AW780" s="6"/>
      <c r="AX780" s="7">
        <f t="shared" si="1011"/>
        <v>0</v>
      </c>
      <c r="AY780" s="11">
        <f t="shared" si="837"/>
        <v>0</v>
      </c>
      <c r="AZ780" s="25"/>
      <c r="BA780" s="10" t="str">
        <f t="shared" si="990"/>
        <v>OutubroSEMANA 5Palmito Picado 1,8 Kg</v>
      </c>
      <c r="BB780" s="7">
        <f>SUMIF(NF!$A:$A,$BA780,NF!$I:$I)</f>
        <v>0</v>
      </c>
      <c r="BC780" s="6"/>
      <c r="BD780" s="6"/>
      <c r="BE780" s="6"/>
      <c r="BF780" s="74"/>
      <c r="BG780" s="74"/>
      <c r="BH780" s="74"/>
      <c r="BI780" s="74"/>
      <c r="BJ780" s="74"/>
      <c r="BK780" s="7">
        <f t="shared" si="1012"/>
        <v>0</v>
      </c>
      <c r="BL780" s="8">
        <f t="shared" si="840"/>
        <v>0</v>
      </c>
      <c r="BM780" s="51" t="str">
        <f>IFERROR(VLOOKUP(A780,NF!$M:$O,3,0),"")</f>
        <v>Mercado</v>
      </c>
      <c r="BN780" s="7">
        <f t="shared" si="841"/>
        <v>0</v>
      </c>
      <c r="BO780" s="8">
        <f t="array" ref="BO780">IFERROR(LARGE(IF(NF!$G$2:$G$3137='Mês atual'!A780,NF!$J$2:$J$3137),1),0)*BN780</f>
        <v>0</v>
      </c>
      <c r="BP780" s="50"/>
      <c r="BR780" s="147">
        <f t="array" ref="BR780">IFERROR(LARGE(IF(NF!$G$2:$G$3137='Mês atual'!A780,NF!$J$2:$J$3137),1),0)</f>
        <v>0</v>
      </c>
      <c r="BS780" s="143" t="str">
        <f>VLOOKUP(A780,NF!M:O,3,0)</f>
        <v>Mercado</v>
      </c>
    </row>
    <row r="781" spans="1:71" x14ac:dyDescent="0.25">
      <c r="A781" s="108" t="s">
        <v>561</v>
      </c>
      <c r="B781" s="12"/>
      <c r="C781" s="9">
        <v>2</v>
      </c>
      <c r="D781" s="25"/>
      <c r="E781" s="10" t="str">
        <f t="shared" si="986"/>
        <v>OutubroSEMANA 1Pão Árabe</v>
      </c>
      <c r="F781" s="7">
        <f>SUMIF(NF!$A:$A,$E781,NF!$I:$I)</f>
        <v>10</v>
      </c>
      <c r="G781" s="6">
        <v>2</v>
      </c>
      <c r="H781" s="6"/>
      <c r="I781" s="6"/>
      <c r="J781" s="6"/>
      <c r="K781" s="6"/>
      <c r="L781" s="6">
        <v>3</v>
      </c>
      <c r="M781" s="6"/>
      <c r="N781" s="7">
        <f t="shared" si="1008"/>
        <v>5</v>
      </c>
      <c r="O781" s="11">
        <f t="shared" si="828"/>
        <v>7</v>
      </c>
      <c r="P781" s="25"/>
      <c r="Q781" s="10" t="str">
        <f t="shared" si="987"/>
        <v>OutubroSEMANA 2Pão Árabe</v>
      </c>
      <c r="R781" s="7">
        <f>SUMIF(NF!$A:$A,$Q781,NF!$I:$I)</f>
        <v>1</v>
      </c>
      <c r="S781" s="6">
        <v>3</v>
      </c>
      <c r="T781" s="6">
        <v>2</v>
      </c>
      <c r="U781" s="6"/>
      <c r="V781" s="6"/>
      <c r="W781" s="6"/>
      <c r="X781" s="6"/>
      <c r="Y781" s="6">
        <v>1</v>
      </c>
      <c r="Z781" s="7">
        <f t="shared" si="1009"/>
        <v>6</v>
      </c>
      <c r="AA781" s="11">
        <f t="shared" si="831"/>
        <v>2</v>
      </c>
      <c r="AB781" s="25"/>
      <c r="AC781" s="10" t="str">
        <f t="shared" si="988"/>
        <v>OutubroSEMANA 3Pão Árabe</v>
      </c>
      <c r="AD781" s="7">
        <f>SUMIF(NF!$A:$A,$AC781,NF!$I:$I)</f>
        <v>5</v>
      </c>
      <c r="AE781" s="6"/>
      <c r="AF781" s="6"/>
      <c r="AG781" s="6"/>
      <c r="AH781" s="6"/>
      <c r="AI781" s="6"/>
      <c r="AJ781" s="6">
        <v>2</v>
      </c>
      <c r="AK781" s="6"/>
      <c r="AL781" s="7">
        <f t="shared" si="1010"/>
        <v>2</v>
      </c>
      <c r="AM781" s="11">
        <f t="shared" si="834"/>
        <v>5</v>
      </c>
      <c r="AN781" s="25"/>
      <c r="AO781" s="10" t="str">
        <f t="shared" si="989"/>
        <v>OutubroSEMANA 4Pão Árabe</v>
      </c>
      <c r="AP781" s="7">
        <f>SUMIF(NF!$A:$A,$AO781,NF!$I:$I)</f>
        <v>3</v>
      </c>
      <c r="AQ781" s="6">
        <v>3</v>
      </c>
      <c r="AR781" s="6"/>
      <c r="AS781" s="6"/>
      <c r="AT781" s="6"/>
      <c r="AU781" s="6"/>
      <c r="AV781" s="6">
        <v>1</v>
      </c>
      <c r="AW781" s="6">
        <f>2+1</f>
        <v>3</v>
      </c>
      <c r="AX781" s="7">
        <f t="shared" si="1011"/>
        <v>7</v>
      </c>
      <c r="AY781" s="11">
        <f t="shared" si="837"/>
        <v>1</v>
      </c>
      <c r="AZ781" s="25"/>
      <c r="BA781" s="10" t="str">
        <f t="shared" si="990"/>
        <v>OutubroSEMANA 5Pão Árabe</v>
      </c>
      <c r="BB781" s="7">
        <f>SUMIF(NF!$A:$A,$BA781,NF!$I:$I)</f>
        <v>6</v>
      </c>
      <c r="BC781" s="6">
        <v>2</v>
      </c>
      <c r="BD781" s="6">
        <v>2</v>
      </c>
      <c r="BE781" s="6">
        <v>1</v>
      </c>
      <c r="BF781" s="74"/>
      <c r="BG781" s="74"/>
      <c r="BH781" s="74"/>
      <c r="BI781" s="74"/>
      <c r="BJ781" s="74"/>
      <c r="BK781" s="7">
        <f t="shared" si="1012"/>
        <v>5</v>
      </c>
      <c r="BL781" s="8">
        <f t="shared" si="840"/>
        <v>2</v>
      </c>
      <c r="BM781" s="51" t="str">
        <f>IFERROR(VLOOKUP(A781,NF!$M:$O,3,0),"")</f>
        <v>Mercado</v>
      </c>
      <c r="BN781" s="7">
        <f t="shared" si="841"/>
        <v>25</v>
      </c>
      <c r="BO781" s="8">
        <f t="array" ref="BO781">IFERROR(LARGE(IF(NF!$G$2:$G$3137='Mês atual'!A781,NF!$J$2:$J$3137),1),0)*BN781</f>
        <v>272.5</v>
      </c>
      <c r="BP781" s="50"/>
      <c r="BR781" s="147">
        <f t="array" ref="BR781">IFERROR(LARGE(IF(NF!$G$2:$G$3137='Mês atual'!A781,NF!$J$2:$J$3137),1),0)</f>
        <v>10.9</v>
      </c>
      <c r="BS781" s="143" t="str">
        <f>VLOOKUP(A781,NF!M:O,3,0)</f>
        <v>Mercado</v>
      </c>
    </row>
    <row r="782" spans="1:71" x14ac:dyDescent="0.25">
      <c r="A782" s="108" t="s">
        <v>562</v>
      </c>
      <c r="B782" s="12"/>
      <c r="C782" s="9"/>
      <c r="D782" s="25"/>
      <c r="E782" s="10" t="str">
        <f t="shared" si="986"/>
        <v>OutubroSEMANA 1Pão de Forma</v>
      </c>
      <c r="F782" s="7">
        <f>SUMIF(NF!$A:$A,$E782,NF!$I:$I)</f>
        <v>2</v>
      </c>
      <c r="G782" s="6"/>
      <c r="H782" s="6"/>
      <c r="I782" s="6">
        <v>2</v>
      </c>
      <c r="J782" s="6"/>
      <c r="K782" s="6"/>
      <c r="L782" s="6"/>
      <c r="M782" s="6"/>
      <c r="N782" s="7">
        <f t="shared" si="1008"/>
        <v>2</v>
      </c>
      <c r="O782" s="11">
        <f t="shared" si="828"/>
        <v>0</v>
      </c>
      <c r="P782" s="25"/>
      <c r="Q782" s="10" t="str">
        <f t="shared" si="987"/>
        <v>OutubroSEMANA 2Pão de Forma</v>
      </c>
      <c r="R782" s="7">
        <f>SUMIF(NF!$A:$A,$Q782,NF!$I:$I)</f>
        <v>2</v>
      </c>
      <c r="S782" s="6"/>
      <c r="T782" s="6"/>
      <c r="U782" s="6">
        <v>2</v>
      </c>
      <c r="V782" s="6"/>
      <c r="W782" s="6"/>
      <c r="X782" s="6"/>
      <c r="Y782" s="6"/>
      <c r="Z782" s="7">
        <f t="shared" si="1009"/>
        <v>2</v>
      </c>
      <c r="AA782" s="11">
        <f t="shared" si="831"/>
        <v>0</v>
      </c>
      <c r="AB782" s="25"/>
      <c r="AC782" s="10" t="str">
        <f t="shared" si="988"/>
        <v>OutubroSEMANA 3Pão de Forma</v>
      </c>
      <c r="AD782" s="7">
        <f>SUMIF(NF!$A:$A,$AC782,NF!$I:$I)</f>
        <v>0</v>
      </c>
      <c r="AE782" s="6"/>
      <c r="AF782" s="6"/>
      <c r="AG782" s="6"/>
      <c r="AH782" s="6"/>
      <c r="AI782" s="6"/>
      <c r="AJ782" s="6"/>
      <c r="AK782" s="6"/>
      <c r="AL782" s="7">
        <f t="shared" si="1010"/>
        <v>0</v>
      </c>
      <c r="AM782" s="11">
        <f t="shared" si="834"/>
        <v>0</v>
      </c>
      <c r="AN782" s="25"/>
      <c r="AO782" s="10" t="str">
        <f t="shared" si="989"/>
        <v>OutubroSEMANA 4Pão de Forma</v>
      </c>
      <c r="AP782" s="7">
        <f>SUMIF(NF!$A:$A,$AO782,NF!$I:$I)</f>
        <v>3</v>
      </c>
      <c r="AQ782" s="6"/>
      <c r="AR782" s="6"/>
      <c r="AS782" s="6"/>
      <c r="AT782" s="6">
        <v>3</v>
      </c>
      <c r="AU782" s="6"/>
      <c r="AV782" s="6"/>
      <c r="AW782" s="6"/>
      <c r="AX782" s="7">
        <f t="shared" si="1011"/>
        <v>3</v>
      </c>
      <c r="AY782" s="11">
        <f t="shared" si="837"/>
        <v>0</v>
      </c>
      <c r="AZ782" s="25"/>
      <c r="BA782" s="10" t="str">
        <f t="shared" si="990"/>
        <v>OutubroSEMANA 5Pão de Forma</v>
      </c>
      <c r="BB782" s="7">
        <f>SUMIF(NF!$A:$A,$BA782,NF!$I:$I)</f>
        <v>1</v>
      </c>
      <c r="BC782" s="6">
        <v>1</v>
      </c>
      <c r="BD782" s="6"/>
      <c r="BE782" s="6"/>
      <c r="BF782" s="74"/>
      <c r="BG782" s="74"/>
      <c r="BH782" s="74"/>
      <c r="BI782" s="74"/>
      <c r="BJ782" s="74"/>
      <c r="BK782" s="7">
        <f t="shared" si="1012"/>
        <v>1</v>
      </c>
      <c r="BL782" s="8">
        <f t="shared" si="840"/>
        <v>0</v>
      </c>
      <c r="BM782" s="51" t="str">
        <f>IFERROR(VLOOKUP(A782,NF!$M:$O,3,0),"")</f>
        <v>Mercado</v>
      </c>
      <c r="BN782" s="7">
        <f t="shared" si="841"/>
        <v>8</v>
      </c>
      <c r="BO782" s="8">
        <f t="array" ref="BO782">IFERROR(LARGE(IF(NF!$G$2:$G$3137='Mês atual'!A782,NF!$J$2:$J$3137),1),0)*BN782</f>
        <v>31.48</v>
      </c>
      <c r="BP782" s="50"/>
      <c r="BR782" s="147">
        <f t="array" ref="BR782">IFERROR(LARGE(IF(NF!$G$2:$G$3137='Mês atual'!A782,NF!$J$2:$J$3137),1),0)</f>
        <v>3.9350000000000001</v>
      </c>
      <c r="BS782" s="143" t="str">
        <f>VLOOKUP(A782,NF!M:O,3,0)</f>
        <v>Mercado</v>
      </c>
    </row>
    <row r="783" spans="1:71" x14ac:dyDescent="0.25">
      <c r="A783" s="108" t="s">
        <v>563</v>
      </c>
      <c r="B783" s="12"/>
      <c r="C783" s="9"/>
      <c r="D783" s="25"/>
      <c r="E783" s="10" t="str">
        <f t="shared" si="986"/>
        <v>OutubroSEMANA 1Pão de Mel</v>
      </c>
      <c r="F783" s="7">
        <f>SUMIF(NF!$A:$A,$E783,NF!$I:$I)</f>
        <v>0</v>
      </c>
      <c r="G783" s="6"/>
      <c r="H783" s="6"/>
      <c r="I783" s="6"/>
      <c r="J783" s="6"/>
      <c r="K783" s="6"/>
      <c r="L783" s="6"/>
      <c r="M783" s="6"/>
      <c r="N783" s="7">
        <f t="shared" si="1008"/>
        <v>0</v>
      </c>
      <c r="O783" s="11">
        <f t="shared" si="828"/>
        <v>0</v>
      </c>
      <c r="P783" s="25"/>
      <c r="Q783" s="10" t="str">
        <f t="shared" si="987"/>
        <v>OutubroSEMANA 2Pão de Mel</v>
      </c>
      <c r="R783" s="7">
        <f>SUMIF(NF!$A:$A,$Q783,NF!$I:$I)</f>
        <v>0</v>
      </c>
      <c r="S783" s="6"/>
      <c r="T783" s="6"/>
      <c r="U783" s="6"/>
      <c r="V783" s="6"/>
      <c r="W783" s="6"/>
      <c r="X783" s="6"/>
      <c r="Y783" s="6"/>
      <c r="Z783" s="7">
        <f t="shared" si="1009"/>
        <v>0</v>
      </c>
      <c r="AA783" s="11">
        <f t="shared" si="831"/>
        <v>0</v>
      </c>
      <c r="AB783" s="25"/>
      <c r="AC783" s="10" t="str">
        <f t="shared" si="988"/>
        <v>OutubroSEMANA 3Pão de Mel</v>
      </c>
      <c r="AD783" s="7">
        <f>SUMIF(NF!$A:$A,$AC783,NF!$I:$I)</f>
        <v>0</v>
      </c>
      <c r="AE783" s="6"/>
      <c r="AF783" s="6"/>
      <c r="AG783" s="6"/>
      <c r="AH783" s="6"/>
      <c r="AI783" s="6"/>
      <c r="AJ783" s="6"/>
      <c r="AK783" s="6"/>
      <c r="AL783" s="7">
        <f t="shared" si="1010"/>
        <v>0</v>
      </c>
      <c r="AM783" s="11">
        <f t="shared" si="834"/>
        <v>0</v>
      </c>
      <c r="AN783" s="25"/>
      <c r="AO783" s="10" t="str">
        <f t="shared" si="989"/>
        <v>OutubroSEMANA 4Pão de Mel</v>
      </c>
      <c r="AP783" s="7">
        <f>SUMIF(NF!$A:$A,$AO783,NF!$I:$I)</f>
        <v>0</v>
      </c>
      <c r="AQ783" s="6"/>
      <c r="AR783" s="6"/>
      <c r="AS783" s="6"/>
      <c r="AT783" s="6"/>
      <c r="AU783" s="6"/>
      <c r="AV783" s="6"/>
      <c r="AW783" s="6"/>
      <c r="AX783" s="7">
        <f t="shared" si="1011"/>
        <v>0</v>
      </c>
      <c r="AY783" s="11">
        <f t="shared" si="837"/>
        <v>0</v>
      </c>
      <c r="AZ783" s="25"/>
      <c r="BA783" s="10" t="str">
        <f t="shared" si="990"/>
        <v>OutubroSEMANA 5Pão de Mel</v>
      </c>
      <c r="BB783" s="7">
        <f>SUMIF(NF!$A:$A,$BA783,NF!$I:$I)</f>
        <v>0</v>
      </c>
      <c r="BC783" s="6"/>
      <c r="BD783" s="6"/>
      <c r="BE783" s="6"/>
      <c r="BF783" s="74"/>
      <c r="BG783" s="74"/>
      <c r="BH783" s="74"/>
      <c r="BI783" s="74"/>
      <c r="BJ783" s="74"/>
      <c r="BK783" s="7">
        <f t="shared" si="1012"/>
        <v>0</v>
      </c>
      <c r="BL783" s="8">
        <f t="shared" si="840"/>
        <v>0</v>
      </c>
      <c r="BM783" s="51" t="str">
        <f>IFERROR(VLOOKUP(A783,NF!$M:$O,3,0),"")</f>
        <v>Mercado</v>
      </c>
      <c r="BN783" s="7">
        <f t="shared" si="841"/>
        <v>0</v>
      </c>
      <c r="BO783" s="8">
        <f t="array" ref="BO783">IFERROR(LARGE(IF(NF!$G$2:$G$3137='Mês atual'!A783,NF!$J$2:$J$3137),1),0)*BN783</f>
        <v>0</v>
      </c>
      <c r="BP783" s="50"/>
      <c r="BR783" s="147">
        <f t="array" ref="BR783">IFERROR(LARGE(IF(NF!$G$2:$G$3137='Mês atual'!A783,NF!$J$2:$J$3137),1),0)</f>
        <v>0</v>
      </c>
      <c r="BS783" s="143" t="str">
        <f>VLOOKUP(A783,NF!M:O,3,0)</f>
        <v>Mercado</v>
      </c>
    </row>
    <row r="784" spans="1:71" x14ac:dyDescent="0.25">
      <c r="A784" s="108" t="s">
        <v>564</v>
      </c>
      <c r="B784" s="12"/>
      <c r="C784" s="9"/>
      <c r="D784" s="25"/>
      <c r="E784" s="10" t="str">
        <f t="shared" si="986"/>
        <v>OutubroSEMANA 1Pão de Queijo</v>
      </c>
      <c r="F784" s="7">
        <f>SUMIF(NF!$A:$A,$E784,NF!$I:$I)</f>
        <v>0</v>
      </c>
      <c r="G784" s="6"/>
      <c r="H784" s="6"/>
      <c r="I784" s="6"/>
      <c r="J784" s="6"/>
      <c r="K784" s="6"/>
      <c r="L784" s="6"/>
      <c r="M784" s="6"/>
      <c r="N784" s="7">
        <f t="shared" si="1008"/>
        <v>0</v>
      </c>
      <c r="O784" s="11">
        <f t="shared" si="828"/>
        <v>0</v>
      </c>
      <c r="P784" s="25"/>
      <c r="Q784" s="10" t="str">
        <f t="shared" si="987"/>
        <v>OutubroSEMANA 2Pão de Queijo</v>
      </c>
      <c r="R784" s="7">
        <f>SUMIF(NF!$A:$A,$Q784,NF!$I:$I)</f>
        <v>0</v>
      </c>
      <c r="S784" s="6"/>
      <c r="T784" s="6"/>
      <c r="U784" s="6"/>
      <c r="V784" s="6"/>
      <c r="W784" s="6"/>
      <c r="X784" s="6"/>
      <c r="Y784" s="6"/>
      <c r="Z784" s="7">
        <f t="shared" si="1009"/>
        <v>0</v>
      </c>
      <c r="AA784" s="11">
        <f t="shared" si="831"/>
        <v>0</v>
      </c>
      <c r="AB784" s="25"/>
      <c r="AC784" s="10" t="str">
        <f t="shared" si="988"/>
        <v>OutubroSEMANA 3Pão de Queijo</v>
      </c>
      <c r="AD784" s="7">
        <f>SUMIF(NF!$A:$A,$AC784,NF!$I:$I)</f>
        <v>0</v>
      </c>
      <c r="AE784" s="6"/>
      <c r="AF784" s="6"/>
      <c r="AG784" s="6"/>
      <c r="AH784" s="6"/>
      <c r="AI784" s="6"/>
      <c r="AJ784" s="6"/>
      <c r="AK784" s="6"/>
      <c r="AL784" s="7">
        <f t="shared" si="1010"/>
        <v>0</v>
      </c>
      <c r="AM784" s="11">
        <f t="shared" si="834"/>
        <v>0</v>
      </c>
      <c r="AN784" s="25"/>
      <c r="AO784" s="10" t="str">
        <f t="shared" si="989"/>
        <v>OutubroSEMANA 4Pão de Queijo</v>
      </c>
      <c r="AP784" s="7">
        <f>SUMIF(NF!$A:$A,$AO784,NF!$I:$I)</f>
        <v>0</v>
      </c>
      <c r="AQ784" s="6"/>
      <c r="AR784" s="6"/>
      <c r="AS784" s="6"/>
      <c r="AT784" s="6"/>
      <c r="AU784" s="6"/>
      <c r="AV784" s="6"/>
      <c r="AW784" s="6"/>
      <c r="AX784" s="7">
        <f t="shared" si="1011"/>
        <v>0</v>
      </c>
      <c r="AY784" s="11">
        <f t="shared" si="837"/>
        <v>0</v>
      </c>
      <c r="AZ784" s="25"/>
      <c r="BA784" s="10" t="str">
        <f t="shared" si="990"/>
        <v>OutubroSEMANA 5Pão de Queijo</v>
      </c>
      <c r="BB784" s="7">
        <f>SUMIF(NF!$A:$A,$BA784,NF!$I:$I)</f>
        <v>0</v>
      </c>
      <c r="BC784" s="6"/>
      <c r="BD784" s="6"/>
      <c r="BE784" s="6"/>
      <c r="BF784" s="74"/>
      <c r="BG784" s="74"/>
      <c r="BH784" s="74"/>
      <c r="BI784" s="74"/>
      <c r="BJ784" s="74"/>
      <c r="BK784" s="7">
        <f t="shared" si="1012"/>
        <v>0</v>
      </c>
      <c r="BL784" s="8">
        <f t="shared" si="840"/>
        <v>0</v>
      </c>
      <c r="BM784" s="51" t="str">
        <f>IFERROR(VLOOKUP(A784,NF!$M:$O,3,0),"")</f>
        <v>Mercado</v>
      </c>
      <c r="BN784" s="7">
        <f t="shared" si="841"/>
        <v>0</v>
      </c>
      <c r="BO784" s="8">
        <f t="array" ref="BO784">IFERROR(LARGE(IF(NF!$G$2:$G$3137='Mês atual'!A784,NF!$J$2:$J$3137),1),0)*BN784</f>
        <v>0</v>
      </c>
      <c r="BP784" s="50"/>
      <c r="BR784" s="147">
        <f t="array" ref="BR784">IFERROR(LARGE(IF(NF!$G$2:$G$3137='Mês atual'!A784,NF!$J$2:$J$3137),1),0)</f>
        <v>0</v>
      </c>
      <c r="BS784" s="143" t="str">
        <f>VLOOKUP(A784,NF!M:O,3,0)</f>
        <v>Mercado</v>
      </c>
    </row>
    <row r="785" spans="1:71" x14ac:dyDescent="0.25">
      <c r="A785" s="108" t="s">
        <v>565</v>
      </c>
      <c r="B785" s="12"/>
      <c r="C785" s="9"/>
      <c r="D785" s="25"/>
      <c r="E785" s="10" t="str">
        <f t="shared" si="986"/>
        <v>OutubroSEMANA 1Pão Francês</v>
      </c>
      <c r="F785" s="7">
        <f>SUMIF(NF!$A:$A,$E785,NF!$I:$I)</f>
        <v>0.38500000000000001</v>
      </c>
      <c r="G785" s="6"/>
      <c r="H785" s="6">
        <v>0.185</v>
      </c>
      <c r="I785" s="6">
        <v>0.2</v>
      </c>
      <c r="J785" s="6"/>
      <c r="K785" s="6"/>
      <c r="L785" s="6"/>
      <c r="M785" s="6"/>
      <c r="N785" s="7">
        <f t="shared" si="1008"/>
        <v>0.38500000000000001</v>
      </c>
      <c r="O785" s="11">
        <f t="shared" si="828"/>
        <v>0</v>
      </c>
      <c r="P785" s="25"/>
      <c r="Q785" s="10" t="str">
        <f t="shared" si="987"/>
        <v>OutubroSEMANA 2Pão Francês</v>
      </c>
      <c r="R785" s="7">
        <f>SUMIF(NF!$A:$A,$Q785,NF!$I:$I)</f>
        <v>0.46499999999999997</v>
      </c>
      <c r="S785" s="6"/>
      <c r="T785" s="6"/>
      <c r="U785" s="6"/>
      <c r="V785" s="6">
        <v>0.23</v>
      </c>
      <c r="W785" s="6"/>
      <c r="X785" s="6"/>
      <c r="Y785" s="6">
        <v>0.23499999999999999</v>
      </c>
      <c r="Z785" s="7">
        <f t="shared" si="1009"/>
        <v>0.46499999999999997</v>
      </c>
      <c r="AA785" s="11">
        <f t="shared" si="831"/>
        <v>0</v>
      </c>
      <c r="AB785" s="25"/>
      <c r="AC785" s="10" t="str">
        <f t="shared" si="988"/>
        <v>OutubroSEMANA 3Pão Francês</v>
      </c>
      <c r="AD785" s="7">
        <f>SUMIF(NF!$A:$A,$AC785,NF!$I:$I)</f>
        <v>0.18</v>
      </c>
      <c r="AE785" s="6"/>
      <c r="AF785" s="6"/>
      <c r="AG785" s="6"/>
      <c r="AH785" s="6"/>
      <c r="AI785" s="6"/>
      <c r="AJ785" s="6"/>
      <c r="AK785" s="6"/>
      <c r="AL785" s="7">
        <f t="shared" si="1010"/>
        <v>0</v>
      </c>
      <c r="AM785" s="11">
        <f t="shared" si="834"/>
        <v>0.18</v>
      </c>
      <c r="AN785" s="25"/>
      <c r="AO785" s="10" t="str">
        <f t="shared" si="989"/>
        <v>OutubroSEMANA 4Pão Francês</v>
      </c>
      <c r="AP785" s="7">
        <f>SUMIF(NF!$A:$A,$AO785,NF!$I:$I)</f>
        <v>0</v>
      </c>
      <c r="AQ785" s="6"/>
      <c r="AR785" s="6"/>
      <c r="AS785" s="6"/>
      <c r="AT785" s="6"/>
      <c r="AU785" s="6"/>
      <c r="AV785" s="6"/>
      <c r="AW785" s="6"/>
      <c r="AX785" s="7">
        <f t="shared" si="1011"/>
        <v>0</v>
      </c>
      <c r="AY785" s="11">
        <f t="shared" si="837"/>
        <v>0.18</v>
      </c>
      <c r="AZ785" s="25"/>
      <c r="BA785" s="10" t="str">
        <f t="shared" si="990"/>
        <v>OutubroSEMANA 5Pão Francês</v>
      </c>
      <c r="BB785" s="7">
        <f>SUMIF(NF!$A:$A,$BA785,NF!$I:$I)</f>
        <v>0</v>
      </c>
      <c r="BC785" s="6"/>
      <c r="BD785" s="6"/>
      <c r="BE785" s="6"/>
      <c r="BF785" s="74"/>
      <c r="BG785" s="74"/>
      <c r="BH785" s="74"/>
      <c r="BI785" s="74"/>
      <c r="BJ785" s="74"/>
      <c r="BK785" s="7">
        <f t="shared" si="1012"/>
        <v>0</v>
      </c>
      <c r="BL785" s="8">
        <f t="shared" si="840"/>
        <v>0.18</v>
      </c>
      <c r="BM785" s="51" t="str">
        <f>IFERROR(VLOOKUP(A785,NF!$M:$O,3,0),"")</f>
        <v>Mercado</v>
      </c>
      <c r="BN785" s="7">
        <f t="shared" si="841"/>
        <v>0.85</v>
      </c>
      <c r="BO785" s="8">
        <f t="array" ref="BO785">IFERROR(LARGE(IF(NF!$G$2:$G$3137='Mês atual'!A785,NF!$J$2:$J$3137),1),0)*BN785</f>
        <v>11.883000000000001</v>
      </c>
      <c r="BP785" s="50"/>
      <c r="BR785" s="147">
        <f t="array" ref="BR785">IFERROR(LARGE(IF(NF!$G$2:$G$3137='Mês atual'!A785,NF!$J$2:$J$3137),1),0)</f>
        <v>13.98</v>
      </c>
      <c r="BS785" s="143" t="str">
        <f>VLOOKUP(A785,NF!M:O,3,0)</f>
        <v>Mercado</v>
      </c>
    </row>
    <row r="786" spans="1:71" x14ac:dyDescent="0.25">
      <c r="A786" s="108" t="s">
        <v>566</v>
      </c>
      <c r="B786" s="12"/>
      <c r="C786" s="9">
        <v>2</v>
      </c>
      <c r="D786" s="25"/>
      <c r="E786" s="10" t="str">
        <f t="shared" si="986"/>
        <v>OutubroSEMANA 1Pão Rabanada</v>
      </c>
      <c r="F786" s="7">
        <f>SUMIF(NF!$A:$A,$E786,NF!$I:$I)</f>
        <v>10</v>
      </c>
      <c r="G786" s="6">
        <v>2</v>
      </c>
      <c r="H786" s="6">
        <v>1</v>
      </c>
      <c r="I786" s="6"/>
      <c r="J786" s="6"/>
      <c r="K786" s="6">
        <v>1</v>
      </c>
      <c r="L786" s="6"/>
      <c r="M786" s="6"/>
      <c r="N786" s="7">
        <f t="shared" si="1008"/>
        <v>4</v>
      </c>
      <c r="O786" s="11">
        <f t="shared" si="828"/>
        <v>8</v>
      </c>
      <c r="P786" s="25"/>
      <c r="Q786" s="10" t="str">
        <f t="shared" si="987"/>
        <v>OutubroSEMANA 2Pão Rabanada</v>
      </c>
      <c r="R786" s="7">
        <f>SUMIF(NF!$A:$A,$Q786,NF!$I:$I)</f>
        <v>0</v>
      </c>
      <c r="S786" s="6">
        <v>1</v>
      </c>
      <c r="T786" s="6">
        <v>1</v>
      </c>
      <c r="U786" s="6"/>
      <c r="V786" s="6"/>
      <c r="W786" s="6">
        <v>1</v>
      </c>
      <c r="X786" s="6">
        <v>1</v>
      </c>
      <c r="Y786" s="6"/>
      <c r="Z786" s="7">
        <f t="shared" si="1009"/>
        <v>4</v>
      </c>
      <c r="AA786" s="11">
        <f t="shared" si="831"/>
        <v>4</v>
      </c>
      <c r="AB786" s="25"/>
      <c r="AC786" s="10" t="str">
        <f t="shared" si="988"/>
        <v>OutubroSEMANA 3Pão Rabanada</v>
      </c>
      <c r="AD786" s="7">
        <f>SUMIF(NF!$A:$A,$AC786,NF!$I:$I)</f>
        <v>10</v>
      </c>
      <c r="AE786" s="6">
        <v>1</v>
      </c>
      <c r="AF786" s="6"/>
      <c r="AG786" s="6">
        <v>1</v>
      </c>
      <c r="AH786" s="6"/>
      <c r="AI786" s="6"/>
      <c r="AJ786" s="6">
        <v>1</v>
      </c>
      <c r="AK786" s="6">
        <v>1</v>
      </c>
      <c r="AL786" s="7">
        <f t="shared" si="1010"/>
        <v>4</v>
      </c>
      <c r="AM786" s="11">
        <f t="shared" si="834"/>
        <v>10</v>
      </c>
      <c r="AN786" s="25"/>
      <c r="AO786" s="10" t="str">
        <f t="shared" si="989"/>
        <v>OutubroSEMANA 4Pão Rabanada</v>
      </c>
      <c r="AP786" s="7">
        <f>SUMIF(NF!$A:$A,$AO786,NF!$I:$I)</f>
        <v>0</v>
      </c>
      <c r="AQ786" s="6"/>
      <c r="AR786" s="6">
        <v>1</v>
      </c>
      <c r="AS786" s="6">
        <v>1</v>
      </c>
      <c r="AT786" s="6">
        <v>1</v>
      </c>
      <c r="AU786" s="6"/>
      <c r="AV786" s="6">
        <v>1</v>
      </c>
      <c r="AW786" s="6">
        <v>1</v>
      </c>
      <c r="AX786" s="7">
        <f t="shared" si="1011"/>
        <v>5</v>
      </c>
      <c r="AY786" s="11">
        <f t="shared" si="837"/>
        <v>5</v>
      </c>
      <c r="AZ786" s="25"/>
      <c r="BA786" s="10" t="str">
        <f t="shared" si="990"/>
        <v>OutubroSEMANA 5Pão Rabanada</v>
      </c>
      <c r="BB786" s="7">
        <f>SUMIF(NF!$A:$A,$BA786,NF!$I:$I)</f>
        <v>0</v>
      </c>
      <c r="BC786" s="6"/>
      <c r="BD786" s="6">
        <v>1</v>
      </c>
      <c r="BE786" s="6">
        <v>1</v>
      </c>
      <c r="BF786" s="74"/>
      <c r="BG786" s="74"/>
      <c r="BH786" s="74"/>
      <c r="BI786" s="74"/>
      <c r="BJ786" s="74"/>
      <c r="BK786" s="7">
        <f t="shared" si="1012"/>
        <v>2</v>
      </c>
      <c r="BL786" s="8">
        <f t="shared" si="840"/>
        <v>3</v>
      </c>
      <c r="BM786" s="51" t="str">
        <f>IFERROR(VLOOKUP(A786,NF!$M:$O,3,0),"")</f>
        <v>Mercado</v>
      </c>
      <c r="BN786" s="7">
        <f t="shared" si="841"/>
        <v>19</v>
      </c>
      <c r="BO786" s="8">
        <f t="array" ref="BO786">IFERROR(LARGE(IF(NF!$G$2:$G$3137='Mês atual'!A786,NF!$J$2:$J$3137),1),0)*BN786</f>
        <v>114.19</v>
      </c>
      <c r="BP786" s="50"/>
      <c r="BR786" s="147">
        <f t="array" ref="BR786">IFERROR(LARGE(IF(NF!$G$2:$G$3137='Mês atual'!A786,NF!$J$2:$J$3137),1),0)</f>
        <v>6.01</v>
      </c>
      <c r="BS786" s="143" t="str">
        <f>VLOOKUP(A786,NF!M:O,3,0)</f>
        <v>Mercado</v>
      </c>
    </row>
    <row r="787" spans="1:71" x14ac:dyDescent="0.25">
      <c r="A787" s="108" t="s">
        <v>573</v>
      </c>
      <c r="B787" s="12"/>
      <c r="C787" s="9">
        <v>0.30499999999999999</v>
      </c>
      <c r="D787" s="25"/>
      <c r="E787" s="10" t="str">
        <f t="shared" si="986"/>
        <v>OutubroSEMANA 1Paprica doce</v>
      </c>
      <c r="F787" s="7">
        <f>SUMIF(NF!$A:$A,$E787,NF!$I:$I)</f>
        <v>0</v>
      </c>
      <c r="G787" s="6"/>
      <c r="H787" s="6"/>
      <c r="I787" s="6"/>
      <c r="J787" s="6"/>
      <c r="K787" s="6"/>
      <c r="L787" s="6"/>
      <c r="M787" s="6"/>
      <c r="N787" s="7">
        <f t="shared" si="1008"/>
        <v>0</v>
      </c>
      <c r="O787" s="11">
        <f t="shared" si="828"/>
        <v>0.30499999999999999</v>
      </c>
      <c r="P787" s="25"/>
      <c r="Q787" s="10" t="str">
        <f t="shared" si="987"/>
        <v>OutubroSEMANA 2Paprica doce</v>
      </c>
      <c r="R787" s="7">
        <f>SUMIF(NF!$A:$A,$Q787,NF!$I:$I)</f>
        <v>0</v>
      </c>
      <c r="S787" s="6"/>
      <c r="T787" s="6"/>
      <c r="U787" s="6"/>
      <c r="V787" s="6"/>
      <c r="W787" s="6"/>
      <c r="X787" s="6"/>
      <c r="Y787" s="6"/>
      <c r="Z787" s="7">
        <f t="shared" si="1009"/>
        <v>0</v>
      </c>
      <c r="AA787" s="11">
        <f t="shared" si="831"/>
        <v>0.30499999999999999</v>
      </c>
      <c r="AB787" s="25"/>
      <c r="AC787" s="10" t="str">
        <f t="shared" si="988"/>
        <v>OutubroSEMANA 3Paprica doce</v>
      </c>
      <c r="AD787" s="7">
        <f>SUMIF(NF!$A:$A,$AC787,NF!$I:$I)</f>
        <v>0</v>
      </c>
      <c r="AE787" s="6"/>
      <c r="AF787" s="6"/>
      <c r="AG787" s="6"/>
      <c r="AH787" s="6"/>
      <c r="AI787" s="6"/>
      <c r="AJ787" s="6"/>
      <c r="AK787" s="6"/>
      <c r="AL787" s="7">
        <f t="shared" si="1010"/>
        <v>0</v>
      </c>
      <c r="AM787" s="11">
        <f t="shared" si="834"/>
        <v>0.30499999999999999</v>
      </c>
      <c r="AN787" s="25"/>
      <c r="AO787" s="10" t="str">
        <f t="shared" si="989"/>
        <v>OutubroSEMANA 4Paprica doce</v>
      </c>
      <c r="AP787" s="7">
        <f>SUMIF(NF!$A:$A,$AO787,NF!$I:$I)</f>
        <v>0</v>
      </c>
      <c r="AQ787" s="6"/>
      <c r="AR787" s="6"/>
      <c r="AS787" s="6"/>
      <c r="AT787" s="6"/>
      <c r="AU787" s="6"/>
      <c r="AV787" s="6"/>
      <c r="AW787" s="6"/>
      <c r="AX787" s="7">
        <f t="shared" si="1011"/>
        <v>0</v>
      </c>
      <c r="AY787" s="11">
        <f t="shared" si="837"/>
        <v>0.30499999999999999</v>
      </c>
      <c r="AZ787" s="25"/>
      <c r="BA787" s="10" t="str">
        <f t="shared" si="990"/>
        <v>OutubroSEMANA 5Paprica doce</v>
      </c>
      <c r="BB787" s="7">
        <f>SUMIF(NF!$A:$A,$BA787,NF!$I:$I)</f>
        <v>0</v>
      </c>
      <c r="BC787" s="6"/>
      <c r="BD787" s="6"/>
      <c r="BE787" s="6"/>
      <c r="BF787" s="74"/>
      <c r="BG787" s="74"/>
      <c r="BH787" s="74"/>
      <c r="BI787" s="74"/>
      <c r="BJ787" s="74"/>
      <c r="BK787" s="7">
        <f t="shared" si="1012"/>
        <v>0</v>
      </c>
      <c r="BL787" s="8">
        <f t="shared" si="840"/>
        <v>0.30499999999999999</v>
      </c>
      <c r="BM787" s="51" t="str">
        <f>IFERROR(VLOOKUP(A787,NF!$M:$O,3,0),"")</f>
        <v>Mercado</v>
      </c>
      <c r="BN787" s="7">
        <f t="shared" si="841"/>
        <v>0</v>
      </c>
      <c r="BO787" s="8">
        <f t="array" ref="BO787">IFERROR(LARGE(IF(NF!$G$2:$G$3137='Mês atual'!A787,NF!$J$2:$J$3137),1),0)*BN787</f>
        <v>0</v>
      </c>
      <c r="BP787" s="50"/>
      <c r="BR787" s="147">
        <f t="array" ref="BR787">IFERROR(LARGE(IF(NF!$G$2:$G$3137='Mês atual'!A787,NF!$J$2:$J$3137),1),0)</f>
        <v>0</v>
      </c>
      <c r="BS787" s="143" t="str">
        <f>VLOOKUP(A787,NF!M:O,3,0)</f>
        <v>Mercado</v>
      </c>
    </row>
    <row r="788" spans="1:71" x14ac:dyDescent="0.25">
      <c r="A788" s="108" t="s">
        <v>574</v>
      </c>
      <c r="B788" s="12"/>
      <c r="C788" s="9"/>
      <c r="D788" s="25"/>
      <c r="E788" s="10" t="str">
        <f t="shared" si="986"/>
        <v>OutubroSEMANA 1Passas Preta</v>
      </c>
      <c r="F788" s="7">
        <f>SUMIF(NF!$A:$A,$E788,NF!$I:$I)</f>
        <v>2</v>
      </c>
      <c r="G788" s="6"/>
      <c r="H788" s="6"/>
      <c r="I788" s="6"/>
      <c r="J788" s="6"/>
      <c r="K788" s="6"/>
      <c r="L788" s="6"/>
      <c r="M788" s="6"/>
      <c r="N788" s="7">
        <f t="shared" si="1008"/>
        <v>0</v>
      </c>
      <c r="O788" s="11">
        <f t="shared" si="828"/>
        <v>2</v>
      </c>
      <c r="P788" s="25"/>
      <c r="Q788" s="10" t="str">
        <f t="shared" si="987"/>
        <v>OutubroSEMANA 2Passas Preta</v>
      </c>
      <c r="R788" s="7">
        <f>SUMIF(NF!$A:$A,$Q788,NF!$I:$I)</f>
        <v>0</v>
      </c>
      <c r="S788" s="6"/>
      <c r="T788" s="6"/>
      <c r="U788" s="6">
        <v>1</v>
      </c>
      <c r="V788" s="6"/>
      <c r="W788" s="6"/>
      <c r="X788" s="6"/>
      <c r="Y788" s="6"/>
      <c r="Z788" s="7">
        <f t="shared" si="1009"/>
        <v>1</v>
      </c>
      <c r="AA788" s="11">
        <f t="shared" si="831"/>
        <v>1</v>
      </c>
      <c r="AB788" s="25"/>
      <c r="AC788" s="10" t="str">
        <f t="shared" si="988"/>
        <v>OutubroSEMANA 3Passas Preta</v>
      </c>
      <c r="AD788" s="7">
        <f>SUMIF(NF!$A:$A,$AC788,NF!$I:$I)</f>
        <v>2</v>
      </c>
      <c r="AE788" s="6"/>
      <c r="AF788" s="6">
        <v>1</v>
      </c>
      <c r="AG788" s="6"/>
      <c r="AH788" s="6"/>
      <c r="AI788" s="6"/>
      <c r="AJ788" s="6"/>
      <c r="AK788" s="6"/>
      <c r="AL788" s="7">
        <f t="shared" si="1010"/>
        <v>1</v>
      </c>
      <c r="AM788" s="11">
        <f t="shared" si="834"/>
        <v>2</v>
      </c>
      <c r="AN788" s="25"/>
      <c r="AO788" s="10" t="str">
        <f t="shared" si="989"/>
        <v>OutubroSEMANA 4Passas Preta</v>
      </c>
      <c r="AP788" s="7">
        <f>SUMIF(NF!$A:$A,$AO788,NF!$I:$I)</f>
        <v>1</v>
      </c>
      <c r="AQ788" s="6"/>
      <c r="AR788" s="6"/>
      <c r="AS788" s="6"/>
      <c r="AT788" s="6"/>
      <c r="AU788" s="6"/>
      <c r="AV788" s="6"/>
      <c r="AW788" s="6">
        <v>1</v>
      </c>
      <c r="AX788" s="7">
        <f t="shared" si="1011"/>
        <v>1</v>
      </c>
      <c r="AY788" s="11">
        <f t="shared" si="837"/>
        <v>2</v>
      </c>
      <c r="AZ788" s="25"/>
      <c r="BA788" s="10" t="str">
        <f t="shared" si="990"/>
        <v>OutubroSEMANA 5Passas Preta</v>
      </c>
      <c r="BB788" s="7">
        <f>SUMIF(NF!$A:$A,$BA788,NF!$I:$I)</f>
        <v>0</v>
      </c>
      <c r="BC788" s="6"/>
      <c r="BD788" s="6">
        <v>1</v>
      </c>
      <c r="BE788" s="6"/>
      <c r="BF788" s="74"/>
      <c r="BG788" s="74"/>
      <c r="BH788" s="74"/>
      <c r="BI788" s="74"/>
      <c r="BJ788" s="74"/>
      <c r="BK788" s="7">
        <f t="shared" si="1012"/>
        <v>1</v>
      </c>
      <c r="BL788" s="8">
        <f t="shared" si="840"/>
        <v>1</v>
      </c>
      <c r="BM788" s="51" t="str">
        <f>IFERROR(VLOOKUP(A788,NF!$M:$O,3,0),"")</f>
        <v>Mercado</v>
      </c>
      <c r="BN788" s="7">
        <f t="shared" si="841"/>
        <v>4</v>
      </c>
      <c r="BO788" s="8">
        <f t="array" ref="BO788">IFERROR(LARGE(IF(NF!$G$2:$G$3137='Mês atual'!A788,NF!$J$2:$J$3137),1),0)*BN788</f>
        <v>54</v>
      </c>
      <c r="BP788" s="50"/>
      <c r="BR788" s="147">
        <f t="array" ref="BR788">IFERROR(LARGE(IF(NF!$G$2:$G$3137='Mês atual'!A788,NF!$J$2:$J$3137),1),0)</f>
        <v>13.5</v>
      </c>
      <c r="BS788" s="143" t="str">
        <f>VLOOKUP(A788,NF!M:O,3,0)</f>
        <v>Mercado</v>
      </c>
    </row>
    <row r="789" spans="1:71" x14ac:dyDescent="0.25">
      <c r="A789" s="108" t="s">
        <v>580</v>
      </c>
      <c r="B789" s="12"/>
      <c r="C789" s="9">
        <v>1</v>
      </c>
      <c r="D789" s="25"/>
      <c r="E789" s="10" t="str">
        <f t="shared" si="986"/>
        <v>OutubroSEMANA 1Pequi Fatiado</v>
      </c>
      <c r="F789" s="7">
        <f>SUMIF(NF!$A:$A,$E789,NF!$I:$I)</f>
        <v>0</v>
      </c>
      <c r="G789" s="6"/>
      <c r="H789" s="6"/>
      <c r="I789" s="6"/>
      <c r="J789" s="6"/>
      <c r="K789" s="6">
        <v>1</v>
      </c>
      <c r="L789" s="6"/>
      <c r="M789" s="6"/>
      <c r="N789" s="7">
        <f t="shared" si="1008"/>
        <v>1</v>
      </c>
      <c r="O789" s="11">
        <f t="shared" si="828"/>
        <v>0</v>
      </c>
      <c r="P789" s="25"/>
      <c r="Q789" s="10" t="str">
        <f t="shared" si="987"/>
        <v>OutubroSEMANA 2Pequi Fatiado</v>
      </c>
      <c r="R789" s="7">
        <f>SUMIF(NF!$A:$A,$Q789,NF!$I:$I)</f>
        <v>0</v>
      </c>
      <c r="S789" s="6"/>
      <c r="T789" s="6"/>
      <c r="U789" s="6"/>
      <c r="V789" s="6"/>
      <c r="W789" s="6"/>
      <c r="X789" s="6"/>
      <c r="Y789" s="6"/>
      <c r="Z789" s="7">
        <f t="shared" si="1009"/>
        <v>0</v>
      </c>
      <c r="AA789" s="11">
        <f t="shared" si="831"/>
        <v>0</v>
      </c>
      <c r="AB789" s="25"/>
      <c r="AC789" s="10" t="str">
        <f t="shared" si="988"/>
        <v>OutubroSEMANA 3Pequi Fatiado</v>
      </c>
      <c r="AD789" s="7">
        <f>SUMIF(NF!$A:$A,$AC789,NF!$I:$I)</f>
        <v>0</v>
      </c>
      <c r="AE789" s="6"/>
      <c r="AF789" s="6"/>
      <c r="AG789" s="6"/>
      <c r="AH789" s="6"/>
      <c r="AI789" s="6"/>
      <c r="AJ789" s="6"/>
      <c r="AK789" s="6"/>
      <c r="AL789" s="7">
        <f t="shared" si="1010"/>
        <v>0</v>
      </c>
      <c r="AM789" s="11">
        <f t="shared" si="834"/>
        <v>0</v>
      </c>
      <c r="AN789" s="25"/>
      <c r="AO789" s="10" t="str">
        <f t="shared" si="989"/>
        <v>OutubroSEMANA 4Pequi Fatiado</v>
      </c>
      <c r="AP789" s="7">
        <f>SUMIF(NF!$A:$A,$AO789,NF!$I:$I)</f>
        <v>0</v>
      </c>
      <c r="AQ789" s="6"/>
      <c r="AR789" s="6"/>
      <c r="AS789" s="6"/>
      <c r="AT789" s="6"/>
      <c r="AU789" s="6"/>
      <c r="AV789" s="6"/>
      <c r="AW789" s="6"/>
      <c r="AX789" s="7">
        <f t="shared" si="1011"/>
        <v>0</v>
      </c>
      <c r="AY789" s="11">
        <f t="shared" si="837"/>
        <v>0</v>
      </c>
      <c r="AZ789" s="25"/>
      <c r="BA789" s="10" t="str">
        <f t="shared" si="990"/>
        <v>OutubroSEMANA 5Pequi Fatiado</v>
      </c>
      <c r="BB789" s="7">
        <f>SUMIF(NF!$A:$A,$BA789,NF!$I:$I)</f>
        <v>0</v>
      </c>
      <c r="BC789" s="6"/>
      <c r="BD789" s="6"/>
      <c r="BE789" s="6"/>
      <c r="BF789" s="74"/>
      <c r="BG789" s="74"/>
      <c r="BH789" s="74"/>
      <c r="BI789" s="74"/>
      <c r="BJ789" s="74"/>
      <c r="BK789" s="7">
        <f t="shared" si="1012"/>
        <v>0</v>
      </c>
      <c r="BL789" s="8">
        <f t="shared" si="840"/>
        <v>0</v>
      </c>
      <c r="BM789" s="51" t="str">
        <f>IFERROR(VLOOKUP(A789,NF!$M:$O,3,0),"")</f>
        <v>Mercado</v>
      </c>
      <c r="BN789" s="7">
        <f t="shared" si="841"/>
        <v>1</v>
      </c>
      <c r="BO789" s="8">
        <f t="array" ref="BO789">IFERROR(LARGE(IF(NF!$G$2:$G$3137='Mês atual'!A789,NF!$J$2:$J$3137),1),0)*BN789</f>
        <v>0</v>
      </c>
      <c r="BP789" s="50"/>
      <c r="BR789" s="147">
        <f t="array" ref="BR789">IFERROR(LARGE(IF(NF!$G$2:$G$3137='Mês atual'!A789,NF!$J$2:$J$3137),1),0)</f>
        <v>0</v>
      </c>
      <c r="BS789" s="143" t="str">
        <f>VLOOKUP(A789,NF!M:O,3,0)</f>
        <v>Mercado</v>
      </c>
    </row>
    <row r="790" spans="1:71" x14ac:dyDescent="0.25">
      <c r="A790" s="108" t="s">
        <v>582</v>
      </c>
      <c r="B790" s="12"/>
      <c r="C790" s="9"/>
      <c r="D790" s="25"/>
      <c r="E790" s="10" t="str">
        <f t="shared" si="986"/>
        <v>OutubroSEMANA 1Pera Seca</v>
      </c>
      <c r="F790" s="7">
        <f>SUMIF(NF!$A:$A,$E790,NF!$I:$I)</f>
        <v>0</v>
      </c>
      <c r="G790" s="6"/>
      <c r="H790" s="6"/>
      <c r="I790" s="6"/>
      <c r="J790" s="6"/>
      <c r="K790" s="6"/>
      <c r="L790" s="6"/>
      <c r="M790" s="6"/>
      <c r="N790" s="7">
        <f t="shared" si="1008"/>
        <v>0</v>
      </c>
      <c r="O790" s="11">
        <f t="shared" si="828"/>
        <v>0</v>
      </c>
      <c r="P790" s="25"/>
      <c r="Q790" s="10" t="str">
        <f t="shared" si="987"/>
        <v>OutubroSEMANA 2Pera Seca</v>
      </c>
      <c r="R790" s="7">
        <f>SUMIF(NF!$A:$A,$Q790,NF!$I:$I)</f>
        <v>0</v>
      </c>
      <c r="S790" s="6"/>
      <c r="T790" s="6"/>
      <c r="U790" s="6"/>
      <c r="V790" s="6"/>
      <c r="W790" s="6"/>
      <c r="X790" s="6"/>
      <c r="Y790" s="6"/>
      <c r="Z790" s="7">
        <f t="shared" si="1009"/>
        <v>0</v>
      </c>
      <c r="AA790" s="11">
        <f t="shared" si="831"/>
        <v>0</v>
      </c>
      <c r="AB790" s="25"/>
      <c r="AC790" s="10" t="str">
        <f t="shared" si="988"/>
        <v>OutubroSEMANA 3Pera Seca</v>
      </c>
      <c r="AD790" s="7">
        <f>SUMIF(NF!$A:$A,$AC790,NF!$I:$I)</f>
        <v>0</v>
      </c>
      <c r="AE790" s="6"/>
      <c r="AF790" s="6"/>
      <c r="AG790" s="6"/>
      <c r="AH790" s="6"/>
      <c r="AI790" s="6"/>
      <c r="AJ790" s="6"/>
      <c r="AK790" s="6"/>
      <c r="AL790" s="7">
        <f t="shared" si="1010"/>
        <v>0</v>
      </c>
      <c r="AM790" s="11">
        <f t="shared" si="834"/>
        <v>0</v>
      </c>
      <c r="AN790" s="25"/>
      <c r="AO790" s="10" t="str">
        <f t="shared" si="989"/>
        <v>OutubroSEMANA 4Pera Seca</v>
      </c>
      <c r="AP790" s="7">
        <f>SUMIF(NF!$A:$A,$AO790,NF!$I:$I)</f>
        <v>0.318</v>
      </c>
      <c r="AQ790" s="6"/>
      <c r="AR790" s="6"/>
      <c r="AS790" s="6">
        <v>0.318</v>
      </c>
      <c r="AT790" s="6"/>
      <c r="AU790" s="6"/>
      <c r="AV790" s="6"/>
      <c r="AW790" s="6"/>
      <c r="AX790" s="7">
        <f t="shared" si="1011"/>
        <v>0.318</v>
      </c>
      <c r="AY790" s="11">
        <f t="shared" si="837"/>
        <v>0</v>
      </c>
      <c r="AZ790" s="25"/>
      <c r="BA790" s="10" t="str">
        <f t="shared" si="990"/>
        <v>OutubroSEMANA 5Pera Seca</v>
      </c>
      <c r="BB790" s="7">
        <f>SUMIF(NF!$A:$A,$BA790,NF!$I:$I)</f>
        <v>0</v>
      </c>
      <c r="BC790" s="6"/>
      <c r="BD790" s="6"/>
      <c r="BE790" s="6"/>
      <c r="BF790" s="74"/>
      <c r="BG790" s="74"/>
      <c r="BH790" s="74"/>
      <c r="BI790" s="74"/>
      <c r="BJ790" s="74"/>
      <c r="BK790" s="7">
        <f t="shared" si="1012"/>
        <v>0</v>
      </c>
      <c r="BL790" s="8">
        <f t="shared" si="840"/>
        <v>0</v>
      </c>
      <c r="BM790" s="51" t="str">
        <f>IFERROR(VLOOKUP(A790,NF!$M:$O,3,0),"")</f>
        <v>Mercado</v>
      </c>
      <c r="BN790" s="7">
        <f t="shared" si="841"/>
        <v>0.318</v>
      </c>
      <c r="BO790" s="8">
        <f t="array" ref="BO790">IFERROR(LARGE(IF(NF!$G$2:$G$3137='Mês atual'!A790,NF!$J$2:$J$3137),1),0)*BN790</f>
        <v>16.860010200000001</v>
      </c>
      <c r="BP790" s="50"/>
      <c r="BR790" s="147">
        <f t="array" ref="BR790">IFERROR(LARGE(IF(NF!$G$2:$G$3137='Mês atual'!A790,NF!$J$2:$J$3137),1),0)</f>
        <v>53.018900000000002</v>
      </c>
      <c r="BS790" s="143" t="str">
        <f>VLOOKUP(A790,NF!M:O,3,0)</f>
        <v>Mercado</v>
      </c>
    </row>
    <row r="791" spans="1:71" x14ac:dyDescent="0.25">
      <c r="A791" s="108" t="s">
        <v>652</v>
      </c>
      <c r="B791" s="12"/>
      <c r="C791" s="9">
        <v>8</v>
      </c>
      <c r="D791" s="25"/>
      <c r="E791" s="10" t="str">
        <f t="shared" si="986"/>
        <v>OutubroSEMANA 1Pessego em Calda</v>
      </c>
      <c r="F791" s="7">
        <f>SUMIF(NF!$A:$A,$E791,NF!$I:$I)</f>
        <v>0</v>
      </c>
      <c r="G791" s="6"/>
      <c r="H791" s="6"/>
      <c r="I791" s="6"/>
      <c r="J791" s="6">
        <v>2</v>
      </c>
      <c r="K791" s="6"/>
      <c r="L791" s="6"/>
      <c r="M791" s="6">
        <v>1</v>
      </c>
      <c r="N791" s="7">
        <f t="shared" si="1008"/>
        <v>3</v>
      </c>
      <c r="O791" s="11">
        <f t="shared" si="828"/>
        <v>5</v>
      </c>
      <c r="P791" s="25"/>
      <c r="Q791" s="10" t="str">
        <f t="shared" si="987"/>
        <v>OutubroSEMANA 2Pessego em Calda</v>
      </c>
      <c r="R791" s="7">
        <f>SUMIF(NF!$A:$A,$Q791,NF!$I:$I)</f>
        <v>0</v>
      </c>
      <c r="S791" s="6"/>
      <c r="T791" s="6"/>
      <c r="U791" s="6">
        <v>1</v>
      </c>
      <c r="V791" s="6">
        <v>4</v>
      </c>
      <c r="W791" s="6"/>
      <c r="X791" s="6"/>
      <c r="Y791" s="6"/>
      <c r="Z791" s="7">
        <f t="shared" si="1009"/>
        <v>5</v>
      </c>
      <c r="AA791" s="11">
        <f t="shared" si="831"/>
        <v>0</v>
      </c>
      <c r="AB791" s="25"/>
      <c r="AC791" s="10" t="str">
        <f t="shared" si="988"/>
        <v>OutubroSEMANA 3Pessego em Calda</v>
      </c>
      <c r="AD791" s="7">
        <f>SUMIF(NF!$A:$A,$AC791,NF!$I:$I)</f>
        <v>0</v>
      </c>
      <c r="AE791" s="6"/>
      <c r="AF791" s="6"/>
      <c r="AG791" s="6"/>
      <c r="AH791" s="6"/>
      <c r="AI791" s="6"/>
      <c r="AJ791" s="6"/>
      <c r="AK791" s="6"/>
      <c r="AL791" s="7">
        <f t="shared" si="1010"/>
        <v>0</v>
      </c>
      <c r="AM791" s="11">
        <f t="shared" si="834"/>
        <v>0</v>
      </c>
      <c r="AN791" s="25"/>
      <c r="AO791" s="10" t="str">
        <f t="shared" si="989"/>
        <v>OutubroSEMANA 4Pessego em Calda</v>
      </c>
      <c r="AP791" s="7">
        <f>SUMIF(NF!$A:$A,$AO791,NF!$I:$I)</f>
        <v>0</v>
      </c>
      <c r="AQ791" s="6"/>
      <c r="AR791" s="6"/>
      <c r="AS791" s="6"/>
      <c r="AT791" s="6"/>
      <c r="AU791" s="6"/>
      <c r="AV791" s="6"/>
      <c r="AW791" s="6"/>
      <c r="AX791" s="7">
        <f t="shared" si="1011"/>
        <v>0</v>
      </c>
      <c r="AY791" s="11">
        <f t="shared" si="837"/>
        <v>0</v>
      </c>
      <c r="AZ791" s="25"/>
      <c r="BA791" s="10" t="str">
        <f t="shared" si="990"/>
        <v>OutubroSEMANA 5Pessego em Calda</v>
      </c>
      <c r="BB791" s="7">
        <f>SUMIF(NF!$A:$A,$BA791,NF!$I:$I)</f>
        <v>0</v>
      </c>
      <c r="BC791" s="6"/>
      <c r="BD791" s="6"/>
      <c r="BE791" s="6"/>
      <c r="BF791" s="74"/>
      <c r="BG791" s="74"/>
      <c r="BH791" s="74"/>
      <c r="BI791" s="74"/>
      <c r="BJ791" s="74"/>
      <c r="BK791" s="7">
        <f t="shared" si="1012"/>
        <v>0</v>
      </c>
      <c r="BL791" s="8">
        <f t="shared" si="840"/>
        <v>0</v>
      </c>
      <c r="BM791" s="51" t="str">
        <f>IFERROR(VLOOKUP(A791,NF!$M:$O,3,0),"")</f>
        <v>Mercado</v>
      </c>
      <c r="BN791" s="7">
        <f t="shared" si="841"/>
        <v>8</v>
      </c>
      <c r="BO791" s="8">
        <f t="array" ref="BO791">IFERROR(LARGE(IF(NF!$G$2:$G$3137='Mês atual'!A791,NF!$J$2:$J$3137),1),0)*BN791</f>
        <v>0</v>
      </c>
      <c r="BP791" s="50"/>
      <c r="BR791" s="147">
        <f t="array" ref="BR791">IFERROR(LARGE(IF(NF!$G$2:$G$3137='Mês atual'!A791,NF!$J$2:$J$3137),1),0)</f>
        <v>0</v>
      </c>
      <c r="BS791" s="143" t="str">
        <f>VLOOKUP(A791,NF!M:O,3,0)</f>
        <v>Mercado</v>
      </c>
    </row>
    <row r="792" spans="1:71" x14ac:dyDescent="0.25">
      <c r="A792" s="108" t="s">
        <v>653</v>
      </c>
      <c r="B792" s="12"/>
      <c r="C792" s="9">
        <v>1</v>
      </c>
      <c r="D792" s="25"/>
      <c r="E792" s="10" t="str">
        <f t="shared" si="986"/>
        <v>OutubroSEMANA 1Picles</v>
      </c>
      <c r="F792" s="7">
        <f>SUMIF(NF!$A:$A,$E792,NF!$I:$I)</f>
        <v>0</v>
      </c>
      <c r="G792" s="6"/>
      <c r="H792" s="6"/>
      <c r="I792" s="6"/>
      <c r="J792" s="6"/>
      <c r="K792" s="6"/>
      <c r="L792" s="6"/>
      <c r="M792" s="6"/>
      <c r="N792" s="7">
        <f t="shared" si="1008"/>
        <v>0</v>
      </c>
      <c r="O792" s="11">
        <f t="shared" si="828"/>
        <v>1</v>
      </c>
      <c r="P792" s="25"/>
      <c r="Q792" s="10" t="str">
        <f t="shared" si="987"/>
        <v>OutubroSEMANA 2Picles</v>
      </c>
      <c r="R792" s="7">
        <f>SUMIF(NF!$A:$A,$Q792,NF!$I:$I)</f>
        <v>0</v>
      </c>
      <c r="S792" s="6"/>
      <c r="T792" s="6"/>
      <c r="U792" s="6"/>
      <c r="V792" s="6"/>
      <c r="W792" s="6"/>
      <c r="X792" s="6"/>
      <c r="Y792" s="6"/>
      <c r="Z792" s="7">
        <f t="shared" si="1009"/>
        <v>0</v>
      </c>
      <c r="AA792" s="11">
        <f t="shared" si="831"/>
        <v>1</v>
      </c>
      <c r="AB792" s="25"/>
      <c r="AC792" s="10" t="str">
        <f t="shared" si="988"/>
        <v>OutubroSEMANA 3Picles</v>
      </c>
      <c r="AD792" s="7">
        <f>SUMIF(NF!$A:$A,$AC792,NF!$I:$I)</f>
        <v>0</v>
      </c>
      <c r="AE792" s="6"/>
      <c r="AF792" s="6"/>
      <c r="AG792" s="6"/>
      <c r="AH792" s="6"/>
      <c r="AI792" s="6"/>
      <c r="AJ792" s="6"/>
      <c r="AK792" s="6"/>
      <c r="AL792" s="7">
        <f t="shared" si="1010"/>
        <v>0</v>
      </c>
      <c r="AM792" s="11">
        <f t="shared" si="834"/>
        <v>1</v>
      </c>
      <c r="AN792" s="25"/>
      <c r="AO792" s="10" t="str">
        <f t="shared" si="989"/>
        <v>OutubroSEMANA 4Picles</v>
      </c>
      <c r="AP792" s="7">
        <f>SUMIF(NF!$A:$A,$AO792,NF!$I:$I)</f>
        <v>0</v>
      </c>
      <c r="AQ792" s="6"/>
      <c r="AR792" s="6"/>
      <c r="AS792" s="6"/>
      <c r="AT792" s="6"/>
      <c r="AU792" s="6"/>
      <c r="AV792" s="6"/>
      <c r="AW792" s="6"/>
      <c r="AX792" s="7">
        <f t="shared" si="1011"/>
        <v>0</v>
      </c>
      <c r="AY792" s="11">
        <f t="shared" si="837"/>
        <v>1</v>
      </c>
      <c r="AZ792" s="25"/>
      <c r="BA792" s="10" t="str">
        <f t="shared" si="990"/>
        <v>OutubroSEMANA 5Picles</v>
      </c>
      <c r="BB792" s="7">
        <f>SUMIF(NF!$A:$A,$BA792,NF!$I:$I)</f>
        <v>0</v>
      </c>
      <c r="BC792" s="6"/>
      <c r="BD792" s="6"/>
      <c r="BE792" s="6"/>
      <c r="BF792" s="74"/>
      <c r="BG792" s="74"/>
      <c r="BH792" s="74"/>
      <c r="BI792" s="74"/>
      <c r="BJ792" s="74"/>
      <c r="BK792" s="7">
        <f t="shared" si="1012"/>
        <v>0</v>
      </c>
      <c r="BL792" s="8">
        <f t="shared" si="840"/>
        <v>1</v>
      </c>
      <c r="BM792" s="51" t="str">
        <f>IFERROR(VLOOKUP(A792,NF!$M:$O,3,0),"")</f>
        <v>Mercado</v>
      </c>
      <c r="BN792" s="7">
        <f t="shared" si="841"/>
        <v>0</v>
      </c>
      <c r="BO792" s="8">
        <f t="array" ref="BO792">IFERROR(LARGE(IF(NF!$G$2:$G$3137='Mês atual'!A792,NF!$J$2:$J$3137),1),0)*BN792</f>
        <v>0</v>
      </c>
      <c r="BP792" s="50"/>
      <c r="BR792" s="147">
        <f t="array" ref="BR792">IFERROR(LARGE(IF(NF!$G$2:$G$3137='Mês atual'!A792,NF!$J$2:$J$3137),1),0)</f>
        <v>0</v>
      </c>
      <c r="BS792" s="143" t="str">
        <f>VLOOKUP(A792,NF!M:O,3,0)</f>
        <v>Mercado</v>
      </c>
    </row>
    <row r="793" spans="1:71" x14ac:dyDescent="0.25">
      <c r="A793" s="108" t="s">
        <v>655</v>
      </c>
      <c r="B793" s="12"/>
      <c r="C793" s="9"/>
      <c r="D793" s="25"/>
      <c r="E793" s="10" t="str">
        <f t="shared" si="986"/>
        <v>OutubroSEMANA 1Pimenta Calabresa</v>
      </c>
      <c r="F793" s="7">
        <f>SUMIF(NF!$A:$A,$E793,NF!$I:$I)</f>
        <v>0</v>
      </c>
      <c r="G793" s="6"/>
      <c r="H793" s="6"/>
      <c r="I793" s="6"/>
      <c r="J793" s="6"/>
      <c r="K793" s="6"/>
      <c r="L793" s="6"/>
      <c r="M793" s="6"/>
      <c r="N793" s="7">
        <f t="shared" si="1008"/>
        <v>0</v>
      </c>
      <c r="O793" s="11">
        <f t="shared" si="828"/>
        <v>0</v>
      </c>
      <c r="P793" s="25"/>
      <c r="Q793" s="10" t="str">
        <f t="shared" si="987"/>
        <v>OutubroSEMANA 2Pimenta Calabresa</v>
      </c>
      <c r="R793" s="7">
        <f>SUMIF(NF!$A:$A,$Q793,NF!$I:$I)</f>
        <v>0</v>
      </c>
      <c r="S793" s="6"/>
      <c r="T793" s="6"/>
      <c r="U793" s="6"/>
      <c r="V793" s="6"/>
      <c r="W793" s="6"/>
      <c r="X793" s="6"/>
      <c r="Y793" s="6"/>
      <c r="Z793" s="7">
        <f t="shared" si="1009"/>
        <v>0</v>
      </c>
      <c r="AA793" s="11">
        <f t="shared" si="831"/>
        <v>0</v>
      </c>
      <c r="AB793" s="25"/>
      <c r="AC793" s="10" t="str">
        <f t="shared" si="988"/>
        <v>OutubroSEMANA 3Pimenta Calabresa</v>
      </c>
      <c r="AD793" s="7">
        <f>SUMIF(NF!$A:$A,$AC793,NF!$I:$I)</f>
        <v>0</v>
      </c>
      <c r="AE793" s="6"/>
      <c r="AF793" s="6"/>
      <c r="AG793" s="6"/>
      <c r="AH793" s="6"/>
      <c r="AI793" s="6"/>
      <c r="AJ793" s="6"/>
      <c r="AK793" s="6"/>
      <c r="AL793" s="7">
        <f t="shared" si="1010"/>
        <v>0</v>
      </c>
      <c r="AM793" s="11">
        <f t="shared" si="834"/>
        <v>0</v>
      </c>
      <c r="AN793" s="25"/>
      <c r="AO793" s="10" t="str">
        <f t="shared" si="989"/>
        <v>OutubroSEMANA 4Pimenta Calabresa</v>
      </c>
      <c r="AP793" s="7">
        <f>SUMIF(NF!$A:$A,$AO793,NF!$I:$I)</f>
        <v>0.2</v>
      </c>
      <c r="AQ793" s="6"/>
      <c r="AR793" s="6"/>
      <c r="AS793" s="6"/>
      <c r="AT793" s="6"/>
      <c r="AU793" s="6"/>
      <c r="AV793" s="6"/>
      <c r="AW793" s="6">
        <v>0.2</v>
      </c>
      <c r="AX793" s="7">
        <f t="shared" si="1011"/>
        <v>0.2</v>
      </c>
      <c r="AY793" s="11">
        <f t="shared" si="837"/>
        <v>0</v>
      </c>
      <c r="AZ793" s="25"/>
      <c r="BA793" s="10" t="str">
        <f t="shared" si="990"/>
        <v>OutubroSEMANA 5Pimenta Calabresa</v>
      </c>
      <c r="BB793" s="7">
        <f>SUMIF(NF!$A:$A,$BA793,NF!$I:$I)</f>
        <v>0</v>
      </c>
      <c r="BC793" s="6"/>
      <c r="BD793" s="6"/>
      <c r="BE793" s="6"/>
      <c r="BF793" s="74"/>
      <c r="BG793" s="74"/>
      <c r="BH793" s="74"/>
      <c r="BI793" s="74"/>
      <c r="BJ793" s="74"/>
      <c r="BK793" s="7">
        <f t="shared" si="1012"/>
        <v>0</v>
      </c>
      <c r="BL793" s="8">
        <f t="shared" si="840"/>
        <v>0</v>
      </c>
      <c r="BM793" s="51" t="str">
        <f>IFERROR(VLOOKUP(A793,NF!$M:$O,3,0),"")</f>
        <v>Mercado</v>
      </c>
      <c r="BN793" s="7">
        <f t="shared" si="841"/>
        <v>0.2</v>
      </c>
      <c r="BO793" s="8">
        <f t="array" ref="BO793">IFERROR(LARGE(IF(NF!$G$2:$G$3137='Mês atual'!A793,NF!$J$2:$J$3137),1),0)*BN793</f>
        <v>3.6</v>
      </c>
      <c r="BP793" s="50"/>
      <c r="BR793" s="147">
        <f t="array" ref="BR793">IFERROR(LARGE(IF(NF!$G$2:$G$3137='Mês atual'!A793,NF!$J$2:$J$3137),1),0)</f>
        <v>18</v>
      </c>
      <c r="BS793" s="143" t="str">
        <f>VLOOKUP(A793,NF!M:O,3,0)</f>
        <v>Mercado</v>
      </c>
    </row>
    <row r="794" spans="1:71" x14ac:dyDescent="0.25">
      <c r="A794" s="108" t="s">
        <v>658</v>
      </c>
      <c r="B794" s="12"/>
      <c r="C794" s="9"/>
      <c r="D794" s="25"/>
      <c r="E794" s="10" t="str">
        <f t="shared" si="986"/>
        <v>OutubroSEMANA 1Pimenta do Reino em Pó</v>
      </c>
      <c r="F794" s="7">
        <f>SUMIF(NF!$A:$A,$E794,NF!$I:$I)</f>
        <v>0</v>
      </c>
      <c r="G794" s="6"/>
      <c r="H794" s="6"/>
      <c r="I794" s="6"/>
      <c r="J794" s="6"/>
      <c r="K794" s="6"/>
      <c r="L794" s="6"/>
      <c r="M794" s="6"/>
      <c r="N794" s="7">
        <f t="shared" si="1008"/>
        <v>0</v>
      </c>
      <c r="O794" s="11">
        <f t="shared" si="828"/>
        <v>0</v>
      </c>
      <c r="P794" s="25"/>
      <c r="Q794" s="10" t="str">
        <f t="shared" si="987"/>
        <v>OutubroSEMANA 2Pimenta do Reino em Pó</v>
      </c>
      <c r="R794" s="7">
        <f>SUMIF(NF!$A:$A,$Q794,NF!$I:$I)</f>
        <v>0</v>
      </c>
      <c r="S794" s="6"/>
      <c r="T794" s="6"/>
      <c r="U794" s="6"/>
      <c r="V794" s="6"/>
      <c r="W794" s="6"/>
      <c r="X794" s="6"/>
      <c r="Y794" s="6"/>
      <c r="Z794" s="7">
        <f t="shared" si="1009"/>
        <v>0</v>
      </c>
      <c r="AA794" s="11">
        <f t="shared" si="831"/>
        <v>0</v>
      </c>
      <c r="AB794" s="25"/>
      <c r="AC794" s="10" t="str">
        <f t="shared" si="988"/>
        <v>OutubroSEMANA 3Pimenta do Reino em Pó</v>
      </c>
      <c r="AD794" s="7">
        <f>SUMIF(NF!$A:$A,$AC794,NF!$I:$I)</f>
        <v>0</v>
      </c>
      <c r="AE794" s="6"/>
      <c r="AF794" s="6"/>
      <c r="AG794" s="6"/>
      <c r="AH794" s="6"/>
      <c r="AI794" s="6"/>
      <c r="AJ794" s="6"/>
      <c r="AK794" s="6"/>
      <c r="AL794" s="7">
        <f t="shared" si="1010"/>
        <v>0</v>
      </c>
      <c r="AM794" s="11">
        <f t="shared" si="834"/>
        <v>0</v>
      </c>
      <c r="AN794" s="25"/>
      <c r="AO794" s="10" t="str">
        <f t="shared" si="989"/>
        <v>OutubroSEMANA 4Pimenta do Reino em Pó</v>
      </c>
      <c r="AP794" s="7">
        <f>SUMIF(NF!$A:$A,$AO794,NF!$I:$I)</f>
        <v>0</v>
      </c>
      <c r="AQ794" s="6"/>
      <c r="AR794" s="6"/>
      <c r="AS794" s="6"/>
      <c r="AT794" s="6"/>
      <c r="AU794" s="6"/>
      <c r="AV794" s="6"/>
      <c r="AW794" s="6"/>
      <c r="AX794" s="7">
        <f t="shared" si="1011"/>
        <v>0</v>
      </c>
      <c r="AY794" s="11">
        <f t="shared" si="837"/>
        <v>0</v>
      </c>
      <c r="AZ794" s="25"/>
      <c r="BA794" s="10" t="str">
        <f t="shared" si="990"/>
        <v>OutubroSEMANA 5Pimenta do Reino em Pó</v>
      </c>
      <c r="BB794" s="7">
        <f>SUMIF(NF!$A:$A,$BA794,NF!$I:$I)</f>
        <v>0</v>
      </c>
      <c r="BC794" s="6"/>
      <c r="BD794" s="6"/>
      <c r="BE794" s="6"/>
      <c r="BF794" s="74"/>
      <c r="BG794" s="74"/>
      <c r="BH794" s="74"/>
      <c r="BI794" s="74"/>
      <c r="BJ794" s="74"/>
      <c r="BK794" s="7">
        <f t="shared" si="1012"/>
        <v>0</v>
      </c>
      <c r="BL794" s="8">
        <f t="shared" si="840"/>
        <v>0</v>
      </c>
      <c r="BM794" s="51" t="str">
        <f>IFERROR(VLOOKUP(A794,NF!$M:$O,3,0),"")</f>
        <v>Mercado</v>
      </c>
      <c r="BN794" s="7">
        <f t="shared" si="841"/>
        <v>0</v>
      </c>
      <c r="BO794" s="8">
        <f t="array" ref="BO794">IFERROR(LARGE(IF(NF!$G$2:$G$3137='Mês atual'!A794,NF!$J$2:$J$3137),1),0)*BN794</f>
        <v>0</v>
      </c>
      <c r="BP794" s="50"/>
      <c r="BR794" s="147">
        <f t="array" ref="BR794">IFERROR(LARGE(IF(NF!$G$2:$G$3137='Mês atual'!A794,NF!$J$2:$J$3137),1),0)</f>
        <v>0</v>
      </c>
      <c r="BS794" s="143" t="str">
        <f>VLOOKUP(A794,NF!M:O,3,0)</f>
        <v>Mercado</v>
      </c>
    </row>
    <row r="795" spans="1:71" x14ac:dyDescent="0.25">
      <c r="A795" s="108" t="s">
        <v>661</v>
      </c>
      <c r="B795" s="12"/>
      <c r="C795" s="9">
        <v>0.3</v>
      </c>
      <c r="D795" s="25"/>
      <c r="E795" s="10" t="str">
        <f t="shared" si="986"/>
        <v>OutubroSEMANA 1Pimenta rosa</v>
      </c>
      <c r="F795" s="7">
        <f>SUMIF(NF!$A:$A,$E795,NF!$I:$I)</f>
        <v>0</v>
      </c>
      <c r="G795" s="6"/>
      <c r="H795" s="6"/>
      <c r="I795" s="6"/>
      <c r="J795" s="6"/>
      <c r="K795" s="6"/>
      <c r="L795" s="6"/>
      <c r="M795" s="6"/>
      <c r="N795" s="7">
        <f t="shared" si="1008"/>
        <v>0</v>
      </c>
      <c r="O795" s="11">
        <f t="shared" si="828"/>
        <v>0.3</v>
      </c>
      <c r="P795" s="25"/>
      <c r="Q795" s="10" t="str">
        <f t="shared" si="987"/>
        <v>OutubroSEMANA 2Pimenta rosa</v>
      </c>
      <c r="R795" s="7">
        <f>SUMIF(NF!$A:$A,$Q795,NF!$I:$I)</f>
        <v>0</v>
      </c>
      <c r="S795" s="6"/>
      <c r="T795" s="6"/>
      <c r="U795" s="6"/>
      <c r="V795" s="6"/>
      <c r="W795" s="6"/>
      <c r="X795" s="6"/>
      <c r="Y795" s="6"/>
      <c r="Z795" s="7">
        <f t="shared" si="1009"/>
        <v>0</v>
      </c>
      <c r="AA795" s="11">
        <f t="shared" si="831"/>
        <v>0.3</v>
      </c>
      <c r="AB795" s="25"/>
      <c r="AC795" s="10" t="str">
        <f t="shared" si="988"/>
        <v>OutubroSEMANA 3Pimenta rosa</v>
      </c>
      <c r="AD795" s="7">
        <f>SUMIF(NF!$A:$A,$AC795,NF!$I:$I)</f>
        <v>0</v>
      </c>
      <c r="AE795" s="6"/>
      <c r="AF795" s="6"/>
      <c r="AG795" s="6"/>
      <c r="AH795" s="6"/>
      <c r="AI795" s="6"/>
      <c r="AJ795" s="6">
        <v>0.1</v>
      </c>
      <c r="AK795" s="6"/>
      <c r="AL795" s="7">
        <f t="shared" si="1010"/>
        <v>0.1</v>
      </c>
      <c r="AM795" s="11">
        <f t="shared" si="834"/>
        <v>0.19999999999999998</v>
      </c>
      <c r="AN795" s="25"/>
      <c r="AO795" s="10" t="str">
        <f t="shared" si="989"/>
        <v>OutubroSEMANA 4Pimenta rosa</v>
      </c>
      <c r="AP795" s="7">
        <f>SUMIF(NF!$A:$A,$AO795,NF!$I:$I)</f>
        <v>0</v>
      </c>
      <c r="AQ795" s="6"/>
      <c r="AR795" s="6"/>
      <c r="AS795" s="6"/>
      <c r="AT795" s="6"/>
      <c r="AU795" s="6"/>
      <c r="AV795" s="6"/>
      <c r="AW795" s="6"/>
      <c r="AX795" s="7">
        <f t="shared" si="1011"/>
        <v>0</v>
      </c>
      <c r="AY795" s="11">
        <f t="shared" si="837"/>
        <v>0.19999999999999998</v>
      </c>
      <c r="AZ795" s="25"/>
      <c r="BA795" s="10" t="str">
        <f t="shared" si="990"/>
        <v>OutubroSEMANA 5Pimenta rosa</v>
      </c>
      <c r="BB795" s="7">
        <f>SUMIF(NF!$A:$A,$BA795,NF!$I:$I)</f>
        <v>0</v>
      </c>
      <c r="BC795" s="6"/>
      <c r="BD795" s="6"/>
      <c r="BE795" s="6"/>
      <c r="BF795" s="74"/>
      <c r="BG795" s="74"/>
      <c r="BH795" s="74"/>
      <c r="BI795" s="74"/>
      <c r="BJ795" s="74"/>
      <c r="BK795" s="7">
        <f t="shared" si="1012"/>
        <v>0</v>
      </c>
      <c r="BL795" s="8">
        <f t="shared" si="840"/>
        <v>0.19999999999999998</v>
      </c>
      <c r="BM795" s="51" t="str">
        <f>IFERROR(VLOOKUP(A795,NF!$M:$O,3,0),"")</f>
        <v>Mercado</v>
      </c>
      <c r="BN795" s="7">
        <f t="shared" si="841"/>
        <v>0.1</v>
      </c>
      <c r="BO795" s="8">
        <f t="array" ref="BO795">IFERROR(LARGE(IF(NF!$G$2:$G$3137='Mês atual'!A795,NF!$J$2:$J$3137),1),0)*BN795</f>
        <v>0</v>
      </c>
      <c r="BP795" s="50"/>
      <c r="BR795" s="147">
        <f t="array" ref="BR795">IFERROR(LARGE(IF(NF!$G$2:$G$3137='Mês atual'!A795,NF!$J$2:$J$3137),1),0)</f>
        <v>0</v>
      </c>
      <c r="BS795" s="143" t="str">
        <f>VLOOKUP(A795,NF!M:O,3,0)</f>
        <v>Mercado</v>
      </c>
    </row>
    <row r="796" spans="1:71" x14ac:dyDescent="0.25">
      <c r="A796" s="108" t="s">
        <v>662</v>
      </c>
      <c r="B796" s="12"/>
      <c r="C796" s="9">
        <v>6</v>
      </c>
      <c r="D796" s="25"/>
      <c r="E796" s="10" t="str">
        <f t="shared" si="986"/>
        <v>OutubroSEMANA 1Pimenta Tabasco</v>
      </c>
      <c r="F796" s="7">
        <f>SUMIF(NF!$A:$A,$E796,NF!$I:$I)</f>
        <v>0</v>
      </c>
      <c r="G796" s="6"/>
      <c r="H796" s="6"/>
      <c r="I796" s="6"/>
      <c r="J796" s="6"/>
      <c r="K796" s="6"/>
      <c r="L796" s="6"/>
      <c r="M796" s="6"/>
      <c r="N796" s="7">
        <f t="shared" si="1008"/>
        <v>0</v>
      </c>
      <c r="O796" s="11">
        <f t="shared" si="828"/>
        <v>6</v>
      </c>
      <c r="P796" s="25"/>
      <c r="Q796" s="10" t="str">
        <f t="shared" si="987"/>
        <v>OutubroSEMANA 2Pimenta Tabasco</v>
      </c>
      <c r="R796" s="7">
        <f>SUMIF(NF!$A:$A,$Q796,NF!$I:$I)</f>
        <v>0</v>
      </c>
      <c r="S796" s="6"/>
      <c r="T796" s="6"/>
      <c r="U796" s="6"/>
      <c r="V796" s="6"/>
      <c r="W796" s="6"/>
      <c r="X796" s="6"/>
      <c r="Y796" s="6"/>
      <c r="Z796" s="7">
        <f t="shared" si="1009"/>
        <v>0</v>
      </c>
      <c r="AA796" s="11">
        <f t="shared" si="831"/>
        <v>6</v>
      </c>
      <c r="AB796" s="25"/>
      <c r="AC796" s="10" t="str">
        <f t="shared" si="988"/>
        <v>OutubroSEMANA 3Pimenta Tabasco</v>
      </c>
      <c r="AD796" s="7">
        <f>SUMIF(NF!$A:$A,$AC796,NF!$I:$I)</f>
        <v>0</v>
      </c>
      <c r="AE796" s="6"/>
      <c r="AF796" s="6"/>
      <c r="AG796" s="6"/>
      <c r="AH796" s="6"/>
      <c r="AI796" s="6"/>
      <c r="AJ796" s="6"/>
      <c r="AK796" s="6"/>
      <c r="AL796" s="7">
        <f t="shared" si="1010"/>
        <v>0</v>
      </c>
      <c r="AM796" s="11">
        <f t="shared" si="834"/>
        <v>6</v>
      </c>
      <c r="AN796" s="25"/>
      <c r="AO796" s="10" t="str">
        <f t="shared" si="989"/>
        <v>OutubroSEMANA 4Pimenta Tabasco</v>
      </c>
      <c r="AP796" s="7">
        <f>SUMIF(NF!$A:$A,$AO796,NF!$I:$I)</f>
        <v>0</v>
      </c>
      <c r="AQ796" s="6"/>
      <c r="AR796" s="6"/>
      <c r="AS796" s="6"/>
      <c r="AT796" s="6"/>
      <c r="AU796" s="6"/>
      <c r="AV796" s="6">
        <v>1</v>
      </c>
      <c r="AW796" s="6"/>
      <c r="AX796" s="7">
        <f t="shared" si="1011"/>
        <v>1</v>
      </c>
      <c r="AY796" s="11">
        <f t="shared" si="837"/>
        <v>5</v>
      </c>
      <c r="AZ796" s="25"/>
      <c r="BA796" s="10" t="str">
        <f t="shared" si="990"/>
        <v>OutubroSEMANA 5Pimenta Tabasco</v>
      </c>
      <c r="BB796" s="7">
        <f>SUMIF(NF!$A:$A,$BA796,NF!$I:$I)</f>
        <v>0</v>
      </c>
      <c r="BC796" s="6"/>
      <c r="BD796" s="6"/>
      <c r="BE796" s="6"/>
      <c r="BF796" s="74"/>
      <c r="BG796" s="74"/>
      <c r="BH796" s="74"/>
      <c r="BI796" s="74"/>
      <c r="BJ796" s="74"/>
      <c r="BK796" s="7">
        <f t="shared" si="1012"/>
        <v>0</v>
      </c>
      <c r="BL796" s="8">
        <f t="shared" si="840"/>
        <v>5</v>
      </c>
      <c r="BM796" s="51" t="str">
        <f>IFERROR(VLOOKUP(A796,NF!$M:$O,3,0),"")</f>
        <v>Mercado</v>
      </c>
      <c r="BN796" s="7">
        <f t="shared" si="841"/>
        <v>1</v>
      </c>
      <c r="BO796" s="8">
        <f t="array" ref="BO796">IFERROR(LARGE(IF(NF!$G$2:$G$3137='Mês atual'!A796,NF!$J$2:$J$3137),1),0)*BN796</f>
        <v>0</v>
      </c>
      <c r="BP796" s="50"/>
      <c r="BR796" s="147">
        <f t="array" ref="BR796">IFERROR(LARGE(IF(NF!$G$2:$G$3137='Mês atual'!A796,NF!$J$2:$J$3137),1),0)</f>
        <v>0</v>
      </c>
      <c r="BS796" s="143" t="str">
        <f>VLOOKUP(A796,NF!M:O,3,0)</f>
        <v>Mercado</v>
      </c>
    </row>
    <row r="797" spans="1:71" x14ac:dyDescent="0.25">
      <c r="A797" s="108" t="s">
        <v>1004</v>
      </c>
      <c r="B797" s="12"/>
      <c r="C797" s="9"/>
      <c r="D797" s="25"/>
      <c r="E797" s="10" t="str">
        <f t="shared" si="986"/>
        <v>OutubroSEMANA 1Pimenta Verde em Conserva</v>
      </c>
      <c r="F797" s="7">
        <f>SUMIF(NF!$A:$A,$E797,NF!$I:$I)</f>
        <v>0</v>
      </c>
      <c r="G797" s="6"/>
      <c r="H797" s="6"/>
      <c r="I797" s="6"/>
      <c r="J797" s="6"/>
      <c r="K797" s="6"/>
      <c r="L797" s="6"/>
      <c r="M797" s="6"/>
      <c r="N797" s="7">
        <f t="shared" ref="N797" si="1013">SUM(G797:M797)</f>
        <v>0</v>
      </c>
      <c r="O797" s="11">
        <f t="shared" ref="O797" si="1014">F797+C797-N797</f>
        <v>0</v>
      </c>
      <c r="P797" s="25"/>
      <c r="Q797" s="10" t="str">
        <f t="shared" si="987"/>
        <v>OutubroSEMANA 2Pimenta Verde em Conserva</v>
      </c>
      <c r="R797" s="7">
        <f>SUMIF(NF!$A:$A,$Q797,NF!$I:$I)</f>
        <v>0</v>
      </c>
      <c r="S797" s="6"/>
      <c r="T797" s="6"/>
      <c r="U797" s="6"/>
      <c r="V797" s="6"/>
      <c r="W797" s="6"/>
      <c r="X797" s="6"/>
      <c r="Y797" s="6"/>
      <c r="Z797" s="7">
        <f t="shared" ref="Z797" si="1015">SUM(S797:Y797)</f>
        <v>0</v>
      </c>
      <c r="AA797" s="11">
        <f t="shared" ref="AA797" si="1016">R797+O797-Z797</f>
        <v>0</v>
      </c>
      <c r="AB797" s="25"/>
      <c r="AC797" s="10" t="str">
        <f t="shared" si="988"/>
        <v>OutubroSEMANA 3Pimenta Verde em Conserva</v>
      </c>
      <c r="AD797" s="7">
        <f>SUMIF(NF!$A:$A,$AC797,NF!$I:$I)</f>
        <v>0</v>
      </c>
      <c r="AE797" s="6"/>
      <c r="AF797" s="6"/>
      <c r="AG797" s="6"/>
      <c r="AH797" s="6"/>
      <c r="AI797" s="6"/>
      <c r="AJ797" s="6"/>
      <c r="AK797" s="6"/>
      <c r="AL797" s="7">
        <f t="shared" ref="AL797" si="1017">SUM(AE797:AK797)</f>
        <v>0</v>
      </c>
      <c r="AM797" s="11">
        <f t="shared" ref="AM797" si="1018">AD797+AA797-AL797</f>
        <v>0</v>
      </c>
      <c r="AN797" s="25"/>
      <c r="AO797" s="10" t="str">
        <f t="shared" si="989"/>
        <v>OutubroSEMANA 4Pimenta Verde em Conserva</v>
      </c>
      <c r="AP797" s="7">
        <f>SUMIF(NF!$A:$A,$AO797,NF!$I:$I)</f>
        <v>0</v>
      </c>
      <c r="AQ797" s="6"/>
      <c r="AR797" s="6"/>
      <c r="AS797" s="6"/>
      <c r="AT797" s="6"/>
      <c r="AU797" s="6"/>
      <c r="AV797" s="6"/>
      <c r="AW797" s="6"/>
      <c r="AX797" s="7">
        <f t="shared" ref="AX797" si="1019">SUM(AQ797:AW797)</f>
        <v>0</v>
      </c>
      <c r="AY797" s="11">
        <f t="shared" ref="AY797" si="1020">AP797+AM797-AX797</f>
        <v>0</v>
      </c>
      <c r="AZ797" s="25"/>
      <c r="BA797" s="10" t="str">
        <f t="shared" si="990"/>
        <v>OutubroSEMANA 5Pimenta Verde em Conserva</v>
      </c>
      <c r="BB797" s="7">
        <f>SUMIF(NF!$A:$A,$BA797,NF!$I:$I)</f>
        <v>0</v>
      </c>
      <c r="BC797" s="6"/>
      <c r="BD797" s="6"/>
      <c r="BE797" s="6"/>
      <c r="BF797" s="74"/>
      <c r="BG797" s="74"/>
      <c r="BH797" s="74"/>
      <c r="BI797" s="74"/>
      <c r="BJ797" s="74"/>
      <c r="BK797" s="7">
        <f t="shared" ref="BK797" si="1021">SUM(BC797:BJ797)</f>
        <v>0</v>
      </c>
      <c r="BL797" s="8">
        <f t="shared" ref="BL797" si="1022">BB797+AY797-BK797</f>
        <v>0</v>
      </c>
      <c r="BM797" s="51" t="str">
        <f>IFERROR(VLOOKUP(A797,NF!$M:$O,3,0),"")</f>
        <v>Mercado</v>
      </c>
      <c r="BN797" s="7">
        <f t="shared" ref="BN797" si="1023">SUM(N797,Z797,AL797,AX797,BK797)</f>
        <v>0</v>
      </c>
      <c r="BO797" s="8">
        <f t="array" ref="BO797">IFERROR(LARGE(IF(NF!$G$2:$G$3137='Mês atual'!A797,NF!$J$2:$J$3137),1),0)*BN797</f>
        <v>0</v>
      </c>
      <c r="BP797" s="50"/>
      <c r="BR797" s="147">
        <f t="array" ref="BR797">IFERROR(LARGE(IF(NF!$G$2:$G$3137='Mês atual'!A797,NF!$J$2:$J$3137),1),0)</f>
        <v>0</v>
      </c>
      <c r="BS797" s="143" t="str">
        <f>VLOOKUP(A797,NF!M:O,3,0)</f>
        <v>Mercado</v>
      </c>
    </row>
    <row r="798" spans="1:71" x14ac:dyDescent="0.25">
      <c r="A798" s="108" t="s">
        <v>668</v>
      </c>
      <c r="B798" s="12"/>
      <c r="C798" s="9"/>
      <c r="D798" s="25"/>
      <c r="E798" s="10" t="str">
        <f t="shared" si="986"/>
        <v>OutubroSEMANA 1Pistache</v>
      </c>
      <c r="F798" s="7">
        <f>SUMIF(NF!$A:$A,$E798,NF!$I:$I)</f>
        <v>0</v>
      </c>
      <c r="G798" s="6"/>
      <c r="H798" s="6"/>
      <c r="I798" s="6"/>
      <c r="J798" s="6"/>
      <c r="K798" s="6"/>
      <c r="L798" s="6"/>
      <c r="M798" s="6"/>
      <c r="N798" s="7">
        <f t="shared" si="1008"/>
        <v>0</v>
      </c>
      <c r="O798" s="11">
        <f t="shared" si="828"/>
        <v>0</v>
      </c>
      <c r="P798" s="25"/>
      <c r="Q798" s="10" t="str">
        <f t="shared" si="987"/>
        <v>OutubroSEMANA 2Pistache</v>
      </c>
      <c r="R798" s="7">
        <f>SUMIF(NF!$A:$A,$Q798,NF!$I:$I)</f>
        <v>0</v>
      </c>
      <c r="S798" s="6"/>
      <c r="T798" s="6"/>
      <c r="U798" s="6"/>
      <c r="V798" s="6"/>
      <c r="W798" s="6"/>
      <c r="X798" s="6"/>
      <c r="Y798" s="6"/>
      <c r="Z798" s="7">
        <f t="shared" si="1009"/>
        <v>0</v>
      </c>
      <c r="AA798" s="11">
        <f t="shared" si="831"/>
        <v>0</v>
      </c>
      <c r="AB798" s="25"/>
      <c r="AC798" s="10" t="str">
        <f t="shared" si="988"/>
        <v>OutubroSEMANA 3Pistache</v>
      </c>
      <c r="AD798" s="7">
        <f>SUMIF(NF!$A:$A,$AC798,NF!$I:$I)</f>
        <v>0</v>
      </c>
      <c r="AE798" s="6"/>
      <c r="AF798" s="6"/>
      <c r="AG798" s="6"/>
      <c r="AH798" s="6"/>
      <c r="AI798" s="6"/>
      <c r="AJ798" s="6"/>
      <c r="AK798" s="6"/>
      <c r="AL798" s="7">
        <f t="shared" si="1010"/>
        <v>0</v>
      </c>
      <c r="AM798" s="11">
        <f t="shared" si="834"/>
        <v>0</v>
      </c>
      <c r="AN798" s="25"/>
      <c r="AO798" s="10" t="str">
        <f t="shared" si="989"/>
        <v>OutubroSEMANA 4Pistache</v>
      </c>
      <c r="AP798" s="7">
        <f>SUMIF(NF!$A:$A,$AO798,NF!$I:$I)</f>
        <v>0</v>
      </c>
      <c r="AQ798" s="6"/>
      <c r="AR798" s="6"/>
      <c r="AS798" s="6"/>
      <c r="AT798" s="6"/>
      <c r="AU798" s="6"/>
      <c r="AV798" s="6"/>
      <c r="AW798" s="6"/>
      <c r="AX798" s="7">
        <f t="shared" si="1011"/>
        <v>0</v>
      </c>
      <c r="AY798" s="11">
        <f t="shared" si="837"/>
        <v>0</v>
      </c>
      <c r="AZ798" s="25"/>
      <c r="BA798" s="10" t="str">
        <f t="shared" si="990"/>
        <v>OutubroSEMANA 5Pistache</v>
      </c>
      <c r="BB798" s="7">
        <f>SUMIF(NF!$A:$A,$BA798,NF!$I:$I)</f>
        <v>0</v>
      </c>
      <c r="BC798" s="6"/>
      <c r="BD798" s="6"/>
      <c r="BE798" s="6"/>
      <c r="BF798" s="74"/>
      <c r="BG798" s="74"/>
      <c r="BH798" s="74"/>
      <c r="BI798" s="74"/>
      <c r="BJ798" s="74"/>
      <c r="BK798" s="7">
        <f t="shared" si="1012"/>
        <v>0</v>
      </c>
      <c r="BL798" s="8">
        <f t="shared" si="840"/>
        <v>0</v>
      </c>
      <c r="BM798" s="51" t="str">
        <f>IFERROR(VLOOKUP(A798,NF!$M:$O,3,0),"")</f>
        <v>Mercado</v>
      </c>
      <c r="BN798" s="7">
        <f t="shared" si="841"/>
        <v>0</v>
      </c>
      <c r="BO798" s="8">
        <f t="array" ref="BO798">IFERROR(LARGE(IF(NF!$G$2:$G$3137='Mês atual'!A798,NF!$J$2:$J$3137),1),0)*BN798</f>
        <v>0</v>
      </c>
      <c r="BP798" s="50"/>
      <c r="BR798" s="147">
        <f t="array" ref="BR798">IFERROR(LARGE(IF(NF!$G$2:$G$3137='Mês atual'!A798,NF!$J$2:$J$3137),1),0)</f>
        <v>0</v>
      </c>
      <c r="BS798" s="143" t="str">
        <f>VLOOKUP(A798,NF!M:O,3,0)</f>
        <v>Mercado</v>
      </c>
    </row>
    <row r="799" spans="1:71" x14ac:dyDescent="0.25">
      <c r="A799" s="108" t="s">
        <v>1031</v>
      </c>
      <c r="B799" s="12"/>
      <c r="C799" s="9">
        <v>0.50600000000000001</v>
      </c>
      <c r="D799" s="25"/>
      <c r="E799" s="10" t="str">
        <f t="shared" si="986"/>
        <v>OutubroSEMANA 1Proteina de Soja Escura</v>
      </c>
      <c r="F799" s="7">
        <f>SUMIF(NF!$A:$A,$E799,NF!$I:$I)</f>
        <v>0</v>
      </c>
      <c r="G799" s="6"/>
      <c r="H799" s="6"/>
      <c r="I799" s="6"/>
      <c r="J799" s="6"/>
      <c r="K799" s="6"/>
      <c r="L799" s="6"/>
      <c r="M799" s="6"/>
      <c r="N799" s="7">
        <f t="shared" ref="N799" si="1024">SUM(G799:M799)</f>
        <v>0</v>
      </c>
      <c r="O799" s="11">
        <f t="shared" ref="O799" si="1025">F799+C799-N799</f>
        <v>0.50600000000000001</v>
      </c>
      <c r="P799" s="25"/>
      <c r="Q799" s="10" t="str">
        <f t="shared" si="987"/>
        <v>OutubroSEMANA 2Proteina de Soja Escura</v>
      </c>
      <c r="R799" s="7">
        <f>SUMIF(NF!$A:$A,$Q799,NF!$I:$I)</f>
        <v>0</v>
      </c>
      <c r="S799" s="6"/>
      <c r="T799" s="6"/>
      <c r="U799" s="6"/>
      <c r="V799" s="6"/>
      <c r="W799" s="6"/>
      <c r="X799" s="6"/>
      <c r="Y799" s="6"/>
      <c r="Z799" s="7">
        <f t="shared" ref="Z799" si="1026">SUM(S799:Y799)</f>
        <v>0</v>
      </c>
      <c r="AA799" s="11">
        <f t="shared" ref="AA799" si="1027">R799+O799-Z799</f>
        <v>0.50600000000000001</v>
      </c>
      <c r="AB799" s="25"/>
      <c r="AC799" s="10" t="str">
        <f t="shared" si="988"/>
        <v>OutubroSEMANA 3Proteina de Soja Escura</v>
      </c>
      <c r="AD799" s="7">
        <f>SUMIF(NF!$A:$A,$AC799,NF!$I:$I)</f>
        <v>0</v>
      </c>
      <c r="AE799" s="6"/>
      <c r="AF799" s="6"/>
      <c r="AG799" s="6"/>
      <c r="AH799" s="6"/>
      <c r="AI799" s="6"/>
      <c r="AJ799" s="6"/>
      <c r="AK799" s="6"/>
      <c r="AL799" s="7">
        <f t="shared" ref="AL799" si="1028">SUM(AE799:AK799)</f>
        <v>0</v>
      </c>
      <c r="AM799" s="11">
        <f t="shared" ref="AM799" si="1029">AD799+AA799-AL799</f>
        <v>0.50600000000000001</v>
      </c>
      <c r="AN799" s="25"/>
      <c r="AO799" s="10" t="str">
        <f t="shared" si="989"/>
        <v>OutubroSEMANA 4Proteina de Soja Escura</v>
      </c>
      <c r="AP799" s="7">
        <f>SUMIF(NF!$A:$A,$AO799,NF!$I:$I)</f>
        <v>0</v>
      </c>
      <c r="AQ799" s="6"/>
      <c r="AR799" s="6"/>
      <c r="AS799" s="6"/>
      <c r="AT799" s="6"/>
      <c r="AU799" s="6">
        <v>0.505</v>
      </c>
      <c r="AV799" s="6"/>
      <c r="AW799" s="6"/>
      <c r="AX799" s="7">
        <f t="shared" ref="AX799" si="1030">SUM(AQ799:AW799)</f>
        <v>0.505</v>
      </c>
      <c r="AY799" s="11">
        <f t="shared" ref="AY799" si="1031">AP799+AM799-AX799</f>
        <v>1.0000000000000009E-3</v>
      </c>
      <c r="AZ799" s="25"/>
      <c r="BA799" s="10" t="str">
        <f t="shared" si="990"/>
        <v>OutubroSEMANA 5Proteina de Soja Escura</v>
      </c>
      <c r="BB799" s="7">
        <f>SUMIF(NF!$A:$A,$BA799,NF!$I:$I)</f>
        <v>0</v>
      </c>
      <c r="BC799" s="6"/>
      <c r="BD799" s="6"/>
      <c r="BE799" s="6"/>
      <c r="BF799" s="74"/>
      <c r="BG799" s="74"/>
      <c r="BH799" s="74"/>
      <c r="BI799" s="74"/>
      <c r="BJ799" s="74"/>
      <c r="BK799" s="7">
        <f t="shared" ref="BK799" si="1032">SUM(BC799:BJ799)</f>
        <v>0</v>
      </c>
      <c r="BL799" s="8">
        <f t="shared" ref="BL799" si="1033">BB799+AY799-BK799</f>
        <v>1.0000000000000009E-3</v>
      </c>
      <c r="BM799" s="51" t="str">
        <f>IFERROR(VLOOKUP(A799,NF!$M:$O,3,0),"")</f>
        <v>Mercado</v>
      </c>
      <c r="BN799" s="7">
        <f t="shared" ref="BN799" si="1034">SUM(N799,Z799,AL799,AX799,BK799)</f>
        <v>0.505</v>
      </c>
      <c r="BO799" s="8">
        <f t="array" ref="BO799">IFERROR(LARGE(IF(NF!$G$2:$G$3137='Mês atual'!A799,NF!$J$2:$J$3137),1),0)*BN799</f>
        <v>0</v>
      </c>
      <c r="BP799" s="50"/>
      <c r="BR799" s="147">
        <f t="array" ref="BR799">IFERROR(LARGE(IF(NF!$G$2:$G$3137='Mês atual'!A799,NF!$J$2:$J$3137),1),0)</f>
        <v>0</v>
      </c>
      <c r="BS799" s="143" t="str">
        <f>VLOOKUP(A799,NF!M:O,3,0)</f>
        <v>Mercado</v>
      </c>
    </row>
    <row r="800" spans="1:71" x14ac:dyDescent="0.25">
      <c r="A800" s="108" t="s">
        <v>673</v>
      </c>
      <c r="B800" s="12"/>
      <c r="C800" s="9"/>
      <c r="D800" s="25"/>
      <c r="E800" s="10" t="str">
        <f t="shared" si="986"/>
        <v>OutubroSEMANA 1Queijo Brie</v>
      </c>
      <c r="F800" s="7">
        <f>SUMIF(NF!$A:$A,$E800,NF!$I:$I)</f>
        <v>0</v>
      </c>
      <c r="G800" s="6"/>
      <c r="H800" s="6"/>
      <c r="I800" s="6"/>
      <c r="J800" s="6"/>
      <c r="K800" s="6"/>
      <c r="L800" s="6"/>
      <c r="M800" s="6"/>
      <c r="N800" s="7">
        <f t="shared" si="1008"/>
        <v>0</v>
      </c>
      <c r="O800" s="11">
        <f t="shared" si="828"/>
        <v>0</v>
      </c>
      <c r="P800" s="25"/>
      <c r="Q800" s="10" t="str">
        <f t="shared" si="987"/>
        <v>OutubroSEMANA 2Queijo Brie</v>
      </c>
      <c r="R800" s="7">
        <f>SUMIF(NF!$A:$A,$Q800,NF!$I:$I)</f>
        <v>0</v>
      </c>
      <c r="S800" s="6"/>
      <c r="T800" s="6"/>
      <c r="U800" s="6"/>
      <c r="V800" s="6"/>
      <c r="W800" s="6"/>
      <c r="X800" s="6"/>
      <c r="Y800" s="6"/>
      <c r="Z800" s="7">
        <f t="shared" si="1009"/>
        <v>0</v>
      </c>
      <c r="AA800" s="11">
        <f t="shared" si="831"/>
        <v>0</v>
      </c>
      <c r="AB800" s="25"/>
      <c r="AC800" s="10" t="str">
        <f t="shared" si="988"/>
        <v>OutubroSEMANA 3Queijo Brie</v>
      </c>
      <c r="AD800" s="7">
        <f>SUMIF(NF!$A:$A,$AC800,NF!$I:$I)</f>
        <v>0</v>
      </c>
      <c r="AE800" s="6"/>
      <c r="AF800" s="6"/>
      <c r="AG800" s="6"/>
      <c r="AH800" s="6"/>
      <c r="AI800" s="6"/>
      <c r="AJ800" s="6"/>
      <c r="AK800" s="6"/>
      <c r="AL800" s="7">
        <f t="shared" si="1010"/>
        <v>0</v>
      </c>
      <c r="AM800" s="11">
        <f t="shared" si="834"/>
        <v>0</v>
      </c>
      <c r="AN800" s="25"/>
      <c r="AO800" s="10" t="str">
        <f t="shared" si="989"/>
        <v>OutubroSEMANA 4Queijo Brie</v>
      </c>
      <c r="AP800" s="7">
        <f>SUMIF(NF!$A:$A,$AO800,NF!$I:$I)</f>
        <v>0</v>
      </c>
      <c r="AQ800" s="6"/>
      <c r="AR800" s="6"/>
      <c r="AS800" s="6"/>
      <c r="AT800" s="6"/>
      <c r="AU800" s="6"/>
      <c r="AV800" s="6"/>
      <c r="AW800" s="6"/>
      <c r="AX800" s="7">
        <f t="shared" si="1011"/>
        <v>0</v>
      </c>
      <c r="AY800" s="11">
        <f t="shared" si="837"/>
        <v>0</v>
      </c>
      <c r="AZ800" s="25"/>
      <c r="BA800" s="10" t="str">
        <f t="shared" si="990"/>
        <v>OutubroSEMANA 5Queijo Brie</v>
      </c>
      <c r="BB800" s="7">
        <f>SUMIF(NF!$A:$A,$BA800,NF!$I:$I)</f>
        <v>0</v>
      </c>
      <c r="BC800" s="6"/>
      <c r="BD800" s="6"/>
      <c r="BE800" s="6"/>
      <c r="BF800" s="74"/>
      <c r="BG800" s="74"/>
      <c r="BH800" s="74"/>
      <c r="BI800" s="74"/>
      <c r="BJ800" s="74"/>
      <c r="BK800" s="7">
        <f t="shared" si="1012"/>
        <v>0</v>
      </c>
      <c r="BL800" s="8">
        <f t="shared" si="840"/>
        <v>0</v>
      </c>
      <c r="BM800" s="51" t="str">
        <f>IFERROR(VLOOKUP(A800,NF!$M:$O,3,0),"")</f>
        <v>Mercado</v>
      </c>
      <c r="BN800" s="7">
        <f t="shared" si="841"/>
        <v>0</v>
      </c>
      <c r="BO800" s="8">
        <f t="array" ref="BO800">IFERROR(LARGE(IF(NF!$G$2:$G$3137='Mês atual'!A800,NF!$J$2:$J$3137),1),0)*BN800</f>
        <v>0</v>
      </c>
      <c r="BP800" s="50"/>
      <c r="BR800" s="147">
        <f t="array" ref="BR800">IFERROR(LARGE(IF(NF!$G$2:$G$3137='Mês atual'!A800,NF!$J$2:$J$3137),1),0)</f>
        <v>0</v>
      </c>
      <c r="BS800" s="143" t="str">
        <f>VLOOKUP(A800,NF!M:O,3,0)</f>
        <v>Mercado</v>
      </c>
    </row>
    <row r="801" spans="1:71" x14ac:dyDescent="0.25">
      <c r="A801" s="108" t="s">
        <v>674</v>
      </c>
      <c r="B801" s="12"/>
      <c r="C801" s="9"/>
      <c r="D801" s="25"/>
      <c r="E801" s="10" t="str">
        <f t="shared" si="986"/>
        <v>OutubroSEMANA 1Queijo Burrata</v>
      </c>
      <c r="F801" s="7">
        <f>SUMIF(NF!$A:$A,$E801,NF!$I:$I)</f>
        <v>0</v>
      </c>
      <c r="G801" s="6"/>
      <c r="H801" s="6"/>
      <c r="I801" s="6"/>
      <c r="J801" s="6"/>
      <c r="K801" s="6"/>
      <c r="L801" s="6"/>
      <c r="M801" s="6"/>
      <c r="N801" s="7">
        <f t="shared" si="1008"/>
        <v>0</v>
      </c>
      <c r="O801" s="11">
        <f t="shared" si="828"/>
        <v>0</v>
      </c>
      <c r="P801" s="25"/>
      <c r="Q801" s="10" t="str">
        <f t="shared" si="987"/>
        <v>OutubroSEMANA 2Queijo Burrata</v>
      </c>
      <c r="R801" s="7">
        <f>SUMIF(NF!$A:$A,$Q801,NF!$I:$I)</f>
        <v>0</v>
      </c>
      <c r="S801" s="6"/>
      <c r="T801" s="6"/>
      <c r="U801" s="6"/>
      <c r="V801" s="6"/>
      <c r="W801" s="6"/>
      <c r="X801" s="6"/>
      <c r="Y801" s="6"/>
      <c r="Z801" s="7">
        <f t="shared" si="1009"/>
        <v>0</v>
      </c>
      <c r="AA801" s="11">
        <f t="shared" si="831"/>
        <v>0</v>
      </c>
      <c r="AB801" s="25"/>
      <c r="AC801" s="10" t="str">
        <f t="shared" si="988"/>
        <v>OutubroSEMANA 3Queijo Burrata</v>
      </c>
      <c r="AD801" s="7">
        <f>SUMIF(NF!$A:$A,$AC801,NF!$I:$I)</f>
        <v>0</v>
      </c>
      <c r="AE801" s="6"/>
      <c r="AF801" s="6"/>
      <c r="AG801" s="6"/>
      <c r="AH801" s="6"/>
      <c r="AI801" s="6"/>
      <c r="AJ801" s="6"/>
      <c r="AK801" s="6"/>
      <c r="AL801" s="7">
        <f t="shared" si="1010"/>
        <v>0</v>
      </c>
      <c r="AM801" s="11">
        <f t="shared" si="834"/>
        <v>0</v>
      </c>
      <c r="AN801" s="25"/>
      <c r="AO801" s="10" t="str">
        <f t="shared" si="989"/>
        <v>OutubroSEMANA 4Queijo Burrata</v>
      </c>
      <c r="AP801" s="7">
        <f>SUMIF(NF!$A:$A,$AO801,NF!$I:$I)</f>
        <v>0</v>
      </c>
      <c r="AQ801" s="6"/>
      <c r="AR801" s="6"/>
      <c r="AS801" s="6"/>
      <c r="AT801" s="6"/>
      <c r="AU801" s="6"/>
      <c r="AV801" s="6"/>
      <c r="AW801" s="6"/>
      <c r="AX801" s="7">
        <f t="shared" si="1011"/>
        <v>0</v>
      </c>
      <c r="AY801" s="11">
        <f t="shared" si="837"/>
        <v>0</v>
      </c>
      <c r="AZ801" s="25"/>
      <c r="BA801" s="10" t="str">
        <f t="shared" si="990"/>
        <v>OutubroSEMANA 5Queijo Burrata</v>
      </c>
      <c r="BB801" s="7">
        <f>SUMIF(NF!$A:$A,$BA801,NF!$I:$I)</f>
        <v>0</v>
      </c>
      <c r="BC801" s="6"/>
      <c r="BD801" s="6"/>
      <c r="BE801" s="6"/>
      <c r="BF801" s="74"/>
      <c r="BG801" s="74"/>
      <c r="BH801" s="74"/>
      <c r="BI801" s="74"/>
      <c r="BJ801" s="74"/>
      <c r="BK801" s="7">
        <f t="shared" si="1012"/>
        <v>0</v>
      </c>
      <c r="BL801" s="8">
        <f t="shared" si="840"/>
        <v>0</v>
      </c>
      <c r="BM801" s="51" t="str">
        <f>IFERROR(VLOOKUP(A801,NF!$M:$O,3,0),"")</f>
        <v>Mercado</v>
      </c>
      <c r="BN801" s="7">
        <f t="shared" si="841"/>
        <v>0</v>
      </c>
      <c r="BO801" s="8">
        <f t="array" ref="BO801">IFERROR(LARGE(IF(NF!$G$2:$G$3137='Mês atual'!A801,NF!$J$2:$J$3137),1),0)*BN801</f>
        <v>0</v>
      </c>
      <c r="BP801" s="50"/>
      <c r="BR801" s="147">
        <f t="array" ref="BR801">IFERROR(LARGE(IF(NF!$G$2:$G$3137='Mês atual'!A801,NF!$J$2:$J$3137),1),0)</f>
        <v>0</v>
      </c>
      <c r="BS801" s="143" t="str">
        <f>VLOOKUP(A801,NF!M:O,3,0)</f>
        <v>Mercado</v>
      </c>
    </row>
    <row r="802" spans="1:71" x14ac:dyDescent="0.25">
      <c r="A802" s="108" t="s">
        <v>675</v>
      </c>
      <c r="B802" s="12"/>
      <c r="C802" s="9"/>
      <c r="D802" s="25"/>
      <c r="E802" s="10" t="str">
        <f t="shared" si="986"/>
        <v>OutubroSEMANA 1Queijo Cheddar</v>
      </c>
      <c r="F802" s="7">
        <f>SUMIF(NF!$A:$A,$E802,NF!$I:$I)</f>
        <v>0</v>
      </c>
      <c r="G802" s="6"/>
      <c r="H802" s="6"/>
      <c r="I802" s="6"/>
      <c r="J802" s="6"/>
      <c r="K802" s="6"/>
      <c r="L802" s="6"/>
      <c r="M802" s="6"/>
      <c r="N802" s="7">
        <f t="shared" si="1008"/>
        <v>0</v>
      </c>
      <c r="O802" s="11">
        <f t="shared" si="828"/>
        <v>0</v>
      </c>
      <c r="P802" s="25"/>
      <c r="Q802" s="10" t="str">
        <f t="shared" si="987"/>
        <v>OutubroSEMANA 2Queijo Cheddar</v>
      </c>
      <c r="R802" s="7">
        <f>SUMIF(NF!$A:$A,$Q802,NF!$I:$I)</f>
        <v>0</v>
      </c>
      <c r="S802" s="6"/>
      <c r="T802" s="6"/>
      <c r="U802" s="6"/>
      <c r="V802" s="6"/>
      <c r="W802" s="6"/>
      <c r="X802" s="6"/>
      <c r="Y802" s="6"/>
      <c r="Z802" s="7">
        <f t="shared" si="1009"/>
        <v>0</v>
      </c>
      <c r="AA802" s="11">
        <f t="shared" si="831"/>
        <v>0</v>
      </c>
      <c r="AB802" s="25"/>
      <c r="AC802" s="10" t="str">
        <f t="shared" si="988"/>
        <v>OutubroSEMANA 3Queijo Cheddar</v>
      </c>
      <c r="AD802" s="7">
        <f>SUMIF(NF!$A:$A,$AC802,NF!$I:$I)</f>
        <v>0</v>
      </c>
      <c r="AE802" s="6"/>
      <c r="AF802" s="6"/>
      <c r="AG802" s="6"/>
      <c r="AH802" s="6"/>
      <c r="AI802" s="6"/>
      <c r="AJ802" s="6"/>
      <c r="AK802" s="6"/>
      <c r="AL802" s="7">
        <f t="shared" si="1010"/>
        <v>0</v>
      </c>
      <c r="AM802" s="11">
        <f t="shared" si="834"/>
        <v>0</v>
      </c>
      <c r="AN802" s="25"/>
      <c r="AO802" s="10" t="str">
        <f t="shared" si="989"/>
        <v>OutubroSEMANA 4Queijo Cheddar</v>
      </c>
      <c r="AP802" s="7">
        <f>SUMIF(NF!$A:$A,$AO802,NF!$I:$I)</f>
        <v>0</v>
      </c>
      <c r="AQ802" s="6"/>
      <c r="AR802" s="6"/>
      <c r="AS802" s="6"/>
      <c r="AT802" s="6"/>
      <c r="AU802" s="6"/>
      <c r="AV802" s="6"/>
      <c r="AW802" s="6"/>
      <c r="AX802" s="7">
        <f t="shared" si="1011"/>
        <v>0</v>
      </c>
      <c r="AY802" s="11">
        <f t="shared" si="837"/>
        <v>0</v>
      </c>
      <c r="AZ802" s="25"/>
      <c r="BA802" s="10" t="str">
        <f t="shared" si="990"/>
        <v>OutubroSEMANA 5Queijo Cheddar</v>
      </c>
      <c r="BB802" s="7">
        <f>SUMIF(NF!$A:$A,$BA802,NF!$I:$I)</f>
        <v>0</v>
      </c>
      <c r="BC802" s="6"/>
      <c r="BD802" s="6"/>
      <c r="BE802" s="6"/>
      <c r="BF802" s="74"/>
      <c r="BG802" s="74"/>
      <c r="BH802" s="74"/>
      <c r="BI802" s="74"/>
      <c r="BJ802" s="74"/>
      <c r="BK802" s="7">
        <f t="shared" si="1012"/>
        <v>0</v>
      </c>
      <c r="BL802" s="8">
        <f t="shared" si="840"/>
        <v>0</v>
      </c>
      <c r="BM802" s="51" t="str">
        <f>IFERROR(VLOOKUP(A802,NF!$M:$O,3,0),"")</f>
        <v>Mercado</v>
      </c>
      <c r="BN802" s="7">
        <f t="shared" si="841"/>
        <v>0</v>
      </c>
      <c r="BO802" s="8">
        <f t="array" ref="BO802">IFERROR(LARGE(IF(NF!$G$2:$G$3137='Mês atual'!A802,NF!$J$2:$J$3137),1),0)*BN802</f>
        <v>0</v>
      </c>
      <c r="BP802" s="50"/>
      <c r="BR802" s="147">
        <f t="array" ref="BR802">IFERROR(LARGE(IF(NF!$G$2:$G$3137='Mês atual'!A802,NF!$J$2:$J$3137),1),0)</f>
        <v>0</v>
      </c>
      <c r="BS802" s="143" t="str">
        <f>VLOOKUP(A802,NF!M:O,3,0)</f>
        <v>Mercado</v>
      </c>
    </row>
    <row r="803" spans="1:71" x14ac:dyDescent="0.25">
      <c r="A803" s="108" t="s">
        <v>989</v>
      </c>
      <c r="B803" s="12"/>
      <c r="C803" s="9"/>
      <c r="D803" s="25"/>
      <c r="E803" s="10" t="str">
        <f t="shared" si="986"/>
        <v>OutubroSEMANA 1Queijo Coalhada Minas</v>
      </c>
      <c r="F803" s="7">
        <f>SUMIF(NF!$A:$A,$E803,NF!$I:$I)</f>
        <v>0</v>
      </c>
      <c r="G803" s="6"/>
      <c r="H803" s="6"/>
      <c r="I803" s="6"/>
      <c r="J803" s="6"/>
      <c r="K803" s="6"/>
      <c r="L803" s="6"/>
      <c r="M803" s="6"/>
      <c r="N803" s="7">
        <f t="shared" ref="N803" si="1035">SUM(G803:M803)</f>
        <v>0</v>
      </c>
      <c r="O803" s="11">
        <f t="shared" si="828"/>
        <v>0</v>
      </c>
      <c r="P803" s="25"/>
      <c r="Q803" s="10" t="str">
        <f t="shared" si="987"/>
        <v>OutubroSEMANA 2Queijo Coalhada Minas</v>
      </c>
      <c r="R803" s="7">
        <f>SUMIF(NF!$A:$A,$Q803,NF!$I:$I)</f>
        <v>0</v>
      </c>
      <c r="S803" s="6"/>
      <c r="T803" s="6"/>
      <c r="U803" s="6"/>
      <c r="V803" s="6"/>
      <c r="W803" s="6"/>
      <c r="X803" s="6"/>
      <c r="Y803" s="6"/>
      <c r="Z803" s="7">
        <f t="shared" ref="Z803" si="1036">SUM(S803:Y803)</f>
        <v>0</v>
      </c>
      <c r="AA803" s="11">
        <f t="shared" si="831"/>
        <v>0</v>
      </c>
      <c r="AB803" s="25"/>
      <c r="AC803" s="10" t="str">
        <f t="shared" si="988"/>
        <v>OutubroSEMANA 3Queijo Coalhada Minas</v>
      </c>
      <c r="AD803" s="7">
        <f>SUMIF(NF!$A:$A,$AC803,NF!$I:$I)</f>
        <v>0</v>
      </c>
      <c r="AE803" s="6"/>
      <c r="AF803" s="6"/>
      <c r="AG803" s="6"/>
      <c r="AH803" s="6"/>
      <c r="AI803" s="6"/>
      <c r="AJ803" s="6"/>
      <c r="AK803" s="6"/>
      <c r="AL803" s="7">
        <f t="shared" ref="AL803" si="1037">SUM(AE803:AK803)</f>
        <v>0</v>
      </c>
      <c r="AM803" s="11">
        <f t="shared" si="834"/>
        <v>0</v>
      </c>
      <c r="AN803" s="25"/>
      <c r="AO803" s="10" t="str">
        <f t="shared" si="989"/>
        <v>OutubroSEMANA 4Queijo Coalhada Minas</v>
      </c>
      <c r="AP803" s="7">
        <f>SUMIF(NF!$A:$A,$AO803,NF!$I:$I)</f>
        <v>0</v>
      </c>
      <c r="AQ803" s="6"/>
      <c r="AR803" s="6"/>
      <c r="AS803" s="6"/>
      <c r="AT803" s="6"/>
      <c r="AU803" s="6"/>
      <c r="AV803" s="6"/>
      <c r="AW803" s="6"/>
      <c r="AX803" s="7">
        <f t="shared" ref="AX803" si="1038">SUM(AQ803:AW803)</f>
        <v>0</v>
      </c>
      <c r="AY803" s="11">
        <f t="shared" si="837"/>
        <v>0</v>
      </c>
      <c r="AZ803" s="25"/>
      <c r="BA803" s="10" t="str">
        <f t="shared" si="990"/>
        <v>OutubroSEMANA 5Queijo Coalhada Minas</v>
      </c>
      <c r="BB803" s="7">
        <f>SUMIF(NF!$A:$A,$BA803,NF!$I:$I)</f>
        <v>0</v>
      </c>
      <c r="BC803" s="6"/>
      <c r="BD803" s="6"/>
      <c r="BE803" s="6"/>
      <c r="BF803" s="74"/>
      <c r="BG803" s="74"/>
      <c r="BH803" s="74"/>
      <c r="BI803" s="74"/>
      <c r="BJ803" s="74"/>
      <c r="BK803" s="7">
        <f t="shared" ref="BK803" si="1039">SUM(BC803:BJ803)</f>
        <v>0</v>
      </c>
      <c r="BL803" s="8">
        <f t="shared" si="840"/>
        <v>0</v>
      </c>
      <c r="BM803" s="51" t="str">
        <f>IFERROR(VLOOKUP(A803,NF!$M:$O,3,0),"")</f>
        <v>Mercado</v>
      </c>
      <c r="BN803" s="7">
        <f t="shared" si="841"/>
        <v>0</v>
      </c>
      <c r="BO803" s="8">
        <f t="array" ref="BO803">IFERROR(LARGE(IF(NF!$G$2:$G$3137='Mês atual'!A803,NF!$J$2:$J$3137),1),0)*BN803</f>
        <v>0</v>
      </c>
      <c r="BP803" s="50"/>
      <c r="BR803" s="147">
        <f t="array" ref="BR803">IFERROR(LARGE(IF(NF!$G$2:$G$3137='Mês atual'!A803,NF!$J$2:$J$3137),1),0)</f>
        <v>0</v>
      </c>
      <c r="BS803" s="143" t="str">
        <f>VLOOKUP(A803,NF!M:O,3,0)</f>
        <v>Mercado</v>
      </c>
    </row>
    <row r="804" spans="1:71" x14ac:dyDescent="0.25">
      <c r="A804" s="108" t="s">
        <v>676</v>
      </c>
      <c r="B804" s="12"/>
      <c r="C804" s="9">
        <v>4.01</v>
      </c>
      <c r="D804" s="25"/>
      <c r="E804" s="10" t="str">
        <f t="shared" si="986"/>
        <v>OutubroSEMANA 1Queijo Coalho</v>
      </c>
      <c r="F804" s="7">
        <f>SUMIF(NF!$A:$A,$E804,NF!$I:$I)</f>
        <v>10</v>
      </c>
      <c r="G804" s="6"/>
      <c r="H804" s="6"/>
      <c r="I804" s="6">
        <v>4.01</v>
      </c>
      <c r="J804" s="6"/>
      <c r="K804" s="6">
        <v>2.0649999999999999</v>
      </c>
      <c r="L804" s="6"/>
      <c r="M804" s="6"/>
      <c r="N804" s="7">
        <f t="shared" ref="N804:N831" si="1040">SUM(G804:M804)</f>
        <v>6.0749999999999993</v>
      </c>
      <c r="O804" s="11">
        <f t="shared" si="828"/>
        <v>7.9350000000000005</v>
      </c>
      <c r="P804" s="25"/>
      <c r="Q804" s="10" t="str">
        <f t="shared" si="987"/>
        <v>OutubroSEMANA 2Queijo Coalho</v>
      </c>
      <c r="R804" s="7">
        <f>SUMIF(NF!$A:$A,$Q804,NF!$I:$I)</f>
        <v>0</v>
      </c>
      <c r="S804" s="6"/>
      <c r="T804" s="6"/>
      <c r="U804" s="6"/>
      <c r="V804" s="6">
        <f>5.895+1.955</f>
        <v>7.85</v>
      </c>
      <c r="W804" s="6"/>
      <c r="X804" s="6"/>
      <c r="Y804" s="6"/>
      <c r="Z804" s="7">
        <f t="shared" ref="Z804:Z831" si="1041">SUM(S804:Y804)</f>
        <v>7.85</v>
      </c>
      <c r="AA804" s="11">
        <f t="shared" si="831"/>
        <v>8.5000000000000853E-2</v>
      </c>
      <c r="AB804" s="25"/>
      <c r="AC804" s="10" t="str">
        <f t="shared" si="988"/>
        <v>OutubroSEMANA 3Queijo Coalho</v>
      </c>
      <c r="AD804" s="7">
        <f>SUMIF(NF!$A:$A,$AC804,NF!$I:$I)</f>
        <v>12</v>
      </c>
      <c r="AE804" s="6"/>
      <c r="AF804" s="6"/>
      <c r="AG804" s="6"/>
      <c r="AH804" s="6"/>
      <c r="AI804" s="6">
        <v>2.0699999999999998</v>
      </c>
      <c r="AJ804" s="6">
        <v>2.1539999999999999</v>
      </c>
      <c r="AK804" s="6"/>
      <c r="AL804" s="7">
        <f t="shared" ref="AL804:AL831" si="1042">SUM(AE804:AK804)</f>
        <v>4.2240000000000002</v>
      </c>
      <c r="AM804" s="11">
        <f t="shared" si="834"/>
        <v>7.8610000000000007</v>
      </c>
      <c r="AN804" s="25"/>
      <c r="AO804" s="10" t="str">
        <f t="shared" si="989"/>
        <v>OutubroSEMANA 4Queijo Coalho</v>
      </c>
      <c r="AP804" s="7">
        <f>SUMIF(NF!$A:$A,$AO804,NF!$I:$I)</f>
        <v>0</v>
      </c>
      <c r="AQ804" s="6"/>
      <c r="AR804" s="6"/>
      <c r="AS804" s="6"/>
      <c r="AT804" s="6">
        <f>2.205-0.46</f>
        <v>1.7450000000000001</v>
      </c>
      <c r="AU804" s="6"/>
      <c r="AV804" s="6"/>
      <c r="AW804" s="6"/>
      <c r="AX804" s="7">
        <f t="shared" ref="AX804:AX831" si="1043">SUM(AQ804:AW804)</f>
        <v>1.7450000000000001</v>
      </c>
      <c r="AY804" s="11">
        <f t="shared" si="837"/>
        <v>6.1160000000000005</v>
      </c>
      <c r="AZ804" s="25"/>
      <c r="BA804" s="10" t="str">
        <f t="shared" si="990"/>
        <v>OutubroSEMANA 5Queijo Coalho</v>
      </c>
      <c r="BB804" s="7">
        <f>SUMIF(NF!$A:$A,$BA804,NF!$I:$I)</f>
        <v>0</v>
      </c>
      <c r="BC804" s="6"/>
      <c r="BD804" s="6"/>
      <c r="BE804" s="6">
        <v>1.925</v>
      </c>
      <c r="BF804" s="74"/>
      <c r="BG804" s="74"/>
      <c r="BH804" s="74"/>
      <c r="BI804" s="74"/>
      <c r="BJ804" s="74"/>
      <c r="BK804" s="7">
        <f t="shared" ref="BK804:BK831" si="1044">SUM(BC804:BJ804)</f>
        <v>1.925</v>
      </c>
      <c r="BL804" s="8">
        <f t="shared" si="840"/>
        <v>4.1910000000000007</v>
      </c>
      <c r="BM804" s="51" t="str">
        <f>IFERROR(VLOOKUP(A804,NF!$M:$O,3,0),"")</f>
        <v>Mercado</v>
      </c>
      <c r="BN804" s="7">
        <f t="shared" si="841"/>
        <v>21.819000000000003</v>
      </c>
      <c r="BO804" s="8">
        <f t="array" ref="BO804">IFERROR(LARGE(IF(NF!$G$2:$G$3137='Mês atual'!A804,NF!$J$2:$J$3137),1),0)*BN804</f>
        <v>526.49247000000003</v>
      </c>
      <c r="BP804" s="50"/>
      <c r="BR804" s="147">
        <f t="array" ref="BR804">IFERROR(LARGE(IF(NF!$G$2:$G$3137='Mês atual'!A804,NF!$J$2:$J$3137),1),0)</f>
        <v>24.13</v>
      </c>
      <c r="BS804" s="143" t="str">
        <f>VLOOKUP(A804,NF!M:O,3,0)</f>
        <v>Mercado</v>
      </c>
    </row>
    <row r="805" spans="1:71" x14ac:dyDescent="0.25">
      <c r="A805" s="108" t="s">
        <v>677</v>
      </c>
      <c r="B805" s="12"/>
      <c r="C805" s="9"/>
      <c r="D805" s="25"/>
      <c r="E805" s="10" t="str">
        <f t="shared" si="986"/>
        <v>OutubroSEMANA 1Queijo Cottage</v>
      </c>
      <c r="F805" s="7">
        <f>SUMIF(NF!$A:$A,$E805,NF!$I:$I)</f>
        <v>0</v>
      </c>
      <c r="G805" s="6"/>
      <c r="H805" s="6"/>
      <c r="I805" s="6"/>
      <c r="J805" s="6"/>
      <c r="K805" s="6"/>
      <c r="L805" s="6"/>
      <c r="M805" s="6"/>
      <c r="N805" s="7">
        <f t="shared" si="1040"/>
        <v>0</v>
      </c>
      <c r="O805" s="11">
        <f t="shared" si="828"/>
        <v>0</v>
      </c>
      <c r="P805" s="25"/>
      <c r="Q805" s="10" t="str">
        <f t="shared" si="987"/>
        <v>OutubroSEMANA 2Queijo Cottage</v>
      </c>
      <c r="R805" s="7">
        <f>SUMIF(NF!$A:$A,$Q805,NF!$I:$I)</f>
        <v>0</v>
      </c>
      <c r="S805" s="6"/>
      <c r="T805" s="6"/>
      <c r="U805" s="6"/>
      <c r="V805" s="6"/>
      <c r="W805" s="6"/>
      <c r="X805" s="6"/>
      <c r="Y805" s="6"/>
      <c r="Z805" s="7">
        <f t="shared" si="1041"/>
        <v>0</v>
      </c>
      <c r="AA805" s="11">
        <f t="shared" si="831"/>
        <v>0</v>
      </c>
      <c r="AB805" s="25"/>
      <c r="AC805" s="10" t="str">
        <f t="shared" si="988"/>
        <v>OutubroSEMANA 3Queijo Cottage</v>
      </c>
      <c r="AD805" s="7">
        <f>SUMIF(NF!$A:$A,$AC805,NF!$I:$I)</f>
        <v>0</v>
      </c>
      <c r="AE805" s="6"/>
      <c r="AF805" s="6"/>
      <c r="AG805" s="6"/>
      <c r="AH805" s="6"/>
      <c r="AI805" s="6"/>
      <c r="AJ805" s="6"/>
      <c r="AK805" s="6"/>
      <c r="AL805" s="7">
        <f t="shared" si="1042"/>
        <v>0</v>
      </c>
      <c r="AM805" s="11">
        <f t="shared" si="834"/>
        <v>0</v>
      </c>
      <c r="AN805" s="25"/>
      <c r="AO805" s="10" t="str">
        <f t="shared" si="989"/>
        <v>OutubroSEMANA 4Queijo Cottage</v>
      </c>
      <c r="AP805" s="7">
        <f>SUMIF(NF!$A:$A,$AO805,NF!$I:$I)</f>
        <v>0</v>
      </c>
      <c r="AQ805" s="6"/>
      <c r="AR805" s="6"/>
      <c r="AS805" s="6"/>
      <c r="AT805" s="6"/>
      <c r="AU805" s="6"/>
      <c r="AV805" s="6"/>
      <c r="AW805" s="6"/>
      <c r="AX805" s="7">
        <f t="shared" si="1043"/>
        <v>0</v>
      </c>
      <c r="AY805" s="11">
        <f t="shared" si="837"/>
        <v>0</v>
      </c>
      <c r="AZ805" s="25"/>
      <c r="BA805" s="10" t="str">
        <f t="shared" si="990"/>
        <v>OutubroSEMANA 5Queijo Cottage</v>
      </c>
      <c r="BB805" s="7">
        <f>SUMIF(NF!$A:$A,$BA805,NF!$I:$I)</f>
        <v>0</v>
      </c>
      <c r="BC805" s="6"/>
      <c r="BD805" s="6"/>
      <c r="BE805" s="6"/>
      <c r="BF805" s="74"/>
      <c r="BG805" s="74"/>
      <c r="BH805" s="74"/>
      <c r="BI805" s="74"/>
      <c r="BJ805" s="74"/>
      <c r="BK805" s="7">
        <f t="shared" si="1044"/>
        <v>0</v>
      </c>
      <c r="BL805" s="8">
        <f t="shared" si="840"/>
        <v>0</v>
      </c>
      <c r="BM805" s="51" t="str">
        <f>IFERROR(VLOOKUP(A805,NF!$M:$O,3,0),"")</f>
        <v>Mercado</v>
      </c>
      <c r="BN805" s="7">
        <f t="shared" si="841"/>
        <v>0</v>
      </c>
      <c r="BO805" s="8">
        <f t="array" ref="BO805">IFERROR(LARGE(IF(NF!$G$2:$G$3137='Mês atual'!A805,NF!$J$2:$J$3137),1),0)*BN805</f>
        <v>0</v>
      </c>
      <c r="BP805" s="50"/>
      <c r="BR805" s="147">
        <f t="array" ref="BR805">IFERROR(LARGE(IF(NF!$G$2:$G$3137='Mês atual'!A805,NF!$J$2:$J$3137),1),0)</f>
        <v>0</v>
      </c>
      <c r="BS805" s="143" t="str">
        <f>VLOOKUP(A805,NF!M:O,3,0)</f>
        <v>Mercado</v>
      </c>
    </row>
    <row r="806" spans="1:71" x14ac:dyDescent="0.25">
      <c r="A806" s="108" t="s">
        <v>678</v>
      </c>
      <c r="B806" s="12"/>
      <c r="C806" s="9"/>
      <c r="D806" s="25"/>
      <c r="E806" s="10" t="str">
        <f t="shared" si="986"/>
        <v>OutubroSEMANA 1Queijo de Cabra</v>
      </c>
      <c r="F806" s="7">
        <f>SUMIF(NF!$A:$A,$E806,NF!$I:$I)</f>
        <v>0</v>
      </c>
      <c r="G806" s="6"/>
      <c r="H806" s="6"/>
      <c r="I806" s="6"/>
      <c r="J806" s="6"/>
      <c r="K806" s="6"/>
      <c r="L806" s="6"/>
      <c r="M806" s="6"/>
      <c r="N806" s="7">
        <f t="shared" si="1040"/>
        <v>0</v>
      </c>
      <c r="O806" s="11">
        <f t="shared" si="828"/>
        <v>0</v>
      </c>
      <c r="P806" s="25"/>
      <c r="Q806" s="10" t="str">
        <f t="shared" si="987"/>
        <v>OutubroSEMANA 2Queijo de Cabra</v>
      </c>
      <c r="R806" s="7">
        <f>SUMIF(NF!$A:$A,$Q806,NF!$I:$I)</f>
        <v>0</v>
      </c>
      <c r="S806" s="6"/>
      <c r="T806" s="6"/>
      <c r="U806" s="6"/>
      <c r="V806" s="6"/>
      <c r="W806" s="6"/>
      <c r="X806" s="6"/>
      <c r="Y806" s="6"/>
      <c r="Z806" s="7">
        <f t="shared" si="1041"/>
        <v>0</v>
      </c>
      <c r="AA806" s="11">
        <f t="shared" si="831"/>
        <v>0</v>
      </c>
      <c r="AB806" s="25"/>
      <c r="AC806" s="10" t="str">
        <f t="shared" si="988"/>
        <v>OutubroSEMANA 3Queijo de Cabra</v>
      </c>
      <c r="AD806" s="7">
        <f>SUMIF(NF!$A:$A,$AC806,NF!$I:$I)</f>
        <v>0</v>
      </c>
      <c r="AE806" s="6"/>
      <c r="AF806" s="6"/>
      <c r="AG806" s="6"/>
      <c r="AH806" s="6"/>
      <c r="AI806" s="6"/>
      <c r="AJ806" s="6"/>
      <c r="AK806" s="6"/>
      <c r="AL806" s="7">
        <f t="shared" si="1042"/>
        <v>0</v>
      </c>
      <c r="AM806" s="11">
        <f t="shared" si="834"/>
        <v>0</v>
      </c>
      <c r="AN806" s="25"/>
      <c r="AO806" s="10" t="str">
        <f t="shared" si="989"/>
        <v>OutubroSEMANA 4Queijo de Cabra</v>
      </c>
      <c r="AP806" s="7">
        <f>SUMIF(NF!$A:$A,$AO806,NF!$I:$I)</f>
        <v>0</v>
      </c>
      <c r="AQ806" s="6"/>
      <c r="AR806" s="6"/>
      <c r="AS806" s="6"/>
      <c r="AT806" s="6"/>
      <c r="AU806" s="6"/>
      <c r="AV806" s="6"/>
      <c r="AW806" s="6"/>
      <c r="AX806" s="7">
        <f t="shared" si="1043"/>
        <v>0</v>
      </c>
      <c r="AY806" s="11">
        <f t="shared" si="837"/>
        <v>0</v>
      </c>
      <c r="AZ806" s="25"/>
      <c r="BA806" s="10" t="str">
        <f t="shared" si="990"/>
        <v>OutubroSEMANA 5Queijo de Cabra</v>
      </c>
      <c r="BB806" s="7">
        <f>SUMIF(NF!$A:$A,$BA806,NF!$I:$I)</f>
        <v>0</v>
      </c>
      <c r="BC806" s="6"/>
      <c r="BD806" s="6"/>
      <c r="BE806" s="6"/>
      <c r="BF806" s="74"/>
      <c r="BG806" s="74"/>
      <c r="BH806" s="74"/>
      <c r="BI806" s="74"/>
      <c r="BJ806" s="74"/>
      <c r="BK806" s="7">
        <f t="shared" si="1044"/>
        <v>0</v>
      </c>
      <c r="BL806" s="8">
        <f t="shared" si="840"/>
        <v>0</v>
      </c>
      <c r="BM806" s="51" t="str">
        <f>IFERROR(VLOOKUP(A806,NF!$M:$O,3,0),"")</f>
        <v>Mercado</v>
      </c>
      <c r="BN806" s="7">
        <f t="shared" si="841"/>
        <v>0</v>
      </c>
      <c r="BO806" s="8">
        <f t="array" ref="BO806">IFERROR(LARGE(IF(NF!$G$2:$G$3137='Mês atual'!A806,NF!$J$2:$J$3137),1),0)*BN806</f>
        <v>0</v>
      </c>
      <c r="BP806" s="50"/>
      <c r="BR806" s="147">
        <f t="array" ref="BR806">IFERROR(LARGE(IF(NF!$G$2:$G$3137='Mês atual'!A806,NF!$J$2:$J$3137),1),0)</f>
        <v>0</v>
      </c>
      <c r="BS806" s="143" t="str">
        <f>VLOOKUP(A806,NF!M:O,3,0)</f>
        <v>Mercado</v>
      </c>
    </row>
    <row r="807" spans="1:71" x14ac:dyDescent="0.25">
      <c r="A807" s="108" t="s">
        <v>679</v>
      </c>
      <c r="B807" s="12"/>
      <c r="C807" s="9">
        <v>3.0150000000000001</v>
      </c>
      <c r="D807" s="25"/>
      <c r="E807" s="10" t="str">
        <f t="shared" si="986"/>
        <v>OutubroSEMANA 1Queijo Gorgonzola</v>
      </c>
      <c r="F807" s="7">
        <f>SUMIF(NF!$A:$A,$E807,NF!$I:$I)</f>
        <v>0</v>
      </c>
      <c r="G807" s="6"/>
      <c r="H807" s="6"/>
      <c r="I807" s="6"/>
      <c r="J807" s="6"/>
      <c r="K807" s="6"/>
      <c r="L807" s="6"/>
      <c r="M807" s="6"/>
      <c r="N807" s="7">
        <f t="shared" si="1040"/>
        <v>0</v>
      </c>
      <c r="O807" s="11">
        <f t="shared" si="828"/>
        <v>3.0150000000000001</v>
      </c>
      <c r="P807" s="25"/>
      <c r="Q807" s="10" t="str">
        <f t="shared" si="987"/>
        <v>OutubroSEMANA 2Queijo Gorgonzola</v>
      </c>
      <c r="R807" s="7">
        <f>SUMIF(NF!$A:$A,$Q807,NF!$I:$I)</f>
        <v>3.24</v>
      </c>
      <c r="S807" s="6"/>
      <c r="T807" s="6"/>
      <c r="U807" s="6">
        <v>3.0150000000000001</v>
      </c>
      <c r="V807" s="6"/>
      <c r="W807" s="6"/>
      <c r="X807" s="6"/>
      <c r="Y807" s="6"/>
      <c r="Z807" s="7">
        <f t="shared" si="1041"/>
        <v>3.0150000000000001</v>
      </c>
      <c r="AA807" s="11">
        <f t="shared" si="831"/>
        <v>3.2400000000000007</v>
      </c>
      <c r="AB807" s="25"/>
      <c r="AC807" s="10" t="str">
        <f t="shared" si="988"/>
        <v>OutubroSEMANA 3Queijo Gorgonzola</v>
      </c>
      <c r="AD807" s="7">
        <f>SUMIF(NF!$A:$A,$AC807,NF!$I:$I)</f>
        <v>0</v>
      </c>
      <c r="AE807" s="6"/>
      <c r="AF807" s="6"/>
      <c r="AG807" s="6"/>
      <c r="AH807" s="6"/>
      <c r="AI807" s="6">
        <f>3.215+0.025</f>
        <v>3.2399999999999998</v>
      </c>
      <c r="AJ807" s="6"/>
      <c r="AK807" s="6"/>
      <c r="AL807" s="7">
        <f t="shared" si="1042"/>
        <v>3.2399999999999998</v>
      </c>
      <c r="AM807" s="11">
        <f t="shared" si="834"/>
        <v>0</v>
      </c>
      <c r="AN807" s="25"/>
      <c r="AO807" s="10" t="str">
        <f t="shared" si="989"/>
        <v>OutubroSEMANA 4Queijo Gorgonzola</v>
      </c>
      <c r="AP807" s="7">
        <f>SUMIF(NF!$A:$A,$AO807,NF!$I:$I)</f>
        <v>2.8</v>
      </c>
      <c r="AQ807" s="6"/>
      <c r="AR807" s="6"/>
      <c r="AS807" s="6"/>
      <c r="AT807" s="6"/>
      <c r="AU807" s="6"/>
      <c r="AV807" s="6"/>
      <c r="AW807" s="6"/>
      <c r="AX807" s="7">
        <f t="shared" si="1043"/>
        <v>0</v>
      </c>
      <c r="AY807" s="11">
        <f t="shared" si="837"/>
        <v>2.8</v>
      </c>
      <c r="AZ807" s="25"/>
      <c r="BA807" s="10" t="str">
        <f t="shared" si="990"/>
        <v>OutubroSEMANA 5Queijo Gorgonzola</v>
      </c>
      <c r="BB807" s="7">
        <f>SUMIF(NF!$A:$A,$BA807,NF!$I:$I)</f>
        <v>0</v>
      </c>
      <c r="BC807" s="6"/>
      <c r="BD807" s="6"/>
      <c r="BE807" s="6"/>
      <c r="BF807" s="74"/>
      <c r="BG807" s="74"/>
      <c r="BH807" s="74"/>
      <c r="BI807" s="74"/>
      <c r="BJ807" s="74"/>
      <c r="BK807" s="7">
        <f t="shared" si="1044"/>
        <v>0</v>
      </c>
      <c r="BL807" s="8">
        <f t="shared" si="840"/>
        <v>2.8</v>
      </c>
      <c r="BM807" s="51" t="str">
        <f>IFERROR(VLOOKUP(A807,NF!$M:$O,3,0),"")</f>
        <v>Mercado</v>
      </c>
      <c r="BN807" s="7">
        <f t="shared" si="841"/>
        <v>6.2549999999999999</v>
      </c>
      <c r="BO807" s="8">
        <f t="array" ref="BO807">IFERROR(LARGE(IF(NF!$G$2:$G$3137='Mês atual'!A807,NF!$J$2:$J$3137),1),0)*BN807</f>
        <v>297.11250000000001</v>
      </c>
      <c r="BP807" s="50"/>
      <c r="BR807" s="147">
        <f t="array" ref="BR807">IFERROR(LARGE(IF(NF!$G$2:$G$3137='Mês atual'!A807,NF!$J$2:$J$3137),1),0)</f>
        <v>47.5</v>
      </c>
      <c r="BS807" s="143" t="str">
        <f>VLOOKUP(A807,NF!M:O,3,0)</f>
        <v>Mercado</v>
      </c>
    </row>
    <row r="808" spans="1:71" x14ac:dyDescent="0.25">
      <c r="A808" s="108" t="s">
        <v>680</v>
      </c>
      <c r="B808" s="12"/>
      <c r="C808" s="9"/>
      <c r="D808" s="25"/>
      <c r="E808" s="10" t="str">
        <f t="shared" si="986"/>
        <v>OutubroSEMANA 1Queijo Gouda</v>
      </c>
      <c r="F808" s="7">
        <f>SUMIF(NF!$A:$A,$E808,NF!$I:$I)</f>
        <v>0</v>
      </c>
      <c r="G808" s="6"/>
      <c r="H808" s="6"/>
      <c r="I808" s="6"/>
      <c r="J808" s="6"/>
      <c r="K808" s="6"/>
      <c r="L808" s="6"/>
      <c r="M808" s="6"/>
      <c r="N808" s="7">
        <f t="shared" si="1040"/>
        <v>0</v>
      </c>
      <c r="O808" s="11">
        <f t="shared" si="828"/>
        <v>0</v>
      </c>
      <c r="P808" s="25"/>
      <c r="Q808" s="10" t="str">
        <f t="shared" si="987"/>
        <v>OutubroSEMANA 2Queijo Gouda</v>
      </c>
      <c r="R808" s="7">
        <f>SUMIF(NF!$A:$A,$Q808,NF!$I:$I)</f>
        <v>0</v>
      </c>
      <c r="S808" s="6"/>
      <c r="T808" s="6"/>
      <c r="U808" s="6"/>
      <c r="V808" s="6"/>
      <c r="W808" s="6"/>
      <c r="X808" s="6"/>
      <c r="Y808" s="6"/>
      <c r="Z808" s="7">
        <f t="shared" si="1041"/>
        <v>0</v>
      </c>
      <c r="AA808" s="11">
        <f t="shared" si="831"/>
        <v>0</v>
      </c>
      <c r="AB808" s="25"/>
      <c r="AC808" s="10" t="str">
        <f t="shared" si="988"/>
        <v>OutubroSEMANA 3Queijo Gouda</v>
      </c>
      <c r="AD808" s="7">
        <f>SUMIF(NF!$A:$A,$AC808,NF!$I:$I)</f>
        <v>0</v>
      </c>
      <c r="AE808" s="6"/>
      <c r="AF808" s="6"/>
      <c r="AG808" s="6"/>
      <c r="AH808" s="6"/>
      <c r="AI808" s="6"/>
      <c r="AJ808" s="6"/>
      <c r="AK808" s="6"/>
      <c r="AL808" s="7">
        <f t="shared" si="1042"/>
        <v>0</v>
      </c>
      <c r="AM808" s="11">
        <f t="shared" si="834"/>
        <v>0</v>
      </c>
      <c r="AN808" s="25"/>
      <c r="AO808" s="10" t="str">
        <f t="shared" si="989"/>
        <v>OutubroSEMANA 4Queijo Gouda</v>
      </c>
      <c r="AP808" s="7">
        <f>SUMIF(NF!$A:$A,$AO808,NF!$I:$I)</f>
        <v>0</v>
      </c>
      <c r="AQ808" s="6"/>
      <c r="AR808" s="6"/>
      <c r="AS808" s="6"/>
      <c r="AT808" s="6"/>
      <c r="AU808" s="6"/>
      <c r="AV808" s="6"/>
      <c r="AW808" s="6"/>
      <c r="AX808" s="7">
        <f t="shared" si="1043"/>
        <v>0</v>
      </c>
      <c r="AY808" s="11">
        <f t="shared" si="837"/>
        <v>0</v>
      </c>
      <c r="AZ808" s="25"/>
      <c r="BA808" s="10" t="str">
        <f t="shared" si="990"/>
        <v>OutubroSEMANA 5Queijo Gouda</v>
      </c>
      <c r="BB808" s="7">
        <f>SUMIF(NF!$A:$A,$BA808,NF!$I:$I)</f>
        <v>0</v>
      </c>
      <c r="BC808" s="6"/>
      <c r="BD808" s="6"/>
      <c r="BE808" s="6"/>
      <c r="BF808" s="74"/>
      <c r="BG808" s="74"/>
      <c r="BH808" s="74"/>
      <c r="BI808" s="74"/>
      <c r="BJ808" s="74"/>
      <c r="BK808" s="7">
        <f t="shared" si="1044"/>
        <v>0</v>
      </c>
      <c r="BL808" s="8">
        <f t="shared" si="840"/>
        <v>0</v>
      </c>
      <c r="BM808" s="51" t="str">
        <f>IFERROR(VLOOKUP(A808,NF!$M:$O,3,0),"")</f>
        <v>Mercado</v>
      </c>
      <c r="BN808" s="7">
        <f t="shared" si="841"/>
        <v>0</v>
      </c>
      <c r="BO808" s="8">
        <f t="array" ref="BO808">IFERROR(LARGE(IF(NF!$G$2:$G$3137='Mês atual'!A808,NF!$J$2:$J$3137),1),0)*BN808</f>
        <v>0</v>
      </c>
      <c r="BP808" s="50"/>
      <c r="BR808" s="147">
        <f t="array" ref="BR808">IFERROR(LARGE(IF(NF!$G$2:$G$3137='Mês atual'!A808,NF!$J$2:$J$3137),1),0)</f>
        <v>0</v>
      </c>
      <c r="BS808" s="143" t="str">
        <f>VLOOKUP(A808,NF!M:O,3,0)</f>
        <v>Mercado</v>
      </c>
    </row>
    <row r="809" spans="1:71" x14ac:dyDescent="0.25">
      <c r="A809" s="108" t="s">
        <v>681</v>
      </c>
      <c r="B809" s="12"/>
      <c r="C809" s="9"/>
      <c r="D809" s="25"/>
      <c r="E809" s="10" t="str">
        <f t="shared" si="986"/>
        <v>OutubroSEMANA 1Queijo Mascarpone Ecila Bd 3,6 Kg</v>
      </c>
      <c r="F809" s="7">
        <f>SUMIF(NF!$A:$A,$E809,NF!$I:$I)</f>
        <v>0</v>
      </c>
      <c r="G809" s="6"/>
      <c r="H809" s="6"/>
      <c r="I809" s="6"/>
      <c r="J809" s="6"/>
      <c r="K809" s="6"/>
      <c r="L809" s="6"/>
      <c r="M809" s="6"/>
      <c r="N809" s="7">
        <f t="shared" si="1040"/>
        <v>0</v>
      </c>
      <c r="O809" s="11">
        <f t="shared" si="828"/>
        <v>0</v>
      </c>
      <c r="P809" s="25"/>
      <c r="Q809" s="10" t="str">
        <f t="shared" si="987"/>
        <v>OutubroSEMANA 2Queijo Mascarpone Ecila Bd 3,6 Kg</v>
      </c>
      <c r="R809" s="7">
        <f>SUMIF(NF!$A:$A,$Q809,NF!$I:$I)</f>
        <v>0</v>
      </c>
      <c r="S809" s="6"/>
      <c r="T809" s="6"/>
      <c r="U809" s="6"/>
      <c r="V809" s="6"/>
      <c r="W809" s="6"/>
      <c r="X809" s="6"/>
      <c r="Y809" s="6"/>
      <c r="Z809" s="7">
        <f t="shared" si="1041"/>
        <v>0</v>
      </c>
      <c r="AA809" s="11">
        <f t="shared" si="831"/>
        <v>0</v>
      </c>
      <c r="AB809" s="25"/>
      <c r="AC809" s="10" t="str">
        <f t="shared" si="988"/>
        <v>OutubroSEMANA 3Queijo Mascarpone Ecila Bd 3,6 Kg</v>
      </c>
      <c r="AD809" s="7">
        <f>SUMIF(NF!$A:$A,$AC809,NF!$I:$I)</f>
        <v>0</v>
      </c>
      <c r="AE809" s="6"/>
      <c r="AF809" s="6"/>
      <c r="AG809" s="6"/>
      <c r="AH809" s="6"/>
      <c r="AI809" s="6"/>
      <c r="AJ809" s="6"/>
      <c r="AK809" s="6"/>
      <c r="AL809" s="7">
        <f t="shared" si="1042"/>
        <v>0</v>
      </c>
      <c r="AM809" s="11">
        <f t="shared" si="834"/>
        <v>0</v>
      </c>
      <c r="AN809" s="25"/>
      <c r="AO809" s="10" t="str">
        <f t="shared" si="989"/>
        <v>OutubroSEMANA 4Queijo Mascarpone Ecila Bd 3,6 Kg</v>
      </c>
      <c r="AP809" s="7">
        <f>SUMIF(NF!$A:$A,$AO809,NF!$I:$I)</f>
        <v>1</v>
      </c>
      <c r="AQ809" s="6"/>
      <c r="AR809" s="6"/>
      <c r="AS809" s="6"/>
      <c r="AT809" s="6">
        <v>1</v>
      </c>
      <c r="AU809" s="6"/>
      <c r="AV809" s="6"/>
      <c r="AW809" s="6"/>
      <c r="AX809" s="7">
        <f t="shared" si="1043"/>
        <v>1</v>
      </c>
      <c r="AY809" s="11">
        <f t="shared" si="837"/>
        <v>0</v>
      </c>
      <c r="AZ809" s="25"/>
      <c r="BA809" s="10" t="str">
        <f t="shared" si="990"/>
        <v>OutubroSEMANA 5Queijo Mascarpone Ecila Bd 3,6 Kg</v>
      </c>
      <c r="BB809" s="7">
        <f>SUMIF(NF!$A:$A,$BA809,NF!$I:$I)</f>
        <v>0</v>
      </c>
      <c r="BC809" s="6"/>
      <c r="BD809" s="6"/>
      <c r="BE809" s="6"/>
      <c r="BF809" s="74"/>
      <c r="BG809" s="74"/>
      <c r="BH809" s="74"/>
      <c r="BI809" s="74"/>
      <c r="BJ809" s="74"/>
      <c r="BK809" s="7">
        <f t="shared" si="1044"/>
        <v>0</v>
      </c>
      <c r="BL809" s="8">
        <f t="shared" si="840"/>
        <v>0</v>
      </c>
      <c r="BM809" s="51" t="str">
        <f>IFERROR(VLOOKUP(A809,NF!$M:$O,3,0),"")</f>
        <v>Mercado</v>
      </c>
      <c r="BN809" s="7">
        <f t="shared" si="841"/>
        <v>1</v>
      </c>
      <c r="BO809" s="8">
        <f t="array" ref="BO809">IFERROR(LARGE(IF(NF!$G$2:$G$3137='Mês atual'!A809,NF!$J$2:$J$3137),1),0)*BN809</f>
        <v>84.8</v>
      </c>
      <c r="BP809" s="50"/>
      <c r="BR809" s="147">
        <f t="array" ref="BR809">IFERROR(LARGE(IF(NF!$G$2:$G$3137='Mês atual'!A809,NF!$J$2:$J$3137),1),0)</f>
        <v>84.8</v>
      </c>
      <c r="BS809" s="143" t="str">
        <f>VLOOKUP(A809,NF!M:O,3,0)</f>
        <v>Mercado</v>
      </c>
    </row>
    <row r="810" spans="1:71" x14ac:dyDescent="0.25">
      <c r="A810" s="108" t="s">
        <v>682</v>
      </c>
      <c r="B810" s="12"/>
      <c r="C810" s="9">
        <v>2.73</v>
      </c>
      <c r="D810" s="25"/>
      <c r="E810" s="10" t="str">
        <f t="shared" si="986"/>
        <v>OutubroSEMANA 1Queijo Minas</v>
      </c>
      <c r="F810" s="7">
        <f>SUMIF(NF!$A:$A,$E810,NF!$I:$I)</f>
        <v>7.5</v>
      </c>
      <c r="G810" s="6"/>
      <c r="H810" s="6">
        <v>2.7149999999999999</v>
      </c>
      <c r="I810" s="6">
        <v>1.46</v>
      </c>
      <c r="J810" s="6"/>
      <c r="K810" s="6">
        <v>1.5249999999999999</v>
      </c>
      <c r="L810" s="6"/>
      <c r="M810" s="6">
        <v>1.6819999999999999</v>
      </c>
      <c r="N810" s="7">
        <f t="shared" si="1040"/>
        <v>7.3819999999999997</v>
      </c>
      <c r="O810" s="11">
        <f t="shared" si="828"/>
        <v>2.8480000000000008</v>
      </c>
      <c r="P810" s="25"/>
      <c r="Q810" s="10" t="str">
        <f t="shared" si="987"/>
        <v>OutubroSEMANA 2Queijo Minas</v>
      </c>
      <c r="R810" s="7">
        <f>SUMIF(NF!$A:$A,$Q810,NF!$I:$I)</f>
        <v>7.7</v>
      </c>
      <c r="S810" s="6"/>
      <c r="T810" s="6">
        <v>1.4059999999999999</v>
      </c>
      <c r="U810" s="6"/>
      <c r="V810" s="6">
        <v>1.44</v>
      </c>
      <c r="W810" s="6"/>
      <c r="X810" s="6"/>
      <c r="Y810" s="6">
        <f>1.336+0.675</f>
        <v>2.0110000000000001</v>
      </c>
      <c r="Z810" s="7">
        <f t="shared" si="1041"/>
        <v>4.8570000000000002</v>
      </c>
      <c r="AA810" s="11">
        <f t="shared" si="831"/>
        <v>5.6910000000000016</v>
      </c>
      <c r="AB810" s="25"/>
      <c r="AC810" s="10" t="str">
        <f t="shared" si="988"/>
        <v>OutubroSEMANA 3Queijo Minas</v>
      </c>
      <c r="AD810" s="7">
        <f>SUMIF(NF!$A:$A,$AC810,NF!$I:$I)</f>
        <v>2.8</v>
      </c>
      <c r="AE810" s="6"/>
      <c r="AF810" s="6"/>
      <c r="AG810" s="6">
        <f>1.59+1.44</f>
        <v>3.0300000000000002</v>
      </c>
      <c r="AH810" s="6"/>
      <c r="AI810" s="6"/>
      <c r="AJ810" s="6">
        <f>1.418+0.5</f>
        <v>1.9179999999999999</v>
      </c>
      <c r="AK810" s="6"/>
      <c r="AL810" s="7">
        <f t="shared" si="1042"/>
        <v>4.9480000000000004</v>
      </c>
      <c r="AM810" s="11">
        <f t="shared" si="834"/>
        <v>3.543000000000001</v>
      </c>
      <c r="AN810" s="25"/>
      <c r="AO810" s="10" t="str">
        <f t="shared" si="989"/>
        <v>OutubroSEMANA 4Queijo Minas</v>
      </c>
      <c r="AP810" s="7">
        <f>SUMIF(NF!$A:$A,$AO810,NF!$I:$I)</f>
        <v>0</v>
      </c>
      <c r="AQ810" s="6"/>
      <c r="AR810" s="6"/>
      <c r="AS810" s="6"/>
      <c r="AT810" s="6"/>
      <c r="AU810" s="6"/>
      <c r="AV810" s="6">
        <f>1.33+1</f>
        <v>2.33</v>
      </c>
      <c r="AW810" s="6"/>
      <c r="AX810" s="7">
        <f t="shared" si="1043"/>
        <v>2.33</v>
      </c>
      <c r="AY810" s="11">
        <f t="shared" si="837"/>
        <v>1.213000000000001</v>
      </c>
      <c r="AZ810" s="25"/>
      <c r="BA810" s="10" t="str">
        <f t="shared" si="990"/>
        <v>OutubroSEMANA 5Queijo Minas</v>
      </c>
      <c r="BB810" s="7">
        <f>SUMIF(NF!$A:$A,$BA810,NF!$I:$I)</f>
        <v>3.1</v>
      </c>
      <c r="BC810" s="6"/>
      <c r="BD810" s="6"/>
      <c r="BE810" s="6"/>
      <c r="BF810" s="74"/>
      <c r="BG810" s="74"/>
      <c r="BH810" s="74"/>
      <c r="BI810" s="74"/>
      <c r="BJ810" s="74"/>
      <c r="BK810" s="7">
        <f t="shared" si="1044"/>
        <v>0</v>
      </c>
      <c r="BL810" s="8">
        <f t="shared" si="840"/>
        <v>4.3130000000000006</v>
      </c>
      <c r="BM810" s="51" t="str">
        <f>IFERROR(VLOOKUP(A810,NF!$M:$O,3,0),"")</f>
        <v>Mercado</v>
      </c>
      <c r="BN810" s="7">
        <f t="shared" si="841"/>
        <v>19.517000000000003</v>
      </c>
      <c r="BO810" s="8">
        <f t="array" ref="BO810">IFERROR(LARGE(IF(NF!$G$2:$G$3137='Mês atual'!A810,NF!$J$2:$J$3137),1),0)*BN810</f>
        <v>405.95360000000005</v>
      </c>
      <c r="BP810" s="50"/>
      <c r="BR810" s="147">
        <f t="array" ref="BR810">IFERROR(LARGE(IF(NF!$G$2:$G$3137='Mês atual'!A810,NF!$J$2:$J$3137),1),0)</f>
        <v>20.8</v>
      </c>
      <c r="BS810" s="143" t="str">
        <f>VLOOKUP(A810,NF!M:O,3,0)</f>
        <v>Mercado</v>
      </c>
    </row>
    <row r="811" spans="1:71" x14ac:dyDescent="0.25">
      <c r="A811" s="108" t="s">
        <v>683</v>
      </c>
      <c r="B811" s="12"/>
      <c r="C811" s="9">
        <v>0.89</v>
      </c>
      <c r="D811" s="25"/>
      <c r="E811" s="10" t="str">
        <f t="shared" si="986"/>
        <v>OutubroSEMANA 1Queijo Minas Padrão</v>
      </c>
      <c r="F811" s="7">
        <f>SUMIF(NF!$A:$A,$E811,NF!$I:$I)</f>
        <v>3.34</v>
      </c>
      <c r="G811" s="6"/>
      <c r="H811" s="6"/>
      <c r="I811" s="6"/>
      <c r="J811" s="6"/>
      <c r="K811" s="6"/>
      <c r="L811" s="6">
        <v>4.2300000000000004</v>
      </c>
      <c r="M811" s="6"/>
      <c r="N811" s="7">
        <f t="shared" si="1040"/>
        <v>4.2300000000000004</v>
      </c>
      <c r="O811" s="11">
        <f t="shared" si="828"/>
        <v>0</v>
      </c>
      <c r="P811" s="25"/>
      <c r="Q811" s="10" t="str">
        <f t="shared" si="987"/>
        <v>OutubroSEMANA 2Queijo Minas Padrão</v>
      </c>
      <c r="R811" s="7">
        <f>SUMIF(NF!$A:$A,$Q811,NF!$I:$I)</f>
        <v>4.8</v>
      </c>
      <c r="S811" s="6"/>
      <c r="T811" s="6"/>
      <c r="U811" s="6"/>
      <c r="V811" s="6"/>
      <c r="W811" s="6"/>
      <c r="X811" s="6">
        <v>4.8</v>
      </c>
      <c r="Y811" s="6"/>
      <c r="Z811" s="7">
        <f t="shared" si="1041"/>
        <v>4.8</v>
      </c>
      <c r="AA811" s="11">
        <f t="shared" si="831"/>
        <v>0</v>
      </c>
      <c r="AB811" s="25"/>
      <c r="AC811" s="10" t="str">
        <f t="shared" si="988"/>
        <v>OutubroSEMANA 3Queijo Minas Padrão</v>
      </c>
      <c r="AD811" s="7">
        <f>SUMIF(NF!$A:$A,$AC811,NF!$I:$I)</f>
        <v>4.8</v>
      </c>
      <c r="AE811" s="6"/>
      <c r="AF811" s="6"/>
      <c r="AG811" s="6"/>
      <c r="AH811" s="6"/>
      <c r="AI811" s="6"/>
      <c r="AJ811" s="6">
        <v>3.7719999999999998</v>
      </c>
      <c r="AK811" s="6"/>
      <c r="AL811" s="7">
        <f t="shared" si="1042"/>
        <v>3.7719999999999998</v>
      </c>
      <c r="AM811" s="11">
        <f t="shared" si="834"/>
        <v>1.028</v>
      </c>
      <c r="AN811" s="25"/>
      <c r="AO811" s="10" t="str">
        <f t="shared" si="989"/>
        <v>OutubroSEMANA 4Queijo Minas Padrão</v>
      </c>
      <c r="AP811" s="7">
        <f>SUMIF(NF!$A:$A,$AO811,NF!$I:$I)</f>
        <v>11.3</v>
      </c>
      <c r="AQ811" s="6"/>
      <c r="AR811" s="6"/>
      <c r="AS811" s="6"/>
      <c r="AT811" s="6"/>
      <c r="AU811" s="6"/>
      <c r="AV811" s="6">
        <f>3.742+1-0.03</f>
        <v>4.7119999999999997</v>
      </c>
      <c r="AW811" s="6"/>
      <c r="AX811" s="7">
        <f t="shared" si="1043"/>
        <v>4.7119999999999997</v>
      </c>
      <c r="AY811" s="11">
        <f t="shared" si="837"/>
        <v>7.6160000000000014</v>
      </c>
      <c r="AZ811" s="25"/>
      <c r="BA811" s="10" t="str">
        <f t="shared" si="990"/>
        <v>OutubroSEMANA 5Queijo Minas Padrão</v>
      </c>
      <c r="BB811" s="7">
        <f>SUMIF(NF!$A:$A,$BA811,NF!$I:$I)</f>
        <v>0</v>
      </c>
      <c r="BC811" s="6"/>
      <c r="BD811" s="6"/>
      <c r="BE811" s="6"/>
      <c r="BF811" s="74"/>
      <c r="BG811" s="74"/>
      <c r="BH811" s="74"/>
      <c r="BI811" s="74"/>
      <c r="BJ811" s="74"/>
      <c r="BK811" s="7">
        <f t="shared" si="1044"/>
        <v>0</v>
      </c>
      <c r="BL811" s="8">
        <f t="shared" si="840"/>
        <v>7.6160000000000014</v>
      </c>
      <c r="BM811" s="51" t="str">
        <f>IFERROR(VLOOKUP(A811,NF!$M:$O,3,0),"")</f>
        <v>Mercado</v>
      </c>
      <c r="BN811" s="7">
        <f t="shared" si="841"/>
        <v>17.514000000000003</v>
      </c>
      <c r="BO811" s="8">
        <f t="array" ref="BO811">IFERROR(LARGE(IF(NF!$G$2:$G$3137='Mês atual'!A811,NF!$J$2:$J$3137),1),0)*BN811</f>
        <v>728.58240000000012</v>
      </c>
      <c r="BP811" s="50"/>
      <c r="BR811" s="147">
        <f t="array" ref="BR811">IFERROR(LARGE(IF(NF!$G$2:$G$3137='Mês atual'!A811,NF!$J$2:$J$3137),1),0)</f>
        <v>41.6</v>
      </c>
      <c r="BS811" s="143" t="str">
        <f>VLOOKUP(A811,NF!M:O,3,0)</f>
        <v>Mercado</v>
      </c>
    </row>
    <row r="812" spans="1:71" x14ac:dyDescent="0.25">
      <c r="A812" s="108" t="s">
        <v>684</v>
      </c>
      <c r="B812" s="12"/>
      <c r="C812" s="9">
        <v>6.16</v>
      </c>
      <c r="D812" s="25"/>
      <c r="E812" s="10" t="str">
        <f t="shared" si="986"/>
        <v>OutubroSEMANA 1Queijo Mozzarela Italiana pcte 880 gr</v>
      </c>
      <c r="F812" s="7">
        <f>SUMIF(NF!$A:$A,$E812,NF!$I:$I)</f>
        <v>0</v>
      </c>
      <c r="G812" s="6">
        <f>4*0.88</f>
        <v>3.52</v>
      </c>
      <c r="H812" s="6"/>
      <c r="I812" s="6"/>
      <c r="J812" s="6"/>
      <c r="K812" s="6"/>
      <c r="L812" s="6"/>
      <c r="M812" s="6"/>
      <c r="N812" s="7">
        <f t="shared" si="1040"/>
        <v>3.52</v>
      </c>
      <c r="O812" s="11">
        <f t="shared" si="828"/>
        <v>2.64</v>
      </c>
      <c r="P812" s="25"/>
      <c r="Q812" s="10" t="str">
        <f t="shared" si="987"/>
        <v>OutubroSEMANA 2Queijo Mozzarela Italiana pcte 880 gr</v>
      </c>
      <c r="R812" s="7">
        <f>SUMIF(NF!$A:$A,$Q812,NF!$I:$I)</f>
        <v>6.16</v>
      </c>
      <c r="S812" s="6"/>
      <c r="T812" s="6"/>
      <c r="U812" s="6"/>
      <c r="V812" s="6">
        <f>2*0.88</f>
        <v>1.76</v>
      </c>
      <c r="W812" s="6">
        <f>4*0.88</f>
        <v>3.52</v>
      </c>
      <c r="X812" s="6"/>
      <c r="Y812" s="6"/>
      <c r="Z812" s="7">
        <f t="shared" si="1041"/>
        <v>5.28</v>
      </c>
      <c r="AA812" s="11">
        <f t="shared" si="831"/>
        <v>3.5200000000000005</v>
      </c>
      <c r="AB812" s="25"/>
      <c r="AC812" s="10" t="str">
        <f t="shared" si="988"/>
        <v>OutubroSEMANA 3Queijo Mozzarela Italiana pcte 880 gr</v>
      </c>
      <c r="AD812" s="7">
        <f>SUMIF(NF!$A:$A,$AC812,NF!$I:$I)</f>
        <v>0</v>
      </c>
      <c r="AE812" s="6"/>
      <c r="AF812" s="6"/>
      <c r="AG812" s="6"/>
      <c r="AH812" s="6"/>
      <c r="AI812" s="6"/>
      <c r="AJ812" s="6"/>
      <c r="AK812" s="6">
        <f>4*0.88</f>
        <v>3.52</v>
      </c>
      <c r="AL812" s="7">
        <f t="shared" si="1042"/>
        <v>3.52</v>
      </c>
      <c r="AM812" s="11">
        <f t="shared" si="834"/>
        <v>0</v>
      </c>
      <c r="AN812" s="25"/>
      <c r="AO812" s="10" t="str">
        <f t="shared" si="989"/>
        <v>OutubroSEMANA 4Queijo Mozzarela Italiana pcte 880 gr</v>
      </c>
      <c r="AP812" s="7">
        <f>SUMIF(NF!$A:$A,$AO812,NF!$I:$I)</f>
        <v>0</v>
      </c>
      <c r="AQ812" s="6"/>
      <c r="AR812" s="6"/>
      <c r="AS812" s="6"/>
      <c r="AT812" s="6"/>
      <c r="AU812" s="6"/>
      <c r="AV812" s="6"/>
      <c r="AW812" s="6"/>
      <c r="AX812" s="7">
        <f t="shared" si="1043"/>
        <v>0</v>
      </c>
      <c r="AY812" s="11">
        <f t="shared" si="837"/>
        <v>0</v>
      </c>
      <c r="AZ812" s="25"/>
      <c r="BA812" s="10" t="str">
        <f t="shared" si="990"/>
        <v>OutubroSEMANA 5Queijo Mozzarela Italiana pcte 880 gr</v>
      </c>
      <c r="BB812" s="7">
        <f>SUMIF(NF!$A:$A,$BA812,NF!$I:$I)</f>
        <v>0</v>
      </c>
      <c r="BC812" s="6"/>
      <c r="BD812" s="6"/>
      <c r="BE812" s="6"/>
      <c r="BF812" s="74"/>
      <c r="BG812" s="74"/>
      <c r="BH812" s="74"/>
      <c r="BI812" s="74"/>
      <c r="BJ812" s="74"/>
      <c r="BK812" s="7">
        <f t="shared" si="1044"/>
        <v>0</v>
      </c>
      <c r="BL812" s="8">
        <f t="shared" si="840"/>
        <v>0</v>
      </c>
      <c r="BM812" s="51" t="str">
        <f>IFERROR(VLOOKUP(A812,NF!$M:$O,3,0),"")</f>
        <v>Mercado</v>
      </c>
      <c r="BN812" s="7">
        <f t="shared" si="841"/>
        <v>12.32</v>
      </c>
      <c r="BO812" s="8">
        <f t="array" ref="BO812">IFERROR(LARGE(IF(NF!$G$2:$G$3137='Mês atual'!A812,NF!$J$2:$J$3137),1),0)*BN812</f>
        <v>514.08000000000004</v>
      </c>
      <c r="BP812" s="50"/>
      <c r="BR812" s="147">
        <f t="array" ref="BR812">IFERROR(LARGE(IF(NF!$G$2:$G$3137='Mês atual'!A812,NF!$J$2:$J$3137),1),0)</f>
        <v>41.727272727272727</v>
      </c>
      <c r="BS812" s="143" t="str">
        <f>VLOOKUP(A812,NF!M:O,3,0)</f>
        <v>Mercado</v>
      </c>
    </row>
    <row r="813" spans="1:71" x14ac:dyDescent="0.25">
      <c r="A813" s="108" t="s">
        <v>685</v>
      </c>
      <c r="B813" s="12"/>
      <c r="C813" s="9">
        <v>10.625</v>
      </c>
      <c r="D813" s="25"/>
      <c r="E813" s="10" t="str">
        <f t="shared" si="986"/>
        <v>OutubroSEMANA 1Queijo Mussarela</v>
      </c>
      <c r="F813" s="7">
        <f>SUMIF(NF!$A:$A,$E813,NF!$I:$I)</f>
        <v>3.5</v>
      </c>
      <c r="G813" s="6"/>
      <c r="H813" s="6"/>
      <c r="I813" s="6">
        <v>3.4350000000000001</v>
      </c>
      <c r="J813" s="6"/>
      <c r="K813" s="6"/>
      <c r="L813" s="6"/>
      <c r="M813" s="6"/>
      <c r="N813" s="7">
        <f t="shared" si="1040"/>
        <v>3.4350000000000001</v>
      </c>
      <c r="O813" s="11">
        <f t="shared" si="828"/>
        <v>10.69</v>
      </c>
      <c r="P813" s="25"/>
      <c r="Q813" s="10" t="str">
        <f t="shared" si="987"/>
        <v>OutubroSEMANA 2Queijo Mussarela</v>
      </c>
      <c r="R813" s="7">
        <f>SUMIF(NF!$A:$A,$Q813,NF!$I:$I)</f>
        <v>10.46</v>
      </c>
      <c r="S813" s="6"/>
      <c r="T813" s="6">
        <v>3.91</v>
      </c>
      <c r="U813" s="6"/>
      <c r="V813" s="6">
        <v>3.28</v>
      </c>
      <c r="W813" s="6"/>
      <c r="X813" s="6"/>
      <c r="Y813" s="6"/>
      <c r="Z813" s="7">
        <f t="shared" si="1041"/>
        <v>7.1899999999999995</v>
      </c>
      <c r="AA813" s="11">
        <f t="shared" si="831"/>
        <v>13.959999999999999</v>
      </c>
      <c r="AB813" s="25"/>
      <c r="AC813" s="10" t="str">
        <f t="shared" si="988"/>
        <v>OutubroSEMANA 3Queijo Mussarela</v>
      </c>
      <c r="AD813" s="7">
        <f>SUMIF(NF!$A:$A,$AC813,NF!$I:$I)</f>
        <v>3.5</v>
      </c>
      <c r="AE813" s="6"/>
      <c r="AF813" s="6"/>
      <c r="AG813" s="6">
        <v>3.5</v>
      </c>
      <c r="AH813" s="6">
        <v>3.5249999999999999</v>
      </c>
      <c r="AI813" s="6"/>
      <c r="AJ813" s="6"/>
      <c r="AK813" s="6"/>
      <c r="AL813" s="7">
        <f t="shared" si="1042"/>
        <v>7.0250000000000004</v>
      </c>
      <c r="AM813" s="11">
        <f t="shared" si="834"/>
        <v>10.435</v>
      </c>
      <c r="AN813" s="25"/>
      <c r="AO813" s="10" t="str">
        <f t="shared" si="989"/>
        <v>OutubroSEMANA 4Queijo Mussarela</v>
      </c>
      <c r="AP813" s="7">
        <f>SUMIF(NF!$A:$A,$AO813,NF!$I:$I)</f>
        <v>7.46</v>
      </c>
      <c r="AQ813" s="6"/>
      <c r="AR813" s="6"/>
      <c r="AS813" s="6"/>
      <c r="AT813" s="6">
        <v>3.42</v>
      </c>
      <c r="AU813" s="6">
        <v>3.96</v>
      </c>
      <c r="AV813" s="6"/>
      <c r="AW813" s="6"/>
      <c r="AX813" s="7">
        <f t="shared" si="1043"/>
        <v>7.38</v>
      </c>
      <c r="AY813" s="11">
        <f t="shared" si="837"/>
        <v>10.515000000000001</v>
      </c>
      <c r="AZ813" s="25"/>
      <c r="BA813" s="10" t="str">
        <f t="shared" si="990"/>
        <v>OutubroSEMANA 5Queijo Mussarela</v>
      </c>
      <c r="BB813" s="7">
        <f>SUMIF(NF!$A:$A,$BA813,NF!$I:$I)</f>
        <v>3.56</v>
      </c>
      <c r="BC813" s="6">
        <v>3.55</v>
      </c>
      <c r="BD813" s="6"/>
      <c r="BE813" s="6">
        <v>3.4660000000000002</v>
      </c>
      <c r="BF813" s="74"/>
      <c r="BG813" s="74"/>
      <c r="BH813" s="74"/>
      <c r="BI813" s="74"/>
      <c r="BJ813" s="74"/>
      <c r="BK813" s="7">
        <f t="shared" si="1044"/>
        <v>7.016</v>
      </c>
      <c r="BL813" s="8">
        <f t="shared" si="840"/>
        <v>7.0590000000000011</v>
      </c>
      <c r="BM813" s="51" t="str">
        <f>IFERROR(VLOOKUP(A813,NF!$M:$O,3,0),"")</f>
        <v>Mercado</v>
      </c>
      <c r="BN813" s="7">
        <f t="shared" si="841"/>
        <v>32.045999999999999</v>
      </c>
      <c r="BO813" s="8">
        <f t="array" ref="BO813">IFERROR(LARGE(IF(NF!$G$2:$G$3137='Mês atual'!A813,NF!$J$2:$J$3137),1),0)*BN813</f>
        <v>833.19600000000003</v>
      </c>
      <c r="BP813" s="50"/>
      <c r="BR813" s="147">
        <f t="array" ref="BR813">IFERROR(LARGE(IF(NF!$G$2:$G$3137='Mês atual'!A813,NF!$J$2:$J$3137),1),0)</f>
        <v>26</v>
      </c>
      <c r="BS813" s="143" t="str">
        <f>VLOOKUP(A813,NF!M:O,3,0)</f>
        <v>Mercado</v>
      </c>
    </row>
    <row r="814" spans="1:71" x14ac:dyDescent="0.25">
      <c r="A814" s="108" t="s">
        <v>686</v>
      </c>
      <c r="B814" s="12"/>
      <c r="C814" s="9">
        <v>12.75</v>
      </c>
      <c r="D814" s="25"/>
      <c r="E814" s="10" t="str">
        <f t="shared" si="986"/>
        <v>OutubroSEMANA 1Queijo Parmezon</v>
      </c>
      <c r="F814" s="7">
        <f>SUMIF(NF!$A:$A,$E814,NF!$I:$I)</f>
        <v>5.9</v>
      </c>
      <c r="G814" s="6"/>
      <c r="H814" s="6"/>
      <c r="I814" s="6">
        <v>6.415</v>
      </c>
      <c r="J814" s="6"/>
      <c r="K814" s="6"/>
      <c r="L814" s="6"/>
      <c r="M814" s="6"/>
      <c r="N814" s="7">
        <f t="shared" si="1040"/>
        <v>6.415</v>
      </c>
      <c r="O814" s="11">
        <f t="shared" si="828"/>
        <v>12.234999999999999</v>
      </c>
      <c r="P814" s="25"/>
      <c r="Q814" s="10" t="str">
        <f t="shared" si="987"/>
        <v>OutubroSEMANA 2Queijo Parmezon</v>
      </c>
      <c r="R814" s="7">
        <f>SUMIF(NF!$A:$A,$Q814,NF!$I:$I)</f>
        <v>6</v>
      </c>
      <c r="S814" s="6"/>
      <c r="T814" s="6"/>
      <c r="U814" s="6">
        <v>6.335</v>
      </c>
      <c r="V814" s="6"/>
      <c r="W814" s="6"/>
      <c r="X814" s="6"/>
      <c r="Y814" s="6">
        <v>6.07</v>
      </c>
      <c r="Z814" s="7">
        <f t="shared" si="1041"/>
        <v>12.405000000000001</v>
      </c>
      <c r="AA814" s="11">
        <f t="shared" si="831"/>
        <v>5.8299999999999983</v>
      </c>
      <c r="AB814" s="25"/>
      <c r="AC814" s="10" t="str">
        <f t="shared" si="988"/>
        <v>OutubroSEMANA 3Queijo Parmezon</v>
      </c>
      <c r="AD814" s="7">
        <f>SUMIF(NF!$A:$A,$AC814,NF!$I:$I)</f>
        <v>11.399999999999999</v>
      </c>
      <c r="AE814" s="6"/>
      <c r="AF814" s="6"/>
      <c r="AG814" s="6"/>
      <c r="AH814" s="6">
        <v>5.9450000000000003</v>
      </c>
      <c r="AI814" s="6"/>
      <c r="AJ814" s="6"/>
      <c r="AK814" s="6"/>
      <c r="AL814" s="7">
        <f t="shared" si="1042"/>
        <v>5.9450000000000003</v>
      </c>
      <c r="AM814" s="11">
        <f t="shared" si="834"/>
        <v>11.284999999999997</v>
      </c>
      <c r="AN814" s="25"/>
      <c r="AO814" s="10" t="str">
        <f t="shared" si="989"/>
        <v>OutubroSEMANA 4Queijo Parmezon</v>
      </c>
      <c r="AP814" s="7">
        <f>SUMIF(NF!$A:$A,$AO814,NF!$I:$I)</f>
        <v>5.4</v>
      </c>
      <c r="AQ814" s="6"/>
      <c r="AR814" s="6"/>
      <c r="AS814" s="6"/>
      <c r="AT814" s="6"/>
      <c r="AU814" s="6">
        <f>5.535-0.16</f>
        <v>5.375</v>
      </c>
      <c r="AV814" s="6"/>
      <c r="AW814" s="6"/>
      <c r="AX814" s="7">
        <f t="shared" si="1043"/>
        <v>5.375</v>
      </c>
      <c r="AY814" s="11">
        <f t="shared" si="837"/>
        <v>11.309999999999995</v>
      </c>
      <c r="AZ814" s="25"/>
      <c r="BA814" s="10" t="str">
        <f t="shared" si="990"/>
        <v>OutubroSEMANA 5Queijo Parmezon</v>
      </c>
      <c r="BB814" s="7">
        <f>SUMIF(NF!$A:$A,$BA814,NF!$I:$I)</f>
        <v>0</v>
      </c>
      <c r="BC814" s="6"/>
      <c r="BD814" s="6"/>
      <c r="BE814" s="6"/>
      <c r="BF814" s="74"/>
      <c r="BG814" s="74"/>
      <c r="BH814" s="74"/>
      <c r="BI814" s="74"/>
      <c r="BJ814" s="74"/>
      <c r="BK814" s="7">
        <f t="shared" si="1044"/>
        <v>0</v>
      </c>
      <c r="BL814" s="8">
        <f t="shared" si="840"/>
        <v>11.309999999999995</v>
      </c>
      <c r="BM814" s="51" t="str">
        <f>IFERROR(VLOOKUP(A814,NF!$M:$O,3,0),"")</f>
        <v>Mercado</v>
      </c>
      <c r="BN814" s="7">
        <f t="shared" si="841"/>
        <v>30.14</v>
      </c>
      <c r="BO814" s="8">
        <f t="array" ref="BO814">IFERROR(LARGE(IF(NF!$G$2:$G$3137='Mês atual'!A814,NF!$J$2:$J$3137),1),0)*BN814</f>
        <v>752.8972</v>
      </c>
      <c r="BP814" s="50"/>
      <c r="BR814" s="147">
        <f t="array" ref="BR814">IFERROR(LARGE(IF(NF!$G$2:$G$3137='Mês atual'!A814,NF!$J$2:$J$3137),1),0)</f>
        <v>24.98</v>
      </c>
      <c r="BS814" s="143" t="str">
        <f>VLOOKUP(A814,NF!M:O,3,0)</f>
        <v>Mercado</v>
      </c>
    </row>
    <row r="815" spans="1:71" x14ac:dyDescent="0.25">
      <c r="A815" s="108" t="s">
        <v>687</v>
      </c>
      <c r="B815" s="12"/>
      <c r="C815" s="9">
        <v>2.77</v>
      </c>
      <c r="D815" s="25"/>
      <c r="E815" s="10" t="str">
        <f t="shared" si="986"/>
        <v>OutubroSEMANA 1Queijo Prato</v>
      </c>
      <c r="F815" s="7">
        <f>SUMIF(NF!$A:$A,$E815,NF!$I:$I)</f>
        <v>0</v>
      </c>
      <c r="G815" s="6"/>
      <c r="H815" s="6"/>
      <c r="I815" s="6"/>
      <c r="J815" s="6"/>
      <c r="K815" s="6"/>
      <c r="L815" s="6"/>
      <c r="M815" s="6"/>
      <c r="N815" s="7">
        <f t="shared" si="1040"/>
        <v>0</v>
      </c>
      <c r="O815" s="11">
        <f t="shared" si="828"/>
        <v>2.77</v>
      </c>
      <c r="P815" s="25"/>
      <c r="Q815" s="10" t="str">
        <f t="shared" si="987"/>
        <v>OutubroSEMANA 2Queijo Prato</v>
      </c>
      <c r="R815" s="7">
        <f>SUMIF(NF!$A:$A,$Q815,NF!$I:$I)</f>
        <v>0</v>
      </c>
      <c r="S815" s="6"/>
      <c r="T815" s="6"/>
      <c r="U815" s="6"/>
      <c r="V815" s="6"/>
      <c r="W815" s="6"/>
      <c r="X815" s="6"/>
      <c r="Y815" s="6">
        <v>2.77</v>
      </c>
      <c r="Z815" s="7">
        <f t="shared" si="1041"/>
        <v>2.77</v>
      </c>
      <c r="AA815" s="11">
        <f t="shared" si="831"/>
        <v>0</v>
      </c>
      <c r="AB815" s="25"/>
      <c r="AC815" s="10" t="str">
        <f t="shared" si="988"/>
        <v>OutubroSEMANA 3Queijo Prato</v>
      </c>
      <c r="AD815" s="7">
        <f>SUMIF(NF!$A:$A,$AC815,NF!$I:$I)</f>
        <v>3.5</v>
      </c>
      <c r="AE815" s="6"/>
      <c r="AF815" s="6"/>
      <c r="AG815" s="6"/>
      <c r="AH815" s="6"/>
      <c r="AI815" s="6"/>
      <c r="AJ815" s="6">
        <v>3.5</v>
      </c>
      <c r="AK815" s="6"/>
      <c r="AL815" s="7">
        <f t="shared" si="1042"/>
        <v>3.5</v>
      </c>
      <c r="AM815" s="11">
        <f t="shared" si="834"/>
        <v>0</v>
      </c>
      <c r="AN815" s="25"/>
      <c r="AO815" s="10" t="str">
        <f t="shared" si="989"/>
        <v>OutubroSEMANA 4Queijo Prato</v>
      </c>
      <c r="AP815" s="7">
        <f>SUMIF(NF!$A:$A,$AO815,NF!$I:$I)</f>
        <v>2.88</v>
      </c>
      <c r="AQ815" s="6"/>
      <c r="AR815" s="6"/>
      <c r="AS815" s="6"/>
      <c r="AT815" s="6"/>
      <c r="AU815" s="6"/>
      <c r="AV815" s="6"/>
      <c r="AW815" s="6"/>
      <c r="AX815" s="7">
        <f t="shared" si="1043"/>
        <v>0</v>
      </c>
      <c r="AY815" s="11">
        <f t="shared" si="837"/>
        <v>2.88</v>
      </c>
      <c r="AZ815" s="25"/>
      <c r="BA815" s="10" t="str">
        <f t="shared" si="990"/>
        <v>OutubroSEMANA 5Queijo Prato</v>
      </c>
      <c r="BB815" s="7">
        <f>SUMIF(NF!$A:$A,$BA815,NF!$I:$I)</f>
        <v>0</v>
      </c>
      <c r="BC815" s="6"/>
      <c r="BD815" s="6"/>
      <c r="BE815" s="6"/>
      <c r="BF815" s="74"/>
      <c r="BG815" s="74"/>
      <c r="BH815" s="74"/>
      <c r="BI815" s="74"/>
      <c r="BJ815" s="74"/>
      <c r="BK815" s="7">
        <f t="shared" si="1044"/>
        <v>0</v>
      </c>
      <c r="BL815" s="8">
        <f t="shared" si="840"/>
        <v>2.88</v>
      </c>
      <c r="BM815" s="51" t="str">
        <f>IFERROR(VLOOKUP(A815,NF!$M:$O,3,0),"")</f>
        <v>Mercado</v>
      </c>
      <c r="BN815" s="7">
        <f t="shared" si="841"/>
        <v>6.27</v>
      </c>
      <c r="BO815" s="8">
        <f t="array" ref="BO815">IFERROR(LARGE(IF(NF!$G$2:$G$3137='Mês atual'!A815,NF!$J$2:$J$3137),1),0)*BN815</f>
        <v>163.01999999999998</v>
      </c>
      <c r="BP815" s="50"/>
      <c r="BR815" s="147">
        <f t="array" ref="BR815">IFERROR(LARGE(IF(NF!$G$2:$G$3137='Mês atual'!A815,NF!$J$2:$J$3137),1),0)</f>
        <v>26</v>
      </c>
      <c r="BS815" s="143" t="str">
        <f>VLOOKUP(A815,NF!M:O,3,0)</f>
        <v>Mercado</v>
      </c>
    </row>
    <row r="816" spans="1:71" x14ac:dyDescent="0.25">
      <c r="A816" s="108" t="s">
        <v>990</v>
      </c>
      <c r="B816" s="12"/>
      <c r="C816" s="9"/>
      <c r="D816" s="25"/>
      <c r="E816" s="10" t="str">
        <f t="shared" si="986"/>
        <v>OutubroSEMANA 1Queijo Provolone Curado</v>
      </c>
      <c r="F816" s="7">
        <f>SUMIF(NF!$A:$A,$E816,NF!$I:$I)</f>
        <v>0</v>
      </c>
      <c r="G816" s="6"/>
      <c r="H816" s="6"/>
      <c r="I816" s="6"/>
      <c r="J816" s="6"/>
      <c r="K816" s="6"/>
      <c r="L816" s="6"/>
      <c r="M816" s="6"/>
      <c r="N816" s="7">
        <f t="shared" si="1040"/>
        <v>0</v>
      </c>
      <c r="O816" s="11">
        <f t="shared" si="828"/>
        <v>0</v>
      </c>
      <c r="P816" s="25"/>
      <c r="Q816" s="10" t="str">
        <f t="shared" si="987"/>
        <v>OutubroSEMANA 2Queijo Provolone Curado</v>
      </c>
      <c r="R816" s="7">
        <f>SUMIF(NF!$A:$A,$Q816,NF!$I:$I)</f>
        <v>4.4400000000000004</v>
      </c>
      <c r="S816" s="6"/>
      <c r="T816" s="6"/>
      <c r="U816" s="6"/>
      <c r="V816" s="6"/>
      <c r="W816" s="6"/>
      <c r="X816" s="6"/>
      <c r="Y816" s="6"/>
      <c r="Z816" s="7">
        <f t="shared" si="1041"/>
        <v>0</v>
      </c>
      <c r="AA816" s="11">
        <f t="shared" si="831"/>
        <v>4.4400000000000004</v>
      </c>
      <c r="AB816" s="25"/>
      <c r="AC816" s="10" t="str">
        <f t="shared" si="988"/>
        <v>OutubroSEMANA 3Queijo Provolone Curado</v>
      </c>
      <c r="AD816" s="7">
        <f>SUMIF(NF!$A:$A,$AC816,NF!$I:$I)</f>
        <v>0</v>
      </c>
      <c r="AE816" s="6"/>
      <c r="AF816" s="6"/>
      <c r="AG816" s="6"/>
      <c r="AH816" s="6"/>
      <c r="AI816" s="6"/>
      <c r="AJ816" s="6"/>
      <c r="AK816" s="6"/>
      <c r="AL816" s="7">
        <f t="shared" si="1042"/>
        <v>0</v>
      </c>
      <c r="AM816" s="11">
        <f t="shared" si="834"/>
        <v>4.4400000000000004</v>
      </c>
      <c r="AN816" s="25"/>
      <c r="AO816" s="10" t="str">
        <f t="shared" si="989"/>
        <v>OutubroSEMANA 4Queijo Provolone Curado</v>
      </c>
      <c r="AP816" s="7">
        <f>SUMIF(NF!$A:$A,$AO816,NF!$I:$I)</f>
        <v>0</v>
      </c>
      <c r="AQ816" s="6"/>
      <c r="AR816" s="6"/>
      <c r="AS816" s="6"/>
      <c r="AT816" s="6"/>
      <c r="AU816" s="6"/>
      <c r="AV816" s="6"/>
      <c r="AW816" s="6"/>
      <c r="AX816" s="7">
        <f t="shared" si="1043"/>
        <v>0</v>
      </c>
      <c r="AY816" s="11">
        <f t="shared" si="837"/>
        <v>4.4400000000000004</v>
      </c>
      <c r="AZ816" s="25"/>
      <c r="BA816" s="10" t="str">
        <f t="shared" si="990"/>
        <v>OutubroSEMANA 5Queijo Provolone Curado</v>
      </c>
      <c r="BB816" s="7">
        <f>SUMIF(NF!$A:$A,$BA816,NF!$I:$I)</f>
        <v>0</v>
      </c>
      <c r="BC816" s="6"/>
      <c r="BD816" s="6"/>
      <c r="BE816" s="6">
        <v>4.4400000000000004</v>
      </c>
      <c r="BF816" s="74"/>
      <c r="BG816" s="74"/>
      <c r="BH816" s="74"/>
      <c r="BI816" s="74"/>
      <c r="BJ816" s="74"/>
      <c r="BK816" s="7">
        <f t="shared" si="1044"/>
        <v>4.4400000000000004</v>
      </c>
      <c r="BL816" s="8">
        <f t="shared" si="840"/>
        <v>0</v>
      </c>
      <c r="BM816" s="51" t="str">
        <f>IFERROR(VLOOKUP(A816,NF!$M:$O,3,0),"")</f>
        <v>Mercado</v>
      </c>
      <c r="BN816" s="7">
        <f t="shared" si="841"/>
        <v>4.4400000000000004</v>
      </c>
      <c r="BO816" s="8">
        <f t="array" ref="BO816">IFERROR(LARGE(IF(NF!$G$2:$G$3137='Mês atual'!A816,NF!$J$2:$J$3137),1),0)*BN816</f>
        <v>180.70800000000003</v>
      </c>
      <c r="BP816" s="50"/>
      <c r="BR816" s="147">
        <f t="array" ref="BR816">IFERROR(LARGE(IF(NF!$G$2:$G$3137='Mês atual'!A816,NF!$J$2:$J$3137),1),0)</f>
        <v>40.700000000000003</v>
      </c>
      <c r="BS816" s="143" t="str">
        <f>VLOOKUP(A816,NF!M:O,3,0)</f>
        <v>Mercado</v>
      </c>
    </row>
    <row r="817" spans="1:71" x14ac:dyDescent="0.25">
      <c r="A817" s="108" t="s">
        <v>688</v>
      </c>
      <c r="B817" s="12"/>
      <c r="C817" s="9">
        <v>4</v>
      </c>
      <c r="D817" s="25"/>
      <c r="E817" s="10" t="str">
        <f t="shared" si="986"/>
        <v>OutubroSEMANA 1Queijo Requeijão BD 3,6 Kg</v>
      </c>
      <c r="F817" s="7">
        <f>SUMIF(NF!$A:$A,$E817,NF!$I:$I)</f>
        <v>1</v>
      </c>
      <c r="G817" s="6">
        <v>1</v>
      </c>
      <c r="H817" s="6"/>
      <c r="I817" s="6"/>
      <c r="J817" s="6"/>
      <c r="K817" s="6">
        <v>1</v>
      </c>
      <c r="L817" s="6"/>
      <c r="M817" s="6">
        <v>1</v>
      </c>
      <c r="N817" s="7">
        <f t="shared" si="1040"/>
        <v>3</v>
      </c>
      <c r="O817" s="11">
        <f t="shared" si="828"/>
        <v>2</v>
      </c>
      <c r="P817" s="25"/>
      <c r="Q817" s="10" t="str">
        <f t="shared" si="987"/>
        <v>OutubroSEMANA 2Queijo Requeijão BD 3,6 Kg</v>
      </c>
      <c r="R817" s="7">
        <f>SUMIF(NF!$A:$A,$Q817,NF!$I:$I)</f>
        <v>4</v>
      </c>
      <c r="S817" s="6"/>
      <c r="T817" s="6">
        <v>1</v>
      </c>
      <c r="U817" s="6">
        <v>1</v>
      </c>
      <c r="V817" s="6"/>
      <c r="W817" s="6">
        <v>1</v>
      </c>
      <c r="X817" s="6"/>
      <c r="Y817" s="6">
        <v>1</v>
      </c>
      <c r="Z817" s="7">
        <f t="shared" si="1041"/>
        <v>4</v>
      </c>
      <c r="AA817" s="11">
        <f t="shared" si="831"/>
        <v>2</v>
      </c>
      <c r="AB817" s="25"/>
      <c r="AC817" s="10" t="str">
        <f t="shared" si="988"/>
        <v>OutubroSEMANA 3Queijo Requeijão BD 3,6 Kg</v>
      </c>
      <c r="AD817" s="7">
        <f>SUMIF(NF!$A:$A,$AC817,NF!$I:$I)</f>
        <v>3</v>
      </c>
      <c r="AE817" s="6">
        <v>1</v>
      </c>
      <c r="AF817" s="6"/>
      <c r="AG817" s="6"/>
      <c r="AH817" s="6">
        <v>1</v>
      </c>
      <c r="AI817" s="6"/>
      <c r="AJ817" s="6"/>
      <c r="AK817" s="6">
        <v>1</v>
      </c>
      <c r="AL817" s="7">
        <f t="shared" si="1042"/>
        <v>3</v>
      </c>
      <c r="AM817" s="11">
        <f t="shared" si="834"/>
        <v>2</v>
      </c>
      <c r="AN817" s="25"/>
      <c r="AO817" s="10" t="str">
        <f t="shared" si="989"/>
        <v>OutubroSEMANA 4Queijo Requeijão BD 3,6 Kg</v>
      </c>
      <c r="AP817" s="7">
        <f>SUMIF(NF!$A:$A,$AO817,NF!$I:$I)</f>
        <v>3</v>
      </c>
      <c r="AQ817" s="6"/>
      <c r="AR817" s="6">
        <v>1</v>
      </c>
      <c r="AS817" s="6"/>
      <c r="AT817" s="6"/>
      <c r="AU817" s="6">
        <v>1</v>
      </c>
      <c r="AV817" s="6"/>
      <c r="AW817" s="6"/>
      <c r="AX817" s="7">
        <f t="shared" si="1043"/>
        <v>2</v>
      </c>
      <c r="AY817" s="11">
        <f t="shared" si="837"/>
        <v>3</v>
      </c>
      <c r="AZ817" s="25"/>
      <c r="BA817" s="10" t="str">
        <f t="shared" si="990"/>
        <v>OutubroSEMANA 5Queijo Requeijão BD 3,6 Kg</v>
      </c>
      <c r="BB817" s="7">
        <f>SUMIF(NF!$A:$A,$BA817,NF!$I:$I)</f>
        <v>0</v>
      </c>
      <c r="BC817" s="6">
        <v>1</v>
      </c>
      <c r="BD817" s="6"/>
      <c r="BE817" s="6"/>
      <c r="BF817" s="74"/>
      <c r="BG817" s="74"/>
      <c r="BH817" s="74"/>
      <c r="BI817" s="74"/>
      <c r="BJ817" s="74"/>
      <c r="BK817" s="7">
        <f t="shared" si="1044"/>
        <v>1</v>
      </c>
      <c r="BL817" s="8">
        <f t="shared" si="840"/>
        <v>2</v>
      </c>
      <c r="BM817" s="51" t="str">
        <f>IFERROR(VLOOKUP(A817,NF!$M:$O,3,0),"")</f>
        <v>Mercado</v>
      </c>
      <c r="BN817" s="7">
        <f t="shared" si="841"/>
        <v>13</v>
      </c>
      <c r="BO817" s="8">
        <f t="array" ref="BO817">IFERROR(LARGE(IF(NF!$G$2:$G$3137='Mês atual'!A817,NF!$J$2:$J$3137),1),0)*BN817</f>
        <v>967.2</v>
      </c>
      <c r="BP817" s="50"/>
      <c r="BR817" s="147">
        <f t="array" ref="BR817">IFERROR(LARGE(IF(NF!$G$2:$G$3137='Mês atual'!A817,NF!$J$2:$J$3137),1),0)</f>
        <v>74.400000000000006</v>
      </c>
      <c r="BS817" s="143" t="str">
        <f>VLOOKUP(A817,NF!M:O,3,0)</f>
        <v>Mercado</v>
      </c>
    </row>
    <row r="818" spans="1:71" x14ac:dyDescent="0.25">
      <c r="A818" s="108" t="s">
        <v>689</v>
      </c>
      <c r="B818" s="12"/>
      <c r="C818" s="9">
        <v>4.9550000000000001</v>
      </c>
      <c r="D818" s="25"/>
      <c r="E818" s="10" t="str">
        <f t="shared" si="986"/>
        <v>OutubroSEMANA 1Queijo Ricota</v>
      </c>
      <c r="F818" s="7">
        <f>SUMIF(NF!$A:$A,$E818,NF!$I:$I)</f>
        <v>8.1</v>
      </c>
      <c r="G818" s="6">
        <v>1.5449999999999999</v>
      </c>
      <c r="H818" s="6">
        <f>0.455+1.4+1.455+0.1</f>
        <v>3.41</v>
      </c>
      <c r="I818" s="6"/>
      <c r="J818" s="6"/>
      <c r="K818" s="6">
        <v>1.4950000000000001</v>
      </c>
      <c r="L818" s="6">
        <v>3.02</v>
      </c>
      <c r="M818" s="6"/>
      <c r="N818" s="7">
        <f t="shared" si="1040"/>
        <v>9.4700000000000006</v>
      </c>
      <c r="O818" s="11">
        <f t="shared" si="828"/>
        <v>3.5849999999999991</v>
      </c>
      <c r="P818" s="25"/>
      <c r="Q818" s="10" t="str">
        <f t="shared" si="987"/>
        <v>OutubroSEMANA 2Queijo Ricota</v>
      </c>
      <c r="R818" s="7">
        <f>SUMIF(NF!$A:$A,$Q818,NF!$I:$I)</f>
        <v>2.9</v>
      </c>
      <c r="S818" s="6"/>
      <c r="T818" s="6"/>
      <c r="U818" s="6"/>
      <c r="V818" s="6"/>
      <c r="W818" s="6">
        <v>2.052</v>
      </c>
      <c r="X818" s="6"/>
      <c r="Y818" s="6"/>
      <c r="Z818" s="7">
        <f t="shared" si="1041"/>
        <v>2.052</v>
      </c>
      <c r="AA818" s="11">
        <f t="shared" si="831"/>
        <v>4.4329999999999998</v>
      </c>
      <c r="AB818" s="25"/>
      <c r="AC818" s="10" t="str">
        <f t="shared" si="988"/>
        <v>OutubroSEMANA 3Queijo Ricota</v>
      </c>
      <c r="AD818" s="7">
        <f>SUMIF(NF!$A:$A,$AC818,NF!$I:$I)</f>
        <v>5.82</v>
      </c>
      <c r="AE818" s="6">
        <v>1.6439999999999999</v>
      </c>
      <c r="AF818" s="6">
        <v>1.6419999999999999</v>
      </c>
      <c r="AG818" s="6"/>
      <c r="AH818" s="6"/>
      <c r="AI818" s="6">
        <v>1.7050000000000001</v>
      </c>
      <c r="AJ818" s="6"/>
      <c r="AK818" s="6">
        <v>1.4950000000000001</v>
      </c>
      <c r="AL818" s="7">
        <f t="shared" si="1042"/>
        <v>6.4859999999999998</v>
      </c>
      <c r="AM818" s="11">
        <f t="shared" si="834"/>
        <v>3.7670000000000003</v>
      </c>
      <c r="AN818" s="25"/>
      <c r="AO818" s="10" t="str">
        <f t="shared" si="989"/>
        <v>OutubroSEMANA 4Queijo Ricota</v>
      </c>
      <c r="AP818" s="7">
        <f>SUMIF(NF!$A:$A,$AO818,NF!$I:$I)</f>
        <v>1.98</v>
      </c>
      <c r="AQ818" s="6"/>
      <c r="AR818" s="6"/>
      <c r="AS818" s="6"/>
      <c r="AT818" s="6"/>
      <c r="AU818" s="6">
        <v>1.02</v>
      </c>
      <c r="AV818" s="6"/>
      <c r="AW818" s="6"/>
      <c r="AX818" s="7">
        <f t="shared" si="1043"/>
        <v>1.02</v>
      </c>
      <c r="AY818" s="11">
        <f t="shared" si="837"/>
        <v>4.7270000000000003</v>
      </c>
      <c r="AZ818" s="25"/>
      <c r="BA818" s="10" t="str">
        <f t="shared" si="990"/>
        <v>OutubroSEMANA 5Queijo Ricota</v>
      </c>
      <c r="BB818" s="7">
        <f>SUMIF(NF!$A:$A,$BA818,NF!$I:$I)</f>
        <v>0</v>
      </c>
      <c r="BC818" s="6">
        <f>2.432-0.11</f>
        <v>2.3220000000000001</v>
      </c>
      <c r="BD818" s="6"/>
      <c r="BE818" s="6"/>
      <c r="BF818" s="74"/>
      <c r="BG818" s="74"/>
      <c r="BH818" s="74"/>
      <c r="BI818" s="74"/>
      <c r="BJ818" s="74"/>
      <c r="BK818" s="7">
        <f t="shared" si="1044"/>
        <v>2.3220000000000001</v>
      </c>
      <c r="BL818" s="8">
        <f t="shared" si="840"/>
        <v>2.4050000000000002</v>
      </c>
      <c r="BM818" s="51" t="str">
        <f>IFERROR(VLOOKUP(A818,NF!$M:$O,3,0),"")</f>
        <v>Mercado</v>
      </c>
      <c r="BN818" s="7">
        <f t="shared" si="841"/>
        <v>21.349999999999998</v>
      </c>
      <c r="BO818" s="8">
        <f t="array" ref="BO818">IFERROR(LARGE(IF(NF!$G$2:$G$3137='Mês atual'!A818,NF!$J$2:$J$3137),1),0)*BN818</f>
        <v>226.30999999999997</v>
      </c>
      <c r="BP818" s="50"/>
      <c r="BR818" s="147">
        <f t="array" ref="BR818">IFERROR(LARGE(IF(NF!$G$2:$G$3137='Mês atual'!A818,NF!$J$2:$J$3137),1),0)</f>
        <v>10.6</v>
      </c>
      <c r="BS818" s="143" t="str">
        <f>VLOOKUP(A818,NF!M:O,3,0)</f>
        <v>Mercado</v>
      </c>
    </row>
    <row r="819" spans="1:71" x14ac:dyDescent="0.25">
      <c r="A819" s="108" t="s">
        <v>693</v>
      </c>
      <c r="B819" s="12"/>
      <c r="C819" s="9">
        <v>1</v>
      </c>
      <c r="D819" s="25"/>
      <c r="E819" s="10" t="str">
        <f t="shared" si="986"/>
        <v>OutubroSEMANA 1Quinoa</v>
      </c>
      <c r="F819" s="7">
        <f>SUMIF(NF!$A:$A,$E819,NF!$I:$I)</f>
        <v>1</v>
      </c>
      <c r="G819" s="6"/>
      <c r="H819" s="6"/>
      <c r="I819" s="6"/>
      <c r="J819" s="6"/>
      <c r="K819" s="6"/>
      <c r="L819" s="6"/>
      <c r="M819" s="6"/>
      <c r="N819" s="7">
        <f t="shared" si="1040"/>
        <v>0</v>
      </c>
      <c r="O819" s="11">
        <f t="shared" si="828"/>
        <v>2</v>
      </c>
      <c r="P819" s="25"/>
      <c r="Q819" s="10" t="str">
        <f t="shared" si="987"/>
        <v>OutubroSEMANA 2Quinoa</v>
      </c>
      <c r="R819" s="7">
        <f>SUMIF(NF!$A:$A,$Q819,NF!$I:$I)</f>
        <v>2</v>
      </c>
      <c r="S819" s="6"/>
      <c r="T819" s="6">
        <v>2</v>
      </c>
      <c r="U819" s="6"/>
      <c r="V819" s="6"/>
      <c r="W819" s="6"/>
      <c r="X819" s="6"/>
      <c r="Y819" s="6"/>
      <c r="Z819" s="7">
        <f t="shared" si="1041"/>
        <v>2</v>
      </c>
      <c r="AA819" s="11">
        <f t="shared" si="831"/>
        <v>2</v>
      </c>
      <c r="AB819" s="25"/>
      <c r="AC819" s="10" t="str">
        <f t="shared" si="988"/>
        <v>OutubroSEMANA 3Quinoa</v>
      </c>
      <c r="AD819" s="7">
        <f>SUMIF(NF!$A:$A,$AC819,NF!$I:$I)</f>
        <v>2</v>
      </c>
      <c r="AE819" s="6"/>
      <c r="AF819" s="6"/>
      <c r="AG819" s="6"/>
      <c r="AH819" s="6"/>
      <c r="AI819" s="6"/>
      <c r="AJ819" s="6">
        <v>1</v>
      </c>
      <c r="AK819" s="6"/>
      <c r="AL819" s="7">
        <f t="shared" si="1042"/>
        <v>1</v>
      </c>
      <c r="AM819" s="11">
        <f t="shared" si="834"/>
        <v>3</v>
      </c>
      <c r="AN819" s="25"/>
      <c r="AO819" s="10" t="str">
        <f t="shared" si="989"/>
        <v>OutubroSEMANA 4Quinoa</v>
      </c>
      <c r="AP819" s="7">
        <f>SUMIF(NF!$A:$A,$AO819,NF!$I:$I)</f>
        <v>0</v>
      </c>
      <c r="AQ819" s="6"/>
      <c r="AR819" s="6">
        <v>1</v>
      </c>
      <c r="AS819" s="6"/>
      <c r="AT819" s="6"/>
      <c r="AU819" s="6"/>
      <c r="AV819" s="6"/>
      <c r="AW819" s="6"/>
      <c r="AX819" s="7">
        <f t="shared" si="1043"/>
        <v>1</v>
      </c>
      <c r="AY819" s="11">
        <f t="shared" si="837"/>
        <v>2</v>
      </c>
      <c r="AZ819" s="25"/>
      <c r="BA819" s="10" t="str">
        <f t="shared" si="990"/>
        <v>OutubroSEMANA 5Quinoa</v>
      </c>
      <c r="BB819" s="7">
        <f>SUMIF(NF!$A:$A,$BA819,NF!$I:$I)</f>
        <v>0</v>
      </c>
      <c r="BC819" s="6"/>
      <c r="BD819" s="6"/>
      <c r="BE819" s="6"/>
      <c r="BF819" s="74"/>
      <c r="BG819" s="74"/>
      <c r="BH819" s="74"/>
      <c r="BI819" s="74"/>
      <c r="BJ819" s="74"/>
      <c r="BK819" s="7">
        <f t="shared" si="1044"/>
        <v>0</v>
      </c>
      <c r="BL819" s="8">
        <f t="shared" si="840"/>
        <v>2</v>
      </c>
      <c r="BM819" s="51" t="str">
        <f>IFERROR(VLOOKUP(A819,NF!$M:$O,3,0),"")</f>
        <v>Mercado</v>
      </c>
      <c r="BN819" s="7">
        <f t="shared" si="841"/>
        <v>4</v>
      </c>
      <c r="BO819" s="8">
        <f t="array" ref="BO819">IFERROR(LARGE(IF(NF!$G$2:$G$3137='Mês atual'!A819,NF!$J$2:$J$3137),1),0)*BN819</f>
        <v>95.6</v>
      </c>
      <c r="BP819" s="50"/>
      <c r="BR819" s="147">
        <f t="array" ref="BR819">IFERROR(LARGE(IF(NF!$G$2:$G$3137='Mês atual'!A819,NF!$J$2:$J$3137),1),0)</f>
        <v>23.9</v>
      </c>
      <c r="BS819" s="143" t="str">
        <f>VLOOKUP(A819,NF!M:O,3,0)</f>
        <v>Mercado</v>
      </c>
    </row>
    <row r="820" spans="1:71" x14ac:dyDescent="0.25">
      <c r="A820" s="108" t="s">
        <v>698</v>
      </c>
      <c r="B820" s="12"/>
      <c r="C820" s="9"/>
      <c r="D820" s="25"/>
      <c r="E820" s="10" t="str">
        <f t="shared" si="986"/>
        <v>OutubroSEMANA 1Raviole de Gorogonzola</v>
      </c>
      <c r="F820" s="7">
        <f>SUMIF(NF!$A:$A,$E820,NF!$I:$I)</f>
        <v>0</v>
      </c>
      <c r="G820" s="6"/>
      <c r="H820" s="6"/>
      <c r="I820" s="6"/>
      <c r="J820" s="6"/>
      <c r="K820" s="6"/>
      <c r="L820" s="6"/>
      <c r="M820" s="6"/>
      <c r="N820" s="7">
        <f t="shared" si="1040"/>
        <v>0</v>
      </c>
      <c r="O820" s="11">
        <f t="shared" si="828"/>
        <v>0</v>
      </c>
      <c r="P820" s="25"/>
      <c r="Q820" s="10" t="str">
        <f t="shared" si="987"/>
        <v>OutubroSEMANA 2Raviole de Gorogonzola</v>
      </c>
      <c r="R820" s="7">
        <f>SUMIF(NF!$A:$A,$Q820,NF!$I:$I)</f>
        <v>0</v>
      </c>
      <c r="S820" s="6"/>
      <c r="T820" s="6"/>
      <c r="U820" s="6"/>
      <c r="V820" s="6"/>
      <c r="W820" s="6"/>
      <c r="X820" s="6"/>
      <c r="Y820" s="6"/>
      <c r="Z820" s="7">
        <f t="shared" si="1041"/>
        <v>0</v>
      </c>
      <c r="AA820" s="11">
        <f t="shared" si="831"/>
        <v>0</v>
      </c>
      <c r="AB820" s="25"/>
      <c r="AC820" s="10" t="str">
        <f t="shared" si="988"/>
        <v>OutubroSEMANA 3Raviole de Gorogonzola</v>
      </c>
      <c r="AD820" s="7">
        <f>SUMIF(NF!$A:$A,$AC820,NF!$I:$I)</f>
        <v>0</v>
      </c>
      <c r="AE820" s="6"/>
      <c r="AF820" s="6"/>
      <c r="AG820" s="6"/>
      <c r="AH820" s="6"/>
      <c r="AI820" s="6"/>
      <c r="AJ820" s="6"/>
      <c r="AK820" s="6"/>
      <c r="AL820" s="7">
        <f t="shared" si="1042"/>
        <v>0</v>
      </c>
      <c r="AM820" s="11">
        <f t="shared" si="834"/>
        <v>0</v>
      </c>
      <c r="AN820" s="25"/>
      <c r="AO820" s="10" t="str">
        <f t="shared" si="989"/>
        <v>OutubroSEMANA 4Raviole de Gorogonzola</v>
      </c>
      <c r="AP820" s="7">
        <f>SUMIF(NF!$A:$A,$AO820,NF!$I:$I)</f>
        <v>0</v>
      </c>
      <c r="AQ820" s="6"/>
      <c r="AR820" s="6"/>
      <c r="AS820" s="6"/>
      <c r="AT820" s="6"/>
      <c r="AU820" s="6"/>
      <c r="AV820" s="6"/>
      <c r="AW820" s="6"/>
      <c r="AX820" s="7">
        <f t="shared" si="1043"/>
        <v>0</v>
      </c>
      <c r="AY820" s="11">
        <f t="shared" si="837"/>
        <v>0</v>
      </c>
      <c r="AZ820" s="25"/>
      <c r="BA820" s="10" t="str">
        <f t="shared" si="990"/>
        <v>OutubroSEMANA 5Raviole de Gorogonzola</v>
      </c>
      <c r="BB820" s="7">
        <f>SUMIF(NF!$A:$A,$BA820,NF!$I:$I)</f>
        <v>0</v>
      </c>
      <c r="BC820" s="6"/>
      <c r="BD820" s="6"/>
      <c r="BE820" s="6"/>
      <c r="BF820" s="74"/>
      <c r="BG820" s="74"/>
      <c r="BH820" s="74"/>
      <c r="BI820" s="74"/>
      <c r="BJ820" s="74"/>
      <c r="BK820" s="7">
        <f t="shared" si="1044"/>
        <v>0</v>
      </c>
      <c r="BL820" s="8">
        <f t="shared" si="840"/>
        <v>0</v>
      </c>
      <c r="BM820" s="51" t="str">
        <f>IFERROR(VLOOKUP(A820,NF!$M:$O,3,0),"")</f>
        <v>Mercado</v>
      </c>
      <c r="BN820" s="7">
        <f t="shared" si="841"/>
        <v>0</v>
      </c>
      <c r="BO820" s="8">
        <f t="array" ref="BO820">IFERROR(LARGE(IF(NF!$G$2:$G$3137='Mês atual'!A820,NF!$J$2:$J$3137),1),0)*BN820</f>
        <v>0</v>
      </c>
      <c r="BP820" s="50"/>
      <c r="BR820" s="147">
        <f t="array" ref="BR820">IFERROR(LARGE(IF(NF!$G$2:$G$3137='Mês atual'!A820,NF!$J$2:$J$3137),1),0)</f>
        <v>0</v>
      </c>
      <c r="BS820" s="143" t="str">
        <f>VLOOKUP(A820,NF!M:O,3,0)</f>
        <v>Mercado</v>
      </c>
    </row>
    <row r="821" spans="1:71" x14ac:dyDescent="0.25">
      <c r="A821" s="108" t="s">
        <v>699</v>
      </c>
      <c r="B821" s="12"/>
      <c r="C821" s="9"/>
      <c r="D821" s="25"/>
      <c r="E821" s="10" t="str">
        <f t="shared" si="986"/>
        <v>OutubroSEMANA 1Raviole de Mussarela</v>
      </c>
      <c r="F821" s="7">
        <f>SUMIF(NF!$A:$A,$E821,NF!$I:$I)</f>
        <v>0</v>
      </c>
      <c r="G821" s="6"/>
      <c r="H821" s="6"/>
      <c r="I821" s="6"/>
      <c r="J821" s="6"/>
      <c r="K821" s="6"/>
      <c r="L821" s="6"/>
      <c r="M821" s="6"/>
      <c r="N821" s="7">
        <f t="shared" si="1040"/>
        <v>0</v>
      </c>
      <c r="O821" s="11">
        <f t="shared" si="828"/>
        <v>0</v>
      </c>
      <c r="P821" s="25"/>
      <c r="Q821" s="10" t="str">
        <f t="shared" si="987"/>
        <v>OutubroSEMANA 2Raviole de Mussarela</v>
      </c>
      <c r="R821" s="7">
        <f>SUMIF(NF!$A:$A,$Q821,NF!$I:$I)</f>
        <v>0</v>
      </c>
      <c r="S821" s="6"/>
      <c r="T821" s="6"/>
      <c r="U821" s="6"/>
      <c r="V821" s="6"/>
      <c r="W821" s="6"/>
      <c r="X821" s="6"/>
      <c r="Y821" s="6"/>
      <c r="Z821" s="7">
        <f t="shared" si="1041"/>
        <v>0</v>
      </c>
      <c r="AA821" s="11">
        <f t="shared" si="831"/>
        <v>0</v>
      </c>
      <c r="AB821" s="25"/>
      <c r="AC821" s="10" t="str">
        <f t="shared" si="988"/>
        <v>OutubroSEMANA 3Raviole de Mussarela</v>
      </c>
      <c r="AD821" s="7">
        <f>SUMIF(NF!$A:$A,$AC821,NF!$I:$I)</f>
        <v>0</v>
      </c>
      <c r="AE821" s="6"/>
      <c r="AF821" s="6"/>
      <c r="AG821" s="6"/>
      <c r="AH821" s="6"/>
      <c r="AI821" s="6"/>
      <c r="AJ821" s="6"/>
      <c r="AK821" s="6"/>
      <c r="AL821" s="7">
        <f t="shared" si="1042"/>
        <v>0</v>
      </c>
      <c r="AM821" s="11">
        <f t="shared" si="834"/>
        <v>0</v>
      </c>
      <c r="AN821" s="25"/>
      <c r="AO821" s="10" t="str">
        <f t="shared" si="989"/>
        <v>OutubroSEMANA 4Raviole de Mussarela</v>
      </c>
      <c r="AP821" s="7">
        <f>SUMIF(NF!$A:$A,$AO821,NF!$I:$I)</f>
        <v>0</v>
      </c>
      <c r="AQ821" s="6"/>
      <c r="AR821" s="6"/>
      <c r="AS821" s="6"/>
      <c r="AT821" s="6"/>
      <c r="AU821" s="6"/>
      <c r="AV821" s="6"/>
      <c r="AW821" s="6"/>
      <c r="AX821" s="7">
        <f t="shared" si="1043"/>
        <v>0</v>
      </c>
      <c r="AY821" s="11">
        <f t="shared" si="837"/>
        <v>0</v>
      </c>
      <c r="AZ821" s="25"/>
      <c r="BA821" s="10" t="str">
        <f t="shared" si="990"/>
        <v>OutubroSEMANA 5Raviole de Mussarela</v>
      </c>
      <c r="BB821" s="7">
        <f>SUMIF(NF!$A:$A,$BA821,NF!$I:$I)</f>
        <v>0</v>
      </c>
      <c r="BC821" s="6"/>
      <c r="BD821" s="6"/>
      <c r="BE821" s="6"/>
      <c r="BF821" s="74"/>
      <c r="BG821" s="74"/>
      <c r="BH821" s="74"/>
      <c r="BI821" s="74"/>
      <c r="BJ821" s="74"/>
      <c r="BK821" s="7">
        <f t="shared" si="1044"/>
        <v>0</v>
      </c>
      <c r="BL821" s="8">
        <f t="shared" si="840"/>
        <v>0</v>
      </c>
      <c r="BM821" s="51" t="str">
        <f>IFERROR(VLOOKUP(A821,NF!$M:$O,3,0),"")</f>
        <v>Mercado</v>
      </c>
      <c r="BN821" s="7">
        <f t="shared" si="841"/>
        <v>0</v>
      </c>
      <c r="BO821" s="8">
        <f t="array" ref="BO821">IFERROR(LARGE(IF(NF!$G$2:$G$3137='Mês atual'!A821,NF!$J$2:$J$3137),1),0)*BN821</f>
        <v>0</v>
      </c>
      <c r="BP821" s="50"/>
      <c r="BR821" s="147">
        <f t="array" ref="BR821">IFERROR(LARGE(IF(NF!$G$2:$G$3137='Mês atual'!A821,NF!$J$2:$J$3137),1),0)</f>
        <v>0</v>
      </c>
      <c r="BS821" s="143" t="str">
        <f>VLOOKUP(A821,NF!M:O,3,0)</f>
        <v>Mercado</v>
      </c>
    </row>
    <row r="822" spans="1:71" x14ac:dyDescent="0.25">
      <c r="A822" s="108" t="s">
        <v>700</v>
      </c>
      <c r="B822" s="12"/>
      <c r="C822" s="9"/>
      <c r="D822" s="25"/>
      <c r="E822" s="10" t="str">
        <f t="shared" si="986"/>
        <v>OutubroSEMANA 1Raviole Variados</v>
      </c>
      <c r="F822" s="7">
        <f>SUMIF(NF!$A:$A,$E822,NF!$I:$I)</f>
        <v>0</v>
      </c>
      <c r="G822" s="6"/>
      <c r="H822" s="6"/>
      <c r="I822" s="6"/>
      <c r="J822" s="6"/>
      <c r="K822" s="6"/>
      <c r="L822" s="6"/>
      <c r="M822" s="6"/>
      <c r="N822" s="7">
        <f t="shared" si="1040"/>
        <v>0</v>
      </c>
      <c r="O822" s="11">
        <f t="shared" si="828"/>
        <v>0</v>
      </c>
      <c r="P822" s="25"/>
      <c r="Q822" s="10" t="str">
        <f t="shared" si="987"/>
        <v>OutubroSEMANA 2Raviole Variados</v>
      </c>
      <c r="R822" s="7">
        <f>SUMIF(NF!$A:$A,$Q822,NF!$I:$I)</f>
        <v>0</v>
      </c>
      <c r="S822" s="6"/>
      <c r="T822" s="6"/>
      <c r="U822" s="6"/>
      <c r="V822" s="6"/>
      <c r="W822" s="6"/>
      <c r="X822" s="6"/>
      <c r="Y822" s="6"/>
      <c r="Z822" s="7">
        <f t="shared" si="1041"/>
        <v>0</v>
      </c>
      <c r="AA822" s="11">
        <f t="shared" si="831"/>
        <v>0</v>
      </c>
      <c r="AB822" s="25"/>
      <c r="AC822" s="10" t="str">
        <f t="shared" si="988"/>
        <v>OutubroSEMANA 3Raviole Variados</v>
      </c>
      <c r="AD822" s="7">
        <f>SUMIF(NF!$A:$A,$AC822,NF!$I:$I)</f>
        <v>0</v>
      </c>
      <c r="AE822" s="6"/>
      <c r="AF822" s="6"/>
      <c r="AG822" s="6"/>
      <c r="AH822" s="6"/>
      <c r="AI822" s="6"/>
      <c r="AJ822" s="6"/>
      <c r="AK822" s="6"/>
      <c r="AL822" s="7">
        <f t="shared" si="1042"/>
        <v>0</v>
      </c>
      <c r="AM822" s="11">
        <f t="shared" si="834"/>
        <v>0</v>
      </c>
      <c r="AN822" s="25"/>
      <c r="AO822" s="10" t="str">
        <f t="shared" si="989"/>
        <v>OutubroSEMANA 4Raviole Variados</v>
      </c>
      <c r="AP822" s="7">
        <f>SUMIF(NF!$A:$A,$AO822,NF!$I:$I)</f>
        <v>0</v>
      </c>
      <c r="AQ822" s="6"/>
      <c r="AR822" s="6"/>
      <c r="AS822" s="6"/>
      <c r="AT822" s="6"/>
      <c r="AU822" s="6"/>
      <c r="AV822" s="6"/>
      <c r="AW822" s="6"/>
      <c r="AX822" s="7">
        <f t="shared" si="1043"/>
        <v>0</v>
      </c>
      <c r="AY822" s="11">
        <f t="shared" si="837"/>
        <v>0</v>
      </c>
      <c r="AZ822" s="25"/>
      <c r="BA822" s="10" t="str">
        <f t="shared" si="990"/>
        <v>OutubroSEMANA 5Raviole Variados</v>
      </c>
      <c r="BB822" s="7">
        <f>SUMIF(NF!$A:$A,$BA822,NF!$I:$I)</f>
        <v>0</v>
      </c>
      <c r="BC822" s="6"/>
      <c r="BD822" s="6"/>
      <c r="BE822" s="6"/>
      <c r="BF822" s="74"/>
      <c r="BG822" s="74"/>
      <c r="BH822" s="74"/>
      <c r="BI822" s="74"/>
      <c r="BJ822" s="74"/>
      <c r="BK822" s="7">
        <f t="shared" si="1044"/>
        <v>0</v>
      </c>
      <c r="BL822" s="8">
        <f t="shared" si="840"/>
        <v>0</v>
      </c>
      <c r="BM822" s="51" t="str">
        <f>IFERROR(VLOOKUP(A822,NF!$M:$O,3,0),"")</f>
        <v>Mercado</v>
      </c>
      <c r="BN822" s="7">
        <f t="shared" si="841"/>
        <v>0</v>
      </c>
      <c r="BO822" s="8">
        <f t="array" ref="BO822">IFERROR(LARGE(IF(NF!$G$2:$G$3137='Mês atual'!A822,NF!$J$2:$J$3137),1),0)*BN822</f>
        <v>0</v>
      </c>
      <c r="BP822" s="50"/>
      <c r="BR822" s="147">
        <f t="array" ref="BR822">IFERROR(LARGE(IF(NF!$G$2:$G$3137='Mês atual'!A822,NF!$J$2:$J$3137),1),0)</f>
        <v>0</v>
      </c>
      <c r="BS822" s="143" t="str">
        <f>VLOOKUP(A822,NF!M:O,3,0)</f>
        <v>Mercado</v>
      </c>
    </row>
    <row r="823" spans="1:71" x14ac:dyDescent="0.25">
      <c r="A823" s="108" t="s">
        <v>704</v>
      </c>
      <c r="B823" s="12"/>
      <c r="C823" s="9"/>
      <c r="D823" s="25"/>
      <c r="E823" s="10" t="str">
        <f t="shared" si="986"/>
        <v>OutubroSEMANA 1Rolo de Massa Folhada 2,8 Kg</v>
      </c>
      <c r="F823" s="7">
        <f>SUMIF(NF!$A:$A,$E823,NF!$I:$I)</f>
        <v>0</v>
      </c>
      <c r="G823" s="6"/>
      <c r="H823" s="6"/>
      <c r="I823" s="6"/>
      <c r="J823" s="6"/>
      <c r="K823" s="6"/>
      <c r="L823" s="6"/>
      <c r="M823" s="6"/>
      <c r="N823" s="7">
        <f t="shared" si="1040"/>
        <v>0</v>
      </c>
      <c r="O823" s="11">
        <f t="shared" si="828"/>
        <v>0</v>
      </c>
      <c r="P823" s="25"/>
      <c r="Q823" s="10" t="str">
        <f t="shared" si="987"/>
        <v>OutubroSEMANA 2Rolo de Massa Folhada 2,8 Kg</v>
      </c>
      <c r="R823" s="7">
        <f>SUMIF(NF!$A:$A,$Q823,NF!$I:$I)</f>
        <v>0</v>
      </c>
      <c r="S823" s="6"/>
      <c r="T823" s="6"/>
      <c r="U823" s="6"/>
      <c r="V823" s="6"/>
      <c r="W823" s="6"/>
      <c r="X823" s="6"/>
      <c r="Y823" s="6"/>
      <c r="Z823" s="7">
        <f t="shared" si="1041"/>
        <v>0</v>
      </c>
      <c r="AA823" s="11">
        <f t="shared" si="831"/>
        <v>0</v>
      </c>
      <c r="AB823" s="25"/>
      <c r="AC823" s="10" t="str">
        <f t="shared" si="988"/>
        <v>OutubroSEMANA 3Rolo de Massa Folhada 2,8 Kg</v>
      </c>
      <c r="AD823" s="7">
        <f>SUMIF(NF!$A:$A,$AC823,NF!$I:$I)</f>
        <v>0</v>
      </c>
      <c r="AE823" s="6"/>
      <c r="AF823" s="6"/>
      <c r="AG823" s="6"/>
      <c r="AH823" s="6"/>
      <c r="AI823" s="6"/>
      <c r="AJ823" s="6"/>
      <c r="AK823" s="6"/>
      <c r="AL823" s="7">
        <f t="shared" si="1042"/>
        <v>0</v>
      </c>
      <c r="AM823" s="11">
        <f t="shared" si="834"/>
        <v>0</v>
      </c>
      <c r="AN823" s="25"/>
      <c r="AO823" s="10" t="str">
        <f t="shared" si="989"/>
        <v>OutubroSEMANA 4Rolo de Massa Folhada 2,8 Kg</v>
      </c>
      <c r="AP823" s="7">
        <f>SUMIF(NF!$A:$A,$AO823,NF!$I:$I)</f>
        <v>0</v>
      </c>
      <c r="AQ823" s="6"/>
      <c r="AR823" s="6"/>
      <c r="AS823" s="6"/>
      <c r="AT823" s="6"/>
      <c r="AU823" s="6"/>
      <c r="AV823" s="6"/>
      <c r="AW823" s="6"/>
      <c r="AX823" s="7">
        <f t="shared" si="1043"/>
        <v>0</v>
      </c>
      <c r="AY823" s="11">
        <f t="shared" si="837"/>
        <v>0</v>
      </c>
      <c r="AZ823" s="25"/>
      <c r="BA823" s="10" t="str">
        <f t="shared" si="990"/>
        <v>OutubroSEMANA 5Rolo de Massa Folhada 2,8 Kg</v>
      </c>
      <c r="BB823" s="7">
        <f>SUMIF(NF!$A:$A,$BA823,NF!$I:$I)</f>
        <v>0</v>
      </c>
      <c r="BC823" s="6"/>
      <c r="BD823" s="6"/>
      <c r="BE823" s="6"/>
      <c r="BF823" s="74"/>
      <c r="BG823" s="74"/>
      <c r="BH823" s="74"/>
      <c r="BI823" s="74"/>
      <c r="BJ823" s="74"/>
      <c r="BK823" s="7">
        <f t="shared" si="1044"/>
        <v>0</v>
      </c>
      <c r="BL823" s="8">
        <f t="shared" si="840"/>
        <v>0</v>
      </c>
      <c r="BM823" s="51" t="str">
        <f>IFERROR(VLOOKUP(A823,NF!$M:$O,3,0),"")</f>
        <v>Mercado</v>
      </c>
      <c r="BN823" s="7">
        <f t="shared" si="841"/>
        <v>0</v>
      </c>
      <c r="BO823" s="8">
        <f t="array" ref="BO823">IFERROR(LARGE(IF(NF!$G$2:$G$3137='Mês atual'!A823,NF!$J$2:$J$3137),1),0)*BN823</f>
        <v>0</v>
      </c>
      <c r="BP823" s="50"/>
      <c r="BR823" s="147">
        <f t="array" ref="BR823">IFERROR(LARGE(IF(NF!$G$2:$G$3137='Mês atual'!A823,NF!$J$2:$J$3137),1),0)</f>
        <v>0</v>
      </c>
      <c r="BS823" s="143" t="str">
        <f>VLOOKUP(A823,NF!M:O,3,0)</f>
        <v>Mercado</v>
      </c>
    </row>
    <row r="824" spans="1:71" x14ac:dyDescent="0.25">
      <c r="A824" s="108" t="s">
        <v>705</v>
      </c>
      <c r="B824" s="12"/>
      <c r="C824" s="9"/>
      <c r="D824" s="25"/>
      <c r="E824" s="10" t="str">
        <f t="shared" si="986"/>
        <v>OutubroSEMANA 1Rondelli</v>
      </c>
      <c r="F824" s="7">
        <f>SUMIF(NF!$A:$A,$E824,NF!$I:$I)</f>
        <v>0</v>
      </c>
      <c r="G824" s="6"/>
      <c r="H824" s="6"/>
      <c r="I824" s="6"/>
      <c r="J824" s="6"/>
      <c r="K824" s="6"/>
      <c r="L824" s="6"/>
      <c r="M824" s="6"/>
      <c r="N824" s="7">
        <f t="shared" si="1040"/>
        <v>0</v>
      </c>
      <c r="O824" s="11">
        <f t="shared" si="828"/>
        <v>0</v>
      </c>
      <c r="P824" s="25"/>
      <c r="Q824" s="10" t="str">
        <f t="shared" si="987"/>
        <v>OutubroSEMANA 2Rondelli</v>
      </c>
      <c r="R824" s="7">
        <f>SUMIF(NF!$A:$A,$Q824,NF!$I:$I)</f>
        <v>0</v>
      </c>
      <c r="S824" s="6"/>
      <c r="T824" s="6"/>
      <c r="U824" s="6"/>
      <c r="V824" s="6"/>
      <c r="W824" s="6"/>
      <c r="X824" s="6"/>
      <c r="Y824" s="6"/>
      <c r="Z824" s="7">
        <f t="shared" si="1041"/>
        <v>0</v>
      </c>
      <c r="AA824" s="11">
        <f t="shared" si="831"/>
        <v>0</v>
      </c>
      <c r="AB824" s="25"/>
      <c r="AC824" s="10" t="str">
        <f t="shared" si="988"/>
        <v>OutubroSEMANA 3Rondelli</v>
      </c>
      <c r="AD824" s="7">
        <f>SUMIF(NF!$A:$A,$AC824,NF!$I:$I)</f>
        <v>0</v>
      </c>
      <c r="AE824" s="6"/>
      <c r="AF824" s="6"/>
      <c r="AG824" s="6"/>
      <c r="AH824" s="6"/>
      <c r="AI824" s="6"/>
      <c r="AJ824" s="6"/>
      <c r="AK824" s="6"/>
      <c r="AL824" s="7">
        <f t="shared" si="1042"/>
        <v>0</v>
      </c>
      <c r="AM824" s="11">
        <f t="shared" si="834"/>
        <v>0</v>
      </c>
      <c r="AN824" s="25"/>
      <c r="AO824" s="10" t="str">
        <f t="shared" si="989"/>
        <v>OutubroSEMANA 4Rondelli</v>
      </c>
      <c r="AP824" s="7">
        <f>SUMIF(NF!$A:$A,$AO824,NF!$I:$I)</f>
        <v>0</v>
      </c>
      <c r="AQ824" s="6"/>
      <c r="AR824" s="6"/>
      <c r="AS824" s="6"/>
      <c r="AT824" s="6"/>
      <c r="AU824" s="6"/>
      <c r="AV824" s="6"/>
      <c r="AW824" s="6"/>
      <c r="AX824" s="7">
        <f t="shared" si="1043"/>
        <v>0</v>
      </c>
      <c r="AY824" s="11">
        <f t="shared" si="837"/>
        <v>0</v>
      </c>
      <c r="AZ824" s="25"/>
      <c r="BA824" s="10" t="str">
        <f t="shared" si="990"/>
        <v>OutubroSEMANA 5Rondelli</v>
      </c>
      <c r="BB824" s="7">
        <f>SUMIF(NF!$A:$A,$BA824,NF!$I:$I)</f>
        <v>0</v>
      </c>
      <c r="BC824" s="6"/>
      <c r="BD824" s="6"/>
      <c r="BE824" s="6"/>
      <c r="BF824" s="74"/>
      <c r="BG824" s="74"/>
      <c r="BH824" s="74"/>
      <c r="BI824" s="74"/>
      <c r="BJ824" s="74"/>
      <c r="BK824" s="7">
        <f t="shared" si="1044"/>
        <v>0</v>
      </c>
      <c r="BL824" s="8">
        <f t="shared" si="840"/>
        <v>0</v>
      </c>
      <c r="BM824" s="51" t="str">
        <f>IFERROR(VLOOKUP(A824,NF!$M:$O,3,0),"")</f>
        <v>Mercado</v>
      </c>
      <c r="BN824" s="7">
        <f t="shared" si="841"/>
        <v>0</v>
      </c>
      <c r="BO824" s="8">
        <f t="array" ref="BO824">IFERROR(LARGE(IF(NF!$G$2:$G$3137='Mês atual'!A824,NF!$J$2:$J$3137),1),0)*BN824</f>
        <v>0</v>
      </c>
      <c r="BP824" s="50"/>
      <c r="BR824" s="147">
        <f t="array" ref="BR824">IFERROR(LARGE(IF(NF!$G$2:$G$3137='Mês atual'!A824,NF!$J$2:$J$3137),1),0)</f>
        <v>0</v>
      </c>
      <c r="BS824" s="143" t="str">
        <f>VLOOKUP(A824,NF!M:O,3,0)</f>
        <v>Mercado</v>
      </c>
    </row>
    <row r="825" spans="1:71" x14ac:dyDescent="0.25">
      <c r="A825" s="108" t="s">
        <v>723</v>
      </c>
      <c r="B825" s="12"/>
      <c r="C825" s="9"/>
      <c r="D825" s="25"/>
      <c r="E825" s="10" t="str">
        <f t="shared" si="986"/>
        <v>OutubroSEMANA 1Sagu</v>
      </c>
      <c r="F825" s="7">
        <f>SUMIF(NF!$A:$A,$E825,NF!$I:$I)</f>
        <v>0</v>
      </c>
      <c r="G825" s="6"/>
      <c r="H825" s="6"/>
      <c r="I825" s="6"/>
      <c r="J825" s="6"/>
      <c r="K825" s="6"/>
      <c r="L825" s="6"/>
      <c r="M825" s="6"/>
      <c r="N825" s="7">
        <f t="shared" si="1040"/>
        <v>0</v>
      </c>
      <c r="O825" s="11">
        <f t="shared" si="828"/>
        <v>0</v>
      </c>
      <c r="P825" s="25"/>
      <c r="Q825" s="10" t="str">
        <f t="shared" si="987"/>
        <v>OutubroSEMANA 2Sagu</v>
      </c>
      <c r="R825" s="7">
        <f>SUMIF(NF!$A:$A,$Q825,NF!$I:$I)</f>
        <v>0</v>
      </c>
      <c r="S825" s="6"/>
      <c r="T825" s="6"/>
      <c r="U825" s="6"/>
      <c r="V825" s="6"/>
      <c r="W825" s="6"/>
      <c r="X825" s="6"/>
      <c r="Y825" s="6"/>
      <c r="Z825" s="7">
        <f t="shared" si="1041"/>
        <v>0</v>
      </c>
      <c r="AA825" s="11">
        <f t="shared" si="831"/>
        <v>0</v>
      </c>
      <c r="AB825" s="25"/>
      <c r="AC825" s="10" t="str">
        <f t="shared" si="988"/>
        <v>OutubroSEMANA 3Sagu</v>
      </c>
      <c r="AD825" s="7">
        <f>SUMIF(NF!$A:$A,$AC825,NF!$I:$I)</f>
        <v>0</v>
      </c>
      <c r="AE825" s="6"/>
      <c r="AF825" s="6"/>
      <c r="AG825" s="6"/>
      <c r="AH825" s="6"/>
      <c r="AI825" s="6"/>
      <c r="AJ825" s="6"/>
      <c r="AK825" s="6"/>
      <c r="AL825" s="7">
        <f t="shared" si="1042"/>
        <v>0</v>
      </c>
      <c r="AM825" s="11">
        <f t="shared" si="834"/>
        <v>0</v>
      </c>
      <c r="AN825" s="25"/>
      <c r="AO825" s="10" t="str">
        <f t="shared" si="989"/>
        <v>OutubroSEMANA 4Sagu</v>
      </c>
      <c r="AP825" s="7">
        <f>SUMIF(NF!$A:$A,$AO825,NF!$I:$I)</f>
        <v>0</v>
      </c>
      <c r="AQ825" s="6"/>
      <c r="AR825" s="6"/>
      <c r="AS825" s="6"/>
      <c r="AT825" s="6"/>
      <c r="AU825" s="6"/>
      <c r="AV825" s="6"/>
      <c r="AW825" s="6"/>
      <c r="AX825" s="7">
        <f t="shared" si="1043"/>
        <v>0</v>
      </c>
      <c r="AY825" s="11">
        <f t="shared" si="837"/>
        <v>0</v>
      </c>
      <c r="AZ825" s="25"/>
      <c r="BA825" s="10" t="str">
        <f t="shared" si="990"/>
        <v>OutubroSEMANA 5Sagu</v>
      </c>
      <c r="BB825" s="7">
        <f>SUMIF(NF!$A:$A,$BA825,NF!$I:$I)</f>
        <v>0</v>
      </c>
      <c r="BC825" s="6"/>
      <c r="BD825" s="6"/>
      <c r="BE825" s="6"/>
      <c r="BF825" s="74"/>
      <c r="BG825" s="74"/>
      <c r="BH825" s="74"/>
      <c r="BI825" s="74"/>
      <c r="BJ825" s="74"/>
      <c r="BK825" s="7">
        <f t="shared" si="1044"/>
        <v>0</v>
      </c>
      <c r="BL825" s="8">
        <f t="shared" si="840"/>
        <v>0</v>
      </c>
      <c r="BM825" s="51" t="str">
        <f>IFERROR(VLOOKUP(A825,NF!$M:$O,3,0),"")</f>
        <v>Mercado</v>
      </c>
      <c r="BN825" s="7">
        <f t="shared" si="841"/>
        <v>0</v>
      </c>
      <c r="BO825" s="8">
        <f t="array" ref="BO825">IFERROR(LARGE(IF(NF!$G$2:$G$3137='Mês atual'!A825,NF!$J$2:$J$3137),1),0)*BN825</f>
        <v>0</v>
      </c>
      <c r="BP825" s="50"/>
      <c r="BR825" s="147">
        <f t="array" ref="BR825">IFERROR(LARGE(IF(NF!$G$2:$G$3137='Mês atual'!A825,NF!$J$2:$J$3137),1),0)</f>
        <v>0</v>
      </c>
      <c r="BS825" s="143" t="str">
        <f>VLOOKUP(A825,NF!M:O,3,0)</f>
        <v>Mercado</v>
      </c>
    </row>
    <row r="826" spans="1:71" x14ac:dyDescent="0.25">
      <c r="A826" s="108" t="s">
        <v>724</v>
      </c>
      <c r="B826" s="12"/>
      <c r="C826" s="9">
        <v>12</v>
      </c>
      <c r="D826" s="25"/>
      <c r="E826" s="10" t="str">
        <f t="shared" si="986"/>
        <v>OutubroSEMANA 1Sal Grosso</v>
      </c>
      <c r="F826" s="7">
        <f>SUMIF(NF!$A:$A,$E826,NF!$I:$I)</f>
        <v>0</v>
      </c>
      <c r="G826" s="6"/>
      <c r="H826" s="6"/>
      <c r="I826" s="6"/>
      <c r="J826" s="6"/>
      <c r="K826" s="6"/>
      <c r="L826" s="6"/>
      <c r="M826" s="6">
        <v>1</v>
      </c>
      <c r="N826" s="7">
        <f t="shared" si="1040"/>
        <v>1</v>
      </c>
      <c r="O826" s="11">
        <f t="shared" si="828"/>
        <v>11</v>
      </c>
      <c r="P826" s="25"/>
      <c r="Q826" s="10" t="str">
        <f t="shared" si="987"/>
        <v>OutubroSEMANA 2Sal Grosso</v>
      </c>
      <c r="R826" s="7">
        <f>SUMIF(NF!$A:$A,$Q826,NF!$I:$I)</f>
        <v>0</v>
      </c>
      <c r="S826" s="6"/>
      <c r="T826" s="6"/>
      <c r="U826" s="6"/>
      <c r="V826" s="6"/>
      <c r="W826" s="6"/>
      <c r="X826" s="6"/>
      <c r="Y826" s="6"/>
      <c r="Z826" s="7">
        <f t="shared" si="1041"/>
        <v>0</v>
      </c>
      <c r="AA826" s="11">
        <f t="shared" si="831"/>
        <v>11</v>
      </c>
      <c r="AB826" s="25"/>
      <c r="AC826" s="10" t="str">
        <f t="shared" si="988"/>
        <v>OutubroSEMANA 3Sal Grosso</v>
      </c>
      <c r="AD826" s="7">
        <f>SUMIF(NF!$A:$A,$AC826,NF!$I:$I)</f>
        <v>0</v>
      </c>
      <c r="AE826" s="6"/>
      <c r="AF826" s="6"/>
      <c r="AG826" s="6"/>
      <c r="AH826" s="6"/>
      <c r="AI826" s="6"/>
      <c r="AJ826" s="6">
        <v>2</v>
      </c>
      <c r="AK826" s="6"/>
      <c r="AL826" s="7">
        <f t="shared" si="1042"/>
        <v>2</v>
      </c>
      <c r="AM826" s="11">
        <f t="shared" si="834"/>
        <v>9</v>
      </c>
      <c r="AN826" s="25"/>
      <c r="AO826" s="10" t="str">
        <f t="shared" si="989"/>
        <v>OutubroSEMANA 4Sal Grosso</v>
      </c>
      <c r="AP826" s="7">
        <f>SUMIF(NF!$A:$A,$AO826,NF!$I:$I)</f>
        <v>0</v>
      </c>
      <c r="AQ826" s="6"/>
      <c r="AR826" s="6"/>
      <c r="AS826" s="6"/>
      <c r="AT826" s="6"/>
      <c r="AU826" s="6"/>
      <c r="AV826" s="6"/>
      <c r="AW826" s="6"/>
      <c r="AX826" s="7">
        <f t="shared" si="1043"/>
        <v>0</v>
      </c>
      <c r="AY826" s="11">
        <f t="shared" si="837"/>
        <v>9</v>
      </c>
      <c r="AZ826" s="25"/>
      <c r="BA826" s="10" t="str">
        <f t="shared" si="990"/>
        <v>OutubroSEMANA 5Sal Grosso</v>
      </c>
      <c r="BB826" s="7">
        <f>SUMIF(NF!$A:$A,$BA826,NF!$I:$I)</f>
        <v>0</v>
      </c>
      <c r="BC826" s="6"/>
      <c r="BD826" s="6"/>
      <c r="BE826" s="6"/>
      <c r="BF826" s="74"/>
      <c r="BG826" s="74"/>
      <c r="BH826" s="74"/>
      <c r="BI826" s="74"/>
      <c r="BJ826" s="74"/>
      <c r="BK826" s="7">
        <f t="shared" si="1044"/>
        <v>0</v>
      </c>
      <c r="BL826" s="8">
        <f t="shared" si="840"/>
        <v>9</v>
      </c>
      <c r="BM826" s="51" t="str">
        <f>IFERROR(VLOOKUP(A826,NF!$M:$O,3,0),"")</f>
        <v>Mercado</v>
      </c>
      <c r="BN826" s="7">
        <f t="shared" si="841"/>
        <v>3</v>
      </c>
      <c r="BO826" s="8">
        <f t="array" ref="BO826">IFERROR(LARGE(IF(NF!$G$2:$G$3137='Mês atual'!A826,NF!$J$2:$J$3137),1),0)*BN826</f>
        <v>0</v>
      </c>
      <c r="BP826" s="50"/>
      <c r="BR826" s="147">
        <f t="array" ref="BR826">IFERROR(LARGE(IF(NF!$G$2:$G$3137='Mês atual'!A826,NF!$J$2:$J$3137),1),0)</f>
        <v>0</v>
      </c>
      <c r="BS826" s="143" t="str">
        <f>VLOOKUP(A826,NF!M:O,3,0)</f>
        <v>Mercado</v>
      </c>
    </row>
    <row r="827" spans="1:71" x14ac:dyDescent="0.25">
      <c r="A827" s="108" t="s">
        <v>914</v>
      </c>
      <c r="B827" s="12"/>
      <c r="C827" s="9">
        <v>0.76</v>
      </c>
      <c r="D827" s="25"/>
      <c r="E827" s="10" t="str">
        <f t="shared" si="986"/>
        <v>OutubroSEMANA 1Sal Himalaya</v>
      </c>
      <c r="F827" s="7">
        <f>SUMIF(NF!$A:$A,$E827,NF!$I:$I)</f>
        <v>0</v>
      </c>
      <c r="G827" s="6"/>
      <c r="H827" s="6"/>
      <c r="I827" s="6"/>
      <c r="J827" s="6"/>
      <c r="K827" s="6"/>
      <c r="L827" s="6"/>
      <c r="M827" s="6"/>
      <c r="N827" s="7">
        <f t="shared" si="1040"/>
        <v>0</v>
      </c>
      <c r="O827" s="11">
        <f t="shared" si="828"/>
        <v>0.76</v>
      </c>
      <c r="P827" s="25"/>
      <c r="Q827" s="10" t="str">
        <f t="shared" si="987"/>
        <v>OutubroSEMANA 2Sal Himalaya</v>
      </c>
      <c r="R827" s="7">
        <f>SUMIF(NF!$A:$A,$Q827,NF!$I:$I)</f>
        <v>0</v>
      </c>
      <c r="S827" s="6"/>
      <c r="T827" s="6"/>
      <c r="U827" s="6"/>
      <c r="V827" s="6"/>
      <c r="W827" s="6"/>
      <c r="X827" s="6"/>
      <c r="Y827" s="6"/>
      <c r="Z827" s="7">
        <f t="shared" si="1041"/>
        <v>0</v>
      </c>
      <c r="AA827" s="11">
        <f t="shared" si="831"/>
        <v>0.76</v>
      </c>
      <c r="AB827" s="25"/>
      <c r="AC827" s="10" t="str">
        <f t="shared" si="988"/>
        <v>OutubroSEMANA 3Sal Himalaya</v>
      </c>
      <c r="AD827" s="7">
        <f>SUMIF(NF!$A:$A,$AC827,NF!$I:$I)</f>
        <v>0</v>
      </c>
      <c r="AE827" s="6"/>
      <c r="AF827" s="6"/>
      <c r="AG827" s="6"/>
      <c r="AH827" s="6"/>
      <c r="AI827" s="6"/>
      <c r="AJ827" s="6"/>
      <c r="AK827" s="6"/>
      <c r="AL827" s="7">
        <f t="shared" si="1042"/>
        <v>0</v>
      </c>
      <c r="AM827" s="11">
        <f t="shared" si="834"/>
        <v>0.76</v>
      </c>
      <c r="AN827" s="25"/>
      <c r="AO827" s="10" t="str">
        <f t="shared" si="989"/>
        <v>OutubroSEMANA 4Sal Himalaya</v>
      </c>
      <c r="AP827" s="7">
        <f>SUMIF(NF!$A:$A,$AO827,NF!$I:$I)</f>
        <v>0</v>
      </c>
      <c r="AQ827" s="6"/>
      <c r="AR827" s="6"/>
      <c r="AS827" s="6"/>
      <c r="AT827" s="6"/>
      <c r="AU827" s="6"/>
      <c r="AV827" s="6"/>
      <c r="AW827" s="6"/>
      <c r="AX827" s="7">
        <f t="shared" si="1043"/>
        <v>0</v>
      </c>
      <c r="AY827" s="11">
        <f t="shared" si="837"/>
        <v>0.76</v>
      </c>
      <c r="AZ827" s="25"/>
      <c r="BA827" s="10" t="str">
        <f t="shared" si="990"/>
        <v>OutubroSEMANA 5Sal Himalaya</v>
      </c>
      <c r="BB827" s="7">
        <f>SUMIF(NF!$A:$A,$BA827,NF!$I:$I)</f>
        <v>0</v>
      </c>
      <c r="BC827" s="6"/>
      <c r="BD827" s="6"/>
      <c r="BE827" s="6"/>
      <c r="BF827" s="74"/>
      <c r="BG827" s="74"/>
      <c r="BH827" s="74"/>
      <c r="BI827" s="74"/>
      <c r="BJ827" s="74"/>
      <c r="BK827" s="7">
        <f t="shared" si="1044"/>
        <v>0</v>
      </c>
      <c r="BL827" s="8">
        <f t="shared" si="840"/>
        <v>0.76</v>
      </c>
      <c r="BM827" s="51" t="str">
        <f>IFERROR(VLOOKUP(A827,NF!$M:$O,3,0),"")</f>
        <v>Mercado</v>
      </c>
      <c r="BN827" s="7">
        <f t="shared" si="841"/>
        <v>0</v>
      </c>
      <c r="BO827" s="8">
        <f t="array" ref="BO827">IFERROR(LARGE(IF(NF!$G$2:$G$3137='Mês atual'!A827,NF!$J$2:$J$3137),1),0)*BN827</f>
        <v>0</v>
      </c>
      <c r="BP827" s="50"/>
      <c r="BR827" s="147">
        <f t="array" ref="BR827">IFERROR(LARGE(IF(NF!$G$2:$G$3137='Mês atual'!A827,NF!$J$2:$J$3137),1),0)</f>
        <v>0</v>
      </c>
      <c r="BS827" s="143" t="str">
        <f>VLOOKUP(A827,NF!M:O,3,0)</f>
        <v>Mercado</v>
      </c>
    </row>
    <row r="828" spans="1:71" x14ac:dyDescent="0.25">
      <c r="A828" s="108" t="s">
        <v>725</v>
      </c>
      <c r="B828" s="12"/>
      <c r="C828" s="9">
        <v>15</v>
      </c>
      <c r="D828" s="25"/>
      <c r="E828" s="10" t="str">
        <f t="shared" si="986"/>
        <v>OutubroSEMANA 1Sal Refinado</v>
      </c>
      <c r="F828" s="7">
        <f>SUMIF(NF!$A:$A,$E828,NF!$I:$I)</f>
        <v>9</v>
      </c>
      <c r="G828" s="6">
        <v>2</v>
      </c>
      <c r="H828" s="6"/>
      <c r="I828" s="6">
        <v>3</v>
      </c>
      <c r="J828" s="6">
        <v>2</v>
      </c>
      <c r="K828" s="6"/>
      <c r="L828" s="6">
        <v>5</v>
      </c>
      <c r="M828" s="6"/>
      <c r="N828" s="7">
        <f t="shared" si="1040"/>
        <v>12</v>
      </c>
      <c r="O828" s="11">
        <f t="shared" si="828"/>
        <v>12</v>
      </c>
      <c r="P828" s="25"/>
      <c r="Q828" s="10" t="str">
        <f t="shared" si="987"/>
        <v>OutubroSEMANA 2Sal Refinado</v>
      </c>
      <c r="R828" s="7">
        <f>SUMIF(NF!$A:$A,$Q828,NF!$I:$I)</f>
        <v>10</v>
      </c>
      <c r="S828" s="6">
        <v>2</v>
      </c>
      <c r="T828" s="6"/>
      <c r="U828" s="6">
        <v>2</v>
      </c>
      <c r="V828" s="6"/>
      <c r="W828" s="6">
        <v>5</v>
      </c>
      <c r="X828" s="6"/>
      <c r="Y828" s="6">
        <v>1</v>
      </c>
      <c r="Z828" s="7">
        <f t="shared" si="1041"/>
        <v>10</v>
      </c>
      <c r="AA828" s="11">
        <f t="shared" si="831"/>
        <v>12</v>
      </c>
      <c r="AB828" s="25"/>
      <c r="AC828" s="10" t="str">
        <f t="shared" si="988"/>
        <v>OutubroSEMANA 3Sal Refinado</v>
      </c>
      <c r="AD828" s="7">
        <f>SUMIF(NF!$A:$A,$AC828,NF!$I:$I)</f>
        <v>20</v>
      </c>
      <c r="AE828" s="6"/>
      <c r="AF828" s="6">
        <v>6</v>
      </c>
      <c r="AG828" s="6"/>
      <c r="AH828" s="6"/>
      <c r="AI828" s="6"/>
      <c r="AJ828" s="6">
        <v>6</v>
      </c>
      <c r="AK828" s="6"/>
      <c r="AL828" s="7">
        <f t="shared" si="1042"/>
        <v>12</v>
      </c>
      <c r="AM828" s="11">
        <f t="shared" si="834"/>
        <v>20</v>
      </c>
      <c r="AN828" s="25"/>
      <c r="AO828" s="10" t="str">
        <f t="shared" si="989"/>
        <v>OutubroSEMANA 4Sal Refinado</v>
      </c>
      <c r="AP828" s="7">
        <f>SUMIF(NF!$A:$A,$AO828,NF!$I:$I)</f>
        <v>10</v>
      </c>
      <c r="AQ828" s="6"/>
      <c r="AR828" s="6">
        <v>4</v>
      </c>
      <c r="AS828" s="6">
        <v>2</v>
      </c>
      <c r="AT828" s="6"/>
      <c r="AU828" s="6"/>
      <c r="AV828" s="6">
        <v>2</v>
      </c>
      <c r="AW828" s="6">
        <v>2</v>
      </c>
      <c r="AX828" s="7">
        <f t="shared" si="1043"/>
        <v>10</v>
      </c>
      <c r="AY828" s="11">
        <f t="shared" si="837"/>
        <v>20</v>
      </c>
      <c r="AZ828" s="25"/>
      <c r="BA828" s="10" t="str">
        <f t="shared" si="990"/>
        <v>OutubroSEMANA 5Sal Refinado</v>
      </c>
      <c r="BB828" s="7">
        <f>SUMIF(NF!$A:$A,$BA828,NF!$I:$I)</f>
        <v>0</v>
      </c>
      <c r="BC828" s="6">
        <v>3</v>
      </c>
      <c r="BD828" s="6">
        <v>3</v>
      </c>
      <c r="BE828" s="6"/>
      <c r="BF828" s="74"/>
      <c r="BG828" s="74"/>
      <c r="BH828" s="74"/>
      <c r="BI828" s="74"/>
      <c r="BJ828" s="74"/>
      <c r="BK828" s="7">
        <f t="shared" si="1044"/>
        <v>6</v>
      </c>
      <c r="BL828" s="8">
        <f t="shared" si="840"/>
        <v>14</v>
      </c>
      <c r="BM828" s="51" t="str">
        <f>IFERROR(VLOOKUP(A828,NF!$M:$O,3,0),"")</f>
        <v>Mercado</v>
      </c>
      <c r="BN828" s="7">
        <f t="shared" si="841"/>
        <v>50</v>
      </c>
      <c r="BO828" s="8">
        <f t="array" ref="BO828">IFERROR(LARGE(IF(NF!$G$2:$G$3137='Mês atual'!A828,NF!$J$2:$J$3137),1),0)*BN828</f>
        <v>61.050000000000004</v>
      </c>
      <c r="BP828" s="50"/>
      <c r="BR828" s="147">
        <f t="array" ref="BR828">IFERROR(LARGE(IF(NF!$G$2:$G$3137='Mês atual'!A828,NF!$J$2:$J$3137),1),0)</f>
        <v>1.2210000000000001</v>
      </c>
      <c r="BS828" s="143" t="str">
        <f>VLOOKUP(A828,NF!M:O,3,0)</f>
        <v>Mercado</v>
      </c>
    </row>
    <row r="829" spans="1:71" x14ac:dyDescent="0.25">
      <c r="A829" s="108" t="s">
        <v>726</v>
      </c>
      <c r="B829" s="12"/>
      <c r="C829" s="9">
        <v>5</v>
      </c>
      <c r="D829" s="25"/>
      <c r="E829" s="10" t="str">
        <f t="shared" si="986"/>
        <v>OutubroSEMANA 1Sal Sache</v>
      </c>
      <c r="F829" s="7">
        <f>SUMIF(NF!$A:$A,$E829,NF!$I:$I)</f>
        <v>0</v>
      </c>
      <c r="G829" s="6"/>
      <c r="H829" s="6"/>
      <c r="I829" s="6"/>
      <c r="J829" s="6">
        <v>1</v>
      </c>
      <c r="K829" s="6"/>
      <c r="L829" s="6"/>
      <c r="M829" s="6"/>
      <c r="N829" s="7">
        <f t="shared" si="1040"/>
        <v>1</v>
      </c>
      <c r="O829" s="11">
        <f t="shared" si="828"/>
        <v>4</v>
      </c>
      <c r="P829" s="25"/>
      <c r="Q829" s="10" t="str">
        <f t="shared" si="987"/>
        <v>OutubroSEMANA 2Sal Sache</v>
      </c>
      <c r="R829" s="7">
        <f>SUMIF(NF!$A:$A,$Q829,NF!$I:$I)</f>
        <v>0</v>
      </c>
      <c r="S829" s="6"/>
      <c r="T829" s="6"/>
      <c r="U829" s="6"/>
      <c r="V829" s="6"/>
      <c r="W829" s="6"/>
      <c r="X829" s="6"/>
      <c r="Y829" s="6"/>
      <c r="Z829" s="7">
        <f t="shared" si="1041"/>
        <v>0</v>
      </c>
      <c r="AA829" s="11">
        <f t="shared" si="831"/>
        <v>4</v>
      </c>
      <c r="AB829" s="25"/>
      <c r="AC829" s="10" t="str">
        <f t="shared" si="988"/>
        <v>OutubroSEMANA 3Sal Sache</v>
      </c>
      <c r="AD829" s="7">
        <f>SUMIF(NF!$A:$A,$AC829,NF!$I:$I)</f>
        <v>0</v>
      </c>
      <c r="AE829" s="6"/>
      <c r="AF829" s="6"/>
      <c r="AG829" s="6"/>
      <c r="AH829" s="6"/>
      <c r="AI829" s="6"/>
      <c r="AJ829" s="6">
        <v>1</v>
      </c>
      <c r="AK829" s="6"/>
      <c r="AL829" s="7">
        <f t="shared" si="1042"/>
        <v>1</v>
      </c>
      <c r="AM829" s="11">
        <f t="shared" si="834"/>
        <v>3</v>
      </c>
      <c r="AN829" s="25"/>
      <c r="AO829" s="10" t="str">
        <f t="shared" si="989"/>
        <v>OutubroSEMANA 4Sal Sache</v>
      </c>
      <c r="AP829" s="7">
        <f>SUMIF(NF!$A:$A,$AO829,NF!$I:$I)</f>
        <v>0</v>
      </c>
      <c r="AQ829" s="6"/>
      <c r="AR829" s="6"/>
      <c r="AS829" s="6"/>
      <c r="AT829" s="6"/>
      <c r="AU829" s="6"/>
      <c r="AV829" s="6"/>
      <c r="AW829" s="6"/>
      <c r="AX829" s="7">
        <f t="shared" si="1043"/>
        <v>0</v>
      </c>
      <c r="AY829" s="11">
        <f t="shared" si="837"/>
        <v>3</v>
      </c>
      <c r="AZ829" s="25"/>
      <c r="BA829" s="10" t="str">
        <f t="shared" si="990"/>
        <v>OutubroSEMANA 5Sal Sache</v>
      </c>
      <c r="BB829" s="7">
        <f>SUMIF(NF!$A:$A,$BA829,NF!$I:$I)</f>
        <v>0</v>
      </c>
      <c r="BC829" s="6"/>
      <c r="BD829" s="6"/>
      <c r="BE829" s="6"/>
      <c r="BF829" s="74"/>
      <c r="BG829" s="74"/>
      <c r="BH829" s="74"/>
      <c r="BI829" s="74"/>
      <c r="BJ829" s="74"/>
      <c r="BK829" s="7">
        <f t="shared" si="1044"/>
        <v>0</v>
      </c>
      <c r="BL829" s="8">
        <f t="shared" si="840"/>
        <v>3</v>
      </c>
      <c r="BM829" s="51" t="str">
        <f>IFERROR(VLOOKUP(A829,NF!$M:$O,3,0),"")</f>
        <v>Mercado</v>
      </c>
      <c r="BN829" s="7">
        <f t="shared" si="841"/>
        <v>2</v>
      </c>
      <c r="BO829" s="8">
        <f t="array" ref="BO829">IFERROR(LARGE(IF(NF!$G$2:$G$3137='Mês atual'!A829,NF!$J$2:$J$3137),1),0)*BN829</f>
        <v>0</v>
      </c>
      <c r="BP829" s="50"/>
      <c r="BR829" s="147">
        <f t="array" ref="BR829">IFERROR(LARGE(IF(NF!$G$2:$G$3137='Mês atual'!A829,NF!$J$2:$J$3137),1),0)</f>
        <v>0</v>
      </c>
      <c r="BS829" s="143" t="str">
        <f>VLOOKUP(A829,NF!M:O,3,0)</f>
        <v>Mercado</v>
      </c>
    </row>
    <row r="830" spans="1:71" x14ac:dyDescent="0.25">
      <c r="A830" s="108" t="s">
        <v>728</v>
      </c>
      <c r="B830" s="12"/>
      <c r="C830" s="9"/>
      <c r="D830" s="25"/>
      <c r="E830" s="10" t="str">
        <f t="shared" si="986"/>
        <v>OutubroSEMANA 1Salame Italiano</v>
      </c>
      <c r="F830" s="7">
        <f>SUMIF(NF!$A:$A,$E830,NF!$I:$I)</f>
        <v>0</v>
      </c>
      <c r="G830" s="6"/>
      <c r="H830" s="6"/>
      <c r="I830" s="6"/>
      <c r="J830" s="6"/>
      <c r="K830" s="6"/>
      <c r="L830" s="6"/>
      <c r="M830" s="6"/>
      <c r="N830" s="7">
        <f t="shared" si="1040"/>
        <v>0</v>
      </c>
      <c r="O830" s="11">
        <f t="shared" si="828"/>
        <v>0</v>
      </c>
      <c r="P830" s="25"/>
      <c r="Q830" s="10" t="str">
        <f t="shared" si="987"/>
        <v>OutubroSEMANA 2Salame Italiano</v>
      </c>
      <c r="R830" s="7">
        <f>SUMIF(NF!$A:$A,$Q830,NF!$I:$I)</f>
        <v>0.22800000000000001</v>
      </c>
      <c r="S830" s="6"/>
      <c r="T830" s="6"/>
      <c r="U830" s="6"/>
      <c r="V830" s="6"/>
      <c r="W830" s="6"/>
      <c r="X830" s="6"/>
      <c r="Y830" s="6">
        <v>0.22800000000000001</v>
      </c>
      <c r="Z830" s="7">
        <f t="shared" si="1041"/>
        <v>0.22800000000000001</v>
      </c>
      <c r="AA830" s="11">
        <f t="shared" si="831"/>
        <v>0</v>
      </c>
      <c r="AB830" s="25"/>
      <c r="AC830" s="10" t="str">
        <f t="shared" si="988"/>
        <v>OutubroSEMANA 3Salame Italiano</v>
      </c>
      <c r="AD830" s="7">
        <f>SUMIF(NF!$A:$A,$AC830,NF!$I:$I)</f>
        <v>0</v>
      </c>
      <c r="AE830" s="6"/>
      <c r="AF830" s="6"/>
      <c r="AG830" s="6"/>
      <c r="AH830" s="6"/>
      <c r="AI830" s="6"/>
      <c r="AJ830" s="6"/>
      <c r="AK830" s="6"/>
      <c r="AL830" s="7">
        <f t="shared" si="1042"/>
        <v>0</v>
      </c>
      <c r="AM830" s="11">
        <f t="shared" si="834"/>
        <v>0</v>
      </c>
      <c r="AN830" s="25"/>
      <c r="AO830" s="10" t="str">
        <f t="shared" si="989"/>
        <v>OutubroSEMANA 4Salame Italiano</v>
      </c>
      <c r="AP830" s="7">
        <f>SUMIF(NF!$A:$A,$AO830,NF!$I:$I)</f>
        <v>0</v>
      </c>
      <c r="AQ830" s="6"/>
      <c r="AR830" s="6"/>
      <c r="AS830" s="6"/>
      <c r="AT830" s="6"/>
      <c r="AU830" s="6"/>
      <c r="AV830" s="6"/>
      <c r="AW830" s="6"/>
      <c r="AX830" s="7">
        <f t="shared" si="1043"/>
        <v>0</v>
      </c>
      <c r="AY830" s="11">
        <f t="shared" si="837"/>
        <v>0</v>
      </c>
      <c r="AZ830" s="25"/>
      <c r="BA830" s="10" t="str">
        <f t="shared" si="990"/>
        <v>OutubroSEMANA 5Salame Italiano</v>
      </c>
      <c r="BB830" s="7">
        <f>SUMIF(NF!$A:$A,$BA830,NF!$I:$I)</f>
        <v>0</v>
      </c>
      <c r="BC830" s="6"/>
      <c r="BD830" s="6"/>
      <c r="BE830" s="6"/>
      <c r="BF830" s="74"/>
      <c r="BG830" s="74"/>
      <c r="BH830" s="74"/>
      <c r="BI830" s="74"/>
      <c r="BJ830" s="74"/>
      <c r="BK830" s="7">
        <f t="shared" si="1044"/>
        <v>0</v>
      </c>
      <c r="BL830" s="8">
        <f t="shared" si="840"/>
        <v>0</v>
      </c>
      <c r="BM830" s="51" t="str">
        <f>IFERROR(VLOOKUP(A830,NF!$M:$O,3,0),"")</f>
        <v>Mercado</v>
      </c>
      <c r="BN830" s="7">
        <f t="shared" si="841"/>
        <v>0.22800000000000001</v>
      </c>
      <c r="BO830" s="8">
        <f t="array" ref="BO830">IFERROR(LARGE(IF(NF!$G$2:$G$3137='Mês atual'!A830,NF!$J$2:$J$3137),1),0)*BN830</f>
        <v>13.67544</v>
      </c>
      <c r="BP830" s="50"/>
      <c r="BR830" s="147">
        <f t="array" ref="BR830">IFERROR(LARGE(IF(NF!$G$2:$G$3137='Mês atual'!A830,NF!$J$2:$J$3137),1),0)</f>
        <v>59.98</v>
      </c>
      <c r="BS830" s="143" t="str">
        <f>VLOOKUP(A830,NF!M:O,3,0)</f>
        <v>Mercado</v>
      </c>
    </row>
    <row r="831" spans="1:71" x14ac:dyDescent="0.25">
      <c r="A831" s="108" t="s">
        <v>735</v>
      </c>
      <c r="B831" s="12"/>
      <c r="C831" s="9"/>
      <c r="D831" s="25"/>
      <c r="E831" s="10" t="str">
        <f t="shared" si="986"/>
        <v>OutubroSEMANA 1Saque Azuma Mirim 500 ml</v>
      </c>
      <c r="F831" s="7">
        <f>SUMIF(NF!$A:$A,$E831,NF!$I:$I)</f>
        <v>0</v>
      </c>
      <c r="G831" s="6"/>
      <c r="H831" s="6"/>
      <c r="I831" s="6"/>
      <c r="J831" s="6"/>
      <c r="K831" s="6"/>
      <c r="L831" s="6"/>
      <c r="M831" s="6"/>
      <c r="N831" s="7">
        <f t="shared" si="1040"/>
        <v>0</v>
      </c>
      <c r="O831" s="11">
        <f t="shared" si="828"/>
        <v>0</v>
      </c>
      <c r="P831" s="25"/>
      <c r="Q831" s="10" t="str">
        <f t="shared" si="987"/>
        <v>OutubroSEMANA 2Saque Azuma Mirim 500 ml</v>
      </c>
      <c r="R831" s="7">
        <f>SUMIF(NF!$A:$A,$Q831,NF!$I:$I)</f>
        <v>0</v>
      </c>
      <c r="S831" s="6"/>
      <c r="T831" s="6"/>
      <c r="U831" s="6"/>
      <c r="V831" s="6"/>
      <c r="W831" s="6"/>
      <c r="X831" s="6"/>
      <c r="Y831" s="6"/>
      <c r="Z831" s="7">
        <f t="shared" si="1041"/>
        <v>0</v>
      </c>
      <c r="AA831" s="11">
        <f t="shared" si="831"/>
        <v>0</v>
      </c>
      <c r="AB831" s="25"/>
      <c r="AC831" s="10" t="str">
        <f t="shared" si="988"/>
        <v>OutubroSEMANA 3Saque Azuma Mirim 500 ml</v>
      </c>
      <c r="AD831" s="7">
        <f>SUMIF(NF!$A:$A,$AC831,NF!$I:$I)</f>
        <v>0</v>
      </c>
      <c r="AE831" s="6"/>
      <c r="AF831" s="6"/>
      <c r="AG831" s="6"/>
      <c r="AH831" s="6"/>
      <c r="AI831" s="6"/>
      <c r="AJ831" s="6"/>
      <c r="AK831" s="6"/>
      <c r="AL831" s="7">
        <f t="shared" si="1042"/>
        <v>0</v>
      </c>
      <c r="AM831" s="11">
        <f t="shared" si="834"/>
        <v>0</v>
      </c>
      <c r="AN831" s="25"/>
      <c r="AO831" s="10" t="str">
        <f t="shared" si="989"/>
        <v>OutubroSEMANA 4Saque Azuma Mirim 500 ml</v>
      </c>
      <c r="AP831" s="7">
        <f>SUMIF(NF!$A:$A,$AO831,NF!$I:$I)</f>
        <v>0</v>
      </c>
      <c r="AQ831" s="6"/>
      <c r="AR831" s="6"/>
      <c r="AS831" s="6"/>
      <c r="AT831" s="6"/>
      <c r="AU831" s="6"/>
      <c r="AV831" s="6"/>
      <c r="AW831" s="6"/>
      <c r="AX831" s="7">
        <f t="shared" si="1043"/>
        <v>0</v>
      </c>
      <c r="AY831" s="11">
        <f t="shared" si="837"/>
        <v>0</v>
      </c>
      <c r="AZ831" s="25"/>
      <c r="BA831" s="10" t="str">
        <f t="shared" si="990"/>
        <v>OutubroSEMANA 5Saque Azuma Mirim 500 ml</v>
      </c>
      <c r="BB831" s="7">
        <f>SUMIF(NF!$A:$A,$BA831,NF!$I:$I)</f>
        <v>0</v>
      </c>
      <c r="BC831" s="6"/>
      <c r="BD831" s="6"/>
      <c r="BE831" s="6"/>
      <c r="BF831" s="74"/>
      <c r="BG831" s="74"/>
      <c r="BH831" s="74"/>
      <c r="BI831" s="74"/>
      <c r="BJ831" s="74"/>
      <c r="BK831" s="7">
        <f t="shared" si="1044"/>
        <v>0</v>
      </c>
      <c r="BL831" s="8">
        <f t="shared" si="840"/>
        <v>0</v>
      </c>
      <c r="BM831" s="51" t="str">
        <f>IFERROR(VLOOKUP(A831,NF!$M:$O,3,0),"")</f>
        <v>Mercado</v>
      </c>
      <c r="BN831" s="7">
        <f t="shared" si="841"/>
        <v>0</v>
      </c>
      <c r="BO831" s="8">
        <f t="array" ref="BO831">IFERROR(LARGE(IF(NF!$G$2:$G$3137='Mês atual'!A831,NF!$J$2:$J$3137),1),0)*BN831</f>
        <v>0</v>
      </c>
      <c r="BP831" s="50"/>
      <c r="BR831" s="147">
        <f t="array" ref="BR831">IFERROR(LARGE(IF(NF!$G$2:$G$3137='Mês atual'!A831,NF!$J$2:$J$3137),1),0)</f>
        <v>0</v>
      </c>
      <c r="BS831" s="143" t="str">
        <f>VLOOKUP(A831,NF!M:O,3,0)</f>
        <v>Mercado</v>
      </c>
    </row>
    <row r="832" spans="1:71" x14ac:dyDescent="0.25">
      <c r="A832" s="108" t="s">
        <v>737</v>
      </c>
      <c r="B832" s="12"/>
      <c r="C832" s="9">
        <v>1</v>
      </c>
      <c r="D832" s="25"/>
      <c r="E832" s="10" t="str">
        <f t="shared" si="986"/>
        <v>OutubroSEMANA 1Saque Azuma Mirim Bb 5 Lt</v>
      </c>
      <c r="F832" s="7">
        <f>SUMIF(NF!$A:$A,$E832,NF!$I:$I)</f>
        <v>0</v>
      </c>
      <c r="G832" s="6"/>
      <c r="H832" s="6"/>
      <c r="I832" s="6"/>
      <c r="J832" s="6"/>
      <c r="K832" s="6"/>
      <c r="L832" s="6"/>
      <c r="M832" s="6"/>
      <c r="N832" s="7">
        <f t="shared" ref="N832:N833" si="1045">SUM(G832:M832)</f>
        <v>0</v>
      </c>
      <c r="O832" s="11">
        <f t="shared" si="828"/>
        <v>1</v>
      </c>
      <c r="P832" s="25"/>
      <c r="Q832" s="10" t="str">
        <f t="shared" si="987"/>
        <v>OutubroSEMANA 2Saque Azuma Mirim Bb 5 Lt</v>
      </c>
      <c r="R832" s="7">
        <f>SUMIF(NF!$A:$A,$Q832,NF!$I:$I)</f>
        <v>0</v>
      </c>
      <c r="S832" s="6"/>
      <c r="T832" s="6"/>
      <c r="U832" s="6"/>
      <c r="V832" s="6"/>
      <c r="W832" s="6"/>
      <c r="X832" s="6"/>
      <c r="Y832" s="6"/>
      <c r="Z832" s="7">
        <f t="shared" ref="Z832:Z833" si="1046">SUM(S832:Y832)</f>
        <v>0</v>
      </c>
      <c r="AA832" s="11">
        <f t="shared" si="831"/>
        <v>1</v>
      </c>
      <c r="AB832" s="25"/>
      <c r="AC832" s="10" t="str">
        <f t="shared" si="988"/>
        <v>OutubroSEMANA 3Saque Azuma Mirim Bb 5 Lt</v>
      </c>
      <c r="AD832" s="7">
        <f>SUMIF(NF!$A:$A,$AC832,NF!$I:$I)</f>
        <v>0</v>
      </c>
      <c r="AE832" s="6"/>
      <c r="AF832" s="6"/>
      <c r="AG832" s="6"/>
      <c r="AH832" s="6"/>
      <c r="AI832" s="6"/>
      <c r="AJ832" s="6"/>
      <c r="AK832" s="6"/>
      <c r="AL832" s="7">
        <f t="shared" ref="AL832:AL833" si="1047">SUM(AE832:AK832)</f>
        <v>0</v>
      </c>
      <c r="AM832" s="11">
        <f t="shared" si="834"/>
        <v>1</v>
      </c>
      <c r="AN832" s="25"/>
      <c r="AO832" s="10" t="str">
        <f t="shared" si="989"/>
        <v>OutubroSEMANA 4Saque Azuma Mirim Bb 5 Lt</v>
      </c>
      <c r="AP832" s="7">
        <f>SUMIF(NF!$A:$A,$AO832,NF!$I:$I)</f>
        <v>0</v>
      </c>
      <c r="AQ832" s="6"/>
      <c r="AR832" s="6"/>
      <c r="AS832" s="6"/>
      <c r="AT832" s="6"/>
      <c r="AU832" s="6"/>
      <c r="AV832" s="6"/>
      <c r="AW832" s="6"/>
      <c r="AX832" s="7">
        <f t="shared" ref="AX832:AX833" si="1048">SUM(AQ832:AW832)</f>
        <v>0</v>
      </c>
      <c r="AY832" s="11">
        <f t="shared" si="837"/>
        <v>1</v>
      </c>
      <c r="AZ832" s="25"/>
      <c r="BA832" s="10" t="str">
        <f t="shared" si="990"/>
        <v>OutubroSEMANA 5Saque Azuma Mirim Bb 5 Lt</v>
      </c>
      <c r="BB832" s="7">
        <f>SUMIF(NF!$A:$A,$BA832,NF!$I:$I)</f>
        <v>0</v>
      </c>
      <c r="BC832" s="6"/>
      <c r="BD832" s="6"/>
      <c r="BE832" s="6"/>
      <c r="BF832" s="74"/>
      <c r="BG832" s="74"/>
      <c r="BH832" s="74"/>
      <c r="BI832" s="74"/>
      <c r="BJ832" s="74"/>
      <c r="BK832" s="7">
        <f t="shared" ref="BK832:BK833" si="1049">SUM(BC832:BJ832)</f>
        <v>0</v>
      </c>
      <c r="BL832" s="8">
        <f t="shared" si="840"/>
        <v>1</v>
      </c>
      <c r="BM832" s="51" t="str">
        <f>IFERROR(VLOOKUP(A832,NF!$M:$O,3,0),"")</f>
        <v>Mercado</v>
      </c>
      <c r="BN832" s="7">
        <f t="shared" si="841"/>
        <v>0</v>
      </c>
      <c r="BO832" s="8">
        <f t="array" ref="BO832">IFERROR(LARGE(IF(NF!$G$2:$G$3137='Mês atual'!A832,NF!$J$2:$J$3137),1),0)*BN832</f>
        <v>0</v>
      </c>
      <c r="BP832" s="50"/>
      <c r="BR832" s="147">
        <f t="array" ref="BR832">IFERROR(LARGE(IF(NF!$G$2:$G$3137='Mês atual'!A832,NF!$J$2:$J$3137),1),0)</f>
        <v>0</v>
      </c>
      <c r="BS832" s="143" t="str">
        <f>VLOOKUP(A832,NF!M:O,3,0)</f>
        <v>Mercado</v>
      </c>
    </row>
    <row r="833" spans="1:71" x14ac:dyDescent="0.25">
      <c r="A833" s="108" t="s">
        <v>1034</v>
      </c>
      <c r="B833" s="12"/>
      <c r="C833" s="9"/>
      <c r="D833" s="25"/>
      <c r="E833" s="10" t="str">
        <f t="shared" si="986"/>
        <v>OutubroSEMANA 1Shitake</v>
      </c>
      <c r="F833" s="7">
        <f>SUMIF(NF!$A:$A,$E833,NF!$I:$I)</f>
        <v>0</v>
      </c>
      <c r="G833" s="6"/>
      <c r="H833" s="6"/>
      <c r="I833" s="6"/>
      <c r="J833" s="6"/>
      <c r="K833" s="6"/>
      <c r="L833" s="6"/>
      <c r="M833" s="6"/>
      <c r="N833" s="7">
        <f t="shared" si="1045"/>
        <v>0</v>
      </c>
      <c r="O833" s="11">
        <f t="shared" si="828"/>
        <v>0</v>
      </c>
      <c r="P833" s="25"/>
      <c r="Q833" s="10" t="str">
        <f t="shared" si="987"/>
        <v>OutubroSEMANA 2Shitake</v>
      </c>
      <c r="R833" s="7">
        <f>SUMIF(NF!$A:$A,$Q833,NF!$I:$I)</f>
        <v>0</v>
      </c>
      <c r="S833" s="6"/>
      <c r="T833" s="6"/>
      <c r="U833" s="6"/>
      <c r="V833" s="6"/>
      <c r="W833" s="6"/>
      <c r="X833" s="6"/>
      <c r="Y833" s="6"/>
      <c r="Z833" s="7">
        <f t="shared" si="1046"/>
        <v>0</v>
      </c>
      <c r="AA833" s="11">
        <f t="shared" si="831"/>
        <v>0</v>
      </c>
      <c r="AB833" s="25"/>
      <c r="AC833" s="10" t="str">
        <f t="shared" si="988"/>
        <v>OutubroSEMANA 3Shitake</v>
      </c>
      <c r="AD833" s="7">
        <f>SUMIF(NF!$A:$A,$AC833,NF!$I:$I)</f>
        <v>0</v>
      </c>
      <c r="AE833" s="6"/>
      <c r="AF833" s="6"/>
      <c r="AG833" s="6"/>
      <c r="AH833" s="6"/>
      <c r="AI833" s="6"/>
      <c r="AJ833" s="6"/>
      <c r="AK833" s="6"/>
      <c r="AL833" s="7">
        <f t="shared" si="1047"/>
        <v>0</v>
      </c>
      <c r="AM833" s="11">
        <f t="shared" si="834"/>
        <v>0</v>
      </c>
      <c r="AN833" s="25"/>
      <c r="AO833" s="10" t="str">
        <f t="shared" si="989"/>
        <v>OutubroSEMANA 4Shitake</v>
      </c>
      <c r="AP833" s="7">
        <f>SUMIF(NF!$A:$A,$AO833,NF!$I:$I)</f>
        <v>0</v>
      </c>
      <c r="AQ833" s="6"/>
      <c r="AR833" s="6"/>
      <c r="AS833" s="6"/>
      <c r="AT833" s="6"/>
      <c r="AU833" s="6"/>
      <c r="AV833" s="6"/>
      <c r="AW833" s="6"/>
      <c r="AX833" s="7">
        <f t="shared" si="1048"/>
        <v>0</v>
      </c>
      <c r="AY833" s="11">
        <f t="shared" si="837"/>
        <v>0</v>
      </c>
      <c r="AZ833" s="25"/>
      <c r="BA833" s="10" t="str">
        <f t="shared" si="990"/>
        <v>OutubroSEMANA 5Shitake</v>
      </c>
      <c r="BB833" s="7">
        <f>SUMIF(NF!$A:$A,$BA833,NF!$I:$I)</f>
        <v>0</v>
      </c>
      <c r="BC833" s="6"/>
      <c r="BD833" s="6"/>
      <c r="BE833" s="6"/>
      <c r="BF833" s="74"/>
      <c r="BG833" s="74"/>
      <c r="BH833" s="74"/>
      <c r="BI833" s="74"/>
      <c r="BJ833" s="74"/>
      <c r="BK833" s="7">
        <f t="shared" si="1049"/>
        <v>0</v>
      </c>
      <c r="BL833" s="8">
        <f t="shared" si="840"/>
        <v>0</v>
      </c>
      <c r="BM833" s="51" t="str">
        <f>IFERROR(VLOOKUP(A833,NF!$M:$O,3,0),"")</f>
        <v>Mercado</v>
      </c>
      <c r="BN833" s="7">
        <f t="shared" si="841"/>
        <v>0</v>
      </c>
      <c r="BO833" s="8">
        <f t="array" ref="BO833">IFERROR(LARGE(IF(NF!$G$2:$G$3137='Mês atual'!A833,NF!$J$2:$J$3137),1),0)*BN833</f>
        <v>0</v>
      </c>
      <c r="BP833" s="50"/>
      <c r="BR833" s="147">
        <f t="array" ref="BR833">IFERROR(LARGE(IF(NF!$G$2:$G$3137='Mês atual'!A833,NF!$J$2:$J$3137),1),0)</f>
        <v>0</v>
      </c>
      <c r="BS833" s="143" t="str">
        <f>VLOOKUP(A833,NF!M:O,3,0)</f>
        <v>Mercado</v>
      </c>
    </row>
    <row r="834" spans="1:71" x14ac:dyDescent="0.25">
      <c r="A834" s="108" t="s">
        <v>935</v>
      </c>
      <c r="B834" s="12"/>
      <c r="C834" s="9"/>
      <c r="D834" s="25"/>
      <c r="E834" s="10" t="str">
        <f t="shared" si="986"/>
        <v>OutubroSEMANA 1Shoyu Light 150 ml</v>
      </c>
      <c r="F834" s="7">
        <f>SUMIF(NF!$A:$A,$E834,NF!$I:$I)</f>
        <v>0</v>
      </c>
      <c r="G834" s="6"/>
      <c r="H834" s="6"/>
      <c r="I834" s="6"/>
      <c r="J834" s="6"/>
      <c r="K834" s="6"/>
      <c r="L834" s="6"/>
      <c r="M834" s="6"/>
      <c r="N834" s="7">
        <f t="shared" ref="N834" si="1050">SUM(G834:M834)</f>
        <v>0</v>
      </c>
      <c r="O834" s="11">
        <f t="shared" si="828"/>
        <v>0</v>
      </c>
      <c r="P834" s="25"/>
      <c r="Q834" s="10" t="str">
        <f t="shared" si="987"/>
        <v>OutubroSEMANA 2Shoyu Light 150 ml</v>
      </c>
      <c r="R834" s="7">
        <f>SUMIF(NF!$A:$A,$Q834,NF!$I:$I)</f>
        <v>0</v>
      </c>
      <c r="S834" s="6"/>
      <c r="T834" s="6"/>
      <c r="U834" s="6"/>
      <c r="V834" s="6"/>
      <c r="W834" s="6"/>
      <c r="X834" s="6"/>
      <c r="Y834" s="6"/>
      <c r="Z834" s="7">
        <f t="shared" ref="Z834" si="1051">SUM(S834:Y834)</f>
        <v>0</v>
      </c>
      <c r="AA834" s="11">
        <f t="shared" si="831"/>
        <v>0</v>
      </c>
      <c r="AB834" s="25"/>
      <c r="AC834" s="10" t="str">
        <f t="shared" si="988"/>
        <v>OutubroSEMANA 3Shoyu Light 150 ml</v>
      </c>
      <c r="AD834" s="7">
        <f>SUMIF(NF!$A:$A,$AC834,NF!$I:$I)</f>
        <v>0</v>
      </c>
      <c r="AE834" s="6"/>
      <c r="AF834" s="6"/>
      <c r="AG834" s="6"/>
      <c r="AH834" s="6"/>
      <c r="AI834" s="6"/>
      <c r="AJ834" s="6"/>
      <c r="AK834" s="6"/>
      <c r="AL834" s="7">
        <f t="shared" ref="AL834" si="1052">SUM(AE834:AK834)</f>
        <v>0</v>
      </c>
      <c r="AM834" s="11">
        <f t="shared" si="834"/>
        <v>0</v>
      </c>
      <c r="AN834" s="25"/>
      <c r="AO834" s="10" t="str">
        <f t="shared" si="989"/>
        <v>OutubroSEMANA 4Shoyu Light 150 ml</v>
      </c>
      <c r="AP834" s="7">
        <f>SUMIF(NF!$A:$A,$AO834,NF!$I:$I)</f>
        <v>0</v>
      </c>
      <c r="AQ834" s="6"/>
      <c r="AR834" s="6"/>
      <c r="AS834" s="6"/>
      <c r="AT834" s="6"/>
      <c r="AU834" s="6"/>
      <c r="AV834" s="6"/>
      <c r="AW834" s="6"/>
      <c r="AX834" s="7">
        <f t="shared" ref="AX834" si="1053">SUM(AQ834:AW834)</f>
        <v>0</v>
      </c>
      <c r="AY834" s="11">
        <f t="shared" si="837"/>
        <v>0</v>
      </c>
      <c r="AZ834" s="25"/>
      <c r="BA834" s="10" t="str">
        <f t="shared" si="990"/>
        <v>OutubroSEMANA 5Shoyu Light 150 ml</v>
      </c>
      <c r="BB834" s="7">
        <f>SUMIF(NF!$A:$A,$BA834,NF!$I:$I)</f>
        <v>0</v>
      </c>
      <c r="BC834" s="6"/>
      <c r="BD834" s="6"/>
      <c r="BE834" s="6"/>
      <c r="BF834" s="74"/>
      <c r="BG834" s="74"/>
      <c r="BH834" s="74"/>
      <c r="BI834" s="74"/>
      <c r="BJ834" s="74"/>
      <c r="BK834" s="7">
        <f t="shared" ref="BK834" si="1054">SUM(BC834:BJ834)</f>
        <v>0</v>
      </c>
      <c r="BL834" s="8">
        <f t="shared" si="840"/>
        <v>0</v>
      </c>
      <c r="BM834" s="51" t="str">
        <f>IFERROR(VLOOKUP(A834,NF!$M:$O,3,0),"")</f>
        <v>Mercado</v>
      </c>
      <c r="BN834" s="7">
        <f t="shared" si="841"/>
        <v>0</v>
      </c>
      <c r="BO834" s="8">
        <f t="array" ref="BO834">IFERROR(LARGE(IF(NF!$G$2:$G$3137='Mês atual'!A834,NF!$J$2:$J$3137),1),0)*BN834</f>
        <v>0</v>
      </c>
      <c r="BP834" s="50"/>
      <c r="BR834" s="147">
        <f t="array" ref="BR834">IFERROR(LARGE(IF(NF!$G$2:$G$3137='Mês atual'!A834,NF!$J$2:$J$3137),1),0)</f>
        <v>0</v>
      </c>
      <c r="BS834" s="143" t="str">
        <f>VLOOKUP(A834,NF!M:O,3,0)</f>
        <v>Mercado</v>
      </c>
    </row>
    <row r="835" spans="1:71" x14ac:dyDescent="0.25">
      <c r="A835" s="108" t="s">
        <v>742</v>
      </c>
      <c r="B835" s="12"/>
      <c r="C835" s="9">
        <v>1</v>
      </c>
      <c r="D835" s="25"/>
      <c r="E835" s="10" t="str">
        <f t="shared" si="986"/>
        <v>OutubroSEMANA 1Shoyu Light Bb 5 Lt</v>
      </c>
      <c r="F835" s="7">
        <f>SUMIF(NF!$A:$A,$E835,NF!$I:$I)</f>
        <v>1</v>
      </c>
      <c r="G835" s="6"/>
      <c r="H835" s="6"/>
      <c r="I835" s="6"/>
      <c r="J835" s="6"/>
      <c r="K835" s="6"/>
      <c r="L835" s="6"/>
      <c r="M835" s="6"/>
      <c r="N835" s="7">
        <f t="shared" ref="N835:N866" si="1055">SUM(G835:M835)</f>
        <v>0</v>
      </c>
      <c r="O835" s="11">
        <f t="shared" si="828"/>
        <v>2</v>
      </c>
      <c r="P835" s="25"/>
      <c r="Q835" s="10" t="str">
        <f t="shared" si="987"/>
        <v>OutubroSEMANA 2Shoyu Light Bb 5 Lt</v>
      </c>
      <c r="R835" s="7">
        <f>SUMIF(NF!$A:$A,$Q835,NF!$I:$I)</f>
        <v>0</v>
      </c>
      <c r="S835" s="6"/>
      <c r="T835" s="6"/>
      <c r="U835" s="6"/>
      <c r="V835" s="6"/>
      <c r="W835" s="6"/>
      <c r="X835" s="6"/>
      <c r="Y835" s="6"/>
      <c r="Z835" s="7">
        <f t="shared" ref="Z835:Z866" si="1056">SUM(S835:Y835)</f>
        <v>0</v>
      </c>
      <c r="AA835" s="11">
        <f t="shared" si="831"/>
        <v>2</v>
      </c>
      <c r="AB835" s="25"/>
      <c r="AC835" s="10" t="str">
        <f t="shared" si="988"/>
        <v>OutubroSEMANA 3Shoyu Light Bb 5 Lt</v>
      </c>
      <c r="AD835" s="7">
        <f>SUMIF(NF!$A:$A,$AC835,NF!$I:$I)</f>
        <v>1</v>
      </c>
      <c r="AE835" s="6">
        <v>1</v>
      </c>
      <c r="AF835" s="6"/>
      <c r="AG835" s="6"/>
      <c r="AH835" s="6"/>
      <c r="AI835" s="6"/>
      <c r="AJ835" s="6"/>
      <c r="AK835" s="6"/>
      <c r="AL835" s="7">
        <f t="shared" ref="AL835:AL866" si="1057">SUM(AE835:AK835)</f>
        <v>1</v>
      </c>
      <c r="AM835" s="11">
        <f t="shared" si="834"/>
        <v>2</v>
      </c>
      <c r="AN835" s="25"/>
      <c r="AO835" s="10" t="str">
        <f t="shared" si="989"/>
        <v>OutubroSEMANA 4Shoyu Light Bb 5 Lt</v>
      </c>
      <c r="AP835" s="7">
        <f>SUMIF(NF!$A:$A,$AO835,NF!$I:$I)</f>
        <v>0</v>
      </c>
      <c r="AQ835" s="6"/>
      <c r="AR835" s="6"/>
      <c r="AS835" s="6"/>
      <c r="AT835" s="6"/>
      <c r="AU835" s="6"/>
      <c r="AV835" s="6"/>
      <c r="AW835" s="6">
        <v>1</v>
      </c>
      <c r="AX835" s="7">
        <f t="shared" ref="AX835:AX866" si="1058">SUM(AQ835:AW835)</f>
        <v>1</v>
      </c>
      <c r="AY835" s="11">
        <f t="shared" si="837"/>
        <v>1</v>
      </c>
      <c r="AZ835" s="25"/>
      <c r="BA835" s="10" t="str">
        <f t="shared" si="990"/>
        <v>OutubroSEMANA 5Shoyu Light Bb 5 Lt</v>
      </c>
      <c r="BB835" s="7">
        <f>SUMIF(NF!$A:$A,$BA835,NF!$I:$I)</f>
        <v>0</v>
      </c>
      <c r="BC835" s="6"/>
      <c r="BD835" s="6"/>
      <c r="BE835" s="6"/>
      <c r="BF835" s="74"/>
      <c r="BG835" s="74"/>
      <c r="BH835" s="74"/>
      <c r="BI835" s="74"/>
      <c r="BJ835" s="74"/>
      <c r="BK835" s="7">
        <f t="shared" ref="BK835:BK866" si="1059">SUM(BC835:BJ835)</f>
        <v>0</v>
      </c>
      <c r="BL835" s="8">
        <f t="shared" si="840"/>
        <v>1</v>
      </c>
      <c r="BM835" s="51" t="str">
        <f>IFERROR(VLOOKUP(A835,NF!$M:$O,3,0),"")</f>
        <v>Mercado</v>
      </c>
      <c r="BN835" s="7">
        <f t="shared" si="841"/>
        <v>2</v>
      </c>
      <c r="BO835" s="8">
        <f t="array" ref="BO835">IFERROR(LARGE(IF(NF!$G$2:$G$3137='Mês atual'!A835,NF!$J$2:$J$3137),1),0)*BN835</f>
        <v>119.76</v>
      </c>
      <c r="BP835" s="50"/>
      <c r="BR835" s="147">
        <f t="array" ref="BR835">IFERROR(LARGE(IF(NF!$G$2:$G$3137='Mês atual'!A835,NF!$J$2:$J$3137),1),0)</f>
        <v>59.88</v>
      </c>
      <c r="BS835" s="143" t="str">
        <f>VLOOKUP(A835,NF!M:O,3,0)</f>
        <v>Mercado</v>
      </c>
    </row>
    <row r="836" spans="1:71" x14ac:dyDescent="0.25">
      <c r="A836" s="108" t="s">
        <v>744</v>
      </c>
      <c r="B836" s="12"/>
      <c r="C836" s="9">
        <v>2</v>
      </c>
      <c r="D836" s="25"/>
      <c r="E836" s="10" t="str">
        <f t="shared" si="986"/>
        <v>OutubroSEMANA 1Shoyu Premium (Mesa) Bb 5 Lt</v>
      </c>
      <c r="F836" s="7">
        <f>SUMIF(NF!$A:$A,$E836,NF!$I:$I)</f>
        <v>0</v>
      </c>
      <c r="G836" s="6"/>
      <c r="H836" s="6"/>
      <c r="I836" s="6"/>
      <c r="J836" s="6"/>
      <c r="K836" s="6"/>
      <c r="L836" s="6"/>
      <c r="M836" s="6"/>
      <c r="N836" s="7">
        <f t="shared" si="1055"/>
        <v>0</v>
      </c>
      <c r="O836" s="11">
        <f t="shared" si="828"/>
        <v>2</v>
      </c>
      <c r="P836" s="25"/>
      <c r="Q836" s="10" t="str">
        <f t="shared" si="987"/>
        <v>OutubroSEMANA 2Shoyu Premium (Mesa) Bb 5 Lt</v>
      </c>
      <c r="R836" s="7">
        <f>SUMIF(NF!$A:$A,$Q836,NF!$I:$I)</f>
        <v>1</v>
      </c>
      <c r="S836" s="6"/>
      <c r="T836" s="6">
        <v>1</v>
      </c>
      <c r="U836" s="6"/>
      <c r="V836" s="6"/>
      <c r="W836" s="6"/>
      <c r="X836" s="6"/>
      <c r="Y836" s="6"/>
      <c r="Z836" s="7">
        <f t="shared" si="1056"/>
        <v>1</v>
      </c>
      <c r="AA836" s="11">
        <f t="shared" si="831"/>
        <v>2</v>
      </c>
      <c r="AB836" s="25"/>
      <c r="AC836" s="10" t="str">
        <f t="shared" si="988"/>
        <v>OutubroSEMANA 3Shoyu Premium (Mesa) Bb 5 Lt</v>
      </c>
      <c r="AD836" s="7">
        <f>SUMIF(NF!$A:$A,$AC836,NF!$I:$I)</f>
        <v>1</v>
      </c>
      <c r="AE836" s="6"/>
      <c r="AF836" s="6"/>
      <c r="AG836" s="6">
        <v>1</v>
      </c>
      <c r="AH836" s="6"/>
      <c r="AI836" s="6"/>
      <c r="AJ836" s="6"/>
      <c r="AK836" s="6"/>
      <c r="AL836" s="7">
        <f t="shared" si="1057"/>
        <v>1</v>
      </c>
      <c r="AM836" s="11">
        <f t="shared" si="834"/>
        <v>2</v>
      </c>
      <c r="AN836" s="25"/>
      <c r="AO836" s="10" t="str">
        <f t="shared" si="989"/>
        <v>OutubroSEMANA 4Shoyu Premium (Mesa) Bb 5 Lt</v>
      </c>
      <c r="AP836" s="7">
        <f>SUMIF(NF!$A:$A,$AO836,NF!$I:$I)</f>
        <v>0</v>
      </c>
      <c r="AQ836" s="6"/>
      <c r="AR836" s="6"/>
      <c r="AS836" s="6"/>
      <c r="AT836" s="6"/>
      <c r="AU836" s="6"/>
      <c r="AV836" s="6"/>
      <c r="AW836" s="6">
        <v>1</v>
      </c>
      <c r="AX836" s="7">
        <f t="shared" si="1058"/>
        <v>1</v>
      </c>
      <c r="AY836" s="11">
        <f t="shared" si="837"/>
        <v>1</v>
      </c>
      <c r="AZ836" s="25"/>
      <c r="BA836" s="10" t="str">
        <f t="shared" si="990"/>
        <v>OutubroSEMANA 5Shoyu Premium (Mesa) Bb 5 Lt</v>
      </c>
      <c r="BB836" s="7">
        <f>SUMIF(NF!$A:$A,$BA836,NF!$I:$I)</f>
        <v>0</v>
      </c>
      <c r="BC836" s="6"/>
      <c r="BD836" s="6"/>
      <c r="BE836" s="6"/>
      <c r="BF836" s="74"/>
      <c r="BG836" s="74"/>
      <c r="BH836" s="74"/>
      <c r="BI836" s="74"/>
      <c r="BJ836" s="74"/>
      <c r="BK836" s="7">
        <f t="shared" si="1059"/>
        <v>0</v>
      </c>
      <c r="BL836" s="8">
        <f t="shared" si="840"/>
        <v>1</v>
      </c>
      <c r="BM836" s="51" t="str">
        <f>IFERROR(VLOOKUP(A836,NF!$M:$O,3,0),"")</f>
        <v>Mercado</v>
      </c>
      <c r="BN836" s="7">
        <f t="shared" si="841"/>
        <v>3</v>
      </c>
      <c r="BO836" s="8">
        <f t="array" ref="BO836">IFERROR(LARGE(IF(NF!$G$2:$G$3137='Mês atual'!A836,NF!$J$2:$J$3137),1),0)*BN836</f>
        <v>160.26</v>
      </c>
      <c r="BP836" s="50"/>
      <c r="BR836" s="147">
        <f t="array" ref="BR836">IFERROR(LARGE(IF(NF!$G$2:$G$3137='Mês atual'!A836,NF!$J$2:$J$3137),1),0)</f>
        <v>53.42</v>
      </c>
      <c r="BS836" s="143" t="str">
        <f>VLOOKUP(A836,NF!M:O,3,0)</f>
        <v>Mercado</v>
      </c>
    </row>
    <row r="837" spans="1:71" x14ac:dyDescent="0.25">
      <c r="A837" s="108" t="s">
        <v>915</v>
      </c>
      <c r="B837" s="12"/>
      <c r="C837" s="9">
        <v>100</v>
      </c>
      <c r="D837" s="25"/>
      <c r="E837" s="10" t="str">
        <f t="shared" si="986"/>
        <v>OutubroSEMANA 1Shoyu Sache</v>
      </c>
      <c r="F837" s="7">
        <f>SUMIF(NF!$A:$A,$E837,NF!$I:$I)</f>
        <v>0</v>
      </c>
      <c r="G837" s="6"/>
      <c r="H837" s="6"/>
      <c r="I837" s="6"/>
      <c r="J837" s="6"/>
      <c r="K837" s="6"/>
      <c r="L837" s="6"/>
      <c r="M837" s="6"/>
      <c r="N837" s="7">
        <f t="shared" si="1055"/>
        <v>0</v>
      </c>
      <c r="O837" s="11">
        <f t="shared" si="828"/>
        <v>100</v>
      </c>
      <c r="P837" s="25"/>
      <c r="Q837" s="10" t="str">
        <f t="shared" si="987"/>
        <v>OutubroSEMANA 2Shoyu Sache</v>
      </c>
      <c r="R837" s="7">
        <f>SUMIF(NF!$A:$A,$Q837,NF!$I:$I)</f>
        <v>0</v>
      </c>
      <c r="S837" s="6"/>
      <c r="T837" s="6"/>
      <c r="U837" s="6"/>
      <c r="V837" s="6"/>
      <c r="W837" s="6"/>
      <c r="X837" s="6"/>
      <c r="Y837" s="6"/>
      <c r="Z837" s="7">
        <f t="shared" si="1056"/>
        <v>0</v>
      </c>
      <c r="AA837" s="11">
        <f t="shared" si="831"/>
        <v>100</v>
      </c>
      <c r="AB837" s="25"/>
      <c r="AC837" s="10" t="str">
        <f t="shared" si="988"/>
        <v>OutubroSEMANA 3Shoyu Sache</v>
      </c>
      <c r="AD837" s="7">
        <f>SUMIF(NF!$A:$A,$AC837,NF!$I:$I)</f>
        <v>0</v>
      </c>
      <c r="AE837" s="6"/>
      <c r="AF837" s="6"/>
      <c r="AG837" s="6">
        <v>50</v>
      </c>
      <c r="AH837" s="6"/>
      <c r="AI837" s="6"/>
      <c r="AJ837" s="6"/>
      <c r="AK837" s="6"/>
      <c r="AL837" s="7">
        <f t="shared" si="1057"/>
        <v>50</v>
      </c>
      <c r="AM837" s="11">
        <f t="shared" si="834"/>
        <v>50</v>
      </c>
      <c r="AN837" s="25"/>
      <c r="AO837" s="10" t="str">
        <f t="shared" si="989"/>
        <v>OutubroSEMANA 4Shoyu Sache</v>
      </c>
      <c r="AP837" s="7">
        <f>SUMIF(NF!$A:$A,$AO837,NF!$I:$I)</f>
        <v>0</v>
      </c>
      <c r="AQ837" s="6"/>
      <c r="AR837" s="6"/>
      <c r="AS837" s="6"/>
      <c r="AT837" s="6"/>
      <c r="AU837" s="6"/>
      <c r="AV837" s="6"/>
      <c r="AW837" s="6"/>
      <c r="AX837" s="7">
        <f t="shared" si="1058"/>
        <v>0</v>
      </c>
      <c r="AY837" s="11">
        <f t="shared" si="837"/>
        <v>50</v>
      </c>
      <c r="AZ837" s="25"/>
      <c r="BA837" s="10" t="str">
        <f t="shared" si="990"/>
        <v>OutubroSEMANA 5Shoyu Sache</v>
      </c>
      <c r="BB837" s="7">
        <f>SUMIF(NF!$A:$A,$BA837,NF!$I:$I)</f>
        <v>0</v>
      </c>
      <c r="BC837" s="6"/>
      <c r="BD837" s="6"/>
      <c r="BE837" s="6"/>
      <c r="BF837" s="74"/>
      <c r="BG837" s="74"/>
      <c r="BH837" s="74"/>
      <c r="BI837" s="74"/>
      <c r="BJ837" s="74"/>
      <c r="BK837" s="7">
        <f t="shared" si="1059"/>
        <v>0</v>
      </c>
      <c r="BL837" s="8">
        <f t="shared" si="840"/>
        <v>50</v>
      </c>
      <c r="BM837" s="51" t="str">
        <f>IFERROR(VLOOKUP(A837,NF!$M:$O,3,0),"")</f>
        <v>Mercado</v>
      </c>
      <c r="BN837" s="7">
        <f t="shared" si="841"/>
        <v>50</v>
      </c>
      <c r="BO837" s="8">
        <f t="array" ref="BO837">IFERROR(LARGE(IF(NF!$G$2:$G$3137='Mês atual'!A837,NF!$J$2:$J$3137),1),0)*BN837</f>
        <v>0</v>
      </c>
      <c r="BP837" s="50"/>
      <c r="BR837" s="147">
        <f t="array" ref="BR837">IFERROR(LARGE(IF(NF!$G$2:$G$3137='Mês atual'!A837,NF!$J$2:$J$3137),1),0)</f>
        <v>0</v>
      </c>
      <c r="BS837" s="143" t="str">
        <f>VLOOKUP(A837,NF!M:O,3,0)</f>
        <v>Mercado</v>
      </c>
    </row>
    <row r="838" spans="1:71" x14ac:dyDescent="0.25">
      <c r="A838" s="108" t="s">
        <v>745</v>
      </c>
      <c r="B838" s="12"/>
      <c r="C838" s="9">
        <v>2</v>
      </c>
      <c r="D838" s="25"/>
      <c r="E838" s="10" t="str">
        <f t="shared" si="986"/>
        <v>OutubroSEMANA 1Shoyu Tradicional (Cozinha) Bb 5 Lt</v>
      </c>
      <c r="F838" s="7">
        <f>SUMIF(NF!$A:$A,$E838,NF!$I:$I)</f>
        <v>0</v>
      </c>
      <c r="G838" s="6"/>
      <c r="H838" s="6"/>
      <c r="I838" s="6">
        <v>1</v>
      </c>
      <c r="J838" s="6"/>
      <c r="K838" s="6"/>
      <c r="L838" s="6"/>
      <c r="M838" s="6"/>
      <c r="N838" s="7">
        <f t="shared" si="1055"/>
        <v>1</v>
      </c>
      <c r="O838" s="11">
        <f t="shared" si="828"/>
        <v>1</v>
      </c>
      <c r="P838" s="25"/>
      <c r="Q838" s="10" t="str">
        <f t="shared" si="987"/>
        <v>OutubroSEMANA 2Shoyu Tradicional (Cozinha) Bb 5 Lt</v>
      </c>
      <c r="R838" s="7">
        <f>SUMIF(NF!$A:$A,$Q838,NF!$I:$I)</f>
        <v>1</v>
      </c>
      <c r="S838" s="6"/>
      <c r="T838" s="6"/>
      <c r="U838" s="6"/>
      <c r="V838" s="6"/>
      <c r="W838" s="6"/>
      <c r="X838" s="6"/>
      <c r="Y838" s="6"/>
      <c r="Z838" s="7">
        <f t="shared" si="1056"/>
        <v>0</v>
      </c>
      <c r="AA838" s="11">
        <f t="shared" si="831"/>
        <v>2</v>
      </c>
      <c r="AB838" s="25"/>
      <c r="AC838" s="10" t="str">
        <f t="shared" si="988"/>
        <v>OutubroSEMANA 3Shoyu Tradicional (Cozinha) Bb 5 Lt</v>
      </c>
      <c r="AD838" s="7">
        <f>SUMIF(NF!$A:$A,$AC838,NF!$I:$I)</f>
        <v>0</v>
      </c>
      <c r="AE838" s="6"/>
      <c r="AF838" s="6"/>
      <c r="AG838" s="6"/>
      <c r="AH838" s="6">
        <v>1</v>
      </c>
      <c r="AI838" s="6"/>
      <c r="AJ838" s="6"/>
      <c r="AK838" s="6"/>
      <c r="AL838" s="7">
        <f t="shared" si="1057"/>
        <v>1</v>
      </c>
      <c r="AM838" s="11">
        <f t="shared" si="834"/>
        <v>1</v>
      </c>
      <c r="AN838" s="25"/>
      <c r="AO838" s="10" t="str">
        <f t="shared" si="989"/>
        <v>OutubroSEMANA 4Shoyu Tradicional (Cozinha) Bb 5 Lt</v>
      </c>
      <c r="AP838" s="7">
        <f>SUMIF(NF!$A:$A,$AO838,NF!$I:$I)</f>
        <v>0</v>
      </c>
      <c r="AQ838" s="6"/>
      <c r="AR838" s="6"/>
      <c r="AS838" s="6"/>
      <c r="AT838" s="6">
        <v>1</v>
      </c>
      <c r="AU838" s="6"/>
      <c r="AV838" s="6"/>
      <c r="AW838" s="6"/>
      <c r="AX838" s="7">
        <f t="shared" si="1058"/>
        <v>1</v>
      </c>
      <c r="AY838" s="11">
        <f t="shared" si="837"/>
        <v>0</v>
      </c>
      <c r="AZ838" s="25"/>
      <c r="BA838" s="10" t="str">
        <f t="shared" si="990"/>
        <v>OutubroSEMANA 5Shoyu Tradicional (Cozinha) Bb 5 Lt</v>
      </c>
      <c r="BB838" s="7">
        <f>SUMIF(NF!$A:$A,$BA838,NF!$I:$I)</f>
        <v>0</v>
      </c>
      <c r="BC838" s="6"/>
      <c r="BD838" s="6"/>
      <c r="BE838" s="6"/>
      <c r="BF838" s="74"/>
      <c r="BG838" s="74"/>
      <c r="BH838" s="74"/>
      <c r="BI838" s="74"/>
      <c r="BJ838" s="74"/>
      <c r="BK838" s="7">
        <f t="shared" si="1059"/>
        <v>0</v>
      </c>
      <c r="BL838" s="8">
        <f t="shared" si="840"/>
        <v>0</v>
      </c>
      <c r="BM838" s="51" t="str">
        <f>IFERROR(VLOOKUP(A838,NF!$M:$O,3,0),"")</f>
        <v>Mercado</v>
      </c>
      <c r="BN838" s="7">
        <f t="shared" si="841"/>
        <v>3</v>
      </c>
      <c r="BO838" s="8">
        <f t="array" ref="BO838">IFERROR(LARGE(IF(NF!$G$2:$G$3137='Mês atual'!A838,NF!$J$2:$J$3137),1),0)*BN838</f>
        <v>135.51</v>
      </c>
      <c r="BP838" s="50"/>
      <c r="BR838" s="147">
        <f t="array" ref="BR838">IFERROR(LARGE(IF(NF!$G$2:$G$3137='Mês atual'!A838,NF!$J$2:$J$3137),1),0)</f>
        <v>45.17</v>
      </c>
      <c r="BS838" s="143" t="str">
        <f>VLOOKUP(A838,NF!M:O,3,0)</f>
        <v>Mercado</v>
      </c>
    </row>
    <row r="839" spans="1:71" x14ac:dyDescent="0.25">
      <c r="A839" s="108" t="s">
        <v>749</v>
      </c>
      <c r="B839" s="12"/>
      <c r="C839" s="9"/>
      <c r="D839" s="25"/>
      <c r="E839" s="10" t="str">
        <f t="shared" si="986"/>
        <v>OutubroSEMANA 1Sorvete Vanilla (Italia)</v>
      </c>
      <c r="F839" s="7">
        <f>SUMIF(NF!$A:$A,$E839,NF!$I:$I)</f>
        <v>0</v>
      </c>
      <c r="G839" s="6"/>
      <c r="H839" s="6"/>
      <c r="I839" s="6"/>
      <c r="J839" s="6"/>
      <c r="K839" s="6"/>
      <c r="L839" s="6"/>
      <c r="M839" s="6"/>
      <c r="N839" s="7">
        <f t="shared" si="1055"/>
        <v>0</v>
      </c>
      <c r="O839" s="11">
        <f t="shared" si="828"/>
        <v>0</v>
      </c>
      <c r="P839" s="25"/>
      <c r="Q839" s="10" t="str">
        <f t="shared" si="987"/>
        <v>OutubroSEMANA 2Sorvete Vanilla (Italia)</v>
      </c>
      <c r="R839" s="7">
        <f>SUMIF(NF!$A:$A,$Q839,NF!$I:$I)</f>
        <v>0</v>
      </c>
      <c r="S839" s="6"/>
      <c r="T839" s="6"/>
      <c r="U839" s="6"/>
      <c r="V839" s="6"/>
      <c r="W839" s="6"/>
      <c r="X839" s="6"/>
      <c r="Y839" s="6"/>
      <c r="Z839" s="7">
        <f t="shared" si="1056"/>
        <v>0</v>
      </c>
      <c r="AA839" s="11">
        <f t="shared" si="831"/>
        <v>0</v>
      </c>
      <c r="AB839" s="25"/>
      <c r="AC839" s="10" t="str">
        <f t="shared" si="988"/>
        <v>OutubroSEMANA 3Sorvete Vanilla (Italia)</v>
      </c>
      <c r="AD839" s="7">
        <f>SUMIF(NF!$A:$A,$AC839,NF!$I:$I)</f>
        <v>0</v>
      </c>
      <c r="AE839" s="6"/>
      <c r="AF839" s="6"/>
      <c r="AG839" s="6"/>
      <c r="AH839" s="6"/>
      <c r="AI839" s="6"/>
      <c r="AJ839" s="6"/>
      <c r="AK839" s="6"/>
      <c r="AL839" s="7">
        <f t="shared" si="1057"/>
        <v>0</v>
      </c>
      <c r="AM839" s="11">
        <f t="shared" si="834"/>
        <v>0</v>
      </c>
      <c r="AN839" s="25"/>
      <c r="AO839" s="10" t="str">
        <f t="shared" si="989"/>
        <v>OutubroSEMANA 4Sorvete Vanilla (Italia)</v>
      </c>
      <c r="AP839" s="7">
        <f>SUMIF(NF!$A:$A,$AO839,NF!$I:$I)</f>
        <v>0</v>
      </c>
      <c r="AQ839" s="6"/>
      <c r="AR839" s="6"/>
      <c r="AS839" s="6"/>
      <c r="AT839" s="6"/>
      <c r="AU839" s="6"/>
      <c r="AV839" s="6"/>
      <c r="AW839" s="6"/>
      <c r="AX839" s="7">
        <f t="shared" si="1058"/>
        <v>0</v>
      </c>
      <c r="AY839" s="11">
        <f t="shared" si="837"/>
        <v>0</v>
      </c>
      <c r="AZ839" s="25"/>
      <c r="BA839" s="10" t="str">
        <f t="shared" si="990"/>
        <v>OutubroSEMANA 5Sorvete Vanilla (Italia)</v>
      </c>
      <c r="BB839" s="7">
        <f>SUMIF(NF!$A:$A,$BA839,NF!$I:$I)</f>
        <v>0</v>
      </c>
      <c r="BC839" s="6"/>
      <c r="BD839" s="6"/>
      <c r="BE839" s="6"/>
      <c r="BF839" s="74"/>
      <c r="BG839" s="74"/>
      <c r="BH839" s="74"/>
      <c r="BI839" s="74"/>
      <c r="BJ839" s="74"/>
      <c r="BK839" s="7">
        <f t="shared" si="1059"/>
        <v>0</v>
      </c>
      <c r="BL839" s="8">
        <f t="shared" si="840"/>
        <v>0</v>
      </c>
      <c r="BM839" s="51" t="str">
        <f>IFERROR(VLOOKUP(A839,NF!$M:$O,3,0),"")</f>
        <v>Mercado</v>
      </c>
      <c r="BN839" s="7">
        <f t="shared" si="841"/>
        <v>0</v>
      </c>
      <c r="BO839" s="8">
        <f t="array" ref="BO839">IFERROR(LARGE(IF(NF!$G$2:$G$3137='Mês atual'!A839,NF!$J$2:$J$3137),1),0)*BN839</f>
        <v>0</v>
      </c>
      <c r="BP839" s="50"/>
      <c r="BR839" s="147">
        <f t="array" ref="BR839">IFERROR(LARGE(IF(NF!$G$2:$G$3137='Mês atual'!A839,NF!$J$2:$J$3137),1),0)</f>
        <v>0</v>
      </c>
      <c r="BS839" s="143" t="str">
        <f>VLOOKUP(A839,NF!M:O,3,0)</f>
        <v>Mercado</v>
      </c>
    </row>
    <row r="840" spans="1:71" x14ac:dyDescent="0.25">
      <c r="A840" s="108" t="s">
        <v>751</v>
      </c>
      <c r="B840" s="12"/>
      <c r="C840" s="9"/>
      <c r="D840" s="25"/>
      <c r="E840" s="10" t="str">
        <f t="shared" si="986"/>
        <v>OutubroSEMANA 1Suco de Caju</v>
      </c>
      <c r="F840" s="7">
        <f>SUMIF(NF!$A:$A,$E840,NF!$I:$I)</f>
        <v>0</v>
      </c>
      <c r="G840" s="6"/>
      <c r="H840" s="6"/>
      <c r="I840" s="6"/>
      <c r="J840" s="6"/>
      <c r="K840" s="6"/>
      <c r="L840" s="6"/>
      <c r="M840" s="6"/>
      <c r="N840" s="7">
        <f t="shared" si="1055"/>
        <v>0</v>
      </c>
      <c r="O840" s="11">
        <f t="shared" si="828"/>
        <v>0</v>
      </c>
      <c r="P840" s="25"/>
      <c r="Q840" s="10" t="str">
        <f t="shared" si="987"/>
        <v>OutubroSEMANA 2Suco de Caju</v>
      </c>
      <c r="R840" s="7">
        <f>SUMIF(NF!$A:$A,$Q840,NF!$I:$I)</f>
        <v>0</v>
      </c>
      <c r="S840" s="6"/>
      <c r="T840" s="6"/>
      <c r="U840" s="6"/>
      <c r="V840" s="6"/>
      <c r="W840" s="6"/>
      <c r="X840" s="6"/>
      <c r="Y840" s="6"/>
      <c r="Z840" s="7">
        <f t="shared" si="1056"/>
        <v>0</v>
      </c>
      <c r="AA840" s="11">
        <f t="shared" si="831"/>
        <v>0</v>
      </c>
      <c r="AB840" s="25"/>
      <c r="AC840" s="10" t="str">
        <f t="shared" si="988"/>
        <v>OutubroSEMANA 3Suco de Caju</v>
      </c>
      <c r="AD840" s="7">
        <f>SUMIF(NF!$A:$A,$AC840,NF!$I:$I)</f>
        <v>0</v>
      </c>
      <c r="AE840" s="6"/>
      <c r="AF840" s="6"/>
      <c r="AG840" s="6"/>
      <c r="AH840" s="6"/>
      <c r="AI840" s="6"/>
      <c r="AJ840" s="6"/>
      <c r="AK840" s="6"/>
      <c r="AL840" s="7">
        <f t="shared" si="1057"/>
        <v>0</v>
      </c>
      <c r="AM840" s="11">
        <f t="shared" si="834"/>
        <v>0</v>
      </c>
      <c r="AN840" s="25"/>
      <c r="AO840" s="10" t="str">
        <f t="shared" si="989"/>
        <v>OutubroSEMANA 4Suco de Caju</v>
      </c>
      <c r="AP840" s="7">
        <f>SUMIF(NF!$A:$A,$AO840,NF!$I:$I)</f>
        <v>0</v>
      </c>
      <c r="AQ840" s="6"/>
      <c r="AR840" s="6"/>
      <c r="AS840" s="6"/>
      <c r="AT840" s="6"/>
      <c r="AU840" s="6"/>
      <c r="AV840" s="6"/>
      <c r="AW840" s="6"/>
      <c r="AX840" s="7">
        <f t="shared" si="1058"/>
        <v>0</v>
      </c>
      <c r="AY840" s="11">
        <f t="shared" si="837"/>
        <v>0</v>
      </c>
      <c r="AZ840" s="25"/>
      <c r="BA840" s="10" t="str">
        <f t="shared" si="990"/>
        <v>OutubroSEMANA 5Suco de Caju</v>
      </c>
      <c r="BB840" s="7">
        <f>SUMIF(NF!$A:$A,$BA840,NF!$I:$I)</f>
        <v>0</v>
      </c>
      <c r="BC840" s="6"/>
      <c r="BD840" s="6"/>
      <c r="BE840" s="6"/>
      <c r="BF840" s="74"/>
      <c r="BG840" s="74"/>
      <c r="BH840" s="74"/>
      <c r="BI840" s="74"/>
      <c r="BJ840" s="74"/>
      <c r="BK840" s="7">
        <f t="shared" si="1059"/>
        <v>0</v>
      </c>
      <c r="BL840" s="8">
        <f t="shared" si="840"/>
        <v>0</v>
      </c>
      <c r="BM840" s="51" t="str">
        <f>IFERROR(VLOOKUP(A840,NF!$M:$O,3,0),"")</f>
        <v>Mercado</v>
      </c>
      <c r="BN840" s="7">
        <f t="shared" si="841"/>
        <v>0</v>
      </c>
      <c r="BO840" s="8">
        <f t="array" ref="BO840">IFERROR(LARGE(IF(NF!$G$2:$G$3137='Mês atual'!A840,NF!$J$2:$J$3137),1),0)*BN840</f>
        <v>0</v>
      </c>
      <c r="BP840" s="50"/>
      <c r="BR840" s="147">
        <f t="array" ref="BR840">IFERROR(LARGE(IF(NF!$G$2:$G$3137='Mês atual'!A840,NF!$J$2:$J$3137),1),0)</f>
        <v>0</v>
      </c>
      <c r="BS840" s="143" t="str">
        <f>VLOOKUP(A840,NF!M:O,3,0)</f>
        <v>Mercado</v>
      </c>
    </row>
    <row r="841" spans="1:71" x14ac:dyDescent="0.25">
      <c r="A841" s="108" t="s">
        <v>752</v>
      </c>
      <c r="B841" s="12"/>
      <c r="C841" s="9"/>
      <c r="D841" s="25"/>
      <c r="E841" s="10" t="str">
        <f t="shared" si="986"/>
        <v>OutubroSEMANA 1Suco de Laranja</v>
      </c>
      <c r="F841" s="7">
        <f>SUMIF(NF!$A:$A,$E841,NF!$I:$I)</f>
        <v>0</v>
      </c>
      <c r="G841" s="6"/>
      <c r="H841" s="6"/>
      <c r="I841" s="6"/>
      <c r="J841" s="6"/>
      <c r="K841" s="6"/>
      <c r="L841" s="6"/>
      <c r="M841" s="6"/>
      <c r="N841" s="7">
        <f t="shared" si="1055"/>
        <v>0</v>
      </c>
      <c r="O841" s="11">
        <f t="shared" si="828"/>
        <v>0</v>
      </c>
      <c r="P841" s="25"/>
      <c r="Q841" s="10" t="str">
        <f t="shared" si="987"/>
        <v>OutubroSEMANA 2Suco de Laranja</v>
      </c>
      <c r="R841" s="7">
        <f>SUMIF(NF!$A:$A,$Q841,NF!$I:$I)</f>
        <v>0</v>
      </c>
      <c r="S841" s="6"/>
      <c r="T841" s="6"/>
      <c r="U841" s="6"/>
      <c r="V841" s="6"/>
      <c r="W841" s="6"/>
      <c r="X841" s="6"/>
      <c r="Y841" s="6"/>
      <c r="Z841" s="7">
        <f t="shared" si="1056"/>
        <v>0</v>
      </c>
      <c r="AA841" s="11">
        <f t="shared" si="831"/>
        <v>0</v>
      </c>
      <c r="AB841" s="25"/>
      <c r="AC841" s="10" t="str">
        <f t="shared" si="988"/>
        <v>OutubroSEMANA 3Suco de Laranja</v>
      </c>
      <c r="AD841" s="7">
        <f>SUMIF(NF!$A:$A,$AC841,NF!$I:$I)</f>
        <v>0</v>
      </c>
      <c r="AE841" s="6"/>
      <c r="AF841" s="6"/>
      <c r="AG841" s="6"/>
      <c r="AH841" s="6"/>
      <c r="AI841" s="6"/>
      <c r="AJ841" s="6"/>
      <c r="AK841" s="6"/>
      <c r="AL841" s="7">
        <f t="shared" si="1057"/>
        <v>0</v>
      </c>
      <c r="AM841" s="11">
        <f t="shared" si="834"/>
        <v>0</v>
      </c>
      <c r="AN841" s="25"/>
      <c r="AO841" s="10" t="str">
        <f t="shared" si="989"/>
        <v>OutubroSEMANA 4Suco de Laranja</v>
      </c>
      <c r="AP841" s="7">
        <f>SUMIF(NF!$A:$A,$AO841,NF!$I:$I)</f>
        <v>0</v>
      </c>
      <c r="AQ841" s="6"/>
      <c r="AR841" s="6"/>
      <c r="AS841" s="6"/>
      <c r="AT841" s="6"/>
      <c r="AU841" s="6"/>
      <c r="AV841" s="6"/>
      <c r="AW841" s="6"/>
      <c r="AX841" s="7">
        <f t="shared" si="1058"/>
        <v>0</v>
      </c>
      <c r="AY841" s="11">
        <f t="shared" si="837"/>
        <v>0</v>
      </c>
      <c r="AZ841" s="25"/>
      <c r="BA841" s="10" t="str">
        <f t="shared" si="990"/>
        <v>OutubroSEMANA 5Suco de Laranja</v>
      </c>
      <c r="BB841" s="7">
        <f>SUMIF(NF!$A:$A,$BA841,NF!$I:$I)</f>
        <v>0</v>
      </c>
      <c r="BC841" s="6"/>
      <c r="BD841" s="6"/>
      <c r="BE841" s="6"/>
      <c r="BF841" s="74"/>
      <c r="BG841" s="74"/>
      <c r="BH841" s="74"/>
      <c r="BI841" s="74"/>
      <c r="BJ841" s="74"/>
      <c r="BK841" s="7">
        <f t="shared" si="1059"/>
        <v>0</v>
      </c>
      <c r="BL841" s="8">
        <f t="shared" si="840"/>
        <v>0</v>
      </c>
      <c r="BM841" s="51" t="str">
        <f>IFERROR(VLOOKUP(A841,NF!$M:$O,3,0),"")</f>
        <v>Mercado</v>
      </c>
      <c r="BN841" s="7">
        <f t="shared" si="841"/>
        <v>0</v>
      </c>
      <c r="BO841" s="8">
        <f t="array" ref="BO841">IFERROR(LARGE(IF(NF!$G$2:$G$3137='Mês atual'!A841,NF!$J$2:$J$3137),1),0)*BN841</f>
        <v>0</v>
      </c>
      <c r="BP841" s="50"/>
      <c r="BR841" s="147">
        <f t="array" ref="BR841">IFERROR(LARGE(IF(NF!$G$2:$G$3137='Mês atual'!A841,NF!$J$2:$J$3137),1),0)</f>
        <v>0</v>
      </c>
      <c r="BS841" s="143" t="str">
        <f>VLOOKUP(A841,NF!M:O,3,0)</f>
        <v>Mercado</v>
      </c>
    </row>
    <row r="842" spans="1:71" x14ac:dyDescent="0.25">
      <c r="A842" s="108" t="s">
        <v>753</v>
      </c>
      <c r="B842" s="12"/>
      <c r="C842" s="9">
        <v>1</v>
      </c>
      <c r="D842" s="25"/>
      <c r="E842" s="10" t="str">
        <f t="shared" si="986"/>
        <v>OutubroSEMANA 1Suco de Maracujá</v>
      </c>
      <c r="F842" s="7">
        <f>SUMIF(NF!$A:$A,$E842,NF!$I:$I)</f>
        <v>0</v>
      </c>
      <c r="G842" s="6"/>
      <c r="H842" s="6"/>
      <c r="I842" s="6"/>
      <c r="J842" s="6"/>
      <c r="K842" s="6"/>
      <c r="L842" s="6"/>
      <c r="M842" s="6"/>
      <c r="N842" s="7">
        <f t="shared" si="1055"/>
        <v>0</v>
      </c>
      <c r="O842" s="11">
        <f t="shared" si="828"/>
        <v>1</v>
      </c>
      <c r="P842" s="25"/>
      <c r="Q842" s="10" t="str">
        <f t="shared" si="987"/>
        <v>OutubroSEMANA 2Suco de Maracujá</v>
      </c>
      <c r="R842" s="7">
        <f>SUMIF(NF!$A:$A,$Q842,NF!$I:$I)</f>
        <v>2</v>
      </c>
      <c r="S842" s="6"/>
      <c r="T842" s="6">
        <v>1</v>
      </c>
      <c r="U842" s="6"/>
      <c r="V842" s="6"/>
      <c r="W842" s="6"/>
      <c r="X842" s="6"/>
      <c r="Y842" s="6"/>
      <c r="Z842" s="7">
        <f t="shared" si="1056"/>
        <v>1</v>
      </c>
      <c r="AA842" s="11">
        <f t="shared" si="831"/>
        <v>2</v>
      </c>
      <c r="AB842" s="25"/>
      <c r="AC842" s="10" t="str">
        <f t="shared" si="988"/>
        <v>OutubroSEMANA 3Suco de Maracujá</v>
      </c>
      <c r="AD842" s="7">
        <f>SUMIF(NF!$A:$A,$AC842,NF!$I:$I)</f>
        <v>2</v>
      </c>
      <c r="AE842" s="6">
        <v>1</v>
      </c>
      <c r="AF842" s="6"/>
      <c r="AG842" s="6"/>
      <c r="AH842" s="6">
        <v>2</v>
      </c>
      <c r="AI842" s="6"/>
      <c r="AJ842" s="6"/>
      <c r="AK842" s="6"/>
      <c r="AL842" s="7">
        <f t="shared" si="1057"/>
        <v>3</v>
      </c>
      <c r="AM842" s="11">
        <f t="shared" si="834"/>
        <v>1</v>
      </c>
      <c r="AN842" s="25"/>
      <c r="AO842" s="10" t="str">
        <f t="shared" si="989"/>
        <v>OutubroSEMANA 4Suco de Maracujá</v>
      </c>
      <c r="AP842" s="7">
        <f>SUMIF(NF!$A:$A,$AO842,NF!$I:$I)</f>
        <v>1</v>
      </c>
      <c r="AQ842" s="6"/>
      <c r="AR842" s="6"/>
      <c r="AS842" s="6">
        <v>1</v>
      </c>
      <c r="AT842" s="6"/>
      <c r="AU842" s="6"/>
      <c r="AV842" s="6"/>
      <c r="AW842" s="6"/>
      <c r="AX842" s="7">
        <f t="shared" si="1058"/>
        <v>1</v>
      </c>
      <c r="AY842" s="11">
        <f t="shared" si="837"/>
        <v>1</v>
      </c>
      <c r="AZ842" s="25"/>
      <c r="BA842" s="10" t="str">
        <f t="shared" si="990"/>
        <v>OutubroSEMANA 5Suco de Maracujá</v>
      </c>
      <c r="BB842" s="7">
        <f>SUMIF(NF!$A:$A,$BA842,NF!$I:$I)</f>
        <v>0</v>
      </c>
      <c r="BC842" s="6"/>
      <c r="BD842" s="6"/>
      <c r="BE842" s="6"/>
      <c r="BF842" s="74"/>
      <c r="BG842" s="74"/>
      <c r="BH842" s="74"/>
      <c r="BI842" s="74"/>
      <c r="BJ842" s="74"/>
      <c r="BK842" s="7">
        <f t="shared" si="1059"/>
        <v>0</v>
      </c>
      <c r="BL842" s="8">
        <f t="shared" si="840"/>
        <v>1</v>
      </c>
      <c r="BM842" s="51" t="str">
        <f>IFERROR(VLOOKUP(A842,NF!$M:$O,3,0),"")</f>
        <v>Mercado</v>
      </c>
      <c r="BN842" s="7">
        <f t="shared" si="841"/>
        <v>5</v>
      </c>
      <c r="BO842" s="8">
        <f t="array" ref="BO842">IFERROR(LARGE(IF(NF!$G$2:$G$3137='Mês atual'!A842,NF!$J$2:$J$3137),1),0)*BN842</f>
        <v>43.75</v>
      </c>
      <c r="BP842" s="50"/>
      <c r="BR842" s="147">
        <f t="array" ref="BR842">IFERROR(LARGE(IF(NF!$G$2:$G$3137='Mês atual'!A842,NF!$J$2:$J$3137),1),0)</f>
        <v>8.75</v>
      </c>
      <c r="BS842" s="143" t="str">
        <f>VLOOKUP(A842,NF!M:O,3,0)</f>
        <v>Mercado</v>
      </c>
    </row>
    <row r="843" spans="1:71" x14ac:dyDescent="0.25">
      <c r="A843" s="108" t="s">
        <v>754</v>
      </c>
      <c r="B843" s="12"/>
      <c r="C843" s="9"/>
      <c r="D843" s="25"/>
      <c r="E843" s="10" t="str">
        <f t="shared" si="986"/>
        <v>OutubroSEMANA 1Suco Greenpeople</v>
      </c>
      <c r="F843" s="7">
        <f>SUMIF(NF!$A:$A,$E843,NF!$I:$I)</f>
        <v>0</v>
      </c>
      <c r="G843" s="6"/>
      <c r="H843" s="6"/>
      <c r="I843" s="6"/>
      <c r="J843" s="6"/>
      <c r="K843" s="6"/>
      <c r="L843" s="6"/>
      <c r="M843" s="6"/>
      <c r="N843" s="7">
        <f t="shared" si="1055"/>
        <v>0</v>
      </c>
      <c r="O843" s="11">
        <f t="shared" si="828"/>
        <v>0</v>
      </c>
      <c r="P843" s="25"/>
      <c r="Q843" s="10" t="str">
        <f t="shared" si="987"/>
        <v>OutubroSEMANA 2Suco Greenpeople</v>
      </c>
      <c r="R843" s="7">
        <f>SUMIF(NF!$A:$A,$Q843,NF!$I:$I)</f>
        <v>0</v>
      </c>
      <c r="S843" s="6"/>
      <c r="T843" s="6"/>
      <c r="U843" s="6"/>
      <c r="V843" s="6"/>
      <c r="W843" s="6"/>
      <c r="X843" s="6"/>
      <c r="Y843" s="6"/>
      <c r="Z843" s="7">
        <f t="shared" si="1056"/>
        <v>0</v>
      </c>
      <c r="AA843" s="11">
        <f t="shared" si="831"/>
        <v>0</v>
      </c>
      <c r="AB843" s="25"/>
      <c r="AC843" s="10" t="str">
        <f t="shared" si="988"/>
        <v>OutubroSEMANA 3Suco Greenpeople</v>
      </c>
      <c r="AD843" s="7">
        <f>SUMIF(NF!$A:$A,$AC843,NF!$I:$I)</f>
        <v>0</v>
      </c>
      <c r="AE843" s="6"/>
      <c r="AF843" s="6"/>
      <c r="AG843" s="6"/>
      <c r="AH843" s="6"/>
      <c r="AI843" s="6"/>
      <c r="AJ843" s="6"/>
      <c r="AK843" s="6"/>
      <c r="AL843" s="7">
        <f t="shared" si="1057"/>
        <v>0</v>
      </c>
      <c r="AM843" s="11">
        <f t="shared" si="834"/>
        <v>0</v>
      </c>
      <c r="AN843" s="25"/>
      <c r="AO843" s="10" t="str">
        <f t="shared" si="989"/>
        <v>OutubroSEMANA 4Suco Greenpeople</v>
      </c>
      <c r="AP843" s="7">
        <f>SUMIF(NF!$A:$A,$AO843,NF!$I:$I)</f>
        <v>0</v>
      </c>
      <c r="AQ843" s="6"/>
      <c r="AR843" s="6"/>
      <c r="AS843" s="6"/>
      <c r="AT843" s="6"/>
      <c r="AU843" s="6"/>
      <c r="AV843" s="6"/>
      <c r="AW843" s="6"/>
      <c r="AX843" s="7">
        <f t="shared" si="1058"/>
        <v>0</v>
      </c>
      <c r="AY843" s="11">
        <f t="shared" si="837"/>
        <v>0</v>
      </c>
      <c r="AZ843" s="25"/>
      <c r="BA843" s="10" t="str">
        <f t="shared" si="990"/>
        <v>OutubroSEMANA 5Suco Greenpeople</v>
      </c>
      <c r="BB843" s="7">
        <f>SUMIF(NF!$A:$A,$BA843,NF!$I:$I)</f>
        <v>0</v>
      </c>
      <c r="BC843" s="6"/>
      <c r="BD843" s="6"/>
      <c r="BE843" s="6"/>
      <c r="BF843" s="74"/>
      <c r="BG843" s="74"/>
      <c r="BH843" s="74"/>
      <c r="BI843" s="74"/>
      <c r="BJ843" s="74"/>
      <c r="BK843" s="7">
        <f t="shared" si="1059"/>
        <v>0</v>
      </c>
      <c r="BL843" s="8">
        <f t="shared" si="840"/>
        <v>0</v>
      </c>
      <c r="BM843" s="51" t="str">
        <f>IFERROR(VLOOKUP(A843,NF!$M:$O,3,0),"")</f>
        <v>Mercado</v>
      </c>
      <c r="BN843" s="7">
        <f t="shared" si="841"/>
        <v>0</v>
      </c>
      <c r="BO843" s="8">
        <f t="array" ref="BO843">IFERROR(LARGE(IF(NF!$G$2:$G$3137='Mês atual'!A843,NF!$J$2:$J$3137),1),0)*BN843</f>
        <v>0</v>
      </c>
      <c r="BP843" s="50"/>
      <c r="BR843" s="147">
        <f t="array" ref="BR843">IFERROR(LARGE(IF(NF!$G$2:$G$3137='Mês atual'!A843,NF!$J$2:$J$3137),1),0)</f>
        <v>0</v>
      </c>
      <c r="BS843" s="143" t="str">
        <f>VLOOKUP(A843,NF!M:O,3,0)</f>
        <v>Mercado</v>
      </c>
    </row>
    <row r="844" spans="1:71" x14ac:dyDescent="0.25">
      <c r="A844" s="108" t="s">
        <v>779</v>
      </c>
      <c r="B844" s="12"/>
      <c r="C844" s="9">
        <v>7</v>
      </c>
      <c r="D844" s="25"/>
      <c r="E844" s="10" t="str">
        <f t="shared" si="986"/>
        <v>OutubroSEMANA 1Tahine Lata 500 gr</v>
      </c>
      <c r="F844" s="7">
        <f>SUMIF(NF!$A:$A,$E844,NF!$I:$I)</f>
        <v>2</v>
      </c>
      <c r="G844" s="6"/>
      <c r="H844" s="6"/>
      <c r="I844" s="6"/>
      <c r="J844" s="6"/>
      <c r="K844" s="6">
        <v>1</v>
      </c>
      <c r="L844" s="6"/>
      <c r="M844" s="6"/>
      <c r="N844" s="7">
        <f t="shared" si="1055"/>
        <v>1</v>
      </c>
      <c r="O844" s="11">
        <f t="shared" si="828"/>
        <v>8</v>
      </c>
      <c r="P844" s="25"/>
      <c r="Q844" s="10" t="str">
        <f t="shared" si="987"/>
        <v>OutubroSEMANA 2Tahine Lata 500 gr</v>
      </c>
      <c r="R844" s="7">
        <f>SUMIF(NF!$A:$A,$Q844,NF!$I:$I)</f>
        <v>0</v>
      </c>
      <c r="S844" s="6"/>
      <c r="T844" s="6"/>
      <c r="U844" s="6"/>
      <c r="V844" s="6"/>
      <c r="W844" s="6"/>
      <c r="X844" s="6"/>
      <c r="Y844" s="6"/>
      <c r="Z844" s="7">
        <f t="shared" si="1056"/>
        <v>0</v>
      </c>
      <c r="AA844" s="11">
        <f t="shared" si="831"/>
        <v>8</v>
      </c>
      <c r="AB844" s="25"/>
      <c r="AC844" s="10" t="str">
        <f t="shared" si="988"/>
        <v>OutubroSEMANA 3Tahine Lata 500 gr</v>
      </c>
      <c r="AD844" s="7">
        <f>SUMIF(NF!$A:$A,$AC844,NF!$I:$I)</f>
        <v>0</v>
      </c>
      <c r="AE844" s="6"/>
      <c r="AF844" s="6"/>
      <c r="AG844" s="6"/>
      <c r="AH844" s="6"/>
      <c r="AI844" s="6"/>
      <c r="AJ844" s="6"/>
      <c r="AK844" s="6"/>
      <c r="AL844" s="7">
        <f t="shared" si="1057"/>
        <v>0</v>
      </c>
      <c r="AM844" s="11">
        <f t="shared" si="834"/>
        <v>8</v>
      </c>
      <c r="AN844" s="25"/>
      <c r="AO844" s="10" t="str">
        <f t="shared" si="989"/>
        <v>OutubroSEMANA 4Tahine Lata 500 gr</v>
      </c>
      <c r="AP844" s="7">
        <f>SUMIF(NF!$A:$A,$AO844,NF!$I:$I)</f>
        <v>0</v>
      </c>
      <c r="AQ844" s="6">
        <v>1</v>
      </c>
      <c r="AR844" s="6"/>
      <c r="AS844" s="6"/>
      <c r="AT844" s="6"/>
      <c r="AU844" s="6"/>
      <c r="AV844" s="6">
        <v>2</v>
      </c>
      <c r="AW844" s="6"/>
      <c r="AX844" s="7">
        <f t="shared" si="1058"/>
        <v>3</v>
      </c>
      <c r="AY844" s="11">
        <f t="shared" si="837"/>
        <v>5</v>
      </c>
      <c r="AZ844" s="25"/>
      <c r="BA844" s="10" t="str">
        <f t="shared" si="990"/>
        <v>OutubroSEMANA 5Tahine Lata 500 gr</v>
      </c>
      <c r="BB844" s="7">
        <f>SUMIF(NF!$A:$A,$BA844,NF!$I:$I)</f>
        <v>0</v>
      </c>
      <c r="BC844" s="6">
        <v>2</v>
      </c>
      <c r="BD844" s="6">
        <v>1</v>
      </c>
      <c r="BE844" s="6"/>
      <c r="BF844" s="74"/>
      <c r="BG844" s="74"/>
      <c r="BH844" s="74"/>
      <c r="BI844" s="74"/>
      <c r="BJ844" s="74"/>
      <c r="BK844" s="7">
        <f t="shared" si="1059"/>
        <v>3</v>
      </c>
      <c r="BL844" s="8">
        <f t="shared" si="840"/>
        <v>2</v>
      </c>
      <c r="BM844" s="51" t="str">
        <f>IFERROR(VLOOKUP(A844,NF!$M:$O,3,0),"")</f>
        <v>Mercado</v>
      </c>
      <c r="BN844" s="7">
        <f t="shared" si="841"/>
        <v>7</v>
      </c>
      <c r="BO844" s="8">
        <f t="array" ref="BO844">IFERROR(LARGE(IF(NF!$G$2:$G$3137='Mês atual'!A844,NF!$J$2:$J$3137),1),0)*BN844</f>
        <v>132.65</v>
      </c>
      <c r="BP844" s="50"/>
      <c r="BR844" s="147">
        <f t="array" ref="BR844">IFERROR(LARGE(IF(NF!$G$2:$G$3137='Mês atual'!A844,NF!$J$2:$J$3137),1),0)</f>
        <v>18.95</v>
      </c>
      <c r="BS844" s="143" t="str">
        <f>VLOOKUP(A844,NF!M:O,3,0)</f>
        <v>Mercado</v>
      </c>
    </row>
    <row r="845" spans="1:71" x14ac:dyDescent="0.25">
      <c r="A845" s="108" t="s">
        <v>780</v>
      </c>
      <c r="B845" s="12"/>
      <c r="C845" s="9">
        <v>2</v>
      </c>
      <c r="D845" s="25"/>
      <c r="E845" s="10" t="str">
        <f t="shared" si="986"/>
        <v>OutubroSEMANA 1Tamaras s/ Casca</v>
      </c>
      <c r="F845" s="7">
        <f>SUMIF(NF!$A:$A,$E845,NF!$I:$I)</f>
        <v>0</v>
      </c>
      <c r="G845" s="6"/>
      <c r="H845" s="6"/>
      <c r="I845" s="6"/>
      <c r="J845" s="6"/>
      <c r="K845" s="6"/>
      <c r="L845" s="6"/>
      <c r="M845" s="6"/>
      <c r="N845" s="7">
        <f t="shared" si="1055"/>
        <v>0</v>
      </c>
      <c r="O845" s="11">
        <f t="shared" si="828"/>
        <v>2</v>
      </c>
      <c r="P845" s="25"/>
      <c r="Q845" s="10" t="str">
        <f t="shared" si="987"/>
        <v>OutubroSEMANA 2Tamaras s/ Casca</v>
      </c>
      <c r="R845" s="7">
        <f>SUMIF(NF!$A:$A,$Q845,NF!$I:$I)</f>
        <v>0</v>
      </c>
      <c r="S845" s="6"/>
      <c r="T845" s="6"/>
      <c r="U845" s="6"/>
      <c r="V845" s="6"/>
      <c r="W845" s="6"/>
      <c r="X845" s="6"/>
      <c r="Y845" s="6"/>
      <c r="Z845" s="7">
        <f t="shared" si="1056"/>
        <v>0</v>
      </c>
      <c r="AA845" s="11">
        <f t="shared" si="831"/>
        <v>2</v>
      </c>
      <c r="AB845" s="25"/>
      <c r="AC845" s="10" t="str">
        <f t="shared" si="988"/>
        <v>OutubroSEMANA 3Tamaras s/ Casca</v>
      </c>
      <c r="AD845" s="7">
        <f>SUMIF(NF!$A:$A,$AC845,NF!$I:$I)</f>
        <v>0</v>
      </c>
      <c r="AE845" s="6"/>
      <c r="AF845" s="6"/>
      <c r="AG845" s="6"/>
      <c r="AH845" s="6"/>
      <c r="AI845" s="6"/>
      <c r="AJ845" s="6"/>
      <c r="AK845" s="6"/>
      <c r="AL845" s="7">
        <f t="shared" si="1057"/>
        <v>0</v>
      </c>
      <c r="AM845" s="11">
        <f t="shared" si="834"/>
        <v>2</v>
      </c>
      <c r="AN845" s="25"/>
      <c r="AO845" s="10" t="str">
        <f t="shared" si="989"/>
        <v>OutubroSEMANA 4Tamaras s/ Casca</v>
      </c>
      <c r="AP845" s="7">
        <f>SUMIF(NF!$A:$A,$AO845,NF!$I:$I)</f>
        <v>0</v>
      </c>
      <c r="AQ845" s="6"/>
      <c r="AR845" s="6"/>
      <c r="AS845" s="6"/>
      <c r="AT845" s="6"/>
      <c r="AU845" s="6"/>
      <c r="AV845" s="6"/>
      <c r="AW845" s="6"/>
      <c r="AX845" s="7">
        <f t="shared" si="1058"/>
        <v>0</v>
      </c>
      <c r="AY845" s="11">
        <f t="shared" si="837"/>
        <v>2</v>
      </c>
      <c r="AZ845" s="25"/>
      <c r="BA845" s="10" t="str">
        <f t="shared" si="990"/>
        <v>OutubroSEMANA 5Tamaras s/ Casca</v>
      </c>
      <c r="BB845" s="7">
        <f>SUMIF(NF!$A:$A,$BA845,NF!$I:$I)</f>
        <v>0</v>
      </c>
      <c r="BC845" s="6"/>
      <c r="BD845" s="6"/>
      <c r="BE845" s="6"/>
      <c r="BF845" s="74"/>
      <c r="BG845" s="74"/>
      <c r="BH845" s="74"/>
      <c r="BI845" s="74"/>
      <c r="BJ845" s="74"/>
      <c r="BK845" s="7">
        <f t="shared" si="1059"/>
        <v>0</v>
      </c>
      <c r="BL845" s="8">
        <f t="shared" si="840"/>
        <v>2</v>
      </c>
      <c r="BM845" s="51" t="str">
        <f>IFERROR(VLOOKUP(A845,NF!$M:$O,3,0),"")</f>
        <v>Mercado</v>
      </c>
      <c r="BN845" s="7">
        <f t="shared" si="841"/>
        <v>0</v>
      </c>
      <c r="BO845" s="8">
        <f t="array" ref="BO845">IFERROR(LARGE(IF(NF!$G$2:$G$3137='Mês atual'!A845,NF!$J$2:$J$3137),1),0)*BN845</f>
        <v>0</v>
      </c>
      <c r="BP845" s="50"/>
      <c r="BR845" s="147">
        <f t="array" ref="BR845">IFERROR(LARGE(IF(NF!$G$2:$G$3137='Mês atual'!A845,NF!$J$2:$J$3137),1),0)</f>
        <v>0</v>
      </c>
      <c r="BS845" s="143" t="str">
        <f>VLOOKUP(A845,NF!M:O,3,0)</f>
        <v>Mercado</v>
      </c>
    </row>
    <row r="846" spans="1:71" x14ac:dyDescent="0.25">
      <c r="A846" s="108" t="s">
        <v>1027</v>
      </c>
      <c r="B846" s="12"/>
      <c r="C846" s="9">
        <v>5</v>
      </c>
      <c r="D846" s="25"/>
      <c r="E846" s="10" t="str">
        <f t="shared" si="986"/>
        <v>OutubroSEMANA 1Tapioca Fina</v>
      </c>
      <c r="F846" s="7">
        <f>SUMIF(NF!$A:$A,$E846,NF!$I:$I)</f>
        <v>4.024</v>
      </c>
      <c r="G846" s="6"/>
      <c r="H846" s="6"/>
      <c r="I846" s="6"/>
      <c r="J846" s="6"/>
      <c r="K846" s="6">
        <v>3.02</v>
      </c>
      <c r="L846" s="6"/>
      <c r="M846" s="6"/>
      <c r="N846" s="7">
        <f t="shared" ref="N846" si="1060">SUM(G846:M846)</f>
        <v>3.02</v>
      </c>
      <c r="O846" s="11">
        <f t="shared" ref="O846" si="1061">F846+C846-N846</f>
        <v>6.0040000000000013</v>
      </c>
      <c r="P846" s="25"/>
      <c r="Q846" s="10" t="str">
        <f t="shared" si="987"/>
        <v>OutubroSEMANA 2Tapioca Fina</v>
      </c>
      <c r="R846" s="7">
        <f>SUMIF(NF!$A:$A,$Q846,NF!$I:$I)</f>
        <v>1.006</v>
      </c>
      <c r="S846" s="6"/>
      <c r="T846" s="6"/>
      <c r="U846" s="6"/>
      <c r="V846" s="6"/>
      <c r="W846" s="6"/>
      <c r="X846" s="6"/>
      <c r="Y846" s="6"/>
      <c r="Z846" s="7">
        <f t="shared" ref="Z846" si="1062">SUM(S846:Y846)</f>
        <v>0</v>
      </c>
      <c r="AA846" s="11">
        <f t="shared" ref="AA846" si="1063">R846+O846-Z846</f>
        <v>7.0100000000000016</v>
      </c>
      <c r="AB846" s="25"/>
      <c r="AC846" s="10" t="str">
        <f t="shared" si="988"/>
        <v>OutubroSEMANA 3Tapioca Fina</v>
      </c>
      <c r="AD846" s="7">
        <f>SUMIF(NF!$A:$A,$AC846,NF!$I:$I)</f>
        <v>4.0120000000000005</v>
      </c>
      <c r="AE846" s="6"/>
      <c r="AF846" s="6"/>
      <c r="AG846" s="6"/>
      <c r="AH846" s="6"/>
      <c r="AI846" s="6"/>
      <c r="AJ846" s="6"/>
      <c r="AK846" s="6"/>
      <c r="AL846" s="7">
        <f t="shared" ref="AL846" si="1064">SUM(AE846:AK846)</f>
        <v>0</v>
      </c>
      <c r="AM846" s="11">
        <f t="shared" ref="AM846" si="1065">AD846+AA846-AL846</f>
        <v>11.022000000000002</v>
      </c>
      <c r="AN846" s="25"/>
      <c r="AO846" s="10" t="str">
        <f t="shared" si="989"/>
        <v>OutubroSEMANA 4Tapioca Fina</v>
      </c>
      <c r="AP846" s="7">
        <f>SUMIF(NF!$A:$A,$AO846,NF!$I:$I)</f>
        <v>0</v>
      </c>
      <c r="AQ846" s="6"/>
      <c r="AR846" s="6"/>
      <c r="AS846" s="6"/>
      <c r="AT846" s="6">
        <v>3.02</v>
      </c>
      <c r="AU846" s="6"/>
      <c r="AV846" s="6"/>
      <c r="AW846" s="6"/>
      <c r="AX846" s="7">
        <f t="shared" ref="AX846" si="1066">SUM(AQ846:AW846)</f>
        <v>3.02</v>
      </c>
      <c r="AY846" s="11">
        <f t="shared" ref="AY846" si="1067">AP846+AM846-AX846</f>
        <v>8.0020000000000024</v>
      </c>
      <c r="AZ846" s="25"/>
      <c r="BA846" s="10" t="str">
        <f t="shared" si="990"/>
        <v>OutubroSEMANA 5Tapioca Fina</v>
      </c>
      <c r="BB846" s="7">
        <f>SUMIF(NF!$A:$A,$BA846,NF!$I:$I)</f>
        <v>0</v>
      </c>
      <c r="BC846" s="6"/>
      <c r="BD846" s="6">
        <v>3</v>
      </c>
      <c r="BE846" s="6"/>
      <c r="BF846" s="74"/>
      <c r="BG846" s="74"/>
      <c r="BH846" s="74"/>
      <c r="BI846" s="74"/>
      <c r="BJ846" s="74"/>
      <c r="BK846" s="7">
        <f t="shared" ref="BK846" si="1068">SUM(BC846:BJ846)</f>
        <v>3</v>
      </c>
      <c r="BL846" s="8">
        <f t="shared" ref="BL846" si="1069">BB846+AY846-BK846</f>
        <v>5.0020000000000024</v>
      </c>
      <c r="BM846" s="51" t="str">
        <f>IFERROR(VLOOKUP(A846,NF!$M:$O,3,0),"")</f>
        <v>Mercado</v>
      </c>
      <c r="BN846" s="7">
        <f t="shared" ref="BN846" si="1070">SUM(N846,Z846,AL846,AX846,BK846)</f>
        <v>9.0399999999999991</v>
      </c>
      <c r="BO846" s="8">
        <f t="array" ref="BO846">IFERROR(LARGE(IF(NF!$G$2:$G$3137='Mês atual'!A846,NF!$J$2:$J$3137),1),0)*BN846</f>
        <v>99.44</v>
      </c>
      <c r="BP846" s="50"/>
      <c r="BR846" s="147">
        <f t="array" ref="BR846">IFERROR(LARGE(IF(NF!$G$2:$G$3137='Mês atual'!A846,NF!$J$2:$J$3137),1),0)</f>
        <v>11</v>
      </c>
      <c r="BS846" s="143" t="str">
        <f>VLOOKUP(A846,NF!M:O,3,0)</f>
        <v>Mercado</v>
      </c>
    </row>
    <row r="847" spans="1:71" x14ac:dyDescent="0.25">
      <c r="A847" s="108" t="s">
        <v>785</v>
      </c>
      <c r="B847" s="12"/>
      <c r="C847" s="9">
        <v>1</v>
      </c>
      <c r="D847" s="25"/>
      <c r="E847" s="10" t="str">
        <f t="shared" si="986"/>
        <v xml:space="preserve">OutubroSEMANA 1Tapioca Granulada </v>
      </c>
      <c r="F847" s="7">
        <f>SUMIF(NF!$A:$A,$E847,NF!$I:$I)</f>
        <v>2</v>
      </c>
      <c r="G847" s="6">
        <v>0.5</v>
      </c>
      <c r="H847" s="6">
        <v>0.5</v>
      </c>
      <c r="I847" s="6"/>
      <c r="J847" s="6"/>
      <c r="K847" s="6"/>
      <c r="L847" s="6">
        <v>0.5</v>
      </c>
      <c r="M847" s="6"/>
      <c r="N847" s="7">
        <f t="shared" si="1055"/>
        <v>1.5</v>
      </c>
      <c r="O847" s="11">
        <f t="shared" si="828"/>
        <v>1.5</v>
      </c>
      <c r="P847" s="25"/>
      <c r="Q847" s="10" t="str">
        <f t="shared" si="987"/>
        <v xml:space="preserve">OutubroSEMANA 2Tapioca Granulada </v>
      </c>
      <c r="R847" s="7">
        <f>SUMIF(NF!$A:$A,$Q847,NF!$I:$I)</f>
        <v>3</v>
      </c>
      <c r="S847" s="6">
        <v>0.5</v>
      </c>
      <c r="T847" s="6"/>
      <c r="U847" s="6">
        <v>0.5</v>
      </c>
      <c r="V847" s="6"/>
      <c r="W847" s="6">
        <v>0.5</v>
      </c>
      <c r="X847" s="6"/>
      <c r="Y847" s="6">
        <v>0.5</v>
      </c>
      <c r="Z847" s="7">
        <f t="shared" si="1056"/>
        <v>2</v>
      </c>
      <c r="AA847" s="11">
        <f t="shared" si="831"/>
        <v>2.5</v>
      </c>
      <c r="AB847" s="25"/>
      <c r="AC847" s="10" t="str">
        <f t="shared" si="988"/>
        <v xml:space="preserve">OutubroSEMANA 3Tapioca Granulada </v>
      </c>
      <c r="AD847" s="7">
        <f>SUMIF(NF!$A:$A,$AC847,NF!$I:$I)</f>
        <v>0</v>
      </c>
      <c r="AE847" s="6"/>
      <c r="AF847" s="6">
        <v>0.5</v>
      </c>
      <c r="AG847" s="6"/>
      <c r="AH847" s="6"/>
      <c r="AI847" s="6">
        <v>0.5</v>
      </c>
      <c r="AJ847" s="6"/>
      <c r="AK847" s="6"/>
      <c r="AL847" s="7">
        <f t="shared" si="1057"/>
        <v>1</v>
      </c>
      <c r="AM847" s="11">
        <f t="shared" si="834"/>
        <v>1.5</v>
      </c>
      <c r="AN847" s="25"/>
      <c r="AO847" s="10" t="str">
        <f t="shared" si="989"/>
        <v xml:space="preserve">OutubroSEMANA 4Tapioca Granulada </v>
      </c>
      <c r="AP847" s="7">
        <f>SUMIF(NF!$A:$A,$AO847,NF!$I:$I)</f>
        <v>1.5</v>
      </c>
      <c r="AQ847" s="6">
        <v>0.5</v>
      </c>
      <c r="AR847" s="6"/>
      <c r="AS847" s="6"/>
      <c r="AT847" s="6">
        <v>0.5</v>
      </c>
      <c r="AU847" s="6"/>
      <c r="AV847" s="6"/>
      <c r="AW847" s="6">
        <v>0.5</v>
      </c>
      <c r="AX847" s="7">
        <f t="shared" si="1058"/>
        <v>1.5</v>
      </c>
      <c r="AY847" s="11">
        <f t="shared" si="837"/>
        <v>1.5</v>
      </c>
      <c r="AZ847" s="25"/>
      <c r="BA847" s="10" t="str">
        <f t="shared" si="990"/>
        <v xml:space="preserve">OutubroSEMANA 5Tapioca Granulada </v>
      </c>
      <c r="BB847" s="7">
        <f>SUMIF(NF!$A:$A,$BA847,NF!$I:$I)</f>
        <v>1.5</v>
      </c>
      <c r="BC847" s="6">
        <v>0.5</v>
      </c>
      <c r="BD847" s="6">
        <v>0.5</v>
      </c>
      <c r="BE847" s="6">
        <v>0.5</v>
      </c>
      <c r="BF847" s="74"/>
      <c r="BG847" s="74"/>
      <c r="BH847" s="74"/>
      <c r="BI847" s="74"/>
      <c r="BJ847" s="74"/>
      <c r="BK847" s="7">
        <f t="shared" si="1059"/>
        <v>1.5</v>
      </c>
      <c r="BL847" s="8">
        <f t="shared" si="840"/>
        <v>1.5</v>
      </c>
      <c r="BM847" s="51" t="str">
        <f>IFERROR(VLOOKUP(A847,NF!$M:$O,3,0),"")</f>
        <v>Mercado</v>
      </c>
      <c r="BN847" s="7">
        <f t="shared" si="841"/>
        <v>7.5</v>
      </c>
      <c r="BO847" s="8">
        <f t="array" ref="BO847">IFERROR(LARGE(IF(NF!$G$2:$G$3137='Mês atual'!A847,NF!$J$2:$J$3137),1),0)*BN847</f>
        <v>128.24999999999997</v>
      </c>
      <c r="BP847" s="50"/>
      <c r="BR847" s="147">
        <f t="array" ref="BR847">IFERROR(LARGE(IF(NF!$G$2:$G$3137='Mês atual'!A847,NF!$J$2:$J$3137),1),0)</f>
        <v>17.099999999999998</v>
      </c>
      <c r="BS847" s="143" t="str">
        <f>VLOOKUP(A847,NF!M:O,3,0)</f>
        <v>Mercado</v>
      </c>
    </row>
    <row r="848" spans="1:71" x14ac:dyDescent="0.25">
      <c r="A848" s="108" t="s">
        <v>918</v>
      </c>
      <c r="B848" s="12"/>
      <c r="C848" s="9"/>
      <c r="D848" s="25"/>
      <c r="E848" s="10" t="str">
        <f t="shared" si="986"/>
        <v>OutubroSEMANA 1Tempero p/ Sushi Bb 5 Lt  (Cozinha)</v>
      </c>
      <c r="F848" s="7">
        <f>SUMIF(NF!$A:$A,$E848,NF!$I:$I)</f>
        <v>0</v>
      </c>
      <c r="G848" s="6"/>
      <c r="H848" s="6"/>
      <c r="I848" s="6"/>
      <c r="J848" s="6"/>
      <c r="K848" s="6"/>
      <c r="L848" s="6"/>
      <c r="M848" s="6"/>
      <c r="N848" s="7">
        <f t="shared" si="1055"/>
        <v>0</v>
      </c>
      <c r="O848" s="11">
        <f t="shared" si="828"/>
        <v>0</v>
      </c>
      <c r="P848" s="25"/>
      <c r="Q848" s="10" t="str">
        <f t="shared" si="987"/>
        <v>OutubroSEMANA 2Tempero p/ Sushi Bb 5 Lt  (Cozinha)</v>
      </c>
      <c r="R848" s="7">
        <f>SUMIF(NF!$A:$A,$Q848,NF!$I:$I)</f>
        <v>0</v>
      </c>
      <c r="S848" s="6"/>
      <c r="T848" s="6"/>
      <c r="U848" s="6"/>
      <c r="V848" s="6"/>
      <c r="W848" s="6"/>
      <c r="X848" s="6"/>
      <c r="Y848" s="6"/>
      <c r="Z848" s="7">
        <f t="shared" si="1056"/>
        <v>0</v>
      </c>
      <c r="AA848" s="11">
        <f t="shared" si="831"/>
        <v>0</v>
      </c>
      <c r="AB848" s="25"/>
      <c r="AC848" s="10" t="str">
        <f t="shared" si="988"/>
        <v>OutubroSEMANA 3Tempero p/ Sushi Bb 5 Lt  (Cozinha)</v>
      </c>
      <c r="AD848" s="7">
        <f>SUMIF(NF!$A:$A,$AC848,NF!$I:$I)</f>
        <v>0</v>
      </c>
      <c r="AE848" s="6"/>
      <c r="AF848" s="6"/>
      <c r="AG848" s="6"/>
      <c r="AH848" s="6"/>
      <c r="AI848" s="6"/>
      <c r="AJ848" s="6"/>
      <c r="AK848" s="6"/>
      <c r="AL848" s="7">
        <f t="shared" si="1057"/>
        <v>0</v>
      </c>
      <c r="AM848" s="11">
        <f t="shared" si="834"/>
        <v>0</v>
      </c>
      <c r="AN848" s="25"/>
      <c r="AO848" s="10" t="str">
        <f t="shared" si="989"/>
        <v>OutubroSEMANA 4Tempero p/ Sushi Bb 5 Lt  (Cozinha)</v>
      </c>
      <c r="AP848" s="7">
        <f>SUMIF(NF!$A:$A,$AO848,NF!$I:$I)</f>
        <v>0</v>
      </c>
      <c r="AQ848" s="6"/>
      <c r="AR848" s="6"/>
      <c r="AS848" s="6"/>
      <c r="AT848" s="6"/>
      <c r="AU848" s="6"/>
      <c r="AV848" s="6"/>
      <c r="AW848" s="6"/>
      <c r="AX848" s="7">
        <f t="shared" si="1058"/>
        <v>0</v>
      </c>
      <c r="AY848" s="11">
        <f t="shared" si="837"/>
        <v>0</v>
      </c>
      <c r="AZ848" s="25"/>
      <c r="BA848" s="10" t="str">
        <f t="shared" si="990"/>
        <v>OutubroSEMANA 5Tempero p/ Sushi Bb 5 Lt  (Cozinha)</v>
      </c>
      <c r="BB848" s="7">
        <f>SUMIF(NF!$A:$A,$BA848,NF!$I:$I)</f>
        <v>0</v>
      </c>
      <c r="BC848" s="6"/>
      <c r="BD848" s="6"/>
      <c r="BE848" s="6"/>
      <c r="BF848" s="74"/>
      <c r="BG848" s="74"/>
      <c r="BH848" s="74"/>
      <c r="BI848" s="74"/>
      <c r="BJ848" s="74"/>
      <c r="BK848" s="7">
        <f t="shared" si="1059"/>
        <v>0</v>
      </c>
      <c r="BL848" s="8">
        <f t="shared" si="840"/>
        <v>0</v>
      </c>
      <c r="BM848" s="51" t="str">
        <f>IFERROR(VLOOKUP(A848,NF!$M:$O,3,0),"")</f>
        <v>Mercado</v>
      </c>
      <c r="BN848" s="7">
        <f t="shared" si="841"/>
        <v>0</v>
      </c>
      <c r="BO848" s="8">
        <f t="array" ref="BO848">IFERROR(LARGE(IF(NF!$G$2:$G$3137='Mês atual'!A848,NF!$J$2:$J$3137),1),0)*BN848</f>
        <v>0</v>
      </c>
      <c r="BP848" s="50"/>
      <c r="BR848" s="147">
        <f t="array" ref="BR848">IFERROR(LARGE(IF(NF!$G$2:$G$3137='Mês atual'!A848,NF!$J$2:$J$3137),1),0)</f>
        <v>0</v>
      </c>
      <c r="BS848" s="143" t="str">
        <f>VLOOKUP(A848,NF!M:O,3,0)</f>
        <v>Mercado</v>
      </c>
    </row>
    <row r="849" spans="1:71" x14ac:dyDescent="0.25">
      <c r="A849" s="108" t="s">
        <v>794</v>
      </c>
      <c r="B849" s="12"/>
      <c r="C849" s="9">
        <v>5</v>
      </c>
      <c r="D849" s="25"/>
      <c r="E849" s="10" t="str">
        <f t="shared" si="986"/>
        <v>OutubroSEMANA 1Tomate Pelatti s/ Pele</v>
      </c>
      <c r="F849" s="7">
        <f>SUMIF(NF!$A:$A,$E849,NF!$I:$I)</f>
        <v>0</v>
      </c>
      <c r="G849" s="6"/>
      <c r="H849" s="6"/>
      <c r="I849" s="6"/>
      <c r="J849" s="6"/>
      <c r="K849" s="6"/>
      <c r="L849" s="6"/>
      <c r="M849" s="6"/>
      <c r="N849" s="7">
        <f t="shared" si="1055"/>
        <v>0</v>
      </c>
      <c r="O849" s="11">
        <f t="shared" si="828"/>
        <v>5</v>
      </c>
      <c r="P849" s="25"/>
      <c r="Q849" s="10" t="str">
        <f t="shared" si="987"/>
        <v>OutubroSEMANA 2Tomate Pelatti s/ Pele</v>
      </c>
      <c r="R849" s="7">
        <f>SUMIF(NF!$A:$A,$Q849,NF!$I:$I)</f>
        <v>0</v>
      </c>
      <c r="S849" s="6">
        <v>2</v>
      </c>
      <c r="T849" s="6"/>
      <c r="U849" s="6"/>
      <c r="V849" s="6"/>
      <c r="W849" s="6"/>
      <c r="X849" s="6"/>
      <c r="Y849" s="6"/>
      <c r="Z849" s="7">
        <f t="shared" si="1056"/>
        <v>2</v>
      </c>
      <c r="AA849" s="11">
        <f t="shared" si="831"/>
        <v>3</v>
      </c>
      <c r="AB849" s="25"/>
      <c r="AC849" s="10" t="str">
        <f t="shared" si="988"/>
        <v>OutubroSEMANA 3Tomate Pelatti s/ Pele</v>
      </c>
      <c r="AD849" s="7">
        <f>SUMIF(NF!$A:$A,$AC849,NF!$I:$I)</f>
        <v>0</v>
      </c>
      <c r="AE849" s="6"/>
      <c r="AF849" s="6"/>
      <c r="AG849" s="6"/>
      <c r="AH849" s="6"/>
      <c r="AI849" s="6"/>
      <c r="AJ849" s="6"/>
      <c r="AK849" s="6"/>
      <c r="AL849" s="7">
        <f t="shared" si="1057"/>
        <v>0</v>
      </c>
      <c r="AM849" s="11">
        <f t="shared" si="834"/>
        <v>3</v>
      </c>
      <c r="AN849" s="25"/>
      <c r="AO849" s="10" t="str">
        <f t="shared" si="989"/>
        <v>OutubroSEMANA 4Tomate Pelatti s/ Pele</v>
      </c>
      <c r="AP849" s="7">
        <f>SUMIF(NF!$A:$A,$AO849,NF!$I:$I)</f>
        <v>0</v>
      </c>
      <c r="AQ849" s="6"/>
      <c r="AR849" s="6"/>
      <c r="AS849" s="6"/>
      <c r="AT849" s="6"/>
      <c r="AU849" s="6"/>
      <c r="AV849" s="6"/>
      <c r="AW849" s="6"/>
      <c r="AX849" s="7">
        <f t="shared" si="1058"/>
        <v>0</v>
      </c>
      <c r="AY849" s="11">
        <f t="shared" si="837"/>
        <v>3</v>
      </c>
      <c r="AZ849" s="25"/>
      <c r="BA849" s="10" t="str">
        <f t="shared" si="990"/>
        <v>OutubroSEMANA 5Tomate Pelatti s/ Pele</v>
      </c>
      <c r="BB849" s="7">
        <f>SUMIF(NF!$A:$A,$BA849,NF!$I:$I)</f>
        <v>0</v>
      </c>
      <c r="BC849" s="6"/>
      <c r="BD849" s="6"/>
      <c r="BE849" s="6"/>
      <c r="BF849" s="74"/>
      <c r="BG849" s="74"/>
      <c r="BH849" s="74"/>
      <c r="BI849" s="74"/>
      <c r="BJ849" s="74"/>
      <c r="BK849" s="7">
        <f t="shared" si="1059"/>
        <v>0</v>
      </c>
      <c r="BL849" s="8">
        <f t="shared" si="840"/>
        <v>3</v>
      </c>
      <c r="BM849" s="51" t="str">
        <f>IFERROR(VLOOKUP(A849,NF!$M:$O,3,0),"")</f>
        <v>Mercado</v>
      </c>
      <c r="BN849" s="7">
        <f t="shared" si="841"/>
        <v>2</v>
      </c>
      <c r="BO849" s="8">
        <f t="array" ref="BO849">IFERROR(LARGE(IF(NF!$G$2:$G$3137='Mês atual'!A849,NF!$J$2:$J$3137),1),0)*BN849</f>
        <v>0</v>
      </c>
      <c r="BP849" s="50"/>
      <c r="BR849" s="147">
        <f t="array" ref="BR849">IFERROR(LARGE(IF(NF!$G$2:$G$3137='Mês atual'!A849,NF!$J$2:$J$3137),1),0)</f>
        <v>0</v>
      </c>
      <c r="BS849" s="143" t="str">
        <f>VLOOKUP(A849,NF!M:O,3,0)</f>
        <v>Mercado</v>
      </c>
    </row>
    <row r="850" spans="1:71" x14ac:dyDescent="0.25">
      <c r="A850" s="108" t="s">
        <v>797</v>
      </c>
      <c r="B850" s="12"/>
      <c r="C850" s="9">
        <v>1</v>
      </c>
      <c r="D850" s="25"/>
      <c r="E850" s="10" t="str">
        <f t="shared" si="986"/>
        <v>OutubroSEMANA 1Tomate Seco Conserva Bd 3 Kg</v>
      </c>
      <c r="F850" s="7">
        <f>SUMIF(NF!$A:$A,$E850,NF!$I:$I)</f>
        <v>0</v>
      </c>
      <c r="G850" s="6"/>
      <c r="H850" s="6"/>
      <c r="I850" s="6"/>
      <c r="J850" s="6"/>
      <c r="K850" s="6"/>
      <c r="L850" s="6"/>
      <c r="M850" s="6"/>
      <c r="N850" s="7">
        <f t="shared" si="1055"/>
        <v>0</v>
      </c>
      <c r="O850" s="11">
        <f t="shared" si="828"/>
        <v>1</v>
      </c>
      <c r="P850" s="25"/>
      <c r="Q850" s="10" t="str">
        <f t="shared" si="987"/>
        <v>OutubroSEMANA 2Tomate Seco Conserva Bd 3 Kg</v>
      </c>
      <c r="R850" s="7">
        <f>SUMIF(NF!$A:$A,$Q850,NF!$I:$I)</f>
        <v>0</v>
      </c>
      <c r="S850" s="6"/>
      <c r="T850" s="6"/>
      <c r="U850" s="6"/>
      <c r="V850" s="6"/>
      <c r="W850" s="6"/>
      <c r="X850" s="6"/>
      <c r="Y850" s="6">
        <v>1</v>
      </c>
      <c r="Z850" s="7">
        <f t="shared" si="1056"/>
        <v>1</v>
      </c>
      <c r="AA850" s="11">
        <f t="shared" si="831"/>
        <v>0</v>
      </c>
      <c r="AB850" s="25"/>
      <c r="AC850" s="10" t="str">
        <f t="shared" si="988"/>
        <v>OutubroSEMANA 3Tomate Seco Conserva Bd 3 Kg</v>
      </c>
      <c r="AD850" s="7">
        <f>SUMIF(NF!$A:$A,$AC850,NF!$I:$I)</f>
        <v>0</v>
      </c>
      <c r="AE850" s="6"/>
      <c r="AF850" s="6"/>
      <c r="AG850" s="6"/>
      <c r="AH850" s="6"/>
      <c r="AI850" s="6"/>
      <c r="AJ850" s="6"/>
      <c r="AK850" s="6"/>
      <c r="AL850" s="7">
        <f t="shared" si="1057"/>
        <v>0</v>
      </c>
      <c r="AM850" s="11">
        <f t="shared" si="834"/>
        <v>0</v>
      </c>
      <c r="AN850" s="25"/>
      <c r="AO850" s="10" t="str">
        <f t="shared" si="989"/>
        <v>OutubroSEMANA 4Tomate Seco Conserva Bd 3 Kg</v>
      </c>
      <c r="AP850" s="7">
        <f>SUMIF(NF!$A:$A,$AO850,NF!$I:$I)</f>
        <v>1</v>
      </c>
      <c r="AQ850" s="6"/>
      <c r="AR850" s="6"/>
      <c r="AS850" s="6"/>
      <c r="AT850" s="6"/>
      <c r="AU850" s="6"/>
      <c r="AV850" s="6"/>
      <c r="AW850" s="6"/>
      <c r="AX850" s="7">
        <f t="shared" si="1058"/>
        <v>0</v>
      </c>
      <c r="AY850" s="11">
        <f t="shared" si="837"/>
        <v>1</v>
      </c>
      <c r="AZ850" s="25"/>
      <c r="BA850" s="10" t="str">
        <f t="shared" si="990"/>
        <v>OutubroSEMANA 5Tomate Seco Conserva Bd 3 Kg</v>
      </c>
      <c r="BB850" s="7">
        <f>SUMIF(NF!$A:$A,$BA850,NF!$I:$I)</f>
        <v>0</v>
      </c>
      <c r="BC850" s="6"/>
      <c r="BD850" s="6"/>
      <c r="BE850" s="6"/>
      <c r="BF850" s="74"/>
      <c r="BG850" s="74"/>
      <c r="BH850" s="74"/>
      <c r="BI850" s="74"/>
      <c r="BJ850" s="74"/>
      <c r="BK850" s="7">
        <f t="shared" si="1059"/>
        <v>0</v>
      </c>
      <c r="BL850" s="8">
        <f t="shared" si="840"/>
        <v>1</v>
      </c>
      <c r="BM850" s="51" t="str">
        <f>IFERROR(VLOOKUP(A850,NF!$M:$O,3,0),"")</f>
        <v>Mercado</v>
      </c>
      <c r="BN850" s="7">
        <f t="shared" si="841"/>
        <v>1</v>
      </c>
      <c r="BO850" s="8">
        <f t="array" ref="BO850">IFERROR(LARGE(IF(NF!$G$2:$G$3137='Mês atual'!A850,NF!$J$2:$J$3137),1),0)*BN850</f>
        <v>78.099999999999994</v>
      </c>
      <c r="BP850" s="50"/>
      <c r="BR850" s="147">
        <f t="array" ref="BR850">IFERROR(LARGE(IF(NF!$G$2:$G$3137='Mês atual'!A850,NF!$J$2:$J$3137),1),0)</f>
        <v>78.099999999999994</v>
      </c>
      <c r="BS850" s="143" t="str">
        <f>VLOOKUP(A850,NF!M:O,3,0)</f>
        <v>Mercado</v>
      </c>
    </row>
    <row r="851" spans="1:71" x14ac:dyDescent="0.25">
      <c r="A851" s="108" t="s">
        <v>991</v>
      </c>
      <c r="B851" s="12"/>
      <c r="C851" s="9">
        <v>1</v>
      </c>
      <c r="D851" s="25"/>
      <c r="E851" s="10" t="str">
        <f t="shared" si="986"/>
        <v>OutubroSEMANA 1Tonkatsu Bb 5 Lt</v>
      </c>
      <c r="F851" s="7">
        <f>SUMIF(NF!$A:$A,$E851,NF!$I:$I)</f>
        <v>1</v>
      </c>
      <c r="G851" s="6"/>
      <c r="H851" s="6"/>
      <c r="I851" s="6"/>
      <c r="J851" s="6"/>
      <c r="K851" s="6"/>
      <c r="L851" s="6"/>
      <c r="M851" s="6"/>
      <c r="N851" s="7">
        <f t="shared" si="1055"/>
        <v>0</v>
      </c>
      <c r="O851" s="11">
        <f t="shared" si="828"/>
        <v>2</v>
      </c>
      <c r="P851" s="25"/>
      <c r="Q851" s="10" t="str">
        <f t="shared" si="987"/>
        <v>OutubroSEMANA 2Tonkatsu Bb 5 Lt</v>
      </c>
      <c r="R851" s="7">
        <f>SUMIF(NF!$A:$A,$Q851,NF!$I:$I)</f>
        <v>0</v>
      </c>
      <c r="S851" s="6"/>
      <c r="T851" s="6"/>
      <c r="U851" s="6"/>
      <c r="V851" s="6"/>
      <c r="W851" s="6"/>
      <c r="X851" s="6"/>
      <c r="Y851" s="6"/>
      <c r="Z851" s="7">
        <f t="shared" si="1056"/>
        <v>0</v>
      </c>
      <c r="AA851" s="11">
        <f t="shared" si="831"/>
        <v>2</v>
      </c>
      <c r="AB851" s="25"/>
      <c r="AC851" s="10" t="str">
        <f t="shared" si="988"/>
        <v>OutubroSEMANA 3Tonkatsu Bb 5 Lt</v>
      </c>
      <c r="AD851" s="7">
        <f>SUMIF(NF!$A:$A,$AC851,NF!$I:$I)</f>
        <v>0</v>
      </c>
      <c r="AE851" s="6"/>
      <c r="AF851" s="6"/>
      <c r="AG851" s="6"/>
      <c r="AH851" s="6"/>
      <c r="AI851" s="6"/>
      <c r="AJ851" s="6"/>
      <c r="AK851" s="6"/>
      <c r="AL851" s="7">
        <f t="shared" si="1057"/>
        <v>0</v>
      </c>
      <c r="AM851" s="11">
        <f t="shared" si="834"/>
        <v>2</v>
      </c>
      <c r="AN851" s="25"/>
      <c r="AO851" s="10" t="str">
        <f t="shared" si="989"/>
        <v>OutubroSEMANA 4Tonkatsu Bb 5 Lt</v>
      </c>
      <c r="AP851" s="7">
        <f>SUMIF(NF!$A:$A,$AO851,NF!$I:$I)</f>
        <v>0</v>
      </c>
      <c r="AQ851" s="6"/>
      <c r="AR851" s="6"/>
      <c r="AS851" s="6"/>
      <c r="AT851" s="6"/>
      <c r="AU851" s="6"/>
      <c r="AV851" s="6"/>
      <c r="AW851" s="6"/>
      <c r="AX851" s="7">
        <f t="shared" si="1058"/>
        <v>0</v>
      </c>
      <c r="AY851" s="11">
        <f t="shared" si="837"/>
        <v>2</v>
      </c>
      <c r="AZ851" s="25"/>
      <c r="BA851" s="10" t="str">
        <f t="shared" si="990"/>
        <v>OutubroSEMANA 5Tonkatsu Bb 5 Lt</v>
      </c>
      <c r="BB851" s="7">
        <f>SUMIF(NF!$A:$A,$BA851,NF!$I:$I)</f>
        <v>0</v>
      </c>
      <c r="BC851" s="6"/>
      <c r="BD851" s="6"/>
      <c r="BE851" s="6"/>
      <c r="BF851" s="74"/>
      <c r="BG851" s="74"/>
      <c r="BH851" s="74"/>
      <c r="BI851" s="74"/>
      <c r="BJ851" s="74"/>
      <c r="BK851" s="7">
        <f t="shared" si="1059"/>
        <v>0</v>
      </c>
      <c r="BL851" s="8">
        <f t="shared" si="840"/>
        <v>2</v>
      </c>
      <c r="BM851" s="51" t="str">
        <f>IFERROR(VLOOKUP(A851,NF!$M:$O,3,0),"")</f>
        <v>Mercado</v>
      </c>
      <c r="BN851" s="7">
        <f t="shared" si="841"/>
        <v>0</v>
      </c>
      <c r="BO851" s="8">
        <f t="array" ref="BO851">IFERROR(LARGE(IF(NF!$G$2:$G$3137='Mês atual'!A851,NF!$J$2:$J$3137),1),0)*BN851</f>
        <v>0</v>
      </c>
      <c r="BP851" s="50"/>
      <c r="BR851" s="147">
        <f t="array" ref="BR851">IFERROR(LARGE(IF(NF!$G$2:$G$3137='Mês atual'!A851,NF!$J$2:$J$3137),1),0)</f>
        <v>62.54</v>
      </c>
      <c r="BS851" s="143" t="str">
        <f>VLOOKUP(A851,NF!M:O,3,0)</f>
        <v>Mercado</v>
      </c>
    </row>
    <row r="852" spans="1:71" x14ac:dyDescent="0.25">
      <c r="A852" s="108" t="s">
        <v>820</v>
      </c>
      <c r="B852" s="12"/>
      <c r="C852" s="9">
        <v>3</v>
      </c>
      <c r="D852" s="25"/>
      <c r="E852" s="10" t="str">
        <f t="shared" si="986"/>
        <v>OutubroSEMANA 1Tortinha Arosa  64 unid</v>
      </c>
      <c r="F852" s="7">
        <f>SUMIF(NF!$A:$A,$E852,NF!$I:$I)</f>
        <v>0</v>
      </c>
      <c r="G852" s="6"/>
      <c r="H852" s="6">
        <v>2</v>
      </c>
      <c r="I852" s="6"/>
      <c r="J852" s="6"/>
      <c r="K852" s="6"/>
      <c r="L852" s="6"/>
      <c r="M852" s="6"/>
      <c r="N852" s="7">
        <f t="shared" si="1055"/>
        <v>2</v>
      </c>
      <c r="O852" s="11">
        <f t="shared" si="828"/>
        <v>1</v>
      </c>
      <c r="P852" s="25"/>
      <c r="Q852" s="10" t="str">
        <f t="shared" si="987"/>
        <v>OutubroSEMANA 2Tortinha Arosa  64 unid</v>
      </c>
      <c r="R852" s="7">
        <f>SUMIF(NF!$A:$A,$Q852,NF!$I:$I)</f>
        <v>0</v>
      </c>
      <c r="S852" s="6"/>
      <c r="T852" s="6"/>
      <c r="U852" s="6"/>
      <c r="V852" s="6">
        <v>1</v>
      </c>
      <c r="W852" s="6"/>
      <c r="X852" s="6"/>
      <c r="Y852" s="6"/>
      <c r="Z852" s="7">
        <f t="shared" si="1056"/>
        <v>1</v>
      </c>
      <c r="AA852" s="11">
        <f t="shared" si="831"/>
        <v>0</v>
      </c>
      <c r="AB852" s="25"/>
      <c r="AC852" s="10" t="str">
        <f t="shared" si="988"/>
        <v>OutubroSEMANA 3Tortinha Arosa  64 unid</v>
      </c>
      <c r="AD852" s="7">
        <f>SUMIF(NF!$A:$A,$AC852,NF!$I:$I)</f>
        <v>3</v>
      </c>
      <c r="AE852" s="6"/>
      <c r="AF852" s="6"/>
      <c r="AG852" s="6"/>
      <c r="AH852" s="6"/>
      <c r="AI852" s="6"/>
      <c r="AJ852" s="6"/>
      <c r="AK852" s="6"/>
      <c r="AL852" s="7">
        <f t="shared" si="1057"/>
        <v>0</v>
      </c>
      <c r="AM852" s="11">
        <f t="shared" si="834"/>
        <v>3</v>
      </c>
      <c r="AN852" s="25"/>
      <c r="AO852" s="10" t="str">
        <f t="shared" si="989"/>
        <v>OutubroSEMANA 4Tortinha Arosa  64 unid</v>
      </c>
      <c r="AP852" s="7">
        <f>SUMIF(NF!$A:$A,$AO852,NF!$I:$I)</f>
        <v>0</v>
      </c>
      <c r="AQ852" s="6"/>
      <c r="AR852" s="6"/>
      <c r="AS852" s="6">
        <v>2</v>
      </c>
      <c r="AT852" s="6"/>
      <c r="AU852" s="6"/>
      <c r="AV852" s="6"/>
      <c r="AW852" s="6"/>
      <c r="AX852" s="7">
        <f t="shared" si="1058"/>
        <v>2</v>
      </c>
      <c r="AY852" s="11">
        <f t="shared" si="837"/>
        <v>1</v>
      </c>
      <c r="AZ852" s="25"/>
      <c r="BA852" s="10" t="str">
        <f t="shared" si="990"/>
        <v>OutubroSEMANA 5Tortinha Arosa  64 unid</v>
      </c>
      <c r="BB852" s="7">
        <f>SUMIF(NF!$A:$A,$BA852,NF!$I:$I)</f>
        <v>0</v>
      </c>
      <c r="BC852" s="6"/>
      <c r="BD852" s="6"/>
      <c r="BE852" s="6"/>
      <c r="BF852" s="74"/>
      <c r="BG852" s="74"/>
      <c r="BH852" s="74"/>
      <c r="BI852" s="74"/>
      <c r="BJ852" s="74"/>
      <c r="BK852" s="7">
        <f t="shared" si="1059"/>
        <v>0</v>
      </c>
      <c r="BL852" s="8">
        <f t="shared" si="840"/>
        <v>1</v>
      </c>
      <c r="BM852" s="51" t="str">
        <f>IFERROR(VLOOKUP(A852,NF!$M:$O,3,0),"")</f>
        <v>Mercado</v>
      </c>
      <c r="BN852" s="7">
        <f t="shared" si="841"/>
        <v>5</v>
      </c>
      <c r="BO852" s="8">
        <f t="array" ref="BO852">IFERROR(LARGE(IF(NF!$G$2:$G$3137='Mês atual'!A852,NF!$J$2:$J$3137),1),0)*BN852</f>
        <v>170</v>
      </c>
      <c r="BP852" s="50"/>
      <c r="BR852" s="147">
        <f t="array" ref="BR852">IFERROR(LARGE(IF(NF!$G$2:$G$3137='Mês atual'!A852,NF!$J$2:$J$3137),1),0)</f>
        <v>34</v>
      </c>
      <c r="BS852" s="143" t="str">
        <f>VLOOKUP(A852,NF!M:O,3,0)</f>
        <v>Mercado</v>
      </c>
    </row>
    <row r="853" spans="1:71" x14ac:dyDescent="0.25">
      <c r="A853" s="108" t="s">
        <v>821</v>
      </c>
      <c r="B853" s="12"/>
      <c r="C853" s="9">
        <v>3</v>
      </c>
      <c r="D853" s="25"/>
      <c r="E853" s="10" t="str">
        <f t="shared" si="986"/>
        <v>OutubroSEMANA 1Tortinha Arosa  72 unid</v>
      </c>
      <c r="F853" s="7">
        <f>SUMIF(NF!$A:$A,$E853,NF!$I:$I)</f>
        <v>0</v>
      </c>
      <c r="G853" s="6"/>
      <c r="H853" s="6">
        <v>1</v>
      </c>
      <c r="I853" s="6"/>
      <c r="J853" s="6"/>
      <c r="K853" s="6"/>
      <c r="L853" s="6"/>
      <c r="M853" s="6"/>
      <c r="N853" s="7">
        <f t="shared" si="1055"/>
        <v>1</v>
      </c>
      <c r="O853" s="11">
        <f t="shared" si="828"/>
        <v>2</v>
      </c>
      <c r="P853" s="25"/>
      <c r="Q853" s="10" t="str">
        <f t="shared" si="987"/>
        <v>OutubroSEMANA 2Tortinha Arosa  72 unid</v>
      </c>
      <c r="R853" s="7">
        <f>SUMIF(NF!$A:$A,$Q853,NF!$I:$I)</f>
        <v>0</v>
      </c>
      <c r="S853" s="6"/>
      <c r="T853" s="6"/>
      <c r="U853" s="6"/>
      <c r="V853" s="6">
        <v>2</v>
      </c>
      <c r="W853" s="6"/>
      <c r="X853" s="6"/>
      <c r="Y853" s="6"/>
      <c r="Z853" s="7">
        <f t="shared" si="1056"/>
        <v>2</v>
      </c>
      <c r="AA853" s="11">
        <f t="shared" si="831"/>
        <v>0</v>
      </c>
      <c r="AB853" s="25"/>
      <c r="AC853" s="10" t="str">
        <f t="shared" si="988"/>
        <v>OutubroSEMANA 3Tortinha Arosa  72 unid</v>
      </c>
      <c r="AD853" s="7">
        <f>SUMIF(NF!$A:$A,$AC853,NF!$I:$I)</f>
        <v>3</v>
      </c>
      <c r="AE853" s="6"/>
      <c r="AF853" s="6"/>
      <c r="AG853" s="6"/>
      <c r="AH853" s="6"/>
      <c r="AI853" s="6"/>
      <c r="AJ853" s="6"/>
      <c r="AK853" s="6"/>
      <c r="AL853" s="7">
        <f t="shared" si="1057"/>
        <v>0</v>
      </c>
      <c r="AM853" s="11">
        <f t="shared" si="834"/>
        <v>3</v>
      </c>
      <c r="AN853" s="25"/>
      <c r="AO853" s="10" t="str">
        <f t="shared" si="989"/>
        <v>OutubroSEMANA 4Tortinha Arosa  72 unid</v>
      </c>
      <c r="AP853" s="7">
        <f>SUMIF(NF!$A:$A,$AO853,NF!$I:$I)</f>
        <v>0</v>
      </c>
      <c r="AQ853" s="6"/>
      <c r="AR853" s="6"/>
      <c r="AS853" s="6">
        <v>2</v>
      </c>
      <c r="AT853" s="6"/>
      <c r="AU853" s="6"/>
      <c r="AV853" s="6"/>
      <c r="AW853" s="6"/>
      <c r="AX853" s="7">
        <f t="shared" si="1058"/>
        <v>2</v>
      </c>
      <c r="AY853" s="11">
        <f t="shared" si="837"/>
        <v>1</v>
      </c>
      <c r="AZ853" s="25"/>
      <c r="BA853" s="10" t="str">
        <f t="shared" si="990"/>
        <v>OutubroSEMANA 5Tortinha Arosa  72 unid</v>
      </c>
      <c r="BB853" s="7">
        <f>SUMIF(NF!$A:$A,$BA853,NF!$I:$I)</f>
        <v>0</v>
      </c>
      <c r="BC853" s="6"/>
      <c r="BD853" s="6"/>
      <c r="BE853" s="6"/>
      <c r="BF853" s="74"/>
      <c r="BG853" s="74"/>
      <c r="BH853" s="74"/>
      <c r="BI853" s="74"/>
      <c r="BJ853" s="74"/>
      <c r="BK853" s="7">
        <f t="shared" si="1059"/>
        <v>0</v>
      </c>
      <c r="BL853" s="8">
        <f t="shared" si="840"/>
        <v>1</v>
      </c>
      <c r="BM853" s="51" t="str">
        <f>IFERROR(VLOOKUP(A853,NF!$M:$O,3,0),"")</f>
        <v>Mercado</v>
      </c>
      <c r="BN853" s="7">
        <f t="shared" si="841"/>
        <v>5</v>
      </c>
      <c r="BO853" s="8">
        <f t="array" ref="BO853">IFERROR(LARGE(IF(NF!$G$2:$G$3137='Mês atual'!A853,NF!$J$2:$J$3137),1),0)*BN853</f>
        <v>170</v>
      </c>
      <c r="BP853" s="50"/>
      <c r="BR853" s="147">
        <f t="array" ref="BR853">IFERROR(LARGE(IF(NF!$G$2:$G$3137='Mês atual'!A853,NF!$J$2:$J$3137),1),0)</f>
        <v>34</v>
      </c>
      <c r="BS853" s="143" t="str">
        <f>VLOOKUP(A853,NF!M:O,3,0)</f>
        <v>Mercado</v>
      </c>
    </row>
    <row r="854" spans="1:71" x14ac:dyDescent="0.25">
      <c r="A854" s="108" t="s">
        <v>822</v>
      </c>
      <c r="B854" s="12"/>
      <c r="C854" s="9">
        <v>3</v>
      </c>
      <c r="D854" s="25"/>
      <c r="E854" s="10" t="str">
        <f t="shared" si="986"/>
        <v>OutubroSEMANA 1Tortinha Arosa  81 unid</v>
      </c>
      <c r="F854" s="7">
        <f>SUMIF(NF!$A:$A,$E854,NF!$I:$I)</f>
        <v>0</v>
      </c>
      <c r="G854" s="6"/>
      <c r="H854" s="6">
        <v>2</v>
      </c>
      <c r="I854" s="6"/>
      <c r="J854" s="6"/>
      <c r="K854" s="6"/>
      <c r="L854" s="6"/>
      <c r="M854" s="6"/>
      <c r="N854" s="7">
        <f t="shared" si="1055"/>
        <v>2</v>
      </c>
      <c r="O854" s="11">
        <f t="shared" si="828"/>
        <v>1</v>
      </c>
      <c r="P854" s="25"/>
      <c r="Q854" s="10" t="str">
        <f t="shared" si="987"/>
        <v>OutubroSEMANA 2Tortinha Arosa  81 unid</v>
      </c>
      <c r="R854" s="7">
        <f>SUMIF(NF!$A:$A,$Q854,NF!$I:$I)</f>
        <v>0</v>
      </c>
      <c r="S854" s="6"/>
      <c r="T854" s="6"/>
      <c r="U854" s="6"/>
      <c r="V854" s="6">
        <v>1</v>
      </c>
      <c r="W854" s="6"/>
      <c r="X854" s="6"/>
      <c r="Y854" s="6"/>
      <c r="Z854" s="7">
        <f t="shared" si="1056"/>
        <v>1</v>
      </c>
      <c r="AA854" s="11">
        <f t="shared" si="831"/>
        <v>0</v>
      </c>
      <c r="AB854" s="25"/>
      <c r="AC854" s="10" t="str">
        <f t="shared" si="988"/>
        <v>OutubroSEMANA 3Tortinha Arosa  81 unid</v>
      </c>
      <c r="AD854" s="7">
        <f>SUMIF(NF!$A:$A,$AC854,NF!$I:$I)</f>
        <v>3</v>
      </c>
      <c r="AE854" s="6"/>
      <c r="AF854" s="6"/>
      <c r="AG854" s="6"/>
      <c r="AH854" s="6"/>
      <c r="AI854" s="6"/>
      <c r="AJ854" s="6"/>
      <c r="AK854" s="6"/>
      <c r="AL854" s="7">
        <f t="shared" si="1057"/>
        <v>0</v>
      </c>
      <c r="AM854" s="11">
        <f t="shared" si="834"/>
        <v>3</v>
      </c>
      <c r="AN854" s="25"/>
      <c r="AO854" s="10" t="str">
        <f t="shared" si="989"/>
        <v>OutubroSEMANA 4Tortinha Arosa  81 unid</v>
      </c>
      <c r="AP854" s="7">
        <f>SUMIF(NF!$A:$A,$AO854,NF!$I:$I)</f>
        <v>0</v>
      </c>
      <c r="AQ854" s="6"/>
      <c r="AR854" s="6"/>
      <c r="AS854" s="6">
        <v>1</v>
      </c>
      <c r="AT854" s="6"/>
      <c r="AU854" s="6"/>
      <c r="AV854" s="6"/>
      <c r="AW854" s="6"/>
      <c r="AX854" s="7">
        <f t="shared" si="1058"/>
        <v>1</v>
      </c>
      <c r="AY854" s="11">
        <f t="shared" si="837"/>
        <v>2</v>
      </c>
      <c r="AZ854" s="25"/>
      <c r="BA854" s="10" t="str">
        <f t="shared" si="990"/>
        <v>OutubroSEMANA 5Tortinha Arosa  81 unid</v>
      </c>
      <c r="BB854" s="7">
        <f>SUMIF(NF!$A:$A,$BA854,NF!$I:$I)</f>
        <v>0</v>
      </c>
      <c r="BC854" s="6"/>
      <c r="BD854" s="6"/>
      <c r="BE854" s="6"/>
      <c r="BF854" s="74"/>
      <c r="BG854" s="74"/>
      <c r="BH854" s="74"/>
      <c r="BI854" s="74"/>
      <c r="BJ854" s="74"/>
      <c r="BK854" s="7">
        <f t="shared" si="1059"/>
        <v>0</v>
      </c>
      <c r="BL854" s="8">
        <f t="shared" si="840"/>
        <v>2</v>
      </c>
      <c r="BM854" s="51" t="str">
        <f>IFERROR(VLOOKUP(A854,NF!$M:$O,3,0),"")</f>
        <v>Mercado</v>
      </c>
      <c r="BN854" s="7">
        <f t="shared" si="841"/>
        <v>4</v>
      </c>
      <c r="BO854" s="8">
        <f t="array" ref="BO854">IFERROR(LARGE(IF(NF!$G$2:$G$3137='Mês atual'!A854,NF!$J$2:$J$3137),1),0)*BN854</f>
        <v>124</v>
      </c>
      <c r="BP854" s="50"/>
      <c r="BR854" s="147">
        <f t="array" ref="BR854">IFERROR(LARGE(IF(NF!$G$2:$G$3137='Mês atual'!A854,NF!$J$2:$J$3137),1),0)</f>
        <v>31</v>
      </c>
      <c r="BS854" s="143" t="str">
        <f>VLOOKUP(A854,NF!M:O,3,0)</f>
        <v>Mercado</v>
      </c>
    </row>
    <row r="855" spans="1:71" x14ac:dyDescent="0.25">
      <c r="A855" s="108" t="s">
        <v>825</v>
      </c>
      <c r="B855" s="12"/>
      <c r="C855" s="9">
        <v>2.5</v>
      </c>
      <c r="D855" s="25"/>
      <c r="E855" s="10" t="str">
        <f t="shared" si="986"/>
        <v>OutubroSEMANA 1Trigo em Grão</v>
      </c>
      <c r="F855" s="7">
        <f>SUMIF(NF!$A:$A,$E855,NF!$I:$I)</f>
        <v>1</v>
      </c>
      <c r="G855" s="6">
        <v>1</v>
      </c>
      <c r="H855" s="6"/>
      <c r="I855" s="6"/>
      <c r="J855" s="6"/>
      <c r="K855" s="6"/>
      <c r="L855" s="6"/>
      <c r="M855" s="6"/>
      <c r="N855" s="7">
        <f t="shared" si="1055"/>
        <v>1</v>
      </c>
      <c r="O855" s="11">
        <f t="shared" si="828"/>
        <v>2.5</v>
      </c>
      <c r="P855" s="25"/>
      <c r="Q855" s="10" t="str">
        <f t="shared" si="987"/>
        <v>OutubroSEMANA 2Trigo em Grão</v>
      </c>
      <c r="R855" s="7">
        <f>SUMIF(NF!$A:$A,$Q855,NF!$I:$I)</f>
        <v>1</v>
      </c>
      <c r="S855" s="6"/>
      <c r="T855" s="6">
        <v>1</v>
      </c>
      <c r="U855" s="6"/>
      <c r="V855" s="6"/>
      <c r="W855" s="6"/>
      <c r="X855" s="6"/>
      <c r="Y855" s="6"/>
      <c r="Z855" s="7">
        <f t="shared" si="1056"/>
        <v>1</v>
      </c>
      <c r="AA855" s="11">
        <f t="shared" si="831"/>
        <v>2.5</v>
      </c>
      <c r="AB855" s="25"/>
      <c r="AC855" s="10" t="str">
        <f t="shared" si="988"/>
        <v>OutubroSEMANA 3Trigo em Grão</v>
      </c>
      <c r="AD855" s="7">
        <f>SUMIF(NF!$A:$A,$AC855,NF!$I:$I)</f>
        <v>0</v>
      </c>
      <c r="AE855" s="6"/>
      <c r="AF855" s="6"/>
      <c r="AG855" s="6"/>
      <c r="AH855" s="6"/>
      <c r="AI855" s="6"/>
      <c r="AJ855" s="6"/>
      <c r="AK855" s="6"/>
      <c r="AL855" s="7">
        <f t="shared" si="1057"/>
        <v>0</v>
      </c>
      <c r="AM855" s="11">
        <f t="shared" si="834"/>
        <v>2.5</v>
      </c>
      <c r="AN855" s="25"/>
      <c r="AO855" s="10" t="str">
        <f t="shared" si="989"/>
        <v>OutubroSEMANA 4Trigo em Grão</v>
      </c>
      <c r="AP855" s="7">
        <f>SUMIF(NF!$A:$A,$AO855,NF!$I:$I)</f>
        <v>2</v>
      </c>
      <c r="AQ855" s="6"/>
      <c r="AR855" s="6"/>
      <c r="AS855" s="6"/>
      <c r="AT855" s="6"/>
      <c r="AU855" s="6"/>
      <c r="AV855" s="6"/>
      <c r="AW855" s="6"/>
      <c r="AX855" s="7">
        <f t="shared" si="1058"/>
        <v>0</v>
      </c>
      <c r="AY855" s="11">
        <f t="shared" si="837"/>
        <v>4.5</v>
      </c>
      <c r="AZ855" s="25"/>
      <c r="BA855" s="10" t="str">
        <f t="shared" si="990"/>
        <v>OutubroSEMANA 5Trigo em Grão</v>
      </c>
      <c r="BB855" s="7">
        <f>SUMIF(NF!$A:$A,$BA855,NF!$I:$I)</f>
        <v>0</v>
      </c>
      <c r="BC855" s="6"/>
      <c r="BD855" s="6"/>
      <c r="BE855" s="6"/>
      <c r="BF855" s="74"/>
      <c r="BG855" s="74"/>
      <c r="BH855" s="74"/>
      <c r="BI855" s="74"/>
      <c r="BJ855" s="74"/>
      <c r="BK855" s="7">
        <f t="shared" si="1059"/>
        <v>0</v>
      </c>
      <c r="BL855" s="8">
        <f t="shared" si="840"/>
        <v>4.5</v>
      </c>
      <c r="BM855" s="51" t="str">
        <f>IFERROR(VLOOKUP(A855,NF!$M:$O,3,0),"")</f>
        <v>Mercado</v>
      </c>
      <c r="BN855" s="7">
        <f t="shared" si="841"/>
        <v>2</v>
      </c>
      <c r="BO855" s="8">
        <f t="array" ref="BO855">IFERROR(LARGE(IF(NF!$G$2:$G$3137='Mês atual'!A855,NF!$J$2:$J$3137),1),0)*BN855</f>
        <v>7.8</v>
      </c>
      <c r="BP855" s="50"/>
      <c r="BR855" s="147">
        <f t="array" ref="BR855">IFERROR(LARGE(IF(NF!$G$2:$G$3137='Mês atual'!A855,NF!$J$2:$J$3137),1),0)</f>
        <v>3.9</v>
      </c>
      <c r="BS855" s="143" t="str">
        <f>VLOOKUP(A855,NF!M:O,3,0)</f>
        <v>Mercado</v>
      </c>
    </row>
    <row r="856" spans="1:71" x14ac:dyDescent="0.25">
      <c r="A856" s="108" t="s">
        <v>826</v>
      </c>
      <c r="B856" s="12"/>
      <c r="C856" s="9">
        <v>3</v>
      </c>
      <c r="D856" s="25"/>
      <c r="E856" s="10" t="str">
        <f t="shared" si="986"/>
        <v>OutubroSEMANA 1Trigo para Kibe</v>
      </c>
      <c r="F856" s="7">
        <f>SUMIF(NF!$A:$A,$E856,NF!$I:$I)</f>
        <v>5</v>
      </c>
      <c r="G856" s="6"/>
      <c r="H856" s="6"/>
      <c r="I856" s="6">
        <v>2</v>
      </c>
      <c r="J856" s="6"/>
      <c r="K856" s="6"/>
      <c r="L856" s="6"/>
      <c r="M856" s="6"/>
      <c r="N856" s="7">
        <f t="shared" si="1055"/>
        <v>2</v>
      </c>
      <c r="O856" s="11">
        <f t="shared" ref="O856:O866" si="1071">F856+C856-N856</f>
        <v>6</v>
      </c>
      <c r="P856" s="25"/>
      <c r="Q856" s="10" t="str">
        <f t="shared" si="987"/>
        <v>OutubroSEMANA 2Trigo para Kibe</v>
      </c>
      <c r="R856" s="7">
        <f>SUMIF(NF!$A:$A,$Q856,NF!$I:$I)</f>
        <v>0</v>
      </c>
      <c r="S856" s="6"/>
      <c r="T856" s="6"/>
      <c r="U856" s="6">
        <f>1.5+0.45</f>
        <v>1.95</v>
      </c>
      <c r="V856" s="6"/>
      <c r="W856" s="6"/>
      <c r="X856" s="6"/>
      <c r="Y856" s="6">
        <f>1.5+0.45</f>
        <v>1.95</v>
      </c>
      <c r="Z856" s="7">
        <f t="shared" si="1056"/>
        <v>3.9</v>
      </c>
      <c r="AA856" s="11">
        <f t="shared" ref="AA856:AA866" si="1072">R856+O856-Z856</f>
        <v>2.1</v>
      </c>
      <c r="AB856" s="25"/>
      <c r="AC856" s="10" t="str">
        <f t="shared" si="988"/>
        <v>OutubroSEMANA 3Trigo para Kibe</v>
      </c>
      <c r="AD856" s="7">
        <f>SUMIF(NF!$A:$A,$AC856,NF!$I:$I)</f>
        <v>5</v>
      </c>
      <c r="AE856" s="6"/>
      <c r="AF856" s="6"/>
      <c r="AG856" s="6"/>
      <c r="AH856" s="6"/>
      <c r="AI856" s="6">
        <v>2.1</v>
      </c>
      <c r="AJ856" s="6">
        <f>1.25-0.75</f>
        <v>0.5</v>
      </c>
      <c r="AK856" s="6"/>
      <c r="AL856" s="7">
        <f t="shared" si="1057"/>
        <v>2.6</v>
      </c>
      <c r="AM856" s="11">
        <f t="shared" ref="AM856:AM866" si="1073">AD856+AA856-AL856</f>
        <v>4.5</v>
      </c>
      <c r="AN856" s="25"/>
      <c r="AO856" s="10" t="str">
        <f t="shared" si="989"/>
        <v>OutubroSEMANA 4Trigo para Kibe</v>
      </c>
      <c r="AP856" s="7">
        <f>SUMIF(NF!$A:$A,$AO856,NF!$I:$I)</f>
        <v>5</v>
      </c>
      <c r="AQ856" s="6"/>
      <c r="AR856" s="6"/>
      <c r="AS856" s="6">
        <f>1.3+0.4</f>
        <v>1.7000000000000002</v>
      </c>
      <c r="AT856" s="6"/>
      <c r="AU856" s="6">
        <v>1.5</v>
      </c>
      <c r="AV856" s="6"/>
      <c r="AW856" s="6"/>
      <c r="AX856" s="7">
        <f t="shared" si="1058"/>
        <v>3.2</v>
      </c>
      <c r="AY856" s="11">
        <f t="shared" ref="AY856:AY866" si="1074">AP856+AM856-AX856</f>
        <v>6.3</v>
      </c>
      <c r="AZ856" s="25"/>
      <c r="BA856" s="10" t="str">
        <f t="shared" si="990"/>
        <v>OutubroSEMANA 5Trigo para Kibe</v>
      </c>
      <c r="BB856" s="7">
        <f>SUMIF(NF!$A:$A,$BA856,NF!$I:$I)</f>
        <v>0</v>
      </c>
      <c r="BC856" s="6"/>
      <c r="BD856" s="6"/>
      <c r="BE856" s="6">
        <v>2</v>
      </c>
      <c r="BF856" s="74"/>
      <c r="BG856" s="74"/>
      <c r="BH856" s="74"/>
      <c r="BI856" s="74"/>
      <c r="BJ856" s="74"/>
      <c r="BK856" s="7">
        <f t="shared" si="1059"/>
        <v>2</v>
      </c>
      <c r="BL856" s="8">
        <f t="shared" ref="BL856:BL866" si="1075">BB856+AY856-BK856</f>
        <v>4.3</v>
      </c>
      <c r="BM856" s="51" t="str">
        <f>IFERROR(VLOOKUP(A856,NF!$M:$O,3,0),"")</f>
        <v>Mercado</v>
      </c>
      <c r="BN856" s="7">
        <f t="shared" ref="BN856:BN866" si="1076">SUM(N856,Z856,AL856,AX856,BK856)</f>
        <v>13.7</v>
      </c>
      <c r="BO856" s="8">
        <f t="array" ref="BO856">IFERROR(LARGE(IF(NF!$G$2:$G$3137='Mês atual'!A856,NF!$J$2:$J$3137),1),0)*BN856</f>
        <v>51.512</v>
      </c>
      <c r="BP856" s="50"/>
      <c r="BR856" s="147">
        <f t="array" ref="BR856">IFERROR(LARGE(IF(NF!$G$2:$G$3137='Mês atual'!A856,NF!$J$2:$J$3137),1),0)</f>
        <v>3.7600000000000002</v>
      </c>
      <c r="BS856" s="143" t="str">
        <f>VLOOKUP(A856,NF!M:O,3,0)</f>
        <v>Mercado</v>
      </c>
    </row>
    <row r="857" spans="1:71" x14ac:dyDescent="0.25">
      <c r="A857" s="108" t="s">
        <v>838</v>
      </c>
      <c r="B857" s="12"/>
      <c r="C857" s="9">
        <v>2</v>
      </c>
      <c r="D857" s="25"/>
      <c r="E857" s="10" t="str">
        <f t="shared" si="986"/>
        <v>OutubroSEMANA 1Vinagre Aceto Balsamico</v>
      </c>
      <c r="F857" s="7">
        <f>SUMIF(NF!$A:$A,$E857,NF!$I:$I)</f>
        <v>2</v>
      </c>
      <c r="G857" s="6"/>
      <c r="H857" s="6">
        <v>2</v>
      </c>
      <c r="I857" s="6"/>
      <c r="J857" s="6"/>
      <c r="K857" s="6"/>
      <c r="L857" s="6"/>
      <c r="M857" s="6"/>
      <c r="N857" s="7">
        <f t="shared" si="1055"/>
        <v>2</v>
      </c>
      <c r="O857" s="11">
        <f t="shared" si="1071"/>
        <v>2</v>
      </c>
      <c r="P857" s="25"/>
      <c r="Q857" s="10" t="str">
        <f t="shared" si="987"/>
        <v>OutubroSEMANA 2Vinagre Aceto Balsamico</v>
      </c>
      <c r="R857" s="7">
        <f>SUMIF(NF!$A:$A,$Q857,NF!$I:$I)</f>
        <v>0</v>
      </c>
      <c r="S857" s="6"/>
      <c r="T857" s="6"/>
      <c r="U857" s="6"/>
      <c r="V857" s="6"/>
      <c r="W857" s="6"/>
      <c r="X857" s="6"/>
      <c r="Y857" s="6"/>
      <c r="Z857" s="7">
        <f t="shared" si="1056"/>
        <v>0</v>
      </c>
      <c r="AA857" s="11">
        <f t="shared" si="1072"/>
        <v>2</v>
      </c>
      <c r="AB857" s="25"/>
      <c r="AC857" s="10" t="str">
        <f t="shared" si="988"/>
        <v>OutubroSEMANA 3Vinagre Aceto Balsamico</v>
      </c>
      <c r="AD857" s="7">
        <f>SUMIF(NF!$A:$A,$AC857,NF!$I:$I)</f>
        <v>1</v>
      </c>
      <c r="AE857" s="6"/>
      <c r="AF857" s="6"/>
      <c r="AG857" s="6"/>
      <c r="AH857" s="6"/>
      <c r="AI857" s="6"/>
      <c r="AJ857" s="6">
        <v>1</v>
      </c>
      <c r="AK857" s="6"/>
      <c r="AL857" s="7">
        <f t="shared" si="1057"/>
        <v>1</v>
      </c>
      <c r="AM857" s="11">
        <f t="shared" si="1073"/>
        <v>2</v>
      </c>
      <c r="AN857" s="25"/>
      <c r="AO857" s="10" t="str">
        <f t="shared" si="989"/>
        <v>OutubroSEMANA 4Vinagre Aceto Balsamico</v>
      </c>
      <c r="AP857" s="7">
        <f>SUMIF(NF!$A:$A,$AO857,NF!$I:$I)</f>
        <v>0</v>
      </c>
      <c r="AQ857" s="6"/>
      <c r="AR857" s="6"/>
      <c r="AS857" s="6"/>
      <c r="AT857" s="6"/>
      <c r="AU857" s="6"/>
      <c r="AV857" s="6"/>
      <c r="AW857" s="6"/>
      <c r="AX857" s="7">
        <f t="shared" si="1058"/>
        <v>0</v>
      </c>
      <c r="AY857" s="11">
        <f t="shared" si="1074"/>
        <v>2</v>
      </c>
      <c r="AZ857" s="25"/>
      <c r="BA857" s="10" t="str">
        <f t="shared" si="990"/>
        <v>OutubroSEMANA 5Vinagre Aceto Balsamico</v>
      </c>
      <c r="BB857" s="7">
        <f>SUMIF(NF!$A:$A,$BA857,NF!$I:$I)</f>
        <v>0</v>
      </c>
      <c r="BC857" s="6"/>
      <c r="BD857" s="6"/>
      <c r="BE857" s="6"/>
      <c r="BF857" s="74"/>
      <c r="BG857" s="74"/>
      <c r="BH857" s="74"/>
      <c r="BI857" s="74"/>
      <c r="BJ857" s="74"/>
      <c r="BK857" s="7">
        <f t="shared" si="1059"/>
        <v>0</v>
      </c>
      <c r="BL857" s="8">
        <f t="shared" si="1075"/>
        <v>2</v>
      </c>
      <c r="BM857" s="51" t="str">
        <f>IFERROR(VLOOKUP(A857,NF!$M:$O,3,0),"")</f>
        <v>Mercado</v>
      </c>
      <c r="BN857" s="7">
        <f t="shared" si="1076"/>
        <v>3</v>
      </c>
      <c r="BO857" s="8">
        <f t="array" ref="BO857">IFERROR(LARGE(IF(NF!$G$2:$G$3137='Mês atual'!A857,NF!$J$2:$J$3137),1),0)*BN857</f>
        <v>27.06</v>
      </c>
      <c r="BP857" s="50"/>
      <c r="BR857" s="147">
        <f t="array" ref="BR857">IFERROR(LARGE(IF(NF!$G$2:$G$3137='Mês atual'!A857,NF!$J$2:$J$3137),1),0)</f>
        <v>9.02</v>
      </c>
      <c r="BS857" s="143" t="str">
        <f>VLOOKUP(A857,NF!M:O,3,0)</f>
        <v>Mercado</v>
      </c>
    </row>
    <row r="858" spans="1:71" x14ac:dyDescent="0.25">
      <c r="A858" s="108" t="s">
        <v>1030</v>
      </c>
      <c r="B858" s="12"/>
      <c r="C858" s="9">
        <v>23</v>
      </c>
      <c r="D858" s="25"/>
      <c r="E858" s="10" t="str">
        <f t="shared" si="986"/>
        <v>OutubroSEMANA 1Vinagre Balsamico Branco</v>
      </c>
      <c r="F858" s="7">
        <f>SUMIF(NF!$A:$A,$E858,NF!$I:$I)</f>
        <v>0</v>
      </c>
      <c r="G858" s="6"/>
      <c r="H858" s="6"/>
      <c r="I858" s="6"/>
      <c r="J858" s="6"/>
      <c r="K858" s="6"/>
      <c r="L858" s="6"/>
      <c r="M858" s="6"/>
      <c r="N858" s="7">
        <f t="shared" ref="N858" si="1077">SUM(G858:M858)</f>
        <v>0</v>
      </c>
      <c r="O858" s="11">
        <f t="shared" ref="O858" si="1078">F858+C858-N858</f>
        <v>23</v>
      </c>
      <c r="P858" s="25"/>
      <c r="Q858" s="10" t="str">
        <f t="shared" si="987"/>
        <v>OutubroSEMANA 2Vinagre Balsamico Branco</v>
      </c>
      <c r="R858" s="7">
        <f>SUMIF(NF!$A:$A,$Q858,NF!$I:$I)</f>
        <v>0</v>
      </c>
      <c r="S858" s="6"/>
      <c r="T858" s="6"/>
      <c r="U858" s="6"/>
      <c r="V858" s="6"/>
      <c r="W858" s="6"/>
      <c r="X858" s="6"/>
      <c r="Y858" s="6"/>
      <c r="Z858" s="7">
        <f t="shared" ref="Z858" si="1079">SUM(S858:Y858)</f>
        <v>0</v>
      </c>
      <c r="AA858" s="11">
        <f t="shared" ref="AA858" si="1080">R858+O858-Z858</f>
        <v>23</v>
      </c>
      <c r="AB858" s="25"/>
      <c r="AC858" s="10" t="str">
        <f t="shared" si="988"/>
        <v>OutubroSEMANA 3Vinagre Balsamico Branco</v>
      </c>
      <c r="AD858" s="7">
        <f>SUMIF(NF!$A:$A,$AC858,NF!$I:$I)</f>
        <v>0</v>
      </c>
      <c r="AE858" s="6"/>
      <c r="AF858" s="6"/>
      <c r="AG858" s="6"/>
      <c r="AH858" s="6"/>
      <c r="AI858" s="6"/>
      <c r="AJ858" s="6">
        <v>1</v>
      </c>
      <c r="AK858" s="6"/>
      <c r="AL858" s="7">
        <f t="shared" ref="AL858" si="1081">SUM(AE858:AK858)</f>
        <v>1</v>
      </c>
      <c r="AM858" s="11">
        <f t="shared" ref="AM858" si="1082">AD858+AA858-AL858</f>
        <v>22</v>
      </c>
      <c r="AN858" s="25"/>
      <c r="AO858" s="10" t="str">
        <f t="shared" si="989"/>
        <v>OutubroSEMANA 4Vinagre Balsamico Branco</v>
      </c>
      <c r="AP858" s="7">
        <f>SUMIF(NF!$A:$A,$AO858,NF!$I:$I)</f>
        <v>0</v>
      </c>
      <c r="AQ858" s="6"/>
      <c r="AR858" s="6"/>
      <c r="AS858" s="6"/>
      <c r="AT858" s="6"/>
      <c r="AU858" s="6"/>
      <c r="AV858" s="6"/>
      <c r="AW858" s="6"/>
      <c r="AX858" s="7">
        <f t="shared" ref="AX858" si="1083">SUM(AQ858:AW858)</f>
        <v>0</v>
      </c>
      <c r="AY858" s="11">
        <f t="shared" ref="AY858" si="1084">AP858+AM858-AX858</f>
        <v>22</v>
      </c>
      <c r="AZ858" s="25"/>
      <c r="BA858" s="10" t="str">
        <f t="shared" si="990"/>
        <v>OutubroSEMANA 5Vinagre Balsamico Branco</v>
      </c>
      <c r="BB858" s="7">
        <f>SUMIF(NF!$A:$A,$BA858,NF!$I:$I)</f>
        <v>0</v>
      </c>
      <c r="BC858" s="6"/>
      <c r="BD858" s="6"/>
      <c r="BE858" s="6"/>
      <c r="BF858" s="74"/>
      <c r="BG858" s="74"/>
      <c r="BH858" s="74"/>
      <c r="BI858" s="74"/>
      <c r="BJ858" s="74"/>
      <c r="BK858" s="7">
        <f t="shared" ref="BK858" si="1085">SUM(BC858:BJ858)</f>
        <v>0</v>
      </c>
      <c r="BL858" s="8">
        <f t="shared" ref="BL858" si="1086">BB858+AY858-BK858</f>
        <v>22</v>
      </c>
      <c r="BM858" s="51" t="str">
        <f>IFERROR(VLOOKUP(A858,NF!$M:$O,3,0),"")</f>
        <v>Mercado</v>
      </c>
      <c r="BN858" s="7">
        <f t="shared" ref="BN858" si="1087">SUM(N858,Z858,AL858,AX858,BK858)</f>
        <v>1</v>
      </c>
      <c r="BO858" s="8">
        <f t="array" ref="BO858">IFERROR(LARGE(IF(NF!$G$2:$G$3137='Mês atual'!A858,NF!$J$2:$J$3137),1),0)*BN858</f>
        <v>0</v>
      </c>
      <c r="BP858" s="50"/>
      <c r="BR858" s="147">
        <f t="array" ref="BR858">IFERROR(LARGE(IF(NF!$G$2:$G$3137='Mês atual'!A858,NF!$J$2:$J$3137),1),0)</f>
        <v>0</v>
      </c>
      <c r="BS858" s="143" t="str">
        <f>VLOOKUP(A858,NF!M:O,3,0)</f>
        <v>Mercado</v>
      </c>
    </row>
    <row r="859" spans="1:71" x14ac:dyDescent="0.25">
      <c r="A859" s="108" t="s">
        <v>896</v>
      </c>
      <c r="B859" s="12"/>
      <c r="C859" s="9">
        <f>5.25+5.25</f>
        <v>10.5</v>
      </c>
      <c r="D859" s="25"/>
      <c r="E859" s="10" t="str">
        <f t="shared" si="986"/>
        <v>OutubroSEMANA 1Vinagre de Arroz (cozinha)</v>
      </c>
      <c r="F859" s="7">
        <f>SUMIF(NF!$A:$A,$E859,NF!$I:$I)</f>
        <v>5.25</v>
      </c>
      <c r="G859" s="6"/>
      <c r="H859" s="6"/>
      <c r="I859" s="6"/>
      <c r="J859" s="6"/>
      <c r="K859" s="6"/>
      <c r="L859" s="6"/>
      <c r="M859" s="6">
        <f>7*0.75</f>
        <v>5.25</v>
      </c>
      <c r="N859" s="7">
        <f t="shared" si="1055"/>
        <v>5.25</v>
      </c>
      <c r="O859" s="11">
        <f t="shared" si="1071"/>
        <v>10.5</v>
      </c>
      <c r="P859" s="25"/>
      <c r="Q859" s="10" t="str">
        <f t="shared" si="987"/>
        <v>OutubroSEMANA 2Vinagre de Arroz (cozinha)</v>
      </c>
      <c r="R859" s="7">
        <f>SUMIF(NF!$A:$A,$Q859,NF!$I:$I)</f>
        <v>0</v>
      </c>
      <c r="S859" s="6"/>
      <c r="T859" s="6"/>
      <c r="U859" s="6"/>
      <c r="V859" s="6">
        <v>5.25</v>
      </c>
      <c r="W859" s="6"/>
      <c r="X859" s="6"/>
      <c r="Y859" s="6"/>
      <c r="Z859" s="7">
        <f t="shared" si="1056"/>
        <v>5.25</v>
      </c>
      <c r="AA859" s="11">
        <f t="shared" si="1072"/>
        <v>5.25</v>
      </c>
      <c r="AB859" s="25"/>
      <c r="AC859" s="10" t="str">
        <f t="shared" si="988"/>
        <v>OutubroSEMANA 3Vinagre de Arroz (cozinha)</v>
      </c>
      <c r="AD859" s="7">
        <f>SUMIF(NF!$A:$A,$AC859,NF!$I:$I)</f>
        <v>5.25</v>
      </c>
      <c r="AE859" s="6">
        <v>5.25</v>
      </c>
      <c r="AF859" s="6"/>
      <c r="AG859" s="6"/>
      <c r="AH859" s="6"/>
      <c r="AI859" s="6"/>
      <c r="AJ859" s="6"/>
      <c r="AK859" s="6">
        <v>5.25</v>
      </c>
      <c r="AL859" s="7">
        <f t="shared" si="1057"/>
        <v>10.5</v>
      </c>
      <c r="AM859" s="11">
        <f t="shared" si="1073"/>
        <v>0</v>
      </c>
      <c r="AN859" s="25"/>
      <c r="AO859" s="10" t="str">
        <f t="shared" si="989"/>
        <v>OutubroSEMANA 4Vinagre de Arroz (cozinha)</v>
      </c>
      <c r="AP859" s="7">
        <f>SUMIF(NF!$A:$A,$AO859,NF!$I:$I)</f>
        <v>5.25</v>
      </c>
      <c r="AQ859" s="6"/>
      <c r="AR859" s="6"/>
      <c r="AS859" s="6"/>
      <c r="AT859" s="6"/>
      <c r="AU859" s="6"/>
      <c r="AV859" s="6"/>
      <c r="AW859" s="6">
        <f>7*0.75</f>
        <v>5.25</v>
      </c>
      <c r="AX859" s="7">
        <f t="shared" si="1058"/>
        <v>5.25</v>
      </c>
      <c r="AY859" s="11">
        <f t="shared" si="1074"/>
        <v>0</v>
      </c>
      <c r="AZ859" s="25"/>
      <c r="BA859" s="10" t="str">
        <f t="shared" si="990"/>
        <v>OutubroSEMANA 5Vinagre de Arroz (cozinha)</v>
      </c>
      <c r="BB859" s="7">
        <f>SUMIF(NF!$A:$A,$BA859,NF!$I:$I)</f>
        <v>0</v>
      </c>
      <c r="BC859" s="6"/>
      <c r="BD859" s="6"/>
      <c r="BE859" s="6"/>
      <c r="BF859" s="74"/>
      <c r="BG859" s="74"/>
      <c r="BH859" s="74"/>
      <c r="BI859" s="74"/>
      <c r="BJ859" s="74"/>
      <c r="BK859" s="7">
        <f t="shared" si="1059"/>
        <v>0</v>
      </c>
      <c r="BL859" s="8">
        <f t="shared" si="1075"/>
        <v>0</v>
      </c>
      <c r="BM859" s="51" t="str">
        <f>IFERROR(VLOOKUP(A859,NF!$M:$O,3,0),"")</f>
        <v>Mercado</v>
      </c>
      <c r="BN859" s="7">
        <f t="shared" si="1076"/>
        <v>26.25</v>
      </c>
      <c r="BO859" s="8">
        <f t="array" ref="BO859">IFERROR(LARGE(IF(NF!$G$2:$G$3137='Mês atual'!A859,NF!$J$2:$J$3137),1),0)*BN859</f>
        <v>138.6</v>
      </c>
      <c r="BP859" s="50"/>
      <c r="BR859" s="147">
        <f t="array" ref="BR859">IFERROR(LARGE(IF(NF!$G$2:$G$3137='Mês atual'!A859,NF!$J$2:$J$3137),1),0)</f>
        <v>5.28</v>
      </c>
      <c r="BS859" s="143" t="str">
        <f>VLOOKUP(A859,NF!M:O,3,0)</f>
        <v>Mercado</v>
      </c>
    </row>
    <row r="860" spans="1:71" x14ac:dyDescent="0.25">
      <c r="A860" s="108" t="s">
        <v>841</v>
      </c>
      <c r="B860" s="12"/>
      <c r="C860" s="9">
        <v>5</v>
      </c>
      <c r="D860" s="25"/>
      <c r="E860" s="10" t="str">
        <f t="shared" si="986"/>
        <v>OutubroSEMANA 1Vinagre de Vinho Branco 750 ml</v>
      </c>
      <c r="F860" s="7">
        <f>SUMIF(NF!$A:$A,$E860,NF!$I:$I)</f>
        <v>0</v>
      </c>
      <c r="G860" s="6"/>
      <c r="H860" s="6"/>
      <c r="I860" s="6"/>
      <c r="J860" s="6">
        <v>1</v>
      </c>
      <c r="K860" s="6"/>
      <c r="L860" s="6"/>
      <c r="M860" s="6"/>
      <c r="N860" s="7">
        <f t="shared" si="1055"/>
        <v>1</v>
      </c>
      <c r="O860" s="11">
        <f t="shared" si="1071"/>
        <v>4</v>
      </c>
      <c r="P860" s="25"/>
      <c r="Q860" s="10" t="str">
        <f t="shared" si="987"/>
        <v>OutubroSEMANA 2Vinagre de Vinho Branco 750 ml</v>
      </c>
      <c r="R860" s="7">
        <f>SUMIF(NF!$A:$A,$Q860,NF!$I:$I)</f>
        <v>0</v>
      </c>
      <c r="S860" s="6"/>
      <c r="T860" s="6"/>
      <c r="U860" s="6"/>
      <c r="V860" s="6"/>
      <c r="W860" s="6"/>
      <c r="X860" s="6"/>
      <c r="Y860" s="6"/>
      <c r="Z860" s="7">
        <f t="shared" si="1056"/>
        <v>0</v>
      </c>
      <c r="AA860" s="11">
        <f t="shared" si="1072"/>
        <v>4</v>
      </c>
      <c r="AB860" s="25"/>
      <c r="AC860" s="10" t="str">
        <f t="shared" si="988"/>
        <v>OutubroSEMANA 3Vinagre de Vinho Branco 750 ml</v>
      </c>
      <c r="AD860" s="7">
        <f>SUMIF(NF!$A:$A,$AC860,NF!$I:$I)</f>
        <v>0</v>
      </c>
      <c r="AE860" s="6"/>
      <c r="AF860" s="6"/>
      <c r="AG860" s="6"/>
      <c r="AH860" s="6"/>
      <c r="AI860" s="6"/>
      <c r="AJ860" s="6"/>
      <c r="AK860" s="6"/>
      <c r="AL860" s="7">
        <f t="shared" si="1057"/>
        <v>0</v>
      </c>
      <c r="AM860" s="11">
        <f t="shared" si="1073"/>
        <v>4</v>
      </c>
      <c r="AN860" s="25"/>
      <c r="AO860" s="10" t="str">
        <f t="shared" si="989"/>
        <v>OutubroSEMANA 4Vinagre de Vinho Branco 750 ml</v>
      </c>
      <c r="AP860" s="7">
        <f>SUMIF(NF!$A:$A,$AO860,NF!$I:$I)</f>
        <v>0</v>
      </c>
      <c r="AQ860" s="6"/>
      <c r="AR860" s="6">
        <v>1</v>
      </c>
      <c r="AS860" s="6"/>
      <c r="AT860" s="6">
        <v>1</v>
      </c>
      <c r="AU860" s="6">
        <v>1</v>
      </c>
      <c r="AV860" s="6"/>
      <c r="AW860" s="6"/>
      <c r="AX860" s="7">
        <f t="shared" si="1058"/>
        <v>3</v>
      </c>
      <c r="AY860" s="11">
        <f t="shared" si="1074"/>
        <v>1</v>
      </c>
      <c r="AZ860" s="25"/>
      <c r="BA860" s="10" t="str">
        <f t="shared" si="990"/>
        <v>OutubroSEMANA 5Vinagre de Vinho Branco 750 ml</v>
      </c>
      <c r="BB860" s="7">
        <f>SUMIF(NF!$A:$A,$BA860,NF!$I:$I)</f>
        <v>0</v>
      </c>
      <c r="BC860" s="6"/>
      <c r="BD860" s="6"/>
      <c r="BE860" s="6"/>
      <c r="BF860" s="74"/>
      <c r="BG860" s="74"/>
      <c r="BH860" s="74"/>
      <c r="BI860" s="74"/>
      <c r="BJ860" s="74"/>
      <c r="BK860" s="7">
        <f t="shared" si="1059"/>
        <v>0</v>
      </c>
      <c r="BL860" s="8">
        <f t="shared" si="1075"/>
        <v>1</v>
      </c>
      <c r="BM860" s="51" t="str">
        <f>IFERROR(VLOOKUP(A860,NF!$M:$O,3,0),"")</f>
        <v>Mercado</v>
      </c>
      <c r="BN860" s="7">
        <f t="shared" si="1076"/>
        <v>4</v>
      </c>
      <c r="BO860" s="8">
        <f t="array" ref="BO860">IFERROR(LARGE(IF(NF!$G$2:$G$3137='Mês atual'!A860,NF!$J$2:$J$3137),1),0)*BN860</f>
        <v>0</v>
      </c>
      <c r="BP860" s="50"/>
      <c r="BR860" s="147">
        <f t="array" ref="BR860">IFERROR(LARGE(IF(NF!$G$2:$G$3137='Mês atual'!A860,NF!$J$2:$J$3137),1),0)</f>
        <v>0</v>
      </c>
      <c r="BS860" s="143" t="str">
        <f>VLOOKUP(A860,NF!M:O,3,0)</f>
        <v>Mercado</v>
      </c>
    </row>
    <row r="861" spans="1:71" x14ac:dyDescent="0.25">
      <c r="A861" s="108" t="s">
        <v>842</v>
      </c>
      <c r="B861" s="12"/>
      <c r="C861" s="9">
        <v>14</v>
      </c>
      <c r="D861" s="25"/>
      <c r="E861" s="10" t="str">
        <f t="shared" si="986"/>
        <v>OutubroSEMANA 1Vinagre de Vinho Tinto 750 ml</v>
      </c>
      <c r="F861" s="7">
        <f>SUMIF(NF!$A:$A,$E861,NF!$I:$I)</f>
        <v>0</v>
      </c>
      <c r="G861" s="6"/>
      <c r="H861" s="6"/>
      <c r="I861" s="6"/>
      <c r="J861" s="6">
        <v>1</v>
      </c>
      <c r="K861" s="6">
        <v>1</v>
      </c>
      <c r="L861" s="6">
        <v>1</v>
      </c>
      <c r="M861" s="6">
        <v>1</v>
      </c>
      <c r="N861" s="7">
        <f t="shared" si="1055"/>
        <v>4</v>
      </c>
      <c r="O861" s="11">
        <f t="shared" si="1071"/>
        <v>10</v>
      </c>
      <c r="P861" s="25"/>
      <c r="Q861" s="10" t="str">
        <f t="shared" si="987"/>
        <v>OutubroSEMANA 2Vinagre de Vinho Tinto 750 ml</v>
      </c>
      <c r="R861" s="7">
        <f>SUMIF(NF!$A:$A,$Q861,NF!$I:$I)</f>
        <v>0</v>
      </c>
      <c r="S861" s="6"/>
      <c r="T861" s="6">
        <v>2</v>
      </c>
      <c r="U861" s="6"/>
      <c r="V861" s="6">
        <v>1</v>
      </c>
      <c r="W861" s="6">
        <v>1</v>
      </c>
      <c r="X861" s="6"/>
      <c r="Y861" s="6">
        <v>1</v>
      </c>
      <c r="Z861" s="7">
        <f t="shared" si="1056"/>
        <v>5</v>
      </c>
      <c r="AA861" s="11">
        <f t="shared" si="1072"/>
        <v>5</v>
      </c>
      <c r="AB861" s="25"/>
      <c r="AC861" s="10" t="str">
        <f t="shared" si="988"/>
        <v>OutubroSEMANA 3Vinagre de Vinho Tinto 750 ml</v>
      </c>
      <c r="AD861" s="7">
        <f>SUMIF(NF!$A:$A,$AC861,NF!$I:$I)</f>
        <v>12</v>
      </c>
      <c r="AE861" s="6"/>
      <c r="AF861" s="6">
        <v>1</v>
      </c>
      <c r="AG861" s="6">
        <v>1</v>
      </c>
      <c r="AH861" s="6"/>
      <c r="AI861" s="6">
        <v>1</v>
      </c>
      <c r="AJ861" s="6">
        <v>1</v>
      </c>
      <c r="AK861" s="6">
        <v>1</v>
      </c>
      <c r="AL861" s="7">
        <f t="shared" si="1057"/>
        <v>5</v>
      </c>
      <c r="AM861" s="11">
        <f t="shared" si="1073"/>
        <v>12</v>
      </c>
      <c r="AN861" s="25"/>
      <c r="AO861" s="10" t="str">
        <f t="shared" si="989"/>
        <v>OutubroSEMANA 4Vinagre de Vinho Tinto 750 ml</v>
      </c>
      <c r="AP861" s="7">
        <f>SUMIF(NF!$A:$A,$AO861,NF!$I:$I)</f>
        <v>0</v>
      </c>
      <c r="AQ861" s="6"/>
      <c r="AR861" s="6">
        <v>1</v>
      </c>
      <c r="AS861" s="6">
        <v>1</v>
      </c>
      <c r="AT861" s="6">
        <v>2</v>
      </c>
      <c r="AU861" s="6">
        <v>1</v>
      </c>
      <c r="AV861" s="6"/>
      <c r="AW861" s="6">
        <v>1</v>
      </c>
      <c r="AX861" s="7">
        <f t="shared" si="1058"/>
        <v>6</v>
      </c>
      <c r="AY861" s="11">
        <f t="shared" si="1074"/>
        <v>6</v>
      </c>
      <c r="AZ861" s="25"/>
      <c r="BA861" s="10" t="str">
        <f t="shared" si="990"/>
        <v>OutubroSEMANA 5Vinagre de Vinho Tinto 750 ml</v>
      </c>
      <c r="BB861" s="7">
        <f>SUMIF(NF!$A:$A,$BA861,NF!$I:$I)</f>
        <v>0</v>
      </c>
      <c r="BC861" s="6">
        <v>2</v>
      </c>
      <c r="BD861" s="6"/>
      <c r="BE861" s="6">
        <v>1</v>
      </c>
      <c r="BF861" s="74"/>
      <c r="BG861" s="74"/>
      <c r="BH861" s="74"/>
      <c r="BI861" s="74"/>
      <c r="BJ861" s="74"/>
      <c r="BK861" s="7">
        <f t="shared" si="1059"/>
        <v>3</v>
      </c>
      <c r="BL861" s="8">
        <f t="shared" si="1075"/>
        <v>3</v>
      </c>
      <c r="BM861" s="51" t="str">
        <f>IFERROR(VLOOKUP(A861,NF!$M:$O,3,0),"")</f>
        <v>Mercado</v>
      </c>
      <c r="BN861" s="7">
        <f t="shared" si="1076"/>
        <v>23</v>
      </c>
      <c r="BO861" s="8">
        <f t="array" ref="BO861">IFERROR(LARGE(IF(NF!$G$2:$G$3137='Mês atual'!A861,NF!$J$2:$J$3137),1),0)*BN861</f>
        <v>63.211666666666659</v>
      </c>
      <c r="BP861" s="50"/>
      <c r="BR861" s="147">
        <f t="array" ref="BR861">IFERROR(LARGE(IF(NF!$G$2:$G$3137='Mês atual'!A861,NF!$J$2:$J$3137),1),0)</f>
        <v>2.7483333333333331</v>
      </c>
      <c r="BS861" s="143" t="str">
        <f>VLOOKUP(A861,NF!M:O,3,0)</f>
        <v>Mercado</v>
      </c>
    </row>
    <row r="862" spans="1:71" x14ac:dyDescent="0.25">
      <c r="A862" s="108" t="s">
        <v>843</v>
      </c>
      <c r="B862" s="12"/>
      <c r="C862" s="9">
        <v>2.214</v>
      </c>
      <c r="D862" s="25"/>
      <c r="E862" s="10" t="str">
        <f t="shared" si="986"/>
        <v>OutubroSEMANA 1Vinagrete de Ervas</v>
      </c>
      <c r="F862" s="7">
        <f>SUMIF(NF!$A:$A,$E862,NF!$I:$I)</f>
        <v>0</v>
      </c>
      <c r="G862" s="6">
        <v>0.20799999999999999</v>
      </c>
      <c r="H862" s="6"/>
      <c r="I862" s="6"/>
      <c r="J862" s="6"/>
      <c r="K862" s="6"/>
      <c r="L862" s="6">
        <v>1.01</v>
      </c>
      <c r="M862" s="6"/>
      <c r="N862" s="7">
        <f t="shared" si="1055"/>
        <v>1.218</v>
      </c>
      <c r="O862" s="11">
        <f t="shared" si="1071"/>
        <v>0.996</v>
      </c>
      <c r="P862" s="25"/>
      <c r="Q862" s="10" t="str">
        <f t="shared" si="987"/>
        <v>OutubroSEMANA 2Vinagrete de Ervas</v>
      </c>
      <c r="R862" s="7">
        <f>SUMIF(NF!$A:$A,$Q862,NF!$I:$I)</f>
        <v>1.012</v>
      </c>
      <c r="S862" s="6"/>
      <c r="T862" s="6"/>
      <c r="U862" s="6"/>
      <c r="V862" s="6"/>
      <c r="W862" s="6"/>
      <c r="X862" s="6"/>
      <c r="Y862" s="6"/>
      <c r="Z862" s="7">
        <f t="shared" si="1056"/>
        <v>0</v>
      </c>
      <c r="AA862" s="11">
        <f t="shared" si="1072"/>
        <v>2.008</v>
      </c>
      <c r="AB862" s="25"/>
      <c r="AC862" s="10" t="str">
        <f t="shared" si="988"/>
        <v>OutubroSEMANA 3Vinagrete de Ervas</v>
      </c>
      <c r="AD862" s="7">
        <f>SUMIF(NF!$A:$A,$AC862,NF!$I:$I)</f>
        <v>0</v>
      </c>
      <c r="AE862" s="6"/>
      <c r="AF862" s="6"/>
      <c r="AG862" s="6"/>
      <c r="AH862" s="6"/>
      <c r="AI862" s="6"/>
      <c r="AJ862" s="6">
        <v>1.004</v>
      </c>
      <c r="AK862" s="6"/>
      <c r="AL862" s="7">
        <f t="shared" si="1057"/>
        <v>1.004</v>
      </c>
      <c r="AM862" s="11">
        <f t="shared" si="1073"/>
        <v>1.004</v>
      </c>
      <c r="AN862" s="25"/>
      <c r="AO862" s="10" t="str">
        <f t="shared" si="989"/>
        <v>OutubroSEMANA 4Vinagrete de Ervas</v>
      </c>
      <c r="AP862" s="7">
        <f>SUMIF(NF!$A:$A,$AO862,NF!$I:$I)</f>
        <v>0</v>
      </c>
      <c r="AQ862" s="6"/>
      <c r="AR862" s="6"/>
      <c r="AS862" s="6"/>
      <c r="AT862" s="6"/>
      <c r="AU862" s="6"/>
      <c r="AV862" s="6"/>
      <c r="AW862" s="6"/>
      <c r="AX862" s="7">
        <f t="shared" si="1058"/>
        <v>0</v>
      </c>
      <c r="AY862" s="11">
        <f t="shared" si="1074"/>
        <v>1.004</v>
      </c>
      <c r="AZ862" s="25"/>
      <c r="BA862" s="10" t="str">
        <f t="shared" si="990"/>
        <v>OutubroSEMANA 5Vinagrete de Ervas</v>
      </c>
      <c r="BB862" s="7">
        <f>SUMIF(NF!$A:$A,$BA862,NF!$I:$I)</f>
        <v>0</v>
      </c>
      <c r="BC862" s="6"/>
      <c r="BD862" s="6"/>
      <c r="BE862" s="6"/>
      <c r="BF862" s="74"/>
      <c r="BG862" s="74"/>
      <c r="BH862" s="74"/>
      <c r="BI862" s="74"/>
      <c r="BJ862" s="74"/>
      <c r="BK862" s="7">
        <f t="shared" si="1059"/>
        <v>0</v>
      </c>
      <c r="BL862" s="8">
        <f t="shared" si="1075"/>
        <v>1.004</v>
      </c>
      <c r="BM862" s="51" t="str">
        <f>IFERROR(VLOOKUP(A862,NF!$M:$O,3,0),"")</f>
        <v>Mercado</v>
      </c>
      <c r="BN862" s="7">
        <f t="shared" si="1076"/>
        <v>2.222</v>
      </c>
      <c r="BO862" s="8">
        <f t="array" ref="BO862">IFERROR(LARGE(IF(NF!$G$2:$G$3137='Mês atual'!A862,NF!$J$2:$J$3137),1),0)*BN862</f>
        <v>95.993955200000002</v>
      </c>
      <c r="BP862" s="50"/>
      <c r="BR862" s="147">
        <f t="array" ref="BR862">IFERROR(LARGE(IF(NF!$G$2:$G$3137='Mês atual'!A862,NF!$J$2:$J$3137),1),0)</f>
        <v>43.201599999999999</v>
      </c>
      <c r="BS862" s="143" t="str">
        <f>VLOOKUP(A862,NF!M:O,3,0)</f>
        <v>Mercado</v>
      </c>
    </row>
    <row r="863" spans="1:71" x14ac:dyDescent="0.25">
      <c r="A863" s="108" t="s">
        <v>851</v>
      </c>
      <c r="B863" s="12"/>
      <c r="C863" s="9">
        <v>4</v>
      </c>
      <c r="D863" s="25"/>
      <c r="E863" s="10" t="str">
        <f t="shared" si="986"/>
        <v>OutubroSEMANA 1Vinho Branco Seco Gf 4,6 Lt</v>
      </c>
      <c r="F863" s="7">
        <f>SUMIF(NF!$A:$A,$E863,NF!$I:$I)</f>
        <v>0</v>
      </c>
      <c r="G863" s="6"/>
      <c r="H863" s="6">
        <v>1</v>
      </c>
      <c r="I863" s="6"/>
      <c r="J863" s="6"/>
      <c r="K863" s="6"/>
      <c r="L863" s="6"/>
      <c r="M863" s="6"/>
      <c r="N863" s="7">
        <f t="shared" si="1055"/>
        <v>1</v>
      </c>
      <c r="O863" s="11">
        <f t="shared" si="1071"/>
        <v>3</v>
      </c>
      <c r="P863" s="25"/>
      <c r="Q863" s="10" t="str">
        <f t="shared" si="987"/>
        <v>OutubroSEMANA 2Vinho Branco Seco Gf 4,6 Lt</v>
      </c>
      <c r="R863" s="7">
        <f>SUMIF(NF!$A:$A,$Q863,NF!$I:$I)</f>
        <v>0</v>
      </c>
      <c r="S863" s="6"/>
      <c r="T863" s="6"/>
      <c r="U863" s="6"/>
      <c r="V863" s="6"/>
      <c r="W863" s="6"/>
      <c r="X863" s="6"/>
      <c r="Y863" s="6"/>
      <c r="Z863" s="7">
        <f t="shared" si="1056"/>
        <v>0</v>
      </c>
      <c r="AA863" s="11">
        <f t="shared" si="1072"/>
        <v>3</v>
      </c>
      <c r="AB863" s="25"/>
      <c r="AC863" s="10" t="str">
        <f t="shared" si="988"/>
        <v>OutubroSEMANA 3Vinho Branco Seco Gf 4,6 Lt</v>
      </c>
      <c r="AD863" s="7">
        <f>SUMIF(NF!$A:$A,$AC863,NF!$I:$I)</f>
        <v>0</v>
      </c>
      <c r="AE863" s="6">
        <v>1</v>
      </c>
      <c r="AF863" s="6"/>
      <c r="AG863" s="6"/>
      <c r="AH863" s="6"/>
      <c r="AI863" s="6"/>
      <c r="AJ863" s="6"/>
      <c r="AK863" s="6"/>
      <c r="AL863" s="7">
        <f t="shared" si="1057"/>
        <v>1</v>
      </c>
      <c r="AM863" s="11">
        <f t="shared" si="1073"/>
        <v>2</v>
      </c>
      <c r="AN863" s="25"/>
      <c r="AO863" s="10" t="str">
        <f t="shared" si="989"/>
        <v>OutubroSEMANA 4Vinho Branco Seco Gf 4,6 Lt</v>
      </c>
      <c r="AP863" s="7">
        <f>SUMIF(NF!$A:$A,$AO863,NF!$I:$I)</f>
        <v>0</v>
      </c>
      <c r="AQ863" s="6"/>
      <c r="AR863" s="6"/>
      <c r="AS863" s="6"/>
      <c r="AT863" s="6">
        <v>1</v>
      </c>
      <c r="AU863" s="6"/>
      <c r="AV863" s="6"/>
      <c r="AW863" s="6"/>
      <c r="AX863" s="7">
        <f t="shared" si="1058"/>
        <v>1</v>
      </c>
      <c r="AY863" s="11">
        <f t="shared" si="1074"/>
        <v>1</v>
      </c>
      <c r="AZ863" s="25"/>
      <c r="BA863" s="10" t="str">
        <f t="shared" si="990"/>
        <v>OutubroSEMANA 5Vinho Branco Seco Gf 4,6 Lt</v>
      </c>
      <c r="BB863" s="7">
        <f>SUMIF(NF!$A:$A,$BA863,NF!$I:$I)</f>
        <v>0</v>
      </c>
      <c r="BC863" s="6"/>
      <c r="BD863" s="6"/>
      <c r="BE863" s="6"/>
      <c r="BF863" s="74"/>
      <c r="BG863" s="74"/>
      <c r="BH863" s="74"/>
      <c r="BI863" s="74"/>
      <c r="BJ863" s="74"/>
      <c r="BK863" s="7">
        <f t="shared" si="1059"/>
        <v>0</v>
      </c>
      <c r="BL863" s="8">
        <f t="shared" si="1075"/>
        <v>1</v>
      </c>
      <c r="BM863" s="51" t="str">
        <f>IFERROR(VLOOKUP(A863,NF!$M:$O,3,0),"")</f>
        <v>Mercado</v>
      </c>
      <c r="BN863" s="7">
        <f t="shared" si="1076"/>
        <v>3</v>
      </c>
      <c r="BO863" s="8">
        <f t="array" ref="BO863">IFERROR(LARGE(IF(NF!$G$2:$G$3137='Mês atual'!A863,NF!$J$2:$J$3137),1),0)*BN863</f>
        <v>0</v>
      </c>
      <c r="BP863" s="50"/>
      <c r="BR863" s="147">
        <f t="array" ref="BR863">IFERROR(LARGE(IF(NF!$G$2:$G$3137='Mês atual'!A863,NF!$J$2:$J$3137),1),0)</f>
        <v>0</v>
      </c>
      <c r="BS863" s="143" t="str">
        <f>VLOOKUP(A863,NF!M:O,3,0)</f>
        <v>Mercado</v>
      </c>
    </row>
    <row r="864" spans="1:71" x14ac:dyDescent="0.25">
      <c r="A864" s="108" t="s">
        <v>866</v>
      </c>
      <c r="B864" s="12"/>
      <c r="C864" s="9">
        <v>4</v>
      </c>
      <c r="D864" s="25"/>
      <c r="E864" s="10" t="str">
        <f t="shared" si="986"/>
        <v>OutubroSEMANA 1Vinho Tinto Seco Gf 4,6 Lt</v>
      </c>
      <c r="F864" s="7">
        <f>SUMIF(NF!$A:$A,$E864,NF!$I:$I)</f>
        <v>0</v>
      </c>
      <c r="G864" s="6"/>
      <c r="H864" s="6"/>
      <c r="I864" s="6"/>
      <c r="J864" s="6">
        <v>1</v>
      </c>
      <c r="K864" s="6"/>
      <c r="L864" s="6"/>
      <c r="M864" s="6"/>
      <c r="N864" s="7">
        <f t="shared" si="1055"/>
        <v>1</v>
      </c>
      <c r="O864" s="11">
        <f t="shared" si="1071"/>
        <v>3</v>
      </c>
      <c r="P864" s="25"/>
      <c r="Q864" s="10" t="str">
        <f t="shared" si="987"/>
        <v>OutubroSEMANA 2Vinho Tinto Seco Gf 4,6 Lt</v>
      </c>
      <c r="R864" s="7">
        <f>SUMIF(NF!$A:$A,$Q864,NF!$I:$I)</f>
        <v>0</v>
      </c>
      <c r="S864" s="6"/>
      <c r="T864" s="6"/>
      <c r="U864" s="6"/>
      <c r="V864" s="6"/>
      <c r="W864" s="6"/>
      <c r="X864" s="6"/>
      <c r="Y864" s="6"/>
      <c r="Z864" s="7">
        <f t="shared" si="1056"/>
        <v>0</v>
      </c>
      <c r="AA864" s="11">
        <f t="shared" si="1072"/>
        <v>3</v>
      </c>
      <c r="AB864" s="25"/>
      <c r="AC864" s="10" t="str">
        <f t="shared" si="988"/>
        <v>OutubroSEMANA 3Vinho Tinto Seco Gf 4,6 Lt</v>
      </c>
      <c r="AD864" s="7">
        <f>SUMIF(NF!$A:$A,$AC864,NF!$I:$I)</f>
        <v>0</v>
      </c>
      <c r="AE864" s="6"/>
      <c r="AF864" s="6"/>
      <c r="AG864" s="6"/>
      <c r="AH864" s="6">
        <v>1</v>
      </c>
      <c r="AI864" s="6"/>
      <c r="AJ864" s="6"/>
      <c r="AK864" s="6"/>
      <c r="AL864" s="7">
        <f t="shared" si="1057"/>
        <v>1</v>
      </c>
      <c r="AM864" s="11">
        <f t="shared" si="1073"/>
        <v>2</v>
      </c>
      <c r="AN864" s="25"/>
      <c r="AO864" s="10" t="str">
        <f t="shared" si="989"/>
        <v>OutubroSEMANA 4Vinho Tinto Seco Gf 4,6 Lt</v>
      </c>
      <c r="AP864" s="7">
        <f>SUMIF(NF!$A:$A,$AO864,NF!$I:$I)</f>
        <v>0</v>
      </c>
      <c r="AQ864" s="6"/>
      <c r="AR864" s="6"/>
      <c r="AS864" s="6"/>
      <c r="AT864" s="6"/>
      <c r="AU864" s="6"/>
      <c r="AV864" s="6"/>
      <c r="AW864" s="6"/>
      <c r="AX864" s="7">
        <f t="shared" si="1058"/>
        <v>0</v>
      </c>
      <c r="AY864" s="11">
        <f t="shared" si="1074"/>
        <v>2</v>
      </c>
      <c r="AZ864" s="25"/>
      <c r="BA864" s="10" t="str">
        <f t="shared" si="990"/>
        <v>OutubroSEMANA 5Vinho Tinto Seco Gf 4,6 Lt</v>
      </c>
      <c r="BB864" s="7">
        <f>SUMIF(NF!$A:$A,$BA864,NF!$I:$I)</f>
        <v>0</v>
      </c>
      <c r="BC864" s="6"/>
      <c r="BD864" s="6"/>
      <c r="BE864" s="6"/>
      <c r="BF864" s="74"/>
      <c r="BG864" s="74"/>
      <c r="BH864" s="74"/>
      <c r="BI864" s="74"/>
      <c r="BJ864" s="74"/>
      <c r="BK864" s="7">
        <f t="shared" si="1059"/>
        <v>0</v>
      </c>
      <c r="BL864" s="8">
        <f t="shared" si="1075"/>
        <v>2</v>
      </c>
      <c r="BM864" s="51" t="str">
        <f>IFERROR(VLOOKUP(A864,NF!$M:$O,3,0),"")</f>
        <v>Mercado</v>
      </c>
      <c r="BN864" s="7">
        <f t="shared" si="1076"/>
        <v>2</v>
      </c>
      <c r="BO864" s="8">
        <f t="array" ref="BO864">IFERROR(LARGE(IF(NF!$G$2:$G$3137='Mês atual'!A864,NF!$J$2:$J$3137),1),0)*BN864</f>
        <v>0</v>
      </c>
      <c r="BP864" s="50"/>
      <c r="BR864" s="147">
        <f t="array" ref="BR864">IFERROR(LARGE(IF(NF!$G$2:$G$3137='Mês atual'!A864,NF!$J$2:$J$3137),1),0)</f>
        <v>0</v>
      </c>
      <c r="BS864" s="143" t="str">
        <f>VLOOKUP(A864,NF!M:O,3,0)</f>
        <v>Mercado</v>
      </c>
    </row>
    <row r="865" spans="1:74" x14ac:dyDescent="0.25">
      <c r="A865" s="108" t="s">
        <v>869</v>
      </c>
      <c r="B865" s="12"/>
      <c r="C865" s="9">
        <v>1</v>
      </c>
      <c r="D865" s="25"/>
      <c r="E865" s="10" t="str">
        <f t="shared" si="986"/>
        <v>OutubroSEMANA 1Xarope de Groselha</v>
      </c>
      <c r="F865" s="7">
        <f>SUMIF(NF!$A:$A,$E865,NF!$I:$I)</f>
        <v>0</v>
      </c>
      <c r="G865" s="6"/>
      <c r="H865" s="6"/>
      <c r="I865" s="6"/>
      <c r="J865" s="6"/>
      <c r="K865" s="6"/>
      <c r="L865" s="6"/>
      <c r="M865" s="6"/>
      <c r="N865" s="7">
        <f t="shared" si="1055"/>
        <v>0</v>
      </c>
      <c r="O865" s="11">
        <f t="shared" si="1071"/>
        <v>1</v>
      </c>
      <c r="P865" s="25"/>
      <c r="Q865" s="10" t="str">
        <f t="shared" si="987"/>
        <v>OutubroSEMANA 2Xarope de Groselha</v>
      </c>
      <c r="R865" s="7">
        <f>SUMIF(NF!$A:$A,$Q865,NF!$I:$I)</f>
        <v>0</v>
      </c>
      <c r="S865" s="6"/>
      <c r="T865" s="6"/>
      <c r="U865" s="6"/>
      <c r="V865" s="6"/>
      <c r="W865" s="6"/>
      <c r="X865" s="6"/>
      <c r="Y865" s="6"/>
      <c r="Z865" s="7">
        <f t="shared" si="1056"/>
        <v>0</v>
      </c>
      <c r="AA865" s="11">
        <f t="shared" si="1072"/>
        <v>1</v>
      </c>
      <c r="AB865" s="25"/>
      <c r="AC865" s="10" t="str">
        <f t="shared" si="988"/>
        <v>OutubroSEMANA 3Xarope de Groselha</v>
      </c>
      <c r="AD865" s="7">
        <f>SUMIF(NF!$A:$A,$AC865,NF!$I:$I)</f>
        <v>1</v>
      </c>
      <c r="AE865" s="6"/>
      <c r="AF865" s="6"/>
      <c r="AG865" s="6"/>
      <c r="AH865" s="6">
        <v>1</v>
      </c>
      <c r="AI865" s="6"/>
      <c r="AJ865" s="6"/>
      <c r="AK865" s="6"/>
      <c r="AL865" s="7">
        <f t="shared" si="1057"/>
        <v>1</v>
      </c>
      <c r="AM865" s="11">
        <f t="shared" si="1073"/>
        <v>1</v>
      </c>
      <c r="AN865" s="25"/>
      <c r="AO865" s="10" t="str">
        <f t="shared" si="989"/>
        <v>OutubroSEMANA 4Xarope de Groselha</v>
      </c>
      <c r="AP865" s="7">
        <f>SUMIF(NF!$A:$A,$AO865,NF!$I:$I)</f>
        <v>0</v>
      </c>
      <c r="AQ865" s="6"/>
      <c r="AR865" s="6"/>
      <c r="AS865" s="6"/>
      <c r="AT865" s="6"/>
      <c r="AU865" s="6"/>
      <c r="AV865" s="6"/>
      <c r="AW865" s="6"/>
      <c r="AX865" s="7">
        <f t="shared" si="1058"/>
        <v>0</v>
      </c>
      <c r="AY865" s="11">
        <f t="shared" si="1074"/>
        <v>1</v>
      </c>
      <c r="AZ865" s="25"/>
      <c r="BA865" s="10" t="str">
        <f t="shared" si="990"/>
        <v>OutubroSEMANA 5Xarope de Groselha</v>
      </c>
      <c r="BB865" s="7">
        <f>SUMIF(NF!$A:$A,$BA865,NF!$I:$I)</f>
        <v>0</v>
      </c>
      <c r="BC865" s="6"/>
      <c r="BD865" s="6"/>
      <c r="BE865" s="6"/>
      <c r="BF865" s="74"/>
      <c r="BG865" s="74"/>
      <c r="BH865" s="74"/>
      <c r="BI865" s="74"/>
      <c r="BJ865" s="74"/>
      <c r="BK865" s="7">
        <f t="shared" si="1059"/>
        <v>0</v>
      </c>
      <c r="BL865" s="8">
        <f t="shared" si="1075"/>
        <v>1</v>
      </c>
      <c r="BM865" s="51" t="str">
        <f>IFERROR(VLOOKUP(A865,NF!$M:$O,3,0),"")</f>
        <v>Mercado</v>
      </c>
      <c r="BN865" s="7">
        <f t="shared" si="1076"/>
        <v>1</v>
      </c>
      <c r="BO865" s="8">
        <f t="array" ref="BO865">IFERROR(LARGE(IF(NF!$G$2:$G$3137='Mês atual'!A865,NF!$J$2:$J$3137),1),0)*BN865</f>
        <v>4.8499999999999996</v>
      </c>
      <c r="BP865" s="50"/>
      <c r="BR865" s="147">
        <f t="array" ref="BR865">IFERROR(LARGE(IF(NF!$G$2:$G$3137='Mês atual'!A865,NF!$J$2:$J$3137),1),0)</f>
        <v>4.8499999999999996</v>
      </c>
      <c r="BS865" s="143" t="str">
        <f>VLOOKUP(A865,NF!M:O,3,0)</f>
        <v>Mercado</v>
      </c>
    </row>
    <row r="866" spans="1:74" ht="15.75" thickBot="1" x14ac:dyDescent="0.3">
      <c r="A866" s="108" t="s">
        <v>870</v>
      </c>
      <c r="B866" s="12"/>
      <c r="C866" s="9"/>
      <c r="D866" s="25"/>
      <c r="E866" s="10" t="str">
        <f t="shared" si="986"/>
        <v>OutubroSEMANA 1Yogurt de Pessego</v>
      </c>
      <c r="F866" s="7">
        <f>SUMIF(NF!$A:$A,$E866,NF!$I:$I)</f>
        <v>2</v>
      </c>
      <c r="G866" s="6"/>
      <c r="H866" s="6"/>
      <c r="I866" s="6"/>
      <c r="J866" s="6">
        <v>2</v>
      </c>
      <c r="K866" s="6"/>
      <c r="L866" s="6"/>
      <c r="M866" s="6"/>
      <c r="N866" s="7">
        <f t="shared" si="1055"/>
        <v>2</v>
      </c>
      <c r="O866" s="11">
        <f t="shared" si="1071"/>
        <v>0</v>
      </c>
      <c r="P866" s="25"/>
      <c r="Q866" s="10" t="str">
        <f t="shared" si="987"/>
        <v>OutubroSEMANA 2Yogurt de Pessego</v>
      </c>
      <c r="R866" s="7">
        <f>SUMIF(NF!$A:$A,$Q866,NF!$I:$I)</f>
        <v>0</v>
      </c>
      <c r="S866" s="6"/>
      <c r="T866" s="6"/>
      <c r="U866" s="6"/>
      <c r="V866" s="6"/>
      <c r="W866" s="6"/>
      <c r="X866" s="6"/>
      <c r="Y866" s="6"/>
      <c r="Z866" s="7">
        <f t="shared" si="1056"/>
        <v>0</v>
      </c>
      <c r="AA866" s="11">
        <f t="shared" si="1072"/>
        <v>0</v>
      </c>
      <c r="AB866" s="25"/>
      <c r="AC866" s="10" t="str">
        <f t="shared" si="988"/>
        <v>OutubroSEMANA 3Yogurt de Pessego</v>
      </c>
      <c r="AD866" s="7">
        <f>SUMIF(NF!$A:$A,$AC866,NF!$I:$I)</f>
        <v>2</v>
      </c>
      <c r="AE866" s="6"/>
      <c r="AF866" s="6"/>
      <c r="AG866" s="6">
        <v>2</v>
      </c>
      <c r="AH866" s="6"/>
      <c r="AI866" s="6"/>
      <c r="AJ866" s="6"/>
      <c r="AK866" s="6"/>
      <c r="AL866" s="7">
        <f t="shared" si="1057"/>
        <v>2</v>
      </c>
      <c r="AM866" s="11">
        <f t="shared" si="1073"/>
        <v>0</v>
      </c>
      <c r="AN866" s="25"/>
      <c r="AO866" s="10" t="str">
        <f t="shared" si="989"/>
        <v>OutubroSEMANA 4Yogurt de Pessego</v>
      </c>
      <c r="AP866" s="7">
        <f>SUMIF(NF!$A:$A,$AO866,NF!$I:$I)</f>
        <v>0</v>
      </c>
      <c r="AQ866" s="6"/>
      <c r="AR866" s="6"/>
      <c r="AS866" s="6"/>
      <c r="AT866" s="6"/>
      <c r="AU866" s="6"/>
      <c r="AV866" s="6"/>
      <c r="AW866" s="6"/>
      <c r="AX866" s="7">
        <f t="shared" si="1058"/>
        <v>0</v>
      </c>
      <c r="AY866" s="11">
        <f t="shared" si="1074"/>
        <v>0</v>
      </c>
      <c r="AZ866" s="25"/>
      <c r="BA866" s="10" t="str">
        <f t="shared" si="990"/>
        <v>OutubroSEMANA 5Yogurt de Pessego</v>
      </c>
      <c r="BB866" s="7">
        <f>SUMIF(NF!$A:$A,$BA866,NF!$I:$I)</f>
        <v>0</v>
      </c>
      <c r="BC866" s="6"/>
      <c r="BD866" s="6"/>
      <c r="BE866" s="6"/>
      <c r="BF866" s="74"/>
      <c r="BG866" s="74"/>
      <c r="BH866" s="74"/>
      <c r="BI866" s="74"/>
      <c r="BJ866" s="74"/>
      <c r="BK866" s="7">
        <f t="shared" si="1059"/>
        <v>0</v>
      </c>
      <c r="BL866" s="8">
        <f t="shared" si="1075"/>
        <v>0</v>
      </c>
      <c r="BM866" s="51" t="str">
        <f>IFERROR(VLOOKUP(A866,NF!$M:$O,3,0),"")</f>
        <v>Mercado</v>
      </c>
      <c r="BN866" s="7">
        <f t="shared" si="1076"/>
        <v>4</v>
      </c>
      <c r="BO866" s="8">
        <f t="array" ref="BO866">IFERROR(LARGE(IF(NF!$G$2:$G$3137='Mês atual'!A866,NF!$J$2:$J$3137),1),0)*BN866</f>
        <v>31.92</v>
      </c>
      <c r="BP866" s="50"/>
      <c r="BR866" s="147">
        <f t="array" ref="BR866">IFERROR(LARGE(IF(NF!$G$2:$G$3137='Mês atual'!A866,NF!$J$2:$J$3137),1),0)</f>
        <v>7.98</v>
      </c>
      <c r="BS866" s="143" t="str">
        <f>VLOOKUP(A866,NF!M:O,3,0)</f>
        <v>Mercado</v>
      </c>
    </row>
    <row r="867" spans="1:74" s="16" customFormat="1" ht="30" customHeight="1" thickBot="1" x14ac:dyDescent="0.3">
      <c r="A867" s="139" t="s">
        <v>927</v>
      </c>
      <c r="B867" s="130"/>
      <c r="C867" s="131"/>
      <c r="D867" s="132"/>
      <c r="E867" s="133"/>
      <c r="F867" s="134"/>
      <c r="G867" s="133"/>
      <c r="H867" s="133"/>
      <c r="I867" s="133"/>
      <c r="J867" s="133"/>
      <c r="K867" s="133"/>
      <c r="L867" s="133"/>
      <c r="M867" s="133"/>
      <c r="N867" s="134"/>
      <c r="O867" s="134"/>
      <c r="P867" s="132"/>
      <c r="Q867" s="133"/>
      <c r="R867" s="134"/>
      <c r="S867" s="133"/>
      <c r="T867" s="133"/>
      <c r="U867" s="133"/>
      <c r="V867" s="133"/>
      <c r="W867" s="133"/>
      <c r="X867" s="133"/>
      <c r="Y867" s="133"/>
      <c r="Z867" s="134"/>
      <c r="AA867" s="134"/>
      <c r="AB867" s="132"/>
      <c r="AC867" s="133"/>
      <c r="AD867" s="134"/>
      <c r="AE867" s="133"/>
      <c r="AF867" s="133"/>
      <c r="AG867" s="133"/>
      <c r="AH867" s="133"/>
      <c r="AI867" s="133"/>
      <c r="AJ867" s="133"/>
      <c r="AK867" s="133"/>
      <c r="AL867" s="134"/>
      <c r="AM867" s="134"/>
      <c r="AN867" s="132"/>
      <c r="AO867" s="133"/>
      <c r="AP867" s="134"/>
      <c r="AQ867" s="133"/>
      <c r="AR867" s="133"/>
      <c r="AS867" s="133"/>
      <c r="AT867" s="133"/>
      <c r="AU867" s="133"/>
      <c r="AV867" s="133"/>
      <c r="AW867" s="133"/>
      <c r="AX867" s="134"/>
      <c r="AY867" s="134"/>
      <c r="AZ867" s="132"/>
      <c r="BA867" s="133"/>
      <c r="BB867" s="134"/>
      <c r="BC867" s="133"/>
      <c r="BD867" s="133"/>
      <c r="BE867" s="133"/>
      <c r="BF867" s="135"/>
      <c r="BG867" s="135"/>
      <c r="BH867" s="135"/>
      <c r="BI867" s="135"/>
      <c r="BJ867" s="135"/>
      <c r="BK867" s="134"/>
      <c r="BL867" s="134"/>
      <c r="BM867" s="136"/>
      <c r="BN867" s="137"/>
      <c r="BO867" s="137"/>
      <c r="BP867" s="138"/>
      <c r="BQ867" s="145"/>
      <c r="BR867" s="145"/>
      <c r="BS867" s="145"/>
      <c r="BT867" s="146"/>
      <c r="BU867" s="146"/>
      <c r="BV867" s="146"/>
    </row>
    <row r="868" spans="1:74" x14ac:dyDescent="0.25">
      <c r="A868" s="108" t="s">
        <v>191</v>
      </c>
      <c r="B868" s="12"/>
      <c r="C868" s="9"/>
      <c r="D868" s="25"/>
      <c r="E868" s="10" t="str">
        <f t="shared" ref="E868:E890" si="1088">CONCATENATE($C$2,$F$1,$A868)</f>
        <v>OutubroSEMANA 1Bolo Rústico</v>
      </c>
      <c r="F868" s="7">
        <f>SUMIF(NF!$A:$A,$E868,NF!$I:$I)</f>
        <v>0</v>
      </c>
      <c r="G868" s="6"/>
      <c r="H868" s="6"/>
      <c r="I868" s="6"/>
      <c r="J868" s="6"/>
      <c r="K868" s="6"/>
      <c r="L868" s="6"/>
      <c r="M868" s="6"/>
      <c r="N868" s="7">
        <f t="shared" ref="N868:N884" si="1089">SUM(G868:M868)</f>
        <v>0</v>
      </c>
      <c r="O868" s="11">
        <f t="shared" ref="O868:O890" si="1090">F868+C868-N868</f>
        <v>0</v>
      </c>
      <c r="P868" s="25"/>
      <c r="Q868" s="10" t="str">
        <f t="shared" ref="Q868:Q890" si="1091">CONCATENATE($C$2,$R$1,$A868)</f>
        <v>OutubroSEMANA 2Bolo Rústico</v>
      </c>
      <c r="R868" s="7">
        <f>SUMIF(NF!$A:$A,$Q868,NF!$I:$I)</f>
        <v>0</v>
      </c>
      <c r="S868" s="6"/>
      <c r="T868" s="6"/>
      <c r="U868" s="6"/>
      <c r="V868" s="6"/>
      <c r="W868" s="6"/>
      <c r="X868" s="6"/>
      <c r="Y868" s="6"/>
      <c r="Z868" s="7">
        <f t="shared" ref="Z868:Z884" si="1092">SUM(S868:Y868)</f>
        <v>0</v>
      </c>
      <c r="AA868" s="11">
        <f t="shared" ref="AA868:AA890" si="1093">R868+O868-Z868</f>
        <v>0</v>
      </c>
      <c r="AB868" s="25"/>
      <c r="AC868" s="10" t="str">
        <f t="shared" ref="AC868:AC890" si="1094">CONCATENATE($C$2,$AD$1,$A868)</f>
        <v>OutubroSEMANA 3Bolo Rústico</v>
      </c>
      <c r="AD868" s="7">
        <f>SUMIF(NF!$A:$A,$AC868,NF!$I:$I)</f>
        <v>0</v>
      </c>
      <c r="AE868" s="6"/>
      <c r="AF868" s="6"/>
      <c r="AG868" s="6"/>
      <c r="AH868" s="6"/>
      <c r="AI868" s="6"/>
      <c r="AJ868" s="6"/>
      <c r="AK868" s="6"/>
      <c r="AL868" s="7">
        <f t="shared" ref="AL868:AL884" si="1095">SUM(AE868:AK868)</f>
        <v>0</v>
      </c>
      <c r="AM868" s="11">
        <f t="shared" ref="AM868:AM890" si="1096">AD868+AA868-AL868</f>
        <v>0</v>
      </c>
      <c r="AN868" s="25"/>
      <c r="AO868" s="10" t="str">
        <f t="shared" ref="AO868:AO890" si="1097">CONCATENATE($C$2,$AP$1,$A868)</f>
        <v>OutubroSEMANA 4Bolo Rústico</v>
      </c>
      <c r="AP868" s="7">
        <f>SUMIF(NF!$A:$A,$AO868,NF!$I:$I)</f>
        <v>0</v>
      </c>
      <c r="AQ868" s="6"/>
      <c r="AR868" s="6"/>
      <c r="AS868" s="6"/>
      <c r="AT868" s="6"/>
      <c r="AU868" s="6"/>
      <c r="AV868" s="6"/>
      <c r="AW868" s="6"/>
      <c r="AX868" s="7">
        <f t="shared" ref="AX868:AX884" si="1098">SUM(AQ868:AW868)</f>
        <v>0</v>
      </c>
      <c r="AY868" s="11">
        <f t="shared" ref="AY868:AY890" si="1099">AP868+AM868-AX868</f>
        <v>0</v>
      </c>
      <c r="AZ868" s="25"/>
      <c r="BA868" s="10" t="str">
        <f t="shared" ref="BA868:BA890" si="1100">CONCATENATE($C$2,$BB$1,$A868)</f>
        <v>OutubroSEMANA 5Bolo Rústico</v>
      </c>
      <c r="BB868" s="7">
        <f>SUMIF(NF!$A:$A,$BA868,NF!$I:$I)</f>
        <v>0</v>
      </c>
      <c r="BC868" s="6"/>
      <c r="BD868" s="6"/>
      <c r="BE868" s="6"/>
      <c r="BF868" s="74"/>
      <c r="BG868" s="74"/>
      <c r="BH868" s="74"/>
      <c r="BI868" s="74"/>
      <c r="BJ868" s="74"/>
      <c r="BK868" s="7">
        <f t="shared" ref="BK868:BK884" si="1101">SUM(BC868:BJ868)</f>
        <v>0</v>
      </c>
      <c r="BL868" s="8">
        <f t="shared" ref="BL868:BL890" si="1102">BB868+AY868-BK868</f>
        <v>0</v>
      </c>
      <c r="BM868" s="51" t="str">
        <f>IFERROR(VLOOKUP(A868,NF!$M:$O,3,0),"")</f>
        <v>Sobremesa</v>
      </c>
      <c r="BN868" s="7">
        <f t="shared" ref="BN868:BN890" si="1103">SUM(N868,Z868,AL868,AX868,BK868)</f>
        <v>0</v>
      </c>
      <c r="BO868" s="8">
        <f t="array" ref="BO868">IFERROR(LARGE(IF(NF!$G$2:$G$3137='Mês atual'!A868,NF!$J$2:$J$3137),1),0)*BN868</f>
        <v>0</v>
      </c>
      <c r="BP868" s="50"/>
      <c r="BR868" s="147">
        <f t="array" ref="BR868">IFERROR(LARGE(IF(NF!$G$2:$G$3137='Mês atual'!A868,NF!$J$2:$J$3137),1),0)</f>
        <v>0</v>
      </c>
      <c r="BS868" s="143" t="str">
        <f>VLOOKUP(A868,NF!M:O,3,0)</f>
        <v>Sobremesa</v>
      </c>
    </row>
    <row r="869" spans="1:74" x14ac:dyDescent="0.25">
      <c r="A869" s="108" t="s">
        <v>905</v>
      </c>
      <c r="B869" s="12"/>
      <c r="C869" s="9">
        <v>3</v>
      </c>
      <c r="D869" s="25"/>
      <c r="E869" s="10" t="str">
        <f t="shared" si="1088"/>
        <v>OutubroSEMANA 1Geléia de Framboesa</v>
      </c>
      <c r="F869" s="7">
        <f>SUMIF(NF!$A:$A,$E869,NF!$I:$I)</f>
        <v>2</v>
      </c>
      <c r="G869" s="6"/>
      <c r="H869" s="6"/>
      <c r="I869" s="6"/>
      <c r="J869" s="6"/>
      <c r="K869" s="6"/>
      <c r="L869" s="6"/>
      <c r="M869" s="6"/>
      <c r="N869" s="7">
        <f t="shared" ref="N869" si="1104">SUM(G869:M869)</f>
        <v>0</v>
      </c>
      <c r="O869" s="11">
        <f t="shared" ref="O869" si="1105">F869+C869-N869</f>
        <v>5</v>
      </c>
      <c r="P869" s="25"/>
      <c r="Q869" s="10" t="str">
        <f t="shared" si="1091"/>
        <v>OutubroSEMANA 2Geléia de Framboesa</v>
      </c>
      <c r="R869" s="7">
        <f>SUMIF(NF!$A:$A,$Q869,NF!$I:$I)</f>
        <v>0</v>
      </c>
      <c r="S869" s="6"/>
      <c r="T869" s="6"/>
      <c r="U869" s="6"/>
      <c r="V869" s="6"/>
      <c r="W869" s="6">
        <v>1</v>
      </c>
      <c r="X869" s="6"/>
      <c r="Y869" s="6"/>
      <c r="Z869" s="7">
        <f t="shared" ref="Z869" si="1106">SUM(S869:Y869)</f>
        <v>1</v>
      </c>
      <c r="AA869" s="11">
        <f t="shared" ref="AA869" si="1107">R869+O869-Z869</f>
        <v>4</v>
      </c>
      <c r="AB869" s="25"/>
      <c r="AC869" s="10" t="str">
        <f t="shared" si="1094"/>
        <v>OutubroSEMANA 3Geléia de Framboesa</v>
      </c>
      <c r="AD869" s="7">
        <f>SUMIF(NF!$A:$A,$AC869,NF!$I:$I)</f>
        <v>0</v>
      </c>
      <c r="AE869" s="6"/>
      <c r="AF869" s="6"/>
      <c r="AG869" s="6"/>
      <c r="AH869" s="6"/>
      <c r="AI869" s="6"/>
      <c r="AJ869" s="6"/>
      <c r="AK869" s="6"/>
      <c r="AL869" s="7">
        <f t="shared" ref="AL869" si="1108">SUM(AE869:AK869)</f>
        <v>0</v>
      </c>
      <c r="AM869" s="11">
        <f t="shared" ref="AM869" si="1109">AD869+AA869-AL869</f>
        <v>4</v>
      </c>
      <c r="AN869" s="25"/>
      <c r="AO869" s="10" t="str">
        <f t="shared" si="1097"/>
        <v>OutubroSEMANA 4Geléia de Framboesa</v>
      </c>
      <c r="AP869" s="7">
        <f>SUMIF(NF!$A:$A,$AO869,NF!$I:$I)</f>
        <v>0</v>
      </c>
      <c r="AQ869" s="6"/>
      <c r="AR869" s="6"/>
      <c r="AS869" s="6"/>
      <c r="AT869" s="6"/>
      <c r="AU869" s="6"/>
      <c r="AV869" s="6"/>
      <c r="AW869" s="6"/>
      <c r="AX869" s="7">
        <f t="shared" ref="AX869" si="1110">SUM(AQ869:AW869)</f>
        <v>0</v>
      </c>
      <c r="AY869" s="11">
        <f t="shared" ref="AY869" si="1111">AP869+AM869-AX869</f>
        <v>4</v>
      </c>
      <c r="AZ869" s="25"/>
      <c r="BA869" s="10" t="str">
        <f t="shared" si="1100"/>
        <v>OutubroSEMANA 5Geléia de Framboesa</v>
      </c>
      <c r="BB869" s="7">
        <f>SUMIF(NF!$A:$A,$BA869,NF!$I:$I)</f>
        <v>0</v>
      </c>
      <c r="BC869" s="6">
        <v>1</v>
      </c>
      <c r="BD869" s="6"/>
      <c r="BE869" s="6"/>
      <c r="BF869" s="74"/>
      <c r="BG869" s="74"/>
      <c r="BH869" s="74"/>
      <c r="BI869" s="74"/>
      <c r="BJ869" s="74"/>
      <c r="BK869" s="7">
        <f t="shared" ref="BK869" si="1112">SUM(BC869:BJ869)</f>
        <v>1</v>
      </c>
      <c r="BL869" s="8">
        <f t="shared" ref="BL869" si="1113">BB869+AY869-BK869</f>
        <v>3</v>
      </c>
      <c r="BM869" s="51" t="str">
        <f>IFERROR(VLOOKUP(A869,NF!$M:$O,3,0),"")</f>
        <v>Sobremesa</v>
      </c>
      <c r="BN869" s="7">
        <f t="shared" ref="BN869" si="1114">SUM(N869,Z869,AL869,AX869,BK869)</f>
        <v>2</v>
      </c>
      <c r="BO869" s="8">
        <f t="array" ref="BO869">IFERROR(LARGE(IF(NF!$G$2:$G$3137='Mês atual'!A869,NF!$J$2:$J$3137),1),0)*BN869</f>
        <v>0</v>
      </c>
      <c r="BP869" s="50"/>
      <c r="BR869" s="147">
        <f t="array" ref="BR869">IFERROR(LARGE(IF(NF!$G$2:$G$3137='Mês atual'!A869,NF!$J$2:$J$3137),1),0)</f>
        <v>0</v>
      </c>
      <c r="BS869" s="143" t="str">
        <f>VLOOKUP(A869,NF!M:O,3,0)</f>
        <v>Sobremesa</v>
      </c>
    </row>
    <row r="870" spans="1:74" x14ac:dyDescent="0.25">
      <c r="A870" s="108" t="s">
        <v>691</v>
      </c>
      <c r="B870" s="12"/>
      <c r="C870" s="9">
        <v>14</v>
      </c>
      <c r="D870" s="25"/>
      <c r="E870" s="10" t="str">
        <f t="shared" si="1088"/>
        <v>OutubroSEMANA 1Quindão com Damasco</v>
      </c>
      <c r="F870" s="7">
        <f>SUMIF(NF!$A:$A,$E870,NF!$I:$I)</f>
        <v>0</v>
      </c>
      <c r="G870" s="6"/>
      <c r="H870" s="6"/>
      <c r="I870" s="6"/>
      <c r="J870" s="6">
        <v>1</v>
      </c>
      <c r="K870" s="6"/>
      <c r="L870" s="6">
        <v>1</v>
      </c>
      <c r="M870" s="6">
        <v>1</v>
      </c>
      <c r="N870" s="7">
        <f t="shared" si="1089"/>
        <v>3</v>
      </c>
      <c r="O870" s="11">
        <f t="shared" si="1090"/>
        <v>11</v>
      </c>
      <c r="P870" s="25"/>
      <c r="Q870" s="10" t="str">
        <f t="shared" si="1091"/>
        <v>OutubroSEMANA 2Quindão com Damasco</v>
      </c>
      <c r="R870" s="7">
        <f>SUMIF(NF!$A:$A,$Q870,NF!$I:$I)</f>
        <v>12</v>
      </c>
      <c r="S870" s="6">
        <v>1</v>
      </c>
      <c r="T870" s="6">
        <v>2</v>
      </c>
      <c r="U870" s="6"/>
      <c r="V870" s="6">
        <v>1</v>
      </c>
      <c r="W870" s="6"/>
      <c r="X870" s="6">
        <v>3</v>
      </c>
      <c r="Y870" s="6"/>
      <c r="Z870" s="7">
        <f t="shared" si="1092"/>
        <v>7</v>
      </c>
      <c r="AA870" s="11">
        <f t="shared" si="1093"/>
        <v>16</v>
      </c>
      <c r="AB870" s="25"/>
      <c r="AC870" s="10" t="str">
        <f t="shared" si="1094"/>
        <v>OutubroSEMANA 3Quindão com Damasco</v>
      </c>
      <c r="AD870" s="7">
        <f>SUMIF(NF!$A:$A,$AC870,NF!$I:$I)</f>
        <v>0</v>
      </c>
      <c r="AE870" s="6">
        <v>5</v>
      </c>
      <c r="AF870" s="6">
        <v>2</v>
      </c>
      <c r="AG870" s="6"/>
      <c r="AH870" s="6">
        <v>2</v>
      </c>
      <c r="AI870" s="6">
        <v>3</v>
      </c>
      <c r="AJ870" s="6">
        <v>1</v>
      </c>
      <c r="AK870" s="6">
        <v>1</v>
      </c>
      <c r="AL870" s="7">
        <f t="shared" si="1095"/>
        <v>14</v>
      </c>
      <c r="AM870" s="11">
        <f t="shared" si="1096"/>
        <v>2</v>
      </c>
      <c r="AN870" s="25"/>
      <c r="AO870" s="10" t="str">
        <f t="shared" si="1097"/>
        <v>OutubroSEMANA 4Quindão com Damasco</v>
      </c>
      <c r="AP870" s="7">
        <f>SUMIF(NF!$A:$A,$AO870,NF!$I:$I)</f>
        <v>24</v>
      </c>
      <c r="AQ870" s="6">
        <v>2</v>
      </c>
      <c r="AR870" s="6"/>
      <c r="AS870" s="6"/>
      <c r="AT870" s="6"/>
      <c r="AU870" s="6"/>
      <c r="AV870" s="6"/>
      <c r="AW870" s="6">
        <v>2</v>
      </c>
      <c r="AX870" s="7">
        <f t="shared" si="1098"/>
        <v>4</v>
      </c>
      <c r="AY870" s="11">
        <f t="shared" si="1099"/>
        <v>22</v>
      </c>
      <c r="AZ870" s="25"/>
      <c r="BA870" s="10" t="str">
        <f t="shared" si="1100"/>
        <v>OutubroSEMANA 5Quindão com Damasco</v>
      </c>
      <c r="BB870" s="7">
        <f>SUMIF(NF!$A:$A,$BA870,NF!$I:$I)</f>
        <v>0</v>
      </c>
      <c r="BC870" s="6">
        <v>2</v>
      </c>
      <c r="BD870" s="6"/>
      <c r="BE870" s="6">
        <v>1</v>
      </c>
      <c r="BF870" s="74"/>
      <c r="BG870" s="74"/>
      <c r="BH870" s="74"/>
      <c r="BI870" s="74"/>
      <c r="BJ870" s="74"/>
      <c r="BK870" s="7">
        <f t="shared" si="1101"/>
        <v>3</v>
      </c>
      <c r="BL870" s="8">
        <f t="shared" si="1102"/>
        <v>19</v>
      </c>
      <c r="BM870" s="51" t="str">
        <f>IFERROR(VLOOKUP(A870,NF!$M:$O,3,0),"")</f>
        <v>Sobremesa</v>
      </c>
      <c r="BN870" s="7">
        <f t="shared" si="1103"/>
        <v>31</v>
      </c>
      <c r="BO870" s="8">
        <f t="array" ref="BO870">IFERROR(LARGE(IF(NF!$G$2:$G$3137='Mês atual'!A870,NF!$J$2:$J$3137),1),0)*BN870</f>
        <v>172.72166666666666</v>
      </c>
      <c r="BP870" s="50"/>
      <c r="BR870" s="147">
        <f t="array" ref="BR870">IFERROR(LARGE(IF(NF!$G$2:$G$3137='Mês atual'!A870,NF!$J$2:$J$3137),1),0)</f>
        <v>5.5716666666666663</v>
      </c>
      <c r="BS870" s="143" t="str">
        <f>VLOOKUP(A870,NF!M:O,3,0)</f>
        <v>Sobremesa</v>
      </c>
    </row>
    <row r="871" spans="1:74" x14ac:dyDescent="0.25">
      <c r="A871" s="108" t="s">
        <v>692</v>
      </c>
      <c r="B871" s="12"/>
      <c r="C871" s="9"/>
      <c r="D871" s="25"/>
      <c r="E871" s="10" t="str">
        <f t="shared" si="1088"/>
        <v>OutubroSEMANA 1Quindim</v>
      </c>
      <c r="F871" s="7">
        <f>SUMIF(NF!$A:$A,$E871,NF!$I:$I)</f>
        <v>0</v>
      </c>
      <c r="G871" s="6"/>
      <c r="H871" s="6"/>
      <c r="I871" s="6"/>
      <c r="J871" s="6"/>
      <c r="K871" s="6"/>
      <c r="L871" s="6"/>
      <c r="M871" s="6"/>
      <c r="N871" s="7">
        <f t="shared" si="1089"/>
        <v>0</v>
      </c>
      <c r="O871" s="11">
        <f t="shared" si="1090"/>
        <v>0</v>
      </c>
      <c r="P871" s="25"/>
      <c r="Q871" s="10" t="str">
        <f t="shared" si="1091"/>
        <v>OutubroSEMANA 2Quindim</v>
      </c>
      <c r="R871" s="7">
        <f>SUMIF(NF!$A:$A,$Q871,NF!$I:$I)</f>
        <v>0</v>
      </c>
      <c r="S871" s="6"/>
      <c r="T871" s="6"/>
      <c r="U871" s="6"/>
      <c r="V871" s="6"/>
      <c r="W871" s="6"/>
      <c r="X871" s="6"/>
      <c r="Y871" s="6"/>
      <c r="Z871" s="7">
        <f t="shared" si="1092"/>
        <v>0</v>
      </c>
      <c r="AA871" s="11">
        <f t="shared" si="1093"/>
        <v>0</v>
      </c>
      <c r="AB871" s="25"/>
      <c r="AC871" s="10" t="str">
        <f t="shared" si="1094"/>
        <v>OutubroSEMANA 3Quindim</v>
      </c>
      <c r="AD871" s="7">
        <f>SUMIF(NF!$A:$A,$AC871,NF!$I:$I)</f>
        <v>0</v>
      </c>
      <c r="AE871" s="6"/>
      <c r="AF871" s="6"/>
      <c r="AG871" s="6"/>
      <c r="AH871" s="6"/>
      <c r="AI871" s="6"/>
      <c r="AJ871" s="6"/>
      <c r="AK871" s="6"/>
      <c r="AL871" s="7">
        <f t="shared" si="1095"/>
        <v>0</v>
      </c>
      <c r="AM871" s="11">
        <f t="shared" si="1096"/>
        <v>0</v>
      </c>
      <c r="AN871" s="25"/>
      <c r="AO871" s="10" t="str">
        <f t="shared" si="1097"/>
        <v>OutubroSEMANA 4Quindim</v>
      </c>
      <c r="AP871" s="7">
        <f>SUMIF(NF!$A:$A,$AO871,NF!$I:$I)</f>
        <v>0</v>
      </c>
      <c r="AQ871" s="6"/>
      <c r="AR871" s="6"/>
      <c r="AS871" s="6"/>
      <c r="AT871" s="6"/>
      <c r="AU871" s="6"/>
      <c r="AV871" s="6"/>
      <c r="AW871" s="6"/>
      <c r="AX871" s="7">
        <f t="shared" si="1098"/>
        <v>0</v>
      </c>
      <c r="AY871" s="11">
        <f t="shared" si="1099"/>
        <v>0</v>
      </c>
      <c r="AZ871" s="25"/>
      <c r="BA871" s="10" t="str">
        <f t="shared" si="1100"/>
        <v>OutubroSEMANA 5Quindim</v>
      </c>
      <c r="BB871" s="7">
        <f>SUMIF(NF!$A:$A,$BA871,NF!$I:$I)</f>
        <v>0</v>
      </c>
      <c r="BC871" s="6"/>
      <c r="BD871" s="6"/>
      <c r="BE871" s="6"/>
      <c r="BF871" s="74"/>
      <c r="BG871" s="74"/>
      <c r="BH871" s="74"/>
      <c r="BI871" s="74"/>
      <c r="BJ871" s="74"/>
      <c r="BK871" s="7">
        <f t="shared" si="1101"/>
        <v>0</v>
      </c>
      <c r="BL871" s="8">
        <f t="shared" si="1102"/>
        <v>0</v>
      </c>
      <c r="BM871" s="51" t="str">
        <f>IFERROR(VLOOKUP(A871,NF!$M:$O,3,0),"")</f>
        <v>Sobremesa</v>
      </c>
      <c r="BN871" s="7">
        <f t="shared" si="1103"/>
        <v>0</v>
      </c>
      <c r="BO871" s="8">
        <f t="array" ref="BO871">IFERROR(LARGE(IF(NF!$G$2:$G$3137='Mês atual'!A871,NF!$J$2:$J$3137),1),0)*BN871</f>
        <v>0</v>
      </c>
      <c r="BP871" s="50"/>
      <c r="BR871" s="147">
        <f t="array" ref="BR871">IFERROR(LARGE(IF(NF!$G$2:$G$3137='Mês atual'!A871,NF!$J$2:$J$3137),1),0)</f>
        <v>0</v>
      </c>
      <c r="BS871" s="143" t="str">
        <f>VLOOKUP(A871,NF!M:O,3,0)</f>
        <v>Sobremesa</v>
      </c>
    </row>
    <row r="872" spans="1:74" x14ac:dyDescent="0.25">
      <c r="A872" s="108" t="s">
        <v>804</v>
      </c>
      <c r="B872" s="12"/>
      <c r="C872" s="9">
        <v>35</v>
      </c>
      <c r="D872" s="25"/>
      <c r="E872" s="10" t="str">
        <f t="shared" si="1088"/>
        <v>OutubroSEMANA 1Torta Alemã</v>
      </c>
      <c r="F872" s="7">
        <f>SUMIF(NF!$A:$A,$E872,NF!$I:$I)</f>
        <v>0</v>
      </c>
      <c r="G872" s="6">
        <v>5</v>
      </c>
      <c r="H872" s="6"/>
      <c r="I872" s="6"/>
      <c r="J872" s="6">
        <v>1</v>
      </c>
      <c r="K872" s="6"/>
      <c r="L872" s="6">
        <v>1</v>
      </c>
      <c r="M872" s="6">
        <v>2</v>
      </c>
      <c r="N872" s="7">
        <f t="shared" si="1089"/>
        <v>9</v>
      </c>
      <c r="O872" s="11">
        <f t="shared" si="1090"/>
        <v>26</v>
      </c>
      <c r="P872" s="25"/>
      <c r="Q872" s="10" t="str">
        <f t="shared" si="1091"/>
        <v>OutubroSEMANA 2Torta Alemã</v>
      </c>
      <c r="R872" s="7">
        <f>SUMIF(NF!$A:$A,$Q872,NF!$I:$I)</f>
        <v>12</v>
      </c>
      <c r="S872" s="6">
        <v>8</v>
      </c>
      <c r="T872" s="6">
        <v>1</v>
      </c>
      <c r="U872" s="6">
        <v>3</v>
      </c>
      <c r="V872" s="6">
        <v>2</v>
      </c>
      <c r="W872" s="6">
        <v>5</v>
      </c>
      <c r="X872" s="6">
        <v>4</v>
      </c>
      <c r="Y872" s="6"/>
      <c r="Z872" s="7">
        <f t="shared" si="1092"/>
        <v>23</v>
      </c>
      <c r="AA872" s="11">
        <f t="shared" si="1093"/>
        <v>15</v>
      </c>
      <c r="AB872" s="25"/>
      <c r="AC872" s="10" t="str">
        <f t="shared" si="1094"/>
        <v>OutubroSEMANA 3Torta Alemã</v>
      </c>
      <c r="AD872" s="7">
        <f>SUMIF(NF!$A:$A,$AC872,NF!$I:$I)</f>
        <v>12</v>
      </c>
      <c r="AE872" s="6">
        <v>5</v>
      </c>
      <c r="AF872" s="6">
        <v>2</v>
      </c>
      <c r="AG872" s="6">
        <v>1</v>
      </c>
      <c r="AH872" s="6">
        <v>4</v>
      </c>
      <c r="AI872" s="6">
        <v>2</v>
      </c>
      <c r="AJ872" s="6">
        <v>3</v>
      </c>
      <c r="AK872" s="6">
        <v>4</v>
      </c>
      <c r="AL872" s="7">
        <f t="shared" si="1095"/>
        <v>21</v>
      </c>
      <c r="AM872" s="11">
        <f t="shared" si="1096"/>
        <v>6</v>
      </c>
      <c r="AN872" s="25"/>
      <c r="AO872" s="10" t="str">
        <f t="shared" si="1097"/>
        <v>OutubroSEMANA 4Torta Alemã</v>
      </c>
      <c r="AP872" s="7">
        <f>SUMIF(NF!$A:$A,$AO872,NF!$I:$I)</f>
        <v>24</v>
      </c>
      <c r="AQ872" s="6">
        <v>6</v>
      </c>
      <c r="AR872" s="6"/>
      <c r="AS872" s="6">
        <v>2</v>
      </c>
      <c r="AT872" s="6"/>
      <c r="AU872" s="6">
        <v>2</v>
      </c>
      <c r="AV872" s="6">
        <v>5</v>
      </c>
      <c r="AW872" s="6">
        <v>4</v>
      </c>
      <c r="AX872" s="7">
        <f t="shared" si="1098"/>
        <v>19</v>
      </c>
      <c r="AY872" s="11">
        <f t="shared" si="1099"/>
        <v>11</v>
      </c>
      <c r="AZ872" s="25"/>
      <c r="BA872" s="10" t="str">
        <f t="shared" si="1100"/>
        <v>OutubroSEMANA 5Torta Alemã</v>
      </c>
      <c r="BB872" s="7">
        <f>SUMIF(NF!$A:$A,$BA872,NF!$I:$I)</f>
        <v>0</v>
      </c>
      <c r="BC872" s="6">
        <v>7</v>
      </c>
      <c r="BD872" s="6">
        <v>1</v>
      </c>
      <c r="BE872" s="6">
        <v>1</v>
      </c>
      <c r="BF872" s="74"/>
      <c r="BG872" s="74"/>
      <c r="BH872" s="74"/>
      <c r="BI872" s="74"/>
      <c r="BJ872" s="74"/>
      <c r="BK872" s="7">
        <f t="shared" si="1101"/>
        <v>9</v>
      </c>
      <c r="BL872" s="8">
        <f t="shared" si="1102"/>
        <v>2</v>
      </c>
      <c r="BM872" s="51" t="str">
        <f>IFERROR(VLOOKUP(A872,NF!$M:$O,3,0),"")</f>
        <v>Sobremesa</v>
      </c>
      <c r="BN872" s="7">
        <f t="shared" si="1103"/>
        <v>81</v>
      </c>
      <c r="BO872" s="8">
        <f t="array" ref="BO872">IFERROR(LARGE(IF(NF!$G$2:$G$3137='Mês atual'!A872,NF!$J$2:$J$3137),1),0)*BN872</f>
        <v>451.30499999999995</v>
      </c>
      <c r="BP872" s="50"/>
      <c r="BR872" s="147">
        <f t="array" ref="BR872">IFERROR(LARGE(IF(NF!$G$2:$G$3137='Mês atual'!A872,NF!$J$2:$J$3137),1),0)</f>
        <v>5.5716666666666663</v>
      </c>
      <c r="BS872" s="143" t="str">
        <f>VLOOKUP(A872,NF!M:O,3,0)</f>
        <v>Sobremesa</v>
      </c>
    </row>
    <row r="873" spans="1:74" x14ac:dyDescent="0.25">
      <c r="A873" s="108" t="s">
        <v>805</v>
      </c>
      <c r="B873" s="12"/>
      <c r="C873" s="9">
        <v>21</v>
      </c>
      <c r="D873" s="25"/>
      <c r="E873" s="10" t="str">
        <f t="shared" si="1088"/>
        <v>OutubroSEMANA 1Torta Banana Crock</v>
      </c>
      <c r="F873" s="7">
        <f>SUMIF(NF!$A:$A,$E873,NF!$I:$I)</f>
        <v>0</v>
      </c>
      <c r="G873" s="6">
        <v>3</v>
      </c>
      <c r="H873" s="6">
        <v>1</v>
      </c>
      <c r="I873" s="6">
        <v>1</v>
      </c>
      <c r="J873" s="6">
        <v>1</v>
      </c>
      <c r="K873" s="6">
        <v>1</v>
      </c>
      <c r="L873" s="6">
        <v>1</v>
      </c>
      <c r="M873" s="6">
        <v>2</v>
      </c>
      <c r="N873" s="7">
        <f t="shared" si="1089"/>
        <v>10</v>
      </c>
      <c r="O873" s="11">
        <f t="shared" si="1090"/>
        <v>11</v>
      </c>
      <c r="P873" s="25"/>
      <c r="Q873" s="10" t="str">
        <f t="shared" si="1091"/>
        <v>OutubroSEMANA 2Torta Banana Crock</v>
      </c>
      <c r="R873" s="7">
        <f>SUMIF(NF!$A:$A,$Q873,NF!$I:$I)</f>
        <v>24</v>
      </c>
      <c r="S873" s="6">
        <v>6</v>
      </c>
      <c r="T873" s="6">
        <v>1</v>
      </c>
      <c r="U873" s="6">
        <v>1</v>
      </c>
      <c r="V873" s="6">
        <v>2</v>
      </c>
      <c r="W873" s="6">
        <v>16</v>
      </c>
      <c r="X873" s="6">
        <v>3</v>
      </c>
      <c r="Y873" s="6">
        <v>3</v>
      </c>
      <c r="Z873" s="7">
        <f t="shared" si="1092"/>
        <v>32</v>
      </c>
      <c r="AA873" s="11">
        <f t="shared" si="1093"/>
        <v>3</v>
      </c>
      <c r="AB873" s="25"/>
      <c r="AC873" s="10" t="str">
        <f t="shared" si="1094"/>
        <v>OutubroSEMANA 3Torta Banana Crock</v>
      </c>
      <c r="AD873" s="7">
        <f>SUMIF(NF!$A:$A,$AC873,NF!$I:$I)</f>
        <v>24</v>
      </c>
      <c r="AE873" s="6">
        <v>3</v>
      </c>
      <c r="AF873" s="6"/>
      <c r="AG873" s="6"/>
      <c r="AH873" s="6"/>
      <c r="AI873" s="6">
        <v>2</v>
      </c>
      <c r="AJ873" s="6">
        <v>1</v>
      </c>
      <c r="AK873" s="6">
        <v>2</v>
      </c>
      <c r="AL873" s="7">
        <f t="shared" si="1095"/>
        <v>8</v>
      </c>
      <c r="AM873" s="11">
        <f t="shared" si="1096"/>
        <v>19</v>
      </c>
      <c r="AN873" s="25"/>
      <c r="AO873" s="10" t="str">
        <f t="shared" si="1097"/>
        <v>OutubroSEMANA 4Torta Banana Crock</v>
      </c>
      <c r="AP873" s="7">
        <f>SUMIF(NF!$A:$A,$AO873,NF!$I:$I)</f>
        <v>12</v>
      </c>
      <c r="AQ873" s="6">
        <v>5</v>
      </c>
      <c r="AR873" s="6">
        <v>2</v>
      </c>
      <c r="AS873" s="6">
        <v>1</v>
      </c>
      <c r="AT873" s="6">
        <v>3</v>
      </c>
      <c r="AU873" s="6"/>
      <c r="AV873" s="6">
        <v>1</v>
      </c>
      <c r="AW873" s="6">
        <v>2</v>
      </c>
      <c r="AX873" s="7">
        <f t="shared" si="1098"/>
        <v>14</v>
      </c>
      <c r="AY873" s="11">
        <f t="shared" si="1099"/>
        <v>17</v>
      </c>
      <c r="AZ873" s="25"/>
      <c r="BA873" s="10" t="str">
        <f t="shared" si="1100"/>
        <v>OutubroSEMANA 5Torta Banana Crock</v>
      </c>
      <c r="BB873" s="7">
        <f>SUMIF(NF!$A:$A,$BA873,NF!$I:$I)</f>
        <v>0</v>
      </c>
      <c r="BC873" s="6">
        <v>5</v>
      </c>
      <c r="BD873" s="6">
        <v>2</v>
      </c>
      <c r="BE873" s="6"/>
      <c r="BF873" s="74"/>
      <c r="BG873" s="74"/>
      <c r="BH873" s="74"/>
      <c r="BI873" s="74"/>
      <c r="BJ873" s="74"/>
      <c r="BK873" s="7">
        <f t="shared" si="1101"/>
        <v>7</v>
      </c>
      <c r="BL873" s="8">
        <f t="shared" si="1102"/>
        <v>10</v>
      </c>
      <c r="BM873" s="51" t="str">
        <f>IFERROR(VLOOKUP(A873,NF!$M:$O,3,0),"")</f>
        <v>Sobremesa</v>
      </c>
      <c r="BN873" s="7">
        <f t="shared" si="1103"/>
        <v>71</v>
      </c>
      <c r="BO873" s="8">
        <f t="array" ref="BO873">IFERROR(LARGE(IF(NF!$G$2:$G$3137='Mês atual'!A873,NF!$J$2:$J$3137),1),0)*BN873</f>
        <v>408.04291666666666</v>
      </c>
      <c r="BP873" s="50"/>
      <c r="BR873" s="147">
        <f t="array" ref="BR873">IFERROR(LARGE(IF(NF!$G$2:$G$3137='Mês atual'!A873,NF!$J$2:$J$3137),1),0)</f>
        <v>5.7470833333333333</v>
      </c>
      <c r="BS873" s="143" t="str">
        <f>VLOOKUP(A873,NF!M:O,3,0)</f>
        <v>Sobremesa</v>
      </c>
    </row>
    <row r="874" spans="1:74" x14ac:dyDescent="0.25">
      <c r="A874" s="108" t="s">
        <v>806</v>
      </c>
      <c r="B874" s="12"/>
      <c r="C874" s="9"/>
      <c r="D874" s="25"/>
      <c r="E874" s="10" t="str">
        <f t="shared" si="1088"/>
        <v>OutubroSEMANA 1Torta Banana Integral</v>
      </c>
      <c r="F874" s="7">
        <f>SUMIF(NF!$A:$A,$E874,NF!$I:$I)</f>
        <v>0</v>
      </c>
      <c r="G874" s="6"/>
      <c r="H874" s="6"/>
      <c r="I874" s="6"/>
      <c r="J874" s="6"/>
      <c r="K874" s="6"/>
      <c r="L874" s="6"/>
      <c r="M874" s="6"/>
      <c r="N874" s="7">
        <f t="shared" si="1089"/>
        <v>0</v>
      </c>
      <c r="O874" s="11">
        <f t="shared" si="1090"/>
        <v>0</v>
      </c>
      <c r="P874" s="25"/>
      <c r="Q874" s="10" t="str">
        <f t="shared" si="1091"/>
        <v>OutubroSEMANA 2Torta Banana Integral</v>
      </c>
      <c r="R874" s="7">
        <f>SUMIF(NF!$A:$A,$Q874,NF!$I:$I)</f>
        <v>0</v>
      </c>
      <c r="S874" s="6"/>
      <c r="T874" s="6"/>
      <c r="U874" s="6"/>
      <c r="V874" s="6"/>
      <c r="W874" s="6"/>
      <c r="X874" s="6"/>
      <c r="Y874" s="6"/>
      <c r="Z874" s="7">
        <f t="shared" si="1092"/>
        <v>0</v>
      </c>
      <c r="AA874" s="11">
        <f t="shared" si="1093"/>
        <v>0</v>
      </c>
      <c r="AB874" s="25"/>
      <c r="AC874" s="10" t="str">
        <f t="shared" si="1094"/>
        <v>OutubroSEMANA 3Torta Banana Integral</v>
      </c>
      <c r="AD874" s="7">
        <f>SUMIF(NF!$A:$A,$AC874,NF!$I:$I)</f>
        <v>0</v>
      </c>
      <c r="AE874" s="6"/>
      <c r="AF874" s="6"/>
      <c r="AG874" s="6"/>
      <c r="AH874" s="6"/>
      <c r="AI874" s="6"/>
      <c r="AJ874" s="6"/>
      <c r="AK874" s="6"/>
      <c r="AL874" s="7">
        <f t="shared" si="1095"/>
        <v>0</v>
      </c>
      <c r="AM874" s="11">
        <f t="shared" si="1096"/>
        <v>0</v>
      </c>
      <c r="AN874" s="25"/>
      <c r="AO874" s="10" t="str">
        <f t="shared" si="1097"/>
        <v>OutubroSEMANA 4Torta Banana Integral</v>
      </c>
      <c r="AP874" s="7">
        <f>SUMIF(NF!$A:$A,$AO874,NF!$I:$I)</f>
        <v>0</v>
      </c>
      <c r="AQ874" s="6"/>
      <c r="AR874" s="6"/>
      <c r="AS874" s="6"/>
      <c r="AT874" s="6"/>
      <c r="AU874" s="6"/>
      <c r="AV874" s="6"/>
      <c r="AW874" s="6"/>
      <c r="AX874" s="7">
        <f t="shared" si="1098"/>
        <v>0</v>
      </c>
      <c r="AY874" s="11">
        <f t="shared" si="1099"/>
        <v>0</v>
      </c>
      <c r="AZ874" s="25"/>
      <c r="BA874" s="10" t="str">
        <f t="shared" si="1100"/>
        <v>OutubroSEMANA 5Torta Banana Integral</v>
      </c>
      <c r="BB874" s="7">
        <f>SUMIF(NF!$A:$A,$BA874,NF!$I:$I)</f>
        <v>0</v>
      </c>
      <c r="BC874" s="6"/>
      <c r="BD874" s="6"/>
      <c r="BE874" s="6"/>
      <c r="BF874" s="74"/>
      <c r="BG874" s="74"/>
      <c r="BH874" s="74"/>
      <c r="BI874" s="74"/>
      <c r="BJ874" s="74"/>
      <c r="BK874" s="7">
        <f t="shared" si="1101"/>
        <v>0</v>
      </c>
      <c r="BL874" s="8">
        <f t="shared" si="1102"/>
        <v>0</v>
      </c>
      <c r="BM874" s="51" t="str">
        <f>IFERROR(VLOOKUP(A874,NF!$M:$O,3,0),"")</f>
        <v>Sobremesa</v>
      </c>
      <c r="BN874" s="7">
        <f t="shared" si="1103"/>
        <v>0</v>
      </c>
      <c r="BO874" s="8">
        <f t="array" ref="BO874">IFERROR(LARGE(IF(NF!$G$2:$G$3137='Mês atual'!A874,NF!$J$2:$J$3137),1),0)*BN874</f>
        <v>0</v>
      </c>
      <c r="BP874" s="50"/>
      <c r="BR874" s="147">
        <f t="array" ref="BR874">IFERROR(LARGE(IF(NF!$G$2:$G$3137='Mês atual'!A874,NF!$J$2:$J$3137),1),0)</f>
        <v>0</v>
      </c>
      <c r="BS874" s="143" t="str">
        <f>VLOOKUP(A874,NF!M:O,3,0)</f>
        <v>Sobremesa</v>
      </c>
    </row>
    <row r="875" spans="1:74" x14ac:dyDescent="0.25">
      <c r="A875" s="108" t="s">
        <v>807</v>
      </c>
      <c r="B875" s="12"/>
      <c r="C875" s="9">
        <v>22</v>
      </c>
      <c r="D875" s="25"/>
      <c r="E875" s="10" t="str">
        <f t="shared" si="1088"/>
        <v>OutubroSEMANA 1Torta Bem Casado de Chocolate c/ Avelã</v>
      </c>
      <c r="F875" s="7">
        <f>SUMIF(NF!$A:$A,$E875,NF!$I:$I)</f>
        <v>48</v>
      </c>
      <c r="G875" s="6">
        <v>6</v>
      </c>
      <c r="H875" s="6">
        <v>1</v>
      </c>
      <c r="I875" s="6">
        <v>1</v>
      </c>
      <c r="J875" s="6">
        <v>2</v>
      </c>
      <c r="K875" s="6"/>
      <c r="L875" s="6">
        <v>15</v>
      </c>
      <c r="M875" s="6">
        <v>3</v>
      </c>
      <c r="N875" s="7">
        <f t="shared" si="1089"/>
        <v>28</v>
      </c>
      <c r="O875" s="11">
        <f t="shared" si="1090"/>
        <v>42</v>
      </c>
      <c r="P875" s="25"/>
      <c r="Q875" s="10" t="str">
        <f t="shared" si="1091"/>
        <v>OutubroSEMANA 2Torta Bem Casado de Chocolate c/ Avelã</v>
      </c>
      <c r="R875" s="7">
        <f>SUMIF(NF!$A:$A,$Q875,NF!$I:$I)</f>
        <v>0</v>
      </c>
      <c r="S875" s="6">
        <v>6</v>
      </c>
      <c r="T875" s="6"/>
      <c r="U875" s="6">
        <v>3</v>
      </c>
      <c r="V875" s="6">
        <v>1</v>
      </c>
      <c r="W875" s="6">
        <v>2</v>
      </c>
      <c r="X875" s="6">
        <v>1</v>
      </c>
      <c r="Y875" s="6">
        <v>2</v>
      </c>
      <c r="Z875" s="7">
        <f t="shared" si="1092"/>
        <v>15</v>
      </c>
      <c r="AA875" s="11">
        <f t="shared" si="1093"/>
        <v>27</v>
      </c>
      <c r="AB875" s="25"/>
      <c r="AC875" s="10" t="str">
        <f t="shared" si="1094"/>
        <v>OutubroSEMANA 3Torta Bem Casado de Chocolate c/ Avelã</v>
      </c>
      <c r="AD875" s="7">
        <f>SUMIF(NF!$A:$A,$AC875,NF!$I:$I)</f>
        <v>12</v>
      </c>
      <c r="AE875" s="6">
        <v>2</v>
      </c>
      <c r="AF875" s="6"/>
      <c r="AG875" s="6">
        <v>2</v>
      </c>
      <c r="AH875" s="6">
        <v>12</v>
      </c>
      <c r="AI875" s="6">
        <v>1</v>
      </c>
      <c r="AJ875" s="6">
        <v>1</v>
      </c>
      <c r="AK875" s="6">
        <v>3</v>
      </c>
      <c r="AL875" s="7">
        <f t="shared" si="1095"/>
        <v>21</v>
      </c>
      <c r="AM875" s="11">
        <f t="shared" si="1096"/>
        <v>18</v>
      </c>
      <c r="AN875" s="25"/>
      <c r="AO875" s="10" t="str">
        <f t="shared" si="1097"/>
        <v>OutubroSEMANA 4Torta Bem Casado de Chocolate c/ Avelã</v>
      </c>
      <c r="AP875" s="7">
        <f>SUMIF(NF!$A:$A,$AO875,NF!$I:$I)</f>
        <v>36</v>
      </c>
      <c r="AQ875" s="6">
        <v>7</v>
      </c>
      <c r="AR875" s="6">
        <v>1</v>
      </c>
      <c r="AS875" s="6">
        <v>1</v>
      </c>
      <c r="AT875" s="6">
        <v>2</v>
      </c>
      <c r="AU875" s="6">
        <v>1</v>
      </c>
      <c r="AV875" s="6"/>
      <c r="AW875" s="6">
        <v>2</v>
      </c>
      <c r="AX875" s="7">
        <f t="shared" si="1098"/>
        <v>14</v>
      </c>
      <c r="AY875" s="11">
        <f t="shared" si="1099"/>
        <v>40</v>
      </c>
      <c r="AZ875" s="25"/>
      <c r="BA875" s="10" t="str">
        <f t="shared" si="1100"/>
        <v>OutubroSEMANA 5Torta Bem Casado de Chocolate c/ Avelã</v>
      </c>
      <c r="BB875" s="7">
        <f>SUMIF(NF!$A:$A,$BA875,NF!$I:$I)</f>
        <v>0</v>
      </c>
      <c r="BC875" s="6">
        <v>5</v>
      </c>
      <c r="BD875" s="6">
        <v>14</v>
      </c>
      <c r="BE875" s="6">
        <v>2</v>
      </c>
      <c r="BF875" s="74"/>
      <c r="BG875" s="74"/>
      <c r="BH875" s="74"/>
      <c r="BI875" s="74"/>
      <c r="BJ875" s="74"/>
      <c r="BK875" s="7">
        <f t="shared" si="1101"/>
        <v>21</v>
      </c>
      <c r="BL875" s="8">
        <f t="shared" si="1102"/>
        <v>19</v>
      </c>
      <c r="BM875" s="51" t="str">
        <f>IFERROR(VLOOKUP(A875,NF!$M:$O,3,0),"")</f>
        <v>Sobremesa</v>
      </c>
      <c r="BN875" s="7">
        <f t="shared" si="1103"/>
        <v>99</v>
      </c>
      <c r="BO875" s="8">
        <f t="array" ref="BO875">IFERROR(LARGE(IF(NF!$G$2:$G$3137='Mês atual'!A875,NF!$J$2:$J$3137),1),0)*BN875</f>
        <v>569.16750000000002</v>
      </c>
      <c r="BP875" s="50"/>
      <c r="BR875" s="147">
        <f t="array" ref="BR875">IFERROR(LARGE(IF(NF!$G$2:$G$3137='Mês atual'!A875,NF!$J$2:$J$3137),1),0)</f>
        <v>5.7491666666666665</v>
      </c>
      <c r="BS875" s="143" t="str">
        <f>VLOOKUP(A875,NF!M:O,3,0)</f>
        <v>Sobremesa</v>
      </c>
    </row>
    <row r="876" spans="1:74" x14ac:dyDescent="0.25">
      <c r="A876" s="108" t="s">
        <v>808</v>
      </c>
      <c r="B876" s="12"/>
      <c r="C876" s="9">
        <v>46</v>
      </c>
      <c r="D876" s="25"/>
      <c r="E876" s="10" t="str">
        <f t="shared" si="1088"/>
        <v>OutubroSEMANA 1Torta Bem Casado de Damasco</v>
      </c>
      <c r="F876" s="7">
        <f>SUMIF(NF!$A:$A,$E876,NF!$I:$I)</f>
        <v>24</v>
      </c>
      <c r="G876" s="6">
        <v>6</v>
      </c>
      <c r="H876" s="6"/>
      <c r="I876" s="6">
        <v>1</v>
      </c>
      <c r="J876" s="6">
        <v>2</v>
      </c>
      <c r="K876" s="6">
        <v>3</v>
      </c>
      <c r="L876" s="6">
        <v>14</v>
      </c>
      <c r="M876" s="6">
        <v>17</v>
      </c>
      <c r="N876" s="7">
        <f t="shared" si="1089"/>
        <v>43</v>
      </c>
      <c r="O876" s="11">
        <f t="shared" si="1090"/>
        <v>27</v>
      </c>
      <c r="P876" s="25"/>
      <c r="Q876" s="10" t="str">
        <f t="shared" si="1091"/>
        <v>OutubroSEMANA 2Torta Bem Casado de Damasco</v>
      </c>
      <c r="R876" s="7">
        <f>SUMIF(NF!$A:$A,$Q876,NF!$I:$I)</f>
        <v>36</v>
      </c>
      <c r="S876" s="6">
        <v>11</v>
      </c>
      <c r="T876" s="6">
        <v>2</v>
      </c>
      <c r="U876" s="6">
        <v>2</v>
      </c>
      <c r="V876" s="6">
        <v>1</v>
      </c>
      <c r="W876" s="6">
        <v>2</v>
      </c>
      <c r="X876" s="6">
        <v>1</v>
      </c>
      <c r="Y876" s="6">
        <v>3</v>
      </c>
      <c r="Z876" s="7">
        <f t="shared" si="1092"/>
        <v>22</v>
      </c>
      <c r="AA876" s="11">
        <f t="shared" si="1093"/>
        <v>41</v>
      </c>
      <c r="AB876" s="25"/>
      <c r="AC876" s="10" t="str">
        <f t="shared" si="1094"/>
        <v>OutubroSEMANA 3Torta Bem Casado de Damasco</v>
      </c>
      <c r="AD876" s="7">
        <f>SUMIF(NF!$A:$A,$AC876,NF!$I:$I)</f>
        <v>0</v>
      </c>
      <c r="AE876" s="6">
        <v>8</v>
      </c>
      <c r="AF876" s="6">
        <v>1</v>
      </c>
      <c r="AG876" s="6">
        <v>1</v>
      </c>
      <c r="AH876" s="6">
        <v>1</v>
      </c>
      <c r="AI876" s="6">
        <v>1</v>
      </c>
      <c r="AJ876" s="6"/>
      <c r="AK876" s="6">
        <v>14</v>
      </c>
      <c r="AL876" s="7">
        <f t="shared" si="1095"/>
        <v>26</v>
      </c>
      <c r="AM876" s="11">
        <f t="shared" si="1096"/>
        <v>15</v>
      </c>
      <c r="AN876" s="25"/>
      <c r="AO876" s="10" t="str">
        <f t="shared" si="1097"/>
        <v>OutubroSEMANA 4Torta Bem Casado de Damasco</v>
      </c>
      <c r="AP876" s="7">
        <f>SUMIF(NF!$A:$A,$AO876,NF!$I:$I)</f>
        <v>36</v>
      </c>
      <c r="AQ876" s="6">
        <v>3</v>
      </c>
      <c r="AR876" s="6">
        <v>1</v>
      </c>
      <c r="AS876" s="6">
        <v>2</v>
      </c>
      <c r="AT876" s="6"/>
      <c r="AU876" s="6"/>
      <c r="AV876" s="6">
        <v>1</v>
      </c>
      <c r="AW876" s="6">
        <v>4</v>
      </c>
      <c r="AX876" s="7">
        <f t="shared" si="1098"/>
        <v>11</v>
      </c>
      <c r="AY876" s="11">
        <f t="shared" si="1099"/>
        <v>40</v>
      </c>
      <c r="AZ876" s="25"/>
      <c r="BA876" s="10" t="str">
        <f t="shared" si="1100"/>
        <v>OutubroSEMANA 5Torta Bem Casado de Damasco</v>
      </c>
      <c r="BB876" s="7">
        <f>SUMIF(NF!$A:$A,$BA876,NF!$I:$I)</f>
        <v>0</v>
      </c>
      <c r="BC876" s="6">
        <v>6</v>
      </c>
      <c r="BD876" s="6"/>
      <c r="BE876" s="6"/>
      <c r="BF876" s="74"/>
      <c r="BG876" s="74"/>
      <c r="BH876" s="74"/>
      <c r="BI876" s="74"/>
      <c r="BJ876" s="74"/>
      <c r="BK876" s="7">
        <f t="shared" si="1101"/>
        <v>6</v>
      </c>
      <c r="BL876" s="8">
        <f t="shared" si="1102"/>
        <v>34</v>
      </c>
      <c r="BM876" s="51" t="str">
        <f>IFERROR(VLOOKUP(A876,NF!$M:$O,3,0),"")</f>
        <v>Sobremesa</v>
      </c>
      <c r="BN876" s="7">
        <f t="shared" si="1103"/>
        <v>108</v>
      </c>
      <c r="BO876" s="8">
        <f t="array" ref="BO876">IFERROR(LARGE(IF(NF!$G$2:$G$3137='Mês atual'!A876,NF!$J$2:$J$3137),1),0)*BN876</f>
        <v>620.91</v>
      </c>
      <c r="BP876" s="50"/>
      <c r="BR876" s="147">
        <f t="array" ref="BR876">IFERROR(LARGE(IF(NF!$G$2:$G$3137='Mês atual'!A876,NF!$J$2:$J$3137),1),0)</f>
        <v>5.7491666666666665</v>
      </c>
      <c r="BS876" s="143" t="str">
        <f>VLOOKUP(A876,NF!M:O,3,0)</f>
        <v>Sobremesa</v>
      </c>
    </row>
    <row r="877" spans="1:74" x14ac:dyDescent="0.25">
      <c r="A877" s="108" t="s">
        <v>809</v>
      </c>
      <c r="B877" s="12"/>
      <c r="C877" s="9">
        <v>29</v>
      </c>
      <c r="D877" s="25"/>
      <c r="E877" s="10" t="str">
        <f t="shared" si="1088"/>
        <v>OutubroSEMANA 1Torta Bem Casado de Doce de Leite</v>
      </c>
      <c r="F877" s="7">
        <f>SUMIF(NF!$A:$A,$E877,NF!$I:$I)</f>
        <v>0</v>
      </c>
      <c r="G877" s="6">
        <v>2</v>
      </c>
      <c r="H877" s="6">
        <v>2</v>
      </c>
      <c r="I877" s="6">
        <v>1</v>
      </c>
      <c r="J877" s="6">
        <v>1</v>
      </c>
      <c r="K877" s="6">
        <v>1</v>
      </c>
      <c r="L877" s="6">
        <v>1</v>
      </c>
      <c r="M877" s="6">
        <v>4</v>
      </c>
      <c r="N877" s="7">
        <f t="shared" si="1089"/>
        <v>12</v>
      </c>
      <c r="O877" s="11">
        <f t="shared" si="1090"/>
        <v>17</v>
      </c>
      <c r="P877" s="25"/>
      <c r="Q877" s="10" t="str">
        <f t="shared" si="1091"/>
        <v>OutubroSEMANA 2Torta Bem Casado de Doce de Leite</v>
      </c>
      <c r="R877" s="7">
        <f>SUMIF(NF!$A:$A,$Q877,NF!$I:$I)</f>
        <v>24</v>
      </c>
      <c r="S877" s="6">
        <v>4</v>
      </c>
      <c r="T877" s="6"/>
      <c r="U877" s="6">
        <v>2</v>
      </c>
      <c r="V877" s="6">
        <v>5</v>
      </c>
      <c r="W877" s="6">
        <v>3</v>
      </c>
      <c r="X877" s="6">
        <v>3</v>
      </c>
      <c r="Y877" s="6">
        <v>3</v>
      </c>
      <c r="Z877" s="7">
        <f t="shared" si="1092"/>
        <v>20</v>
      </c>
      <c r="AA877" s="11">
        <f t="shared" si="1093"/>
        <v>21</v>
      </c>
      <c r="AB877" s="25"/>
      <c r="AC877" s="10" t="str">
        <f t="shared" si="1094"/>
        <v>OutubroSEMANA 3Torta Bem Casado de Doce de Leite</v>
      </c>
      <c r="AD877" s="7">
        <f>SUMIF(NF!$A:$A,$AC877,NF!$I:$I)</f>
        <v>24</v>
      </c>
      <c r="AE877" s="6">
        <v>2</v>
      </c>
      <c r="AF877" s="6"/>
      <c r="AG877" s="6">
        <v>1</v>
      </c>
      <c r="AH877" s="6"/>
      <c r="AI877" s="6">
        <v>1</v>
      </c>
      <c r="AJ877" s="6">
        <v>1</v>
      </c>
      <c r="AK877" s="6"/>
      <c r="AL877" s="7">
        <f t="shared" si="1095"/>
        <v>5</v>
      </c>
      <c r="AM877" s="11">
        <f t="shared" si="1096"/>
        <v>40</v>
      </c>
      <c r="AN877" s="25"/>
      <c r="AO877" s="10" t="str">
        <f t="shared" si="1097"/>
        <v>OutubroSEMANA 4Torta Bem Casado de Doce de Leite</v>
      </c>
      <c r="AP877" s="7">
        <f>SUMIF(NF!$A:$A,$AO877,NF!$I:$I)</f>
        <v>0</v>
      </c>
      <c r="AQ877" s="6"/>
      <c r="AR877" s="6">
        <v>3</v>
      </c>
      <c r="AS877" s="6">
        <v>2</v>
      </c>
      <c r="AT877" s="6"/>
      <c r="AU877" s="6">
        <v>1</v>
      </c>
      <c r="AV877" s="6">
        <v>1</v>
      </c>
      <c r="AW877" s="6">
        <v>6</v>
      </c>
      <c r="AX877" s="7">
        <f t="shared" si="1098"/>
        <v>13</v>
      </c>
      <c r="AY877" s="11">
        <f t="shared" si="1099"/>
        <v>27</v>
      </c>
      <c r="AZ877" s="25"/>
      <c r="BA877" s="10" t="str">
        <f t="shared" si="1100"/>
        <v>OutubroSEMANA 5Torta Bem Casado de Doce de Leite</v>
      </c>
      <c r="BB877" s="7">
        <f>SUMIF(NF!$A:$A,$BA877,NF!$I:$I)</f>
        <v>0</v>
      </c>
      <c r="BC877" s="6">
        <v>3</v>
      </c>
      <c r="BD877" s="6"/>
      <c r="BE877" s="6">
        <v>1</v>
      </c>
      <c r="BF877" s="74"/>
      <c r="BG877" s="74"/>
      <c r="BH877" s="74"/>
      <c r="BI877" s="74"/>
      <c r="BJ877" s="74"/>
      <c r="BK877" s="7">
        <f t="shared" si="1101"/>
        <v>4</v>
      </c>
      <c r="BL877" s="8">
        <f t="shared" si="1102"/>
        <v>23</v>
      </c>
      <c r="BM877" s="51" t="str">
        <f>IFERROR(VLOOKUP(A877,NF!$M:$O,3,0),"")</f>
        <v>Sobremesa</v>
      </c>
      <c r="BN877" s="7">
        <f t="shared" si="1103"/>
        <v>54</v>
      </c>
      <c r="BO877" s="8">
        <f t="array" ref="BO877">IFERROR(LARGE(IF(NF!$G$2:$G$3137='Mês atual'!A877,NF!$J$2:$J$3137),1),0)*BN877</f>
        <v>310.34249999999997</v>
      </c>
      <c r="BP877" s="50"/>
      <c r="BR877" s="147">
        <f t="array" ref="BR877">IFERROR(LARGE(IF(NF!$G$2:$G$3137='Mês atual'!A877,NF!$J$2:$J$3137),1),0)</f>
        <v>5.7470833333333333</v>
      </c>
      <c r="BS877" s="143" t="str">
        <f>VLOOKUP(A877,NF!M:O,3,0)</f>
        <v>Sobremesa</v>
      </c>
    </row>
    <row r="878" spans="1:74" x14ac:dyDescent="0.25">
      <c r="A878" s="108" t="s">
        <v>810</v>
      </c>
      <c r="B878" s="12"/>
      <c r="C878" s="9"/>
      <c r="D878" s="25"/>
      <c r="E878" s="10" t="str">
        <f t="shared" si="1088"/>
        <v>OutubroSEMANA 1Torta Bem Casado Imperial</v>
      </c>
      <c r="F878" s="7">
        <f>SUMIF(NF!$A:$A,$E878,NF!$I:$I)</f>
        <v>0</v>
      </c>
      <c r="G878" s="6"/>
      <c r="H878" s="6"/>
      <c r="I878" s="6"/>
      <c r="J878" s="6"/>
      <c r="K878" s="6"/>
      <c r="L878" s="6"/>
      <c r="M878" s="6"/>
      <c r="N878" s="7">
        <f t="shared" si="1089"/>
        <v>0</v>
      </c>
      <c r="O878" s="11">
        <f t="shared" si="1090"/>
        <v>0</v>
      </c>
      <c r="P878" s="25"/>
      <c r="Q878" s="10" t="str">
        <f t="shared" si="1091"/>
        <v>OutubroSEMANA 2Torta Bem Casado Imperial</v>
      </c>
      <c r="R878" s="7">
        <f>SUMIF(NF!$A:$A,$Q878,NF!$I:$I)</f>
        <v>0</v>
      </c>
      <c r="S878" s="6"/>
      <c r="T878" s="6"/>
      <c r="U878" s="6"/>
      <c r="V878" s="6"/>
      <c r="W878" s="6"/>
      <c r="X878" s="6"/>
      <c r="Y878" s="6"/>
      <c r="Z878" s="7">
        <f t="shared" si="1092"/>
        <v>0</v>
      </c>
      <c r="AA878" s="11">
        <f t="shared" si="1093"/>
        <v>0</v>
      </c>
      <c r="AB878" s="25"/>
      <c r="AC878" s="10" t="str">
        <f t="shared" si="1094"/>
        <v>OutubroSEMANA 3Torta Bem Casado Imperial</v>
      </c>
      <c r="AD878" s="7">
        <f>SUMIF(NF!$A:$A,$AC878,NF!$I:$I)</f>
        <v>0</v>
      </c>
      <c r="AE878" s="6"/>
      <c r="AF878" s="6"/>
      <c r="AG878" s="6"/>
      <c r="AH878" s="6"/>
      <c r="AI878" s="6"/>
      <c r="AJ878" s="6"/>
      <c r="AK878" s="6"/>
      <c r="AL878" s="7">
        <f t="shared" si="1095"/>
        <v>0</v>
      </c>
      <c r="AM878" s="11">
        <f t="shared" si="1096"/>
        <v>0</v>
      </c>
      <c r="AN878" s="25"/>
      <c r="AO878" s="10" t="str">
        <f t="shared" si="1097"/>
        <v>OutubroSEMANA 4Torta Bem Casado Imperial</v>
      </c>
      <c r="AP878" s="7">
        <f>SUMIF(NF!$A:$A,$AO878,NF!$I:$I)</f>
        <v>0</v>
      </c>
      <c r="AQ878" s="6"/>
      <c r="AR878" s="6"/>
      <c r="AS878" s="6"/>
      <c r="AT878" s="6"/>
      <c r="AU878" s="6"/>
      <c r="AV878" s="6"/>
      <c r="AW878" s="6"/>
      <c r="AX878" s="7">
        <f t="shared" si="1098"/>
        <v>0</v>
      </c>
      <c r="AY878" s="11">
        <f t="shared" si="1099"/>
        <v>0</v>
      </c>
      <c r="AZ878" s="25"/>
      <c r="BA878" s="10" t="str">
        <f t="shared" si="1100"/>
        <v>OutubroSEMANA 5Torta Bem Casado Imperial</v>
      </c>
      <c r="BB878" s="7">
        <f>SUMIF(NF!$A:$A,$BA878,NF!$I:$I)</f>
        <v>0</v>
      </c>
      <c r="BC878" s="6"/>
      <c r="BD878" s="6"/>
      <c r="BE878" s="6"/>
      <c r="BF878" s="74"/>
      <c r="BG878" s="74"/>
      <c r="BH878" s="74"/>
      <c r="BI878" s="74"/>
      <c r="BJ878" s="74"/>
      <c r="BK878" s="7">
        <f t="shared" si="1101"/>
        <v>0</v>
      </c>
      <c r="BL878" s="8">
        <f t="shared" si="1102"/>
        <v>0</v>
      </c>
      <c r="BM878" s="51" t="str">
        <f>IFERROR(VLOOKUP(A878,NF!$M:$O,3,0),"")</f>
        <v>Sobremesa</v>
      </c>
      <c r="BN878" s="7">
        <f t="shared" si="1103"/>
        <v>0</v>
      </c>
      <c r="BO878" s="8">
        <f t="array" ref="BO878">IFERROR(LARGE(IF(NF!$G$2:$G$3137='Mês atual'!A878,NF!$J$2:$J$3137),1),0)*BN878</f>
        <v>0</v>
      </c>
      <c r="BP878" s="50"/>
      <c r="BR878" s="147">
        <f t="array" ref="BR878">IFERROR(LARGE(IF(NF!$G$2:$G$3137='Mês atual'!A878,NF!$J$2:$J$3137),1),0)</f>
        <v>0</v>
      </c>
      <c r="BS878" s="143" t="str">
        <f>VLOOKUP(A878,NF!M:O,3,0)</f>
        <v>Sobremesa</v>
      </c>
    </row>
    <row r="879" spans="1:74" x14ac:dyDescent="0.25">
      <c r="A879" s="108" t="s">
        <v>811</v>
      </c>
      <c r="B879" s="12"/>
      <c r="C879" s="9">
        <v>8</v>
      </c>
      <c r="D879" s="25"/>
      <c r="E879" s="10" t="str">
        <f t="shared" si="1088"/>
        <v>OutubroSEMANA 1Torta Brownie com Nozes</v>
      </c>
      <c r="F879" s="7">
        <f>SUMIF(NF!$A:$A,$E879,NF!$I:$I)</f>
        <v>0</v>
      </c>
      <c r="G879" s="6"/>
      <c r="H879" s="6"/>
      <c r="I879" s="6"/>
      <c r="J879" s="6"/>
      <c r="K879" s="6"/>
      <c r="L879" s="6"/>
      <c r="M879" s="6">
        <v>3</v>
      </c>
      <c r="N879" s="7">
        <f t="shared" si="1089"/>
        <v>3</v>
      </c>
      <c r="O879" s="11">
        <f t="shared" si="1090"/>
        <v>5</v>
      </c>
      <c r="P879" s="25"/>
      <c r="Q879" s="10" t="str">
        <f t="shared" si="1091"/>
        <v>OutubroSEMANA 2Torta Brownie com Nozes</v>
      </c>
      <c r="R879" s="7">
        <f>SUMIF(NF!$A:$A,$Q879,NF!$I:$I)</f>
        <v>8</v>
      </c>
      <c r="S879" s="6">
        <v>1</v>
      </c>
      <c r="T879" s="6"/>
      <c r="U879" s="6">
        <v>1</v>
      </c>
      <c r="V879" s="6">
        <v>1</v>
      </c>
      <c r="W879" s="6">
        <v>2</v>
      </c>
      <c r="X879" s="6">
        <v>2</v>
      </c>
      <c r="Y879" s="6">
        <v>5</v>
      </c>
      <c r="Z879" s="7">
        <f t="shared" si="1092"/>
        <v>12</v>
      </c>
      <c r="AA879" s="11">
        <f t="shared" si="1093"/>
        <v>1</v>
      </c>
      <c r="AB879" s="25"/>
      <c r="AC879" s="10" t="str">
        <f t="shared" si="1094"/>
        <v>OutubroSEMANA 3Torta Brownie com Nozes</v>
      </c>
      <c r="AD879" s="7">
        <f>SUMIF(NF!$A:$A,$AC879,NF!$I:$I)</f>
        <v>8</v>
      </c>
      <c r="AE879" s="6">
        <v>1</v>
      </c>
      <c r="AF879" s="6"/>
      <c r="AG879" s="6"/>
      <c r="AH879" s="6"/>
      <c r="AI879" s="6"/>
      <c r="AJ879" s="6"/>
      <c r="AK879" s="6">
        <v>3</v>
      </c>
      <c r="AL879" s="7">
        <f t="shared" si="1095"/>
        <v>4</v>
      </c>
      <c r="AM879" s="11">
        <f t="shared" si="1096"/>
        <v>5</v>
      </c>
      <c r="AN879" s="25"/>
      <c r="AO879" s="10" t="str">
        <f t="shared" si="1097"/>
        <v>OutubroSEMANA 4Torta Brownie com Nozes</v>
      </c>
      <c r="AP879" s="7">
        <f>SUMIF(NF!$A:$A,$AO879,NF!$I:$I)</f>
        <v>8</v>
      </c>
      <c r="AQ879" s="6">
        <v>1</v>
      </c>
      <c r="AR879" s="6"/>
      <c r="AS879" s="6">
        <v>2</v>
      </c>
      <c r="AT879" s="6">
        <v>1</v>
      </c>
      <c r="AU879" s="6"/>
      <c r="AV879" s="6">
        <v>1</v>
      </c>
      <c r="AW879" s="6"/>
      <c r="AX879" s="7">
        <f t="shared" si="1098"/>
        <v>5</v>
      </c>
      <c r="AY879" s="11">
        <f t="shared" si="1099"/>
        <v>8</v>
      </c>
      <c r="AZ879" s="25"/>
      <c r="BA879" s="10" t="str">
        <f t="shared" si="1100"/>
        <v>OutubroSEMANA 5Torta Brownie com Nozes</v>
      </c>
      <c r="BB879" s="7">
        <f>SUMIF(NF!$A:$A,$BA879,NF!$I:$I)</f>
        <v>0</v>
      </c>
      <c r="BC879" s="6">
        <v>3</v>
      </c>
      <c r="BD879" s="6"/>
      <c r="BE879" s="6"/>
      <c r="BF879" s="74"/>
      <c r="BG879" s="74"/>
      <c r="BH879" s="74"/>
      <c r="BI879" s="74"/>
      <c r="BJ879" s="74"/>
      <c r="BK879" s="7">
        <f t="shared" si="1101"/>
        <v>3</v>
      </c>
      <c r="BL879" s="8">
        <f t="shared" si="1102"/>
        <v>5</v>
      </c>
      <c r="BM879" s="51" t="str">
        <f>IFERROR(VLOOKUP(A879,NF!$M:$O,3,0),"")</f>
        <v>Sobremesa</v>
      </c>
      <c r="BN879" s="7">
        <f t="shared" si="1103"/>
        <v>27</v>
      </c>
      <c r="BO879" s="8">
        <f t="array" ref="BO879">IFERROR(LARGE(IF(NF!$G$2:$G$3137='Mês atual'!A879,NF!$J$2:$J$3137),1),0)*BN879</f>
        <v>159.63749999999999</v>
      </c>
      <c r="BP879" s="50"/>
      <c r="BR879" s="147">
        <f t="array" ref="BR879">IFERROR(LARGE(IF(NF!$G$2:$G$3137='Mês atual'!A879,NF!$J$2:$J$3137),1),0)</f>
        <v>5.9124999999999996</v>
      </c>
      <c r="BS879" s="143" t="str">
        <f>VLOOKUP(A879,NF!M:O,3,0)</f>
        <v>Sobremesa</v>
      </c>
    </row>
    <row r="880" spans="1:74" x14ac:dyDescent="0.25">
      <c r="A880" s="108" t="s">
        <v>812</v>
      </c>
      <c r="B880" s="12"/>
      <c r="C880" s="9">
        <v>19</v>
      </c>
      <c r="D880" s="25"/>
      <c r="E880" s="10" t="str">
        <f t="shared" si="1088"/>
        <v>OutubroSEMANA 1Torta Capuccino Diet</v>
      </c>
      <c r="F880" s="7">
        <f>SUMIF(NF!$A:$A,$E880,NF!$I:$I)</f>
        <v>0</v>
      </c>
      <c r="G880" s="6">
        <v>1</v>
      </c>
      <c r="H880" s="6"/>
      <c r="I880" s="6"/>
      <c r="J880" s="6"/>
      <c r="K880" s="6"/>
      <c r="L880" s="6">
        <v>2</v>
      </c>
      <c r="M880" s="6"/>
      <c r="N880" s="7">
        <f t="shared" si="1089"/>
        <v>3</v>
      </c>
      <c r="O880" s="11">
        <f t="shared" si="1090"/>
        <v>16</v>
      </c>
      <c r="P880" s="25"/>
      <c r="Q880" s="10" t="str">
        <f t="shared" si="1091"/>
        <v>OutubroSEMANA 2Torta Capuccino Diet</v>
      </c>
      <c r="R880" s="7">
        <f>SUMIF(NF!$A:$A,$Q880,NF!$I:$I)</f>
        <v>10</v>
      </c>
      <c r="S880" s="6">
        <v>3</v>
      </c>
      <c r="T880" s="6"/>
      <c r="U880" s="6">
        <v>4</v>
      </c>
      <c r="V880" s="6"/>
      <c r="W880" s="6"/>
      <c r="X880" s="6">
        <v>5</v>
      </c>
      <c r="Y880" s="6">
        <v>1</v>
      </c>
      <c r="Z880" s="7">
        <f t="shared" si="1092"/>
        <v>13</v>
      </c>
      <c r="AA880" s="11">
        <f t="shared" si="1093"/>
        <v>13</v>
      </c>
      <c r="AB880" s="25"/>
      <c r="AC880" s="10" t="str">
        <f t="shared" si="1094"/>
        <v>OutubroSEMANA 3Torta Capuccino Diet</v>
      </c>
      <c r="AD880" s="7">
        <f>SUMIF(NF!$A:$A,$AC880,NF!$I:$I)</f>
        <v>10</v>
      </c>
      <c r="AE880" s="6">
        <v>3</v>
      </c>
      <c r="AF880" s="6">
        <v>1</v>
      </c>
      <c r="AG880" s="6">
        <v>2</v>
      </c>
      <c r="AH880" s="6">
        <v>1</v>
      </c>
      <c r="AI880" s="6">
        <v>1</v>
      </c>
      <c r="AJ880" s="6">
        <v>1</v>
      </c>
      <c r="AK880" s="6"/>
      <c r="AL880" s="7">
        <f t="shared" si="1095"/>
        <v>9</v>
      </c>
      <c r="AM880" s="11">
        <f t="shared" si="1096"/>
        <v>14</v>
      </c>
      <c r="AN880" s="25"/>
      <c r="AO880" s="10" t="str">
        <f t="shared" si="1097"/>
        <v>OutubroSEMANA 4Torta Capuccino Diet</v>
      </c>
      <c r="AP880" s="7">
        <f>SUMIF(NF!$A:$A,$AO880,NF!$I:$I)</f>
        <v>0</v>
      </c>
      <c r="AQ880" s="6">
        <v>1</v>
      </c>
      <c r="AR880" s="6"/>
      <c r="AS880" s="6">
        <v>1</v>
      </c>
      <c r="AT880" s="6">
        <v>1</v>
      </c>
      <c r="AU880" s="6"/>
      <c r="AV880" s="6"/>
      <c r="AW880" s="6">
        <v>1</v>
      </c>
      <c r="AX880" s="7">
        <f t="shared" si="1098"/>
        <v>4</v>
      </c>
      <c r="AY880" s="11">
        <f t="shared" si="1099"/>
        <v>10</v>
      </c>
      <c r="AZ880" s="25"/>
      <c r="BA880" s="10" t="str">
        <f t="shared" si="1100"/>
        <v>OutubroSEMANA 5Torta Capuccino Diet</v>
      </c>
      <c r="BB880" s="7">
        <f>SUMIF(NF!$A:$A,$BA880,NF!$I:$I)</f>
        <v>10</v>
      </c>
      <c r="BC880" s="6">
        <v>4</v>
      </c>
      <c r="BD880" s="6">
        <v>2</v>
      </c>
      <c r="BE880" s="6">
        <v>1</v>
      </c>
      <c r="BF880" s="74"/>
      <c r="BG880" s="74"/>
      <c r="BH880" s="74"/>
      <c r="BI880" s="74"/>
      <c r="BJ880" s="74"/>
      <c r="BK880" s="7">
        <f t="shared" si="1101"/>
        <v>7</v>
      </c>
      <c r="BL880" s="8">
        <f t="shared" si="1102"/>
        <v>13</v>
      </c>
      <c r="BM880" s="51" t="str">
        <f>IFERROR(VLOOKUP(A880,NF!$M:$O,3,0),"")</f>
        <v>Sobremesa</v>
      </c>
      <c r="BN880" s="7">
        <f t="shared" si="1103"/>
        <v>36</v>
      </c>
      <c r="BO880" s="8">
        <f t="array" ref="BO880">IFERROR(LARGE(IF(NF!$G$2:$G$3137='Mês atual'!A880,NF!$J$2:$J$3137),1),0)*BN880</f>
        <v>212.07599999999999</v>
      </c>
      <c r="BP880" s="50"/>
      <c r="BR880" s="147">
        <f t="array" ref="BR880">IFERROR(LARGE(IF(NF!$G$2:$G$3137='Mês atual'!A880,NF!$J$2:$J$3137),1),0)</f>
        <v>5.891</v>
      </c>
      <c r="BS880" s="143" t="str">
        <f>VLOOKUP(A880,NF!M:O,3,0)</f>
        <v>Sobremesa</v>
      </c>
    </row>
    <row r="881" spans="1:74" x14ac:dyDescent="0.25">
      <c r="A881" s="108" t="s">
        <v>813</v>
      </c>
      <c r="B881" s="12"/>
      <c r="C881" s="9">
        <v>16</v>
      </c>
      <c r="D881" s="25"/>
      <c r="E881" s="10" t="str">
        <f t="shared" si="1088"/>
        <v>OutubroSEMANA 1Torta de Brigadeiro c/ Raspas</v>
      </c>
      <c r="F881" s="7">
        <f>SUMIF(NF!$A:$A,$E881,NF!$I:$I)</f>
        <v>12</v>
      </c>
      <c r="G881" s="6">
        <v>4</v>
      </c>
      <c r="H881" s="6"/>
      <c r="I881" s="6">
        <v>1</v>
      </c>
      <c r="J881" s="6">
        <v>1</v>
      </c>
      <c r="K881" s="6">
        <v>1</v>
      </c>
      <c r="L881" s="6">
        <v>2</v>
      </c>
      <c r="M881" s="6">
        <v>6</v>
      </c>
      <c r="N881" s="7">
        <f t="shared" si="1089"/>
        <v>15</v>
      </c>
      <c r="O881" s="11">
        <f t="shared" si="1090"/>
        <v>13</v>
      </c>
      <c r="P881" s="25"/>
      <c r="Q881" s="10" t="str">
        <f t="shared" si="1091"/>
        <v>OutubroSEMANA 2Torta de Brigadeiro c/ Raspas</v>
      </c>
      <c r="R881" s="7">
        <f>SUMIF(NF!$A:$A,$Q881,NF!$I:$I)</f>
        <v>24</v>
      </c>
      <c r="S881" s="6">
        <v>4</v>
      </c>
      <c r="T881" s="6">
        <v>2</v>
      </c>
      <c r="U881" s="6"/>
      <c r="V881" s="6">
        <v>3</v>
      </c>
      <c r="W881" s="6">
        <v>3</v>
      </c>
      <c r="X881" s="6">
        <v>2</v>
      </c>
      <c r="Y881" s="6">
        <v>4</v>
      </c>
      <c r="Z881" s="7">
        <f t="shared" si="1092"/>
        <v>18</v>
      </c>
      <c r="AA881" s="11">
        <f t="shared" si="1093"/>
        <v>19</v>
      </c>
      <c r="AB881" s="25"/>
      <c r="AC881" s="10" t="str">
        <f t="shared" si="1094"/>
        <v>OutubroSEMANA 3Torta de Brigadeiro c/ Raspas</v>
      </c>
      <c r="AD881" s="7">
        <f>SUMIF(NF!$A:$A,$AC881,NF!$I:$I)</f>
        <v>12</v>
      </c>
      <c r="AE881" s="6">
        <v>4</v>
      </c>
      <c r="AF881" s="6">
        <v>3</v>
      </c>
      <c r="AG881" s="6">
        <v>1</v>
      </c>
      <c r="AH881" s="6">
        <v>1</v>
      </c>
      <c r="AI881" s="6">
        <v>7</v>
      </c>
      <c r="AJ881" s="6"/>
      <c r="AK881" s="6">
        <v>5</v>
      </c>
      <c r="AL881" s="7">
        <f t="shared" si="1095"/>
        <v>21</v>
      </c>
      <c r="AM881" s="11">
        <f t="shared" si="1096"/>
        <v>10</v>
      </c>
      <c r="AN881" s="25"/>
      <c r="AO881" s="10" t="str">
        <f t="shared" si="1097"/>
        <v>OutubroSEMANA 4Torta de Brigadeiro c/ Raspas</v>
      </c>
      <c r="AP881" s="7">
        <f>SUMIF(NF!$A:$A,$AO881,NF!$I:$I)</f>
        <v>24</v>
      </c>
      <c r="AQ881" s="6">
        <v>2</v>
      </c>
      <c r="AR881" s="6"/>
      <c r="AS881" s="6">
        <v>2</v>
      </c>
      <c r="AT881" s="6">
        <v>1</v>
      </c>
      <c r="AU881" s="6"/>
      <c r="AV881" s="6"/>
      <c r="AW881" s="6">
        <v>2</v>
      </c>
      <c r="AX881" s="7">
        <f t="shared" si="1098"/>
        <v>7</v>
      </c>
      <c r="AY881" s="11">
        <f t="shared" si="1099"/>
        <v>27</v>
      </c>
      <c r="AZ881" s="25"/>
      <c r="BA881" s="10" t="str">
        <f t="shared" si="1100"/>
        <v>OutubroSEMANA 5Torta de Brigadeiro c/ Raspas</v>
      </c>
      <c r="BB881" s="7">
        <f>SUMIF(NF!$A:$A,$BA881,NF!$I:$I)</f>
        <v>0</v>
      </c>
      <c r="BC881" s="6">
        <v>4</v>
      </c>
      <c r="BD881" s="6">
        <v>1</v>
      </c>
      <c r="BE881" s="6">
        <v>2</v>
      </c>
      <c r="BF881" s="74"/>
      <c r="BG881" s="74"/>
      <c r="BH881" s="74"/>
      <c r="BI881" s="74"/>
      <c r="BJ881" s="74"/>
      <c r="BK881" s="7">
        <f t="shared" si="1101"/>
        <v>7</v>
      </c>
      <c r="BL881" s="8">
        <f t="shared" si="1102"/>
        <v>20</v>
      </c>
      <c r="BM881" s="51" t="str">
        <f>IFERROR(VLOOKUP(A881,NF!$M:$O,3,0),"")</f>
        <v>Sobremesa</v>
      </c>
      <c r="BN881" s="7">
        <f t="shared" si="1103"/>
        <v>68</v>
      </c>
      <c r="BO881" s="8">
        <f t="array" ref="BO881">IFERROR(LARGE(IF(NF!$G$2:$G$3137='Mês atual'!A881,NF!$J$2:$J$3137),1),0)*BN881</f>
        <v>378.87333333333333</v>
      </c>
      <c r="BP881" s="50"/>
      <c r="BR881" s="147">
        <f t="array" ref="BR881">IFERROR(LARGE(IF(NF!$G$2:$G$3137='Mês atual'!A881,NF!$J$2:$J$3137),1),0)</f>
        <v>5.5716666666666663</v>
      </c>
      <c r="BS881" s="143" t="str">
        <f>VLOOKUP(A881,NF!M:O,3,0)</f>
        <v>Sobremesa</v>
      </c>
    </row>
    <row r="882" spans="1:74" x14ac:dyDescent="0.25">
      <c r="A882" s="108" t="s">
        <v>1006</v>
      </c>
      <c r="B882" s="12"/>
      <c r="C882" s="9">
        <v>20</v>
      </c>
      <c r="D882" s="25"/>
      <c r="E882" s="10" t="str">
        <f t="shared" si="1088"/>
        <v>OutubroSEMANA 1Torta de Cenoura c/ Chocolate</v>
      </c>
      <c r="F882" s="7">
        <f>SUMIF(NF!$A:$A,$E882,NF!$I:$I)</f>
        <v>0</v>
      </c>
      <c r="G882" s="6">
        <v>2</v>
      </c>
      <c r="H882" s="6"/>
      <c r="I882" s="6">
        <v>2</v>
      </c>
      <c r="J882" s="6">
        <v>1</v>
      </c>
      <c r="K882" s="6"/>
      <c r="L882" s="6"/>
      <c r="M882" s="6">
        <v>1</v>
      </c>
      <c r="N882" s="7">
        <f t="shared" ref="N882" si="1115">SUM(G882:M882)</f>
        <v>6</v>
      </c>
      <c r="O882" s="11">
        <f t="shared" ref="O882" si="1116">F882+C882-N882</f>
        <v>14</v>
      </c>
      <c r="P882" s="25"/>
      <c r="Q882" s="10" t="str">
        <f t="shared" si="1091"/>
        <v>OutubroSEMANA 2Torta de Cenoura c/ Chocolate</v>
      </c>
      <c r="R882" s="7">
        <f>SUMIF(NF!$A:$A,$Q882,NF!$I:$I)</f>
        <v>12</v>
      </c>
      <c r="S882" s="6">
        <v>5</v>
      </c>
      <c r="T882" s="6"/>
      <c r="U882" s="6">
        <v>2</v>
      </c>
      <c r="V882" s="6">
        <v>2</v>
      </c>
      <c r="W882" s="6">
        <v>2</v>
      </c>
      <c r="X882" s="6">
        <v>3</v>
      </c>
      <c r="Y882" s="6">
        <v>1</v>
      </c>
      <c r="Z882" s="7">
        <f t="shared" ref="Z882" si="1117">SUM(S882:Y882)</f>
        <v>15</v>
      </c>
      <c r="AA882" s="11">
        <f t="shared" ref="AA882" si="1118">R882+O882-Z882</f>
        <v>11</v>
      </c>
      <c r="AB882" s="25"/>
      <c r="AC882" s="10" t="str">
        <f t="shared" si="1094"/>
        <v>OutubroSEMANA 3Torta de Cenoura c/ Chocolate</v>
      </c>
      <c r="AD882" s="7">
        <f>SUMIF(NF!$A:$A,$AC882,NF!$I:$I)</f>
        <v>12</v>
      </c>
      <c r="AE882" s="6">
        <v>5</v>
      </c>
      <c r="AF882" s="6"/>
      <c r="AG882" s="6"/>
      <c r="AH882" s="6">
        <v>1</v>
      </c>
      <c r="AI882" s="6">
        <v>3</v>
      </c>
      <c r="AJ882" s="6"/>
      <c r="AK882" s="6">
        <v>2</v>
      </c>
      <c r="AL882" s="7">
        <f t="shared" ref="AL882" si="1119">SUM(AE882:AK882)</f>
        <v>11</v>
      </c>
      <c r="AM882" s="11">
        <f t="shared" ref="AM882" si="1120">AD882+AA882-AL882</f>
        <v>12</v>
      </c>
      <c r="AN882" s="25"/>
      <c r="AO882" s="10" t="str">
        <f t="shared" si="1097"/>
        <v>OutubroSEMANA 4Torta de Cenoura c/ Chocolate</v>
      </c>
      <c r="AP882" s="7">
        <f>SUMIF(NF!$A:$A,$AO882,NF!$I:$I)</f>
        <v>12</v>
      </c>
      <c r="AQ882" s="6"/>
      <c r="AR882" s="6">
        <v>1</v>
      </c>
      <c r="AS882" s="6">
        <v>1</v>
      </c>
      <c r="AT882" s="6"/>
      <c r="AU882" s="6">
        <v>1</v>
      </c>
      <c r="AV882" s="6"/>
      <c r="AW882" s="6"/>
      <c r="AX882" s="7">
        <f t="shared" ref="AX882" si="1121">SUM(AQ882:AW882)</f>
        <v>3</v>
      </c>
      <c r="AY882" s="11">
        <f t="shared" ref="AY882" si="1122">AP882+AM882-AX882</f>
        <v>21</v>
      </c>
      <c r="AZ882" s="25"/>
      <c r="BA882" s="10" t="str">
        <f t="shared" si="1100"/>
        <v>OutubroSEMANA 5Torta de Cenoura c/ Chocolate</v>
      </c>
      <c r="BB882" s="7">
        <f>SUMIF(NF!$A:$A,$BA882,NF!$I:$I)</f>
        <v>0</v>
      </c>
      <c r="BC882" s="6">
        <v>1</v>
      </c>
      <c r="BD882" s="6">
        <v>1</v>
      </c>
      <c r="BE882" s="6">
        <v>1</v>
      </c>
      <c r="BF882" s="74"/>
      <c r="BG882" s="74"/>
      <c r="BH882" s="74"/>
      <c r="BI882" s="74"/>
      <c r="BJ882" s="74"/>
      <c r="BK882" s="7">
        <f t="shared" ref="BK882" si="1123">SUM(BC882:BJ882)</f>
        <v>3</v>
      </c>
      <c r="BL882" s="8">
        <f t="shared" ref="BL882" si="1124">BB882+AY882-BK882</f>
        <v>18</v>
      </c>
      <c r="BM882" s="51" t="str">
        <f>IFERROR(VLOOKUP(A882,NF!$M:$O,3,0),"")</f>
        <v>Sobremesa</v>
      </c>
      <c r="BN882" s="7">
        <f t="shared" ref="BN882" si="1125">SUM(N882,Z882,AL882,AX882,BK882)</f>
        <v>38</v>
      </c>
      <c r="BO882" s="8">
        <f t="array" ref="BO882">IFERROR(LARGE(IF(NF!$G$2:$G$3137='Mês atual'!A882,NF!$J$2:$J$3137),1),0)*BN882</f>
        <v>217.04333333333335</v>
      </c>
      <c r="BP882" s="50"/>
      <c r="BR882" s="147">
        <f t="array" ref="BR882">IFERROR(LARGE(IF(NF!$G$2:$G$3137='Mês atual'!A882,NF!$J$2:$J$3137),1),0)</f>
        <v>5.7116666666666669</v>
      </c>
      <c r="BS882" s="143" t="str">
        <f>VLOOKUP(A882,NF!M:O,3,0)</f>
        <v>Sobremesa</v>
      </c>
    </row>
    <row r="883" spans="1:74" x14ac:dyDescent="0.25">
      <c r="A883" s="108" t="s">
        <v>814</v>
      </c>
      <c r="B883" s="12"/>
      <c r="C883" s="9">
        <v>10</v>
      </c>
      <c r="D883" s="25"/>
      <c r="E883" s="10" t="str">
        <f t="shared" si="1088"/>
        <v>OutubroSEMANA 1Torta de Limão</v>
      </c>
      <c r="F883" s="7">
        <f>SUMIF(NF!$A:$A,$E883,NF!$I:$I)</f>
        <v>12</v>
      </c>
      <c r="G883" s="6">
        <v>3</v>
      </c>
      <c r="H883" s="6"/>
      <c r="I883" s="6"/>
      <c r="J883" s="6">
        <v>1</v>
      </c>
      <c r="K883" s="6">
        <v>2</v>
      </c>
      <c r="L883" s="6">
        <v>1</v>
      </c>
      <c r="M883" s="6">
        <v>2</v>
      </c>
      <c r="N883" s="7">
        <f t="shared" si="1089"/>
        <v>9</v>
      </c>
      <c r="O883" s="11">
        <f t="shared" si="1090"/>
        <v>13</v>
      </c>
      <c r="P883" s="25"/>
      <c r="Q883" s="10" t="str">
        <f t="shared" si="1091"/>
        <v>OutubroSEMANA 2Torta de Limão</v>
      </c>
      <c r="R883" s="7">
        <f>SUMIF(NF!$A:$A,$Q883,NF!$I:$I)</f>
        <v>24</v>
      </c>
      <c r="S883" s="6">
        <v>5</v>
      </c>
      <c r="T883" s="6"/>
      <c r="U883" s="6">
        <v>1</v>
      </c>
      <c r="V883" s="6">
        <v>2</v>
      </c>
      <c r="W883" s="6">
        <v>4</v>
      </c>
      <c r="X883" s="6"/>
      <c r="Y883" s="6">
        <v>5</v>
      </c>
      <c r="Z883" s="7">
        <f t="shared" si="1092"/>
        <v>17</v>
      </c>
      <c r="AA883" s="11">
        <f t="shared" si="1093"/>
        <v>20</v>
      </c>
      <c r="AB883" s="25"/>
      <c r="AC883" s="10" t="str">
        <f t="shared" si="1094"/>
        <v>OutubroSEMANA 3Torta de Limão</v>
      </c>
      <c r="AD883" s="7">
        <f>SUMIF(NF!$A:$A,$AC883,NF!$I:$I)</f>
        <v>12</v>
      </c>
      <c r="AE883" s="6">
        <v>4</v>
      </c>
      <c r="AF883" s="6">
        <v>1</v>
      </c>
      <c r="AG883" s="6">
        <v>1</v>
      </c>
      <c r="AH883" s="6">
        <v>1</v>
      </c>
      <c r="AI883" s="6"/>
      <c r="AJ883" s="6">
        <v>3</v>
      </c>
      <c r="AK883" s="6">
        <v>2</v>
      </c>
      <c r="AL883" s="7">
        <f t="shared" si="1095"/>
        <v>12</v>
      </c>
      <c r="AM883" s="11">
        <f t="shared" si="1096"/>
        <v>20</v>
      </c>
      <c r="AN883" s="25"/>
      <c r="AO883" s="10" t="str">
        <f t="shared" si="1097"/>
        <v>OutubroSEMANA 4Torta de Limão</v>
      </c>
      <c r="AP883" s="7">
        <f>SUMIF(NF!$A:$A,$AO883,NF!$I:$I)</f>
        <v>12</v>
      </c>
      <c r="AQ883" s="6">
        <v>3</v>
      </c>
      <c r="AR883" s="6">
        <v>3</v>
      </c>
      <c r="AS883" s="6">
        <v>1</v>
      </c>
      <c r="AT883" s="6">
        <v>3</v>
      </c>
      <c r="AU883" s="6">
        <v>1</v>
      </c>
      <c r="AV883" s="6">
        <v>1</v>
      </c>
      <c r="AW883" s="6">
        <v>3</v>
      </c>
      <c r="AX883" s="7">
        <f t="shared" si="1098"/>
        <v>15</v>
      </c>
      <c r="AY883" s="11">
        <f t="shared" si="1099"/>
        <v>17</v>
      </c>
      <c r="AZ883" s="25"/>
      <c r="BA883" s="10" t="str">
        <f t="shared" si="1100"/>
        <v>OutubroSEMANA 5Torta de Limão</v>
      </c>
      <c r="BB883" s="7">
        <f>SUMIF(NF!$A:$A,$BA883,NF!$I:$I)</f>
        <v>0</v>
      </c>
      <c r="BC883" s="6">
        <v>5</v>
      </c>
      <c r="BD883" s="6">
        <v>3</v>
      </c>
      <c r="BE883" s="6">
        <v>1</v>
      </c>
      <c r="BF883" s="74"/>
      <c r="BG883" s="74"/>
      <c r="BH883" s="74"/>
      <c r="BI883" s="74"/>
      <c r="BJ883" s="74"/>
      <c r="BK883" s="7">
        <f t="shared" si="1101"/>
        <v>9</v>
      </c>
      <c r="BL883" s="8">
        <f t="shared" si="1102"/>
        <v>8</v>
      </c>
      <c r="BM883" s="51" t="str">
        <f>IFERROR(VLOOKUP(A883,NF!$M:$O,3,0),"")</f>
        <v>Sobremesa</v>
      </c>
      <c r="BN883" s="7">
        <f t="shared" si="1103"/>
        <v>62</v>
      </c>
      <c r="BO883" s="8">
        <f t="array" ref="BO883">IFERROR(LARGE(IF(NF!$G$2:$G$3137='Mês atual'!A883,NF!$J$2:$J$3137),1),0)*BN883</f>
        <v>328.85833333333329</v>
      </c>
      <c r="BP883" s="50"/>
      <c r="BR883" s="147">
        <f t="array" ref="BR883">IFERROR(LARGE(IF(NF!$G$2:$G$3137='Mês atual'!A883,NF!$J$2:$J$3137),1),0)</f>
        <v>5.3041666666666663</v>
      </c>
      <c r="BS883" s="143" t="str">
        <f>VLOOKUP(A883,NF!M:O,3,0)</f>
        <v>Sobremesa</v>
      </c>
    </row>
    <row r="884" spans="1:74" x14ac:dyDescent="0.25">
      <c r="A884" s="108" t="s">
        <v>815</v>
      </c>
      <c r="B884" s="12"/>
      <c r="C884" s="9">
        <v>20</v>
      </c>
      <c r="D884" s="25"/>
      <c r="E884" s="10" t="str">
        <f t="shared" si="1088"/>
        <v>OutubroSEMANA 1Torta de Maça Integral</v>
      </c>
      <c r="F884" s="7">
        <f>SUMIF(NF!$A:$A,$E884,NF!$I:$I)</f>
        <v>20</v>
      </c>
      <c r="G884" s="6">
        <v>11</v>
      </c>
      <c r="H884" s="6">
        <v>2</v>
      </c>
      <c r="I884" s="6">
        <v>3</v>
      </c>
      <c r="J884" s="6">
        <v>1</v>
      </c>
      <c r="K884" s="6">
        <v>1</v>
      </c>
      <c r="L884" s="6">
        <v>1</v>
      </c>
      <c r="M884" s="6">
        <v>4</v>
      </c>
      <c r="N884" s="7">
        <f t="shared" si="1089"/>
        <v>23</v>
      </c>
      <c r="O884" s="11">
        <f t="shared" si="1090"/>
        <v>17</v>
      </c>
      <c r="P884" s="25"/>
      <c r="Q884" s="10" t="str">
        <f t="shared" si="1091"/>
        <v>OutubroSEMANA 2Torta de Maça Integral</v>
      </c>
      <c r="R884" s="7">
        <f>SUMIF(NF!$A:$A,$Q884,NF!$I:$I)</f>
        <v>20</v>
      </c>
      <c r="S884" s="6">
        <v>5</v>
      </c>
      <c r="T884" s="6"/>
      <c r="U884" s="6">
        <v>5</v>
      </c>
      <c r="V884" s="6">
        <v>3</v>
      </c>
      <c r="W884" s="6">
        <v>5</v>
      </c>
      <c r="X884" s="6">
        <v>4</v>
      </c>
      <c r="Y884" s="6">
        <v>1</v>
      </c>
      <c r="Z884" s="7">
        <f t="shared" si="1092"/>
        <v>23</v>
      </c>
      <c r="AA884" s="11">
        <f t="shared" si="1093"/>
        <v>14</v>
      </c>
      <c r="AB884" s="25"/>
      <c r="AC884" s="10" t="str">
        <f t="shared" si="1094"/>
        <v>OutubroSEMANA 3Torta de Maça Integral</v>
      </c>
      <c r="AD884" s="7">
        <f>SUMIF(NF!$A:$A,$AC884,NF!$I:$I)</f>
        <v>20</v>
      </c>
      <c r="AE884" s="6">
        <v>6</v>
      </c>
      <c r="AF884" s="6">
        <v>2</v>
      </c>
      <c r="AG884" s="6">
        <v>2</v>
      </c>
      <c r="AH884" s="6">
        <v>4</v>
      </c>
      <c r="AI884" s="6">
        <v>3</v>
      </c>
      <c r="AJ884" s="6">
        <v>1</v>
      </c>
      <c r="AK884" s="6">
        <v>1</v>
      </c>
      <c r="AL884" s="7">
        <f t="shared" si="1095"/>
        <v>19</v>
      </c>
      <c r="AM884" s="11">
        <f t="shared" si="1096"/>
        <v>15</v>
      </c>
      <c r="AN884" s="25"/>
      <c r="AO884" s="10" t="str">
        <f t="shared" si="1097"/>
        <v>OutubroSEMANA 4Torta de Maça Integral</v>
      </c>
      <c r="AP884" s="7">
        <f>SUMIF(NF!$A:$A,$AO884,NF!$I:$I)</f>
        <v>20</v>
      </c>
      <c r="AQ884" s="6">
        <v>11</v>
      </c>
      <c r="AR884" s="6">
        <v>2</v>
      </c>
      <c r="AS884" s="6">
        <v>2</v>
      </c>
      <c r="AT884" s="6">
        <v>3</v>
      </c>
      <c r="AU884" s="6">
        <v>1</v>
      </c>
      <c r="AV884" s="6">
        <v>2</v>
      </c>
      <c r="AW884" s="6">
        <v>1</v>
      </c>
      <c r="AX884" s="7">
        <f t="shared" si="1098"/>
        <v>22</v>
      </c>
      <c r="AY884" s="11">
        <f t="shared" si="1099"/>
        <v>13</v>
      </c>
      <c r="AZ884" s="25"/>
      <c r="BA884" s="10" t="str">
        <f t="shared" si="1100"/>
        <v>OutubroSEMANA 5Torta de Maça Integral</v>
      </c>
      <c r="BB884" s="7">
        <f>SUMIF(NF!$A:$A,$BA884,NF!$I:$I)</f>
        <v>0</v>
      </c>
      <c r="BC884" s="6">
        <v>4</v>
      </c>
      <c r="BD884" s="6">
        <v>2</v>
      </c>
      <c r="BE884" s="6">
        <v>4</v>
      </c>
      <c r="BF884" s="74"/>
      <c r="BG884" s="74"/>
      <c r="BH884" s="74"/>
      <c r="BI884" s="74"/>
      <c r="BJ884" s="74"/>
      <c r="BK884" s="7">
        <f t="shared" si="1101"/>
        <v>10</v>
      </c>
      <c r="BL884" s="8">
        <f t="shared" si="1102"/>
        <v>3</v>
      </c>
      <c r="BM884" s="51" t="str">
        <f>IFERROR(VLOOKUP(A884,NF!$M:$O,3,0),"")</f>
        <v>Sobremesa</v>
      </c>
      <c r="BN884" s="7">
        <f t="shared" si="1103"/>
        <v>97</v>
      </c>
      <c r="BO884" s="8">
        <f t="array" ref="BO884">IFERROR(LARGE(IF(NF!$G$2:$G$3137='Mês atual'!A884,NF!$J$2:$J$3137),1),0)*BN884</f>
        <v>475.3</v>
      </c>
      <c r="BP884" s="50"/>
      <c r="BR884" s="147">
        <f t="array" ref="BR884">IFERROR(LARGE(IF(NF!$G$2:$G$3137='Mês atual'!A884,NF!$J$2:$J$3137),1),0)</f>
        <v>4.9000000000000004</v>
      </c>
      <c r="BS884" s="143" t="str">
        <f>VLOOKUP(A884,NF!M:O,3,0)</f>
        <v>Sobremesa</v>
      </c>
    </row>
    <row r="885" spans="1:74" x14ac:dyDescent="0.25">
      <c r="A885" s="108" t="s">
        <v>992</v>
      </c>
      <c r="B885" s="12"/>
      <c r="C885" s="9">
        <v>20</v>
      </c>
      <c r="D885" s="25"/>
      <c r="E885" s="10" t="str">
        <f t="shared" si="1088"/>
        <v>OutubroSEMANA 1Torta Financier com Quindim</v>
      </c>
      <c r="F885" s="7">
        <f>SUMIF(NF!$A:$A,$E885,NF!$I:$I)</f>
        <v>0</v>
      </c>
      <c r="G885" s="6">
        <v>3</v>
      </c>
      <c r="H885" s="6"/>
      <c r="I885" s="6"/>
      <c r="J885" s="6"/>
      <c r="K885" s="6"/>
      <c r="L885" s="6"/>
      <c r="M885" s="6">
        <v>1</v>
      </c>
      <c r="N885" s="7">
        <f t="shared" ref="N885" si="1126">SUM(G885:M885)</f>
        <v>4</v>
      </c>
      <c r="O885" s="11">
        <f t="shared" si="1090"/>
        <v>16</v>
      </c>
      <c r="P885" s="25"/>
      <c r="Q885" s="10" t="str">
        <f t="shared" si="1091"/>
        <v>OutubroSEMANA 2Torta Financier com Quindim</v>
      </c>
      <c r="R885" s="7">
        <f>SUMIF(NF!$A:$A,$Q885,NF!$I:$I)</f>
        <v>0</v>
      </c>
      <c r="S885" s="6">
        <v>1</v>
      </c>
      <c r="T885" s="6"/>
      <c r="U885" s="6"/>
      <c r="V885" s="6">
        <v>1</v>
      </c>
      <c r="W885" s="6"/>
      <c r="X885" s="6"/>
      <c r="Y885" s="6">
        <v>3</v>
      </c>
      <c r="Z885" s="7">
        <f t="shared" ref="Z885" si="1127">SUM(S885:Y885)</f>
        <v>5</v>
      </c>
      <c r="AA885" s="11">
        <f t="shared" si="1093"/>
        <v>11</v>
      </c>
      <c r="AB885" s="25"/>
      <c r="AC885" s="10" t="str">
        <f t="shared" si="1094"/>
        <v>OutubroSEMANA 3Torta Financier com Quindim</v>
      </c>
      <c r="AD885" s="7">
        <f>SUMIF(NF!$A:$A,$AC885,NF!$I:$I)</f>
        <v>12</v>
      </c>
      <c r="AE885" s="6">
        <v>1</v>
      </c>
      <c r="AF885" s="6"/>
      <c r="AG885" s="6">
        <v>1</v>
      </c>
      <c r="AH885" s="6">
        <v>1</v>
      </c>
      <c r="AI885" s="6"/>
      <c r="AJ885" s="6">
        <v>10</v>
      </c>
      <c r="AK885" s="6"/>
      <c r="AL885" s="7">
        <f t="shared" ref="AL885" si="1128">SUM(AE885:AK885)</f>
        <v>13</v>
      </c>
      <c r="AM885" s="11">
        <f t="shared" si="1096"/>
        <v>10</v>
      </c>
      <c r="AN885" s="25"/>
      <c r="AO885" s="10" t="str">
        <f t="shared" si="1097"/>
        <v>OutubroSEMANA 4Torta Financier com Quindim</v>
      </c>
      <c r="AP885" s="7">
        <f>SUMIF(NF!$A:$A,$AO885,NF!$I:$I)</f>
        <v>24</v>
      </c>
      <c r="AQ885" s="6">
        <v>3</v>
      </c>
      <c r="AR885" s="6"/>
      <c r="AS885" s="6"/>
      <c r="AT885" s="6">
        <v>1</v>
      </c>
      <c r="AU885" s="6"/>
      <c r="AV885" s="6">
        <v>1</v>
      </c>
      <c r="AW885" s="6">
        <v>1</v>
      </c>
      <c r="AX885" s="7">
        <f t="shared" ref="AX885" si="1129">SUM(AQ885:AW885)</f>
        <v>6</v>
      </c>
      <c r="AY885" s="11">
        <f t="shared" si="1099"/>
        <v>28</v>
      </c>
      <c r="AZ885" s="25"/>
      <c r="BA885" s="10" t="str">
        <f t="shared" si="1100"/>
        <v>OutubroSEMANA 5Torta Financier com Quindim</v>
      </c>
      <c r="BB885" s="7">
        <f>SUMIF(NF!$A:$A,$BA885,NF!$I:$I)</f>
        <v>0</v>
      </c>
      <c r="BC885" s="6">
        <v>4</v>
      </c>
      <c r="BD885" s="6">
        <v>1</v>
      </c>
      <c r="BE885" s="6"/>
      <c r="BF885" s="74"/>
      <c r="BG885" s="74"/>
      <c r="BH885" s="74"/>
      <c r="BI885" s="74"/>
      <c r="BJ885" s="74"/>
      <c r="BK885" s="7">
        <f t="shared" ref="BK885" si="1130">SUM(BC885:BJ885)</f>
        <v>5</v>
      </c>
      <c r="BL885" s="8">
        <f t="shared" si="1102"/>
        <v>23</v>
      </c>
      <c r="BM885" s="51" t="str">
        <f>IFERROR(VLOOKUP(A885,NF!$M:$O,3,0),"")</f>
        <v>Sobremesa</v>
      </c>
      <c r="BN885" s="7">
        <f t="shared" si="1103"/>
        <v>33</v>
      </c>
      <c r="BO885" s="8">
        <f t="array" ref="BO885">IFERROR(LARGE(IF(NF!$G$2:$G$3137='Mês atual'!A885,NF!$J$2:$J$3137),1),0)*BN885</f>
        <v>195.55250000000001</v>
      </c>
      <c r="BP885" s="50"/>
      <c r="BR885" s="147">
        <f t="array" ref="BR885">IFERROR(LARGE(IF(NF!$G$2:$G$3137='Mês atual'!A885,NF!$J$2:$J$3137),1),0)</f>
        <v>5.9258333333333333</v>
      </c>
      <c r="BS885" s="143" t="str">
        <f>VLOOKUP(A885,NF!M:O,3,0)</f>
        <v>Sobremesa</v>
      </c>
    </row>
    <row r="886" spans="1:74" x14ac:dyDescent="0.25">
      <c r="A886" s="108" t="s">
        <v>816</v>
      </c>
      <c r="B886" s="12"/>
      <c r="C886" s="9"/>
      <c r="D886" s="25"/>
      <c r="E886" s="10" t="str">
        <f t="shared" si="1088"/>
        <v>OutubroSEMANA 1Torta Integral de Banana</v>
      </c>
      <c r="F886" s="7">
        <f>SUMIF(NF!$A:$A,$E886,NF!$I:$I)</f>
        <v>0</v>
      </c>
      <c r="G886" s="6"/>
      <c r="H886" s="6"/>
      <c r="I886" s="6"/>
      <c r="J886" s="6"/>
      <c r="K886" s="6"/>
      <c r="L886" s="6"/>
      <c r="M886" s="6"/>
      <c r="N886" s="7">
        <f t="shared" ref="N886:N888" si="1131">SUM(G886:M886)</f>
        <v>0</v>
      </c>
      <c r="O886" s="11">
        <f t="shared" si="1090"/>
        <v>0</v>
      </c>
      <c r="P886" s="25"/>
      <c r="Q886" s="10" t="str">
        <f t="shared" si="1091"/>
        <v>OutubroSEMANA 2Torta Integral de Banana</v>
      </c>
      <c r="R886" s="7">
        <f>SUMIF(NF!$A:$A,$Q886,NF!$I:$I)</f>
        <v>0</v>
      </c>
      <c r="S886" s="6"/>
      <c r="T886" s="6"/>
      <c r="U886" s="6"/>
      <c r="V886" s="6"/>
      <c r="W886" s="6"/>
      <c r="X886" s="6"/>
      <c r="Y886" s="6"/>
      <c r="Z886" s="7">
        <f t="shared" ref="Z886:Z888" si="1132">SUM(S886:Y886)</f>
        <v>0</v>
      </c>
      <c r="AA886" s="11">
        <f t="shared" si="1093"/>
        <v>0</v>
      </c>
      <c r="AB886" s="25"/>
      <c r="AC886" s="10" t="str">
        <f t="shared" si="1094"/>
        <v>OutubroSEMANA 3Torta Integral de Banana</v>
      </c>
      <c r="AD886" s="7">
        <f>SUMIF(NF!$A:$A,$AC886,NF!$I:$I)</f>
        <v>0</v>
      </c>
      <c r="AE886" s="6"/>
      <c r="AF886" s="6"/>
      <c r="AG886" s="6"/>
      <c r="AH886" s="6"/>
      <c r="AI886" s="6"/>
      <c r="AJ886" s="6"/>
      <c r="AK886" s="6"/>
      <c r="AL886" s="7">
        <f t="shared" ref="AL886:AL888" si="1133">SUM(AE886:AK886)</f>
        <v>0</v>
      </c>
      <c r="AM886" s="11">
        <f t="shared" si="1096"/>
        <v>0</v>
      </c>
      <c r="AN886" s="25"/>
      <c r="AO886" s="10" t="str">
        <f t="shared" si="1097"/>
        <v>OutubroSEMANA 4Torta Integral de Banana</v>
      </c>
      <c r="AP886" s="7">
        <f>SUMIF(NF!$A:$A,$AO886,NF!$I:$I)</f>
        <v>0</v>
      </c>
      <c r="AQ886" s="6"/>
      <c r="AR886" s="6"/>
      <c r="AS886" s="6"/>
      <c r="AT886" s="6"/>
      <c r="AU886" s="6"/>
      <c r="AV886" s="6"/>
      <c r="AW886" s="6"/>
      <c r="AX886" s="7">
        <f t="shared" ref="AX886:AX888" si="1134">SUM(AQ886:AW886)</f>
        <v>0</v>
      </c>
      <c r="AY886" s="11">
        <f t="shared" si="1099"/>
        <v>0</v>
      </c>
      <c r="AZ886" s="25"/>
      <c r="BA886" s="10" t="str">
        <f t="shared" si="1100"/>
        <v>OutubroSEMANA 5Torta Integral de Banana</v>
      </c>
      <c r="BB886" s="7">
        <f>SUMIF(NF!$A:$A,$BA886,NF!$I:$I)</f>
        <v>0</v>
      </c>
      <c r="BC886" s="6"/>
      <c r="BD886" s="6"/>
      <c r="BE886" s="6"/>
      <c r="BF886" s="74"/>
      <c r="BG886" s="74"/>
      <c r="BH886" s="74"/>
      <c r="BI886" s="74"/>
      <c r="BJ886" s="74"/>
      <c r="BK886" s="7">
        <f t="shared" ref="BK886:BK888" si="1135">SUM(BC886:BJ886)</f>
        <v>0</v>
      </c>
      <c r="BL886" s="8">
        <f t="shared" si="1102"/>
        <v>0</v>
      </c>
      <c r="BM886" s="51" t="str">
        <f>IFERROR(VLOOKUP(A886,NF!$M:$O,3,0),"")</f>
        <v>Sobremesa</v>
      </c>
      <c r="BN886" s="7">
        <f t="shared" si="1103"/>
        <v>0</v>
      </c>
      <c r="BO886" s="8">
        <f t="array" ref="BO886">IFERROR(LARGE(IF(NF!$G$2:$G$3137='Mês atual'!A886,NF!$J$2:$J$3137),1),0)*BN886</f>
        <v>0</v>
      </c>
      <c r="BP886" s="50"/>
      <c r="BR886" s="147">
        <f t="array" ref="BR886">IFERROR(LARGE(IF(NF!$G$2:$G$3137='Mês atual'!A886,NF!$J$2:$J$3137),1),0)</f>
        <v>0</v>
      </c>
      <c r="BS886" s="143" t="str">
        <f>VLOOKUP(A886,NF!M:O,3,0)</f>
        <v>Sobremesa</v>
      </c>
    </row>
    <row r="887" spans="1:74" x14ac:dyDescent="0.25">
      <c r="A887" s="108" t="s">
        <v>817</v>
      </c>
      <c r="B887" s="12"/>
      <c r="C887" s="9">
        <v>22</v>
      </c>
      <c r="D887" s="25"/>
      <c r="E887" s="10" t="str">
        <f t="shared" si="1088"/>
        <v xml:space="preserve">OutubroSEMANA 1Torta Mousse de Chocolate </v>
      </c>
      <c r="F887" s="7">
        <f>SUMIF(NF!$A:$A,$E887,NF!$I:$I)</f>
        <v>0</v>
      </c>
      <c r="G887" s="6">
        <v>4</v>
      </c>
      <c r="H887" s="6">
        <v>2</v>
      </c>
      <c r="I887" s="6">
        <v>2</v>
      </c>
      <c r="J887" s="6">
        <v>1</v>
      </c>
      <c r="K887" s="6">
        <v>3</v>
      </c>
      <c r="L887" s="6"/>
      <c r="M887" s="6">
        <v>7</v>
      </c>
      <c r="N887" s="7">
        <f t="shared" si="1131"/>
        <v>19</v>
      </c>
      <c r="O887" s="11">
        <f t="shared" si="1090"/>
        <v>3</v>
      </c>
      <c r="P887" s="25"/>
      <c r="Q887" s="10" t="str">
        <f t="shared" si="1091"/>
        <v xml:space="preserve">OutubroSEMANA 2Torta Mousse de Chocolate </v>
      </c>
      <c r="R887" s="7">
        <f>SUMIF(NF!$A:$A,$Q887,NF!$I:$I)</f>
        <v>24</v>
      </c>
      <c r="S887" s="6">
        <v>3</v>
      </c>
      <c r="T887" s="6"/>
      <c r="U887" s="6"/>
      <c r="V887" s="6"/>
      <c r="W887" s="6">
        <v>2</v>
      </c>
      <c r="X887" s="6">
        <v>5</v>
      </c>
      <c r="Y887" s="6"/>
      <c r="Z887" s="7">
        <f t="shared" si="1132"/>
        <v>10</v>
      </c>
      <c r="AA887" s="11">
        <f t="shared" si="1093"/>
        <v>17</v>
      </c>
      <c r="AB887" s="25"/>
      <c r="AC887" s="10" t="str">
        <f t="shared" si="1094"/>
        <v xml:space="preserve">OutubroSEMANA 3Torta Mousse de Chocolate </v>
      </c>
      <c r="AD887" s="7">
        <f>SUMIF(NF!$A:$A,$AC887,NF!$I:$I)</f>
        <v>12</v>
      </c>
      <c r="AE887" s="6">
        <v>3</v>
      </c>
      <c r="AF887" s="6"/>
      <c r="AG887" s="6">
        <v>1</v>
      </c>
      <c r="AH887" s="6"/>
      <c r="AI887" s="6">
        <v>1</v>
      </c>
      <c r="AJ887" s="6">
        <v>1</v>
      </c>
      <c r="AK887" s="6">
        <v>3</v>
      </c>
      <c r="AL887" s="7">
        <f t="shared" si="1133"/>
        <v>9</v>
      </c>
      <c r="AM887" s="11">
        <f t="shared" si="1096"/>
        <v>20</v>
      </c>
      <c r="AN887" s="25"/>
      <c r="AO887" s="10" t="str">
        <f t="shared" si="1097"/>
        <v xml:space="preserve">OutubroSEMANA 4Torta Mousse de Chocolate </v>
      </c>
      <c r="AP887" s="7">
        <f>SUMIF(NF!$A:$A,$AO887,NF!$I:$I)</f>
        <v>0</v>
      </c>
      <c r="AQ887" s="6">
        <v>7</v>
      </c>
      <c r="AR887" s="6"/>
      <c r="AS887" s="6">
        <v>1</v>
      </c>
      <c r="AT887" s="6"/>
      <c r="AU887" s="6"/>
      <c r="AV887" s="6">
        <v>3</v>
      </c>
      <c r="AW887" s="6">
        <v>4</v>
      </c>
      <c r="AX887" s="7">
        <f t="shared" si="1134"/>
        <v>15</v>
      </c>
      <c r="AY887" s="11">
        <f t="shared" si="1099"/>
        <v>5</v>
      </c>
      <c r="AZ887" s="25"/>
      <c r="BA887" s="10" t="str">
        <f t="shared" si="1100"/>
        <v xml:space="preserve">OutubroSEMANA 5Torta Mousse de Chocolate </v>
      </c>
      <c r="BB887" s="7">
        <f>SUMIF(NF!$A:$A,$BA887,NF!$I:$I)</f>
        <v>24</v>
      </c>
      <c r="BC887" s="6">
        <v>2</v>
      </c>
      <c r="BD887" s="6">
        <v>1</v>
      </c>
      <c r="BE887" s="6">
        <v>2</v>
      </c>
      <c r="BF887" s="74"/>
      <c r="BG887" s="74"/>
      <c r="BH887" s="74"/>
      <c r="BI887" s="74"/>
      <c r="BJ887" s="74"/>
      <c r="BK887" s="7">
        <f t="shared" si="1135"/>
        <v>5</v>
      </c>
      <c r="BL887" s="8">
        <f t="shared" si="1102"/>
        <v>24</v>
      </c>
      <c r="BM887" s="51" t="str">
        <f>IFERROR(VLOOKUP(A887,NF!$M:$O,3,0),"")</f>
        <v>Sobremesa</v>
      </c>
      <c r="BN887" s="7">
        <f t="shared" si="1103"/>
        <v>58</v>
      </c>
      <c r="BO887" s="8">
        <f t="array" ref="BO887">IFERROR(LARGE(IF(NF!$G$2:$G$3137='Mês atual'!A887,NF!$J$2:$J$3137),1),0)*BN887</f>
        <v>240.02333333333331</v>
      </c>
      <c r="BP887" s="50"/>
      <c r="BR887" s="147">
        <f t="array" ref="BR887">IFERROR(LARGE(IF(NF!$G$2:$G$3137='Mês atual'!A887,NF!$J$2:$J$3137),1),0)</f>
        <v>4.1383333333333328</v>
      </c>
      <c r="BS887" s="143" t="str">
        <f>VLOOKUP(A887,NF!M:O,3,0)</f>
        <v>Sobremesa</v>
      </c>
    </row>
    <row r="888" spans="1:74" x14ac:dyDescent="0.25">
      <c r="A888" s="108" t="s">
        <v>818</v>
      </c>
      <c r="B888" s="12"/>
      <c r="C888" s="9">
        <v>15</v>
      </c>
      <c r="D888" s="25"/>
      <c r="E888" s="10" t="str">
        <f t="shared" si="1088"/>
        <v>OutubroSEMANA 1Torta Mousse de Chocolate Diet</v>
      </c>
      <c r="F888" s="7">
        <f>SUMIF(NF!$A:$A,$E888,NF!$I:$I)</f>
        <v>0</v>
      </c>
      <c r="G888" s="6">
        <v>1</v>
      </c>
      <c r="H888" s="6">
        <v>1</v>
      </c>
      <c r="I888" s="6">
        <v>3</v>
      </c>
      <c r="J888" s="6"/>
      <c r="K888" s="6">
        <v>1</v>
      </c>
      <c r="L888" s="6">
        <v>1</v>
      </c>
      <c r="M888" s="6"/>
      <c r="N888" s="7">
        <f t="shared" si="1131"/>
        <v>7</v>
      </c>
      <c r="O888" s="11">
        <f t="shared" si="1090"/>
        <v>8</v>
      </c>
      <c r="P888" s="25"/>
      <c r="Q888" s="10" t="str">
        <f t="shared" si="1091"/>
        <v>OutubroSEMANA 2Torta Mousse de Chocolate Diet</v>
      </c>
      <c r="R888" s="7">
        <f>SUMIF(NF!$A:$A,$Q888,NF!$I:$I)</f>
        <v>0</v>
      </c>
      <c r="S888" s="6">
        <v>4</v>
      </c>
      <c r="T888" s="6"/>
      <c r="U888" s="6">
        <v>2</v>
      </c>
      <c r="V888" s="6"/>
      <c r="W888" s="6">
        <v>2</v>
      </c>
      <c r="X888" s="6"/>
      <c r="Y888" s="6"/>
      <c r="Z888" s="7">
        <f t="shared" si="1132"/>
        <v>8</v>
      </c>
      <c r="AA888" s="11">
        <f t="shared" si="1093"/>
        <v>0</v>
      </c>
      <c r="AB888" s="25"/>
      <c r="AC888" s="10" t="str">
        <f t="shared" si="1094"/>
        <v>OutubroSEMANA 3Torta Mousse de Chocolate Diet</v>
      </c>
      <c r="AD888" s="7">
        <f>SUMIF(NF!$A:$A,$AC888,NF!$I:$I)</f>
        <v>24</v>
      </c>
      <c r="AE888" s="6"/>
      <c r="AF888" s="6"/>
      <c r="AG888" s="6"/>
      <c r="AH888" s="6"/>
      <c r="AI888" s="6">
        <v>2</v>
      </c>
      <c r="AJ888" s="6"/>
      <c r="AK888" s="6">
        <v>2</v>
      </c>
      <c r="AL888" s="7">
        <f t="shared" si="1133"/>
        <v>4</v>
      </c>
      <c r="AM888" s="11">
        <f t="shared" si="1096"/>
        <v>20</v>
      </c>
      <c r="AN888" s="25"/>
      <c r="AO888" s="10" t="str">
        <f t="shared" si="1097"/>
        <v>OutubroSEMANA 4Torta Mousse de Chocolate Diet</v>
      </c>
      <c r="AP888" s="7">
        <f>SUMIF(NF!$A:$A,$AO888,NF!$I:$I)</f>
        <v>0</v>
      </c>
      <c r="AQ888" s="6">
        <v>1</v>
      </c>
      <c r="AR888" s="6"/>
      <c r="AS888" s="6"/>
      <c r="AT888" s="6"/>
      <c r="AU888" s="6">
        <v>1</v>
      </c>
      <c r="AV888" s="6">
        <v>1</v>
      </c>
      <c r="AW888" s="6">
        <v>1</v>
      </c>
      <c r="AX888" s="7">
        <f t="shared" si="1134"/>
        <v>4</v>
      </c>
      <c r="AY888" s="11">
        <f t="shared" si="1099"/>
        <v>16</v>
      </c>
      <c r="AZ888" s="25"/>
      <c r="BA888" s="10" t="str">
        <f t="shared" si="1100"/>
        <v>OutubroSEMANA 5Torta Mousse de Chocolate Diet</v>
      </c>
      <c r="BB888" s="7">
        <f>SUMIF(NF!$A:$A,$BA888,NF!$I:$I)</f>
        <v>0</v>
      </c>
      <c r="BC888" s="6">
        <v>1</v>
      </c>
      <c r="BD888" s="6"/>
      <c r="BE888" s="6">
        <v>1</v>
      </c>
      <c r="BF888" s="74"/>
      <c r="BG888" s="74"/>
      <c r="BH888" s="74"/>
      <c r="BI888" s="74"/>
      <c r="BJ888" s="74"/>
      <c r="BK888" s="7">
        <f t="shared" si="1135"/>
        <v>2</v>
      </c>
      <c r="BL888" s="8">
        <f t="shared" si="1102"/>
        <v>14</v>
      </c>
      <c r="BM888" s="51" t="str">
        <f>IFERROR(VLOOKUP(A888,NF!$M:$O,3,0),"")</f>
        <v>Sobremesa</v>
      </c>
      <c r="BN888" s="7">
        <f t="shared" si="1103"/>
        <v>25</v>
      </c>
      <c r="BO888" s="8">
        <f t="array" ref="BO888">IFERROR(LARGE(IF(NF!$G$2:$G$3137='Mês atual'!A888,NF!$J$2:$J$3137),1),0)*BN888</f>
        <v>122.72916666666667</v>
      </c>
      <c r="BP888" s="50"/>
      <c r="BR888" s="147">
        <f t="array" ref="BR888">IFERROR(LARGE(IF(NF!$G$2:$G$3137='Mês atual'!A888,NF!$J$2:$J$3137),1),0)</f>
        <v>4.9091666666666667</v>
      </c>
      <c r="BS888" s="143" t="str">
        <f>VLOOKUP(A888,NF!M:O,3,0)</f>
        <v>Sobremesa</v>
      </c>
    </row>
    <row r="889" spans="1:74" x14ac:dyDescent="0.25">
      <c r="A889" s="108" t="s">
        <v>993</v>
      </c>
      <c r="B889" s="12"/>
      <c r="C889" s="9"/>
      <c r="D889" s="25"/>
      <c r="E889" s="10" t="str">
        <f t="shared" si="1088"/>
        <v>OutubroSEMANA 1Torta Mousse Chocolate s/ Gluten/Lactose</v>
      </c>
      <c r="F889" s="7">
        <f>SUMIF(NF!$A:$A,$E889,NF!$I:$I)</f>
        <v>0</v>
      </c>
      <c r="G889" s="6"/>
      <c r="H889" s="6"/>
      <c r="I889" s="6"/>
      <c r="J889" s="6"/>
      <c r="K889" s="6"/>
      <c r="L889" s="6"/>
      <c r="M889" s="6"/>
      <c r="N889" s="7">
        <f t="shared" ref="N889" si="1136">SUM(G889:M889)</f>
        <v>0</v>
      </c>
      <c r="O889" s="11">
        <f t="shared" si="1090"/>
        <v>0</v>
      </c>
      <c r="P889" s="25"/>
      <c r="Q889" s="10" t="str">
        <f t="shared" si="1091"/>
        <v>OutubroSEMANA 2Torta Mousse Chocolate s/ Gluten/Lactose</v>
      </c>
      <c r="R889" s="7">
        <f>SUMIF(NF!$A:$A,$Q889,NF!$I:$I)</f>
        <v>0</v>
      </c>
      <c r="S889" s="6"/>
      <c r="T889" s="6"/>
      <c r="U889" s="6"/>
      <c r="V889" s="6"/>
      <c r="W889" s="6"/>
      <c r="X889" s="6"/>
      <c r="Y889" s="6"/>
      <c r="Z889" s="7">
        <f t="shared" ref="Z889" si="1137">SUM(S889:Y889)</f>
        <v>0</v>
      </c>
      <c r="AA889" s="11">
        <f t="shared" si="1093"/>
        <v>0</v>
      </c>
      <c r="AB889" s="25"/>
      <c r="AC889" s="10" t="str">
        <f t="shared" si="1094"/>
        <v>OutubroSEMANA 3Torta Mousse Chocolate s/ Gluten/Lactose</v>
      </c>
      <c r="AD889" s="7">
        <f>SUMIF(NF!$A:$A,$AC889,NF!$I:$I)</f>
        <v>0</v>
      </c>
      <c r="AE889" s="6"/>
      <c r="AF889" s="6"/>
      <c r="AG889" s="6"/>
      <c r="AH889" s="6"/>
      <c r="AI889" s="6"/>
      <c r="AJ889" s="6"/>
      <c r="AK889" s="6"/>
      <c r="AL889" s="7">
        <f t="shared" ref="AL889" si="1138">SUM(AE889:AK889)</f>
        <v>0</v>
      </c>
      <c r="AM889" s="11">
        <f t="shared" si="1096"/>
        <v>0</v>
      </c>
      <c r="AN889" s="25"/>
      <c r="AO889" s="10" t="str">
        <f t="shared" si="1097"/>
        <v>OutubroSEMANA 4Torta Mousse Chocolate s/ Gluten/Lactose</v>
      </c>
      <c r="AP889" s="7">
        <f>SUMIF(NF!$A:$A,$AO889,NF!$I:$I)</f>
        <v>0</v>
      </c>
      <c r="AQ889" s="6"/>
      <c r="AR889" s="6"/>
      <c r="AS889" s="6"/>
      <c r="AT889" s="6"/>
      <c r="AU889" s="6"/>
      <c r="AV889" s="6"/>
      <c r="AW889" s="6"/>
      <c r="AX889" s="7">
        <f t="shared" ref="AX889" si="1139">SUM(AQ889:AW889)</f>
        <v>0</v>
      </c>
      <c r="AY889" s="11">
        <f t="shared" si="1099"/>
        <v>0</v>
      </c>
      <c r="AZ889" s="25"/>
      <c r="BA889" s="10" t="str">
        <f t="shared" si="1100"/>
        <v>OutubroSEMANA 5Torta Mousse Chocolate s/ Gluten/Lactose</v>
      </c>
      <c r="BB889" s="7">
        <f>SUMIF(NF!$A:$A,$BA889,NF!$I:$I)</f>
        <v>0</v>
      </c>
      <c r="BC889" s="6"/>
      <c r="BD889" s="6"/>
      <c r="BE889" s="6"/>
      <c r="BF889" s="74"/>
      <c r="BG889" s="74"/>
      <c r="BH889" s="74"/>
      <c r="BI889" s="74"/>
      <c r="BJ889" s="74"/>
      <c r="BK889" s="7">
        <f t="shared" ref="BK889" si="1140">SUM(BC889:BJ889)</f>
        <v>0</v>
      </c>
      <c r="BL889" s="8">
        <f t="shared" si="1102"/>
        <v>0</v>
      </c>
      <c r="BM889" s="51" t="str">
        <f>IFERROR(VLOOKUP(A889,NF!$M:$O,3,0),"")</f>
        <v>Sobremesa</v>
      </c>
      <c r="BN889" s="7">
        <f t="shared" si="1103"/>
        <v>0</v>
      </c>
      <c r="BO889" s="8">
        <f t="array" ref="BO889">IFERROR(LARGE(IF(NF!$G$2:$G$3137='Mês atual'!A889,NF!$J$2:$J$3137),1),0)*BN889</f>
        <v>0</v>
      </c>
      <c r="BP889" s="50"/>
      <c r="BR889" s="147">
        <f t="array" ref="BR889">IFERROR(LARGE(IF(NF!$G$2:$G$3137='Mês atual'!A889,NF!$J$2:$J$3137),1),0)</f>
        <v>0</v>
      </c>
      <c r="BS889" s="143" t="str">
        <f>VLOOKUP(A889,NF!M:O,3,0)</f>
        <v>Sobremesa</v>
      </c>
    </row>
    <row r="890" spans="1:74" ht="15.75" thickBot="1" x14ac:dyDescent="0.3">
      <c r="A890" s="108" t="s">
        <v>819</v>
      </c>
      <c r="B890" s="12"/>
      <c r="C890" s="9">
        <v>21</v>
      </c>
      <c r="D890" s="25"/>
      <c r="E890" s="10" t="str">
        <f t="shared" si="1088"/>
        <v>OutubroSEMANA 1Torta Xcake Framboesa</v>
      </c>
      <c r="F890" s="7">
        <f>SUMIF(NF!$A:$A,$E890,NF!$I:$I)</f>
        <v>36</v>
      </c>
      <c r="G890" s="6">
        <v>2</v>
      </c>
      <c r="H890" s="6"/>
      <c r="I890" s="6">
        <v>1</v>
      </c>
      <c r="J890" s="6"/>
      <c r="K890" s="6"/>
      <c r="L890" s="6"/>
      <c r="M890" s="6">
        <v>2</v>
      </c>
      <c r="N890" s="7">
        <f t="shared" ref="N890" si="1141">SUM(G890:M890)</f>
        <v>5</v>
      </c>
      <c r="O890" s="11">
        <f t="shared" si="1090"/>
        <v>52</v>
      </c>
      <c r="P890" s="25"/>
      <c r="Q890" s="10" t="str">
        <f t="shared" si="1091"/>
        <v>OutubroSEMANA 2Torta Xcake Framboesa</v>
      </c>
      <c r="R890" s="7">
        <f>SUMIF(NF!$A:$A,$Q890,NF!$I:$I)</f>
        <v>0</v>
      </c>
      <c r="S890" s="6">
        <v>8</v>
      </c>
      <c r="T890" s="6"/>
      <c r="U890" s="6"/>
      <c r="V890" s="6">
        <v>2</v>
      </c>
      <c r="W890" s="6">
        <v>5</v>
      </c>
      <c r="X890" s="6">
        <v>1</v>
      </c>
      <c r="Y890" s="6"/>
      <c r="Z890" s="7">
        <f t="shared" ref="Z890" si="1142">SUM(S890:Y890)</f>
        <v>16</v>
      </c>
      <c r="AA890" s="11">
        <f t="shared" si="1093"/>
        <v>36</v>
      </c>
      <c r="AB890" s="25"/>
      <c r="AC890" s="10" t="str">
        <f t="shared" si="1094"/>
        <v>OutubroSEMANA 3Torta Xcake Framboesa</v>
      </c>
      <c r="AD890" s="7">
        <f>SUMIF(NF!$A:$A,$AC890,NF!$I:$I)</f>
        <v>0</v>
      </c>
      <c r="AE890" s="6">
        <v>4</v>
      </c>
      <c r="AF890" s="6">
        <v>1</v>
      </c>
      <c r="AG890" s="6">
        <v>2</v>
      </c>
      <c r="AH890" s="6">
        <v>2</v>
      </c>
      <c r="AI890" s="6"/>
      <c r="AJ890" s="6"/>
      <c r="AK890" s="6">
        <v>2</v>
      </c>
      <c r="AL890" s="7">
        <f t="shared" ref="AL890" si="1143">SUM(AE890:AK890)</f>
        <v>11</v>
      </c>
      <c r="AM890" s="11">
        <f t="shared" si="1096"/>
        <v>25</v>
      </c>
      <c r="AN890" s="25"/>
      <c r="AO890" s="10" t="str">
        <f t="shared" si="1097"/>
        <v>OutubroSEMANA 4Torta Xcake Framboesa</v>
      </c>
      <c r="AP890" s="7">
        <f>SUMIF(NF!$A:$A,$AO890,NF!$I:$I)</f>
        <v>0</v>
      </c>
      <c r="AQ890" s="6">
        <v>5</v>
      </c>
      <c r="AR890" s="6"/>
      <c r="AS890" s="6"/>
      <c r="AT890" s="6">
        <v>2</v>
      </c>
      <c r="AU890" s="6">
        <v>1</v>
      </c>
      <c r="AV890" s="6">
        <v>2</v>
      </c>
      <c r="AW890" s="6">
        <v>1</v>
      </c>
      <c r="AX890" s="7">
        <f t="shared" ref="AX890" si="1144">SUM(AQ890:AW890)</f>
        <v>11</v>
      </c>
      <c r="AY890" s="11">
        <f t="shared" si="1099"/>
        <v>14</v>
      </c>
      <c r="AZ890" s="25"/>
      <c r="BA890" s="10" t="str">
        <f t="shared" si="1100"/>
        <v>OutubroSEMANA 5Torta Xcake Framboesa</v>
      </c>
      <c r="BB890" s="7">
        <f>SUMIF(NF!$A:$A,$BA890,NF!$I:$I)</f>
        <v>0</v>
      </c>
      <c r="BC890" s="6">
        <v>7</v>
      </c>
      <c r="BD890" s="6"/>
      <c r="BE890" s="6"/>
      <c r="BF890" s="74"/>
      <c r="BG890" s="74"/>
      <c r="BH890" s="74"/>
      <c r="BI890" s="74"/>
      <c r="BJ890" s="74"/>
      <c r="BK890" s="7">
        <f t="shared" ref="BK890" si="1145">SUM(BC890:BJ890)</f>
        <v>7</v>
      </c>
      <c r="BL890" s="8">
        <f t="shared" si="1102"/>
        <v>7</v>
      </c>
      <c r="BM890" s="51" t="str">
        <f>IFERROR(VLOOKUP(A890,NF!$M:$O,3,0),"")</f>
        <v>Sobremesa</v>
      </c>
      <c r="BN890" s="7">
        <f t="shared" si="1103"/>
        <v>50</v>
      </c>
      <c r="BO890" s="8">
        <f t="array" ref="BO890">IFERROR(LARGE(IF(NF!$G$2:$G$3137='Mês atual'!A890,NF!$J$2:$J$3137),1),0)*BN890</f>
        <v>308.33333333333337</v>
      </c>
      <c r="BP890" s="50"/>
      <c r="BR890" s="147">
        <f t="array" ref="BR890">IFERROR(LARGE(IF(NF!$G$2:$G$3137='Mês atual'!A890,NF!$J$2:$J$3137),1),0)</f>
        <v>6.166666666666667</v>
      </c>
      <c r="BS890" s="143" t="str">
        <f>VLOOKUP(A890,NF!M:O,3,0)</f>
        <v>Sobremesa</v>
      </c>
    </row>
    <row r="891" spans="1:74" s="16" customFormat="1" ht="30" customHeight="1" thickBot="1" x14ac:dyDescent="0.3">
      <c r="A891" s="139" t="s">
        <v>929</v>
      </c>
      <c r="B891" s="130"/>
      <c r="C891" s="131"/>
      <c r="D891" s="132"/>
      <c r="E891" s="133"/>
      <c r="F891" s="134"/>
      <c r="G891" s="133"/>
      <c r="H891" s="133"/>
      <c r="I891" s="133"/>
      <c r="J891" s="133"/>
      <c r="K891" s="133"/>
      <c r="L891" s="133"/>
      <c r="M891" s="133"/>
      <c r="N891" s="134"/>
      <c r="O891" s="134"/>
      <c r="P891" s="132"/>
      <c r="Q891" s="133"/>
      <c r="R891" s="134"/>
      <c r="S891" s="133"/>
      <c r="T891" s="133"/>
      <c r="U891" s="133"/>
      <c r="V891" s="133"/>
      <c r="W891" s="133"/>
      <c r="X891" s="133"/>
      <c r="Y891" s="133"/>
      <c r="Z891" s="134"/>
      <c r="AA891" s="134"/>
      <c r="AB891" s="132"/>
      <c r="AC891" s="133"/>
      <c r="AD891" s="134"/>
      <c r="AE891" s="133"/>
      <c r="AF891" s="133"/>
      <c r="AG891" s="133"/>
      <c r="AH891" s="133"/>
      <c r="AI891" s="133"/>
      <c r="AJ891" s="133"/>
      <c r="AK891" s="133"/>
      <c r="AL891" s="134"/>
      <c r="AM891" s="134"/>
      <c r="AN891" s="132"/>
      <c r="AO891" s="133"/>
      <c r="AP891" s="134"/>
      <c r="AQ891" s="133"/>
      <c r="AR891" s="133"/>
      <c r="AS891" s="133"/>
      <c r="AT891" s="133"/>
      <c r="AU891" s="133"/>
      <c r="AV891" s="133"/>
      <c r="AW891" s="133"/>
      <c r="AX891" s="134"/>
      <c r="AY891" s="134"/>
      <c r="AZ891" s="132"/>
      <c r="BA891" s="133"/>
      <c r="BB891" s="134"/>
      <c r="BC891" s="133"/>
      <c r="BD891" s="133"/>
      <c r="BE891" s="133"/>
      <c r="BF891" s="135"/>
      <c r="BG891" s="135"/>
      <c r="BH891" s="135"/>
      <c r="BI891" s="135"/>
      <c r="BJ891" s="135"/>
      <c r="BK891" s="134"/>
      <c r="BL891" s="134"/>
      <c r="BM891" s="136"/>
      <c r="BN891" s="137"/>
      <c r="BO891" s="137"/>
      <c r="BP891" s="138"/>
      <c r="BQ891" s="145"/>
      <c r="BR891" s="145"/>
      <c r="BS891" s="145"/>
      <c r="BT891" s="146"/>
      <c r="BU891" s="146"/>
      <c r="BV891" s="146"/>
    </row>
    <row r="892" spans="1:74" x14ac:dyDescent="0.25">
      <c r="A892" s="108" t="s">
        <v>64</v>
      </c>
      <c r="B892" s="12"/>
      <c r="C892" s="9"/>
      <c r="D892" s="25"/>
      <c r="E892" s="10" t="str">
        <f t="shared" ref="E892:E965" si="1146">CONCATENATE($C$2,$F$1,$A892)</f>
        <v>OutubroSEMANA 1Abacate Sushi</v>
      </c>
      <c r="F892" s="7">
        <f>SUMIF(NF!$A:$A,$E892,NF!$I:$I)</f>
        <v>1</v>
      </c>
      <c r="G892" s="6"/>
      <c r="H892" s="6"/>
      <c r="I892" s="6">
        <v>1</v>
      </c>
      <c r="J892" s="6"/>
      <c r="K892" s="6"/>
      <c r="L892" s="6"/>
      <c r="M892" s="6"/>
      <c r="N892" s="7">
        <f t="shared" ref="N892:N905" si="1147">SUM(G892:M892)</f>
        <v>1</v>
      </c>
      <c r="O892" s="11">
        <f t="shared" ref="O892:O965" si="1148">F892+C892-N892</f>
        <v>0</v>
      </c>
      <c r="P892" s="25"/>
      <c r="Q892" s="10" t="str">
        <f t="shared" ref="Q892:Q965" si="1149">CONCATENATE($C$2,$R$1,$A892)</f>
        <v>OutubroSEMANA 2Abacate Sushi</v>
      </c>
      <c r="R892" s="7">
        <f>SUMIF(NF!$A:$A,$Q892,NF!$I:$I)</f>
        <v>2.996</v>
      </c>
      <c r="S892" s="6"/>
      <c r="T892" s="6">
        <v>0.996</v>
      </c>
      <c r="U892" s="6"/>
      <c r="V892" s="6">
        <v>1</v>
      </c>
      <c r="W892" s="6"/>
      <c r="X892" s="6"/>
      <c r="Y892" s="6">
        <v>1</v>
      </c>
      <c r="Z892" s="7">
        <f t="shared" ref="Z892:Z905" si="1150">SUM(S892:Y892)</f>
        <v>2.996</v>
      </c>
      <c r="AA892" s="11">
        <f t="shared" ref="AA892:AA965" si="1151">R892+O892-Z892</f>
        <v>0</v>
      </c>
      <c r="AB892" s="25"/>
      <c r="AC892" s="10" t="str">
        <f t="shared" ref="AC892:AC965" si="1152">CONCATENATE($C$2,$AD$1,$A892)</f>
        <v>OutubroSEMANA 3Abacate Sushi</v>
      </c>
      <c r="AD892" s="7">
        <f>SUMIF(NF!$A:$A,$AC892,NF!$I:$I)</f>
        <v>3</v>
      </c>
      <c r="AE892" s="6"/>
      <c r="AF892" s="6">
        <v>1</v>
      </c>
      <c r="AG892" s="6"/>
      <c r="AH892" s="6"/>
      <c r="AI892" s="6"/>
      <c r="AJ892" s="6"/>
      <c r="AK892" s="6">
        <v>2</v>
      </c>
      <c r="AL892" s="7">
        <f t="shared" ref="AL892:AL905" si="1153">SUM(AE892:AK892)</f>
        <v>3</v>
      </c>
      <c r="AM892" s="11">
        <f t="shared" ref="AM892:AM965" si="1154">AD892+AA892-AL892</f>
        <v>0</v>
      </c>
      <c r="AN892" s="25"/>
      <c r="AO892" s="10" t="str">
        <f t="shared" ref="AO892:AO965" si="1155">CONCATENATE($C$2,$AP$1,$A892)</f>
        <v>OutubroSEMANA 4Abacate Sushi</v>
      </c>
      <c r="AP892" s="7">
        <f>SUMIF(NF!$A:$A,$AO892,NF!$I:$I)</f>
        <v>2</v>
      </c>
      <c r="AQ892" s="6"/>
      <c r="AR892" s="6"/>
      <c r="AS892" s="6"/>
      <c r="AT892" s="6"/>
      <c r="AU892" s="6"/>
      <c r="AV892" s="6">
        <v>1</v>
      </c>
      <c r="AW892" s="6">
        <v>1</v>
      </c>
      <c r="AX892" s="7">
        <f t="shared" ref="AX892:AX905" si="1156">SUM(AQ892:AW892)</f>
        <v>2</v>
      </c>
      <c r="AY892" s="11">
        <f t="shared" ref="AY892:AY965" si="1157">AP892+AM892-AX892</f>
        <v>0</v>
      </c>
      <c r="AZ892" s="25"/>
      <c r="BA892" s="10" t="str">
        <f t="shared" ref="BA892:BA965" si="1158">CONCATENATE($C$2,$BB$1,$A892)</f>
        <v>OutubroSEMANA 5Abacate Sushi</v>
      </c>
      <c r="BB892" s="7">
        <f>SUMIF(NF!$A:$A,$BA892,NF!$I:$I)</f>
        <v>0</v>
      </c>
      <c r="BC892" s="6"/>
      <c r="BD892" s="6"/>
      <c r="BE892" s="6"/>
      <c r="BF892" s="74"/>
      <c r="BG892" s="74"/>
      <c r="BH892" s="74"/>
      <c r="BI892" s="74"/>
      <c r="BJ892" s="74"/>
      <c r="BK892" s="7">
        <f t="shared" ref="BK892:BK905" si="1159">SUM(BC892:BJ892)</f>
        <v>0</v>
      </c>
      <c r="BL892" s="8">
        <f t="shared" ref="BL892:BL965" si="1160">BB892+AY892-BK892</f>
        <v>0</v>
      </c>
      <c r="BM892" s="51" t="str">
        <f>IFERROR(VLOOKUP(A892,NF!$M:$O,3,0),"")</f>
        <v>Sushi</v>
      </c>
      <c r="BN892" s="7">
        <f t="shared" ref="BN892:BN965" si="1161">SUM(N892,Z892,AL892,AX892,BK892)</f>
        <v>8.9960000000000004</v>
      </c>
      <c r="BO892" s="8">
        <f t="array" ref="BO892">IFERROR(LARGE(IF(NF!$G$2:$G$3137='Mês atual'!A892,NF!$J$2:$J$3137),1),0)*BN892</f>
        <v>71.968000000000004</v>
      </c>
      <c r="BP892" s="50"/>
      <c r="BR892" s="147">
        <f t="array" ref="BR892">IFERROR(LARGE(IF(NF!$G$2:$G$3137='Mês atual'!A892,NF!$J$2:$J$3137),1),0)</f>
        <v>8</v>
      </c>
      <c r="BS892" s="143" t="str">
        <f>VLOOKUP(A892,NF!M:O,3,0)</f>
        <v>Sushi</v>
      </c>
    </row>
    <row r="893" spans="1:74" x14ac:dyDescent="0.25">
      <c r="A893" s="108" t="s">
        <v>994</v>
      </c>
      <c r="B893" s="12"/>
      <c r="C893" s="9"/>
      <c r="D893" s="25"/>
      <c r="E893" s="10" t="str">
        <f t="shared" si="1146"/>
        <v>OutubroSEMANA 1Abacaxi (sushi)</v>
      </c>
      <c r="F893" s="7">
        <f>SUMIF(NF!$A:$A,$E893,NF!$I:$I)</f>
        <v>0</v>
      </c>
      <c r="G893" s="6"/>
      <c r="H893" s="6"/>
      <c r="I893" s="6"/>
      <c r="J893" s="6"/>
      <c r="K893" s="6"/>
      <c r="L893" s="6"/>
      <c r="M893" s="6"/>
      <c r="N893" s="7">
        <f t="shared" ref="N893" si="1162">SUM(G893:M893)</f>
        <v>0</v>
      </c>
      <c r="O893" s="11">
        <f t="shared" ref="O893" si="1163">F893+C893-N893</f>
        <v>0</v>
      </c>
      <c r="P893" s="25"/>
      <c r="Q893" s="10" t="str">
        <f t="shared" si="1149"/>
        <v>OutubroSEMANA 2Abacaxi (sushi)</v>
      </c>
      <c r="R893" s="7">
        <f>SUMIF(NF!$A:$A,$Q893,NF!$I:$I)</f>
        <v>0</v>
      </c>
      <c r="S893" s="6"/>
      <c r="T893" s="6"/>
      <c r="U893" s="6"/>
      <c r="V893" s="6"/>
      <c r="W893" s="6"/>
      <c r="X893" s="6"/>
      <c r="Y893" s="6"/>
      <c r="Z893" s="7">
        <f t="shared" ref="Z893" si="1164">SUM(S893:Y893)</f>
        <v>0</v>
      </c>
      <c r="AA893" s="11">
        <f t="shared" ref="AA893" si="1165">R893+O893-Z893</f>
        <v>0</v>
      </c>
      <c r="AB893" s="25"/>
      <c r="AC893" s="10" t="str">
        <f t="shared" si="1152"/>
        <v>OutubroSEMANA 3Abacaxi (sushi)</v>
      </c>
      <c r="AD893" s="7">
        <f>SUMIF(NF!$A:$A,$AC893,NF!$I:$I)</f>
        <v>0</v>
      </c>
      <c r="AE893" s="6"/>
      <c r="AF893" s="6"/>
      <c r="AG893" s="6"/>
      <c r="AH893" s="6"/>
      <c r="AI893" s="6"/>
      <c r="AJ893" s="6"/>
      <c r="AK893" s="6"/>
      <c r="AL893" s="7">
        <f t="shared" ref="AL893" si="1166">SUM(AE893:AK893)</f>
        <v>0</v>
      </c>
      <c r="AM893" s="11">
        <f t="shared" ref="AM893" si="1167">AD893+AA893-AL893</f>
        <v>0</v>
      </c>
      <c r="AN893" s="25"/>
      <c r="AO893" s="10" t="str">
        <f t="shared" si="1155"/>
        <v>OutubroSEMANA 4Abacaxi (sushi)</v>
      </c>
      <c r="AP893" s="7">
        <f>SUMIF(NF!$A:$A,$AO893,NF!$I:$I)</f>
        <v>0</v>
      </c>
      <c r="AQ893" s="6"/>
      <c r="AR893" s="6"/>
      <c r="AS893" s="6"/>
      <c r="AT893" s="6"/>
      <c r="AU893" s="6"/>
      <c r="AV893" s="6"/>
      <c r="AW893" s="6"/>
      <c r="AX893" s="7">
        <f t="shared" ref="AX893" si="1168">SUM(AQ893:AW893)</f>
        <v>0</v>
      </c>
      <c r="AY893" s="11">
        <f t="shared" ref="AY893" si="1169">AP893+AM893-AX893</f>
        <v>0</v>
      </c>
      <c r="AZ893" s="25"/>
      <c r="BA893" s="10" t="str">
        <f t="shared" si="1158"/>
        <v>OutubroSEMANA 5Abacaxi (sushi)</v>
      </c>
      <c r="BB893" s="7">
        <f>SUMIF(NF!$A:$A,$BA893,NF!$I:$I)</f>
        <v>0</v>
      </c>
      <c r="BC893" s="6"/>
      <c r="BD893" s="6"/>
      <c r="BE893" s="6"/>
      <c r="BF893" s="74"/>
      <c r="BG893" s="74"/>
      <c r="BH893" s="74"/>
      <c r="BI893" s="74"/>
      <c r="BJ893" s="74"/>
      <c r="BK893" s="7">
        <f t="shared" ref="BK893" si="1170">SUM(BC893:BJ893)</f>
        <v>0</v>
      </c>
      <c r="BL893" s="8">
        <f t="shared" ref="BL893" si="1171">BB893+AY893-BK893</f>
        <v>0</v>
      </c>
      <c r="BM893" s="51" t="str">
        <f>IFERROR(VLOOKUP(A893,NF!$M:$O,3,0),"")</f>
        <v>Sushi</v>
      </c>
      <c r="BN893" s="7">
        <f t="shared" ref="BN893" si="1172">SUM(N893,Z893,AL893,AX893,BK893)</f>
        <v>0</v>
      </c>
      <c r="BO893" s="8">
        <f t="array" ref="BO893">IFERROR(LARGE(IF(NF!$G$2:$G$3137='Mês atual'!A893,NF!$J$2:$J$3137),1),0)*BN893</f>
        <v>0</v>
      </c>
      <c r="BP893" s="50"/>
      <c r="BR893" s="147">
        <f t="array" ref="BR893">IFERROR(LARGE(IF(NF!$G$2:$G$3137='Mês atual'!A893,NF!$J$2:$J$3137),1),0)</f>
        <v>0</v>
      </c>
      <c r="BS893" s="143" t="str">
        <f>VLOOKUP(A893,NF!M:O,3,0)</f>
        <v>Sushi</v>
      </c>
    </row>
    <row r="894" spans="1:74" x14ac:dyDescent="0.25">
      <c r="A894" s="108" t="s">
        <v>900</v>
      </c>
      <c r="B894" s="12"/>
      <c r="C894" s="9"/>
      <c r="D894" s="25"/>
      <c r="E894" s="10" t="str">
        <f t="shared" si="1146"/>
        <v>OutubroSEMANA 1Abobrinha Sushi</v>
      </c>
      <c r="F894" s="7">
        <f>SUMIF(NF!$A:$A,$E894,NF!$I:$I)</f>
        <v>0</v>
      </c>
      <c r="G894" s="6"/>
      <c r="H894" s="6"/>
      <c r="I894" s="6"/>
      <c r="J894" s="6"/>
      <c r="K894" s="6"/>
      <c r="L894" s="6"/>
      <c r="M894" s="6"/>
      <c r="N894" s="7">
        <f t="shared" si="1147"/>
        <v>0</v>
      </c>
      <c r="O894" s="11">
        <f t="shared" si="1148"/>
        <v>0</v>
      </c>
      <c r="P894" s="25"/>
      <c r="Q894" s="10" t="str">
        <f t="shared" si="1149"/>
        <v>OutubroSEMANA 2Abobrinha Sushi</v>
      </c>
      <c r="R894" s="7">
        <f>SUMIF(NF!$A:$A,$Q894,NF!$I:$I)</f>
        <v>0</v>
      </c>
      <c r="S894" s="6"/>
      <c r="T894" s="6"/>
      <c r="U894" s="6"/>
      <c r="V894" s="6"/>
      <c r="W894" s="6"/>
      <c r="X894" s="6"/>
      <c r="Y894" s="6"/>
      <c r="Z894" s="7">
        <f t="shared" si="1150"/>
        <v>0</v>
      </c>
      <c r="AA894" s="11">
        <f t="shared" si="1151"/>
        <v>0</v>
      </c>
      <c r="AB894" s="25"/>
      <c r="AC894" s="10" t="str">
        <f t="shared" si="1152"/>
        <v>OutubroSEMANA 3Abobrinha Sushi</v>
      </c>
      <c r="AD894" s="7">
        <f>SUMIF(NF!$A:$A,$AC894,NF!$I:$I)</f>
        <v>0</v>
      </c>
      <c r="AE894" s="6"/>
      <c r="AF894" s="6"/>
      <c r="AG894" s="6"/>
      <c r="AH894" s="6"/>
      <c r="AI894" s="6"/>
      <c r="AJ894" s="6"/>
      <c r="AK894" s="6"/>
      <c r="AL894" s="7">
        <f t="shared" si="1153"/>
        <v>0</v>
      </c>
      <c r="AM894" s="11">
        <f t="shared" si="1154"/>
        <v>0</v>
      </c>
      <c r="AN894" s="25"/>
      <c r="AO894" s="10" t="str">
        <f t="shared" si="1155"/>
        <v>OutubroSEMANA 4Abobrinha Sushi</v>
      </c>
      <c r="AP894" s="7">
        <f>SUMIF(NF!$A:$A,$AO894,NF!$I:$I)</f>
        <v>0</v>
      </c>
      <c r="AQ894" s="6"/>
      <c r="AR894" s="6"/>
      <c r="AS894" s="6"/>
      <c r="AT894" s="6"/>
      <c r="AU894" s="6"/>
      <c r="AV894" s="6"/>
      <c r="AW894" s="6"/>
      <c r="AX894" s="7">
        <f t="shared" si="1156"/>
        <v>0</v>
      </c>
      <c r="AY894" s="11">
        <f t="shared" si="1157"/>
        <v>0</v>
      </c>
      <c r="AZ894" s="25"/>
      <c r="BA894" s="10" t="str">
        <f t="shared" si="1158"/>
        <v>OutubroSEMANA 5Abobrinha Sushi</v>
      </c>
      <c r="BB894" s="7">
        <f>SUMIF(NF!$A:$A,$BA894,NF!$I:$I)</f>
        <v>0</v>
      </c>
      <c r="BC894" s="6"/>
      <c r="BD894" s="6"/>
      <c r="BE894" s="6"/>
      <c r="BF894" s="74"/>
      <c r="BG894" s="74"/>
      <c r="BH894" s="74"/>
      <c r="BI894" s="74"/>
      <c r="BJ894" s="74"/>
      <c r="BK894" s="7">
        <f t="shared" si="1159"/>
        <v>0</v>
      </c>
      <c r="BL894" s="8">
        <f t="shared" si="1160"/>
        <v>0</v>
      </c>
      <c r="BM894" s="51" t="str">
        <f>IFERROR(VLOOKUP(A894,NF!$M:$O,3,0),"")</f>
        <v>Sushi</v>
      </c>
      <c r="BN894" s="7">
        <f t="shared" si="1161"/>
        <v>0</v>
      </c>
      <c r="BO894" s="8">
        <f t="array" ref="BO894">IFERROR(LARGE(IF(NF!$G$2:$G$3137='Mês atual'!A894,NF!$J$2:$J$3137),1),0)*BN894</f>
        <v>0</v>
      </c>
      <c r="BP894" s="50"/>
      <c r="BR894" s="147">
        <f t="array" ref="BR894">IFERROR(LARGE(IF(NF!$G$2:$G$3137='Mês atual'!A894,NF!$J$2:$J$3137),1),0)</f>
        <v>0</v>
      </c>
      <c r="BS894" s="143" t="str">
        <f>VLOOKUP(A894,NF!M:O,3,0)</f>
        <v>Sushi</v>
      </c>
    </row>
    <row r="895" spans="1:74" x14ac:dyDescent="0.25">
      <c r="A895" s="108" t="s">
        <v>76</v>
      </c>
      <c r="B895" s="12"/>
      <c r="C895" s="9"/>
      <c r="D895" s="25"/>
      <c r="E895" s="10" t="str">
        <f t="shared" si="1146"/>
        <v>OutubroSEMANA 1Acelga sushi</v>
      </c>
      <c r="F895" s="7">
        <f>SUMIF(NF!$A:$A,$E895,NF!$I:$I)</f>
        <v>0</v>
      </c>
      <c r="G895" s="6"/>
      <c r="H895" s="6"/>
      <c r="I895" s="6"/>
      <c r="J895" s="6"/>
      <c r="K895" s="6"/>
      <c r="L895" s="6"/>
      <c r="M895" s="6"/>
      <c r="N895" s="7">
        <f t="shared" si="1147"/>
        <v>0</v>
      </c>
      <c r="O895" s="11">
        <f t="shared" si="1148"/>
        <v>0</v>
      </c>
      <c r="P895" s="25"/>
      <c r="Q895" s="10" t="str">
        <f t="shared" si="1149"/>
        <v>OutubroSEMANA 2Acelga sushi</v>
      </c>
      <c r="R895" s="7">
        <f>SUMIF(NF!$A:$A,$Q895,NF!$I:$I)</f>
        <v>0</v>
      </c>
      <c r="S895" s="6"/>
      <c r="T895" s="6"/>
      <c r="U895" s="6"/>
      <c r="V895" s="6"/>
      <c r="W895" s="6"/>
      <c r="X895" s="6"/>
      <c r="Y895" s="6"/>
      <c r="Z895" s="7">
        <f t="shared" si="1150"/>
        <v>0</v>
      </c>
      <c r="AA895" s="11">
        <f t="shared" si="1151"/>
        <v>0</v>
      </c>
      <c r="AB895" s="25"/>
      <c r="AC895" s="10" t="str">
        <f t="shared" si="1152"/>
        <v>OutubroSEMANA 3Acelga sushi</v>
      </c>
      <c r="AD895" s="7">
        <f>SUMIF(NF!$A:$A,$AC895,NF!$I:$I)</f>
        <v>0</v>
      </c>
      <c r="AE895" s="6"/>
      <c r="AF895" s="6"/>
      <c r="AG895" s="6"/>
      <c r="AH895" s="6"/>
      <c r="AI895" s="6"/>
      <c r="AJ895" s="6"/>
      <c r="AK895" s="6"/>
      <c r="AL895" s="7">
        <f t="shared" si="1153"/>
        <v>0</v>
      </c>
      <c r="AM895" s="11">
        <f t="shared" si="1154"/>
        <v>0</v>
      </c>
      <c r="AN895" s="25"/>
      <c r="AO895" s="10" t="str">
        <f t="shared" si="1155"/>
        <v>OutubroSEMANA 4Acelga sushi</v>
      </c>
      <c r="AP895" s="7">
        <f>SUMIF(NF!$A:$A,$AO895,NF!$I:$I)</f>
        <v>0</v>
      </c>
      <c r="AQ895" s="6"/>
      <c r="AR895" s="6"/>
      <c r="AS895" s="6"/>
      <c r="AT895" s="6"/>
      <c r="AU895" s="6"/>
      <c r="AV895" s="6"/>
      <c r="AW895" s="6"/>
      <c r="AX895" s="7">
        <f t="shared" si="1156"/>
        <v>0</v>
      </c>
      <c r="AY895" s="11">
        <f t="shared" si="1157"/>
        <v>0</v>
      </c>
      <c r="AZ895" s="25"/>
      <c r="BA895" s="10" t="str">
        <f t="shared" si="1158"/>
        <v>OutubroSEMANA 5Acelga sushi</v>
      </c>
      <c r="BB895" s="7">
        <f>SUMIF(NF!$A:$A,$BA895,NF!$I:$I)</f>
        <v>0</v>
      </c>
      <c r="BC895" s="6"/>
      <c r="BD895" s="6"/>
      <c r="BE895" s="6"/>
      <c r="BF895" s="74"/>
      <c r="BG895" s="74"/>
      <c r="BH895" s="74"/>
      <c r="BI895" s="74"/>
      <c r="BJ895" s="74"/>
      <c r="BK895" s="7">
        <f t="shared" si="1159"/>
        <v>0</v>
      </c>
      <c r="BL895" s="8">
        <f t="shared" si="1160"/>
        <v>0</v>
      </c>
      <c r="BM895" s="51" t="str">
        <f>IFERROR(VLOOKUP(A895,NF!$M:$O,3,0),"")</f>
        <v>Sushi</v>
      </c>
      <c r="BN895" s="7">
        <f t="shared" si="1161"/>
        <v>0</v>
      </c>
      <c r="BO895" s="8">
        <f t="array" ref="BO895">IFERROR(LARGE(IF(NF!$G$2:$G$3137='Mês atual'!A895,NF!$J$2:$J$3137),1),0)*BN895</f>
        <v>0</v>
      </c>
      <c r="BP895" s="50"/>
      <c r="BR895" s="147">
        <f t="array" ref="BR895">IFERROR(LARGE(IF(NF!$G$2:$G$3137='Mês atual'!A895,NF!$J$2:$J$3137),1),0)</f>
        <v>0</v>
      </c>
      <c r="BS895" s="143" t="str">
        <f>VLOOKUP(A895,NF!M:O,3,0)</f>
        <v>Sushi</v>
      </c>
    </row>
    <row r="896" spans="1:74" x14ac:dyDescent="0.25">
      <c r="A896" s="108" t="s">
        <v>80</v>
      </c>
      <c r="B896" s="12"/>
      <c r="C896" s="9">
        <v>6</v>
      </c>
      <c r="D896" s="25"/>
      <c r="E896" s="10" t="str">
        <f t="shared" si="1146"/>
        <v>OutubroSEMANA 1Açucar Refinado Sushi</v>
      </c>
      <c r="F896" s="7">
        <f>SUMIF(NF!$A:$A,$E896,NF!$I:$I)</f>
        <v>0</v>
      </c>
      <c r="G896" s="6"/>
      <c r="H896" s="6">
        <v>6</v>
      </c>
      <c r="I896" s="6"/>
      <c r="J896" s="6"/>
      <c r="K896" s="6"/>
      <c r="L896" s="6"/>
      <c r="M896" s="6"/>
      <c r="N896" s="7">
        <f t="shared" si="1147"/>
        <v>6</v>
      </c>
      <c r="O896" s="11">
        <f t="shared" si="1148"/>
        <v>0</v>
      </c>
      <c r="P896" s="25"/>
      <c r="Q896" s="10" t="str">
        <f t="shared" si="1149"/>
        <v>OutubroSEMANA 2Açucar Refinado Sushi</v>
      </c>
      <c r="R896" s="7">
        <f>SUMIF(NF!$A:$A,$Q896,NF!$I:$I)</f>
        <v>14</v>
      </c>
      <c r="S896" s="6"/>
      <c r="T896" s="6"/>
      <c r="U896" s="6"/>
      <c r="V896" s="6"/>
      <c r="W896" s="6"/>
      <c r="X896" s="6"/>
      <c r="Y896" s="6">
        <v>7</v>
      </c>
      <c r="Z896" s="7">
        <f t="shared" si="1150"/>
        <v>7</v>
      </c>
      <c r="AA896" s="11">
        <f t="shared" si="1151"/>
        <v>7</v>
      </c>
      <c r="AB896" s="25"/>
      <c r="AC896" s="10" t="str">
        <f t="shared" si="1152"/>
        <v>OutubroSEMANA 3Açucar Refinado Sushi</v>
      </c>
      <c r="AD896" s="7">
        <f>SUMIF(NF!$A:$A,$AC896,NF!$I:$I)</f>
        <v>0</v>
      </c>
      <c r="AE896" s="6"/>
      <c r="AF896" s="6"/>
      <c r="AG896" s="6"/>
      <c r="AH896" s="6"/>
      <c r="AI896" s="6">
        <v>1</v>
      </c>
      <c r="AJ896" s="6">
        <v>6</v>
      </c>
      <c r="AK896" s="6"/>
      <c r="AL896" s="7">
        <f t="shared" si="1153"/>
        <v>7</v>
      </c>
      <c r="AM896" s="11">
        <f t="shared" si="1154"/>
        <v>0</v>
      </c>
      <c r="AN896" s="25"/>
      <c r="AO896" s="10" t="str">
        <f t="shared" si="1155"/>
        <v>OutubroSEMANA 4Açucar Refinado Sushi</v>
      </c>
      <c r="AP896" s="7">
        <f>SUMIF(NF!$A:$A,$AO896,NF!$I:$I)</f>
        <v>0</v>
      </c>
      <c r="AQ896" s="6"/>
      <c r="AR896" s="6"/>
      <c r="AS896" s="6"/>
      <c r="AT896" s="6"/>
      <c r="AU896" s="6"/>
      <c r="AV896" s="6"/>
      <c r="AW896" s="6"/>
      <c r="AX896" s="7">
        <f t="shared" si="1156"/>
        <v>0</v>
      </c>
      <c r="AY896" s="11">
        <f t="shared" si="1157"/>
        <v>0</v>
      </c>
      <c r="AZ896" s="25"/>
      <c r="BA896" s="10" t="str">
        <f t="shared" si="1158"/>
        <v>OutubroSEMANA 5Açucar Refinado Sushi</v>
      </c>
      <c r="BB896" s="7">
        <f>SUMIF(NF!$A:$A,$BA896,NF!$I:$I)</f>
        <v>10</v>
      </c>
      <c r="BC896" s="6"/>
      <c r="BD896" s="6">
        <v>10</v>
      </c>
      <c r="BE896" s="6"/>
      <c r="BF896" s="74"/>
      <c r="BG896" s="74"/>
      <c r="BH896" s="74"/>
      <c r="BI896" s="74"/>
      <c r="BJ896" s="74"/>
      <c r="BK896" s="7">
        <f t="shared" si="1159"/>
        <v>10</v>
      </c>
      <c r="BL896" s="8">
        <f t="shared" si="1160"/>
        <v>0</v>
      </c>
      <c r="BM896" s="51" t="str">
        <f>IFERROR(VLOOKUP(A896,NF!$M:$O,3,0),"")</f>
        <v>Sushi</v>
      </c>
      <c r="BN896" s="7">
        <f t="shared" si="1161"/>
        <v>30</v>
      </c>
      <c r="BO896" s="8">
        <f t="array" ref="BO896">IFERROR(LARGE(IF(NF!$G$2:$G$3137='Mês atual'!A896,NF!$J$2:$J$3137),1),0)*BN896</f>
        <v>67.5</v>
      </c>
      <c r="BP896" s="50"/>
      <c r="BR896" s="147">
        <f t="array" ref="BR896">IFERROR(LARGE(IF(NF!$G$2:$G$3137='Mês atual'!A896,NF!$J$2:$J$3137),1),0)</f>
        <v>2.25</v>
      </c>
      <c r="BS896" s="143" t="str">
        <f>VLOOKUP(A896,NF!M:O,3,0)</f>
        <v>Sushi</v>
      </c>
    </row>
    <row r="897" spans="1:71" x14ac:dyDescent="0.25">
      <c r="A897" s="108" t="s">
        <v>87</v>
      </c>
      <c r="B897" s="12"/>
      <c r="C897" s="9"/>
      <c r="D897" s="25"/>
      <c r="E897" s="10" t="str">
        <f t="shared" si="1146"/>
        <v>OutubroSEMANA 1Agrião Sushi</v>
      </c>
      <c r="F897" s="7">
        <f>SUMIF(NF!$A:$A,$E897,NF!$I:$I)</f>
        <v>0</v>
      </c>
      <c r="G897" s="6"/>
      <c r="H897" s="6"/>
      <c r="I897" s="6"/>
      <c r="J897" s="6"/>
      <c r="K897" s="6"/>
      <c r="L897" s="6"/>
      <c r="M897" s="6"/>
      <c r="N897" s="7">
        <f t="shared" si="1147"/>
        <v>0</v>
      </c>
      <c r="O897" s="11">
        <f t="shared" si="1148"/>
        <v>0</v>
      </c>
      <c r="P897" s="25"/>
      <c r="Q897" s="10" t="str">
        <f t="shared" si="1149"/>
        <v>OutubroSEMANA 2Agrião Sushi</v>
      </c>
      <c r="R897" s="7">
        <f>SUMIF(NF!$A:$A,$Q897,NF!$I:$I)</f>
        <v>0</v>
      </c>
      <c r="S897" s="6"/>
      <c r="T897" s="6"/>
      <c r="U897" s="6"/>
      <c r="V897" s="6"/>
      <c r="W897" s="6"/>
      <c r="X897" s="6"/>
      <c r="Y897" s="6"/>
      <c r="Z897" s="7">
        <f t="shared" si="1150"/>
        <v>0</v>
      </c>
      <c r="AA897" s="11">
        <f t="shared" si="1151"/>
        <v>0</v>
      </c>
      <c r="AB897" s="25"/>
      <c r="AC897" s="10" t="str">
        <f t="shared" si="1152"/>
        <v>OutubroSEMANA 3Agrião Sushi</v>
      </c>
      <c r="AD897" s="7">
        <f>SUMIF(NF!$A:$A,$AC897,NF!$I:$I)</f>
        <v>0</v>
      </c>
      <c r="AE897" s="6"/>
      <c r="AF897" s="6"/>
      <c r="AG897" s="6"/>
      <c r="AH897" s="6"/>
      <c r="AI897" s="6"/>
      <c r="AJ897" s="6"/>
      <c r="AK897" s="6"/>
      <c r="AL897" s="7">
        <f t="shared" si="1153"/>
        <v>0</v>
      </c>
      <c r="AM897" s="11">
        <f t="shared" si="1154"/>
        <v>0</v>
      </c>
      <c r="AN897" s="25"/>
      <c r="AO897" s="10" t="str">
        <f t="shared" si="1155"/>
        <v>OutubroSEMANA 4Agrião Sushi</v>
      </c>
      <c r="AP897" s="7">
        <f>SUMIF(NF!$A:$A,$AO897,NF!$I:$I)</f>
        <v>0</v>
      </c>
      <c r="AQ897" s="6"/>
      <c r="AR897" s="6"/>
      <c r="AS897" s="6"/>
      <c r="AT897" s="6"/>
      <c r="AU897" s="6"/>
      <c r="AV897" s="6"/>
      <c r="AW897" s="6"/>
      <c r="AX897" s="7">
        <f t="shared" si="1156"/>
        <v>0</v>
      </c>
      <c r="AY897" s="11">
        <f t="shared" si="1157"/>
        <v>0</v>
      </c>
      <c r="AZ897" s="25"/>
      <c r="BA897" s="10" t="str">
        <f t="shared" si="1158"/>
        <v>OutubroSEMANA 5Agrião Sushi</v>
      </c>
      <c r="BB897" s="7">
        <f>SUMIF(NF!$A:$A,$BA897,NF!$I:$I)</f>
        <v>0</v>
      </c>
      <c r="BC897" s="6"/>
      <c r="BD897" s="6"/>
      <c r="BE897" s="6"/>
      <c r="BF897" s="74"/>
      <c r="BG897" s="74"/>
      <c r="BH897" s="74"/>
      <c r="BI897" s="74"/>
      <c r="BJ897" s="74"/>
      <c r="BK897" s="7">
        <f t="shared" si="1159"/>
        <v>0</v>
      </c>
      <c r="BL897" s="8">
        <f t="shared" si="1160"/>
        <v>0</v>
      </c>
      <c r="BM897" s="51" t="str">
        <f>IFERROR(VLOOKUP(A897,NF!$M:$O,3,0),"")</f>
        <v>Sushi</v>
      </c>
      <c r="BN897" s="7">
        <f t="shared" si="1161"/>
        <v>0</v>
      </c>
      <c r="BO897" s="8">
        <f t="array" ref="BO897">IFERROR(LARGE(IF(NF!$G$2:$G$3137='Mês atual'!A897,NF!$J$2:$J$3137),1),0)*BN897</f>
        <v>0</v>
      </c>
      <c r="BP897" s="50"/>
      <c r="BR897" s="147">
        <f t="array" ref="BR897">IFERROR(LARGE(IF(NF!$G$2:$G$3137='Mês atual'!A897,NF!$J$2:$J$3137),1),0)</f>
        <v>0</v>
      </c>
      <c r="BS897" s="143" t="str">
        <f>VLOOKUP(A897,NF!M:O,3,0)</f>
        <v>Sushi</v>
      </c>
    </row>
    <row r="898" spans="1:71" x14ac:dyDescent="0.25">
      <c r="A898" s="108" t="s">
        <v>106</v>
      </c>
      <c r="B898" s="12"/>
      <c r="C898" s="9"/>
      <c r="D898" s="25"/>
      <c r="E898" s="10" t="str">
        <f t="shared" si="1146"/>
        <v>OutubroSEMANA 1Alface Crespa Sushi</v>
      </c>
      <c r="F898" s="7">
        <f>SUMIF(NF!$A:$A,$E898,NF!$I:$I)</f>
        <v>0</v>
      </c>
      <c r="G898" s="6"/>
      <c r="H898" s="6"/>
      <c r="I898" s="6"/>
      <c r="J898" s="6"/>
      <c r="K898" s="6"/>
      <c r="L898" s="6"/>
      <c r="M898" s="6"/>
      <c r="N898" s="7">
        <f t="shared" si="1147"/>
        <v>0</v>
      </c>
      <c r="O898" s="11">
        <f t="shared" si="1148"/>
        <v>0</v>
      </c>
      <c r="P898" s="25"/>
      <c r="Q898" s="10" t="str">
        <f t="shared" si="1149"/>
        <v>OutubroSEMANA 2Alface Crespa Sushi</v>
      </c>
      <c r="R898" s="7">
        <f>SUMIF(NF!$A:$A,$Q898,NF!$I:$I)</f>
        <v>0</v>
      </c>
      <c r="S898" s="6"/>
      <c r="T898" s="6"/>
      <c r="U898" s="6"/>
      <c r="V898" s="6"/>
      <c r="W898" s="6"/>
      <c r="X898" s="6"/>
      <c r="Y898" s="6"/>
      <c r="Z898" s="7">
        <f t="shared" si="1150"/>
        <v>0</v>
      </c>
      <c r="AA898" s="11">
        <f t="shared" si="1151"/>
        <v>0</v>
      </c>
      <c r="AB898" s="25"/>
      <c r="AC898" s="10" t="str">
        <f t="shared" si="1152"/>
        <v>OutubroSEMANA 3Alface Crespa Sushi</v>
      </c>
      <c r="AD898" s="7">
        <f>SUMIF(NF!$A:$A,$AC898,NF!$I:$I)</f>
        <v>0</v>
      </c>
      <c r="AE898" s="6"/>
      <c r="AF898" s="6"/>
      <c r="AG898" s="6"/>
      <c r="AH898" s="6"/>
      <c r="AI898" s="6"/>
      <c r="AJ898" s="6"/>
      <c r="AK898" s="6"/>
      <c r="AL898" s="7">
        <f t="shared" si="1153"/>
        <v>0</v>
      </c>
      <c r="AM898" s="11">
        <f t="shared" si="1154"/>
        <v>0</v>
      </c>
      <c r="AN898" s="25"/>
      <c r="AO898" s="10" t="str">
        <f t="shared" si="1155"/>
        <v>OutubroSEMANA 4Alface Crespa Sushi</v>
      </c>
      <c r="AP898" s="7">
        <f>SUMIF(NF!$A:$A,$AO898,NF!$I:$I)</f>
        <v>0</v>
      </c>
      <c r="AQ898" s="6"/>
      <c r="AR898" s="6"/>
      <c r="AS898" s="6"/>
      <c r="AT898" s="6"/>
      <c r="AU898" s="6"/>
      <c r="AV898" s="6"/>
      <c r="AW898" s="6"/>
      <c r="AX898" s="7">
        <f t="shared" si="1156"/>
        <v>0</v>
      </c>
      <c r="AY898" s="11">
        <f t="shared" si="1157"/>
        <v>0</v>
      </c>
      <c r="AZ898" s="25"/>
      <c r="BA898" s="10" t="str">
        <f t="shared" si="1158"/>
        <v>OutubroSEMANA 5Alface Crespa Sushi</v>
      </c>
      <c r="BB898" s="7">
        <f>SUMIF(NF!$A:$A,$BA898,NF!$I:$I)</f>
        <v>0</v>
      </c>
      <c r="BC898" s="6"/>
      <c r="BD898" s="6"/>
      <c r="BE898" s="6"/>
      <c r="BF898" s="74"/>
      <c r="BG898" s="74"/>
      <c r="BH898" s="74"/>
      <c r="BI898" s="74"/>
      <c r="BJ898" s="74"/>
      <c r="BK898" s="7">
        <f t="shared" si="1159"/>
        <v>0</v>
      </c>
      <c r="BL898" s="8">
        <f t="shared" si="1160"/>
        <v>0</v>
      </c>
      <c r="BM898" s="51" t="str">
        <f>IFERROR(VLOOKUP(A898,NF!$M:$O,3,0),"")</f>
        <v>Sushi</v>
      </c>
      <c r="BN898" s="7">
        <f t="shared" si="1161"/>
        <v>0</v>
      </c>
      <c r="BO898" s="8">
        <f t="array" ref="BO898">IFERROR(LARGE(IF(NF!$G$2:$G$3137='Mês atual'!A898,NF!$J$2:$J$3137),1),0)*BN898</f>
        <v>0</v>
      </c>
      <c r="BP898" s="50"/>
      <c r="BR898" s="147">
        <f t="array" ref="BR898">IFERROR(LARGE(IF(NF!$G$2:$G$3137='Mês atual'!A898,NF!$J$2:$J$3137),1),0)</f>
        <v>0</v>
      </c>
      <c r="BS898" s="143" t="str">
        <f>VLOOKUP(A898,NF!M:O,3,0)</f>
        <v>Sushi</v>
      </c>
    </row>
    <row r="899" spans="1:71" x14ac:dyDescent="0.25">
      <c r="A899" s="108" t="s">
        <v>899</v>
      </c>
      <c r="B899" s="12"/>
      <c r="C899" s="9"/>
      <c r="D899" s="25"/>
      <c r="E899" s="10" t="str">
        <f t="shared" si="1146"/>
        <v>OutubroSEMANA 1Alho Poró Sushi</v>
      </c>
      <c r="F899" s="7">
        <f>SUMIF(NF!$A:$A,$E899,NF!$I:$I)</f>
        <v>0</v>
      </c>
      <c r="G899" s="6"/>
      <c r="H899" s="6"/>
      <c r="I899" s="6"/>
      <c r="J899" s="6"/>
      <c r="K899" s="6"/>
      <c r="L899" s="6"/>
      <c r="M899" s="6"/>
      <c r="N899" s="7">
        <f t="shared" si="1147"/>
        <v>0</v>
      </c>
      <c r="O899" s="11">
        <f t="shared" si="1148"/>
        <v>0</v>
      </c>
      <c r="P899" s="25"/>
      <c r="Q899" s="10" t="str">
        <f t="shared" si="1149"/>
        <v>OutubroSEMANA 2Alho Poró Sushi</v>
      </c>
      <c r="R899" s="7">
        <f>SUMIF(NF!$A:$A,$Q899,NF!$I:$I)</f>
        <v>0</v>
      </c>
      <c r="S899" s="6"/>
      <c r="T899" s="6"/>
      <c r="U899" s="6"/>
      <c r="V899" s="6"/>
      <c r="W899" s="6"/>
      <c r="X899" s="6"/>
      <c r="Y899" s="6"/>
      <c r="Z899" s="7">
        <f t="shared" si="1150"/>
        <v>0</v>
      </c>
      <c r="AA899" s="11">
        <f t="shared" si="1151"/>
        <v>0</v>
      </c>
      <c r="AB899" s="25"/>
      <c r="AC899" s="10" t="str">
        <f t="shared" si="1152"/>
        <v>OutubroSEMANA 3Alho Poró Sushi</v>
      </c>
      <c r="AD899" s="7">
        <f>SUMIF(NF!$A:$A,$AC899,NF!$I:$I)</f>
        <v>0</v>
      </c>
      <c r="AE899" s="6"/>
      <c r="AF899" s="6"/>
      <c r="AG899" s="6"/>
      <c r="AH899" s="6"/>
      <c r="AI899" s="6"/>
      <c r="AJ899" s="6"/>
      <c r="AK899" s="6"/>
      <c r="AL899" s="7">
        <f t="shared" si="1153"/>
        <v>0</v>
      </c>
      <c r="AM899" s="11">
        <f t="shared" si="1154"/>
        <v>0</v>
      </c>
      <c r="AN899" s="25"/>
      <c r="AO899" s="10" t="str">
        <f t="shared" si="1155"/>
        <v>OutubroSEMANA 4Alho Poró Sushi</v>
      </c>
      <c r="AP899" s="7">
        <f>SUMIF(NF!$A:$A,$AO899,NF!$I:$I)</f>
        <v>0</v>
      </c>
      <c r="AQ899" s="6"/>
      <c r="AR899" s="6"/>
      <c r="AS899" s="6"/>
      <c r="AT899" s="6"/>
      <c r="AU899" s="6"/>
      <c r="AV899" s="6"/>
      <c r="AW899" s="6"/>
      <c r="AX899" s="7">
        <f t="shared" si="1156"/>
        <v>0</v>
      </c>
      <c r="AY899" s="11">
        <f t="shared" si="1157"/>
        <v>0</v>
      </c>
      <c r="AZ899" s="25"/>
      <c r="BA899" s="10" t="str">
        <f t="shared" si="1158"/>
        <v>OutubroSEMANA 5Alho Poró Sushi</v>
      </c>
      <c r="BB899" s="7">
        <f>SUMIF(NF!$A:$A,$BA899,NF!$I:$I)</f>
        <v>0</v>
      </c>
      <c r="BC899" s="6"/>
      <c r="BD899" s="6"/>
      <c r="BE899" s="6"/>
      <c r="BF899" s="74"/>
      <c r="BG899" s="74"/>
      <c r="BH899" s="74"/>
      <c r="BI899" s="74"/>
      <c r="BJ899" s="74"/>
      <c r="BK899" s="7">
        <f t="shared" si="1159"/>
        <v>0</v>
      </c>
      <c r="BL899" s="8">
        <f t="shared" si="1160"/>
        <v>0</v>
      </c>
      <c r="BM899" s="51" t="str">
        <f>IFERROR(VLOOKUP(A899,NF!$M:$O,3,0),"")</f>
        <v>Sushi</v>
      </c>
      <c r="BN899" s="7">
        <f t="shared" si="1161"/>
        <v>0</v>
      </c>
      <c r="BO899" s="8">
        <f t="array" ref="BO899">IFERROR(LARGE(IF(NF!$G$2:$G$3137='Mês atual'!A899,NF!$J$2:$J$3137),1),0)*BN899</f>
        <v>0</v>
      </c>
      <c r="BP899" s="50"/>
      <c r="BR899" s="147">
        <f t="array" ref="BR899">IFERROR(LARGE(IF(NF!$G$2:$G$3137='Mês atual'!A899,NF!$J$2:$J$3137),1),0)</f>
        <v>0</v>
      </c>
      <c r="BS899" s="143" t="str">
        <f>VLOOKUP(A899,NF!M:O,3,0)</f>
        <v>Sushi</v>
      </c>
    </row>
    <row r="900" spans="1:71" x14ac:dyDescent="0.25">
      <c r="A900" s="108" t="s">
        <v>122</v>
      </c>
      <c r="B900" s="12"/>
      <c r="C900" s="9"/>
      <c r="D900" s="25"/>
      <c r="E900" s="10" t="str">
        <f t="shared" si="1146"/>
        <v>OutubroSEMANA 1Anelina Sushi</v>
      </c>
      <c r="F900" s="7">
        <f>SUMIF(NF!$A:$A,$E900,NF!$I:$I)</f>
        <v>0</v>
      </c>
      <c r="G900" s="6"/>
      <c r="H900" s="6"/>
      <c r="I900" s="6"/>
      <c r="J900" s="6"/>
      <c r="K900" s="6"/>
      <c r="L900" s="6"/>
      <c r="M900" s="6"/>
      <c r="N900" s="7">
        <f t="shared" si="1147"/>
        <v>0</v>
      </c>
      <c r="O900" s="11">
        <f t="shared" si="1148"/>
        <v>0</v>
      </c>
      <c r="P900" s="25"/>
      <c r="Q900" s="10" t="str">
        <f t="shared" si="1149"/>
        <v>OutubroSEMANA 2Anelina Sushi</v>
      </c>
      <c r="R900" s="7">
        <f>SUMIF(NF!$A:$A,$Q900,NF!$I:$I)</f>
        <v>0</v>
      </c>
      <c r="S900" s="6"/>
      <c r="T900" s="6"/>
      <c r="U900" s="6"/>
      <c r="V900" s="6"/>
      <c r="W900" s="6"/>
      <c r="X900" s="6"/>
      <c r="Y900" s="6"/>
      <c r="Z900" s="7">
        <f t="shared" si="1150"/>
        <v>0</v>
      </c>
      <c r="AA900" s="11">
        <f t="shared" si="1151"/>
        <v>0</v>
      </c>
      <c r="AB900" s="25"/>
      <c r="AC900" s="10" t="str">
        <f t="shared" si="1152"/>
        <v>OutubroSEMANA 3Anelina Sushi</v>
      </c>
      <c r="AD900" s="7">
        <f>SUMIF(NF!$A:$A,$AC900,NF!$I:$I)</f>
        <v>0</v>
      </c>
      <c r="AE900" s="6"/>
      <c r="AF900" s="6"/>
      <c r="AG900" s="6"/>
      <c r="AH900" s="6"/>
      <c r="AI900" s="6"/>
      <c r="AJ900" s="6"/>
      <c r="AK900" s="6"/>
      <c r="AL900" s="7">
        <f t="shared" si="1153"/>
        <v>0</v>
      </c>
      <c r="AM900" s="11">
        <f t="shared" si="1154"/>
        <v>0</v>
      </c>
      <c r="AN900" s="25"/>
      <c r="AO900" s="10" t="str">
        <f t="shared" si="1155"/>
        <v>OutubroSEMANA 4Anelina Sushi</v>
      </c>
      <c r="AP900" s="7">
        <f>SUMIF(NF!$A:$A,$AO900,NF!$I:$I)</f>
        <v>0</v>
      </c>
      <c r="AQ900" s="6"/>
      <c r="AR900" s="6"/>
      <c r="AS900" s="6"/>
      <c r="AT900" s="6"/>
      <c r="AU900" s="6"/>
      <c r="AV900" s="6"/>
      <c r="AW900" s="6"/>
      <c r="AX900" s="7">
        <f t="shared" si="1156"/>
        <v>0</v>
      </c>
      <c r="AY900" s="11">
        <f t="shared" si="1157"/>
        <v>0</v>
      </c>
      <c r="AZ900" s="25"/>
      <c r="BA900" s="10" t="str">
        <f t="shared" si="1158"/>
        <v>OutubroSEMANA 5Anelina Sushi</v>
      </c>
      <c r="BB900" s="7">
        <f>SUMIF(NF!$A:$A,$BA900,NF!$I:$I)</f>
        <v>0</v>
      </c>
      <c r="BC900" s="6"/>
      <c r="BD900" s="6"/>
      <c r="BE900" s="6"/>
      <c r="BF900" s="74"/>
      <c r="BG900" s="74"/>
      <c r="BH900" s="74"/>
      <c r="BI900" s="74"/>
      <c r="BJ900" s="74"/>
      <c r="BK900" s="7">
        <f t="shared" si="1159"/>
        <v>0</v>
      </c>
      <c r="BL900" s="8">
        <f t="shared" si="1160"/>
        <v>0</v>
      </c>
      <c r="BM900" s="51" t="str">
        <f>IFERROR(VLOOKUP(A900,NF!$M:$O,3,0),"")</f>
        <v>Sushi</v>
      </c>
      <c r="BN900" s="7">
        <f t="shared" si="1161"/>
        <v>0</v>
      </c>
      <c r="BO900" s="8">
        <f t="array" ref="BO900">IFERROR(LARGE(IF(NF!$G$2:$G$3137='Mês atual'!A900,NF!$J$2:$J$3137),1),0)*BN900</f>
        <v>0</v>
      </c>
      <c r="BP900" s="50"/>
      <c r="BR900" s="147">
        <f t="array" ref="BR900">IFERROR(LARGE(IF(NF!$G$2:$G$3137='Mês atual'!A900,NF!$J$2:$J$3137),1),0)</f>
        <v>0</v>
      </c>
      <c r="BS900" s="143" t="str">
        <f>VLOOKUP(A900,NF!M:O,3,0)</f>
        <v>Sushi</v>
      </c>
    </row>
    <row r="901" spans="1:71" x14ac:dyDescent="0.25">
      <c r="A901" s="108" t="s">
        <v>902</v>
      </c>
      <c r="B901" s="12"/>
      <c r="C901" s="9">
        <v>100</v>
      </c>
      <c r="D901" s="25"/>
      <c r="E901" s="10" t="str">
        <f t="shared" si="1146"/>
        <v>OutubroSEMANA 1Arroz Japonês (sushi)</v>
      </c>
      <c r="F901" s="7">
        <f>SUMIF(NF!$A:$A,$E901,NF!$I:$I)</f>
        <v>0</v>
      </c>
      <c r="G901" s="6"/>
      <c r="H901" s="6"/>
      <c r="I901" s="6">
        <v>5</v>
      </c>
      <c r="J901" s="6"/>
      <c r="K901" s="6">
        <v>5</v>
      </c>
      <c r="L901" s="6">
        <v>5</v>
      </c>
      <c r="M901" s="6">
        <v>10</v>
      </c>
      <c r="N901" s="7">
        <f t="shared" si="1147"/>
        <v>25</v>
      </c>
      <c r="O901" s="11">
        <f t="shared" si="1148"/>
        <v>75</v>
      </c>
      <c r="P901" s="25"/>
      <c r="Q901" s="10" t="str">
        <f t="shared" si="1149"/>
        <v>OutubroSEMANA 2Arroz Japonês (sushi)</v>
      </c>
      <c r="R901" s="7">
        <f>SUMIF(NF!$A:$A,$Q901,NF!$I:$I)</f>
        <v>0</v>
      </c>
      <c r="S901" s="6"/>
      <c r="T901" s="6">
        <v>5</v>
      </c>
      <c r="U901" s="6">
        <v>10</v>
      </c>
      <c r="V901" s="6"/>
      <c r="W901" s="6"/>
      <c r="X901" s="6"/>
      <c r="Y901" s="6">
        <v>10</v>
      </c>
      <c r="Z901" s="7">
        <f t="shared" si="1150"/>
        <v>25</v>
      </c>
      <c r="AA901" s="11">
        <f t="shared" si="1151"/>
        <v>50</v>
      </c>
      <c r="AB901" s="25"/>
      <c r="AC901" s="10" t="str">
        <f t="shared" si="1152"/>
        <v>OutubroSEMANA 3Arroz Japonês (sushi)</v>
      </c>
      <c r="AD901" s="7">
        <f>SUMIF(NF!$A:$A,$AC901,NF!$I:$I)</f>
        <v>0</v>
      </c>
      <c r="AE901" s="6">
        <v>5</v>
      </c>
      <c r="AF901" s="6"/>
      <c r="AG901" s="6"/>
      <c r="AH901" s="6">
        <v>5</v>
      </c>
      <c r="AI901" s="6">
        <v>5</v>
      </c>
      <c r="AJ901" s="6">
        <v>10</v>
      </c>
      <c r="AK901" s="6">
        <v>5</v>
      </c>
      <c r="AL901" s="7">
        <f t="shared" si="1153"/>
        <v>30</v>
      </c>
      <c r="AM901" s="11">
        <f t="shared" si="1154"/>
        <v>20</v>
      </c>
      <c r="AN901" s="25"/>
      <c r="AO901" s="10" t="str">
        <f t="shared" si="1155"/>
        <v>OutubroSEMANA 4Arroz Japonês (sushi)</v>
      </c>
      <c r="AP901" s="7">
        <f>SUMIF(NF!$A:$A,$AO901,NF!$I:$I)</f>
        <v>30</v>
      </c>
      <c r="AQ901" s="6"/>
      <c r="AR901" s="6">
        <v>5</v>
      </c>
      <c r="AS901" s="6">
        <v>5</v>
      </c>
      <c r="AT901" s="6"/>
      <c r="AU901" s="6">
        <v>5</v>
      </c>
      <c r="AV901" s="6"/>
      <c r="AW901" s="6">
        <v>10</v>
      </c>
      <c r="AX901" s="7">
        <f t="shared" si="1156"/>
        <v>25</v>
      </c>
      <c r="AY901" s="11">
        <f t="shared" si="1157"/>
        <v>25</v>
      </c>
      <c r="AZ901" s="25"/>
      <c r="BA901" s="10" t="str">
        <f t="shared" si="1158"/>
        <v>OutubroSEMANA 5Arroz Japonês (sushi)</v>
      </c>
      <c r="BB901" s="7">
        <f>SUMIF(NF!$A:$A,$BA901,NF!$I:$I)</f>
        <v>0</v>
      </c>
      <c r="BC901" s="6"/>
      <c r="BD901" s="6"/>
      <c r="BE901" s="6">
        <v>5</v>
      </c>
      <c r="BF901" s="74"/>
      <c r="BG901" s="74"/>
      <c r="BH901" s="74"/>
      <c r="BI901" s="74"/>
      <c r="BJ901" s="74"/>
      <c r="BK901" s="7">
        <f t="shared" si="1159"/>
        <v>5</v>
      </c>
      <c r="BL901" s="8">
        <f t="shared" si="1160"/>
        <v>20</v>
      </c>
      <c r="BM901" s="51" t="str">
        <f>IFERROR(VLOOKUP(A901,NF!$M:$O,3,0),"")</f>
        <v>Sushi</v>
      </c>
      <c r="BN901" s="7">
        <f t="shared" si="1161"/>
        <v>110</v>
      </c>
      <c r="BO901" s="8">
        <f t="array" ref="BO901">IFERROR(LARGE(IF(NF!$G$2:$G$3137='Mês atual'!A901,NF!$J$2:$J$3137),1),0)*BN901</f>
        <v>623.33333333333337</v>
      </c>
      <c r="BP901" s="50"/>
      <c r="BR901" s="147">
        <f t="array" ref="BR901">IFERROR(LARGE(IF(NF!$G$2:$G$3137='Mês atual'!A901,NF!$J$2:$J$3137),1),0)</f>
        <v>5.666666666666667</v>
      </c>
      <c r="BS901" s="143" t="str">
        <f>VLOOKUP(A901,NF!M:O,3,0)</f>
        <v>Sushi</v>
      </c>
    </row>
    <row r="902" spans="1:71" x14ac:dyDescent="0.25">
      <c r="A902" s="108" t="s">
        <v>130</v>
      </c>
      <c r="B902" s="12"/>
      <c r="C902" s="9"/>
      <c r="D902" s="25"/>
      <c r="E902" s="10" t="str">
        <f t="shared" si="1146"/>
        <v>OutubroSEMANA 1Aspargos Fresco Sushi</v>
      </c>
      <c r="F902" s="7">
        <f>SUMIF(NF!$A:$A,$E902,NF!$I:$I)</f>
        <v>0</v>
      </c>
      <c r="G902" s="6"/>
      <c r="H902" s="6"/>
      <c r="I902" s="6"/>
      <c r="J902" s="6"/>
      <c r="K902" s="6"/>
      <c r="L902" s="6"/>
      <c r="M902" s="6"/>
      <c r="N902" s="7">
        <f t="shared" si="1147"/>
        <v>0</v>
      </c>
      <c r="O902" s="11">
        <f t="shared" si="1148"/>
        <v>0</v>
      </c>
      <c r="P902" s="25"/>
      <c r="Q902" s="10" t="str">
        <f t="shared" si="1149"/>
        <v>OutubroSEMANA 2Aspargos Fresco Sushi</v>
      </c>
      <c r="R902" s="7">
        <f>SUMIF(NF!$A:$A,$Q902,NF!$I:$I)</f>
        <v>0</v>
      </c>
      <c r="S902" s="6"/>
      <c r="T902" s="6"/>
      <c r="U902" s="6"/>
      <c r="V902" s="6"/>
      <c r="W902" s="6"/>
      <c r="X902" s="6"/>
      <c r="Y902" s="6"/>
      <c r="Z902" s="7">
        <f t="shared" si="1150"/>
        <v>0</v>
      </c>
      <c r="AA902" s="11">
        <f t="shared" si="1151"/>
        <v>0</v>
      </c>
      <c r="AB902" s="25"/>
      <c r="AC902" s="10" t="str">
        <f t="shared" si="1152"/>
        <v>OutubroSEMANA 3Aspargos Fresco Sushi</v>
      </c>
      <c r="AD902" s="7">
        <f>SUMIF(NF!$A:$A,$AC902,NF!$I:$I)</f>
        <v>0</v>
      </c>
      <c r="AE902" s="6"/>
      <c r="AF902" s="6"/>
      <c r="AG902" s="6"/>
      <c r="AH902" s="6"/>
      <c r="AI902" s="6"/>
      <c r="AJ902" s="6"/>
      <c r="AK902" s="6"/>
      <c r="AL902" s="7">
        <f t="shared" si="1153"/>
        <v>0</v>
      </c>
      <c r="AM902" s="11">
        <f t="shared" si="1154"/>
        <v>0</v>
      </c>
      <c r="AN902" s="25"/>
      <c r="AO902" s="10" t="str">
        <f t="shared" si="1155"/>
        <v>OutubroSEMANA 4Aspargos Fresco Sushi</v>
      </c>
      <c r="AP902" s="7">
        <f>SUMIF(NF!$A:$A,$AO902,NF!$I:$I)</f>
        <v>0</v>
      </c>
      <c r="AQ902" s="6"/>
      <c r="AR902" s="6"/>
      <c r="AS902" s="6"/>
      <c r="AT902" s="6"/>
      <c r="AU902" s="6"/>
      <c r="AV902" s="6"/>
      <c r="AW902" s="6"/>
      <c r="AX902" s="7">
        <f t="shared" si="1156"/>
        <v>0</v>
      </c>
      <c r="AY902" s="11">
        <f t="shared" si="1157"/>
        <v>0</v>
      </c>
      <c r="AZ902" s="25"/>
      <c r="BA902" s="10" t="str">
        <f t="shared" si="1158"/>
        <v>OutubroSEMANA 5Aspargos Fresco Sushi</v>
      </c>
      <c r="BB902" s="7">
        <f>SUMIF(NF!$A:$A,$BA902,NF!$I:$I)</f>
        <v>0</v>
      </c>
      <c r="BC902" s="6"/>
      <c r="BD902" s="6"/>
      <c r="BE902" s="6"/>
      <c r="BF902" s="74"/>
      <c r="BG902" s="74"/>
      <c r="BH902" s="74"/>
      <c r="BI902" s="74"/>
      <c r="BJ902" s="74"/>
      <c r="BK902" s="7">
        <f t="shared" si="1159"/>
        <v>0</v>
      </c>
      <c r="BL902" s="8">
        <f t="shared" si="1160"/>
        <v>0</v>
      </c>
      <c r="BM902" s="51" t="str">
        <f>IFERROR(VLOOKUP(A902,NF!$M:$O,3,0),"")</f>
        <v>Sushi</v>
      </c>
      <c r="BN902" s="7">
        <f t="shared" si="1161"/>
        <v>0</v>
      </c>
      <c r="BO902" s="8">
        <f t="array" ref="BO902">IFERROR(LARGE(IF(NF!$G$2:$G$3137='Mês atual'!A902,NF!$J$2:$J$3137),1),0)*BN902</f>
        <v>0</v>
      </c>
      <c r="BP902" s="50"/>
      <c r="BR902" s="147">
        <f t="array" ref="BR902">IFERROR(LARGE(IF(NF!$G$2:$G$3137='Mês atual'!A902,NF!$J$2:$J$3137),1),0)</f>
        <v>0</v>
      </c>
      <c r="BS902" s="143" t="str">
        <f>VLOOKUP(A902,NF!M:O,3,0)</f>
        <v>Sushi</v>
      </c>
    </row>
    <row r="903" spans="1:71" x14ac:dyDescent="0.25">
      <c r="A903" s="108" t="s">
        <v>1296</v>
      </c>
      <c r="B903" s="12"/>
      <c r="C903" s="9"/>
      <c r="D903" s="25"/>
      <c r="E903" s="10" t="str">
        <f t="shared" si="1146"/>
        <v>OutubroSEMANA 1Cebola (sushi)</v>
      </c>
      <c r="F903" s="7">
        <f>SUMIF(NF!$A:$A,$E903,NF!$I:$I)</f>
        <v>0</v>
      </c>
      <c r="G903" s="6"/>
      <c r="H903" s="6"/>
      <c r="I903" s="6"/>
      <c r="J903" s="6"/>
      <c r="K903" s="6"/>
      <c r="L903" s="6"/>
      <c r="M903" s="6"/>
      <c r="N903" s="7">
        <f t="shared" ref="N903" si="1173">SUM(G903:M903)</f>
        <v>0</v>
      </c>
      <c r="O903" s="11">
        <f t="shared" ref="O903" si="1174">F903+C903-N903</f>
        <v>0</v>
      </c>
      <c r="P903" s="25"/>
      <c r="Q903" s="10" t="str">
        <f t="shared" si="1149"/>
        <v>OutubroSEMANA 2Cebola (sushi)</v>
      </c>
      <c r="R903" s="7">
        <f>SUMIF(NF!$A:$A,$Q903,NF!$I:$I)</f>
        <v>0</v>
      </c>
      <c r="S903" s="6"/>
      <c r="T903" s="6"/>
      <c r="U903" s="6"/>
      <c r="V903" s="6"/>
      <c r="W903" s="6"/>
      <c r="X903" s="6"/>
      <c r="Y903" s="6"/>
      <c r="Z903" s="7">
        <f t="shared" ref="Z903" si="1175">SUM(S903:Y903)</f>
        <v>0</v>
      </c>
      <c r="AA903" s="11">
        <f t="shared" ref="AA903" si="1176">R903+O903-Z903</f>
        <v>0</v>
      </c>
      <c r="AB903" s="25"/>
      <c r="AC903" s="10" t="str">
        <f t="shared" si="1152"/>
        <v>OutubroSEMANA 3Cebola (sushi)</v>
      </c>
      <c r="AD903" s="7">
        <f>SUMIF(NF!$A:$A,$AC903,NF!$I:$I)</f>
        <v>0</v>
      </c>
      <c r="AE903" s="6"/>
      <c r="AF903" s="6"/>
      <c r="AG903" s="6"/>
      <c r="AH903" s="6"/>
      <c r="AI903" s="6"/>
      <c r="AJ903" s="6"/>
      <c r="AK903" s="6"/>
      <c r="AL903" s="7">
        <f t="shared" ref="AL903" si="1177">SUM(AE903:AK903)</f>
        <v>0</v>
      </c>
      <c r="AM903" s="11">
        <f t="shared" ref="AM903" si="1178">AD903+AA903-AL903</f>
        <v>0</v>
      </c>
      <c r="AN903" s="25"/>
      <c r="AO903" s="10" t="str">
        <f t="shared" si="1155"/>
        <v>OutubroSEMANA 4Cebola (sushi)</v>
      </c>
      <c r="AP903" s="7">
        <f>SUMIF(NF!$A:$A,$AO903,NF!$I:$I)</f>
        <v>0</v>
      </c>
      <c r="AQ903" s="6"/>
      <c r="AR903" s="6"/>
      <c r="AS903" s="6"/>
      <c r="AT903" s="6"/>
      <c r="AU903" s="6"/>
      <c r="AV903" s="6"/>
      <c r="AW903" s="6"/>
      <c r="AX903" s="7">
        <f t="shared" ref="AX903" si="1179">SUM(AQ903:AW903)</f>
        <v>0</v>
      </c>
      <c r="AY903" s="11">
        <f t="shared" ref="AY903" si="1180">AP903+AM903-AX903</f>
        <v>0</v>
      </c>
      <c r="AZ903" s="25"/>
      <c r="BA903" s="10" t="str">
        <f t="shared" si="1158"/>
        <v>OutubroSEMANA 5Cebola (sushi)</v>
      </c>
      <c r="BB903" s="7">
        <f>SUMIF(NF!$A:$A,$BA903,NF!$I:$I)</f>
        <v>0</v>
      </c>
      <c r="BC903" s="6"/>
      <c r="BD903" s="6"/>
      <c r="BE903" s="6"/>
      <c r="BF903" s="74"/>
      <c r="BG903" s="74"/>
      <c r="BH903" s="74"/>
      <c r="BI903" s="74"/>
      <c r="BJ903" s="74"/>
      <c r="BK903" s="7">
        <f t="shared" ref="BK903" si="1181">SUM(BC903:BJ903)</f>
        <v>0</v>
      </c>
      <c r="BL903" s="8">
        <f t="shared" ref="BL903" si="1182">BB903+AY903-BK903</f>
        <v>0</v>
      </c>
      <c r="BM903" s="51" t="str">
        <f>IFERROR(VLOOKUP(A903,NF!$M:$O,3,0),"")</f>
        <v>Sushi</v>
      </c>
      <c r="BN903" s="7">
        <f t="shared" ref="BN903" si="1183">SUM(N903,Z903,AL903,AX903,BK903)</f>
        <v>0</v>
      </c>
      <c r="BO903" s="8">
        <f t="array" ref="BO903">IFERROR(LARGE(IF(NF!$G$2:$G$3137='Mês atual'!A903,NF!$J$2:$J$3137),1),0)*BN903</f>
        <v>0</v>
      </c>
      <c r="BP903" s="50"/>
      <c r="BR903" s="147">
        <f t="array" ref="BR903">IFERROR(LARGE(IF(NF!$G$2:$G$3137='Mês atual'!A903,NF!$J$2:$J$3137),1),0)</f>
        <v>0</v>
      </c>
      <c r="BS903" s="143" t="str">
        <f>VLOOKUP(A903,NF!M:O,3,0)</f>
        <v>Sushi</v>
      </c>
    </row>
    <row r="904" spans="1:71" x14ac:dyDescent="0.25">
      <c r="A904" s="108" t="s">
        <v>248</v>
      </c>
      <c r="B904" s="12"/>
      <c r="C904" s="9"/>
      <c r="D904" s="25"/>
      <c r="E904" s="10" t="str">
        <f t="shared" si="1146"/>
        <v>OutubroSEMANA 1Cebolinha Verde Sushi</v>
      </c>
      <c r="F904" s="7">
        <f>SUMIF(NF!$A:$A,$E904,NF!$I:$I)</f>
        <v>0</v>
      </c>
      <c r="G904" s="6"/>
      <c r="H904" s="6"/>
      <c r="I904" s="6"/>
      <c r="J904" s="6"/>
      <c r="K904" s="6"/>
      <c r="L904" s="6"/>
      <c r="M904" s="6"/>
      <c r="N904" s="7">
        <f t="shared" si="1147"/>
        <v>0</v>
      </c>
      <c r="O904" s="11">
        <f t="shared" si="1148"/>
        <v>0</v>
      </c>
      <c r="P904" s="25"/>
      <c r="Q904" s="10" t="str">
        <f t="shared" si="1149"/>
        <v>OutubroSEMANA 2Cebolinha Verde Sushi</v>
      </c>
      <c r="R904" s="7">
        <f>SUMIF(NF!$A:$A,$Q904,NF!$I:$I)</f>
        <v>0.45</v>
      </c>
      <c r="S904" s="6"/>
      <c r="T904" s="6"/>
      <c r="U904" s="6"/>
      <c r="V904" s="6"/>
      <c r="W904" s="6"/>
      <c r="X904" s="6"/>
      <c r="Y904" s="6">
        <v>0.45</v>
      </c>
      <c r="Z904" s="7">
        <f t="shared" si="1150"/>
        <v>0.45</v>
      </c>
      <c r="AA904" s="11">
        <f t="shared" si="1151"/>
        <v>0</v>
      </c>
      <c r="AB904" s="25"/>
      <c r="AC904" s="10" t="str">
        <f t="shared" si="1152"/>
        <v>OutubroSEMANA 3Cebolinha Verde Sushi</v>
      </c>
      <c r="AD904" s="7">
        <f>SUMIF(NF!$A:$A,$AC904,NF!$I:$I)</f>
        <v>1.306</v>
      </c>
      <c r="AE904" s="6"/>
      <c r="AF904" s="6"/>
      <c r="AG904" s="6">
        <v>0.432</v>
      </c>
      <c r="AH904" s="6"/>
      <c r="AI904" s="6"/>
      <c r="AJ904" s="6">
        <v>0.41</v>
      </c>
      <c r="AK904" s="6">
        <v>0.46400000000000002</v>
      </c>
      <c r="AL904" s="7">
        <f t="shared" si="1153"/>
        <v>1.306</v>
      </c>
      <c r="AM904" s="11">
        <f t="shared" si="1154"/>
        <v>0</v>
      </c>
      <c r="AN904" s="25"/>
      <c r="AO904" s="10" t="str">
        <f t="shared" si="1155"/>
        <v>OutubroSEMANA 4Cebolinha Verde Sushi</v>
      </c>
      <c r="AP904" s="7">
        <f>SUMIF(NF!$A:$A,$AO904,NF!$I:$I)</f>
        <v>0.35799999999999998</v>
      </c>
      <c r="AQ904" s="6"/>
      <c r="AR904" s="6"/>
      <c r="AS904" s="6"/>
      <c r="AT904" s="6">
        <v>0.35799999999999998</v>
      </c>
      <c r="AU904" s="6"/>
      <c r="AV904" s="6"/>
      <c r="AW904" s="6"/>
      <c r="AX904" s="7">
        <f t="shared" si="1156"/>
        <v>0.35799999999999998</v>
      </c>
      <c r="AY904" s="11">
        <f t="shared" si="1157"/>
        <v>0</v>
      </c>
      <c r="AZ904" s="25"/>
      <c r="BA904" s="10" t="str">
        <f t="shared" si="1158"/>
        <v>OutubroSEMANA 5Cebolinha Verde Sushi</v>
      </c>
      <c r="BB904" s="7">
        <f>SUMIF(NF!$A:$A,$BA904,NF!$I:$I)</f>
        <v>0.28799999999999998</v>
      </c>
      <c r="BC904" s="6"/>
      <c r="BD904" s="6"/>
      <c r="BE904" s="6">
        <v>0.28799999999999998</v>
      </c>
      <c r="BF904" s="74"/>
      <c r="BG904" s="74"/>
      <c r="BH904" s="74"/>
      <c r="BI904" s="74"/>
      <c r="BJ904" s="74"/>
      <c r="BK904" s="7">
        <f t="shared" si="1159"/>
        <v>0.28799999999999998</v>
      </c>
      <c r="BL904" s="8">
        <f t="shared" si="1160"/>
        <v>0</v>
      </c>
      <c r="BM904" s="51" t="str">
        <f>IFERROR(VLOOKUP(A904,NF!$M:$O,3,0),"")</f>
        <v>Sushi</v>
      </c>
      <c r="BN904" s="7">
        <f t="shared" si="1161"/>
        <v>2.4019999999999997</v>
      </c>
      <c r="BO904" s="8">
        <f t="array" ref="BO904">IFERROR(LARGE(IF(NF!$G$2:$G$3137='Mês atual'!A904,NF!$J$2:$J$3137),1),0)*BN904</f>
        <v>18.014999999999997</v>
      </c>
      <c r="BP904" s="50"/>
      <c r="BR904" s="147">
        <f t="array" ref="BR904">IFERROR(LARGE(IF(NF!$G$2:$G$3137='Mês atual'!A904,NF!$J$2:$J$3137),1),0)</f>
        <v>7.5</v>
      </c>
      <c r="BS904" s="143" t="str">
        <f>VLOOKUP(A904,NF!M:O,3,0)</f>
        <v>Sushi</v>
      </c>
    </row>
    <row r="905" spans="1:71" x14ac:dyDescent="0.25">
      <c r="A905" s="108" t="s">
        <v>250</v>
      </c>
      <c r="B905" s="12"/>
      <c r="C905" s="9"/>
      <c r="D905" s="25"/>
      <c r="E905" s="10" t="str">
        <f t="shared" si="1146"/>
        <v>OutubroSEMANA 1Cenoura  Sushi</v>
      </c>
      <c r="F905" s="7">
        <f>SUMIF(NF!$A:$A,$E905,NF!$I:$I)</f>
        <v>0.66999999999999993</v>
      </c>
      <c r="G905" s="6"/>
      <c r="H905" s="6"/>
      <c r="I905" s="6"/>
      <c r="J905" s="6"/>
      <c r="K905" s="6"/>
      <c r="L905" s="6">
        <v>0.36</v>
      </c>
      <c r="M905" s="6">
        <v>0.31</v>
      </c>
      <c r="N905" s="7">
        <f t="shared" si="1147"/>
        <v>0.66999999999999993</v>
      </c>
      <c r="O905" s="11">
        <f t="shared" si="1148"/>
        <v>0</v>
      </c>
      <c r="P905" s="25"/>
      <c r="Q905" s="10" t="str">
        <f t="shared" si="1149"/>
        <v>OutubroSEMANA 2Cenoura  Sushi</v>
      </c>
      <c r="R905" s="7">
        <f>SUMIF(NF!$A:$A,$Q905,NF!$I:$I)</f>
        <v>0</v>
      </c>
      <c r="S905" s="6"/>
      <c r="T905" s="6"/>
      <c r="U905" s="6"/>
      <c r="V905" s="6"/>
      <c r="W905" s="6"/>
      <c r="X905" s="6"/>
      <c r="Y905" s="6"/>
      <c r="Z905" s="7">
        <f t="shared" si="1150"/>
        <v>0</v>
      </c>
      <c r="AA905" s="11">
        <f t="shared" si="1151"/>
        <v>0</v>
      </c>
      <c r="AB905" s="25"/>
      <c r="AC905" s="10" t="str">
        <f t="shared" si="1152"/>
        <v>OutubroSEMANA 3Cenoura  Sushi</v>
      </c>
      <c r="AD905" s="7">
        <f>SUMIF(NF!$A:$A,$AC905,NF!$I:$I)</f>
        <v>0.47599999999999998</v>
      </c>
      <c r="AE905" s="6"/>
      <c r="AF905" s="6"/>
      <c r="AG905" s="6"/>
      <c r="AH905" s="6"/>
      <c r="AI905" s="6">
        <v>0.26</v>
      </c>
      <c r="AJ905" s="6">
        <v>0.216</v>
      </c>
      <c r="AK905" s="6"/>
      <c r="AL905" s="7">
        <f t="shared" si="1153"/>
        <v>0.47599999999999998</v>
      </c>
      <c r="AM905" s="11">
        <f t="shared" si="1154"/>
        <v>0</v>
      </c>
      <c r="AN905" s="25"/>
      <c r="AO905" s="10" t="str">
        <f t="shared" si="1155"/>
        <v>OutubroSEMANA 4Cenoura  Sushi</v>
      </c>
      <c r="AP905" s="7">
        <f>SUMIF(NF!$A:$A,$AO905,NF!$I:$I)</f>
        <v>0.2</v>
      </c>
      <c r="AQ905" s="6"/>
      <c r="AR905" s="6"/>
      <c r="AS905" s="6"/>
      <c r="AT905" s="6">
        <v>0.2</v>
      </c>
      <c r="AU905" s="6"/>
      <c r="AV905" s="6"/>
      <c r="AW905" s="6"/>
      <c r="AX905" s="7">
        <f t="shared" si="1156"/>
        <v>0.2</v>
      </c>
      <c r="AY905" s="11">
        <f t="shared" si="1157"/>
        <v>0</v>
      </c>
      <c r="AZ905" s="25"/>
      <c r="BA905" s="10" t="str">
        <f t="shared" si="1158"/>
        <v>OutubroSEMANA 5Cenoura  Sushi</v>
      </c>
      <c r="BB905" s="7">
        <f>SUMIF(NF!$A:$A,$BA905,NF!$I:$I)</f>
        <v>0</v>
      </c>
      <c r="BC905" s="6"/>
      <c r="BD905" s="6"/>
      <c r="BE905" s="6"/>
      <c r="BF905" s="74"/>
      <c r="BG905" s="74"/>
      <c r="BH905" s="74"/>
      <c r="BI905" s="74"/>
      <c r="BJ905" s="74"/>
      <c r="BK905" s="7">
        <f t="shared" si="1159"/>
        <v>0</v>
      </c>
      <c r="BL905" s="8">
        <f t="shared" si="1160"/>
        <v>0</v>
      </c>
      <c r="BM905" s="51" t="str">
        <f>IFERROR(VLOOKUP(A905,NF!$M:$O,3,0),"")</f>
        <v>Sushi</v>
      </c>
      <c r="BN905" s="7">
        <f t="shared" si="1161"/>
        <v>1.3459999999999999</v>
      </c>
      <c r="BO905" s="8">
        <f t="array" ref="BO905">IFERROR(LARGE(IF(NF!$G$2:$G$3137='Mês atual'!A905,NF!$J$2:$J$3137),1),0)*BN905</f>
        <v>3.6174692049272115</v>
      </c>
      <c r="BP905" s="50"/>
      <c r="BR905" s="147">
        <f t="array" ref="BR905">IFERROR(LARGE(IF(NF!$G$2:$G$3137='Mês atual'!A905,NF!$J$2:$J$3137),1),0)</f>
        <v>2.6875699888017919</v>
      </c>
      <c r="BS905" s="143" t="str">
        <f>VLOOKUP(A905,NF!M:O,3,0)</f>
        <v>Sushi</v>
      </c>
    </row>
    <row r="906" spans="1:71" x14ac:dyDescent="0.25">
      <c r="A906" s="108" t="s">
        <v>997</v>
      </c>
      <c r="B906" s="12"/>
      <c r="C906" s="9"/>
      <c r="D906" s="25"/>
      <c r="E906" s="10" t="str">
        <f t="shared" si="1146"/>
        <v>OutubroSEMANA 1Cogumelo Paris Sushi</v>
      </c>
      <c r="F906" s="7">
        <f>SUMIF(NF!$A:$A,$E906,NF!$I:$I)</f>
        <v>0</v>
      </c>
      <c r="G906" s="6"/>
      <c r="H906" s="6"/>
      <c r="I906" s="6"/>
      <c r="J906" s="6"/>
      <c r="K906" s="6"/>
      <c r="L906" s="6"/>
      <c r="M906" s="6"/>
      <c r="N906" s="7">
        <f t="shared" ref="N906" si="1184">SUM(G906:M906)</f>
        <v>0</v>
      </c>
      <c r="O906" s="11">
        <f t="shared" ref="O906" si="1185">F906+C906-N906</f>
        <v>0</v>
      </c>
      <c r="P906" s="25"/>
      <c r="Q906" s="10" t="str">
        <f t="shared" si="1149"/>
        <v>OutubroSEMANA 2Cogumelo Paris Sushi</v>
      </c>
      <c r="R906" s="7">
        <f>SUMIF(NF!$A:$A,$Q906,NF!$I:$I)</f>
        <v>0</v>
      </c>
      <c r="S906" s="6"/>
      <c r="T906" s="6"/>
      <c r="U906" s="6"/>
      <c r="V906" s="6"/>
      <c r="W906" s="6"/>
      <c r="X906" s="6"/>
      <c r="Y906" s="6"/>
      <c r="Z906" s="7">
        <f t="shared" ref="Z906" si="1186">SUM(S906:Y906)</f>
        <v>0</v>
      </c>
      <c r="AA906" s="11">
        <f t="shared" ref="AA906" si="1187">R906+O906-Z906</f>
        <v>0</v>
      </c>
      <c r="AB906" s="25"/>
      <c r="AC906" s="10" t="str">
        <f t="shared" si="1152"/>
        <v>OutubroSEMANA 3Cogumelo Paris Sushi</v>
      </c>
      <c r="AD906" s="7">
        <f>SUMIF(NF!$A:$A,$AC906,NF!$I:$I)</f>
        <v>0</v>
      </c>
      <c r="AE906" s="6"/>
      <c r="AF906" s="6"/>
      <c r="AG906" s="6"/>
      <c r="AH906" s="6"/>
      <c r="AI906" s="6"/>
      <c r="AJ906" s="6"/>
      <c r="AK906" s="6"/>
      <c r="AL906" s="7">
        <f t="shared" ref="AL906" si="1188">SUM(AE906:AK906)</f>
        <v>0</v>
      </c>
      <c r="AM906" s="11">
        <f t="shared" ref="AM906" si="1189">AD906+AA906-AL906</f>
        <v>0</v>
      </c>
      <c r="AN906" s="25"/>
      <c r="AO906" s="10" t="str">
        <f t="shared" si="1155"/>
        <v>OutubroSEMANA 4Cogumelo Paris Sushi</v>
      </c>
      <c r="AP906" s="7">
        <f>SUMIF(NF!$A:$A,$AO906,NF!$I:$I)</f>
        <v>0</v>
      </c>
      <c r="AQ906" s="6"/>
      <c r="AR906" s="6"/>
      <c r="AS906" s="6"/>
      <c r="AT906" s="6"/>
      <c r="AU906" s="6"/>
      <c r="AV906" s="6"/>
      <c r="AW906" s="6"/>
      <c r="AX906" s="7">
        <f t="shared" ref="AX906" si="1190">SUM(AQ906:AW906)</f>
        <v>0</v>
      </c>
      <c r="AY906" s="11">
        <f t="shared" ref="AY906" si="1191">AP906+AM906-AX906</f>
        <v>0</v>
      </c>
      <c r="AZ906" s="25"/>
      <c r="BA906" s="10" t="str">
        <f t="shared" si="1158"/>
        <v>OutubroSEMANA 5Cogumelo Paris Sushi</v>
      </c>
      <c r="BB906" s="7">
        <f>SUMIF(NF!$A:$A,$BA906,NF!$I:$I)</f>
        <v>0</v>
      </c>
      <c r="BC906" s="6"/>
      <c r="BD906" s="6"/>
      <c r="BE906" s="6"/>
      <c r="BF906" s="74"/>
      <c r="BG906" s="74"/>
      <c r="BH906" s="74"/>
      <c r="BI906" s="74"/>
      <c r="BJ906" s="74"/>
      <c r="BK906" s="7">
        <f t="shared" ref="BK906" si="1192">SUM(BC906:BJ906)</f>
        <v>0</v>
      </c>
      <c r="BL906" s="8">
        <f t="shared" ref="BL906" si="1193">BB906+AY906-BK906</f>
        <v>0</v>
      </c>
      <c r="BM906" s="51" t="str">
        <f>IFERROR(VLOOKUP(A906,NF!$M:$O,3,0),"")</f>
        <v>Sushi</v>
      </c>
      <c r="BN906" s="7">
        <f t="shared" ref="BN906" si="1194">SUM(N906,Z906,AL906,AX906,BK906)</f>
        <v>0</v>
      </c>
      <c r="BO906" s="8">
        <f t="array" ref="BO906">IFERROR(LARGE(IF(NF!$G$2:$G$3137='Mês atual'!A906,NF!$J$2:$J$3137),1),0)*BN906</f>
        <v>0</v>
      </c>
      <c r="BP906" s="50"/>
      <c r="BR906" s="147">
        <f t="array" ref="BR906">IFERROR(LARGE(IF(NF!$G$2:$G$3137='Mês atual'!A906,NF!$J$2:$J$3137),1),0)</f>
        <v>0</v>
      </c>
      <c r="BS906" s="143" t="str">
        <f>VLOOKUP(A906,NF!M:O,3,0)</f>
        <v>Sushi</v>
      </c>
    </row>
    <row r="907" spans="1:71" x14ac:dyDescent="0.25">
      <c r="A907" s="108" t="s">
        <v>967</v>
      </c>
      <c r="B907" s="12"/>
      <c r="C907" s="9"/>
      <c r="D907" s="25"/>
      <c r="E907" s="10" t="str">
        <f t="shared" si="1146"/>
        <v>OutubroSEMANA 1Cogumelo Porto Belo Sushi</v>
      </c>
      <c r="F907" s="7">
        <f>SUMIF(NF!$A:$A,$E907,NF!$I:$I)</f>
        <v>0</v>
      </c>
      <c r="G907" s="6"/>
      <c r="H907" s="6"/>
      <c r="I907" s="6"/>
      <c r="J907" s="6"/>
      <c r="K907" s="6"/>
      <c r="L907" s="6"/>
      <c r="M907" s="6"/>
      <c r="N907" s="7">
        <f t="shared" ref="N907" si="1195">SUM(G907:M907)</f>
        <v>0</v>
      </c>
      <c r="O907" s="11">
        <f t="shared" si="1148"/>
        <v>0</v>
      </c>
      <c r="P907" s="25"/>
      <c r="Q907" s="10" t="str">
        <f t="shared" si="1149"/>
        <v>OutubroSEMANA 2Cogumelo Porto Belo Sushi</v>
      </c>
      <c r="R907" s="7">
        <f>SUMIF(NF!$A:$A,$Q907,NF!$I:$I)</f>
        <v>0</v>
      </c>
      <c r="S907" s="6"/>
      <c r="T907" s="6"/>
      <c r="U907" s="6"/>
      <c r="V907" s="6"/>
      <c r="W907" s="6"/>
      <c r="X907" s="6"/>
      <c r="Y907" s="6"/>
      <c r="Z907" s="7">
        <f t="shared" ref="Z907" si="1196">SUM(S907:Y907)</f>
        <v>0</v>
      </c>
      <c r="AA907" s="11">
        <f t="shared" si="1151"/>
        <v>0</v>
      </c>
      <c r="AB907" s="25"/>
      <c r="AC907" s="10" t="str">
        <f t="shared" si="1152"/>
        <v>OutubroSEMANA 3Cogumelo Porto Belo Sushi</v>
      </c>
      <c r="AD907" s="7">
        <f>SUMIF(NF!$A:$A,$AC907,NF!$I:$I)</f>
        <v>0</v>
      </c>
      <c r="AE907" s="6"/>
      <c r="AF907" s="6"/>
      <c r="AG907" s="6"/>
      <c r="AH907" s="6"/>
      <c r="AI907" s="6"/>
      <c r="AJ907" s="6"/>
      <c r="AK907" s="6"/>
      <c r="AL907" s="7">
        <f t="shared" ref="AL907" si="1197">SUM(AE907:AK907)</f>
        <v>0</v>
      </c>
      <c r="AM907" s="11">
        <f t="shared" si="1154"/>
        <v>0</v>
      </c>
      <c r="AN907" s="25"/>
      <c r="AO907" s="10" t="str">
        <f t="shared" si="1155"/>
        <v>OutubroSEMANA 4Cogumelo Porto Belo Sushi</v>
      </c>
      <c r="AP907" s="7">
        <f>SUMIF(NF!$A:$A,$AO907,NF!$I:$I)</f>
        <v>0</v>
      </c>
      <c r="AQ907" s="6"/>
      <c r="AR907" s="6"/>
      <c r="AS907" s="6"/>
      <c r="AT907" s="6"/>
      <c r="AU907" s="6"/>
      <c r="AV907" s="6"/>
      <c r="AW907" s="6"/>
      <c r="AX907" s="7">
        <f t="shared" ref="AX907" si="1198">SUM(AQ907:AW907)</f>
        <v>0</v>
      </c>
      <c r="AY907" s="11">
        <f t="shared" si="1157"/>
        <v>0</v>
      </c>
      <c r="AZ907" s="25"/>
      <c r="BA907" s="10" t="str">
        <f t="shared" si="1158"/>
        <v>OutubroSEMANA 5Cogumelo Porto Belo Sushi</v>
      </c>
      <c r="BB907" s="7">
        <f>SUMIF(NF!$A:$A,$BA907,NF!$I:$I)</f>
        <v>0</v>
      </c>
      <c r="BC907" s="6"/>
      <c r="BD907" s="6"/>
      <c r="BE907" s="6"/>
      <c r="BF907" s="74"/>
      <c r="BG907" s="74"/>
      <c r="BH907" s="74"/>
      <c r="BI907" s="74"/>
      <c r="BJ907" s="74"/>
      <c r="BK907" s="7">
        <f t="shared" ref="BK907" si="1199">SUM(BC907:BJ907)</f>
        <v>0</v>
      </c>
      <c r="BL907" s="8">
        <f t="shared" si="1160"/>
        <v>0</v>
      </c>
      <c r="BM907" s="51" t="str">
        <f>IFERROR(VLOOKUP(A907,NF!$M:$O,3,0),"")</f>
        <v>Sushi</v>
      </c>
      <c r="BN907" s="7">
        <f t="shared" si="1161"/>
        <v>0</v>
      </c>
      <c r="BO907" s="8">
        <f t="array" ref="BO907">IFERROR(LARGE(IF(NF!$G$2:$G$3137='Mês atual'!A907,NF!$J$2:$J$3137),1),0)*BN907</f>
        <v>0</v>
      </c>
      <c r="BP907" s="50"/>
      <c r="BR907" s="147">
        <f t="array" ref="BR907">IFERROR(LARGE(IF(NF!$G$2:$G$3137='Mês atual'!A907,NF!$J$2:$J$3137),1),0)</f>
        <v>0</v>
      </c>
      <c r="BS907" s="143" t="str">
        <f>VLOOKUP(A907,NF!M:O,3,0)</f>
        <v>Sushi</v>
      </c>
    </row>
    <row r="908" spans="1:71" x14ac:dyDescent="0.25">
      <c r="A908" s="108" t="s">
        <v>311</v>
      </c>
      <c r="B908" s="12"/>
      <c r="C908" s="9">
        <v>7.5</v>
      </c>
      <c r="D908" s="25"/>
      <c r="E908" s="10" t="str">
        <f t="shared" si="1146"/>
        <v>OutubroSEMANA 1Cream Cheese Sushi</v>
      </c>
      <c r="F908" s="7">
        <f>SUMIF(NF!$A:$A,$E908,NF!$I:$I)</f>
        <v>0</v>
      </c>
      <c r="G908" s="6"/>
      <c r="H908" s="6"/>
      <c r="I908" s="6">
        <v>1.5</v>
      </c>
      <c r="J908" s="6"/>
      <c r="K908" s="6"/>
      <c r="L908" s="6">
        <v>1.5</v>
      </c>
      <c r="M908" s="6">
        <v>1.5</v>
      </c>
      <c r="N908" s="7">
        <f t="shared" ref="N908:N913" si="1200">SUM(G908:M908)</f>
        <v>4.5</v>
      </c>
      <c r="O908" s="11">
        <f t="shared" si="1148"/>
        <v>3</v>
      </c>
      <c r="P908" s="25"/>
      <c r="Q908" s="10" t="str">
        <f t="shared" si="1149"/>
        <v>OutubroSEMANA 2Cream Cheese Sushi</v>
      </c>
      <c r="R908" s="7">
        <f>SUMIF(NF!$A:$A,$Q908,NF!$I:$I)</f>
        <v>12</v>
      </c>
      <c r="S908" s="6"/>
      <c r="T908" s="6"/>
      <c r="U908" s="6">
        <v>1.5</v>
      </c>
      <c r="V908" s="6"/>
      <c r="W908" s="6"/>
      <c r="X908" s="6"/>
      <c r="Y908" s="6">
        <v>1.5</v>
      </c>
      <c r="Z908" s="7">
        <f t="shared" ref="Z908:Z913" si="1201">SUM(S908:Y908)</f>
        <v>3</v>
      </c>
      <c r="AA908" s="11">
        <f t="shared" si="1151"/>
        <v>12</v>
      </c>
      <c r="AB908" s="25"/>
      <c r="AC908" s="10" t="str">
        <f t="shared" si="1152"/>
        <v>OutubroSEMANA 3Cream Cheese Sushi</v>
      </c>
      <c r="AD908" s="7">
        <f>SUMIF(NF!$A:$A,$AC908,NF!$I:$I)</f>
        <v>0</v>
      </c>
      <c r="AE908" s="6"/>
      <c r="AF908" s="6"/>
      <c r="AG908" s="6"/>
      <c r="AH908" s="6">
        <v>1.5</v>
      </c>
      <c r="AI908" s="6"/>
      <c r="AJ908" s="6">
        <v>1.5</v>
      </c>
      <c r="AK908" s="6"/>
      <c r="AL908" s="7">
        <f t="shared" ref="AL908:AL913" si="1202">SUM(AE908:AK908)</f>
        <v>3</v>
      </c>
      <c r="AM908" s="11">
        <f t="shared" si="1154"/>
        <v>9</v>
      </c>
      <c r="AN908" s="25"/>
      <c r="AO908" s="10" t="str">
        <f t="shared" si="1155"/>
        <v>OutubroSEMANA 4Cream Cheese Sushi</v>
      </c>
      <c r="AP908" s="7">
        <f>SUMIF(NF!$A:$A,$AO908,NF!$I:$I)</f>
        <v>0</v>
      </c>
      <c r="AQ908" s="6"/>
      <c r="AR908" s="6"/>
      <c r="AS908" s="6">
        <v>1.5</v>
      </c>
      <c r="AT908" s="6"/>
      <c r="AU908" s="6"/>
      <c r="AV908" s="6">
        <v>1.5</v>
      </c>
      <c r="AW908" s="6">
        <v>1.5</v>
      </c>
      <c r="AX908" s="7">
        <f t="shared" ref="AX908:AX913" si="1203">SUM(AQ908:AW908)</f>
        <v>4.5</v>
      </c>
      <c r="AY908" s="11">
        <f t="shared" si="1157"/>
        <v>4.5</v>
      </c>
      <c r="AZ908" s="25"/>
      <c r="BA908" s="10" t="str">
        <f t="shared" si="1158"/>
        <v>OutubroSEMANA 5Cream Cheese Sushi</v>
      </c>
      <c r="BB908" s="7">
        <f>SUMIF(NF!$A:$A,$BA908,NF!$I:$I)</f>
        <v>0</v>
      </c>
      <c r="BC908" s="6"/>
      <c r="BD908" s="6"/>
      <c r="BE908" s="6"/>
      <c r="BF908" s="74"/>
      <c r="BG908" s="74"/>
      <c r="BH908" s="74"/>
      <c r="BI908" s="74"/>
      <c r="BJ908" s="74"/>
      <c r="BK908" s="7">
        <f t="shared" ref="BK908:BK913" si="1204">SUM(BC908:BJ908)</f>
        <v>0</v>
      </c>
      <c r="BL908" s="8">
        <f t="shared" si="1160"/>
        <v>4.5</v>
      </c>
      <c r="BM908" s="51" t="str">
        <f>IFERROR(VLOOKUP(A908,NF!$M:$O,3,0),"")</f>
        <v>Sushi</v>
      </c>
      <c r="BN908" s="7">
        <f t="shared" si="1161"/>
        <v>15</v>
      </c>
      <c r="BO908" s="8">
        <f t="array" ref="BO908">IFERROR(LARGE(IF(NF!$G$2:$G$3137='Mês atual'!A908,NF!$J$2:$J$3137),1),0)*BN908</f>
        <v>367.5</v>
      </c>
      <c r="BP908" s="50"/>
      <c r="BR908" s="147">
        <f t="array" ref="BR908">IFERROR(LARGE(IF(NF!$G$2:$G$3137='Mês atual'!A908,NF!$J$2:$J$3137),1),0)</f>
        <v>24.5</v>
      </c>
      <c r="BS908" s="143" t="str">
        <f>VLOOKUP(A908,NF!M:O,3,0)</f>
        <v>Sushi</v>
      </c>
    </row>
    <row r="909" spans="1:71" x14ac:dyDescent="0.25">
      <c r="A909" s="108" t="s">
        <v>334</v>
      </c>
      <c r="B909" s="12"/>
      <c r="C909" s="9"/>
      <c r="D909" s="25"/>
      <c r="E909" s="10" t="str">
        <f t="shared" si="1146"/>
        <v>OutubroSEMANA 1Espinafre Sushi</v>
      </c>
      <c r="F909" s="7">
        <f>SUMIF(NF!$A:$A,$E909,NF!$I:$I)</f>
        <v>0</v>
      </c>
      <c r="G909" s="6"/>
      <c r="H909" s="6"/>
      <c r="I909" s="6"/>
      <c r="J909" s="6"/>
      <c r="K909" s="6"/>
      <c r="L909" s="6"/>
      <c r="M909" s="6"/>
      <c r="N909" s="7">
        <f t="shared" si="1200"/>
        <v>0</v>
      </c>
      <c r="O909" s="11">
        <f t="shared" si="1148"/>
        <v>0</v>
      </c>
      <c r="P909" s="25"/>
      <c r="Q909" s="10" t="str">
        <f t="shared" si="1149"/>
        <v>OutubroSEMANA 2Espinafre Sushi</v>
      </c>
      <c r="R909" s="7">
        <f>SUMIF(NF!$A:$A,$Q909,NF!$I:$I)</f>
        <v>0</v>
      </c>
      <c r="S909" s="6"/>
      <c r="T909" s="6"/>
      <c r="U909" s="6"/>
      <c r="V909" s="6"/>
      <c r="W909" s="6"/>
      <c r="X909" s="6"/>
      <c r="Y909" s="6"/>
      <c r="Z909" s="7">
        <f t="shared" si="1201"/>
        <v>0</v>
      </c>
      <c r="AA909" s="11">
        <f t="shared" si="1151"/>
        <v>0</v>
      </c>
      <c r="AB909" s="25"/>
      <c r="AC909" s="10" t="str">
        <f t="shared" si="1152"/>
        <v>OutubroSEMANA 3Espinafre Sushi</v>
      </c>
      <c r="AD909" s="7">
        <f>SUMIF(NF!$A:$A,$AC909,NF!$I:$I)</f>
        <v>0</v>
      </c>
      <c r="AE909" s="6"/>
      <c r="AF909" s="6"/>
      <c r="AG909" s="6"/>
      <c r="AH909" s="6"/>
      <c r="AI909" s="6"/>
      <c r="AJ909" s="6"/>
      <c r="AK909" s="6"/>
      <c r="AL909" s="7">
        <f t="shared" si="1202"/>
        <v>0</v>
      </c>
      <c r="AM909" s="11">
        <f t="shared" si="1154"/>
        <v>0</v>
      </c>
      <c r="AN909" s="25"/>
      <c r="AO909" s="10" t="str">
        <f t="shared" si="1155"/>
        <v>OutubroSEMANA 4Espinafre Sushi</v>
      </c>
      <c r="AP909" s="7">
        <f>SUMIF(NF!$A:$A,$AO909,NF!$I:$I)</f>
        <v>0</v>
      </c>
      <c r="AQ909" s="6"/>
      <c r="AR909" s="6"/>
      <c r="AS909" s="6"/>
      <c r="AT909" s="6"/>
      <c r="AU909" s="6"/>
      <c r="AV909" s="6"/>
      <c r="AW909" s="6"/>
      <c r="AX909" s="7">
        <f t="shared" si="1203"/>
        <v>0</v>
      </c>
      <c r="AY909" s="11">
        <f t="shared" si="1157"/>
        <v>0</v>
      </c>
      <c r="AZ909" s="25"/>
      <c r="BA909" s="10" t="str">
        <f t="shared" si="1158"/>
        <v>OutubroSEMANA 5Espinafre Sushi</v>
      </c>
      <c r="BB909" s="7">
        <f>SUMIF(NF!$A:$A,$BA909,NF!$I:$I)</f>
        <v>0</v>
      </c>
      <c r="BC909" s="6"/>
      <c r="BD909" s="6"/>
      <c r="BE909" s="6"/>
      <c r="BF909" s="74"/>
      <c r="BG909" s="74"/>
      <c r="BH909" s="74"/>
      <c r="BI909" s="74"/>
      <c r="BJ909" s="74"/>
      <c r="BK909" s="7">
        <f t="shared" si="1204"/>
        <v>0</v>
      </c>
      <c r="BL909" s="8">
        <f t="shared" si="1160"/>
        <v>0</v>
      </c>
      <c r="BM909" s="51" t="str">
        <f>IFERROR(VLOOKUP(A909,NF!$M:$O,3,0),"")</f>
        <v>Sushi</v>
      </c>
      <c r="BN909" s="7">
        <f t="shared" si="1161"/>
        <v>0</v>
      </c>
      <c r="BO909" s="8">
        <f t="array" ref="BO909">IFERROR(LARGE(IF(NF!$G$2:$G$3137='Mês atual'!A909,NF!$J$2:$J$3137),1),0)*BN909</f>
        <v>0</v>
      </c>
      <c r="BP909" s="50"/>
      <c r="BR909" s="147">
        <f t="array" ref="BR909">IFERROR(LARGE(IF(NF!$G$2:$G$3137='Mês atual'!A909,NF!$J$2:$J$3137),1),0)</f>
        <v>0</v>
      </c>
      <c r="BS909" s="143" t="str">
        <f>VLOOKUP(A909,NF!M:O,3,0)</f>
        <v>Sushi</v>
      </c>
    </row>
    <row r="910" spans="1:71" x14ac:dyDescent="0.25">
      <c r="A910" s="108" t="s">
        <v>1298</v>
      </c>
      <c r="B910" s="12"/>
      <c r="C910" s="9"/>
      <c r="D910" s="25"/>
      <c r="E910" s="10" t="str">
        <f t="shared" si="1146"/>
        <v>OutubroSEMANA 1Farinha de Trigo (sushi)</v>
      </c>
      <c r="F910" s="7">
        <f>SUMIF(NF!$A:$A,$E910,NF!$I:$I)</f>
        <v>1</v>
      </c>
      <c r="G910" s="6"/>
      <c r="H910" s="6"/>
      <c r="I910" s="6"/>
      <c r="J910" s="6"/>
      <c r="K910" s="6"/>
      <c r="L910" s="6"/>
      <c r="M910" s="6">
        <v>1</v>
      </c>
      <c r="N910" s="7">
        <f t="shared" si="1200"/>
        <v>1</v>
      </c>
      <c r="O910" s="11">
        <f t="shared" si="1148"/>
        <v>0</v>
      </c>
      <c r="P910" s="25"/>
      <c r="Q910" s="10" t="str">
        <f t="shared" si="1149"/>
        <v>OutubroSEMANA 2Farinha de Trigo (sushi)</v>
      </c>
      <c r="R910" s="7">
        <f>SUMIF(NF!$A:$A,$Q910,NF!$I:$I)</f>
        <v>0</v>
      </c>
      <c r="S910" s="6"/>
      <c r="T910" s="6"/>
      <c r="U910" s="6"/>
      <c r="V910" s="6"/>
      <c r="W910" s="6"/>
      <c r="X910" s="6"/>
      <c r="Y910" s="6"/>
      <c r="Z910" s="7">
        <f t="shared" si="1201"/>
        <v>0</v>
      </c>
      <c r="AA910" s="11">
        <f t="shared" si="1151"/>
        <v>0</v>
      </c>
      <c r="AB910" s="25"/>
      <c r="AC910" s="10" t="str">
        <f t="shared" si="1152"/>
        <v>OutubroSEMANA 3Farinha de Trigo (sushi)</v>
      </c>
      <c r="AD910" s="7">
        <f>SUMIF(NF!$A:$A,$AC910,NF!$I:$I)</f>
        <v>0</v>
      </c>
      <c r="AE910" s="6"/>
      <c r="AF910" s="6"/>
      <c r="AG910" s="6"/>
      <c r="AH910" s="6"/>
      <c r="AI910" s="6"/>
      <c r="AJ910" s="6"/>
      <c r="AK910" s="6"/>
      <c r="AL910" s="7">
        <f t="shared" si="1202"/>
        <v>0</v>
      </c>
      <c r="AM910" s="11">
        <f t="shared" si="1154"/>
        <v>0</v>
      </c>
      <c r="AN910" s="25"/>
      <c r="AO910" s="10" t="str">
        <f t="shared" si="1155"/>
        <v>OutubroSEMANA 4Farinha de Trigo (sushi)</v>
      </c>
      <c r="AP910" s="7">
        <f>SUMIF(NF!$A:$A,$AO910,NF!$I:$I)</f>
        <v>0</v>
      </c>
      <c r="AQ910" s="6"/>
      <c r="AR910" s="6"/>
      <c r="AS910" s="6"/>
      <c r="AT910" s="6"/>
      <c r="AU910" s="6"/>
      <c r="AV910" s="6"/>
      <c r="AW910" s="6"/>
      <c r="AX910" s="7">
        <f t="shared" si="1203"/>
        <v>0</v>
      </c>
      <c r="AY910" s="11">
        <f t="shared" si="1157"/>
        <v>0</v>
      </c>
      <c r="AZ910" s="25"/>
      <c r="BA910" s="10" t="str">
        <f t="shared" si="1158"/>
        <v>OutubroSEMANA 5Farinha de Trigo (sushi)</v>
      </c>
      <c r="BB910" s="7">
        <f>SUMIF(NF!$A:$A,$BA910,NF!$I:$I)</f>
        <v>0</v>
      </c>
      <c r="BC910" s="6"/>
      <c r="BD910" s="6"/>
      <c r="BE910" s="6"/>
      <c r="BF910" s="74"/>
      <c r="BG910" s="74"/>
      <c r="BH910" s="74"/>
      <c r="BI910" s="74"/>
      <c r="BJ910" s="74"/>
      <c r="BK910" s="7">
        <f t="shared" si="1204"/>
        <v>0</v>
      </c>
      <c r="BL910" s="8">
        <f t="shared" si="1160"/>
        <v>0</v>
      </c>
      <c r="BM910" s="51" t="str">
        <f>IFERROR(VLOOKUP(A910,NF!$M:$O,3,0),"")</f>
        <v>Sushi</v>
      </c>
      <c r="BN910" s="7">
        <f t="shared" si="1161"/>
        <v>1</v>
      </c>
      <c r="BO910" s="8">
        <f t="array" ref="BO910">IFERROR(LARGE(IF(NF!$G$2:$G$3137='Mês atual'!A910,NF!$J$2:$J$3137),1),0)*BN910</f>
        <v>1.6220000000000001</v>
      </c>
      <c r="BP910" s="50"/>
      <c r="BR910" s="147">
        <f t="array" ref="BR910">IFERROR(LARGE(IF(NF!$G$2:$G$3137='Mês atual'!A910,NF!$J$2:$J$3137),1),0)</f>
        <v>1.6220000000000001</v>
      </c>
      <c r="BS910" s="143" t="str">
        <f>VLOOKUP(A910,NF!M:O,3,0)</f>
        <v>Sushi</v>
      </c>
    </row>
    <row r="911" spans="1:71" x14ac:dyDescent="0.25">
      <c r="A911" s="108" t="s">
        <v>1294</v>
      </c>
      <c r="B911" s="12"/>
      <c r="C911" s="9"/>
      <c r="D911" s="25"/>
      <c r="E911" s="10" t="str">
        <f t="shared" si="1146"/>
        <v>OutubroSEMANA 1Farinha Panco (sushi)</v>
      </c>
      <c r="F911" s="7">
        <f>SUMIF(NF!$A:$A,$E911,NF!$I:$I)</f>
        <v>4</v>
      </c>
      <c r="G911" s="6"/>
      <c r="H911" s="6">
        <v>1</v>
      </c>
      <c r="I911" s="6"/>
      <c r="J911" s="6"/>
      <c r="K911" s="6"/>
      <c r="L911" s="6"/>
      <c r="M911" s="6">
        <v>1</v>
      </c>
      <c r="N911" s="7">
        <f t="shared" ref="N911" si="1205">SUM(G911:M911)</f>
        <v>2</v>
      </c>
      <c r="O911" s="11">
        <f t="shared" ref="O911" si="1206">F911+C911-N911</f>
        <v>2</v>
      </c>
      <c r="P911" s="25"/>
      <c r="Q911" s="10" t="str">
        <f t="shared" si="1149"/>
        <v>OutubroSEMANA 2Farinha Panco (sushi)</v>
      </c>
      <c r="R911" s="7">
        <f>SUMIF(NF!$A:$A,$Q911,NF!$I:$I)</f>
        <v>0</v>
      </c>
      <c r="S911" s="6"/>
      <c r="T911" s="6">
        <v>1</v>
      </c>
      <c r="U911" s="6"/>
      <c r="V911" s="6"/>
      <c r="W911" s="6"/>
      <c r="X911" s="6"/>
      <c r="Y911" s="6">
        <v>1</v>
      </c>
      <c r="Z911" s="7">
        <f t="shared" ref="Z911" si="1207">SUM(S911:Y911)</f>
        <v>2</v>
      </c>
      <c r="AA911" s="11">
        <f t="shared" ref="AA911" si="1208">R911+O911-Z911</f>
        <v>0</v>
      </c>
      <c r="AB911" s="25"/>
      <c r="AC911" s="10" t="str">
        <f t="shared" si="1152"/>
        <v>OutubroSEMANA 3Farinha Panco (sushi)</v>
      </c>
      <c r="AD911" s="7">
        <f>SUMIF(NF!$A:$A,$AC911,NF!$I:$I)</f>
        <v>2</v>
      </c>
      <c r="AE911" s="6"/>
      <c r="AF911" s="6"/>
      <c r="AG911" s="6"/>
      <c r="AH911" s="6"/>
      <c r="AI911" s="6">
        <v>1</v>
      </c>
      <c r="AJ911" s="6"/>
      <c r="AK911" s="6"/>
      <c r="AL911" s="7">
        <f t="shared" ref="AL911" si="1209">SUM(AE911:AK911)</f>
        <v>1</v>
      </c>
      <c r="AM911" s="11">
        <f t="shared" ref="AM911" si="1210">AD911+AA911-AL911</f>
        <v>1</v>
      </c>
      <c r="AN911" s="25"/>
      <c r="AO911" s="10" t="str">
        <f t="shared" si="1155"/>
        <v>OutubroSEMANA 4Farinha Panco (sushi)</v>
      </c>
      <c r="AP911" s="7">
        <f>SUMIF(NF!$A:$A,$AO911,NF!$I:$I)</f>
        <v>0</v>
      </c>
      <c r="AQ911" s="6"/>
      <c r="AR911" s="6"/>
      <c r="AS911" s="6"/>
      <c r="AT911" s="6"/>
      <c r="AU911" s="6"/>
      <c r="AV911" s="6"/>
      <c r="AW911" s="6">
        <v>1</v>
      </c>
      <c r="AX911" s="7">
        <f t="shared" ref="AX911" si="1211">SUM(AQ911:AW911)</f>
        <v>1</v>
      </c>
      <c r="AY911" s="11">
        <f t="shared" ref="AY911" si="1212">AP911+AM911-AX911</f>
        <v>0</v>
      </c>
      <c r="AZ911" s="25"/>
      <c r="BA911" s="10" t="str">
        <f t="shared" si="1158"/>
        <v>OutubroSEMANA 5Farinha Panco (sushi)</v>
      </c>
      <c r="BB911" s="7">
        <f>SUMIF(NF!$A:$A,$BA911,NF!$I:$I)</f>
        <v>0</v>
      </c>
      <c r="BC911" s="6"/>
      <c r="BD911" s="6"/>
      <c r="BE911" s="6"/>
      <c r="BF911" s="74"/>
      <c r="BG911" s="74"/>
      <c r="BH911" s="74"/>
      <c r="BI911" s="74"/>
      <c r="BJ911" s="74"/>
      <c r="BK911" s="7">
        <f t="shared" ref="BK911" si="1213">SUM(BC911:BJ911)</f>
        <v>0</v>
      </c>
      <c r="BL911" s="8">
        <f t="shared" ref="BL911" si="1214">BB911+AY911-BK911</f>
        <v>0</v>
      </c>
      <c r="BM911" s="51" t="str">
        <f>IFERROR(VLOOKUP(A911,NF!$M:$O,3,0),"")</f>
        <v>Sushi</v>
      </c>
      <c r="BN911" s="7">
        <f t="shared" ref="BN911" si="1215">SUM(N911,Z911,AL911,AX911,BK911)</f>
        <v>6</v>
      </c>
      <c r="BO911" s="8">
        <f t="array" ref="BO911">IFERROR(LARGE(IF(NF!$G$2:$G$3137='Mês atual'!A911,NF!$J$2:$J$3137),1),0)*BN911</f>
        <v>106.19999999999999</v>
      </c>
      <c r="BP911" s="50"/>
      <c r="BR911" s="147">
        <f t="array" ref="BR911">IFERROR(LARGE(IF(NF!$G$2:$G$3137='Mês atual'!A911,NF!$J$2:$J$3137),1),0)</f>
        <v>17.7</v>
      </c>
      <c r="BS911" s="143" t="str">
        <f>VLOOKUP(A911,NF!M:O,3,0)</f>
        <v>Sushi</v>
      </c>
    </row>
    <row r="912" spans="1:71" x14ac:dyDescent="0.25">
      <c r="A912" s="108" t="s">
        <v>361</v>
      </c>
      <c r="B912" s="12"/>
      <c r="C912" s="9">
        <v>1</v>
      </c>
      <c r="D912" s="25"/>
      <c r="E912" s="10" t="str">
        <f t="shared" si="1146"/>
        <v>OutubroSEMANA 1Filme PVC 380 x 1000 Sushi</v>
      </c>
      <c r="F912" s="7">
        <f>SUMIF(NF!$A:$A,$E912,NF!$I:$I)</f>
        <v>2</v>
      </c>
      <c r="G912" s="6"/>
      <c r="H912" s="6"/>
      <c r="I912" s="6">
        <v>1</v>
      </c>
      <c r="J912" s="6"/>
      <c r="K912" s="6"/>
      <c r="L912" s="6"/>
      <c r="M912" s="6"/>
      <c r="N912" s="7">
        <f t="shared" si="1200"/>
        <v>1</v>
      </c>
      <c r="O912" s="11">
        <f t="shared" si="1148"/>
        <v>2</v>
      </c>
      <c r="P912" s="25"/>
      <c r="Q912" s="10" t="str">
        <f t="shared" si="1149"/>
        <v>OutubroSEMANA 2Filme PVC 380 x 1000 Sushi</v>
      </c>
      <c r="R912" s="7">
        <f>SUMIF(NF!$A:$A,$Q912,NF!$I:$I)</f>
        <v>0</v>
      </c>
      <c r="S912" s="6"/>
      <c r="T912" s="6"/>
      <c r="U912" s="6"/>
      <c r="V912" s="6"/>
      <c r="W912" s="6"/>
      <c r="X912" s="6"/>
      <c r="Y912" s="6">
        <v>1</v>
      </c>
      <c r="Z912" s="7">
        <f t="shared" si="1201"/>
        <v>1</v>
      </c>
      <c r="AA912" s="11">
        <f t="shared" si="1151"/>
        <v>1</v>
      </c>
      <c r="AB912" s="25"/>
      <c r="AC912" s="10" t="str">
        <f t="shared" si="1152"/>
        <v>OutubroSEMANA 3Filme PVC 380 x 1000 Sushi</v>
      </c>
      <c r="AD912" s="7">
        <f>SUMIF(NF!$A:$A,$AC912,NF!$I:$I)</f>
        <v>0</v>
      </c>
      <c r="AE912" s="6"/>
      <c r="AF912" s="6"/>
      <c r="AG912" s="6"/>
      <c r="AH912" s="6"/>
      <c r="AI912" s="6"/>
      <c r="AJ912" s="6"/>
      <c r="AK912" s="6"/>
      <c r="AL912" s="7">
        <f t="shared" si="1202"/>
        <v>0</v>
      </c>
      <c r="AM912" s="11">
        <f t="shared" si="1154"/>
        <v>1</v>
      </c>
      <c r="AN912" s="25"/>
      <c r="AO912" s="10" t="str">
        <f t="shared" si="1155"/>
        <v>OutubroSEMANA 4Filme PVC 380 x 1000 Sushi</v>
      </c>
      <c r="AP912" s="7">
        <f>SUMIF(NF!$A:$A,$AO912,NF!$I:$I)</f>
        <v>0</v>
      </c>
      <c r="AQ912" s="6"/>
      <c r="AR912" s="6"/>
      <c r="AS912" s="6"/>
      <c r="AT912" s="6"/>
      <c r="AU912" s="6"/>
      <c r="AV912" s="6"/>
      <c r="AW912" s="6"/>
      <c r="AX912" s="7">
        <f t="shared" si="1203"/>
        <v>0</v>
      </c>
      <c r="AY912" s="11">
        <f t="shared" si="1157"/>
        <v>1</v>
      </c>
      <c r="AZ912" s="25"/>
      <c r="BA912" s="10" t="str">
        <f t="shared" si="1158"/>
        <v>OutubroSEMANA 5Filme PVC 380 x 1000 Sushi</v>
      </c>
      <c r="BB912" s="7">
        <f>SUMIF(NF!$A:$A,$BA912,NF!$I:$I)</f>
        <v>0</v>
      </c>
      <c r="BC912" s="6">
        <v>1</v>
      </c>
      <c r="BD912" s="6"/>
      <c r="BE912" s="6"/>
      <c r="BF912" s="74"/>
      <c r="BG912" s="74"/>
      <c r="BH912" s="74"/>
      <c r="BI912" s="74"/>
      <c r="BJ912" s="74"/>
      <c r="BK912" s="7">
        <f t="shared" si="1204"/>
        <v>1</v>
      </c>
      <c r="BL912" s="8">
        <f t="shared" si="1160"/>
        <v>0</v>
      </c>
      <c r="BM912" s="51" t="str">
        <f>IFERROR(VLOOKUP(A912,NF!$M:$O,3,0),"")</f>
        <v>Sushi</v>
      </c>
      <c r="BN912" s="7">
        <f t="shared" si="1161"/>
        <v>3</v>
      </c>
      <c r="BO912" s="8">
        <f t="array" ref="BO912">IFERROR(LARGE(IF(NF!$G$2:$G$3137='Mês atual'!A912,NF!$J$2:$J$3137),1),0)*BN912</f>
        <v>110.34</v>
      </c>
      <c r="BP912" s="50"/>
      <c r="BR912" s="147">
        <f t="array" ref="BR912">IFERROR(LARGE(IF(NF!$G$2:$G$3137='Mês atual'!A912,NF!$J$2:$J$3137),1),0)</f>
        <v>36.78</v>
      </c>
      <c r="BS912" s="143" t="str">
        <f>VLOOKUP(A912,NF!M:O,3,0)</f>
        <v>Sushi</v>
      </c>
    </row>
    <row r="913" spans="1:71" x14ac:dyDescent="0.25">
      <c r="A913" s="108" t="s">
        <v>363</v>
      </c>
      <c r="B913" s="12"/>
      <c r="C913" s="9"/>
      <c r="D913" s="25"/>
      <c r="E913" s="10" t="str">
        <f t="shared" si="1146"/>
        <v>OutubroSEMANA 1Flocos de Arroz Sushi</v>
      </c>
      <c r="F913" s="7">
        <f>SUMIF(NF!$A:$A,$E913,NF!$I:$I)</f>
        <v>0</v>
      </c>
      <c r="G913" s="6"/>
      <c r="H913" s="6"/>
      <c r="I913" s="6"/>
      <c r="J913" s="6"/>
      <c r="K913" s="6"/>
      <c r="L913" s="6"/>
      <c r="M913" s="6"/>
      <c r="N913" s="7">
        <f t="shared" si="1200"/>
        <v>0</v>
      </c>
      <c r="O913" s="11">
        <f t="shared" si="1148"/>
        <v>0</v>
      </c>
      <c r="P913" s="25"/>
      <c r="Q913" s="10" t="str">
        <f t="shared" si="1149"/>
        <v>OutubroSEMANA 2Flocos de Arroz Sushi</v>
      </c>
      <c r="R913" s="7">
        <f>SUMIF(NF!$A:$A,$Q913,NF!$I:$I)</f>
        <v>0</v>
      </c>
      <c r="S913" s="6"/>
      <c r="T913" s="6"/>
      <c r="U913" s="6"/>
      <c r="V913" s="6"/>
      <c r="W913" s="6"/>
      <c r="X913" s="6"/>
      <c r="Y913" s="6"/>
      <c r="Z913" s="7">
        <f t="shared" si="1201"/>
        <v>0</v>
      </c>
      <c r="AA913" s="11">
        <f t="shared" si="1151"/>
        <v>0</v>
      </c>
      <c r="AB913" s="25"/>
      <c r="AC913" s="10" t="str">
        <f t="shared" si="1152"/>
        <v>OutubroSEMANA 3Flocos de Arroz Sushi</v>
      </c>
      <c r="AD913" s="7">
        <f>SUMIF(NF!$A:$A,$AC913,NF!$I:$I)</f>
        <v>0</v>
      </c>
      <c r="AE913" s="6"/>
      <c r="AF913" s="6"/>
      <c r="AG913" s="6"/>
      <c r="AH913" s="6"/>
      <c r="AI913" s="6"/>
      <c r="AJ913" s="6"/>
      <c r="AK913" s="6"/>
      <c r="AL913" s="7">
        <f t="shared" si="1202"/>
        <v>0</v>
      </c>
      <c r="AM913" s="11">
        <f t="shared" si="1154"/>
        <v>0</v>
      </c>
      <c r="AN913" s="25"/>
      <c r="AO913" s="10" t="str">
        <f t="shared" si="1155"/>
        <v>OutubroSEMANA 4Flocos de Arroz Sushi</v>
      </c>
      <c r="AP913" s="7">
        <f>SUMIF(NF!$A:$A,$AO913,NF!$I:$I)</f>
        <v>0</v>
      </c>
      <c r="AQ913" s="6"/>
      <c r="AR913" s="6"/>
      <c r="AS913" s="6"/>
      <c r="AT913" s="6"/>
      <c r="AU913" s="6"/>
      <c r="AV913" s="6"/>
      <c r="AW913" s="6"/>
      <c r="AX913" s="7">
        <f t="shared" si="1203"/>
        <v>0</v>
      </c>
      <c r="AY913" s="11">
        <f t="shared" si="1157"/>
        <v>0</v>
      </c>
      <c r="AZ913" s="25"/>
      <c r="BA913" s="10" t="str">
        <f t="shared" si="1158"/>
        <v>OutubroSEMANA 5Flocos de Arroz Sushi</v>
      </c>
      <c r="BB913" s="7">
        <f>SUMIF(NF!$A:$A,$BA913,NF!$I:$I)</f>
        <v>0</v>
      </c>
      <c r="BC913" s="6"/>
      <c r="BD913" s="6"/>
      <c r="BE913" s="6"/>
      <c r="BF913" s="74"/>
      <c r="BG913" s="74"/>
      <c r="BH913" s="74"/>
      <c r="BI913" s="74"/>
      <c r="BJ913" s="74"/>
      <c r="BK913" s="7">
        <f t="shared" si="1204"/>
        <v>0</v>
      </c>
      <c r="BL913" s="8">
        <f t="shared" si="1160"/>
        <v>0</v>
      </c>
      <c r="BM913" s="51" t="str">
        <f>IFERROR(VLOOKUP(A913,NF!$M:$O,3,0),"")</f>
        <v>Sushi</v>
      </c>
      <c r="BN913" s="7">
        <f t="shared" si="1161"/>
        <v>0</v>
      </c>
      <c r="BO913" s="8">
        <f t="array" ref="BO913">IFERROR(LARGE(IF(NF!$G$2:$G$3137='Mês atual'!A913,NF!$J$2:$J$3137),1),0)*BN913</f>
        <v>0</v>
      </c>
      <c r="BP913" s="50"/>
      <c r="BR913" s="147">
        <f t="array" ref="BR913">IFERROR(LARGE(IF(NF!$G$2:$G$3137='Mês atual'!A913,NF!$J$2:$J$3137),1),0)</f>
        <v>0</v>
      </c>
      <c r="BS913" s="143" t="str">
        <f>VLOOKUP(A913,NF!M:O,3,0)</f>
        <v>Sushi</v>
      </c>
    </row>
    <row r="914" spans="1:71" x14ac:dyDescent="0.25">
      <c r="A914" s="108" t="s">
        <v>968</v>
      </c>
      <c r="B914" s="12"/>
      <c r="C914" s="9">
        <v>8</v>
      </c>
      <c r="D914" s="25"/>
      <c r="E914" s="10" t="str">
        <f t="shared" si="1146"/>
        <v>OutubroSEMANA 1Folha de Alga 50F</v>
      </c>
      <c r="F914" s="7">
        <f>SUMIF(NF!$A:$A,$E914,NF!$I:$I)</f>
        <v>8</v>
      </c>
      <c r="G914" s="6">
        <v>1</v>
      </c>
      <c r="H914" s="6"/>
      <c r="I914" s="6">
        <v>1</v>
      </c>
      <c r="J914" s="6">
        <v>1</v>
      </c>
      <c r="K914" s="6">
        <v>1</v>
      </c>
      <c r="L914" s="6">
        <v>1</v>
      </c>
      <c r="M914" s="6">
        <v>1</v>
      </c>
      <c r="N914" s="7">
        <f t="shared" ref="N914" si="1216">SUM(G914:M914)</f>
        <v>6</v>
      </c>
      <c r="O914" s="11">
        <f t="shared" si="1148"/>
        <v>10</v>
      </c>
      <c r="P914" s="25"/>
      <c r="Q914" s="10" t="str">
        <f t="shared" si="1149"/>
        <v>OutubroSEMANA 2Folha de Alga 50F</v>
      </c>
      <c r="R914" s="7">
        <f>SUMIF(NF!$A:$A,$Q914,NF!$I:$I)</f>
        <v>0</v>
      </c>
      <c r="S914" s="6"/>
      <c r="T914" s="6">
        <v>1</v>
      </c>
      <c r="U914" s="6">
        <v>2</v>
      </c>
      <c r="V914" s="6"/>
      <c r="W914" s="6"/>
      <c r="X914" s="6"/>
      <c r="Y914" s="6">
        <v>2</v>
      </c>
      <c r="Z914" s="7">
        <f t="shared" ref="Z914" si="1217">SUM(S914:Y914)</f>
        <v>5</v>
      </c>
      <c r="AA914" s="11">
        <f t="shared" si="1151"/>
        <v>5</v>
      </c>
      <c r="AB914" s="25"/>
      <c r="AC914" s="10" t="str">
        <f t="shared" si="1152"/>
        <v>OutubroSEMANA 3Folha de Alga 50F</v>
      </c>
      <c r="AD914" s="7">
        <f>SUMIF(NF!$A:$A,$AC914,NF!$I:$I)</f>
        <v>5</v>
      </c>
      <c r="AE914" s="6"/>
      <c r="AF914" s="6"/>
      <c r="AG914" s="6"/>
      <c r="AH914" s="6">
        <v>1</v>
      </c>
      <c r="AI914" s="6">
        <v>1</v>
      </c>
      <c r="AJ914" s="6">
        <v>1</v>
      </c>
      <c r="AK914" s="6">
        <v>1</v>
      </c>
      <c r="AL914" s="7">
        <f t="shared" ref="AL914" si="1218">SUM(AE914:AK914)</f>
        <v>4</v>
      </c>
      <c r="AM914" s="11">
        <f t="shared" si="1154"/>
        <v>6</v>
      </c>
      <c r="AN914" s="25"/>
      <c r="AO914" s="10" t="str">
        <f t="shared" si="1155"/>
        <v>OutubroSEMANA 4Folha de Alga 50F</v>
      </c>
      <c r="AP914" s="7">
        <f>SUMIF(NF!$A:$A,$AO914,NF!$I:$I)</f>
        <v>3</v>
      </c>
      <c r="AQ914" s="6"/>
      <c r="AR914" s="6">
        <v>1</v>
      </c>
      <c r="AS914" s="6"/>
      <c r="AT914" s="6"/>
      <c r="AU914" s="6">
        <v>1</v>
      </c>
      <c r="AV914" s="6"/>
      <c r="AW914" s="6">
        <v>2</v>
      </c>
      <c r="AX914" s="7">
        <f>SUM(AQ914:AW914)</f>
        <v>4</v>
      </c>
      <c r="AY914" s="11">
        <f t="shared" si="1157"/>
        <v>5</v>
      </c>
      <c r="AZ914" s="25"/>
      <c r="BA914" s="10" t="str">
        <f t="shared" si="1158"/>
        <v>OutubroSEMANA 5Folha de Alga 50F</v>
      </c>
      <c r="BB914" s="7">
        <f>SUMIF(NF!$A:$A,$BA914,NF!$I:$I)</f>
        <v>0</v>
      </c>
      <c r="BC914" s="6">
        <v>1</v>
      </c>
      <c r="BD914" s="6"/>
      <c r="BE914" s="6">
        <v>1</v>
      </c>
      <c r="BF914" s="74"/>
      <c r="BG914" s="74"/>
      <c r="BH914" s="74"/>
      <c r="BI914" s="74"/>
      <c r="BJ914" s="74"/>
      <c r="BK914" s="7">
        <f t="shared" ref="BK914" si="1219">SUM(BC914:BJ914)</f>
        <v>2</v>
      </c>
      <c r="BL914" s="8">
        <f t="shared" si="1160"/>
        <v>3</v>
      </c>
      <c r="BM914" s="51" t="str">
        <f>IFERROR(VLOOKUP(A914,NF!$M:$O,3,0),"")</f>
        <v>Sushi</v>
      </c>
      <c r="BN914" s="7">
        <f t="shared" si="1161"/>
        <v>21</v>
      </c>
      <c r="BO914" s="8">
        <f t="array" ref="BO914">IFERROR(LARGE(IF(NF!$G$2:$G$3137='Mês atual'!A914,NF!$J$2:$J$3137),1),0)*BN914</f>
        <v>693</v>
      </c>
      <c r="BP914" s="50"/>
      <c r="BR914" s="147">
        <f t="array" ref="BR914">IFERROR(LARGE(IF(NF!$G$2:$G$3137='Mês atual'!A914,NF!$J$2:$J$3137),1),0)</f>
        <v>33</v>
      </c>
      <c r="BS914" s="143" t="str">
        <f>VLOOKUP(A914,NF!M:O,3,0)</f>
        <v>Sushi</v>
      </c>
    </row>
    <row r="915" spans="1:71" x14ac:dyDescent="0.25">
      <c r="A915" s="108" t="s">
        <v>366</v>
      </c>
      <c r="B915" s="12"/>
      <c r="C915" s="9"/>
      <c r="D915" s="25"/>
      <c r="E915" s="10" t="str">
        <f t="shared" si="1146"/>
        <v>OutubroSEMANA 1Folha de Alga 100 Fl</v>
      </c>
      <c r="F915" s="7">
        <f>SUMIF(NF!$A:$A,$E915,NF!$I:$I)</f>
        <v>0</v>
      </c>
      <c r="G915" s="6"/>
      <c r="H915" s="6"/>
      <c r="I915" s="6"/>
      <c r="J915" s="6"/>
      <c r="K915" s="6"/>
      <c r="L915" s="6"/>
      <c r="M915" s="6"/>
      <c r="N915" s="7">
        <f t="shared" ref="N915" si="1220">SUM(G915:M915)</f>
        <v>0</v>
      </c>
      <c r="O915" s="11">
        <f t="shared" si="1148"/>
        <v>0</v>
      </c>
      <c r="P915" s="25"/>
      <c r="Q915" s="10" t="str">
        <f t="shared" si="1149"/>
        <v>OutubroSEMANA 2Folha de Alga 100 Fl</v>
      </c>
      <c r="R915" s="7">
        <f>SUMIF(NF!$A:$A,$Q915,NF!$I:$I)</f>
        <v>0</v>
      </c>
      <c r="S915" s="6"/>
      <c r="T915" s="6"/>
      <c r="U915" s="6"/>
      <c r="V915" s="6"/>
      <c r="W915" s="6"/>
      <c r="X915" s="6"/>
      <c r="Y915" s="6"/>
      <c r="Z915" s="7">
        <f t="shared" ref="Z915" si="1221">SUM(S915:Y915)</f>
        <v>0</v>
      </c>
      <c r="AA915" s="11">
        <f t="shared" si="1151"/>
        <v>0</v>
      </c>
      <c r="AB915" s="25"/>
      <c r="AC915" s="10" t="str">
        <f t="shared" si="1152"/>
        <v>OutubroSEMANA 3Folha de Alga 100 Fl</v>
      </c>
      <c r="AD915" s="7">
        <f>SUMIF(NF!$A:$A,$AC915,NF!$I:$I)</f>
        <v>0</v>
      </c>
      <c r="AE915" s="6"/>
      <c r="AF915" s="6"/>
      <c r="AG915" s="6"/>
      <c r="AH915" s="6"/>
      <c r="AI915" s="6"/>
      <c r="AJ915" s="6"/>
      <c r="AK915" s="6"/>
      <c r="AL915" s="7">
        <f t="shared" ref="AL915" si="1222">SUM(AE915:AK915)</f>
        <v>0</v>
      </c>
      <c r="AM915" s="11">
        <f t="shared" si="1154"/>
        <v>0</v>
      </c>
      <c r="AN915" s="25"/>
      <c r="AO915" s="10" t="str">
        <f t="shared" si="1155"/>
        <v>OutubroSEMANA 4Folha de Alga 100 Fl</v>
      </c>
      <c r="AP915" s="7">
        <f>SUMIF(NF!$A:$A,$AO915,NF!$I:$I)</f>
        <v>0</v>
      </c>
      <c r="AQ915" s="6"/>
      <c r="AR915" s="6"/>
      <c r="AS915" s="6"/>
      <c r="AT915" s="6"/>
      <c r="AU915" s="6"/>
      <c r="AV915" s="6"/>
      <c r="AW915" s="6"/>
      <c r="AX915" s="7">
        <f>SUM(AQ915:AW915)</f>
        <v>0</v>
      </c>
      <c r="AY915" s="11">
        <f t="shared" si="1157"/>
        <v>0</v>
      </c>
      <c r="AZ915" s="25"/>
      <c r="BA915" s="10" t="str">
        <f t="shared" si="1158"/>
        <v>OutubroSEMANA 5Folha de Alga 100 Fl</v>
      </c>
      <c r="BB915" s="7">
        <f>SUMIF(NF!$A:$A,$BA915,NF!$I:$I)</f>
        <v>0</v>
      </c>
      <c r="BC915" s="6"/>
      <c r="BD915" s="6"/>
      <c r="BE915" s="6"/>
      <c r="BF915" s="74"/>
      <c r="BG915" s="74"/>
      <c r="BH915" s="74"/>
      <c r="BI915" s="74"/>
      <c r="BJ915" s="74"/>
      <c r="BK915" s="7">
        <f t="shared" ref="BK915" si="1223">SUM(BC915:BJ915)</f>
        <v>0</v>
      </c>
      <c r="BL915" s="8">
        <f t="shared" si="1160"/>
        <v>0</v>
      </c>
      <c r="BM915" s="51" t="str">
        <f>IFERROR(VLOOKUP(A915,NF!$M:$O,3,0),"")</f>
        <v>Sushi</v>
      </c>
      <c r="BN915" s="7">
        <f t="shared" si="1161"/>
        <v>0</v>
      </c>
      <c r="BO915" s="8">
        <f t="array" ref="BO915">IFERROR(LARGE(IF(NF!$G$2:$G$3137='Mês atual'!A915,NF!$J$2:$J$3137),1),0)*BN915</f>
        <v>0</v>
      </c>
      <c r="BP915" s="50"/>
      <c r="BR915" s="147">
        <f t="array" ref="BR915">IFERROR(LARGE(IF(NF!$G$2:$G$3137='Mês atual'!A915,NF!$J$2:$J$3137),1),0)</f>
        <v>0</v>
      </c>
      <c r="BS915" s="143" t="str">
        <f>VLOOKUP(A915,NF!M:O,3,0)</f>
        <v>Sushi</v>
      </c>
    </row>
    <row r="916" spans="1:71" x14ac:dyDescent="0.25">
      <c r="A916" s="108" t="s">
        <v>969</v>
      </c>
      <c r="B916" s="12"/>
      <c r="C916" s="9"/>
      <c r="D916" s="25"/>
      <c r="E916" s="10" t="str">
        <f t="shared" si="1146"/>
        <v>OutubroSEMANA 1Folha de Arroz</v>
      </c>
      <c r="F916" s="7">
        <f>SUMIF(NF!$A:$A,$E916,NF!$I:$I)</f>
        <v>0</v>
      </c>
      <c r="G916" s="6"/>
      <c r="H916" s="6"/>
      <c r="I916" s="6"/>
      <c r="J916" s="6"/>
      <c r="K916" s="6"/>
      <c r="L916" s="6"/>
      <c r="M916" s="6"/>
      <c r="N916" s="7">
        <f t="shared" ref="N916" si="1224">SUM(G916:M916)</f>
        <v>0</v>
      </c>
      <c r="O916" s="11">
        <f t="shared" si="1148"/>
        <v>0</v>
      </c>
      <c r="P916" s="25"/>
      <c r="Q916" s="10" t="str">
        <f t="shared" si="1149"/>
        <v>OutubroSEMANA 2Folha de Arroz</v>
      </c>
      <c r="R916" s="7">
        <f>SUMIF(NF!$A:$A,$Q916,NF!$I:$I)</f>
        <v>0</v>
      </c>
      <c r="S916" s="6"/>
      <c r="T916" s="6"/>
      <c r="U916" s="6"/>
      <c r="V916" s="6"/>
      <c r="W916" s="6"/>
      <c r="X916" s="6"/>
      <c r="Y916" s="6"/>
      <c r="Z916" s="7">
        <f t="shared" ref="Z916" si="1225">SUM(S916:Y916)</f>
        <v>0</v>
      </c>
      <c r="AA916" s="11">
        <f t="shared" si="1151"/>
        <v>0</v>
      </c>
      <c r="AB916" s="25"/>
      <c r="AC916" s="10" t="str">
        <f t="shared" si="1152"/>
        <v>OutubroSEMANA 3Folha de Arroz</v>
      </c>
      <c r="AD916" s="7">
        <f>SUMIF(NF!$A:$A,$AC916,NF!$I:$I)</f>
        <v>0</v>
      </c>
      <c r="AE916" s="6"/>
      <c r="AF916" s="6"/>
      <c r="AG916" s="6"/>
      <c r="AH916" s="6"/>
      <c r="AI916" s="6"/>
      <c r="AJ916" s="6"/>
      <c r="AK916" s="6"/>
      <c r="AL916" s="7">
        <f t="shared" ref="AL916" si="1226">SUM(AE916:AK916)</f>
        <v>0</v>
      </c>
      <c r="AM916" s="11">
        <f t="shared" si="1154"/>
        <v>0</v>
      </c>
      <c r="AN916" s="25"/>
      <c r="AO916" s="10" t="str">
        <f t="shared" si="1155"/>
        <v>OutubroSEMANA 4Folha de Arroz</v>
      </c>
      <c r="AP916" s="7">
        <f>SUMIF(NF!$A:$A,$AO916,NF!$I:$I)</f>
        <v>0</v>
      </c>
      <c r="AQ916" s="6"/>
      <c r="AR916" s="6"/>
      <c r="AS916" s="6"/>
      <c r="AT916" s="6"/>
      <c r="AU916" s="6"/>
      <c r="AV916" s="6"/>
      <c r="AW916" s="6"/>
      <c r="AX916" s="7">
        <f t="shared" ref="AX916" si="1227">SUM(AQ916:AW916)</f>
        <v>0</v>
      </c>
      <c r="AY916" s="11">
        <f t="shared" si="1157"/>
        <v>0</v>
      </c>
      <c r="AZ916" s="25"/>
      <c r="BA916" s="10" t="str">
        <f t="shared" si="1158"/>
        <v>OutubroSEMANA 5Folha de Arroz</v>
      </c>
      <c r="BB916" s="7">
        <f>SUMIF(NF!$A:$A,$BA916,NF!$I:$I)</f>
        <v>0</v>
      </c>
      <c r="BC916" s="6"/>
      <c r="BD916" s="6"/>
      <c r="BE916" s="6"/>
      <c r="BF916" s="74"/>
      <c r="BG916" s="74"/>
      <c r="BH916" s="74"/>
      <c r="BI916" s="74"/>
      <c r="BJ916" s="74"/>
      <c r="BK916" s="7">
        <f t="shared" ref="BK916" si="1228">SUM(BC916:BJ916)</f>
        <v>0</v>
      </c>
      <c r="BL916" s="8">
        <f t="shared" si="1160"/>
        <v>0</v>
      </c>
      <c r="BM916" s="51" t="str">
        <f>IFERROR(VLOOKUP(A916,NF!$M:$O,3,0),"")</f>
        <v>Sushi</v>
      </c>
      <c r="BN916" s="7">
        <f t="shared" si="1161"/>
        <v>0</v>
      </c>
      <c r="BO916" s="8">
        <f t="array" ref="BO916">IFERROR(LARGE(IF(NF!$G$2:$G$3137='Mês atual'!A916,NF!$J$2:$J$3137),1),0)*BN916</f>
        <v>0</v>
      </c>
      <c r="BP916" s="50"/>
      <c r="BR916" s="147">
        <f t="array" ref="BR916">IFERROR(LARGE(IF(NF!$G$2:$G$3137='Mês atual'!A916,NF!$J$2:$J$3137),1),0)</f>
        <v>0</v>
      </c>
      <c r="BS916" s="143" t="str">
        <f>VLOOKUP(A916,NF!M:O,3,0)</f>
        <v>Sushi</v>
      </c>
    </row>
    <row r="917" spans="1:71" x14ac:dyDescent="0.25">
      <c r="A917" s="108" t="s">
        <v>930</v>
      </c>
      <c r="B917" s="12"/>
      <c r="C917" s="9"/>
      <c r="D917" s="25"/>
      <c r="E917" s="10" t="str">
        <f t="shared" si="1146"/>
        <v>OutubroSEMANA 1Furikake Wasabi</v>
      </c>
      <c r="F917" s="7">
        <f>SUMIF(NF!$A:$A,$E917,NF!$I:$I)</f>
        <v>0</v>
      </c>
      <c r="G917" s="6"/>
      <c r="H917" s="6"/>
      <c r="I917" s="6"/>
      <c r="J917" s="6"/>
      <c r="K917" s="6"/>
      <c r="L917" s="6"/>
      <c r="M917" s="6"/>
      <c r="N917" s="7">
        <f t="shared" ref="N917" si="1229">SUM(G917:M917)</f>
        <v>0</v>
      </c>
      <c r="O917" s="11">
        <f t="shared" si="1148"/>
        <v>0</v>
      </c>
      <c r="P917" s="25"/>
      <c r="Q917" s="10" t="str">
        <f t="shared" si="1149"/>
        <v>OutubroSEMANA 2Furikake Wasabi</v>
      </c>
      <c r="R917" s="7">
        <f>SUMIF(NF!$A:$A,$Q917,NF!$I:$I)</f>
        <v>0</v>
      </c>
      <c r="S917" s="6"/>
      <c r="T917" s="6"/>
      <c r="U917" s="6"/>
      <c r="V917" s="6"/>
      <c r="W917" s="6"/>
      <c r="X917" s="6"/>
      <c r="Y917" s="6"/>
      <c r="Z917" s="7">
        <f t="shared" ref="Z917" si="1230">SUM(S917:Y917)</f>
        <v>0</v>
      </c>
      <c r="AA917" s="11">
        <f t="shared" si="1151"/>
        <v>0</v>
      </c>
      <c r="AB917" s="25"/>
      <c r="AC917" s="10" t="str">
        <f t="shared" si="1152"/>
        <v>OutubroSEMANA 3Furikake Wasabi</v>
      </c>
      <c r="AD917" s="7">
        <f>SUMIF(NF!$A:$A,$AC917,NF!$I:$I)</f>
        <v>0</v>
      </c>
      <c r="AE917" s="6"/>
      <c r="AF917" s="6"/>
      <c r="AG917" s="6"/>
      <c r="AH917" s="6"/>
      <c r="AI917" s="6"/>
      <c r="AJ917" s="6"/>
      <c r="AK917" s="6"/>
      <c r="AL917" s="7">
        <f t="shared" ref="AL917" si="1231">SUM(AE917:AK917)</f>
        <v>0</v>
      </c>
      <c r="AM917" s="11">
        <f t="shared" si="1154"/>
        <v>0</v>
      </c>
      <c r="AN917" s="25"/>
      <c r="AO917" s="10" t="str">
        <f t="shared" si="1155"/>
        <v>OutubroSEMANA 4Furikake Wasabi</v>
      </c>
      <c r="AP917" s="7">
        <f>SUMIF(NF!$A:$A,$AO917,NF!$I:$I)</f>
        <v>0</v>
      </c>
      <c r="AQ917" s="6"/>
      <c r="AR917" s="6"/>
      <c r="AS917" s="6"/>
      <c r="AT917" s="6"/>
      <c r="AU917" s="6"/>
      <c r="AV917" s="6"/>
      <c r="AW917" s="6"/>
      <c r="AX917" s="7">
        <f t="shared" ref="AX917" si="1232">SUM(AQ917:AW917)</f>
        <v>0</v>
      </c>
      <c r="AY917" s="11">
        <f t="shared" si="1157"/>
        <v>0</v>
      </c>
      <c r="AZ917" s="25"/>
      <c r="BA917" s="10" t="str">
        <f t="shared" si="1158"/>
        <v>OutubroSEMANA 5Furikake Wasabi</v>
      </c>
      <c r="BB917" s="7">
        <f>SUMIF(NF!$A:$A,$BA917,NF!$I:$I)</f>
        <v>0</v>
      </c>
      <c r="BC917" s="6"/>
      <c r="BD917" s="6"/>
      <c r="BE917" s="6"/>
      <c r="BF917" s="74"/>
      <c r="BG917" s="74"/>
      <c r="BH917" s="74"/>
      <c r="BI917" s="74"/>
      <c r="BJ917" s="74"/>
      <c r="BK917" s="7">
        <f t="shared" ref="BK917" si="1233">SUM(BC917:BJ917)</f>
        <v>0</v>
      </c>
      <c r="BL917" s="8">
        <f t="shared" si="1160"/>
        <v>0</v>
      </c>
      <c r="BM917" s="51" t="str">
        <f>IFERROR(VLOOKUP(A917,NF!$M:$O,3,0),"")</f>
        <v>Sushi</v>
      </c>
      <c r="BN917" s="7">
        <f t="shared" si="1161"/>
        <v>0</v>
      </c>
      <c r="BO917" s="8">
        <f t="array" ref="BO917">IFERROR(LARGE(IF(NF!$G$2:$G$3137='Mês atual'!A917,NF!$J$2:$J$3137),1),0)*BN917</f>
        <v>0</v>
      </c>
      <c r="BP917" s="50"/>
      <c r="BR917" s="147">
        <f t="array" ref="BR917">IFERROR(LARGE(IF(NF!$G$2:$G$3137='Mês atual'!A917,NF!$J$2:$J$3137),1),0)</f>
        <v>0</v>
      </c>
      <c r="BS917" s="143" t="str">
        <f>VLOOKUP(A917,NF!M:O,3,0)</f>
        <v>Sushi</v>
      </c>
    </row>
    <row r="918" spans="1:71" x14ac:dyDescent="0.25">
      <c r="A918" s="108" t="s">
        <v>378</v>
      </c>
      <c r="B918" s="12"/>
      <c r="C918" s="9"/>
      <c r="D918" s="25"/>
      <c r="E918" s="10" t="str">
        <f t="shared" si="1146"/>
        <v>OutubroSEMANA 1Gás Butano Und</v>
      </c>
      <c r="F918" s="7">
        <f>SUMIF(NF!$A:$A,$E918,NF!$I:$I)</f>
        <v>0</v>
      </c>
      <c r="G918" s="6"/>
      <c r="H918" s="6"/>
      <c r="I918" s="6"/>
      <c r="J918" s="6"/>
      <c r="K918" s="6"/>
      <c r="L918" s="6"/>
      <c r="M918" s="6"/>
      <c r="N918" s="7">
        <f t="shared" ref="N918" si="1234">SUM(G918:M918)</f>
        <v>0</v>
      </c>
      <c r="O918" s="11">
        <f t="shared" si="1148"/>
        <v>0</v>
      </c>
      <c r="P918" s="25"/>
      <c r="Q918" s="10" t="str">
        <f t="shared" si="1149"/>
        <v>OutubroSEMANA 2Gás Butano Und</v>
      </c>
      <c r="R918" s="7">
        <f>SUMIF(NF!$A:$A,$Q918,NF!$I:$I)</f>
        <v>0</v>
      </c>
      <c r="S918" s="6"/>
      <c r="T918" s="6"/>
      <c r="U918" s="6"/>
      <c r="V918" s="6"/>
      <c r="W918" s="6"/>
      <c r="X918" s="6"/>
      <c r="Y918" s="6"/>
      <c r="Z918" s="7">
        <f t="shared" ref="Z918" si="1235">SUM(S918:Y918)</f>
        <v>0</v>
      </c>
      <c r="AA918" s="11">
        <f t="shared" si="1151"/>
        <v>0</v>
      </c>
      <c r="AB918" s="25"/>
      <c r="AC918" s="10" t="str">
        <f t="shared" si="1152"/>
        <v>OutubroSEMANA 3Gás Butano Und</v>
      </c>
      <c r="AD918" s="7">
        <f>SUMIF(NF!$A:$A,$AC918,NF!$I:$I)</f>
        <v>0</v>
      </c>
      <c r="AE918" s="6"/>
      <c r="AF918" s="6"/>
      <c r="AG918" s="6"/>
      <c r="AH918" s="6"/>
      <c r="AI918" s="6"/>
      <c r="AJ918" s="6"/>
      <c r="AK918" s="6"/>
      <c r="AL918" s="7">
        <f t="shared" ref="AL918" si="1236">SUM(AE918:AK918)</f>
        <v>0</v>
      </c>
      <c r="AM918" s="11">
        <f t="shared" si="1154"/>
        <v>0</v>
      </c>
      <c r="AN918" s="25"/>
      <c r="AO918" s="10" t="str">
        <f t="shared" si="1155"/>
        <v>OutubroSEMANA 4Gás Butano Und</v>
      </c>
      <c r="AP918" s="7">
        <f>SUMIF(NF!$A:$A,$AO918,NF!$I:$I)</f>
        <v>0</v>
      </c>
      <c r="AQ918" s="6"/>
      <c r="AR918" s="6"/>
      <c r="AS918" s="6"/>
      <c r="AT918" s="6"/>
      <c r="AU918" s="6"/>
      <c r="AV918" s="6"/>
      <c r="AW918" s="6"/>
      <c r="AX918" s="7">
        <f t="shared" ref="AX918" si="1237">SUM(AQ918:AW918)</f>
        <v>0</v>
      </c>
      <c r="AY918" s="11">
        <f t="shared" si="1157"/>
        <v>0</v>
      </c>
      <c r="AZ918" s="25"/>
      <c r="BA918" s="10" t="str">
        <f t="shared" si="1158"/>
        <v>OutubroSEMANA 5Gás Butano Und</v>
      </c>
      <c r="BB918" s="7">
        <f>SUMIF(NF!$A:$A,$BA918,NF!$I:$I)</f>
        <v>0</v>
      </c>
      <c r="BC918" s="6"/>
      <c r="BD918" s="6"/>
      <c r="BE918" s="6"/>
      <c r="BF918" s="74"/>
      <c r="BG918" s="74"/>
      <c r="BH918" s="74"/>
      <c r="BI918" s="74"/>
      <c r="BJ918" s="74"/>
      <c r="BK918" s="7">
        <f t="shared" ref="BK918" si="1238">SUM(BC918:BJ918)</f>
        <v>0</v>
      </c>
      <c r="BL918" s="8">
        <f t="shared" si="1160"/>
        <v>0</v>
      </c>
      <c r="BM918" s="51" t="str">
        <f>IFERROR(VLOOKUP(A918,NF!$M:$O,3,0),"")</f>
        <v>Sushi</v>
      </c>
      <c r="BN918" s="7">
        <f t="shared" si="1161"/>
        <v>0</v>
      </c>
      <c r="BO918" s="8">
        <f t="array" ref="BO918">IFERROR(LARGE(IF(NF!$G$2:$G$3137='Mês atual'!A918,NF!$J$2:$J$3137),1),0)*BN918</f>
        <v>0</v>
      </c>
      <c r="BP918" s="50"/>
      <c r="BR918" s="147">
        <f t="array" ref="BR918">IFERROR(LARGE(IF(NF!$G$2:$G$3137='Mês atual'!A918,NF!$J$2:$J$3137),1),0)</f>
        <v>0</v>
      </c>
      <c r="BS918" s="143" t="str">
        <f>VLOOKUP(A918,NF!M:O,3,0)</f>
        <v>Sushi</v>
      </c>
    </row>
    <row r="919" spans="1:71" x14ac:dyDescent="0.25">
      <c r="A919" s="108" t="s">
        <v>970</v>
      </c>
      <c r="B919" s="12"/>
      <c r="C919" s="9">
        <v>1</v>
      </c>
      <c r="D919" s="25"/>
      <c r="E919" s="10" t="str">
        <f t="shared" si="1146"/>
        <v>OutubroSEMANA 1Geléia de Menta c/ Hortelã (sushi)</v>
      </c>
      <c r="F919" s="7">
        <f>SUMIF(NF!$A:$A,$E919,NF!$I:$I)</f>
        <v>0</v>
      </c>
      <c r="G919" s="6">
        <v>1</v>
      </c>
      <c r="H919" s="6"/>
      <c r="I919" s="6"/>
      <c r="J919" s="6"/>
      <c r="K919" s="6"/>
      <c r="L919" s="6"/>
      <c r="M919" s="6"/>
      <c r="N919" s="7">
        <f t="shared" ref="N919" si="1239">SUM(G919:M919)</f>
        <v>1</v>
      </c>
      <c r="O919" s="11">
        <f t="shared" si="1148"/>
        <v>0</v>
      </c>
      <c r="P919" s="25"/>
      <c r="Q919" s="10" t="str">
        <f t="shared" si="1149"/>
        <v>OutubroSEMANA 2Geléia de Menta c/ Hortelã (sushi)</v>
      </c>
      <c r="R919" s="7">
        <f>SUMIF(NF!$A:$A,$Q919,NF!$I:$I)</f>
        <v>0</v>
      </c>
      <c r="S919" s="6"/>
      <c r="T919" s="6"/>
      <c r="U919" s="6"/>
      <c r="V919" s="6"/>
      <c r="W919" s="6"/>
      <c r="X919" s="6"/>
      <c r="Y919" s="6"/>
      <c r="Z919" s="7">
        <f t="shared" ref="Z919" si="1240">SUM(S919:Y919)</f>
        <v>0</v>
      </c>
      <c r="AA919" s="11">
        <f t="shared" si="1151"/>
        <v>0</v>
      </c>
      <c r="AB919" s="25"/>
      <c r="AC919" s="10" t="str">
        <f t="shared" si="1152"/>
        <v>OutubroSEMANA 3Geléia de Menta c/ Hortelã (sushi)</v>
      </c>
      <c r="AD919" s="7">
        <f>SUMIF(NF!$A:$A,$AC919,NF!$I:$I)</f>
        <v>0</v>
      </c>
      <c r="AE919" s="6"/>
      <c r="AF919" s="6"/>
      <c r="AG919" s="6"/>
      <c r="AH919" s="6"/>
      <c r="AI919" s="6"/>
      <c r="AJ919" s="6"/>
      <c r="AK919" s="6"/>
      <c r="AL919" s="7">
        <f t="shared" ref="AL919" si="1241">SUM(AE919:AK919)</f>
        <v>0</v>
      </c>
      <c r="AM919" s="11">
        <f t="shared" si="1154"/>
        <v>0</v>
      </c>
      <c r="AN919" s="25"/>
      <c r="AO919" s="10" t="str">
        <f t="shared" si="1155"/>
        <v>OutubroSEMANA 4Geléia de Menta c/ Hortelã (sushi)</v>
      </c>
      <c r="AP919" s="7">
        <f>SUMIF(NF!$A:$A,$AO919,NF!$I:$I)</f>
        <v>0</v>
      </c>
      <c r="AQ919" s="6"/>
      <c r="AR919" s="6"/>
      <c r="AS919" s="6"/>
      <c r="AT919" s="6"/>
      <c r="AU919" s="6"/>
      <c r="AV919" s="6"/>
      <c r="AW919" s="6"/>
      <c r="AX919" s="7">
        <f t="shared" ref="AX919" si="1242">SUM(AQ919:AW919)</f>
        <v>0</v>
      </c>
      <c r="AY919" s="11">
        <f t="shared" si="1157"/>
        <v>0</v>
      </c>
      <c r="AZ919" s="25"/>
      <c r="BA919" s="10" t="str">
        <f t="shared" si="1158"/>
        <v>OutubroSEMANA 5Geléia de Menta c/ Hortelã (sushi)</v>
      </c>
      <c r="BB919" s="7">
        <f>SUMIF(NF!$A:$A,$BA919,NF!$I:$I)</f>
        <v>0</v>
      </c>
      <c r="BC919" s="6"/>
      <c r="BD919" s="6"/>
      <c r="BE919" s="6"/>
      <c r="BF919" s="74"/>
      <c r="BG919" s="74"/>
      <c r="BH919" s="74"/>
      <c r="BI919" s="74"/>
      <c r="BJ919" s="74"/>
      <c r="BK919" s="7">
        <f t="shared" ref="BK919" si="1243">SUM(BC919:BJ919)</f>
        <v>0</v>
      </c>
      <c r="BL919" s="8">
        <f t="shared" si="1160"/>
        <v>0</v>
      </c>
      <c r="BM919" s="51" t="str">
        <f>IFERROR(VLOOKUP(A919,NF!$M:$O,3,0),"")</f>
        <v>Sushi</v>
      </c>
      <c r="BN919" s="7">
        <f t="shared" si="1161"/>
        <v>1</v>
      </c>
      <c r="BO919" s="8">
        <f t="array" ref="BO919">IFERROR(LARGE(IF(NF!$G$2:$G$3137='Mês atual'!A919,NF!$J$2:$J$3137),1),0)*BN919</f>
        <v>0</v>
      </c>
      <c r="BP919" s="50"/>
      <c r="BR919" s="147">
        <f t="array" ref="BR919">IFERROR(LARGE(IF(NF!$G$2:$G$3137='Mês atual'!A919,NF!$J$2:$J$3137),1),0)</f>
        <v>0</v>
      </c>
      <c r="BS919" s="143" t="str">
        <f>VLOOKUP(A919,NF!M:O,3,0)</f>
        <v>Sushi</v>
      </c>
    </row>
    <row r="920" spans="1:71" x14ac:dyDescent="0.25">
      <c r="A920" s="108" t="s">
        <v>386</v>
      </c>
      <c r="B920" s="12"/>
      <c r="C920" s="9"/>
      <c r="D920" s="25"/>
      <c r="E920" s="10" t="str">
        <f t="shared" si="1146"/>
        <v>OutubroSEMANA 1Gengibre Sushi</v>
      </c>
      <c r="F920" s="7">
        <f>SUMIF(NF!$A:$A,$E920,NF!$I:$I)</f>
        <v>10.26</v>
      </c>
      <c r="G920" s="6"/>
      <c r="H920" s="6"/>
      <c r="I920" s="6"/>
      <c r="J920" s="6"/>
      <c r="K920" s="6"/>
      <c r="L920" s="6"/>
      <c r="M920" s="6"/>
      <c r="N920" s="7">
        <f t="shared" ref="N920:N929" si="1244">SUM(G920:M920)</f>
        <v>0</v>
      </c>
      <c r="O920" s="11">
        <f t="shared" si="1148"/>
        <v>10.26</v>
      </c>
      <c r="P920" s="25"/>
      <c r="Q920" s="10" t="str">
        <f t="shared" si="1149"/>
        <v>OutubroSEMANA 2Gengibre Sushi</v>
      </c>
      <c r="R920" s="7">
        <f>SUMIF(NF!$A:$A,$Q920,NF!$I:$I)</f>
        <v>11.88</v>
      </c>
      <c r="S920" s="6"/>
      <c r="T920" s="6"/>
      <c r="U920" s="6"/>
      <c r="V920" s="6"/>
      <c r="W920" s="6">
        <v>10.26</v>
      </c>
      <c r="X920" s="6"/>
      <c r="Y920" s="6"/>
      <c r="Z920" s="7">
        <f t="shared" ref="Z920:Z929" si="1245">SUM(S920:Y920)</f>
        <v>10.26</v>
      </c>
      <c r="AA920" s="11">
        <f t="shared" si="1151"/>
        <v>11.88</v>
      </c>
      <c r="AB920" s="25"/>
      <c r="AC920" s="10" t="str">
        <f t="shared" si="1152"/>
        <v>OutubroSEMANA 3Gengibre Sushi</v>
      </c>
      <c r="AD920" s="7">
        <f>SUMIF(NF!$A:$A,$AC920,NF!$I:$I)</f>
        <v>0</v>
      </c>
      <c r="AE920" s="6"/>
      <c r="AF920" s="6"/>
      <c r="AG920" s="6"/>
      <c r="AH920" s="6"/>
      <c r="AI920" s="6"/>
      <c r="AJ920" s="6"/>
      <c r="AK920" s="6"/>
      <c r="AL920" s="7">
        <f t="shared" ref="AL920:AL929" si="1246">SUM(AE920:AK920)</f>
        <v>0</v>
      </c>
      <c r="AM920" s="11">
        <f t="shared" si="1154"/>
        <v>11.88</v>
      </c>
      <c r="AN920" s="25"/>
      <c r="AO920" s="10" t="str">
        <f t="shared" si="1155"/>
        <v>OutubroSEMANA 4Gengibre Sushi</v>
      </c>
      <c r="AP920" s="7">
        <f>SUMIF(NF!$A:$A,$AO920,NF!$I:$I)</f>
        <v>0</v>
      </c>
      <c r="AQ920" s="6"/>
      <c r="AR920" s="6">
        <v>11.88</v>
      </c>
      <c r="AS920" s="6"/>
      <c r="AT920" s="6"/>
      <c r="AU920" s="6"/>
      <c r="AV920" s="6"/>
      <c r="AW920" s="6"/>
      <c r="AX920" s="7">
        <f t="shared" ref="AX920:AX929" si="1247">SUM(AQ920:AW920)</f>
        <v>11.88</v>
      </c>
      <c r="AY920" s="11">
        <f t="shared" si="1157"/>
        <v>0</v>
      </c>
      <c r="AZ920" s="25"/>
      <c r="BA920" s="10" t="str">
        <f t="shared" si="1158"/>
        <v>OutubroSEMANA 5Gengibre Sushi</v>
      </c>
      <c r="BB920" s="7">
        <f>SUMIF(NF!$A:$A,$BA920,NF!$I:$I)</f>
        <v>0</v>
      </c>
      <c r="BC920" s="6"/>
      <c r="BD920" s="6"/>
      <c r="BE920" s="6"/>
      <c r="BF920" s="74"/>
      <c r="BG920" s="74"/>
      <c r="BH920" s="74"/>
      <c r="BI920" s="74"/>
      <c r="BJ920" s="74"/>
      <c r="BK920" s="7">
        <f t="shared" ref="BK920:BK929" si="1248">SUM(BC920:BJ920)</f>
        <v>0</v>
      </c>
      <c r="BL920" s="8">
        <f t="shared" si="1160"/>
        <v>0</v>
      </c>
      <c r="BM920" s="51" t="str">
        <f>IFERROR(VLOOKUP(A920,NF!$M:$O,3,0),"")</f>
        <v>Sushi</v>
      </c>
      <c r="BN920" s="7">
        <f t="shared" si="1161"/>
        <v>22.14</v>
      </c>
      <c r="BO920" s="8">
        <f t="array" ref="BO920">IFERROR(LARGE(IF(NF!$G$2:$G$3137='Mês atual'!A920,NF!$J$2:$J$3137),1),0)*BN920</f>
        <v>172.63157894736844</v>
      </c>
      <c r="BP920" s="50"/>
      <c r="BR920" s="147">
        <f t="array" ref="BR920">IFERROR(LARGE(IF(NF!$G$2:$G$3137='Mês atual'!A920,NF!$J$2:$J$3137),1),0)</f>
        <v>7.7972709551656925</v>
      </c>
      <c r="BS920" s="143" t="str">
        <f>VLOOKUP(A920,NF!M:O,3,0)</f>
        <v>Sushi</v>
      </c>
    </row>
    <row r="921" spans="1:71" x14ac:dyDescent="0.25">
      <c r="A921" s="108" t="s">
        <v>388</v>
      </c>
      <c r="B921" s="12"/>
      <c r="C921" s="9"/>
      <c r="D921" s="25"/>
      <c r="E921" s="10" t="str">
        <f t="shared" si="1146"/>
        <v>OutubroSEMANA 1Gergelim Branco Sushi</v>
      </c>
      <c r="F921" s="7">
        <f>SUMIF(NF!$A:$A,$E921,NF!$I:$I)</f>
        <v>0</v>
      </c>
      <c r="G921" s="6"/>
      <c r="H921" s="6"/>
      <c r="I921" s="6"/>
      <c r="J921" s="6"/>
      <c r="K921" s="6"/>
      <c r="L921" s="6"/>
      <c r="M921" s="6"/>
      <c r="N921" s="7">
        <f t="shared" si="1244"/>
        <v>0</v>
      </c>
      <c r="O921" s="11">
        <f t="shared" si="1148"/>
        <v>0</v>
      </c>
      <c r="P921" s="25"/>
      <c r="Q921" s="10" t="str">
        <f t="shared" si="1149"/>
        <v>OutubroSEMANA 2Gergelim Branco Sushi</v>
      </c>
      <c r="R921" s="7">
        <f>SUMIF(NF!$A:$A,$Q921,NF!$I:$I)</f>
        <v>1</v>
      </c>
      <c r="S921" s="6"/>
      <c r="T921" s="6"/>
      <c r="U921" s="6"/>
      <c r="V921" s="6"/>
      <c r="W921" s="6"/>
      <c r="X921" s="6"/>
      <c r="Y921" s="6">
        <v>1</v>
      </c>
      <c r="Z921" s="7">
        <f t="shared" si="1245"/>
        <v>1</v>
      </c>
      <c r="AA921" s="11">
        <f t="shared" si="1151"/>
        <v>0</v>
      </c>
      <c r="AB921" s="25"/>
      <c r="AC921" s="10" t="str">
        <f t="shared" si="1152"/>
        <v>OutubroSEMANA 3Gergelim Branco Sushi</v>
      </c>
      <c r="AD921" s="7">
        <f>SUMIF(NF!$A:$A,$AC921,NF!$I:$I)</f>
        <v>0</v>
      </c>
      <c r="AE921" s="6"/>
      <c r="AF921" s="6"/>
      <c r="AG921" s="6"/>
      <c r="AH921" s="6"/>
      <c r="AI921" s="6"/>
      <c r="AJ921" s="6"/>
      <c r="AK921" s="6"/>
      <c r="AL921" s="7">
        <f t="shared" si="1246"/>
        <v>0</v>
      </c>
      <c r="AM921" s="11">
        <f t="shared" si="1154"/>
        <v>0</v>
      </c>
      <c r="AN921" s="25"/>
      <c r="AO921" s="10" t="str">
        <f t="shared" si="1155"/>
        <v>OutubroSEMANA 4Gergelim Branco Sushi</v>
      </c>
      <c r="AP921" s="7">
        <f>SUMIF(NF!$A:$A,$AO921,NF!$I:$I)</f>
        <v>0</v>
      </c>
      <c r="AQ921" s="6"/>
      <c r="AR921" s="6"/>
      <c r="AS921" s="6"/>
      <c r="AT921" s="6"/>
      <c r="AU921" s="6"/>
      <c r="AV921" s="6"/>
      <c r="AW921" s="6"/>
      <c r="AX921" s="7">
        <f t="shared" si="1247"/>
        <v>0</v>
      </c>
      <c r="AY921" s="11">
        <f t="shared" si="1157"/>
        <v>0</v>
      </c>
      <c r="AZ921" s="25"/>
      <c r="BA921" s="10" t="str">
        <f t="shared" si="1158"/>
        <v>OutubroSEMANA 5Gergelim Branco Sushi</v>
      </c>
      <c r="BB921" s="7">
        <f>SUMIF(NF!$A:$A,$BA921,NF!$I:$I)</f>
        <v>0</v>
      </c>
      <c r="BC921" s="6"/>
      <c r="BD921" s="6"/>
      <c r="BE921" s="6"/>
      <c r="BF921" s="74"/>
      <c r="BG921" s="74"/>
      <c r="BH921" s="74"/>
      <c r="BI921" s="74"/>
      <c r="BJ921" s="74"/>
      <c r="BK921" s="7">
        <f t="shared" si="1248"/>
        <v>0</v>
      </c>
      <c r="BL921" s="8">
        <f t="shared" si="1160"/>
        <v>0</v>
      </c>
      <c r="BM921" s="51" t="str">
        <f>IFERROR(VLOOKUP(A921,NF!$M:$O,3,0),"")</f>
        <v>Sushi</v>
      </c>
      <c r="BN921" s="7">
        <f t="shared" si="1161"/>
        <v>1</v>
      </c>
      <c r="BO921" s="8">
        <f t="array" ref="BO921">IFERROR(LARGE(IF(NF!$G$2:$G$3137='Mês atual'!A921,NF!$J$2:$J$3137),1),0)*BN921</f>
        <v>16.850000000000001</v>
      </c>
      <c r="BP921" s="50"/>
      <c r="BR921" s="147">
        <f t="array" ref="BR921">IFERROR(LARGE(IF(NF!$G$2:$G$3137='Mês atual'!A921,NF!$J$2:$J$3137),1),0)</f>
        <v>16.850000000000001</v>
      </c>
      <c r="BS921" s="143" t="str">
        <f>VLOOKUP(A921,NF!M:O,3,0)</f>
        <v>Sushi</v>
      </c>
    </row>
    <row r="922" spans="1:71" x14ac:dyDescent="0.25">
      <c r="A922" s="108" t="s">
        <v>390</v>
      </c>
      <c r="B922" s="12"/>
      <c r="C922" s="9"/>
      <c r="D922" s="25"/>
      <c r="E922" s="10" t="str">
        <f t="shared" si="1146"/>
        <v>OutubroSEMANA 1Gergelim Preto Sushi</v>
      </c>
      <c r="F922" s="7">
        <f>SUMIF(NF!$A:$A,$E922,NF!$I:$I)</f>
        <v>0</v>
      </c>
      <c r="G922" s="6"/>
      <c r="H922" s="6"/>
      <c r="I922" s="6"/>
      <c r="J922" s="6"/>
      <c r="K922" s="6"/>
      <c r="L922" s="6"/>
      <c r="M922" s="6"/>
      <c r="N922" s="7">
        <f t="shared" si="1244"/>
        <v>0</v>
      </c>
      <c r="O922" s="11">
        <f t="shared" si="1148"/>
        <v>0</v>
      </c>
      <c r="P922" s="25"/>
      <c r="Q922" s="10" t="str">
        <f t="shared" si="1149"/>
        <v>OutubroSEMANA 2Gergelim Preto Sushi</v>
      </c>
      <c r="R922" s="7">
        <f>SUMIF(NF!$A:$A,$Q922,NF!$I:$I)</f>
        <v>0</v>
      </c>
      <c r="S922" s="6"/>
      <c r="T922" s="6"/>
      <c r="U922" s="6"/>
      <c r="V922" s="6"/>
      <c r="W922" s="6"/>
      <c r="X922" s="6"/>
      <c r="Y922" s="6"/>
      <c r="Z922" s="7">
        <f t="shared" si="1245"/>
        <v>0</v>
      </c>
      <c r="AA922" s="11">
        <f t="shared" si="1151"/>
        <v>0</v>
      </c>
      <c r="AB922" s="25"/>
      <c r="AC922" s="10" t="str">
        <f t="shared" si="1152"/>
        <v>OutubroSEMANA 3Gergelim Preto Sushi</v>
      </c>
      <c r="AD922" s="7">
        <f>SUMIF(NF!$A:$A,$AC922,NF!$I:$I)</f>
        <v>0</v>
      </c>
      <c r="AE922" s="6"/>
      <c r="AF922" s="6"/>
      <c r="AG922" s="6"/>
      <c r="AH922" s="6"/>
      <c r="AI922" s="6"/>
      <c r="AJ922" s="6"/>
      <c r="AK922" s="6"/>
      <c r="AL922" s="7">
        <f t="shared" si="1246"/>
        <v>0</v>
      </c>
      <c r="AM922" s="11">
        <f t="shared" si="1154"/>
        <v>0</v>
      </c>
      <c r="AN922" s="25"/>
      <c r="AO922" s="10" t="str">
        <f t="shared" si="1155"/>
        <v>OutubroSEMANA 4Gergelim Preto Sushi</v>
      </c>
      <c r="AP922" s="7">
        <f>SUMIF(NF!$A:$A,$AO922,NF!$I:$I)</f>
        <v>0</v>
      </c>
      <c r="AQ922" s="6"/>
      <c r="AR922" s="6"/>
      <c r="AS922" s="6"/>
      <c r="AT922" s="6"/>
      <c r="AU922" s="6"/>
      <c r="AV922" s="6"/>
      <c r="AW922" s="6"/>
      <c r="AX922" s="7">
        <f t="shared" si="1247"/>
        <v>0</v>
      </c>
      <c r="AY922" s="11">
        <f t="shared" si="1157"/>
        <v>0</v>
      </c>
      <c r="AZ922" s="25"/>
      <c r="BA922" s="10" t="str">
        <f t="shared" si="1158"/>
        <v>OutubroSEMANA 5Gergelim Preto Sushi</v>
      </c>
      <c r="BB922" s="7">
        <f>SUMIF(NF!$A:$A,$BA922,NF!$I:$I)</f>
        <v>0</v>
      </c>
      <c r="BC922" s="6"/>
      <c r="BD922" s="6"/>
      <c r="BE922" s="6"/>
      <c r="BF922" s="74"/>
      <c r="BG922" s="74"/>
      <c r="BH922" s="74"/>
      <c r="BI922" s="74"/>
      <c r="BJ922" s="74"/>
      <c r="BK922" s="7">
        <f t="shared" si="1248"/>
        <v>0</v>
      </c>
      <c r="BL922" s="8">
        <f t="shared" si="1160"/>
        <v>0</v>
      </c>
      <c r="BM922" s="51" t="str">
        <f>IFERROR(VLOOKUP(A922,NF!$M:$O,3,0),"")</f>
        <v>Sushi</v>
      </c>
      <c r="BN922" s="7">
        <f t="shared" si="1161"/>
        <v>0</v>
      </c>
      <c r="BO922" s="8">
        <f t="array" ref="BO922">IFERROR(LARGE(IF(NF!$G$2:$G$3137='Mês atual'!A922,NF!$J$2:$J$3137),1),0)*BN922</f>
        <v>0</v>
      </c>
      <c r="BP922" s="50"/>
      <c r="BR922" s="147">
        <f t="array" ref="BR922">IFERROR(LARGE(IF(NF!$G$2:$G$3137='Mês atual'!A922,NF!$J$2:$J$3137),1),0)</f>
        <v>0</v>
      </c>
      <c r="BS922" s="143" t="str">
        <f>VLOOKUP(A922,NF!M:O,3,0)</f>
        <v>Sushi</v>
      </c>
    </row>
    <row r="923" spans="1:71" x14ac:dyDescent="0.25">
      <c r="A923" s="108" t="s">
        <v>404</v>
      </c>
      <c r="B923" s="12"/>
      <c r="C923" s="9"/>
      <c r="D923" s="25"/>
      <c r="E923" s="10" t="str">
        <f t="shared" si="1146"/>
        <v>OutubroSEMANA 1Hondashi Sushi</v>
      </c>
      <c r="F923" s="7">
        <f>SUMIF(NF!$A:$A,$E923,NF!$I:$I)</f>
        <v>0</v>
      </c>
      <c r="G923" s="6"/>
      <c r="H923" s="6"/>
      <c r="I923" s="6"/>
      <c r="J923" s="6"/>
      <c r="K923" s="6"/>
      <c r="L923" s="6"/>
      <c r="M923" s="6"/>
      <c r="N923" s="7">
        <f t="shared" si="1244"/>
        <v>0</v>
      </c>
      <c r="O923" s="11">
        <f t="shared" si="1148"/>
        <v>0</v>
      </c>
      <c r="P923" s="25"/>
      <c r="Q923" s="10" t="str">
        <f t="shared" si="1149"/>
        <v>OutubroSEMANA 2Hondashi Sushi</v>
      </c>
      <c r="R923" s="7">
        <f>SUMIF(NF!$A:$A,$Q923,NF!$I:$I)</f>
        <v>0</v>
      </c>
      <c r="S923" s="6"/>
      <c r="T923" s="6"/>
      <c r="U923" s="6"/>
      <c r="V923" s="6"/>
      <c r="W923" s="6"/>
      <c r="X923" s="6"/>
      <c r="Y923" s="6"/>
      <c r="Z923" s="7">
        <f t="shared" si="1245"/>
        <v>0</v>
      </c>
      <c r="AA923" s="11">
        <f t="shared" si="1151"/>
        <v>0</v>
      </c>
      <c r="AB923" s="25"/>
      <c r="AC923" s="10" t="str">
        <f t="shared" si="1152"/>
        <v>OutubroSEMANA 3Hondashi Sushi</v>
      </c>
      <c r="AD923" s="7">
        <f>SUMIF(NF!$A:$A,$AC923,NF!$I:$I)</f>
        <v>0</v>
      </c>
      <c r="AE923" s="6"/>
      <c r="AF923" s="6"/>
      <c r="AG923" s="6"/>
      <c r="AH923" s="6"/>
      <c r="AI923" s="6"/>
      <c r="AJ923" s="6"/>
      <c r="AK923" s="6"/>
      <c r="AL923" s="7">
        <f t="shared" si="1246"/>
        <v>0</v>
      </c>
      <c r="AM923" s="11">
        <f t="shared" si="1154"/>
        <v>0</v>
      </c>
      <c r="AN923" s="25"/>
      <c r="AO923" s="10" t="str">
        <f t="shared" si="1155"/>
        <v>OutubroSEMANA 4Hondashi Sushi</v>
      </c>
      <c r="AP923" s="7">
        <f>SUMIF(NF!$A:$A,$AO923,NF!$I:$I)</f>
        <v>0</v>
      </c>
      <c r="AQ923" s="6"/>
      <c r="AR923" s="6"/>
      <c r="AS923" s="6"/>
      <c r="AT923" s="6"/>
      <c r="AU923" s="6"/>
      <c r="AV923" s="6"/>
      <c r="AW923" s="6"/>
      <c r="AX923" s="7">
        <f t="shared" si="1247"/>
        <v>0</v>
      </c>
      <c r="AY923" s="11">
        <f t="shared" si="1157"/>
        <v>0</v>
      </c>
      <c r="AZ923" s="25"/>
      <c r="BA923" s="10" t="str">
        <f t="shared" si="1158"/>
        <v>OutubroSEMANA 5Hondashi Sushi</v>
      </c>
      <c r="BB923" s="7">
        <f>SUMIF(NF!$A:$A,$BA923,NF!$I:$I)</f>
        <v>0</v>
      </c>
      <c r="BC923" s="6"/>
      <c r="BD923" s="6"/>
      <c r="BE923" s="6"/>
      <c r="BF923" s="74"/>
      <c r="BG923" s="74"/>
      <c r="BH923" s="74"/>
      <c r="BI923" s="74"/>
      <c r="BJ923" s="74"/>
      <c r="BK923" s="7">
        <f t="shared" si="1248"/>
        <v>0</v>
      </c>
      <c r="BL923" s="8">
        <f t="shared" si="1160"/>
        <v>0</v>
      </c>
      <c r="BM923" s="51" t="str">
        <f>IFERROR(VLOOKUP(A923,NF!$M:$O,3,0),"")</f>
        <v>Sushi</v>
      </c>
      <c r="BN923" s="7">
        <f t="shared" si="1161"/>
        <v>0</v>
      </c>
      <c r="BO923" s="8">
        <f t="array" ref="BO923">IFERROR(LARGE(IF(NF!$G$2:$G$3137='Mês atual'!A923,NF!$J$2:$J$3137),1),0)*BN923</f>
        <v>0</v>
      </c>
      <c r="BP923" s="50"/>
      <c r="BR923" s="147">
        <f t="array" ref="BR923">IFERROR(LARGE(IF(NF!$G$2:$G$3137='Mês atual'!A923,NF!$J$2:$J$3137),1),0)</f>
        <v>0</v>
      </c>
      <c r="BS923" s="143" t="str">
        <f>VLOOKUP(A923,NF!M:O,3,0)</f>
        <v>Sushi</v>
      </c>
    </row>
    <row r="924" spans="1:71" x14ac:dyDescent="0.25">
      <c r="A924" s="108" t="s">
        <v>447</v>
      </c>
      <c r="B924" s="12"/>
      <c r="C924" s="9"/>
      <c r="D924" s="25"/>
      <c r="E924" s="10" t="str">
        <f t="shared" si="1146"/>
        <v>OutubroSEMANA 1Ikura</v>
      </c>
      <c r="F924" s="7">
        <f>SUMIF(NF!$A:$A,$E924,NF!$I:$I)</f>
        <v>0</v>
      </c>
      <c r="G924" s="6"/>
      <c r="H924" s="6"/>
      <c r="I924" s="6"/>
      <c r="J924" s="6"/>
      <c r="K924" s="6"/>
      <c r="L924" s="6"/>
      <c r="M924" s="6"/>
      <c r="N924" s="7">
        <f t="shared" si="1244"/>
        <v>0</v>
      </c>
      <c r="O924" s="11">
        <f t="shared" si="1148"/>
        <v>0</v>
      </c>
      <c r="P924" s="25"/>
      <c r="Q924" s="10" t="str">
        <f t="shared" si="1149"/>
        <v>OutubroSEMANA 2Ikura</v>
      </c>
      <c r="R924" s="7">
        <f>SUMIF(NF!$A:$A,$Q924,NF!$I:$I)</f>
        <v>0</v>
      </c>
      <c r="S924" s="6"/>
      <c r="T924" s="6"/>
      <c r="U924" s="6"/>
      <c r="V924" s="6"/>
      <c r="W924" s="6"/>
      <c r="X924" s="6"/>
      <c r="Y924" s="6"/>
      <c r="Z924" s="7">
        <f t="shared" si="1245"/>
        <v>0</v>
      </c>
      <c r="AA924" s="11">
        <f t="shared" si="1151"/>
        <v>0</v>
      </c>
      <c r="AB924" s="25"/>
      <c r="AC924" s="10" t="str">
        <f t="shared" si="1152"/>
        <v>OutubroSEMANA 3Ikura</v>
      </c>
      <c r="AD924" s="7">
        <f>SUMIF(NF!$A:$A,$AC924,NF!$I:$I)</f>
        <v>0</v>
      </c>
      <c r="AE924" s="6"/>
      <c r="AF924" s="6"/>
      <c r="AG924" s="6"/>
      <c r="AH924" s="6"/>
      <c r="AI924" s="6"/>
      <c r="AJ924" s="6"/>
      <c r="AK924" s="6"/>
      <c r="AL924" s="7">
        <f t="shared" si="1246"/>
        <v>0</v>
      </c>
      <c r="AM924" s="11">
        <f t="shared" si="1154"/>
        <v>0</v>
      </c>
      <c r="AN924" s="25"/>
      <c r="AO924" s="10" t="str">
        <f t="shared" si="1155"/>
        <v>OutubroSEMANA 4Ikura</v>
      </c>
      <c r="AP924" s="7">
        <f>SUMIF(NF!$A:$A,$AO924,NF!$I:$I)</f>
        <v>0</v>
      </c>
      <c r="AQ924" s="6"/>
      <c r="AR924" s="6"/>
      <c r="AS924" s="6"/>
      <c r="AT924" s="6"/>
      <c r="AU924" s="6"/>
      <c r="AV924" s="6"/>
      <c r="AW924" s="6"/>
      <c r="AX924" s="7">
        <f t="shared" si="1247"/>
        <v>0</v>
      </c>
      <c r="AY924" s="11">
        <f t="shared" si="1157"/>
        <v>0</v>
      </c>
      <c r="AZ924" s="25"/>
      <c r="BA924" s="10" t="str">
        <f t="shared" si="1158"/>
        <v>OutubroSEMANA 5Ikura</v>
      </c>
      <c r="BB924" s="7">
        <f>SUMIF(NF!$A:$A,$BA924,NF!$I:$I)</f>
        <v>0</v>
      </c>
      <c r="BC924" s="6"/>
      <c r="BD924" s="6"/>
      <c r="BE924" s="6"/>
      <c r="BF924" s="74"/>
      <c r="BG924" s="74"/>
      <c r="BH924" s="74"/>
      <c r="BI924" s="74"/>
      <c r="BJ924" s="74"/>
      <c r="BK924" s="7">
        <f t="shared" si="1248"/>
        <v>0</v>
      </c>
      <c r="BL924" s="8">
        <f t="shared" si="1160"/>
        <v>0</v>
      </c>
      <c r="BM924" s="51" t="str">
        <f>IFERROR(VLOOKUP(A924,NF!$M:$O,3,0),"")</f>
        <v>Sushi</v>
      </c>
      <c r="BN924" s="7">
        <f t="shared" si="1161"/>
        <v>0</v>
      </c>
      <c r="BO924" s="8">
        <f t="array" ref="BO924">IFERROR(LARGE(IF(NF!$G$2:$G$3137='Mês atual'!A924,NF!$J$2:$J$3137),1),0)*BN924</f>
        <v>0</v>
      </c>
      <c r="BP924" s="50"/>
      <c r="BR924" s="147">
        <f t="array" ref="BR924">IFERROR(LARGE(IF(NF!$G$2:$G$3137='Mês atual'!A924,NF!$J$2:$J$3137),1),0)</f>
        <v>0</v>
      </c>
      <c r="BS924" s="143" t="str">
        <f>VLOOKUP(A924,NF!M:O,3,0)</f>
        <v>Sushi</v>
      </c>
    </row>
    <row r="925" spans="1:71" x14ac:dyDescent="0.25">
      <c r="A925" s="108" t="s">
        <v>452</v>
      </c>
      <c r="B925" s="12"/>
      <c r="C925" s="9"/>
      <c r="D925" s="25"/>
      <c r="E925" s="10" t="str">
        <f t="shared" si="1146"/>
        <v>OutubroSEMANA 1Kampyo 100g</v>
      </c>
      <c r="F925" s="7">
        <f>SUMIF(NF!$A:$A,$E925,NF!$I:$I)</f>
        <v>0</v>
      </c>
      <c r="G925" s="6"/>
      <c r="H925" s="6"/>
      <c r="I925" s="6"/>
      <c r="J925" s="6"/>
      <c r="K925" s="6"/>
      <c r="L925" s="6"/>
      <c r="M925" s="6"/>
      <c r="N925" s="7">
        <f t="shared" si="1244"/>
        <v>0</v>
      </c>
      <c r="O925" s="11">
        <f t="shared" si="1148"/>
        <v>0</v>
      </c>
      <c r="P925" s="25"/>
      <c r="Q925" s="10" t="str">
        <f t="shared" si="1149"/>
        <v>OutubroSEMANA 2Kampyo 100g</v>
      </c>
      <c r="R925" s="7">
        <f>SUMIF(NF!$A:$A,$Q925,NF!$I:$I)</f>
        <v>0</v>
      </c>
      <c r="S925" s="6"/>
      <c r="T925" s="6"/>
      <c r="U925" s="6"/>
      <c r="V925" s="6"/>
      <c r="W925" s="6"/>
      <c r="X925" s="6"/>
      <c r="Y925" s="6"/>
      <c r="Z925" s="7">
        <f t="shared" si="1245"/>
        <v>0</v>
      </c>
      <c r="AA925" s="11">
        <f t="shared" si="1151"/>
        <v>0</v>
      </c>
      <c r="AB925" s="25"/>
      <c r="AC925" s="10" t="str">
        <f t="shared" si="1152"/>
        <v>OutubroSEMANA 3Kampyo 100g</v>
      </c>
      <c r="AD925" s="7">
        <f>SUMIF(NF!$A:$A,$AC925,NF!$I:$I)</f>
        <v>0</v>
      </c>
      <c r="AE925" s="6"/>
      <c r="AF925" s="6"/>
      <c r="AG925" s="6"/>
      <c r="AH925" s="6"/>
      <c r="AI925" s="6"/>
      <c r="AJ925" s="6"/>
      <c r="AK925" s="6"/>
      <c r="AL925" s="7">
        <f t="shared" si="1246"/>
        <v>0</v>
      </c>
      <c r="AM925" s="11">
        <f t="shared" si="1154"/>
        <v>0</v>
      </c>
      <c r="AN925" s="25"/>
      <c r="AO925" s="10" t="str">
        <f t="shared" si="1155"/>
        <v>OutubroSEMANA 4Kampyo 100g</v>
      </c>
      <c r="AP925" s="7">
        <f>SUMIF(NF!$A:$A,$AO925,NF!$I:$I)</f>
        <v>0</v>
      </c>
      <c r="AQ925" s="6"/>
      <c r="AR925" s="6"/>
      <c r="AS925" s="6"/>
      <c r="AT925" s="6"/>
      <c r="AU925" s="6"/>
      <c r="AV925" s="6"/>
      <c r="AW925" s="6"/>
      <c r="AX925" s="7">
        <f t="shared" si="1247"/>
        <v>0</v>
      </c>
      <c r="AY925" s="11">
        <f t="shared" si="1157"/>
        <v>0</v>
      </c>
      <c r="AZ925" s="25"/>
      <c r="BA925" s="10" t="str">
        <f t="shared" si="1158"/>
        <v>OutubroSEMANA 5Kampyo 100g</v>
      </c>
      <c r="BB925" s="7">
        <f>SUMIF(NF!$A:$A,$BA925,NF!$I:$I)</f>
        <v>0</v>
      </c>
      <c r="BC925" s="6"/>
      <c r="BD925" s="6"/>
      <c r="BE925" s="6"/>
      <c r="BF925" s="74"/>
      <c r="BG925" s="74"/>
      <c r="BH925" s="74"/>
      <c r="BI925" s="74"/>
      <c r="BJ925" s="74"/>
      <c r="BK925" s="7">
        <f t="shared" si="1248"/>
        <v>0</v>
      </c>
      <c r="BL925" s="8">
        <f t="shared" si="1160"/>
        <v>0</v>
      </c>
      <c r="BM925" s="51" t="str">
        <f>IFERROR(VLOOKUP(A925,NF!$M:$O,3,0),"")</f>
        <v>Sushi</v>
      </c>
      <c r="BN925" s="7">
        <f t="shared" si="1161"/>
        <v>0</v>
      </c>
      <c r="BO925" s="8">
        <f t="array" ref="BO925">IFERROR(LARGE(IF(NF!$G$2:$G$3137='Mês atual'!A925,NF!$J$2:$J$3137),1),0)*BN925</f>
        <v>0</v>
      </c>
      <c r="BP925" s="50"/>
      <c r="BR925" s="147">
        <f t="array" ref="BR925">IFERROR(LARGE(IF(NF!$G$2:$G$3137='Mês atual'!A925,NF!$J$2:$J$3137),1),0)</f>
        <v>0</v>
      </c>
      <c r="BS925" s="143" t="str">
        <f>VLOOKUP(A925,NF!M:O,3,0)</f>
        <v>Sushi</v>
      </c>
    </row>
    <row r="926" spans="1:71" x14ac:dyDescent="0.25">
      <c r="A926" s="108" t="s">
        <v>1297</v>
      </c>
      <c r="B926" s="12"/>
      <c r="C926" s="9"/>
      <c r="D926" s="25"/>
      <c r="E926" s="10" t="str">
        <f t="shared" si="1146"/>
        <v>OutubroSEMANA 1Maçã (sushi)</v>
      </c>
      <c r="F926" s="7">
        <f>SUMIF(NF!$A:$A,$E926,NF!$I:$I)</f>
        <v>0</v>
      </c>
      <c r="G926" s="6"/>
      <c r="H926" s="6"/>
      <c r="I926" s="6"/>
      <c r="J926" s="6"/>
      <c r="K926" s="6"/>
      <c r="L926" s="6"/>
      <c r="M926" s="6"/>
      <c r="N926" s="7">
        <f t="shared" ref="N926" si="1249">SUM(G926:M926)</f>
        <v>0</v>
      </c>
      <c r="O926" s="11">
        <f t="shared" ref="O926" si="1250">F926+C926-N926</f>
        <v>0</v>
      </c>
      <c r="P926" s="25"/>
      <c r="Q926" s="10" t="str">
        <f t="shared" si="1149"/>
        <v>OutubroSEMANA 2Maçã (sushi)</v>
      </c>
      <c r="R926" s="7">
        <f>SUMIF(NF!$A:$A,$Q926,NF!$I:$I)</f>
        <v>0</v>
      </c>
      <c r="S926" s="6"/>
      <c r="T926" s="6"/>
      <c r="U926" s="6"/>
      <c r="V926" s="6"/>
      <c r="W926" s="6"/>
      <c r="X926" s="6"/>
      <c r="Y926" s="6"/>
      <c r="Z926" s="7">
        <f t="shared" ref="Z926" si="1251">SUM(S926:Y926)</f>
        <v>0</v>
      </c>
      <c r="AA926" s="11">
        <f t="shared" ref="AA926" si="1252">R926+O926-Z926</f>
        <v>0</v>
      </c>
      <c r="AB926" s="25"/>
      <c r="AC926" s="10" t="str">
        <f t="shared" si="1152"/>
        <v>OutubroSEMANA 3Maçã (sushi)</v>
      </c>
      <c r="AD926" s="7">
        <f>SUMIF(NF!$A:$A,$AC926,NF!$I:$I)</f>
        <v>0</v>
      </c>
      <c r="AE926" s="6"/>
      <c r="AF926" s="6"/>
      <c r="AG926" s="6"/>
      <c r="AH926" s="6"/>
      <c r="AI926" s="6"/>
      <c r="AJ926" s="6"/>
      <c r="AK926" s="6"/>
      <c r="AL926" s="7">
        <f t="shared" ref="AL926" si="1253">SUM(AE926:AK926)</f>
        <v>0</v>
      </c>
      <c r="AM926" s="11">
        <f t="shared" ref="AM926" si="1254">AD926+AA926-AL926</f>
        <v>0</v>
      </c>
      <c r="AN926" s="25"/>
      <c r="AO926" s="10" t="str">
        <f t="shared" si="1155"/>
        <v>OutubroSEMANA 4Maçã (sushi)</v>
      </c>
      <c r="AP926" s="7">
        <f>SUMIF(NF!$A:$A,$AO926,NF!$I:$I)</f>
        <v>0</v>
      </c>
      <c r="AQ926" s="6"/>
      <c r="AR926" s="6"/>
      <c r="AS926" s="6"/>
      <c r="AT926" s="6"/>
      <c r="AU926" s="6"/>
      <c r="AV926" s="6"/>
      <c r="AW926" s="6"/>
      <c r="AX926" s="7">
        <f t="shared" ref="AX926" si="1255">SUM(AQ926:AW926)</f>
        <v>0</v>
      </c>
      <c r="AY926" s="11">
        <f t="shared" ref="AY926" si="1256">AP926+AM926-AX926</f>
        <v>0</v>
      </c>
      <c r="AZ926" s="25"/>
      <c r="BA926" s="10" t="str">
        <f t="shared" si="1158"/>
        <v>OutubroSEMANA 5Maçã (sushi)</v>
      </c>
      <c r="BB926" s="7">
        <f>SUMIF(NF!$A:$A,$BA926,NF!$I:$I)</f>
        <v>0</v>
      </c>
      <c r="BC926" s="6"/>
      <c r="BD926" s="6"/>
      <c r="BE926" s="6"/>
      <c r="BF926" s="74"/>
      <c r="BG926" s="74"/>
      <c r="BH926" s="74"/>
      <c r="BI926" s="74"/>
      <c r="BJ926" s="74"/>
      <c r="BK926" s="7">
        <f t="shared" ref="BK926" si="1257">SUM(BC926:BJ926)</f>
        <v>0</v>
      </c>
      <c r="BL926" s="8">
        <f t="shared" ref="BL926" si="1258">BB926+AY926-BK926</f>
        <v>0</v>
      </c>
      <c r="BM926" s="51" t="str">
        <f>IFERROR(VLOOKUP(A926,NF!$M:$O,3,0),"")</f>
        <v>Sushi</v>
      </c>
      <c r="BN926" s="7">
        <f t="shared" ref="BN926" si="1259">SUM(N926,Z926,AL926,AX926,BK926)</f>
        <v>0</v>
      </c>
      <c r="BO926" s="8">
        <f t="array" ref="BO926">IFERROR(LARGE(IF(NF!$G$2:$G$3137='Mês atual'!A926,NF!$J$2:$J$3137),1),0)*BN926</f>
        <v>0</v>
      </c>
      <c r="BP926" s="50"/>
      <c r="BR926" s="147">
        <f t="array" ref="BR926">IFERROR(LARGE(IF(NF!$G$2:$G$3137='Mês atual'!A926,NF!$J$2:$J$3137),1),0)</f>
        <v>0</v>
      </c>
      <c r="BS926" s="143" t="str">
        <f>VLOOKUP(A926,NF!M:O,3,0)</f>
        <v>Sushi</v>
      </c>
    </row>
    <row r="927" spans="1:71" x14ac:dyDescent="0.25">
      <c r="A927" s="108" t="s">
        <v>498</v>
      </c>
      <c r="B927" s="12"/>
      <c r="C927" s="9"/>
      <c r="D927" s="25"/>
      <c r="E927" s="10" t="str">
        <f t="shared" si="1146"/>
        <v>OutubroSEMANA 1Manga Tommy Sushi</v>
      </c>
      <c r="F927" s="7">
        <f>SUMIF(NF!$A:$A,$E927,NF!$I:$I)</f>
        <v>2</v>
      </c>
      <c r="G927" s="6"/>
      <c r="H927" s="6"/>
      <c r="I927" s="6"/>
      <c r="J927" s="6">
        <v>1</v>
      </c>
      <c r="K927" s="6"/>
      <c r="L927" s="6"/>
      <c r="M927" s="6"/>
      <c r="N927" s="7">
        <f t="shared" si="1244"/>
        <v>1</v>
      </c>
      <c r="O927" s="11">
        <f t="shared" si="1148"/>
        <v>1</v>
      </c>
      <c r="P927" s="25"/>
      <c r="Q927" s="10" t="str">
        <f t="shared" si="1149"/>
        <v>OutubroSEMANA 2Manga Tommy Sushi</v>
      </c>
      <c r="R927" s="7">
        <f>SUMIF(NF!$A:$A,$Q927,NF!$I:$I)</f>
        <v>0</v>
      </c>
      <c r="S927" s="6">
        <v>1</v>
      </c>
      <c r="T927" s="6"/>
      <c r="U927" s="6"/>
      <c r="V927" s="6"/>
      <c r="W927" s="6"/>
      <c r="X927" s="6"/>
      <c r="Y927" s="6"/>
      <c r="Z927" s="7">
        <f t="shared" si="1245"/>
        <v>1</v>
      </c>
      <c r="AA927" s="11">
        <f t="shared" si="1151"/>
        <v>0</v>
      </c>
      <c r="AB927" s="25"/>
      <c r="AC927" s="10" t="str">
        <f t="shared" si="1152"/>
        <v>OutubroSEMANA 3Manga Tommy Sushi</v>
      </c>
      <c r="AD927" s="7">
        <f>SUMIF(NF!$A:$A,$AC927,NF!$I:$I)</f>
        <v>1</v>
      </c>
      <c r="AE927" s="6"/>
      <c r="AF927" s="6"/>
      <c r="AG927" s="6">
        <v>1</v>
      </c>
      <c r="AH927" s="6"/>
      <c r="AI927" s="6"/>
      <c r="AJ927" s="6"/>
      <c r="AK927" s="6"/>
      <c r="AL927" s="7">
        <f t="shared" si="1246"/>
        <v>1</v>
      </c>
      <c r="AM927" s="11">
        <f t="shared" si="1154"/>
        <v>0</v>
      </c>
      <c r="AN927" s="25"/>
      <c r="AO927" s="10" t="str">
        <f t="shared" si="1155"/>
        <v>OutubroSEMANA 4Manga Tommy Sushi</v>
      </c>
      <c r="AP927" s="7">
        <f>SUMIF(NF!$A:$A,$AO927,NF!$I:$I)</f>
        <v>0</v>
      </c>
      <c r="AQ927" s="6"/>
      <c r="AR927" s="6"/>
      <c r="AS927" s="6"/>
      <c r="AT927" s="6"/>
      <c r="AU927" s="6"/>
      <c r="AV927" s="6"/>
      <c r="AW927" s="6"/>
      <c r="AX927" s="7">
        <f t="shared" si="1247"/>
        <v>0</v>
      </c>
      <c r="AY927" s="11">
        <f t="shared" si="1157"/>
        <v>0</v>
      </c>
      <c r="AZ927" s="25"/>
      <c r="BA927" s="10" t="str">
        <f t="shared" si="1158"/>
        <v>OutubroSEMANA 5Manga Tommy Sushi</v>
      </c>
      <c r="BB927" s="7">
        <f>SUMIF(NF!$A:$A,$BA927,NF!$I:$I)</f>
        <v>0</v>
      </c>
      <c r="BC927" s="6"/>
      <c r="BD927" s="6"/>
      <c r="BE927" s="6"/>
      <c r="BF927" s="74"/>
      <c r="BG927" s="74"/>
      <c r="BH927" s="74"/>
      <c r="BI927" s="74"/>
      <c r="BJ927" s="74"/>
      <c r="BK927" s="7">
        <f t="shared" si="1248"/>
        <v>0</v>
      </c>
      <c r="BL927" s="8">
        <f t="shared" si="1160"/>
        <v>0</v>
      </c>
      <c r="BM927" s="51" t="str">
        <f>IFERROR(VLOOKUP(A927,NF!$M:$O,3,0),"")</f>
        <v>Sushi</v>
      </c>
      <c r="BN927" s="7">
        <f t="shared" si="1161"/>
        <v>3</v>
      </c>
      <c r="BO927" s="8">
        <f t="array" ref="BO927">IFERROR(LARGE(IF(NF!$G$2:$G$3137='Mês atual'!A927,NF!$J$2:$J$3137),1),0)*BN927</f>
        <v>12</v>
      </c>
      <c r="BP927" s="50"/>
      <c r="BR927" s="147">
        <f t="array" ref="BR927">IFERROR(LARGE(IF(NF!$G$2:$G$3137='Mês atual'!A927,NF!$J$2:$J$3137),1),0)</f>
        <v>4</v>
      </c>
      <c r="BS927" s="143" t="str">
        <f>VLOOKUP(A927,NF!M:O,3,0)</f>
        <v>Sushi</v>
      </c>
    </row>
    <row r="928" spans="1:71" x14ac:dyDescent="0.25">
      <c r="A928" s="108" t="s">
        <v>1295</v>
      </c>
      <c r="B928" s="12"/>
      <c r="C928" s="9"/>
      <c r="D928" s="25"/>
      <c r="E928" s="10" t="str">
        <f t="shared" si="1146"/>
        <v>OutubroSEMANA 1Massa de Harumaki (sushi)</v>
      </c>
      <c r="F928" s="7">
        <f>SUMIF(NF!$A:$A,$E928,NF!$I:$I)</f>
        <v>24</v>
      </c>
      <c r="G928" s="6"/>
      <c r="H928" s="6">
        <v>12</v>
      </c>
      <c r="I928" s="6"/>
      <c r="J928" s="6">
        <v>12</v>
      </c>
      <c r="K928" s="6"/>
      <c r="L928" s="6"/>
      <c r="M928" s="6"/>
      <c r="N928" s="7">
        <f t="shared" ref="N928" si="1260">SUM(G928:M928)</f>
        <v>24</v>
      </c>
      <c r="O928" s="11">
        <f t="shared" ref="O928" si="1261">F928+C928-N928</f>
        <v>0</v>
      </c>
      <c r="P928" s="25"/>
      <c r="Q928" s="10" t="str">
        <f t="shared" si="1149"/>
        <v>OutubroSEMANA 2Massa de Harumaki (sushi)</v>
      </c>
      <c r="R928" s="7">
        <f>SUMIF(NF!$A:$A,$Q928,NF!$I:$I)</f>
        <v>0</v>
      </c>
      <c r="S928" s="6"/>
      <c r="T928" s="6"/>
      <c r="U928" s="6"/>
      <c r="V928" s="6"/>
      <c r="W928" s="6"/>
      <c r="X928" s="6"/>
      <c r="Y928" s="6"/>
      <c r="Z928" s="7">
        <f t="shared" ref="Z928" si="1262">SUM(S928:Y928)</f>
        <v>0</v>
      </c>
      <c r="AA928" s="11">
        <f t="shared" ref="AA928" si="1263">R928+O928-Z928</f>
        <v>0</v>
      </c>
      <c r="AB928" s="25"/>
      <c r="AC928" s="10" t="str">
        <f t="shared" si="1152"/>
        <v>OutubroSEMANA 3Massa de Harumaki (sushi)</v>
      </c>
      <c r="AD928" s="7">
        <f>SUMIF(NF!$A:$A,$AC928,NF!$I:$I)</f>
        <v>24</v>
      </c>
      <c r="AE928" s="6"/>
      <c r="AF928" s="6"/>
      <c r="AG928" s="6"/>
      <c r="AH928" s="6"/>
      <c r="AI928" s="6"/>
      <c r="AJ928" s="6">
        <v>12</v>
      </c>
      <c r="AK928" s="6">
        <v>12</v>
      </c>
      <c r="AL928" s="7">
        <f t="shared" ref="AL928" si="1264">SUM(AE928:AK928)</f>
        <v>24</v>
      </c>
      <c r="AM928" s="11">
        <f t="shared" ref="AM928" si="1265">AD928+AA928-AL928</f>
        <v>0</v>
      </c>
      <c r="AN928" s="25"/>
      <c r="AO928" s="10" t="str">
        <f t="shared" si="1155"/>
        <v>OutubroSEMANA 4Massa de Harumaki (sushi)</v>
      </c>
      <c r="AP928" s="7">
        <f>SUMIF(NF!$A:$A,$AO928,NF!$I:$I)</f>
        <v>0</v>
      </c>
      <c r="AQ928" s="6"/>
      <c r="AR928" s="6"/>
      <c r="AS928" s="6"/>
      <c r="AT928" s="6"/>
      <c r="AU928" s="6"/>
      <c r="AV928" s="6"/>
      <c r="AW928" s="6"/>
      <c r="AX928" s="7">
        <f t="shared" ref="AX928" si="1266">SUM(AQ928:AW928)</f>
        <v>0</v>
      </c>
      <c r="AY928" s="11">
        <f t="shared" ref="AY928" si="1267">AP928+AM928-AX928</f>
        <v>0</v>
      </c>
      <c r="AZ928" s="25"/>
      <c r="BA928" s="10" t="str">
        <f t="shared" si="1158"/>
        <v>OutubroSEMANA 5Massa de Harumaki (sushi)</v>
      </c>
      <c r="BB928" s="7">
        <f>SUMIF(NF!$A:$A,$BA928,NF!$I:$I)</f>
        <v>0</v>
      </c>
      <c r="BC928" s="6"/>
      <c r="BD928" s="6"/>
      <c r="BE928" s="6"/>
      <c r="BF928" s="74"/>
      <c r="BG928" s="74"/>
      <c r="BH928" s="74"/>
      <c r="BI928" s="74"/>
      <c r="BJ928" s="74"/>
      <c r="BK928" s="7">
        <f t="shared" ref="BK928" si="1268">SUM(BC928:BJ928)</f>
        <v>0</v>
      </c>
      <c r="BL928" s="8">
        <f t="shared" ref="BL928" si="1269">BB928+AY928-BK928</f>
        <v>0</v>
      </c>
      <c r="BM928" s="51" t="str">
        <f>IFERROR(VLOOKUP(A928,NF!$M:$O,3,0),"")</f>
        <v>Sushi</v>
      </c>
      <c r="BN928" s="7">
        <f t="shared" ref="BN928" si="1270">SUM(N928,Z928,AL928,AX928,BK928)</f>
        <v>48</v>
      </c>
      <c r="BO928" s="8">
        <f t="array" ref="BO928">IFERROR(LARGE(IF(NF!$G$2:$G$3137='Mês atual'!A928,NF!$J$2:$J$3137),1),0)*BN928</f>
        <v>27.64</v>
      </c>
      <c r="BP928" s="50"/>
      <c r="BR928" s="147">
        <f t="array" ref="BR928">IFERROR(LARGE(IF(NF!$G$2:$G$3137='Mês atual'!A928,NF!$J$2:$J$3137),1),0)</f>
        <v>0.57583333333333331</v>
      </c>
      <c r="BS928" s="143" t="str">
        <f>VLOOKUP(A928,NF!M:O,3,0)</f>
        <v>Sushi</v>
      </c>
    </row>
    <row r="929" spans="1:71" x14ac:dyDescent="0.25">
      <c r="A929" s="108" t="s">
        <v>537</v>
      </c>
      <c r="B929" s="12"/>
      <c r="C929" s="9"/>
      <c r="D929" s="25"/>
      <c r="E929" s="10" t="str">
        <f t="shared" si="1146"/>
        <v>OutubroSEMANA 1Nabo Japonês Sushi</v>
      </c>
      <c r="F929" s="7">
        <f>SUMIF(NF!$A:$A,$E929,NF!$I:$I)</f>
        <v>1.4259999999999999</v>
      </c>
      <c r="G929" s="6"/>
      <c r="H929" s="6"/>
      <c r="I929" s="6"/>
      <c r="J929" s="6"/>
      <c r="K929" s="6"/>
      <c r="L929" s="6">
        <v>1.4259999999999999</v>
      </c>
      <c r="M929" s="6"/>
      <c r="N929" s="7">
        <f t="shared" si="1244"/>
        <v>1.4259999999999999</v>
      </c>
      <c r="O929" s="11">
        <f t="shared" si="1148"/>
        <v>0</v>
      </c>
      <c r="P929" s="25"/>
      <c r="Q929" s="10" t="str">
        <f t="shared" si="1149"/>
        <v>OutubroSEMANA 2Nabo Japonês Sushi</v>
      </c>
      <c r="R929" s="7">
        <f>SUMIF(NF!$A:$A,$Q929,NF!$I:$I)</f>
        <v>0</v>
      </c>
      <c r="S929" s="6"/>
      <c r="T929" s="6"/>
      <c r="U929" s="6"/>
      <c r="V929" s="6"/>
      <c r="W929" s="6"/>
      <c r="X929" s="6"/>
      <c r="Y929" s="6"/>
      <c r="Z929" s="7">
        <f t="shared" si="1245"/>
        <v>0</v>
      </c>
      <c r="AA929" s="11">
        <f t="shared" si="1151"/>
        <v>0</v>
      </c>
      <c r="AB929" s="25"/>
      <c r="AC929" s="10" t="str">
        <f t="shared" si="1152"/>
        <v>OutubroSEMANA 3Nabo Japonês Sushi</v>
      </c>
      <c r="AD929" s="7">
        <f>SUMIF(NF!$A:$A,$AC929,NF!$I:$I)</f>
        <v>1</v>
      </c>
      <c r="AE929" s="6"/>
      <c r="AF929" s="6"/>
      <c r="AG929" s="6"/>
      <c r="AH929" s="6"/>
      <c r="AI929" s="6"/>
      <c r="AJ929" s="6"/>
      <c r="AK929" s="6"/>
      <c r="AL929" s="7">
        <f t="shared" si="1246"/>
        <v>0</v>
      </c>
      <c r="AM929" s="11">
        <f t="shared" si="1154"/>
        <v>1</v>
      </c>
      <c r="AN929" s="25"/>
      <c r="AO929" s="10" t="str">
        <f t="shared" si="1155"/>
        <v>OutubroSEMANA 4Nabo Japonês Sushi</v>
      </c>
      <c r="AP929" s="7">
        <f>SUMIF(NF!$A:$A,$AO929,NF!$I:$I)</f>
        <v>1</v>
      </c>
      <c r="AQ929" s="6">
        <v>1</v>
      </c>
      <c r="AR929" s="6"/>
      <c r="AS929" s="6"/>
      <c r="AT929" s="6"/>
      <c r="AU929" s="6"/>
      <c r="AV929" s="6"/>
      <c r="AW929" s="6">
        <v>1</v>
      </c>
      <c r="AX929" s="7">
        <f t="shared" si="1247"/>
        <v>2</v>
      </c>
      <c r="AY929" s="11">
        <f t="shared" si="1157"/>
        <v>0</v>
      </c>
      <c r="AZ929" s="25"/>
      <c r="BA929" s="10" t="str">
        <f t="shared" si="1158"/>
        <v>OutubroSEMANA 5Nabo Japonês Sushi</v>
      </c>
      <c r="BB929" s="7">
        <f>SUMIF(NF!$A:$A,$BA929,NF!$I:$I)</f>
        <v>0</v>
      </c>
      <c r="BC929" s="6"/>
      <c r="BD929" s="6"/>
      <c r="BE929" s="6"/>
      <c r="BF929" s="74"/>
      <c r="BG929" s="74"/>
      <c r="BH929" s="74"/>
      <c r="BI929" s="74"/>
      <c r="BJ929" s="74"/>
      <c r="BK929" s="7">
        <f t="shared" si="1248"/>
        <v>0</v>
      </c>
      <c r="BL929" s="8">
        <f t="shared" si="1160"/>
        <v>0</v>
      </c>
      <c r="BM929" s="51" t="str">
        <f>IFERROR(VLOOKUP(A929,NF!$M:$O,3,0),"")</f>
        <v>Sushi</v>
      </c>
      <c r="BN929" s="7">
        <f t="shared" si="1161"/>
        <v>3.4260000000000002</v>
      </c>
      <c r="BO929" s="8">
        <f t="array" ref="BO929">IFERROR(LARGE(IF(NF!$G$2:$G$3137='Mês atual'!A929,NF!$J$2:$J$3137),1),0)*BN929</f>
        <v>17.130000000000003</v>
      </c>
      <c r="BP929" s="50"/>
      <c r="BR929" s="147">
        <f t="array" ref="BR929">IFERROR(LARGE(IF(NF!$G$2:$G$3137='Mês atual'!A929,NF!$J$2:$J$3137),1),0)</f>
        <v>5</v>
      </c>
      <c r="BS929" s="143" t="str">
        <f>VLOOKUP(A929,NF!M:O,3,0)</f>
        <v>Sushi</v>
      </c>
    </row>
    <row r="930" spans="1:71" x14ac:dyDescent="0.25">
      <c r="A930" s="108" t="s">
        <v>931</v>
      </c>
      <c r="B930" s="12"/>
      <c r="C930" s="9"/>
      <c r="D930" s="25"/>
      <c r="E930" s="10" t="str">
        <f t="shared" si="1146"/>
        <v>OutubroSEMANA 1Name Wasabi</v>
      </c>
      <c r="F930" s="7">
        <f>SUMIF(NF!$A:$A,$E930,NF!$I:$I)</f>
        <v>0</v>
      </c>
      <c r="G930" s="6"/>
      <c r="H930" s="6"/>
      <c r="I930" s="6"/>
      <c r="J930" s="6"/>
      <c r="K930" s="6"/>
      <c r="L930" s="6"/>
      <c r="M930" s="6"/>
      <c r="N930" s="7">
        <f t="shared" ref="N930" si="1271">SUM(G930:M930)</f>
        <v>0</v>
      </c>
      <c r="O930" s="11">
        <f t="shared" si="1148"/>
        <v>0</v>
      </c>
      <c r="P930" s="25"/>
      <c r="Q930" s="10" t="str">
        <f t="shared" si="1149"/>
        <v>OutubroSEMANA 2Name Wasabi</v>
      </c>
      <c r="R930" s="7">
        <f>SUMIF(NF!$A:$A,$Q930,NF!$I:$I)</f>
        <v>0</v>
      </c>
      <c r="S930" s="6"/>
      <c r="T930" s="6"/>
      <c r="U930" s="6"/>
      <c r="V930" s="6"/>
      <c r="W930" s="6"/>
      <c r="X930" s="6"/>
      <c r="Y930" s="6"/>
      <c r="Z930" s="7">
        <f t="shared" ref="Z930" si="1272">SUM(S930:Y930)</f>
        <v>0</v>
      </c>
      <c r="AA930" s="11">
        <f t="shared" si="1151"/>
        <v>0</v>
      </c>
      <c r="AB930" s="25"/>
      <c r="AC930" s="10" t="str">
        <f t="shared" si="1152"/>
        <v>OutubroSEMANA 3Name Wasabi</v>
      </c>
      <c r="AD930" s="7">
        <f>SUMIF(NF!$A:$A,$AC930,NF!$I:$I)</f>
        <v>0</v>
      </c>
      <c r="AE930" s="6"/>
      <c r="AF930" s="6"/>
      <c r="AG930" s="6"/>
      <c r="AH930" s="6"/>
      <c r="AI930" s="6"/>
      <c r="AJ930" s="6"/>
      <c r="AK930" s="6"/>
      <c r="AL930" s="7">
        <f t="shared" ref="AL930" si="1273">SUM(AE930:AK930)</f>
        <v>0</v>
      </c>
      <c r="AM930" s="11">
        <f t="shared" si="1154"/>
        <v>0</v>
      </c>
      <c r="AN930" s="25"/>
      <c r="AO930" s="10" t="str">
        <f t="shared" si="1155"/>
        <v>OutubroSEMANA 4Name Wasabi</v>
      </c>
      <c r="AP930" s="7">
        <f>SUMIF(NF!$A:$A,$AO930,NF!$I:$I)</f>
        <v>0</v>
      </c>
      <c r="AQ930" s="6"/>
      <c r="AR930" s="6"/>
      <c r="AS930" s="6"/>
      <c r="AT930" s="6"/>
      <c r="AU930" s="6"/>
      <c r="AV930" s="6"/>
      <c r="AW930" s="6"/>
      <c r="AX930" s="7">
        <f t="shared" ref="AX930" si="1274">SUM(AQ930:AW930)</f>
        <v>0</v>
      </c>
      <c r="AY930" s="11">
        <f t="shared" si="1157"/>
        <v>0</v>
      </c>
      <c r="AZ930" s="25"/>
      <c r="BA930" s="10" t="str">
        <f t="shared" si="1158"/>
        <v>OutubroSEMANA 5Name Wasabi</v>
      </c>
      <c r="BB930" s="7">
        <f>SUMIF(NF!$A:$A,$BA930,NF!$I:$I)</f>
        <v>0</v>
      </c>
      <c r="BC930" s="6"/>
      <c r="BD930" s="6"/>
      <c r="BE930" s="6"/>
      <c r="BF930" s="74"/>
      <c r="BG930" s="74"/>
      <c r="BH930" s="74"/>
      <c r="BI930" s="74"/>
      <c r="BJ930" s="74"/>
      <c r="BK930" s="7">
        <f t="shared" ref="BK930" si="1275">SUM(BC930:BJ930)</f>
        <v>0</v>
      </c>
      <c r="BL930" s="8">
        <f t="shared" si="1160"/>
        <v>0</v>
      </c>
      <c r="BM930" s="51" t="str">
        <f>IFERROR(VLOOKUP(A930,NF!$M:$O,3,0),"")</f>
        <v>Sushi</v>
      </c>
      <c r="BN930" s="7">
        <f t="shared" si="1161"/>
        <v>0</v>
      </c>
      <c r="BO930" s="8">
        <f t="array" ref="BO930">IFERROR(LARGE(IF(NF!$G$2:$G$3137='Mês atual'!A930,NF!$J$2:$J$3137),1),0)*BN930</f>
        <v>0</v>
      </c>
      <c r="BP930" s="50"/>
      <c r="BR930" s="147">
        <f t="array" ref="BR930">IFERROR(LARGE(IF(NF!$G$2:$G$3137='Mês atual'!A930,NF!$J$2:$J$3137),1),0)</f>
        <v>0</v>
      </c>
      <c r="BS930" s="143" t="str">
        <f>VLOOKUP(A930,NF!M:O,3,0)</f>
        <v>Sushi</v>
      </c>
    </row>
    <row r="931" spans="1:71" x14ac:dyDescent="0.25">
      <c r="A931" s="108" t="s">
        <v>898</v>
      </c>
      <c r="B931" s="12"/>
      <c r="C931" s="9"/>
      <c r="D931" s="25"/>
      <c r="E931" s="10" t="str">
        <f t="shared" si="1146"/>
        <v>OutubroSEMANA 1Nirá Sushi</v>
      </c>
      <c r="F931" s="7">
        <f>SUMIF(NF!$A:$A,$E931,NF!$I:$I)</f>
        <v>0</v>
      </c>
      <c r="G931" s="6"/>
      <c r="H931" s="6"/>
      <c r="I931" s="6"/>
      <c r="J931" s="6"/>
      <c r="K931" s="6"/>
      <c r="L931" s="6"/>
      <c r="M931" s="6"/>
      <c r="N931" s="7">
        <f t="shared" ref="N931:N955" si="1276">SUM(G931:M931)</f>
        <v>0</v>
      </c>
      <c r="O931" s="11">
        <f t="shared" si="1148"/>
        <v>0</v>
      </c>
      <c r="P931" s="25"/>
      <c r="Q931" s="10" t="str">
        <f t="shared" si="1149"/>
        <v>OutubroSEMANA 2Nirá Sushi</v>
      </c>
      <c r="R931" s="7">
        <f>SUMIF(NF!$A:$A,$Q931,NF!$I:$I)</f>
        <v>0</v>
      </c>
      <c r="S931" s="6"/>
      <c r="T931" s="6"/>
      <c r="U931" s="6"/>
      <c r="V931" s="6"/>
      <c r="W931" s="6"/>
      <c r="X931" s="6"/>
      <c r="Y931" s="6"/>
      <c r="Z931" s="7">
        <f t="shared" ref="Z931:Z955" si="1277">SUM(S931:Y931)</f>
        <v>0</v>
      </c>
      <c r="AA931" s="11">
        <f t="shared" si="1151"/>
        <v>0</v>
      </c>
      <c r="AB931" s="25"/>
      <c r="AC931" s="10" t="str">
        <f t="shared" si="1152"/>
        <v>OutubroSEMANA 3Nirá Sushi</v>
      </c>
      <c r="AD931" s="7">
        <f>SUMIF(NF!$A:$A,$AC931,NF!$I:$I)</f>
        <v>0</v>
      </c>
      <c r="AE931" s="6"/>
      <c r="AF931" s="6"/>
      <c r="AG931" s="6"/>
      <c r="AH931" s="6"/>
      <c r="AI931" s="6"/>
      <c r="AJ931" s="6"/>
      <c r="AK931" s="6"/>
      <c r="AL931" s="7">
        <f t="shared" ref="AL931:AL955" si="1278">SUM(AE931:AK931)</f>
        <v>0</v>
      </c>
      <c r="AM931" s="11">
        <f t="shared" si="1154"/>
        <v>0</v>
      </c>
      <c r="AN931" s="25"/>
      <c r="AO931" s="10" t="str">
        <f t="shared" si="1155"/>
        <v>OutubroSEMANA 4Nirá Sushi</v>
      </c>
      <c r="AP931" s="7">
        <f>SUMIF(NF!$A:$A,$AO931,NF!$I:$I)</f>
        <v>0</v>
      </c>
      <c r="AQ931" s="6"/>
      <c r="AR931" s="6"/>
      <c r="AS931" s="6"/>
      <c r="AT931" s="6"/>
      <c r="AU931" s="6"/>
      <c r="AV931" s="6"/>
      <c r="AW931" s="6"/>
      <c r="AX931" s="7">
        <f t="shared" ref="AX931:AX955" si="1279">SUM(AQ931:AW931)</f>
        <v>0</v>
      </c>
      <c r="AY931" s="11">
        <f t="shared" si="1157"/>
        <v>0</v>
      </c>
      <c r="AZ931" s="25"/>
      <c r="BA931" s="10" t="str">
        <f t="shared" si="1158"/>
        <v>OutubroSEMANA 5Nirá Sushi</v>
      </c>
      <c r="BB931" s="7">
        <f>SUMIF(NF!$A:$A,$BA931,NF!$I:$I)</f>
        <v>0</v>
      </c>
      <c r="BC931" s="6"/>
      <c r="BD931" s="6"/>
      <c r="BE931" s="6"/>
      <c r="BF931" s="74"/>
      <c r="BG931" s="74"/>
      <c r="BH931" s="74"/>
      <c r="BI931" s="74"/>
      <c r="BJ931" s="74"/>
      <c r="BK931" s="7">
        <f t="shared" ref="BK931:BK955" si="1280">SUM(BC931:BJ931)</f>
        <v>0</v>
      </c>
      <c r="BL931" s="8">
        <f t="shared" si="1160"/>
        <v>0</v>
      </c>
      <c r="BM931" s="51" t="str">
        <f>IFERROR(VLOOKUP(A931,NF!$M:$O,3,0),"")</f>
        <v>Sushi</v>
      </c>
      <c r="BN931" s="7">
        <f t="shared" si="1161"/>
        <v>0</v>
      </c>
      <c r="BO931" s="8">
        <f t="array" ref="BO931">IFERROR(LARGE(IF(NF!$G$2:$G$3137='Mês atual'!A931,NF!$J$2:$J$3137),1),0)*BN931</f>
        <v>0</v>
      </c>
      <c r="BP931" s="50"/>
      <c r="BR931" s="147">
        <f t="array" ref="BR931">IFERROR(LARGE(IF(NF!$G$2:$G$3137='Mês atual'!A931,NF!$J$2:$J$3137),1),0)</f>
        <v>0</v>
      </c>
      <c r="BS931" s="143" t="str">
        <f>VLOOKUP(A931,NF!M:O,3,0)</f>
        <v>Sushi</v>
      </c>
    </row>
    <row r="932" spans="1:71" x14ac:dyDescent="0.25">
      <c r="A932" s="108" t="s">
        <v>551</v>
      </c>
      <c r="B932" s="12"/>
      <c r="C932" s="9">
        <v>14</v>
      </c>
      <c r="D932" s="25"/>
      <c r="E932" s="10" t="str">
        <f t="shared" si="1146"/>
        <v>OutubroSEMANA 1Ovos Extra Sushi</v>
      </c>
      <c r="F932" s="7">
        <f>SUMIF(NF!$A:$A,$E932,NF!$I:$I)</f>
        <v>14</v>
      </c>
      <c r="G932" s="6"/>
      <c r="H932" s="6"/>
      <c r="I932" s="6"/>
      <c r="J932" s="6">
        <v>14</v>
      </c>
      <c r="K932" s="6"/>
      <c r="L932" s="6"/>
      <c r="M932" s="6">
        <v>14</v>
      </c>
      <c r="N932" s="7">
        <f t="shared" si="1276"/>
        <v>28</v>
      </c>
      <c r="O932" s="11">
        <f t="shared" si="1148"/>
        <v>0</v>
      </c>
      <c r="P932" s="25"/>
      <c r="Q932" s="10" t="str">
        <f t="shared" si="1149"/>
        <v>OutubroSEMANA 2Ovos Extra Sushi</v>
      </c>
      <c r="R932" s="7">
        <f>SUMIF(NF!$A:$A,$Q932,NF!$I:$I)</f>
        <v>10</v>
      </c>
      <c r="S932" s="6"/>
      <c r="T932" s="6"/>
      <c r="U932" s="6">
        <v>10</v>
      </c>
      <c r="V932" s="6"/>
      <c r="W932" s="6"/>
      <c r="X932" s="6"/>
      <c r="Y932" s="6"/>
      <c r="Z932" s="7">
        <f t="shared" si="1277"/>
        <v>10</v>
      </c>
      <c r="AA932" s="11">
        <f t="shared" si="1151"/>
        <v>0</v>
      </c>
      <c r="AB932" s="25"/>
      <c r="AC932" s="10" t="str">
        <f t="shared" si="1152"/>
        <v>OutubroSEMANA 3Ovos Extra Sushi</v>
      </c>
      <c r="AD932" s="7">
        <f>SUMIF(NF!$A:$A,$AC932,NF!$I:$I)</f>
        <v>35</v>
      </c>
      <c r="AE932" s="6"/>
      <c r="AF932" s="6"/>
      <c r="AG932" s="6">
        <v>7</v>
      </c>
      <c r="AH932" s="6"/>
      <c r="AI932" s="6">
        <v>14</v>
      </c>
      <c r="AJ932" s="6">
        <v>14</v>
      </c>
      <c r="AK932" s="6"/>
      <c r="AL932" s="7">
        <f t="shared" si="1278"/>
        <v>35</v>
      </c>
      <c r="AM932" s="11">
        <f t="shared" si="1154"/>
        <v>0</v>
      </c>
      <c r="AN932" s="25"/>
      <c r="AO932" s="10" t="str">
        <f t="shared" si="1155"/>
        <v>OutubroSEMANA 4Ovos Extra Sushi</v>
      </c>
      <c r="AP932" s="7">
        <f>SUMIF(NF!$A:$A,$AO932,NF!$I:$I)</f>
        <v>0</v>
      </c>
      <c r="AQ932" s="6"/>
      <c r="AR932" s="6"/>
      <c r="AS932" s="6"/>
      <c r="AT932" s="6"/>
      <c r="AU932" s="6"/>
      <c r="AV932" s="6"/>
      <c r="AW932" s="6"/>
      <c r="AX932" s="7">
        <f t="shared" si="1279"/>
        <v>0</v>
      </c>
      <c r="AY932" s="11">
        <f t="shared" si="1157"/>
        <v>0</v>
      </c>
      <c r="AZ932" s="25"/>
      <c r="BA932" s="10" t="str">
        <f t="shared" si="1158"/>
        <v>OutubroSEMANA 5Ovos Extra Sushi</v>
      </c>
      <c r="BB932" s="7">
        <f>SUMIF(NF!$A:$A,$BA932,NF!$I:$I)</f>
        <v>0</v>
      </c>
      <c r="BC932" s="6"/>
      <c r="BD932" s="6"/>
      <c r="BE932" s="6"/>
      <c r="BF932" s="74"/>
      <c r="BG932" s="74"/>
      <c r="BH932" s="74"/>
      <c r="BI932" s="74"/>
      <c r="BJ932" s="74"/>
      <c r="BK932" s="7">
        <f t="shared" si="1280"/>
        <v>0</v>
      </c>
      <c r="BL932" s="8">
        <f t="shared" si="1160"/>
        <v>0</v>
      </c>
      <c r="BM932" s="51" t="str">
        <f>IFERROR(VLOOKUP(A932,NF!$M:$O,3,0),"")</f>
        <v>Sushi</v>
      </c>
      <c r="BN932" s="7">
        <f t="shared" si="1161"/>
        <v>73</v>
      </c>
      <c r="BO932" s="8">
        <f t="array" ref="BO932">IFERROR(LARGE(IF(NF!$G$2:$G$3137='Mês atual'!A932,NF!$J$2:$J$3137),1),0)*BN932</f>
        <v>20.480555555555554</v>
      </c>
      <c r="BP932" s="50"/>
      <c r="BR932" s="147">
        <f t="array" ref="BR932">IFERROR(LARGE(IF(NF!$G$2:$G$3137='Mês atual'!A932,NF!$J$2:$J$3137),1),0)</f>
        <v>0.28055555555555556</v>
      </c>
      <c r="BS932" s="143" t="str">
        <f>VLOOKUP(A932,NF!M:O,3,0)</f>
        <v>Sushi</v>
      </c>
    </row>
    <row r="933" spans="1:71" x14ac:dyDescent="0.25">
      <c r="A933" s="108" t="s">
        <v>569</v>
      </c>
      <c r="B933" s="12"/>
      <c r="C933" s="9"/>
      <c r="D933" s="25"/>
      <c r="E933" s="10" t="str">
        <f t="shared" si="1146"/>
        <v>OutubroSEMANA 1Papel de Arroz</v>
      </c>
      <c r="F933" s="7">
        <f>SUMIF(NF!$A:$A,$E933,NF!$I:$I)</f>
        <v>0</v>
      </c>
      <c r="G933" s="6"/>
      <c r="H933" s="6"/>
      <c r="I933" s="6"/>
      <c r="J933" s="6"/>
      <c r="K933" s="6"/>
      <c r="L933" s="6"/>
      <c r="M933" s="6"/>
      <c r="N933" s="7">
        <f t="shared" si="1276"/>
        <v>0</v>
      </c>
      <c r="O933" s="11">
        <f t="shared" si="1148"/>
        <v>0</v>
      </c>
      <c r="P933" s="25"/>
      <c r="Q933" s="10" t="str">
        <f t="shared" si="1149"/>
        <v>OutubroSEMANA 2Papel de Arroz</v>
      </c>
      <c r="R933" s="7">
        <f>SUMIF(NF!$A:$A,$Q933,NF!$I:$I)</f>
        <v>0</v>
      </c>
      <c r="S933" s="6"/>
      <c r="T933" s="6"/>
      <c r="U933" s="6"/>
      <c r="V933" s="6"/>
      <c r="W933" s="6"/>
      <c r="X933" s="6"/>
      <c r="Y933" s="6"/>
      <c r="Z933" s="7">
        <f t="shared" si="1277"/>
        <v>0</v>
      </c>
      <c r="AA933" s="11">
        <f t="shared" si="1151"/>
        <v>0</v>
      </c>
      <c r="AB933" s="25"/>
      <c r="AC933" s="10" t="str">
        <f t="shared" si="1152"/>
        <v>OutubroSEMANA 3Papel de Arroz</v>
      </c>
      <c r="AD933" s="7">
        <f>SUMIF(NF!$A:$A,$AC933,NF!$I:$I)</f>
        <v>0</v>
      </c>
      <c r="AE933" s="6"/>
      <c r="AF933" s="6"/>
      <c r="AG933" s="6"/>
      <c r="AH933" s="6"/>
      <c r="AI933" s="6"/>
      <c r="AJ933" s="6"/>
      <c r="AK933" s="6"/>
      <c r="AL933" s="7">
        <f t="shared" si="1278"/>
        <v>0</v>
      </c>
      <c r="AM933" s="11">
        <f t="shared" si="1154"/>
        <v>0</v>
      </c>
      <c r="AN933" s="25"/>
      <c r="AO933" s="10" t="str">
        <f t="shared" si="1155"/>
        <v>OutubroSEMANA 4Papel de Arroz</v>
      </c>
      <c r="AP933" s="7">
        <f>SUMIF(NF!$A:$A,$AO933,NF!$I:$I)</f>
        <v>0</v>
      </c>
      <c r="AQ933" s="6"/>
      <c r="AR933" s="6"/>
      <c r="AS933" s="6"/>
      <c r="AT933" s="6"/>
      <c r="AU933" s="6"/>
      <c r="AV933" s="6"/>
      <c r="AW933" s="6"/>
      <c r="AX933" s="7">
        <f t="shared" si="1279"/>
        <v>0</v>
      </c>
      <c r="AY933" s="11">
        <f t="shared" si="1157"/>
        <v>0</v>
      </c>
      <c r="AZ933" s="25"/>
      <c r="BA933" s="10" t="str">
        <f t="shared" si="1158"/>
        <v>OutubroSEMANA 5Papel de Arroz</v>
      </c>
      <c r="BB933" s="7">
        <f>SUMIF(NF!$A:$A,$BA933,NF!$I:$I)</f>
        <v>0</v>
      </c>
      <c r="BC933" s="6"/>
      <c r="BD933" s="6"/>
      <c r="BE933" s="6"/>
      <c r="BF933" s="74"/>
      <c r="BG933" s="74"/>
      <c r="BH933" s="74"/>
      <c r="BI933" s="74"/>
      <c r="BJ933" s="74"/>
      <c r="BK933" s="7">
        <f t="shared" si="1280"/>
        <v>0</v>
      </c>
      <c r="BL933" s="8">
        <f t="shared" si="1160"/>
        <v>0</v>
      </c>
      <c r="BM933" s="51" t="str">
        <f>IFERROR(VLOOKUP(A933,NF!$M:$O,3,0),"")</f>
        <v>Sushi</v>
      </c>
      <c r="BN933" s="7">
        <f t="shared" si="1161"/>
        <v>0</v>
      </c>
      <c r="BO933" s="8">
        <f t="array" ref="BO933">IFERROR(LARGE(IF(NF!$G$2:$G$3137='Mês atual'!A933,NF!$J$2:$J$3137),1),0)*BN933</f>
        <v>0</v>
      </c>
      <c r="BP933" s="50"/>
      <c r="BR933" s="147">
        <f t="array" ref="BR933">IFERROR(LARGE(IF(NF!$G$2:$G$3137='Mês atual'!A933,NF!$J$2:$J$3137),1),0)</f>
        <v>0</v>
      </c>
      <c r="BS933" s="143" t="str">
        <f>VLOOKUP(A933,NF!M:O,3,0)</f>
        <v>Sushi</v>
      </c>
    </row>
    <row r="934" spans="1:71" x14ac:dyDescent="0.25">
      <c r="A934" s="108" t="s">
        <v>579</v>
      </c>
      <c r="B934" s="12"/>
      <c r="C934" s="9"/>
      <c r="D934" s="25"/>
      <c r="E934" s="10" t="str">
        <f t="shared" si="1146"/>
        <v>OutubroSEMANA 1Pepino Japonês Sushi</v>
      </c>
      <c r="F934" s="7">
        <f>SUMIF(NF!$A:$A,$E934,NF!$I:$I)</f>
        <v>0.58599999999999997</v>
      </c>
      <c r="G934" s="6"/>
      <c r="H934" s="6"/>
      <c r="I934" s="6"/>
      <c r="J934" s="6"/>
      <c r="K934" s="6"/>
      <c r="L934" s="6"/>
      <c r="M934" s="6">
        <v>0.58599999999999997</v>
      </c>
      <c r="N934" s="7">
        <f t="shared" si="1276"/>
        <v>0.58599999999999997</v>
      </c>
      <c r="O934" s="11">
        <f t="shared" si="1148"/>
        <v>0</v>
      </c>
      <c r="P934" s="25"/>
      <c r="Q934" s="10" t="str">
        <f t="shared" si="1149"/>
        <v>OutubroSEMANA 2Pepino Japonês Sushi</v>
      </c>
      <c r="R934" s="7">
        <f>SUMIF(NF!$A:$A,$Q934,NF!$I:$I)</f>
        <v>1.9300000000000002</v>
      </c>
      <c r="S934" s="6"/>
      <c r="T934" s="6"/>
      <c r="U934" s="6"/>
      <c r="V934" s="6"/>
      <c r="W934" s="6"/>
      <c r="X934" s="6"/>
      <c r="Y934" s="6">
        <v>0.56000000000000005</v>
      </c>
      <c r="Z934" s="7">
        <f t="shared" si="1277"/>
        <v>0.56000000000000005</v>
      </c>
      <c r="AA934" s="11">
        <f t="shared" si="1151"/>
        <v>1.37</v>
      </c>
      <c r="AB934" s="25"/>
      <c r="AC934" s="10" t="str">
        <f t="shared" si="1152"/>
        <v>OutubroSEMANA 3Pepino Japonês Sushi</v>
      </c>
      <c r="AD934" s="7">
        <f>SUMIF(NF!$A:$A,$AC934,NF!$I:$I)</f>
        <v>0</v>
      </c>
      <c r="AE934" s="6"/>
      <c r="AF934" s="6"/>
      <c r="AG934" s="6"/>
      <c r="AH934" s="6"/>
      <c r="AI934" s="6"/>
      <c r="AJ934" s="6">
        <v>0.48</v>
      </c>
      <c r="AK934" s="6">
        <v>0.89</v>
      </c>
      <c r="AL934" s="7">
        <f t="shared" si="1278"/>
        <v>1.37</v>
      </c>
      <c r="AM934" s="11">
        <f t="shared" si="1154"/>
        <v>0</v>
      </c>
      <c r="AN934" s="25"/>
      <c r="AO934" s="10" t="str">
        <f t="shared" si="1155"/>
        <v>OutubroSEMANA 4Pepino Japonês Sushi</v>
      </c>
      <c r="AP934" s="7">
        <f>SUMIF(NF!$A:$A,$AO934,NF!$I:$I)</f>
        <v>1.548</v>
      </c>
      <c r="AQ934" s="6"/>
      <c r="AR934" s="6"/>
      <c r="AS934" s="6"/>
      <c r="AT934" s="6">
        <v>0.79800000000000004</v>
      </c>
      <c r="AU934" s="6"/>
      <c r="AV934" s="6">
        <v>0.75</v>
      </c>
      <c r="AW934" s="6"/>
      <c r="AX934" s="7">
        <f t="shared" si="1279"/>
        <v>1.548</v>
      </c>
      <c r="AY934" s="11">
        <f t="shared" si="1157"/>
        <v>0</v>
      </c>
      <c r="AZ934" s="25"/>
      <c r="BA934" s="10" t="str">
        <f t="shared" si="1158"/>
        <v>OutubroSEMANA 5Pepino Japonês Sushi</v>
      </c>
      <c r="BB934" s="7">
        <f>SUMIF(NF!$A:$A,$BA934,NF!$I:$I)</f>
        <v>0.26</v>
      </c>
      <c r="BC934" s="6"/>
      <c r="BD934" s="6"/>
      <c r="BE934" s="6">
        <v>0.26</v>
      </c>
      <c r="BF934" s="74"/>
      <c r="BG934" s="74"/>
      <c r="BH934" s="74"/>
      <c r="BI934" s="74"/>
      <c r="BJ934" s="74"/>
      <c r="BK934" s="7">
        <f t="shared" si="1280"/>
        <v>0.26</v>
      </c>
      <c r="BL934" s="8">
        <f t="shared" si="1160"/>
        <v>0</v>
      </c>
      <c r="BM934" s="51" t="str">
        <f>IFERROR(VLOOKUP(A934,NF!$M:$O,3,0),"")</f>
        <v>Sushi</v>
      </c>
      <c r="BN934" s="7">
        <f t="shared" si="1161"/>
        <v>4.3239999999999998</v>
      </c>
      <c r="BO934" s="8">
        <f t="array" ref="BO934">IFERROR(LARGE(IF(NF!$G$2:$G$3137='Mês atual'!A934,NF!$J$2:$J$3137),1),0)*BN934</f>
        <v>14.716584158415841</v>
      </c>
      <c r="BP934" s="50"/>
      <c r="BR934" s="147">
        <f t="array" ref="BR934">IFERROR(LARGE(IF(NF!$G$2:$G$3137='Mês atual'!A934,NF!$J$2:$J$3137),1),0)</f>
        <v>3.4034653465346536</v>
      </c>
      <c r="BS934" s="143" t="str">
        <f>VLOOKUP(A934,NF!M:O,3,0)</f>
        <v>Sushi</v>
      </c>
    </row>
    <row r="935" spans="1:71" x14ac:dyDescent="0.25">
      <c r="A935" s="108" t="s">
        <v>587</v>
      </c>
      <c r="B935" s="12"/>
      <c r="C935" s="9">
        <v>14.45</v>
      </c>
      <c r="D935" s="25"/>
      <c r="E935" s="10" t="str">
        <f t="shared" si="1146"/>
        <v>OutubroSEMANA 1Pescados - Atum Fresco Sushi</v>
      </c>
      <c r="F935" s="7">
        <f>SUMIF(NF!$A:$A,$E935,NF!$I:$I)</f>
        <v>40.4</v>
      </c>
      <c r="G935" s="6">
        <v>14.45</v>
      </c>
      <c r="H935" s="6"/>
      <c r="I935" s="6"/>
      <c r="J935" s="6"/>
      <c r="K935" s="6">
        <v>13.7</v>
      </c>
      <c r="L935" s="6">
        <v>13.7</v>
      </c>
      <c r="M935" s="6"/>
      <c r="N935" s="7">
        <f t="shared" si="1276"/>
        <v>41.849999999999994</v>
      </c>
      <c r="O935" s="11">
        <f t="shared" si="1148"/>
        <v>13</v>
      </c>
      <c r="P935" s="25"/>
      <c r="Q935" s="10" t="str">
        <f t="shared" si="1149"/>
        <v>OutubroSEMANA 2Pescados - Atum Fresco Sushi</v>
      </c>
      <c r="R935" s="7">
        <f>SUMIF(NF!$A:$A,$Q935,NF!$I:$I)</f>
        <v>38</v>
      </c>
      <c r="S935" s="6">
        <v>6.5</v>
      </c>
      <c r="T935" s="6">
        <v>6.5</v>
      </c>
      <c r="U935" s="6">
        <v>7</v>
      </c>
      <c r="V935" s="6">
        <v>7</v>
      </c>
      <c r="W935" s="6"/>
      <c r="X935" s="6"/>
      <c r="Y935" s="6">
        <v>12</v>
      </c>
      <c r="Z935" s="7">
        <f t="shared" si="1277"/>
        <v>39</v>
      </c>
      <c r="AA935" s="11">
        <f t="shared" si="1151"/>
        <v>12</v>
      </c>
      <c r="AB935" s="25"/>
      <c r="AC935" s="10" t="str">
        <f t="shared" si="1152"/>
        <v>OutubroSEMANA 3Pescados - Atum Fresco Sushi</v>
      </c>
      <c r="AD935" s="7">
        <f>SUMIF(NF!$A:$A,$AC935,NF!$I:$I)</f>
        <v>48.120000000000005</v>
      </c>
      <c r="AE935" s="6">
        <v>12</v>
      </c>
      <c r="AF935" s="6"/>
      <c r="AG935" s="6"/>
      <c r="AH935" s="6">
        <v>8.5</v>
      </c>
      <c r="AI935" s="6">
        <v>8.6199999999999992</v>
      </c>
      <c r="AJ935" s="6">
        <v>5.5</v>
      </c>
      <c r="AK935" s="6">
        <v>5.5</v>
      </c>
      <c r="AL935" s="7">
        <f t="shared" si="1278"/>
        <v>40.119999999999997</v>
      </c>
      <c r="AM935" s="11">
        <f t="shared" si="1154"/>
        <v>20.000000000000007</v>
      </c>
      <c r="AN935" s="25"/>
      <c r="AO935" s="10" t="str">
        <f t="shared" si="1155"/>
        <v>OutubroSEMANA 4Pescados - Atum Fresco Sushi</v>
      </c>
      <c r="AP935" s="7">
        <f>SUMIF(NF!$A:$A,$AO935,NF!$I:$I)</f>
        <v>42.8</v>
      </c>
      <c r="AQ935" s="6">
        <v>10</v>
      </c>
      <c r="AR935" s="6">
        <v>10</v>
      </c>
      <c r="AS935" s="6"/>
      <c r="AT935" s="6"/>
      <c r="AU935" s="6">
        <v>8.6</v>
      </c>
      <c r="AV935" s="6">
        <v>8.6</v>
      </c>
      <c r="AW935" s="6">
        <v>8.6</v>
      </c>
      <c r="AX935" s="7">
        <f t="shared" si="1279"/>
        <v>45.800000000000004</v>
      </c>
      <c r="AY935" s="11">
        <f t="shared" si="1157"/>
        <v>17</v>
      </c>
      <c r="AZ935" s="25"/>
      <c r="BA935" s="10" t="str">
        <f t="shared" si="1158"/>
        <v>OutubroSEMANA 5Pescados - Atum Fresco Sushi</v>
      </c>
      <c r="BB935" s="7">
        <f>SUMIF(NF!$A:$A,$BA935,NF!$I:$I)</f>
        <v>0</v>
      </c>
      <c r="BC935" s="6">
        <v>8.5</v>
      </c>
      <c r="BD935" s="6">
        <v>8.5</v>
      </c>
      <c r="BE935" s="6"/>
      <c r="BF935" s="74"/>
      <c r="BG935" s="74"/>
      <c r="BH935" s="74"/>
      <c r="BI935" s="74"/>
      <c r="BJ935" s="74"/>
      <c r="BK935" s="7">
        <f t="shared" si="1280"/>
        <v>17</v>
      </c>
      <c r="BL935" s="8">
        <f t="shared" si="1160"/>
        <v>0</v>
      </c>
      <c r="BM935" s="51" t="str">
        <f>IFERROR(VLOOKUP(A935,NF!$M:$O,3,0),"")</f>
        <v>Sushi</v>
      </c>
      <c r="BN935" s="7">
        <f t="shared" si="1161"/>
        <v>183.77</v>
      </c>
      <c r="BO935" s="8">
        <f t="array" ref="BO935">IFERROR(LARGE(IF(NF!$G$2:$G$3137='Mês atual'!A935,NF!$J$2:$J$3137),1),0)*BN935</f>
        <v>3124.09</v>
      </c>
      <c r="BP935" s="50"/>
      <c r="BR935" s="147">
        <f t="array" ref="BR935">IFERROR(LARGE(IF(NF!$G$2:$G$3137='Mês atual'!A935,NF!$J$2:$J$3137),1),0)</f>
        <v>17</v>
      </c>
      <c r="BS935" s="143" t="str">
        <f>VLOOKUP(A935,NF!M:O,3,0)</f>
        <v>Sushi</v>
      </c>
    </row>
    <row r="936" spans="1:71" x14ac:dyDescent="0.25">
      <c r="A936" s="108" t="s">
        <v>605</v>
      </c>
      <c r="B936" s="12"/>
      <c r="C936" s="9"/>
      <c r="D936" s="25"/>
      <c r="E936" s="10" t="str">
        <f t="shared" si="1146"/>
        <v>OutubroSEMANA 1Pescados - Dourado Fresco Sushi</v>
      </c>
      <c r="F936" s="7">
        <f>SUMIF(NF!$A:$A,$E936,NF!$I:$I)</f>
        <v>0</v>
      </c>
      <c r="G936" s="6"/>
      <c r="H936" s="6"/>
      <c r="I936" s="6"/>
      <c r="J936" s="6"/>
      <c r="K936" s="6"/>
      <c r="L936" s="6"/>
      <c r="M936" s="6"/>
      <c r="N936" s="7">
        <f t="shared" si="1276"/>
        <v>0</v>
      </c>
      <c r="O936" s="11">
        <f t="shared" si="1148"/>
        <v>0</v>
      </c>
      <c r="P936" s="25"/>
      <c r="Q936" s="10" t="str">
        <f t="shared" si="1149"/>
        <v>OutubroSEMANA 2Pescados - Dourado Fresco Sushi</v>
      </c>
      <c r="R936" s="7">
        <f>SUMIF(NF!$A:$A,$Q936,NF!$I:$I)</f>
        <v>0</v>
      </c>
      <c r="S936" s="6"/>
      <c r="T936" s="6"/>
      <c r="U936" s="6"/>
      <c r="V936" s="6"/>
      <c r="W936" s="6"/>
      <c r="X936" s="6"/>
      <c r="Y936" s="6"/>
      <c r="Z936" s="7">
        <f t="shared" si="1277"/>
        <v>0</v>
      </c>
      <c r="AA936" s="11">
        <f t="shared" si="1151"/>
        <v>0</v>
      </c>
      <c r="AB936" s="25"/>
      <c r="AC936" s="10" t="str">
        <f t="shared" si="1152"/>
        <v>OutubroSEMANA 3Pescados - Dourado Fresco Sushi</v>
      </c>
      <c r="AD936" s="7">
        <f>SUMIF(NF!$A:$A,$AC936,NF!$I:$I)</f>
        <v>5.9</v>
      </c>
      <c r="AE936" s="6"/>
      <c r="AF936" s="6"/>
      <c r="AG936" s="6"/>
      <c r="AH936" s="6"/>
      <c r="AI936" s="6"/>
      <c r="AJ936" s="6">
        <v>3</v>
      </c>
      <c r="AK936" s="6">
        <v>2.9</v>
      </c>
      <c r="AL936" s="7">
        <f t="shared" si="1278"/>
        <v>5.9</v>
      </c>
      <c r="AM936" s="11">
        <f t="shared" si="1154"/>
        <v>0</v>
      </c>
      <c r="AN936" s="25"/>
      <c r="AO936" s="10" t="str">
        <f t="shared" si="1155"/>
        <v>OutubroSEMANA 4Pescados - Dourado Fresco Sushi</v>
      </c>
      <c r="AP936" s="7">
        <f>SUMIF(NF!$A:$A,$AO936,NF!$I:$I)</f>
        <v>0</v>
      </c>
      <c r="AQ936" s="6"/>
      <c r="AR936" s="6"/>
      <c r="AS936" s="6"/>
      <c r="AT936" s="6"/>
      <c r="AU936" s="6"/>
      <c r="AV936" s="6"/>
      <c r="AW936" s="6"/>
      <c r="AX936" s="7">
        <f t="shared" si="1279"/>
        <v>0</v>
      </c>
      <c r="AY936" s="11">
        <f t="shared" si="1157"/>
        <v>0</v>
      </c>
      <c r="AZ936" s="25"/>
      <c r="BA936" s="10" t="str">
        <f t="shared" si="1158"/>
        <v>OutubroSEMANA 5Pescados - Dourado Fresco Sushi</v>
      </c>
      <c r="BB936" s="7">
        <f>SUMIF(NF!$A:$A,$BA936,NF!$I:$I)</f>
        <v>0</v>
      </c>
      <c r="BC936" s="6"/>
      <c r="BD936" s="6"/>
      <c r="BE936" s="6"/>
      <c r="BF936" s="74"/>
      <c r="BG936" s="74"/>
      <c r="BH936" s="74"/>
      <c r="BI936" s="74"/>
      <c r="BJ936" s="74"/>
      <c r="BK936" s="7">
        <f t="shared" si="1280"/>
        <v>0</v>
      </c>
      <c r="BL936" s="8">
        <f t="shared" si="1160"/>
        <v>0</v>
      </c>
      <c r="BM936" s="51" t="str">
        <f>IFERROR(VLOOKUP(A936,NF!$M:$O,3,0),"")</f>
        <v>Sushi</v>
      </c>
      <c r="BN936" s="7">
        <f t="shared" si="1161"/>
        <v>5.9</v>
      </c>
      <c r="BO936" s="8">
        <f t="array" ref="BO936">IFERROR(LARGE(IF(NF!$G$2:$G$3137='Mês atual'!A936,NF!$J$2:$J$3137),1),0)*BN936</f>
        <v>112.10000000000001</v>
      </c>
      <c r="BP936" s="50"/>
      <c r="BR936" s="147">
        <f t="array" ref="BR936">IFERROR(LARGE(IF(NF!$G$2:$G$3137='Mês atual'!A936,NF!$J$2:$J$3137),1),0)</f>
        <v>19</v>
      </c>
      <c r="BS936" s="143" t="str">
        <f>VLOOKUP(A936,NF!M:O,3,0)</f>
        <v>Sushi</v>
      </c>
    </row>
    <row r="937" spans="1:71" x14ac:dyDescent="0.25">
      <c r="A937" s="108" t="s">
        <v>612</v>
      </c>
      <c r="B937" s="12"/>
      <c r="C937" s="9"/>
      <c r="D937" s="25"/>
      <c r="E937" s="10" t="str">
        <f t="shared" si="1146"/>
        <v>OutubroSEMANA 1Pescados - Filé Salmão Sushi</v>
      </c>
      <c r="F937" s="7">
        <f>SUMIF(NF!$A:$A,$E937,NF!$I:$I)</f>
        <v>0</v>
      </c>
      <c r="G937" s="6"/>
      <c r="H937" s="6"/>
      <c r="I937" s="6"/>
      <c r="J937" s="6"/>
      <c r="K937" s="6"/>
      <c r="L937" s="6"/>
      <c r="M937" s="6"/>
      <c r="N937" s="7">
        <f t="shared" si="1276"/>
        <v>0</v>
      </c>
      <c r="O937" s="11">
        <f t="shared" si="1148"/>
        <v>0</v>
      </c>
      <c r="P937" s="25"/>
      <c r="Q937" s="10" t="str">
        <f t="shared" si="1149"/>
        <v>OutubroSEMANA 2Pescados - Filé Salmão Sushi</v>
      </c>
      <c r="R937" s="7">
        <f>SUMIF(NF!$A:$A,$Q937,NF!$I:$I)</f>
        <v>0</v>
      </c>
      <c r="S937" s="6"/>
      <c r="T937" s="6"/>
      <c r="U937" s="6"/>
      <c r="V937" s="6"/>
      <c r="W937" s="6"/>
      <c r="X937" s="6"/>
      <c r="Y937" s="6"/>
      <c r="Z937" s="7">
        <f t="shared" si="1277"/>
        <v>0</v>
      </c>
      <c r="AA937" s="11">
        <f t="shared" si="1151"/>
        <v>0</v>
      </c>
      <c r="AB937" s="25"/>
      <c r="AC937" s="10" t="str">
        <f t="shared" si="1152"/>
        <v>OutubroSEMANA 3Pescados - Filé Salmão Sushi</v>
      </c>
      <c r="AD937" s="7">
        <f>SUMIF(NF!$A:$A,$AC937,NF!$I:$I)</f>
        <v>0</v>
      </c>
      <c r="AE937" s="6"/>
      <c r="AF937" s="6"/>
      <c r="AG937" s="6"/>
      <c r="AH937" s="6"/>
      <c r="AI937" s="6"/>
      <c r="AJ937" s="6"/>
      <c r="AK937" s="6"/>
      <c r="AL937" s="7">
        <f t="shared" si="1278"/>
        <v>0</v>
      </c>
      <c r="AM937" s="11">
        <f t="shared" si="1154"/>
        <v>0</v>
      </c>
      <c r="AN937" s="25"/>
      <c r="AO937" s="10" t="str">
        <f t="shared" si="1155"/>
        <v>OutubroSEMANA 4Pescados - Filé Salmão Sushi</v>
      </c>
      <c r="AP937" s="7">
        <f>SUMIF(NF!$A:$A,$AO937,NF!$I:$I)</f>
        <v>0</v>
      </c>
      <c r="AQ937" s="6"/>
      <c r="AR937" s="6"/>
      <c r="AS937" s="6"/>
      <c r="AT937" s="6"/>
      <c r="AU937" s="6"/>
      <c r="AV937" s="6"/>
      <c r="AW937" s="6"/>
      <c r="AX937" s="7">
        <f t="shared" si="1279"/>
        <v>0</v>
      </c>
      <c r="AY937" s="11">
        <f t="shared" si="1157"/>
        <v>0</v>
      </c>
      <c r="AZ937" s="25"/>
      <c r="BA937" s="10" t="str">
        <f t="shared" si="1158"/>
        <v>OutubroSEMANA 5Pescados - Filé Salmão Sushi</v>
      </c>
      <c r="BB937" s="7">
        <f>SUMIF(NF!$A:$A,$BA937,NF!$I:$I)</f>
        <v>0</v>
      </c>
      <c r="BC937" s="6"/>
      <c r="BD937" s="6"/>
      <c r="BE937" s="6"/>
      <c r="BF937" s="74"/>
      <c r="BG937" s="74"/>
      <c r="BH937" s="74"/>
      <c r="BI937" s="74"/>
      <c r="BJ937" s="74"/>
      <c r="BK937" s="7">
        <f t="shared" si="1280"/>
        <v>0</v>
      </c>
      <c r="BL937" s="8">
        <f t="shared" si="1160"/>
        <v>0</v>
      </c>
      <c r="BM937" s="51" t="str">
        <f>IFERROR(VLOOKUP(A937,NF!$M:$O,3,0),"")</f>
        <v>Sushi</v>
      </c>
      <c r="BN937" s="7">
        <f t="shared" si="1161"/>
        <v>0</v>
      </c>
      <c r="BO937" s="8">
        <f t="array" ref="BO937">IFERROR(LARGE(IF(NF!$G$2:$G$3137='Mês atual'!A937,NF!$J$2:$J$3137),1),0)*BN937</f>
        <v>0</v>
      </c>
      <c r="BP937" s="50"/>
      <c r="BR937" s="147">
        <f t="array" ref="BR937">IFERROR(LARGE(IF(NF!$G$2:$G$3137='Mês atual'!A937,NF!$J$2:$J$3137),1),0)</f>
        <v>0</v>
      </c>
      <c r="BS937" s="143" t="str">
        <f>VLOOKUP(A937,NF!M:O,3,0)</f>
        <v>Sushi</v>
      </c>
    </row>
    <row r="938" spans="1:71" x14ac:dyDescent="0.25">
      <c r="A938" s="108" t="s">
        <v>616</v>
      </c>
      <c r="B938" s="12"/>
      <c r="C938" s="9"/>
      <c r="D938" s="25"/>
      <c r="E938" s="10" t="str">
        <f t="shared" si="1146"/>
        <v>OutubroSEMANA 1Pescados - Filé Tilápia Fresco sushi</v>
      </c>
      <c r="F938" s="7">
        <f>SUMIF(NF!$A:$A,$E938,NF!$I:$I)</f>
        <v>0</v>
      </c>
      <c r="G938" s="6"/>
      <c r="H938" s="6"/>
      <c r="I938" s="6"/>
      <c r="J938" s="6"/>
      <c r="K938" s="6"/>
      <c r="L938" s="6"/>
      <c r="M938" s="6"/>
      <c r="N938" s="7">
        <f t="shared" si="1276"/>
        <v>0</v>
      </c>
      <c r="O938" s="11">
        <f t="shared" si="1148"/>
        <v>0</v>
      </c>
      <c r="P938" s="25"/>
      <c r="Q938" s="10" t="str">
        <f t="shared" si="1149"/>
        <v>OutubroSEMANA 2Pescados - Filé Tilápia Fresco sushi</v>
      </c>
      <c r="R938" s="7">
        <f>SUMIF(NF!$A:$A,$Q938,NF!$I:$I)</f>
        <v>0</v>
      </c>
      <c r="S938" s="6"/>
      <c r="T938" s="6"/>
      <c r="U938" s="6"/>
      <c r="V938" s="6"/>
      <c r="W938" s="6"/>
      <c r="X938" s="6"/>
      <c r="Y938" s="6"/>
      <c r="Z938" s="7">
        <f t="shared" si="1277"/>
        <v>0</v>
      </c>
      <c r="AA938" s="11">
        <f t="shared" si="1151"/>
        <v>0</v>
      </c>
      <c r="AB938" s="25"/>
      <c r="AC938" s="10" t="str">
        <f t="shared" si="1152"/>
        <v>OutubroSEMANA 3Pescados - Filé Tilápia Fresco sushi</v>
      </c>
      <c r="AD938" s="7">
        <f>SUMIF(NF!$A:$A,$AC938,NF!$I:$I)</f>
        <v>0</v>
      </c>
      <c r="AE938" s="6"/>
      <c r="AF938" s="6"/>
      <c r="AG938" s="6"/>
      <c r="AH938" s="6"/>
      <c r="AI938" s="6"/>
      <c r="AJ938" s="6"/>
      <c r="AK938" s="6"/>
      <c r="AL938" s="7">
        <f t="shared" si="1278"/>
        <v>0</v>
      </c>
      <c r="AM938" s="11">
        <f t="shared" si="1154"/>
        <v>0</v>
      </c>
      <c r="AN938" s="25"/>
      <c r="AO938" s="10" t="str">
        <f t="shared" si="1155"/>
        <v>OutubroSEMANA 4Pescados - Filé Tilápia Fresco sushi</v>
      </c>
      <c r="AP938" s="7">
        <f>SUMIF(NF!$A:$A,$AO938,NF!$I:$I)</f>
        <v>0</v>
      </c>
      <c r="AQ938" s="6"/>
      <c r="AR938" s="6"/>
      <c r="AS938" s="6"/>
      <c r="AT938" s="6"/>
      <c r="AU938" s="6"/>
      <c r="AV938" s="6"/>
      <c r="AW938" s="6"/>
      <c r="AX938" s="7">
        <f t="shared" si="1279"/>
        <v>0</v>
      </c>
      <c r="AY938" s="11">
        <f t="shared" si="1157"/>
        <v>0</v>
      </c>
      <c r="AZ938" s="25"/>
      <c r="BA938" s="10" t="str">
        <f t="shared" si="1158"/>
        <v>OutubroSEMANA 5Pescados - Filé Tilápia Fresco sushi</v>
      </c>
      <c r="BB938" s="7">
        <f>SUMIF(NF!$A:$A,$BA938,NF!$I:$I)</f>
        <v>0</v>
      </c>
      <c r="BC938" s="6"/>
      <c r="BD938" s="6"/>
      <c r="BE938" s="6"/>
      <c r="BF938" s="74"/>
      <c r="BG938" s="74"/>
      <c r="BH938" s="74"/>
      <c r="BI938" s="74"/>
      <c r="BJ938" s="74"/>
      <c r="BK938" s="7">
        <f t="shared" si="1280"/>
        <v>0</v>
      </c>
      <c r="BL938" s="8">
        <f t="shared" si="1160"/>
        <v>0</v>
      </c>
      <c r="BM938" s="51" t="str">
        <f>IFERROR(VLOOKUP(A938,NF!$M:$O,3,0),"")</f>
        <v>Sushi</v>
      </c>
      <c r="BN938" s="7">
        <f t="shared" si="1161"/>
        <v>0</v>
      </c>
      <c r="BO938" s="8">
        <f t="array" ref="BO938">IFERROR(LARGE(IF(NF!$G$2:$G$3137='Mês atual'!A938,NF!$J$2:$J$3137),1),0)*BN938</f>
        <v>0</v>
      </c>
      <c r="BP938" s="50"/>
      <c r="BR938" s="147">
        <f t="array" ref="BR938">IFERROR(LARGE(IF(NF!$G$2:$G$3137='Mês atual'!A938,NF!$J$2:$J$3137),1),0)</f>
        <v>0</v>
      </c>
      <c r="BS938" s="143" t="str">
        <f>VLOOKUP(A938,NF!M:O,3,0)</f>
        <v>Sushi</v>
      </c>
    </row>
    <row r="939" spans="1:71" x14ac:dyDescent="0.25">
      <c r="A939" s="108" t="s">
        <v>620</v>
      </c>
      <c r="B939" s="12"/>
      <c r="C939" s="9">
        <v>2</v>
      </c>
      <c r="D939" s="25"/>
      <c r="E939" s="10" t="str">
        <f t="shared" si="1146"/>
        <v>OutubroSEMANA 1Pescados - Kani Sushi</v>
      </c>
      <c r="F939" s="7">
        <f>SUMIF(NF!$A:$A,$E939,NF!$I:$I)</f>
        <v>0</v>
      </c>
      <c r="G939" s="6">
        <v>0.25</v>
      </c>
      <c r="H939" s="6">
        <v>0.25</v>
      </c>
      <c r="I939" s="6"/>
      <c r="J939" s="6">
        <v>0.25</v>
      </c>
      <c r="K939" s="6"/>
      <c r="L939" s="6"/>
      <c r="M939" s="6">
        <v>0.25</v>
      </c>
      <c r="N939" s="7">
        <f t="shared" si="1276"/>
        <v>1</v>
      </c>
      <c r="O939" s="11">
        <f t="shared" si="1148"/>
        <v>1</v>
      </c>
      <c r="P939" s="25"/>
      <c r="Q939" s="10" t="str">
        <f t="shared" si="1149"/>
        <v>OutubroSEMANA 2Pescados - Kani Sushi</v>
      </c>
      <c r="R939" s="7">
        <f>SUMIF(NF!$A:$A,$Q939,NF!$I:$I)</f>
        <v>2</v>
      </c>
      <c r="S939" s="6">
        <v>0.25</v>
      </c>
      <c r="T939" s="6"/>
      <c r="U939" s="6">
        <v>0.25</v>
      </c>
      <c r="V939" s="6"/>
      <c r="W939" s="6">
        <v>0.25</v>
      </c>
      <c r="X939" s="6"/>
      <c r="Y939" s="6">
        <v>0.25</v>
      </c>
      <c r="Z939" s="7">
        <f t="shared" si="1277"/>
        <v>1</v>
      </c>
      <c r="AA939" s="11">
        <f t="shared" si="1151"/>
        <v>2</v>
      </c>
      <c r="AB939" s="25"/>
      <c r="AC939" s="10" t="str">
        <f t="shared" si="1152"/>
        <v>OutubroSEMANA 3Pescados - Kani Sushi</v>
      </c>
      <c r="AD939" s="7">
        <f>SUMIF(NF!$A:$A,$AC939,NF!$I:$I)</f>
        <v>0</v>
      </c>
      <c r="AE939" s="6"/>
      <c r="AF939" s="6"/>
      <c r="AG939" s="6">
        <v>0.5</v>
      </c>
      <c r="AH939" s="6"/>
      <c r="AI939" s="6"/>
      <c r="AJ939" s="6">
        <v>0.25</v>
      </c>
      <c r="AK939" s="6"/>
      <c r="AL939" s="7">
        <f t="shared" si="1278"/>
        <v>0.75</v>
      </c>
      <c r="AM939" s="11">
        <f t="shared" si="1154"/>
        <v>1.25</v>
      </c>
      <c r="AN939" s="25"/>
      <c r="AO939" s="10" t="str">
        <f t="shared" si="1155"/>
        <v>OutubroSEMANA 4Pescados - Kani Sushi</v>
      </c>
      <c r="AP939" s="7">
        <f>SUMIF(NF!$A:$A,$AO939,NF!$I:$I)</f>
        <v>0</v>
      </c>
      <c r="AQ939" s="6">
        <v>0.25</v>
      </c>
      <c r="AR939" s="6"/>
      <c r="AS939" s="6"/>
      <c r="AT939" s="6">
        <v>0.25</v>
      </c>
      <c r="AU939" s="6"/>
      <c r="AV939" s="6"/>
      <c r="AW939" s="6">
        <v>0.25</v>
      </c>
      <c r="AX939" s="7">
        <f t="shared" si="1279"/>
        <v>0.75</v>
      </c>
      <c r="AY939" s="11">
        <f t="shared" si="1157"/>
        <v>0.5</v>
      </c>
      <c r="AZ939" s="25"/>
      <c r="BA939" s="10" t="str">
        <f t="shared" si="1158"/>
        <v>OutubroSEMANA 5Pescados - Kani Sushi</v>
      </c>
      <c r="BB939" s="7">
        <f>SUMIF(NF!$A:$A,$BA939,NF!$I:$I)</f>
        <v>0</v>
      </c>
      <c r="BC939" s="6">
        <v>0.25</v>
      </c>
      <c r="BD939" s="6"/>
      <c r="BE939" s="6">
        <v>0.25</v>
      </c>
      <c r="BF939" s="74"/>
      <c r="BG939" s="74"/>
      <c r="BH939" s="74"/>
      <c r="BI939" s="74"/>
      <c r="BJ939" s="74"/>
      <c r="BK939" s="7">
        <f t="shared" si="1280"/>
        <v>0.5</v>
      </c>
      <c r="BL939" s="8">
        <f t="shared" si="1160"/>
        <v>0</v>
      </c>
      <c r="BM939" s="51" t="str">
        <f>IFERROR(VLOOKUP(A939,NF!$M:$O,3,0),"")</f>
        <v>Sushi</v>
      </c>
      <c r="BN939" s="7">
        <f t="shared" si="1161"/>
        <v>4</v>
      </c>
      <c r="BO939" s="8">
        <f t="array" ref="BO939">IFERROR(LARGE(IF(NF!$G$2:$G$3137='Mês atual'!A939,NF!$J$2:$J$3137),1),0)*BN939</f>
        <v>87.96</v>
      </c>
      <c r="BP939" s="50"/>
      <c r="BR939" s="147">
        <f t="array" ref="BR939">IFERROR(LARGE(IF(NF!$G$2:$G$3137='Mês atual'!A939,NF!$J$2:$J$3137),1),0)</f>
        <v>21.99</v>
      </c>
      <c r="BS939" s="143" t="str">
        <f>VLOOKUP(A939,NF!M:O,3,0)</f>
        <v>Sushi</v>
      </c>
    </row>
    <row r="940" spans="1:71" x14ac:dyDescent="0.25">
      <c r="A940" s="108" t="s">
        <v>622</v>
      </c>
      <c r="B940" s="12"/>
      <c r="C940" s="9"/>
      <c r="D940" s="25"/>
      <c r="E940" s="10" t="str">
        <f t="shared" si="1146"/>
        <v>OutubroSEMANA 1Pescados - Lula Fresca Sushi</v>
      </c>
      <c r="F940" s="7">
        <f>SUMIF(NF!$A:$A,$E940,NF!$I:$I)</f>
        <v>0</v>
      </c>
      <c r="G940" s="6"/>
      <c r="H940" s="6"/>
      <c r="I940" s="6"/>
      <c r="J940" s="6"/>
      <c r="K940" s="6"/>
      <c r="L940" s="6"/>
      <c r="M940" s="6"/>
      <c r="N940" s="7">
        <f t="shared" si="1276"/>
        <v>0</v>
      </c>
      <c r="O940" s="11">
        <f t="shared" si="1148"/>
        <v>0</v>
      </c>
      <c r="P940" s="25"/>
      <c r="Q940" s="10" t="str">
        <f t="shared" si="1149"/>
        <v>OutubroSEMANA 2Pescados - Lula Fresca Sushi</v>
      </c>
      <c r="R940" s="7">
        <f>SUMIF(NF!$A:$A,$Q940,NF!$I:$I)</f>
        <v>0</v>
      </c>
      <c r="S940" s="6"/>
      <c r="T940" s="6"/>
      <c r="U940" s="6"/>
      <c r="V940" s="6"/>
      <c r="W940" s="6"/>
      <c r="X940" s="6"/>
      <c r="Y940" s="6"/>
      <c r="Z940" s="7">
        <f t="shared" si="1277"/>
        <v>0</v>
      </c>
      <c r="AA940" s="11">
        <f t="shared" si="1151"/>
        <v>0</v>
      </c>
      <c r="AB940" s="25"/>
      <c r="AC940" s="10" t="str">
        <f t="shared" si="1152"/>
        <v>OutubroSEMANA 3Pescados - Lula Fresca Sushi</v>
      </c>
      <c r="AD940" s="7">
        <f>SUMIF(NF!$A:$A,$AC940,NF!$I:$I)</f>
        <v>0</v>
      </c>
      <c r="AE940" s="6"/>
      <c r="AF940" s="6"/>
      <c r="AG940" s="6"/>
      <c r="AH940" s="6"/>
      <c r="AI940" s="6"/>
      <c r="AJ940" s="6"/>
      <c r="AK940" s="6"/>
      <c r="AL940" s="7">
        <f t="shared" si="1278"/>
        <v>0</v>
      </c>
      <c r="AM940" s="11">
        <f t="shared" si="1154"/>
        <v>0</v>
      </c>
      <c r="AN940" s="25"/>
      <c r="AO940" s="10" t="str">
        <f t="shared" si="1155"/>
        <v>OutubroSEMANA 4Pescados - Lula Fresca Sushi</v>
      </c>
      <c r="AP940" s="7">
        <f>SUMIF(NF!$A:$A,$AO940,NF!$I:$I)</f>
        <v>0</v>
      </c>
      <c r="AQ940" s="6"/>
      <c r="AR940" s="6"/>
      <c r="AS940" s="6"/>
      <c r="AT940" s="6"/>
      <c r="AU940" s="6"/>
      <c r="AV940" s="6"/>
      <c r="AW940" s="6"/>
      <c r="AX940" s="7">
        <f t="shared" si="1279"/>
        <v>0</v>
      </c>
      <c r="AY940" s="11">
        <f t="shared" si="1157"/>
        <v>0</v>
      </c>
      <c r="AZ940" s="25"/>
      <c r="BA940" s="10" t="str">
        <f t="shared" si="1158"/>
        <v>OutubroSEMANA 5Pescados - Lula Fresca Sushi</v>
      </c>
      <c r="BB940" s="7">
        <f>SUMIF(NF!$A:$A,$BA940,NF!$I:$I)</f>
        <v>0</v>
      </c>
      <c r="BC940" s="6"/>
      <c r="BD940" s="6"/>
      <c r="BE940" s="6"/>
      <c r="BF940" s="74"/>
      <c r="BG940" s="74"/>
      <c r="BH940" s="74"/>
      <c r="BI940" s="74"/>
      <c r="BJ940" s="74"/>
      <c r="BK940" s="7">
        <f t="shared" si="1280"/>
        <v>0</v>
      </c>
      <c r="BL940" s="8">
        <f t="shared" si="1160"/>
        <v>0</v>
      </c>
      <c r="BM940" s="51" t="str">
        <f>IFERROR(VLOOKUP(A940,NF!$M:$O,3,0),"")</f>
        <v>Sushi</v>
      </c>
      <c r="BN940" s="7">
        <f t="shared" si="1161"/>
        <v>0</v>
      </c>
      <c r="BO940" s="8">
        <f t="array" ref="BO940">IFERROR(LARGE(IF(NF!$G$2:$G$3137='Mês atual'!A940,NF!$J$2:$J$3137),1),0)*BN940</f>
        <v>0</v>
      </c>
      <c r="BP940" s="50"/>
      <c r="BR940" s="147">
        <f t="array" ref="BR940">IFERROR(LARGE(IF(NF!$G$2:$G$3137='Mês atual'!A940,NF!$J$2:$J$3137),1),0)</f>
        <v>0</v>
      </c>
      <c r="BS940" s="143" t="str">
        <f>VLOOKUP(A940,NF!M:O,3,0)</f>
        <v>Sushi</v>
      </c>
    </row>
    <row r="941" spans="1:71" x14ac:dyDescent="0.25">
      <c r="A941" s="108" t="s">
        <v>627</v>
      </c>
      <c r="B941" s="12"/>
      <c r="C941" s="9"/>
      <c r="D941" s="25"/>
      <c r="E941" s="10" t="str">
        <f t="shared" si="1146"/>
        <v>OutubroSEMANA 1Pescados - Namorado Fresco Sushi</v>
      </c>
      <c r="F941" s="7">
        <f>SUMIF(NF!$A:$A,$E941,NF!$I:$I)</f>
        <v>7.5</v>
      </c>
      <c r="G941" s="6"/>
      <c r="H941" s="6"/>
      <c r="I941" s="6"/>
      <c r="J941" s="6"/>
      <c r="K941" s="6"/>
      <c r="L941" s="6"/>
      <c r="M941" s="6"/>
      <c r="N941" s="7">
        <f t="shared" si="1276"/>
        <v>0</v>
      </c>
      <c r="O941" s="11">
        <f t="shared" si="1148"/>
        <v>7.5</v>
      </c>
      <c r="P941" s="25"/>
      <c r="Q941" s="10" t="str">
        <f t="shared" si="1149"/>
        <v>OutubroSEMANA 2Pescados - Namorado Fresco Sushi</v>
      </c>
      <c r="R941" s="7">
        <f>SUMIF(NF!$A:$A,$Q941,NF!$I:$I)</f>
        <v>0</v>
      </c>
      <c r="S941" s="6">
        <v>3.75</v>
      </c>
      <c r="T941" s="6">
        <v>3.75</v>
      </c>
      <c r="U941" s="6"/>
      <c r="V941" s="6"/>
      <c r="W941" s="6"/>
      <c r="X941" s="6"/>
      <c r="Y941" s="6"/>
      <c r="Z941" s="7">
        <f t="shared" si="1277"/>
        <v>7.5</v>
      </c>
      <c r="AA941" s="11">
        <f t="shared" si="1151"/>
        <v>0</v>
      </c>
      <c r="AB941" s="25"/>
      <c r="AC941" s="10" t="str">
        <f t="shared" si="1152"/>
        <v>OutubroSEMANA 3Pescados - Namorado Fresco Sushi</v>
      </c>
      <c r="AD941" s="7">
        <f>SUMIF(NF!$A:$A,$AC941,NF!$I:$I)</f>
        <v>0</v>
      </c>
      <c r="AE941" s="6"/>
      <c r="AF941" s="6"/>
      <c r="AG941" s="6"/>
      <c r="AH941" s="6"/>
      <c r="AI941" s="6"/>
      <c r="AJ941" s="6"/>
      <c r="AK941" s="6"/>
      <c r="AL941" s="7">
        <f t="shared" si="1278"/>
        <v>0</v>
      </c>
      <c r="AM941" s="11">
        <f t="shared" si="1154"/>
        <v>0</v>
      </c>
      <c r="AN941" s="25"/>
      <c r="AO941" s="10" t="str">
        <f t="shared" si="1155"/>
        <v>OutubroSEMANA 4Pescados - Namorado Fresco Sushi</v>
      </c>
      <c r="AP941" s="7">
        <f>SUMIF(NF!$A:$A,$AO941,NF!$I:$I)</f>
        <v>3</v>
      </c>
      <c r="AQ941" s="6"/>
      <c r="AR941" s="6"/>
      <c r="AS941" s="6"/>
      <c r="AT941" s="6"/>
      <c r="AU941" s="6"/>
      <c r="AV941" s="6"/>
      <c r="AW941" s="6"/>
      <c r="AX941" s="7">
        <f t="shared" si="1279"/>
        <v>0</v>
      </c>
      <c r="AY941" s="11">
        <f t="shared" si="1157"/>
        <v>3</v>
      </c>
      <c r="AZ941" s="25"/>
      <c r="BA941" s="10" t="str">
        <f t="shared" si="1158"/>
        <v>OutubroSEMANA 5Pescados - Namorado Fresco Sushi</v>
      </c>
      <c r="BB941" s="7">
        <f>SUMIF(NF!$A:$A,$BA941,NF!$I:$I)</f>
        <v>0</v>
      </c>
      <c r="BC941" s="6">
        <v>1.5</v>
      </c>
      <c r="BD941" s="6">
        <v>1.5</v>
      </c>
      <c r="BE941" s="6"/>
      <c r="BF941" s="74"/>
      <c r="BG941" s="74"/>
      <c r="BH941" s="74"/>
      <c r="BI941" s="74"/>
      <c r="BJ941" s="74"/>
      <c r="BK941" s="7">
        <f t="shared" si="1280"/>
        <v>3</v>
      </c>
      <c r="BL941" s="8">
        <f t="shared" si="1160"/>
        <v>0</v>
      </c>
      <c r="BM941" s="51" t="str">
        <f>IFERROR(VLOOKUP(A941,NF!$M:$O,3,0),"")</f>
        <v>Sushi</v>
      </c>
      <c r="BN941" s="7">
        <f t="shared" si="1161"/>
        <v>10.5</v>
      </c>
      <c r="BO941" s="8">
        <f t="array" ref="BO941">IFERROR(LARGE(IF(NF!$G$2:$G$3137='Mês atual'!A941,NF!$J$2:$J$3137),1),0)*BN941</f>
        <v>240.45</v>
      </c>
      <c r="BP941" s="50"/>
      <c r="BR941" s="147">
        <f t="array" ref="BR941">IFERROR(LARGE(IF(NF!$G$2:$G$3137='Mês atual'!A941,NF!$J$2:$J$3137),1),0)</f>
        <v>22.9</v>
      </c>
      <c r="BS941" s="143" t="str">
        <f>VLOOKUP(A941,NF!M:O,3,0)</f>
        <v>Sushi</v>
      </c>
    </row>
    <row r="942" spans="1:71" x14ac:dyDescent="0.25">
      <c r="A942" s="108" t="s">
        <v>629</v>
      </c>
      <c r="B942" s="12"/>
      <c r="C942" s="9"/>
      <c r="D942" s="25"/>
      <c r="E942" s="10" t="str">
        <f t="shared" si="1146"/>
        <v>OutubroSEMANA 1Pescados - Olhete Fresco Sushi</v>
      </c>
      <c r="F942" s="7">
        <f>SUMIF(NF!$A:$A,$E942,NF!$I:$I)</f>
        <v>0</v>
      </c>
      <c r="G942" s="6"/>
      <c r="H942" s="6"/>
      <c r="I942" s="6"/>
      <c r="J942" s="6"/>
      <c r="K942" s="6"/>
      <c r="L942" s="6"/>
      <c r="M942" s="6"/>
      <c r="N942" s="7">
        <f t="shared" si="1276"/>
        <v>0</v>
      </c>
      <c r="O942" s="11">
        <f t="shared" si="1148"/>
        <v>0</v>
      </c>
      <c r="P942" s="25"/>
      <c r="Q942" s="10" t="str">
        <f t="shared" si="1149"/>
        <v>OutubroSEMANA 2Pescados - Olhete Fresco Sushi</v>
      </c>
      <c r="R942" s="7">
        <f>SUMIF(NF!$A:$A,$Q942,NF!$I:$I)</f>
        <v>0</v>
      </c>
      <c r="S942" s="6"/>
      <c r="T942" s="6"/>
      <c r="U942" s="6"/>
      <c r="V942" s="6"/>
      <c r="W942" s="6"/>
      <c r="X942" s="6"/>
      <c r="Y942" s="6"/>
      <c r="Z942" s="7">
        <f t="shared" si="1277"/>
        <v>0</v>
      </c>
      <c r="AA942" s="11">
        <f t="shared" si="1151"/>
        <v>0</v>
      </c>
      <c r="AB942" s="25"/>
      <c r="AC942" s="10" t="str">
        <f t="shared" si="1152"/>
        <v>OutubroSEMANA 3Pescados - Olhete Fresco Sushi</v>
      </c>
      <c r="AD942" s="7">
        <f>SUMIF(NF!$A:$A,$AC942,NF!$I:$I)</f>
        <v>0</v>
      </c>
      <c r="AE942" s="6"/>
      <c r="AF942" s="6"/>
      <c r="AG942" s="6"/>
      <c r="AH942" s="6"/>
      <c r="AI942" s="6"/>
      <c r="AJ942" s="6"/>
      <c r="AK942" s="6"/>
      <c r="AL942" s="7">
        <f t="shared" si="1278"/>
        <v>0</v>
      </c>
      <c r="AM942" s="11">
        <f t="shared" si="1154"/>
        <v>0</v>
      </c>
      <c r="AN942" s="25"/>
      <c r="AO942" s="10" t="str">
        <f t="shared" si="1155"/>
        <v>OutubroSEMANA 4Pescados - Olhete Fresco Sushi</v>
      </c>
      <c r="AP942" s="7">
        <f>SUMIF(NF!$A:$A,$AO942,NF!$I:$I)</f>
        <v>8.8000000000000007</v>
      </c>
      <c r="AQ942" s="6"/>
      <c r="AR942" s="6"/>
      <c r="AS942" s="6"/>
      <c r="AT942" s="6"/>
      <c r="AU942" s="6">
        <v>4.4000000000000004</v>
      </c>
      <c r="AV942" s="6">
        <v>4.4000000000000004</v>
      </c>
      <c r="AW942" s="6"/>
      <c r="AX942" s="7">
        <f t="shared" si="1279"/>
        <v>8.8000000000000007</v>
      </c>
      <c r="AY942" s="11">
        <f t="shared" si="1157"/>
        <v>0</v>
      </c>
      <c r="AZ942" s="25"/>
      <c r="BA942" s="10" t="str">
        <f t="shared" si="1158"/>
        <v>OutubroSEMANA 5Pescados - Olhete Fresco Sushi</v>
      </c>
      <c r="BB942" s="7">
        <f>SUMIF(NF!$A:$A,$BA942,NF!$I:$I)</f>
        <v>0</v>
      </c>
      <c r="BC942" s="6"/>
      <c r="BD942" s="6"/>
      <c r="BE942" s="6"/>
      <c r="BF942" s="74"/>
      <c r="BG942" s="74"/>
      <c r="BH942" s="74"/>
      <c r="BI942" s="74"/>
      <c r="BJ942" s="74"/>
      <c r="BK942" s="7">
        <f t="shared" si="1280"/>
        <v>0</v>
      </c>
      <c r="BL942" s="8">
        <f t="shared" si="1160"/>
        <v>0</v>
      </c>
      <c r="BM942" s="51" t="str">
        <f>IFERROR(VLOOKUP(A942,NF!$M:$O,3,0),"")</f>
        <v>Sushi</v>
      </c>
      <c r="BN942" s="7">
        <f t="shared" si="1161"/>
        <v>8.8000000000000007</v>
      </c>
      <c r="BO942" s="8">
        <f t="array" ref="BO942">IFERROR(LARGE(IF(NF!$G$2:$G$3137='Mês atual'!A942,NF!$J$2:$J$3137),1),0)*BN942</f>
        <v>175.12</v>
      </c>
      <c r="BP942" s="50"/>
      <c r="BR942" s="147">
        <f t="array" ref="BR942">IFERROR(LARGE(IF(NF!$G$2:$G$3137='Mês atual'!A942,NF!$J$2:$J$3137),1),0)</f>
        <v>19.899999999999999</v>
      </c>
      <c r="BS942" s="143" t="str">
        <f>VLOOKUP(A942,NF!M:O,3,0)</f>
        <v>Sushi</v>
      </c>
    </row>
    <row r="943" spans="1:71" x14ac:dyDescent="0.25">
      <c r="A943" s="108" t="s">
        <v>631</v>
      </c>
      <c r="B943" s="12"/>
      <c r="C943" s="9"/>
      <c r="D943" s="25"/>
      <c r="E943" s="10" t="str">
        <f t="shared" si="1146"/>
        <v>OutubroSEMANA 1Pescados - Olho de Cão Sushi</v>
      </c>
      <c r="F943" s="7">
        <f>SUMIF(NF!$A:$A,$E943,NF!$I:$I)</f>
        <v>0</v>
      </c>
      <c r="G943" s="6"/>
      <c r="H943" s="6"/>
      <c r="I943" s="6"/>
      <c r="J943" s="6"/>
      <c r="K943" s="6"/>
      <c r="L943" s="6"/>
      <c r="M943" s="6"/>
      <c r="N943" s="7">
        <f t="shared" si="1276"/>
        <v>0</v>
      </c>
      <c r="O943" s="11">
        <f t="shared" si="1148"/>
        <v>0</v>
      </c>
      <c r="P943" s="25"/>
      <c r="Q943" s="10" t="str">
        <f t="shared" si="1149"/>
        <v>OutubroSEMANA 2Pescados - Olho de Cão Sushi</v>
      </c>
      <c r="R943" s="7">
        <f>SUMIF(NF!$A:$A,$Q943,NF!$I:$I)</f>
        <v>3</v>
      </c>
      <c r="S943" s="6"/>
      <c r="T943" s="6"/>
      <c r="U943" s="6"/>
      <c r="V943" s="6"/>
      <c r="W943" s="6"/>
      <c r="X943" s="6"/>
      <c r="Y943" s="6">
        <v>1.5</v>
      </c>
      <c r="Z943" s="7">
        <f t="shared" si="1277"/>
        <v>1.5</v>
      </c>
      <c r="AA943" s="11">
        <f t="shared" si="1151"/>
        <v>1.5</v>
      </c>
      <c r="AB943" s="25"/>
      <c r="AC943" s="10" t="str">
        <f t="shared" si="1152"/>
        <v>OutubroSEMANA 3Pescados - Olho de Cão Sushi</v>
      </c>
      <c r="AD943" s="7">
        <f>SUMIF(NF!$A:$A,$AC943,NF!$I:$I)</f>
        <v>0</v>
      </c>
      <c r="AE943" s="6">
        <v>1.5</v>
      </c>
      <c r="AF943" s="6"/>
      <c r="AG943" s="6"/>
      <c r="AH943" s="6"/>
      <c r="AI943" s="6"/>
      <c r="AJ943" s="6"/>
      <c r="AK943" s="6"/>
      <c r="AL943" s="7">
        <f t="shared" si="1278"/>
        <v>1.5</v>
      </c>
      <c r="AM943" s="11">
        <f t="shared" si="1154"/>
        <v>0</v>
      </c>
      <c r="AN943" s="25"/>
      <c r="AO943" s="10" t="str">
        <f t="shared" si="1155"/>
        <v>OutubroSEMANA 4Pescados - Olho de Cão Sushi</v>
      </c>
      <c r="AP943" s="7">
        <f>SUMIF(NF!$A:$A,$AO943,NF!$I:$I)</f>
        <v>0</v>
      </c>
      <c r="AQ943" s="6"/>
      <c r="AR943" s="6"/>
      <c r="AS943" s="6"/>
      <c r="AT943" s="6"/>
      <c r="AU943" s="6"/>
      <c r="AV943" s="6"/>
      <c r="AW943" s="6"/>
      <c r="AX943" s="7">
        <f t="shared" si="1279"/>
        <v>0</v>
      </c>
      <c r="AY943" s="11">
        <f t="shared" si="1157"/>
        <v>0</v>
      </c>
      <c r="AZ943" s="25"/>
      <c r="BA943" s="10" t="str">
        <f t="shared" si="1158"/>
        <v>OutubroSEMANA 5Pescados - Olho de Cão Sushi</v>
      </c>
      <c r="BB943" s="7">
        <f>SUMIF(NF!$A:$A,$BA943,NF!$I:$I)</f>
        <v>0</v>
      </c>
      <c r="BC943" s="6"/>
      <c r="BD943" s="6"/>
      <c r="BE943" s="6"/>
      <c r="BF943" s="74"/>
      <c r="BG943" s="74"/>
      <c r="BH943" s="74"/>
      <c r="BI943" s="74"/>
      <c r="BJ943" s="74"/>
      <c r="BK943" s="7">
        <f t="shared" si="1280"/>
        <v>0</v>
      </c>
      <c r="BL943" s="8">
        <f t="shared" si="1160"/>
        <v>0</v>
      </c>
      <c r="BM943" s="51" t="str">
        <f>IFERROR(VLOOKUP(A943,NF!$M:$O,3,0),"")</f>
        <v>Sushi</v>
      </c>
      <c r="BN943" s="7">
        <f t="shared" si="1161"/>
        <v>3</v>
      </c>
      <c r="BO943" s="8">
        <f t="array" ref="BO943">IFERROR(LARGE(IF(NF!$G$2:$G$3137='Mês atual'!A943,NF!$J$2:$J$3137),1),0)*BN943</f>
        <v>45</v>
      </c>
      <c r="BP943" s="50"/>
      <c r="BR943" s="147">
        <f t="array" ref="BR943">IFERROR(LARGE(IF(NF!$G$2:$G$3137='Mês atual'!A943,NF!$J$2:$J$3137),1),0)</f>
        <v>15</v>
      </c>
      <c r="BS943" s="143" t="str">
        <f>VLOOKUP(A943,NF!M:O,3,0)</f>
        <v>Sushi</v>
      </c>
    </row>
    <row r="944" spans="1:71" x14ac:dyDescent="0.25">
      <c r="A944" s="108" t="s">
        <v>633</v>
      </c>
      <c r="B944" s="12"/>
      <c r="C944" s="9"/>
      <c r="D944" s="25"/>
      <c r="E944" s="10" t="str">
        <f t="shared" si="1146"/>
        <v>OutubroSEMANA 1Pescados - Pargo Fresco Sushi</v>
      </c>
      <c r="F944" s="7">
        <f>SUMIF(NF!$A:$A,$E944,NF!$I:$I)</f>
        <v>0</v>
      </c>
      <c r="G944" s="6"/>
      <c r="H944" s="6"/>
      <c r="I944" s="6"/>
      <c r="J944" s="6"/>
      <c r="K944" s="6"/>
      <c r="L944" s="6"/>
      <c r="M944" s="6"/>
      <c r="N944" s="7">
        <f t="shared" si="1276"/>
        <v>0</v>
      </c>
      <c r="O944" s="11">
        <f t="shared" si="1148"/>
        <v>0</v>
      </c>
      <c r="P944" s="25"/>
      <c r="Q944" s="10" t="str">
        <f t="shared" si="1149"/>
        <v>OutubroSEMANA 2Pescados - Pargo Fresco Sushi</v>
      </c>
      <c r="R944" s="7">
        <f>SUMIF(NF!$A:$A,$Q944,NF!$I:$I)</f>
        <v>0</v>
      </c>
      <c r="S944" s="6"/>
      <c r="T944" s="6"/>
      <c r="U944" s="6"/>
      <c r="V944" s="6"/>
      <c r="W944" s="6"/>
      <c r="X944" s="6"/>
      <c r="Y944" s="6"/>
      <c r="Z944" s="7">
        <f t="shared" si="1277"/>
        <v>0</v>
      </c>
      <c r="AA944" s="11">
        <f t="shared" si="1151"/>
        <v>0</v>
      </c>
      <c r="AB944" s="25"/>
      <c r="AC944" s="10" t="str">
        <f t="shared" si="1152"/>
        <v>OutubroSEMANA 3Pescados - Pargo Fresco Sushi</v>
      </c>
      <c r="AD944" s="7">
        <f>SUMIF(NF!$A:$A,$AC944,NF!$I:$I)</f>
        <v>0</v>
      </c>
      <c r="AE944" s="6"/>
      <c r="AF944" s="6"/>
      <c r="AG944" s="6"/>
      <c r="AH944" s="6"/>
      <c r="AI944" s="6"/>
      <c r="AJ944" s="6"/>
      <c r="AK944" s="6"/>
      <c r="AL944" s="7">
        <f t="shared" si="1278"/>
        <v>0</v>
      </c>
      <c r="AM944" s="11">
        <f t="shared" si="1154"/>
        <v>0</v>
      </c>
      <c r="AN944" s="25"/>
      <c r="AO944" s="10" t="str">
        <f t="shared" si="1155"/>
        <v>OutubroSEMANA 4Pescados - Pargo Fresco Sushi</v>
      </c>
      <c r="AP944" s="7">
        <f>SUMIF(NF!$A:$A,$AO944,NF!$I:$I)</f>
        <v>0</v>
      </c>
      <c r="AQ944" s="6"/>
      <c r="AR944" s="6"/>
      <c r="AS944" s="6"/>
      <c r="AT944" s="6"/>
      <c r="AU944" s="6"/>
      <c r="AV944" s="6"/>
      <c r="AW944" s="6"/>
      <c r="AX944" s="7">
        <f t="shared" si="1279"/>
        <v>0</v>
      </c>
      <c r="AY944" s="11">
        <f t="shared" si="1157"/>
        <v>0</v>
      </c>
      <c r="AZ944" s="25"/>
      <c r="BA944" s="10" t="str">
        <f t="shared" si="1158"/>
        <v>OutubroSEMANA 5Pescados - Pargo Fresco Sushi</v>
      </c>
      <c r="BB944" s="7">
        <f>SUMIF(NF!$A:$A,$BA944,NF!$I:$I)</f>
        <v>0</v>
      </c>
      <c r="BC944" s="6"/>
      <c r="BD944" s="6"/>
      <c r="BE944" s="6"/>
      <c r="BF944" s="74"/>
      <c r="BG944" s="74"/>
      <c r="BH944" s="74"/>
      <c r="BI944" s="74"/>
      <c r="BJ944" s="74"/>
      <c r="BK944" s="7">
        <f t="shared" si="1280"/>
        <v>0</v>
      </c>
      <c r="BL944" s="8">
        <f t="shared" si="1160"/>
        <v>0</v>
      </c>
      <c r="BM944" s="51" t="str">
        <f>IFERROR(VLOOKUP(A944,NF!$M:$O,3,0),"")</f>
        <v>Sushi</v>
      </c>
      <c r="BN944" s="7">
        <f t="shared" si="1161"/>
        <v>0</v>
      </c>
      <c r="BO944" s="8">
        <f t="array" ref="BO944">IFERROR(LARGE(IF(NF!$G$2:$G$3137='Mês atual'!A944,NF!$J$2:$J$3137),1),0)*BN944</f>
        <v>0</v>
      </c>
      <c r="BP944" s="50"/>
      <c r="BR944" s="147">
        <f t="array" ref="BR944">IFERROR(LARGE(IF(NF!$G$2:$G$3137='Mês atual'!A944,NF!$J$2:$J$3137),1),0)</f>
        <v>0</v>
      </c>
      <c r="BS944" s="143" t="str">
        <f>VLOOKUP(A944,NF!M:O,3,0)</f>
        <v>Sushi</v>
      </c>
    </row>
    <row r="945" spans="1:71" x14ac:dyDescent="0.25">
      <c r="A945" s="108" t="s">
        <v>637</v>
      </c>
      <c r="B945" s="12"/>
      <c r="C945" s="9"/>
      <c r="D945" s="25"/>
      <c r="E945" s="10" t="str">
        <f t="shared" si="1146"/>
        <v>OutubroSEMANA 1Pescados - Polvo Fresco G Sushi</v>
      </c>
      <c r="F945" s="7">
        <f>SUMIF(NF!$A:$A,$E945,NF!$I:$I)</f>
        <v>0</v>
      </c>
      <c r="G945" s="6"/>
      <c r="H945" s="6"/>
      <c r="I945" s="6"/>
      <c r="J945" s="6"/>
      <c r="K945" s="6"/>
      <c r="L945" s="6"/>
      <c r="M945" s="6"/>
      <c r="N945" s="7">
        <f t="shared" si="1276"/>
        <v>0</v>
      </c>
      <c r="O945" s="11">
        <f t="shared" si="1148"/>
        <v>0</v>
      </c>
      <c r="P945" s="25"/>
      <c r="Q945" s="10" t="str">
        <f t="shared" si="1149"/>
        <v>OutubroSEMANA 2Pescados - Polvo Fresco G Sushi</v>
      </c>
      <c r="R945" s="7">
        <f>SUMIF(NF!$A:$A,$Q945,NF!$I:$I)</f>
        <v>0</v>
      </c>
      <c r="S945" s="6"/>
      <c r="T945" s="6"/>
      <c r="U945" s="6"/>
      <c r="V945" s="6"/>
      <c r="W945" s="6"/>
      <c r="X945" s="6"/>
      <c r="Y945" s="6"/>
      <c r="Z945" s="7">
        <f t="shared" si="1277"/>
        <v>0</v>
      </c>
      <c r="AA945" s="11">
        <f t="shared" si="1151"/>
        <v>0</v>
      </c>
      <c r="AB945" s="25"/>
      <c r="AC945" s="10" t="str">
        <f t="shared" si="1152"/>
        <v>OutubroSEMANA 3Pescados - Polvo Fresco G Sushi</v>
      </c>
      <c r="AD945" s="7">
        <f>SUMIF(NF!$A:$A,$AC945,NF!$I:$I)</f>
        <v>0</v>
      </c>
      <c r="AE945" s="6"/>
      <c r="AF945" s="6"/>
      <c r="AG945" s="6"/>
      <c r="AH945" s="6"/>
      <c r="AI945" s="6"/>
      <c r="AJ945" s="6"/>
      <c r="AK945" s="6"/>
      <c r="AL945" s="7">
        <f t="shared" si="1278"/>
        <v>0</v>
      </c>
      <c r="AM945" s="11">
        <f t="shared" si="1154"/>
        <v>0</v>
      </c>
      <c r="AN945" s="25"/>
      <c r="AO945" s="10" t="str">
        <f t="shared" si="1155"/>
        <v>OutubroSEMANA 4Pescados - Polvo Fresco G Sushi</v>
      </c>
      <c r="AP945" s="7">
        <f>SUMIF(NF!$A:$A,$AO945,NF!$I:$I)</f>
        <v>0</v>
      </c>
      <c r="AQ945" s="6"/>
      <c r="AR945" s="6"/>
      <c r="AS945" s="6"/>
      <c r="AT945" s="6"/>
      <c r="AU945" s="6"/>
      <c r="AV945" s="6"/>
      <c r="AW945" s="6"/>
      <c r="AX945" s="7">
        <f t="shared" si="1279"/>
        <v>0</v>
      </c>
      <c r="AY945" s="11">
        <f t="shared" si="1157"/>
        <v>0</v>
      </c>
      <c r="AZ945" s="25"/>
      <c r="BA945" s="10" t="str">
        <f t="shared" si="1158"/>
        <v>OutubroSEMANA 5Pescados - Polvo Fresco G Sushi</v>
      </c>
      <c r="BB945" s="7">
        <f>SUMIF(NF!$A:$A,$BA945,NF!$I:$I)</f>
        <v>0</v>
      </c>
      <c r="BC945" s="6"/>
      <c r="BD945" s="6"/>
      <c r="BE945" s="6"/>
      <c r="BF945" s="74"/>
      <c r="BG945" s="74"/>
      <c r="BH945" s="74"/>
      <c r="BI945" s="74"/>
      <c r="BJ945" s="74"/>
      <c r="BK945" s="7">
        <f t="shared" si="1280"/>
        <v>0</v>
      </c>
      <c r="BL945" s="8">
        <f t="shared" si="1160"/>
        <v>0</v>
      </c>
      <c r="BM945" s="51" t="str">
        <f>IFERROR(VLOOKUP(A945,NF!$M:$O,3,0),"")</f>
        <v>Sushi</v>
      </c>
      <c r="BN945" s="7">
        <f t="shared" si="1161"/>
        <v>0</v>
      </c>
      <c r="BO945" s="8">
        <f t="array" ref="BO945">IFERROR(LARGE(IF(NF!$G$2:$G$3137='Mês atual'!A945,NF!$J$2:$J$3137),1),0)*BN945</f>
        <v>0</v>
      </c>
      <c r="BP945" s="50"/>
      <c r="BR945" s="147">
        <f t="array" ref="BR945">IFERROR(LARGE(IF(NF!$G$2:$G$3137='Mês atual'!A945,NF!$J$2:$J$3137),1),0)</f>
        <v>0</v>
      </c>
      <c r="BS945" s="143" t="str">
        <f>VLOOKUP(A945,NF!M:O,3,0)</f>
        <v>Sushi</v>
      </c>
    </row>
    <row r="946" spans="1:71" x14ac:dyDescent="0.25">
      <c r="A946" s="108" t="s">
        <v>639</v>
      </c>
      <c r="B946" s="12"/>
      <c r="C946" s="9"/>
      <c r="D946" s="25"/>
      <c r="E946" s="10" t="str">
        <f t="shared" si="1146"/>
        <v>OutubroSEMANA 1Pescados - Polvo Fresco M Sushi</v>
      </c>
      <c r="F946" s="7">
        <f>SUMIF(NF!$A:$A,$E946,NF!$I:$I)</f>
        <v>0</v>
      </c>
      <c r="G946" s="6"/>
      <c r="H946" s="6"/>
      <c r="I946" s="6"/>
      <c r="J946" s="6"/>
      <c r="K946" s="6"/>
      <c r="L946" s="6"/>
      <c r="M946" s="6"/>
      <c r="N946" s="7">
        <f t="shared" si="1276"/>
        <v>0</v>
      </c>
      <c r="O946" s="11">
        <f t="shared" si="1148"/>
        <v>0</v>
      </c>
      <c r="P946" s="25"/>
      <c r="Q946" s="10" t="str">
        <f t="shared" si="1149"/>
        <v>OutubroSEMANA 2Pescados - Polvo Fresco M Sushi</v>
      </c>
      <c r="R946" s="7">
        <f>SUMIF(NF!$A:$A,$Q946,NF!$I:$I)</f>
        <v>0</v>
      </c>
      <c r="S946" s="6"/>
      <c r="T946" s="6"/>
      <c r="U946" s="6"/>
      <c r="V946" s="6"/>
      <c r="W946" s="6"/>
      <c r="X946" s="6"/>
      <c r="Y946" s="6"/>
      <c r="Z946" s="7">
        <f t="shared" si="1277"/>
        <v>0</v>
      </c>
      <c r="AA946" s="11">
        <f t="shared" si="1151"/>
        <v>0</v>
      </c>
      <c r="AB946" s="25"/>
      <c r="AC946" s="10" t="str">
        <f t="shared" si="1152"/>
        <v>OutubroSEMANA 3Pescados - Polvo Fresco M Sushi</v>
      </c>
      <c r="AD946" s="7">
        <f>SUMIF(NF!$A:$A,$AC946,NF!$I:$I)</f>
        <v>0</v>
      </c>
      <c r="AE946" s="6"/>
      <c r="AF946" s="6"/>
      <c r="AG946" s="6"/>
      <c r="AH946" s="6"/>
      <c r="AI946" s="6"/>
      <c r="AJ946" s="6"/>
      <c r="AK946" s="6"/>
      <c r="AL946" s="7">
        <f t="shared" si="1278"/>
        <v>0</v>
      </c>
      <c r="AM946" s="11">
        <f t="shared" si="1154"/>
        <v>0</v>
      </c>
      <c r="AN946" s="25"/>
      <c r="AO946" s="10" t="str">
        <f t="shared" si="1155"/>
        <v>OutubroSEMANA 4Pescados - Polvo Fresco M Sushi</v>
      </c>
      <c r="AP946" s="7">
        <f>SUMIF(NF!$A:$A,$AO946,NF!$I:$I)</f>
        <v>0</v>
      </c>
      <c r="AQ946" s="6"/>
      <c r="AR946" s="6"/>
      <c r="AS946" s="6"/>
      <c r="AT946" s="6"/>
      <c r="AU946" s="6"/>
      <c r="AV946" s="6"/>
      <c r="AW946" s="6"/>
      <c r="AX946" s="7">
        <f t="shared" si="1279"/>
        <v>0</v>
      </c>
      <c r="AY946" s="11">
        <f t="shared" si="1157"/>
        <v>0</v>
      </c>
      <c r="AZ946" s="25"/>
      <c r="BA946" s="10" t="str">
        <f t="shared" si="1158"/>
        <v>OutubroSEMANA 5Pescados - Polvo Fresco M Sushi</v>
      </c>
      <c r="BB946" s="7">
        <f>SUMIF(NF!$A:$A,$BA946,NF!$I:$I)</f>
        <v>0</v>
      </c>
      <c r="BC946" s="6"/>
      <c r="BD946" s="6"/>
      <c r="BE946" s="6"/>
      <c r="BF946" s="74"/>
      <c r="BG946" s="74"/>
      <c r="BH946" s="74"/>
      <c r="BI946" s="74"/>
      <c r="BJ946" s="74"/>
      <c r="BK946" s="7">
        <f t="shared" si="1280"/>
        <v>0</v>
      </c>
      <c r="BL946" s="8">
        <f t="shared" si="1160"/>
        <v>0</v>
      </c>
      <c r="BM946" s="51" t="str">
        <f>IFERROR(VLOOKUP(A946,NF!$M:$O,3,0),"")</f>
        <v>Sushi</v>
      </c>
      <c r="BN946" s="7">
        <f t="shared" si="1161"/>
        <v>0</v>
      </c>
      <c r="BO946" s="8">
        <f t="array" ref="BO946">IFERROR(LARGE(IF(NF!$G$2:$G$3137='Mês atual'!A946,NF!$J$2:$J$3137),1),0)*BN946</f>
        <v>0</v>
      </c>
      <c r="BP946" s="50"/>
      <c r="BR946" s="147">
        <f t="array" ref="BR946">IFERROR(LARGE(IF(NF!$G$2:$G$3137='Mês atual'!A946,NF!$J$2:$J$3137),1),0)</f>
        <v>0</v>
      </c>
      <c r="BS946" s="143" t="str">
        <f>VLOOKUP(A946,NF!M:O,3,0)</f>
        <v>Sushi</v>
      </c>
    </row>
    <row r="947" spans="1:71" x14ac:dyDescent="0.25">
      <c r="A947" s="108" t="s">
        <v>645</v>
      </c>
      <c r="B947" s="12"/>
      <c r="C947" s="9">
        <v>30.41</v>
      </c>
      <c r="D947" s="25"/>
      <c r="E947" s="10" t="str">
        <f t="shared" si="1146"/>
        <v>OutubroSEMANA 1Pescados - Salmão Inteiro Sushi</v>
      </c>
      <c r="F947" s="7">
        <f>SUMIF(NF!$A:$A,$E947,NF!$I:$I)</f>
        <v>80.86</v>
      </c>
      <c r="G947" s="6">
        <v>16</v>
      </c>
      <c r="H947" s="6">
        <v>14.41</v>
      </c>
      <c r="I947" s="6">
        <v>11</v>
      </c>
      <c r="J947" s="6">
        <v>11.05</v>
      </c>
      <c r="K947" s="6"/>
      <c r="L947" s="6">
        <v>15</v>
      </c>
      <c r="M947" s="6">
        <v>15.81</v>
      </c>
      <c r="N947" s="7">
        <f t="shared" si="1276"/>
        <v>83.27</v>
      </c>
      <c r="O947" s="11">
        <f t="shared" si="1148"/>
        <v>28</v>
      </c>
      <c r="P947" s="25"/>
      <c r="Q947" s="10" t="str">
        <f t="shared" si="1149"/>
        <v>OutubroSEMANA 2Pescados - Salmão Inteiro Sushi</v>
      </c>
      <c r="R947" s="7">
        <f>SUMIF(NF!$A:$A,$Q947,NF!$I:$I)</f>
        <v>52.519999999999996</v>
      </c>
      <c r="S947" s="6">
        <v>14</v>
      </c>
      <c r="T947" s="6">
        <v>14</v>
      </c>
      <c r="U947" s="6"/>
      <c r="V947" s="6"/>
      <c r="W947" s="6">
        <v>14.5</v>
      </c>
      <c r="X947" s="6">
        <v>15.18</v>
      </c>
      <c r="Y947" s="6">
        <v>11</v>
      </c>
      <c r="Z947" s="7">
        <f t="shared" si="1277"/>
        <v>68.680000000000007</v>
      </c>
      <c r="AA947" s="11">
        <f t="shared" si="1151"/>
        <v>11.839999999999989</v>
      </c>
      <c r="AB947" s="25"/>
      <c r="AC947" s="10" t="str">
        <f t="shared" si="1152"/>
        <v>OutubroSEMANA 3Pescados - Salmão Inteiro Sushi</v>
      </c>
      <c r="AD947" s="7">
        <f>SUMIF(NF!$A:$A,$AC947,NF!$I:$I)</f>
        <v>89.84</v>
      </c>
      <c r="AE947" s="6">
        <v>11.84</v>
      </c>
      <c r="AF947" s="6"/>
      <c r="AG947" s="6">
        <v>13</v>
      </c>
      <c r="AH947" s="6">
        <v>13.64</v>
      </c>
      <c r="AI947" s="6"/>
      <c r="AJ947" s="6">
        <v>16</v>
      </c>
      <c r="AK947" s="6">
        <v>16.14</v>
      </c>
      <c r="AL947" s="7">
        <f t="shared" si="1278"/>
        <v>70.62</v>
      </c>
      <c r="AM947" s="11">
        <f t="shared" si="1154"/>
        <v>31.059999999999988</v>
      </c>
      <c r="AN947" s="25"/>
      <c r="AO947" s="10" t="str">
        <f t="shared" si="1155"/>
        <v>OutubroSEMANA 4Pescados - Salmão Inteiro Sushi</v>
      </c>
      <c r="AP947" s="7">
        <f>SUMIF(NF!$A:$A,$AO947,NF!$I:$I)</f>
        <v>64.099999999999994</v>
      </c>
      <c r="AQ947" s="6">
        <v>15.5</v>
      </c>
      <c r="AR947" s="6">
        <v>15.56</v>
      </c>
      <c r="AS947" s="6"/>
      <c r="AT947" s="6"/>
      <c r="AU947" s="6">
        <v>10.63</v>
      </c>
      <c r="AV947" s="6">
        <v>10.63</v>
      </c>
      <c r="AW947" s="6">
        <v>10.63</v>
      </c>
      <c r="AX947" s="7">
        <f t="shared" si="1279"/>
        <v>62.95000000000001</v>
      </c>
      <c r="AY947" s="11">
        <f t="shared" si="1157"/>
        <v>32.209999999999972</v>
      </c>
      <c r="AZ947" s="25"/>
      <c r="BA947" s="10" t="str">
        <f t="shared" si="1158"/>
        <v>OutubroSEMANA 5Pescados - Salmão Inteiro Sushi</v>
      </c>
      <c r="BB947" s="7">
        <f>SUMIF(NF!$A:$A,$BA947,NF!$I:$I)</f>
        <v>0</v>
      </c>
      <c r="BC947" s="6">
        <v>16.21</v>
      </c>
      <c r="BD947" s="6">
        <v>16</v>
      </c>
      <c r="BE947" s="6"/>
      <c r="BF947" s="74"/>
      <c r="BG947" s="74"/>
      <c r="BH947" s="74"/>
      <c r="BI947" s="74"/>
      <c r="BJ947" s="74"/>
      <c r="BK947" s="7">
        <f t="shared" si="1280"/>
        <v>32.21</v>
      </c>
      <c r="BL947" s="8">
        <f t="shared" si="1160"/>
        <v>0</v>
      </c>
      <c r="BM947" s="51" t="str">
        <f>IFERROR(VLOOKUP(A947,NF!$M:$O,3,0),"")</f>
        <v>Sushi</v>
      </c>
      <c r="BN947" s="7">
        <f t="shared" si="1161"/>
        <v>317.72999999999996</v>
      </c>
      <c r="BO947" s="8">
        <f t="array" ref="BO947">IFERROR(LARGE(IF(NF!$G$2:$G$3137='Mês atual'!A947,NF!$J$2:$J$3137),1),0)*BN947</f>
        <v>8864.7305459999989</v>
      </c>
      <c r="BP947" s="50"/>
      <c r="BR947" s="147">
        <f t="array" ref="BR947">IFERROR(LARGE(IF(NF!$G$2:$G$3137='Mês atual'!A947,NF!$J$2:$J$3137),1),0)</f>
        <v>27.900200000000002</v>
      </c>
      <c r="BS947" s="143" t="str">
        <f>VLOOKUP(A947,NF!M:O,3,0)</f>
        <v>Sushi</v>
      </c>
    </row>
    <row r="948" spans="1:71" x14ac:dyDescent="0.25">
      <c r="A948" s="108" t="s">
        <v>647</v>
      </c>
      <c r="B948" s="12"/>
      <c r="C948" s="9"/>
      <c r="D948" s="25"/>
      <c r="E948" s="10" t="str">
        <f t="shared" si="1146"/>
        <v>OutubroSEMANA 1Pescados - Sardinha Fresca Sushi</v>
      </c>
      <c r="F948" s="7">
        <f>SUMIF(NF!$A:$A,$E948,NF!$I:$I)</f>
        <v>0</v>
      </c>
      <c r="G948" s="6"/>
      <c r="H948" s="6"/>
      <c r="I948" s="6"/>
      <c r="J948" s="6"/>
      <c r="K948" s="6"/>
      <c r="L948" s="6"/>
      <c r="M948" s="6"/>
      <c r="N948" s="7">
        <f t="shared" si="1276"/>
        <v>0</v>
      </c>
      <c r="O948" s="11">
        <f t="shared" si="1148"/>
        <v>0</v>
      </c>
      <c r="P948" s="25"/>
      <c r="Q948" s="10" t="str">
        <f t="shared" si="1149"/>
        <v>OutubroSEMANA 2Pescados - Sardinha Fresca Sushi</v>
      </c>
      <c r="R948" s="7">
        <f>SUMIF(NF!$A:$A,$Q948,NF!$I:$I)</f>
        <v>0</v>
      </c>
      <c r="S948" s="6"/>
      <c r="T948" s="6"/>
      <c r="U948" s="6"/>
      <c r="V948" s="6"/>
      <c r="W948" s="6"/>
      <c r="X948" s="6"/>
      <c r="Y948" s="6"/>
      <c r="Z948" s="7">
        <f t="shared" si="1277"/>
        <v>0</v>
      </c>
      <c r="AA948" s="11">
        <f t="shared" si="1151"/>
        <v>0</v>
      </c>
      <c r="AB948" s="25"/>
      <c r="AC948" s="10" t="str">
        <f t="shared" si="1152"/>
        <v>OutubroSEMANA 3Pescados - Sardinha Fresca Sushi</v>
      </c>
      <c r="AD948" s="7">
        <f>SUMIF(NF!$A:$A,$AC948,NF!$I:$I)</f>
        <v>0</v>
      </c>
      <c r="AE948" s="6"/>
      <c r="AF948" s="6"/>
      <c r="AG948" s="6"/>
      <c r="AH948" s="6"/>
      <c r="AI948" s="6"/>
      <c r="AJ948" s="6"/>
      <c r="AK948" s="6"/>
      <c r="AL948" s="7">
        <f t="shared" si="1278"/>
        <v>0</v>
      </c>
      <c r="AM948" s="11">
        <f t="shared" si="1154"/>
        <v>0</v>
      </c>
      <c r="AN948" s="25"/>
      <c r="AO948" s="10" t="str">
        <f t="shared" si="1155"/>
        <v>OutubroSEMANA 4Pescados - Sardinha Fresca Sushi</v>
      </c>
      <c r="AP948" s="7">
        <f>SUMIF(NF!$A:$A,$AO948,NF!$I:$I)</f>
        <v>0</v>
      </c>
      <c r="AQ948" s="6"/>
      <c r="AR948" s="6"/>
      <c r="AS948" s="6"/>
      <c r="AT948" s="6"/>
      <c r="AU948" s="6"/>
      <c r="AV948" s="6"/>
      <c r="AW948" s="6"/>
      <c r="AX948" s="7">
        <f t="shared" si="1279"/>
        <v>0</v>
      </c>
      <c r="AY948" s="11">
        <f t="shared" si="1157"/>
        <v>0</v>
      </c>
      <c r="AZ948" s="25"/>
      <c r="BA948" s="10" t="str">
        <f t="shared" si="1158"/>
        <v>OutubroSEMANA 5Pescados - Sardinha Fresca Sushi</v>
      </c>
      <c r="BB948" s="7">
        <f>SUMIF(NF!$A:$A,$BA948,NF!$I:$I)</f>
        <v>0</v>
      </c>
      <c r="BC948" s="6"/>
      <c r="BD948" s="6"/>
      <c r="BE948" s="6"/>
      <c r="BF948" s="74"/>
      <c r="BG948" s="74"/>
      <c r="BH948" s="74"/>
      <c r="BI948" s="74"/>
      <c r="BJ948" s="74"/>
      <c r="BK948" s="7">
        <f t="shared" si="1280"/>
        <v>0</v>
      </c>
      <c r="BL948" s="8">
        <f t="shared" si="1160"/>
        <v>0</v>
      </c>
      <c r="BM948" s="51" t="str">
        <f>IFERROR(VLOOKUP(A948,NF!$M:$O,3,0),"")</f>
        <v>Sushi</v>
      </c>
      <c r="BN948" s="7">
        <f t="shared" si="1161"/>
        <v>0</v>
      </c>
      <c r="BO948" s="8">
        <f t="array" ref="BO948">IFERROR(LARGE(IF(NF!$G$2:$G$3137='Mês atual'!A948,NF!$J$2:$J$3137),1),0)*BN948</f>
        <v>0</v>
      </c>
      <c r="BP948" s="50"/>
      <c r="BR948" s="147">
        <f t="array" ref="BR948">IFERROR(LARGE(IF(NF!$G$2:$G$3137='Mês atual'!A948,NF!$J$2:$J$3137),1),0)</f>
        <v>0</v>
      </c>
      <c r="BS948" s="143" t="str">
        <f>VLOOKUP(A948,NF!M:O,3,0)</f>
        <v>Sushi</v>
      </c>
    </row>
    <row r="949" spans="1:71" x14ac:dyDescent="0.25">
      <c r="A949" s="108" t="s">
        <v>649</v>
      </c>
      <c r="B949" s="12"/>
      <c r="C949" s="9"/>
      <c r="D949" s="25"/>
      <c r="E949" s="10" t="str">
        <f t="shared" si="1146"/>
        <v>OutubroSEMANA 1Pescados - Tainha Fresca Sushi</v>
      </c>
      <c r="F949" s="7">
        <f>SUMIF(NF!$A:$A,$E949,NF!$I:$I)</f>
        <v>0</v>
      </c>
      <c r="G949" s="6"/>
      <c r="H949" s="6"/>
      <c r="I949" s="6"/>
      <c r="J949" s="6"/>
      <c r="K949" s="6"/>
      <c r="L949" s="6"/>
      <c r="M949" s="6"/>
      <c r="N949" s="7">
        <f t="shared" si="1276"/>
        <v>0</v>
      </c>
      <c r="O949" s="11">
        <f t="shared" si="1148"/>
        <v>0</v>
      </c>
      <c r="P949" s="25"/>
      <c r="Q949" s="10" t="str">
        <f t="shared" si="1149"/>
        <v>OutubroSEMANA 2Pescados - Tainha Fresca Sushi</v>
      </c>
      <c r="R949" s="7">
        <f>SUMIF(NF!$A:$A,$Q949,NF!$I:$I)</f>
        <v>0</v>
      </c>
      <c r="S949" s="6"/>
      <c r="T949" s="6"/>
      <c r="U949" s="6"/>
      <c r="V949" s="6"/>
      <c r="W949" s="6"/>
      <c r="X949" s="6"/>
      <c r="Y949" s="6"/>
      <c r="Z949" s="7">
        <f t="shared" si="1277"/>
        <v>0</v>
      </c>
      <c r="AA949" s="11">
        <f t="shared" si="1151"/>
        <v>0</v>
      </c>
      <c r="AB949" s="25"/>
      <c r="AC949" s="10" t="str">
        <f t="shared" si="1152"/>
        <v>OutubroSEMANA 3Pescados - Tainha Fresca Sushi</v>
      </c>
      <c r="AD949" s="7">
        <f>SUMIF(NF!$A:$A,$AC949,NF!$I:$I)</f>
        <v>0</v>
      </c>
      <c r="AE949" s="6"/>
      <c r="AF949" s="6"/>
      <c r="AG949" s="6"/>
      <c r="AH949" s="6"/>
      <c r="AI949" s="6"/>
      <c r="AJ949" s="6"/>
      <c r="AK949" s="6"/>
      <c r="AL949" s="7">
        <f t="shared" si="1278"/>
        <v>0</v>
      </c>
      <c r="AM949" s="11">
        <f t="shared" si="1154"/>
        <v>0</v>
      </c>
      <c r="AN949" s="25"/>
      <c r="AO949" s="10" t="str">
        <f t="shared" si="1155"/>
        <v>OutubroSEMANA 4Pescados - Tainha Fresca Sushi</v>
      </c>
      <c r="AP949" s="7">
        <f>SUMIF(NF!$A:$A,$AO949,NF!$I:$I)</f>
        <v>0</v>
      </c>
      <c r="AQ949" s="6"/>
      <c r="AR949" s="6"/>
      <c r="AS949" s="6"/>
      <c r="AT949" s="6"/>
      <c r="AU949" s="6"/>
      <c r="AV949" s="6"/>
      <c r="AW949" s="6"/>
      <c r="AX949" s="7">
        <f t="shared" si="1279"/>
        <v>0</v>
      </c>
      <c r="AY949" s="11">
        <f t="shared" si="1157"/>
        <v>0</v>
      </c>
      <c r="AZ949" s="25"/>
      <c r="BA949" s="10" t="str">
        <f t="shared" si="1158"/>
        <v>OutubroSEMANA 5Pescados - Tainha Fresca Sushi</v>
      </c>
      <c r="BB949" s="7">
        <f>SUMIF(NF!$A:$A,$BA949,NF!$I:$I)</f>
        <v>0</v>
      </c>
      <c r="BC949" s="6"/>
      <c r="BD949" s="6"/>
      <c r="BE949" s="6"/>
      <c r="BF949" s="74"/>
      <c r="BG949" s="74"/>
      <c r="BH949" s="74"/>
      <c r="BI949" s="74"/>
      <c r="BJ949" s="74"/>
      <c r="BK949" s="7">
        <f t="shared" si="1280"/>
        <v>0</v>
      </c>
      <c r="BL949" s="8">
        <f t="shared" si="1160"/>
        <v>0</v>
      </c>
      <c r="BM949" s="51" t="str">
        <f>IFERROR(VLOOKUP(A949,NF!$M:$O,3,0),"")</f>
        <v>Sushi</v>
      </c>
      <c r="BN949" s="7">
        <f t="shared" si="1161"/>
        <v>0</v>
      </c>
      <c r="BO949" s="8">
        <f t="array" ref="BO949">IFERROR(LARGE(IF(NF!$G$2:$G$3137='Mês atual'!A949,NF!$J$2:$J$3137),1),0)*BN949</f>
        <v>0</v>
      </c>
      <c r="BP949" s="50"/>
      <c r="BR949" s="147">
        <f t="array" ref="BR949">IFERROR(LARGE(IF(NF!$G$2:$G$3137='Mês atual'!A949,NF!$J$2:$J$3137),1),0)</f>
        <v>0</v>
      </c>
      <c r="BS949" s="143" t="str">
        <f>VLOOKUP(A949,NF!M:O,3,0)</f>
        <v>Sushi</v>
      </c>
    </row>
    <row r="950" spans="1:71" x14ac:dyDescent="0.25">
      <c r="A950" s="108" t="s">
        <v>650</v>
      </c>
      <c r="B950" s="12"/>
      <c r="C950" s="9"/>
      <c r="D950" s="25"/>
      <c r="E950" s="10" t="str">
        <f t="shared" si="1146"/>
        <v>OutubroSEMANA 1Pescados - Xerelete Fresco Sushi</v>
      </c>
      <c r="F950" s="7">
        <f>SUMIF(NF!$A:$A,$E950,NF!$I:$I)</f>
        <v>0</v>
      </c>
      <c r="G950" s="6"/>
      <c r="H950" s="6"/>
      <c r="I950" s="6"/>
      <c r="J950" s="6"/>
      <c r="K950" s="6"/>
      <c r="L950" s="6"/>
      <c r="M950" s="6"/>
      <c r="N950" s="7">
        <f t="shared" si="1276"/>
        <v>0</v>
      </c>
      <c r="O950" s="11">
        <f t="shared" si="1148"/>
        <v>0</v>
      </c>
      <c r="P950" s="25"/>
      <c r="Q950" s="10" t="str">
        <f t="shared" si="1149"/>
        <v>OutubroSEMANA 2Pescados - Xerelete Fresco Sushi</v>
      </c>
      <c r="R950" s="7">
        <f>SUMIF(NF!$A:$A,$Q950,NF!$I:$I)</f>
        <v>0</v>
      </c>
      <c r="S950" s="6"/>
      <c r="T950" s="6"/>
      <c r="U950" s="6"/>
      <c r="V950" s="6"/>
      <c r="W950" s="6"/>
      <c r="X950" s="6"/>
      <c r="Y950" s="6"/>
      <c r="Z950" s="7">
        <f t="shared" si="1277"/>
        <v>0</v>
      </c>
      <c r="AA950" s="11">
        <f t="shared" si="1151"/>
        <v>0</v>
      </c>
      <c r="AB950" s="25"/>
      <c r="AC950" s="10" t="str">
        <f t="shared" si="1152"/>
        <v>OutubroSEMANA 3Pescados - Xerelete Fresco Sushi</v>
      </c>
      <c r="AD950" s="7">
        <f>SUMIF(NF!$A:$A,$AC950,NF!$I:$I)</f>
        <v>0</v>
      </c>
      <c r="AE950" s="6"/>
      <c r="AF950" s="6"/>
      <c r="AG950" s="6"/>
      <c r="AH950" s="6"/>
      <c r="AI950" s="6"/>
      <c r="AJ950" s="6"/>
      <c r="AK950" s="6"/>
      <c r="AL950" s="7">
        <f t="shared" si="1278"/>
        <v>0</v>
      </c>
      <c r="AM950" s="11">
        <f t="shared" si="1154"/>
        <v>0</v>
      </c>
      <c r="AN950" s="25"/>
      <c r="AO950" s="10" t="str">
        <f t="shared" si="1155"/>
        <v>OutubroSEMANA 4Pescados - Xerelete Fresco Sushi</v>
      </c>
      <c r="AP950" s="7">
        <f>SUMIF(NF!$A:$A,$AO950,NF!$I:$I)</f>
        <v>0</v>
      </c>
      <c r="AQ950" s="6"/>
      <c r="AR950" s="6"/>
      <c r="AS950" s="6"/>
      <c r="AT950" s="6"/>
      <c r="AU950" s="6"/>
      <c r="AV950" s="6"/>
      <c r="AW950" s="6"/>
      <c r="AX950" s="7">
        <f t="shared" si="1279"/>
        <v>0</v>
      </c>
      <c r="AY950" s="11">
        <f t="shared" si="1157"/>
        <v>0</v>
      </c>
      <c r="AZ950" s="25"/>
      <c r="BA950" s="10" t="str">
        <f t="shared" si="1158"/>
        <v>OutubroSEMANA 5Pescados - Xerelete Fresco Sushi</v>
      </c>
      <c r="BB950" s="7">
        <f>SUMIF(NF!$A:$A,$BA950,NF!$I:$I)</f>
        <v>0</v>
      </c>
      <c r="BC950" s="6"/>
      <c r="BD950" s="6"/>
      <c r="BE950" s="6"/>
      <c r="BF950" s="74"/>
      <c r="BG950" s="74"/>
      <c r="BH950" s="74"/>
      <c r="BI950" s="74"/>
      <c r="BJ950" s="74"/>
      <c r="BK950" s="7">
        <f t="shared" si="1280"/>
        <v>0</v>
      </c>
      <c r="BL950" s="8">
        <f t="shared" si="1160"/>
        <v>0</v>
      </c>
      <c r="BM950" s="51" t="str">
        <f>IFERROR(VLOOKUP(A950,NF!$M:$O,3,0),"")</f>
        <v>Sushi</v>
      </c>
      <c r="BN950" s="7">
        <f t="shared" si="1161"/>
        <v>0</v>
      </c>
      <c r="BO950" s="8">
        <f t="array" ref="BO950">IFERROR(LARGE(IF(NF!$G$2:$G$3137='Mês atual'!A950,NF!$J$2:$J$3137),1),0)*BN950</f>
        <v>0</v>
      </c>
      <c r="BP950" s="50"/>
      <c r="BR950" s="147">
        <f t="array" ref="BR950">IFERROR(LARGE(IF(NF!$G$2:$G$3137='Mês atual'!A950,NF!$J$2:$J$3137),1),0)</f>
        <v>0</v>
      </c>
      <c r="BS950" s="143" t="str">
        <f>VLOOKUP(A950,NF!M:O,3,0)</f>
        <v>Sushi</v>
      </c>
    </row>
    <row r="951" spans="1:71" x14ac:dyDescent="0.25">
      <c r="A951" s="108" t="s">
        <v>659</v>
      </c>
      <c r="B951" s="12"/>
      <c r="C951" s="9"/>
      <c r="D951" s="25"/>
      <c r="E951" s="10" t="str">
        <f t="shared" si="1146"/>
        <v>OutubroSEMANA 1Pimenta Japonesa (Kimuchi)</v>
      </c>
      <c r="F951" s="7">
        <f>SUMIF(NF!$A:$A,$E951,NF!$I:$I)</f>
        <v>0</v>
      </c>
      <c r="G951" s="6"/>
      <c r="H951" s="6"/>
      <c r="I951" s="6"/>
      <c r="J951" s="6"/>
      <c r="K951" s="6"/>
      <c r="L951" s="6"/>
      <c r="M951" s="6"/>
      <c r="N951" s="7">
        <f t="shared" si="1276"/>
        <v>0</v>
      </c>
      <c r="O951" s="11">
        <f t="shared" si="1148"/>
        <v>0</v>
      </c>
      <c r="P951" s="25"/>
      <c r="Q951" s="10" t="str">
        <f t="shared" si="1149"/>
        <v>OutubroSEMANA 2Pimenta Japonesa (Kimuchi)</v>
      </c>
      <c r="R951" s="7">
        <f>SUMIF(NF!$A:$A,$Q951,NF!$I:$I)</f>
        <v>0</v>
      </c>
      <c r="S951" s="6"/>
      <c r="T951" s="6"/>
      <c r="U951" s="6"/>
      <c r="V951" s="6"/>
      <c r="W951" s="6"/>
      <c r="X951" s="6"/>
      <c r="Y951" s="6"/>
      <c r="Z951" s="7">
        <f t="shared" si="1277"/>
        <v>0</v>
      </c>
      <c r="AA951" s="11">
        <f t="shared" si="1151"/>
        <v>0</v>
      </c>
      <c r="AB951" s="25"/>
      <c r="AC951" s="10" t="str">
        <f t="shared" si="1152"/>
        <v>OutubroSEMANA 3Pimenta Japonesa (Kimuchi)</v>
      </c>
      <c r="AD951" s="7">
        <f>SUMIF(NF!$A:$A,$AC951,NF!$I:$I)</f>
        <v>0</v>
      </c>
      <c r="AE951" s="6"/>
      <c r="AF951" s="6"/>
      <c r="AG951" s="6"/>
      <c r="AH951" s="6"/>
      <c r="AI951" s="6"/>
      <c r="AJ951" s="6"/>
      <c r="AK951" s="6"/>
      <c r="AL951" s="7">
        <f t="shared" si="1278"/>
        <v>0</v>
      </c>
      <c r="AM951" s="11">
        <f t="shared" si="1154"/>
        <v>0</v>
      </c>
      <c r="AN951" s="25"/>
      <c r="AO951" s="10" t="str">
        <f t="shared" si="1155"/>
        <v>OutubroSEMANA 4Pimenta Japonesa (Kimuchi)</v>
      </c>
      <c r="AP951" s="7">
        <f>SUMIF(NF!$A:$A,$AO951,NF!$I:$I)</f>
        <v>1</v>
      </c>
      <c r="AQ951" s="6"/>
      <c r="AR951" s="6"/>
      <c r="AS951" s="6"/>
      <c r="AT951" s="6"/>
      <c r="AU951" s="6">
        <v>1</v>
      </c>
      <c r="AV951" s="6"/>
      <c r="AW951" s="6"/>
      <c r="AX951" s="7">
        <f t="shared" si="1279"/>
        <v>1</v>
      </c>
      <c r="AY951" s="11">
        <f t="shared" si="1157"/>
        <v>0</v>
      </c>
      <c r="AZ951" s="25"/>
      <c r="BA951" s="10" t="str">
        <f t="shared" si="1158"/>
        <v>OutubroSEMANA 5Pimenta Japonesa (Kimuchi)</v>
      </c>
      <c r="BB951" s="7">
        <f>SUMIF(NF!$A:$A,$BA951,NF!$I:$I)</f>
        <v>0</v>
      </c>
      <c r="BC951" s="6"/>
      <c r="BD951" s="6"/>
      <c r="BE951" s="6"/>
      <c r="BF951" s="74"/>
      <c r="BG951" s="74"/>
      <c r="BH951" s="74"/>
      <c r="BI951" s="74"/>
      <c r="BJ951" s="74"/>
      <c r="BK951" s="7">
        <f t="shared" si="1280"/>
        <v>0</v>
      </c>
      <c r="BL951" s="8">
        <f t="shared" si="1160"/>
        <v>0</v>
      </c>
      <c r="BM951" s="51" t="str">
        <f>IFERROR(VLOOKUP(A951,NF!$M:$O,3,0),"")</f>
        <v>Sushi</v>
      </c>
      <c r="BN951" s="7">
        <f t="shared" si="1161"/>
        <v>1</v>
      </c>
      <c r="BO951" s="8">
        <f t="array" ref="BO951">IFERROR(LARGE(IF(NF!$G$2:$G$3137='Mês atual'!A951,NF!$J$2:$J$3137),1),0)*BN951</f>
        <v>30</v>
      </c>
      <c r="BP951" s="50"/>
      <c r="BR951" s="147">
        <f t="array" ref="BR951">IFERROR(LARGE(IF(NF!$G$2:$G$3137='Mês atual'!A951,NF!$J$2:$J$3137),1),0)</f>
        <v>30</v>
      </c>
      <c r="BS951" s="143" t="str">
        <f>VLOOKUP(A951,NF!M:O,3,0)</f>
        <v>Sushi</v>
      </c>
    </row>
    <row r="952" spans="1:71" x14ac:dyDescent="0.25">
      <c r="A952" s="108" t="s">
        <v>663</v>
      </c>
      <c r="B952" s="12"/>
      <c r="C952" s="9"/>
      <c r="D952" s="25"/>
      <c r="E952" s="10" t="str">
        <f t="shared" si="1146"/>
        <v>OutubroSEMANA 1Pimenta Togarashi Sushi</v>
      </c>
      <c r="F952" s="7">
        <f>SUMIF(NF!$A:$A,$E952,NF!$I:$I)</f>
        <v>0</v>
      </c>
      <c r="G952" s="6"/>
      <c r="H952" s="6"/>
      <c r="I952" s="6"/>
      <c r="J952" s="6"/>
      <c r="K952" s="6"/>
      <c r="L952" s="6"/>
      <c r="M952" s="6"/>
      <c r="N952" s="7">
        <f t="shared" si="1276"/>
        <v>0</v>
      </c>
      <c r="O952" s="11">
        <f t="shared" si="1148"/>
        <v>0</v>
      </c>
      <c r="P952" s="25"/>
      <c r="Q952" s="10" t="str">
        <f t="shared" si="1149"/>
        <v>OutubroSEMANA 2Pimenta Togarashi Sushi</v>
      </c>
      <c r="R952" s="7">
        <f>SUMIF(NF!$A:$A,$Q952,NF!$I:$I)</f>
        <v>0</v>
      </c>
      <c r="S952" s="6"/>
      <c r="T952" s="6"/>
      <c r="U952" s="6"/>
      <c r="V952" s="6"/>
      <c r="W952" s="6"/>
      <c r="X952" s="6"/>
      <c r="Y952" s="6"/>
      <c r="Z952" s="7">
        <f t="shared" si="1277"/>
        <v>0</v>
      </c>
      <c r="AA952" s="11">
        <f t="shared" si="1151"/>
        <v>0</v>
      </c>
      <c r="AB952" s="25"/>
      <c r="AC952" s="10" t="str">
        <f t="shared" si="1152"/>
        <v>OutubroSEMANA 3Pimenta Togarashi Sushi</v>
      </c>
      <c r="AD952" s="7">
        <f>SUMIF(NF!$A:$A,$AC952,NF!$I:$I)</f>
        <v>0</v>
      </c>
      <c r="AE952" s="6"/>
      <c r="AF952" s="6"/>
      <c r="AG952" s="6"/>
      <c r="AH952" s="6"/>
      <c r="AI952" s="6"/>
      <c r="AJ952" s="6"/>
      <c r="AK952" s="6"/>
      <c r="AL952" s="7">
        <f t="shared" si="1278"/>
        <v>0</v>
      </c>
      <c r="AM952" s="11">
        <f t="shared" si="1154"/>
        <v>0</v>
      </c>
      <c r="AN952" s="25"/>
      <c r="AO952" s="10" t="str">
        <f t="shared" si="1155"/>
        <v>OutubroSEMANA 4Pimenta Togarashi Sushi</v>
      </c>
      <c r="AP952" s="7">
        <f>SUMIF(NF!$A:$A,$AO952,NF!$I:$I)</f>
        <v>0</v>
      </c>
      <c r="AQ952" s="6"/>
      <c r="AR952" s="6"/>
      <c r="AS952" s="6"/>
      <c r="AT952" s="6"/>
      <c r="AU952" s="6"/>
      <c r="AV952" s="6"/>
      <c r="AW952" s="6"/>
      <c r="AX952" s="7">
        <f t="shared" si="1279"/>
        <v>0</v>
      </c>
      <c r="AY952" s="11">
        <f t="shared" si="1157"/>
        <v>0</v>
      </c>
      <c r="AZ952" s="25"/>
      <c r="BA952" s="10" t="str">
        <f t="shared" si="1158"/>
        <v>OutubroSEMANA 5Pimenta Togarashi Sushi</v>
      </c>
      <c r="BB952" s="7">
        <f>SUMIF(NF!$A:$A,$BA952,NF!$I:$I)</f>
        <v>0</v>
      </c>
      <c r="BC952" s="6"/>
      <c r="BD952" s="6"/>
      <c r="BE952" s="6"/>
      <c r="BF952" s="74"/>
      <c r="BG952" s="74"/>
      <c r="BH952" s="74"/>
      <c r="BI952" s="74"/>
      <c r="BJ952" s="74"/>
      <c r="BK952" s="7">
        <f t="shared" si="1280"/>
        <v>0</v>
      </c>
      <c r="BL952" s="8">
        <f t="shared" si="1160"/>
        <v>0</v>
      </c>
      <c r="BM952" s="51" t="str">
        <f>IFERROR(VLOOKUP(A952,NF!$M:$O,3,0),"")</f>
        <v>Sushi</v>
      </c>
      <c r="BN952" s="7">
        <f t="shared" si="1161"/>
        <v>0</v>
      </c>
      <c r="BO952" s="8">
        <f t="array" ref="BO952">IFERROR(LARGE(IF(NF!$G$2:$G$3137='Mês atual'!A952,NF!$J$2:$J$3137),1),0)*BN952</f>
        <v>0</v>
      </c>
      <c r="BP952" s="50"/>
      <c r="BR952" s="147">
        <f t="array" ref="BR952">IFERROR(LARGE(IF(NF!$G$2:$G$3137='Mês atual'!A952,NF!$J$2:$J$3137),1),0)</f>
        <v>0</v>
      </c>
      <c r="BS952" s="143" t="str">
        <f>VLOOKUP(A952,NF!M:O,3,0)</f>
        <v>Sushi</v>
      </c>
    </row>
    <row r="953" spans="1:71" x14ac:dyDescent="0.25">
      <c r="A953" s="108" t="s">
        <v>727</v>
      </c>
      <c r="B953" s="12"/>
      <c r="C953" s="9"/>
      <c r="D953" s="25"/>
      <c r="E953" s="10" t="str">
        <f t="shared" si="1146"/>
        <v>OutubroSEMANA 1Sal Sushi</v>
      </c>
      <c r="F953" s="7">
        <f>SUMIF(NF!$A:$A,$E953,NF!$I:$I)</f>
        <v>1</v>
      </c>
      <c r="G953" s="6"/>
      <c r="H953" s="6"/>
      <c r="I953" s="6"/>
      <c r="J953" s="6"/>
      <c r="K953" s="6"/>
      <c r="L953" s="6"/>
      <c r="M953" s="6">
        <v>1</v>
      </c>
      <c r="N953" s="7">
        <f t="shared" si="1276"/>
        <v>1</v>
      </c>
      <c r="O953" s="11">
        <f t="shared" si="1148"/>
        <v>0</v>
      </c>
      <c r="P953" s="25"/>
      <c r="Q953" s="10" t="str">
        <f t="shared" si="1149"/>
        <v>OutubroSEMANA 2Sal Sushi</v>
      </c>
      <c r="R953" s="7">
        <f>SUMIF(NF!$A:$A,$Q953,NF!$I:$I)</f>
        <v>0</v>
      </c>
      <c r="S953" s="6"/>
      <c r="T953" s="6"/>
      <c r="U953" s="6"/>
      <c r="V953" s="6"/>
      <c r="W953" s="6"/>
      <c r="X953" s="6"/>
      <c r="Y953" s="6"/>
      <c r="Z953" s="7">
        <f t="shared" si="1277"/>
        <v>0</v>
      </c>
      <c r="AA953" s="11">
        <f t="shared" si="1151"/>
        <v>0</v>
      </c>
      <c r="AB953" s="25"/>
      <c r="AC953" s="10" t="str">
        <f t="shared" si="1152"/>
        <v>OutubroSEMANA 3Sal Sushi</v>
      </c>
      <c r="AD953" s="7">
        <f>SUMIF(NF!$A:$A,$AC953,NF!$I:$I)</f>
        <v>0</v>
      </c>
      <c r="AE953" s="6"/>
      <c r="AF953" s="6"/>
      <c r="AG953" s="6"/>
      <c r="AH953" s="6"/>
      <c r="AI953" s="6"/>
      <c r="AJ953" s="6"/>
      <c r="AK953" s="6"/>
      <c r="AL953" s="7">
        <f t="shared" si="1278"/>
        <v>0</v>
      </c>
      <c r="AM953" s="11">
        <f t="shared" si="1154"/>
        <v>0</v>
      </c>
      <c r="AN953" s="25"/>
      <c r="AO953" s="10" t="str">
        <f t="shared" si="1155"/>
        <v>OutubroSEMANA 4Sal Sushi</v>
      </c>
      <c r="AP953" s="7">
        <f>SUMIF(NF!$A:$A,$AO953,NF!$I:$I)</f>
        <v>0</v>
      </c>
      <c r="AQ953" s="6"/>
      <c r="AR953" s="6"/>
      <c r="AS953" s="6"/>
      <c r="AT953" s="6"/>
      <c r="AU953" s="6"/>
      <c r="AV953" s="6"/>
      <c r="AW953" s="6"/>
      <c r="AX953" s="7">
        <f t="shared" si="1279"/>
        <v>0</v>
      </c>
      <c r="AY953" s="11">
        <f t="shared" si="1157"/>
        <v>0</v>
      </c>
      <c r="AZ953" s="25"/>
      <c r="BA953" s="10" t="str">
        <f t="shared" si="1158"/>
        <v>OutubroSEMANA 5Sal Sushi</v>
      </c>
      <c r="BB953" s="7">
        <f>SUMIF(NF!$A:$A,$BA953,NF!$I:$I)</f>
        <v>0</v>
      </c>
      <c r="BC953" s="6"/>
      <c r="BD953" s="6"/>
      <c r="BE953" s="6"/>
      <c r="BF953" s="74"/>
      <c r="BG953" s="74"/>
      <c r="BH953" s="74"/>
      <c r="BI953" s="74"/>
      <c r="BJ953" s="74"/>
      <c r="BK953" s="7">
        <f t="shared" si="1280"/>
        <v>0</v>
      </c>
      <c r="BL953" s="8">
        <f t="shared" si="1160"/>
        <v>0</v>
      </c>
      <c r="BM953" s="51" t="str">
        <f>IFERROR(VLOOKUP(A953,NF!$M:$O,3,0),"")</f>
        <v>Sushi</v>
      </c>
      <c r="BN953" s="7">
        <f t="shared" si="1161"/>
        <v>1</v>
      </c>
      <c r="BO953" s="8">
        <f t="array" ref="BO953">IFERROR(LARGE(IF(NF!$G$2:$G$3137='Mês atual'!A953,NF!$J$2:$J$3137),1),0)*BN953</f>
        <v>0.8</v>
      </c>
      <c r="BP953" s="50"/>
      <c r="BR953" s="147">
        <f t="array" ref="BR953">IFERROR(LARGE(IF(NF!$G$2:$G$3137='Mês atual'!A953,NF!$J$2:$J$3137),1),0)</f>
        <v>0.8</v>
      </c>
      <c r="BS953" s="143" t="str">
        <f>VLOOKUP(A953,NF!M:O,3,0)</f>
        <v>Sushi</v>
      </c>
    </row>
    <row r="954" spans="1:71" x14ac:dyDescent="0.25">
      <c r="A954" s="108" t="s">
        <v>731</v>
      </c>
      <c r="B954" s="12"/>
      <c r="C954" s="9"/>
      <c r="D954" s="25"/>
      <c r="E954" s="10" t="str">
        <f t="shared" si="1146"/>
        <v>OutubroSEMANA 1Salsa Crespa Sushi</v>
      </c>
      <c r="F954" s="7">
        <f>SUMIF(NF!$A:$A,$E954,NF!$I:$I)</f>
        <v>0</v>
      </c>
      <c r="G954" s="6"/>
      <c r="H954" s="6"/>
      <c r="I954" s="6"/>
      <c r="J954" s="6"/>
      <c r="K954" s="6"/>
      <c r="L954" s="6"/>
      <c r="M954" s="6"/>
      <c r="N954" s="7">
        <f t="shared" si="1276"/>
        <v>0</v>
      </c>
      <c r="O954" s="11">
        <f t="shared" si="1148"/>
        <v>0</v>
      </c>
      <c r="P954" s="25"/>
      <c r="Q954" s="10" t="str">
        <f t="shared" si="1149"/>
        <v>OutubroSEMANA 2Salsa Crespa Sushi</v>
      </c>
      <c r="R954" s="7">
        <f>SUMIF(NF!$A:$A,$Q954,NF!$I:$I)</f>
        <v>0.1</v>
      </c>
      <c r="S954" s="6"/>
      <c r="T954" s="6"/>
      <c r="U954" s="6"/>
      <c r="V954" s="6"/>
      <c r="W954" s="6"/>
      <c r="X954" s="6"/>
      <c r="Y954" s="6">
        <v>0.1</v>
      </c>
      <c r="Z954" s="7">
        <f t="shared" si="1277"/>
        <v>0.1</v>
      </c>
      <c r="AA954" s="11">
        <f t="shared" si="1151"/>
        <v>0</v>
      </c>
      <c r="AB954" s="25"/>
      <c r="AC954" s="10" t="str">
        <f t="shared" si="1152"/>
        <v>OutubroSEMANA 3Salsa Crespa Sushi</v>
      </c>
      <c r="AD954" s="7">
        <f>SUMIF(NF!$A:$A,$AC954,NF!$I:$I)</f>
        <v>0.30000000000000004</v>
      </c>
      <c r="AE954" s="6"/>
      <c r="AF954" s="6">
        <v>0.1</v>
      </c>
      <c r="AG954" s="6"/>
      <c r="AH954" s="6"/>
      <c r="AI954" s="6"/>
      <c r="AJ954" s="6"/>
      <c r="AK954" s="6"/>
      <c r="AL954" s="7">
        <f t="shared" si="1278"/>
        <v>0.1</v>
      </c>
      <c r="AM954" s="11">
        <f t="shared" si="1154"/>
        <v>0.20000000000000004</v>
      </c>
      <c r="AN954" s="25"/>
      <c r="AO954" s="10" t="str">
        <f t="shared" si="1155"/>
        <v>OutubroSEMANA 4Salsa Crespa Sushi</v>
      </c>
      <c r="AP954" s="7">
        <f>SUMIF(NF!$A:$A,$AO954,NF!$I:$I)</f>
        <v>0</v>
      </c>
      <c r="AQ954" s="6">
        <v>0.2</v>
      </c>
      <c r="AR954" s="6"/>
      <c r="AS954" s="6"/>
      <c r="AT954" s="6"/>
      <c r="AU954" s="6"/>
      <c r="AV954" s="6"/>
      <c r="AW954" s="6"/>
      <c r="AX954" s="7">
        <f t="shared" si="1279"/>
        <v>0.2</v>
      </c>
      <c r="AY954" s="11">
        <f t="shared" si="1157"/>
        <v>0</v>
      </c>
      <c r="AZ954" s="25"/>
      <c r="BA954" s="10" t="str">
        <f t="shared" si="1158"/>
        <v>OutubroSEMANA 5Salsa Crespa Sushi</v>
      </c>
      <c r="BB954" s="7">
        <f>SUMIF(NF!$A:$A,$BA954,NF!$I:$I)</f>
        <v>0.1</v>
      </c>
      <c r="BC954" s="6"/>
      <c r="BD954" s="6"/>
      <c r="BE954" s="6">
        <v>0.1</v>
      </c>
      <c r="BF954" s="74"/>
      <c r="BG954" s="74"/>
      <c r="BH954" s="74"/>
      <c r="BI954" s="74"/>
      <c r="BJ954" s="74"/>
      <c r="BK954" s="7">
        <f t="shared" si="1280"/>
        <v>0.1</v>
      </c>
      <c r="BL954" s="8">
        <f t="shared" si="1160"/>
        <v>0</v>
      </c>
      <c r="BM954" s="51" t="str">
        <f>IFERROR(VLOOKUP(A954,NF!$M:$O,3,0),"")</f>
        <v>Sushi</v>
      </c>
      <c r="BN954" s="7">
        <f t="shared" si="1161"/>
        <v>0.5</v>
      </c>
      <c r="BO954" s="8">
        <f t="array" ref="BO954">IFERROR(LARGE(IF(NF!$G$2:$G$3137='Mês atual'!A954,NF!$J$2:$J$3137),1),0)*BN954</f>
        <v>8.75</v>
      </c>
      <c r="BP954" s="50"/>
      <c r="BR954" s="147">
        <f t="array" ref="BR954">IFERROR(LARGE(IF(NF!$G$2:$G$3137='Mês atual'!A954,NF!$J$2:$J$3137),1),0)</f>
        <v>17.5</v>
      </c>
      <c r="BS954" s="143" t="str">
        <f>VLOOKUP(A954,NF!M:O,3,0)</f>
        <v>Sushi</v>
      </c>
    </row>
    <row r="955" spans="1:71" x14ac:dyDescent="0.25">
      <c r="A955" s="108" t="s">
        <v>736</v>
      </c>
      <c r="B955" s="12"/>
      <c r="C955" s="9"/>
      <c r="D955" s="25"/>
      <c r="E955" s="10" t="str">
        <f t="shared" si="1146"/>
        <v>OutubroSEMANA 1Saque Azuma Mirim 500 ml Sushi</v>
      </c>
      <c r="F955" s="7">
        <f>SUMIF(NF!$A:$A,$E955,NF!$I:$I)</f>
        <v>0</v>
      </c>
      <c r="G955" s="6"/>
      <c r="H955" s="6"/>
      <c r="I955" s="6"/>
      <c r="J955" s="6"/>
      <c r="K955" s="6"/>
      <c r="L955" s="6"/>
      <c r="M955" s="6"/>
      <c r="N955" s="7">
        <f t="shared" si="1276"/>
        <v>0</v>
      </c>
      <c r="O955" s="11">
        <f t="shared" si="1148"/>
        <v>0</v>
      </c>
      <c r="P955" s="25"/>
      <c r="Q955" s="10" t="str">
        <f t="shared" si="1149"/>
        <v>OutubroSEMANA 2Saque Azuma Mirim 500 ml Sushi</v>
      </c>
      <c r="R955" s="7">
        <f>SUMIF(NF!$A:$A,$Q955,NF!$I:$I)</f>
        <v>0</v>
      </c>
      <c r="S955" s="6"/>
      <c r="T955" s="6"/>
      <c r="U955" s="6"/>
      <c r="V955" s="6"/>
      <c r="W955" s="6"/>
      <c r="X955" s="6"/>
      <c r="Y955" s="6"/>
      <c r="Z955" s="7">
        <f t="shared" si="1277"/>
        <v>0</v>
      </c>
      <c r="AA955" s="11">
        <f t="shared" si="1151"/>
        <v>0</v>
      </c>
      <c r="AB955" s="25"/>
      <c r="AC955" s="10" t="str">
        <f t="shared" si="1152"/>
        <v>OutubroSEMANA 3Saque Azuma Mirim 500 ml Sushi</v>
      </c>
      <c r="AD955" s="7">
        <f>SUMIF(NF!$A:$A,$AC955,NF!$I:$I)</f>
        <v>0</v>
      </c>
      <c r="AE955" s="6"/>
      <c r="AF955" s="6"/>
      <c r="AG955" s="6"/>
      <c r="AH955" s="6"/>
      <c r="AI955" s="6"/>
      <c r="AJ955" s="6"/>
      <c r="AK955" s="6"/>
      <c r="AL955" s="7">
        <f t="shared" si="1278"/>
        <v>0</v>
      </c>
      <c r="AM955" s="11">
        <f t="shared" si="1154"/>
        <v>0</v>
      </c>
      <c r="AN955" s="25"/>
      <c r="AO955" s="10" t="str">
        <f t="shared" si="1155"/>
        <v>OutubroSEMANA 4Saque Azuma Mirim 500 ml Sushi</v>
      </c>
      <c r="AP955" s="7">
        <f>SUMIF(NF!$A:$A,$AO955,NF!$I:$I)</f>
        <v>0</v>
      </c>
      <c r="AQ955" s="6"/>
      <c r="AR955" s="6"/>
      <c r="AS955" s="6"/>
      <c r="AT955" s="6"/>
      <c r="AU955" s="6"/>
      <c r="AV955" s="6"/>
      <c r="AW955" s="6"/>
      <c r="AX955" s="7">
        <f t="shared" si="1279"/>
        <v>0</v>
      </c>
      <c r="AY955" s="11">
        <f t="shared" si="1157"/>
        <v>0</v>
      </c>
      <c r="AZ955" s="25"/>
      <c r="BA955" s="10" t="str">
        <f t="shared" si="1158"/>
        <v>OutubroSEMANA 5Saque Azuma Mirim 500 ml Sushi</v>
      </c>
      <c r="BB955" s="7">
        <f>SUMIF(NF!$A:$A,$BA955,NF!$I:$I)</f>
        <v>0</v>
      </c>
      <c r="BC955" s="6"/>
      <c r="BD955" s="6"/>
      <c r="BE955" s="6"/>
      <c r="BF955" s="74"/>
      <c r="BG955" s="74"/>
      <c r="BH955" s="74"/>
      <c r="BI955" s="74"/>
      <c r="BJ955" s="74"/>
      <c r="BK955" s="7">
        <f t="shared" si="1280"/>
        <v>0</v>
      </c>
      <c r="BL955" s="8">
        <f t="shared" si="1160"/>
        <v>0</v>
      </c>
      <c r="BM955" s="51" t="str">
        <f>IFERROR(VLOOKUP(A955,NF!$M:$O,3,0),"")</f>
        <v>Sushi</v>
      </c>
      <c r="BN955" s="7">
        <f t="shared" si="1161"/>
        <v>0</v>
      </c>
      <c r="BO955" s="8">
        <f t="array" ref="BO955">IFERROR(LARGE(IF(NF!$G$2:$G$3137='Mês atual'!A955,NF!$J$2:$J$3137),1),0)*BN955</f>
        <v>0</v>
      </c>
      <c r="BP955" s="50"/>
      <c r="BR955" s="147">
        <f t="array" ref="BR955">IFERROR(LARGE(IF(NF!$G$2:$G$3137='Mês atual'!A955,NF!$J$2:$J$3137),1),0)</f>
        <v>0</v>
      </c>
      <c r="BS955" s="143" t="str">
        <f>VLOOKUP(A955,NF!M:O,3,0)</f>
        <v>Sushi</v>
      </c>
    </row>
    <row r="956" spans="1:71" x14ac:dyDescent="0.25">
      <c r="A956" s="108" t="s">
        <v>738</v>
      </c>
      <c r="B956" s="12"/>
      <c r="C956" s="9">
        <v>1</v>
      </c>
      <c r="D956" s="25"/>
      <c r="E956" s="10" t="str">
        <f t="shared" si="1146"/>
        <v>OutubroSEMANA 1Saque Azuma Mirim Bb 5Lt Sushi</v>
      </c>
      <c r="F956" s="7">
        <f>SUMIF(NF!$A:$A,$E956,NF!$I:$I)</f>
        <v>0</v>
      </c>
      <c r="G956" s="6"/>
      <c r="H956" s="6"/>
      <c r="I956" s="6"/>
      <c r="J956" s="6"/>
      <c r="K956" s="6">
        <v>1</v>
      </c>
      <c r="L956" s="6"/>
      <c r="M956" s="6"/>
      <c r="N956" s="7">
        <f t="shared" ref="N956:N957" si="1281">SUM(G956:M956)</f>
        <v>1</v>
      </c>
      <c r="O956" s="11">
        <f t="shared" si="1148"/>
        <v>0</v>
      </c>
      <c r="P956" s="25"/>
      <c r="Q956" s="10" t="str">
        <f t="shared" si="1149"/>
        <v>OutubroSEMANA 2Saque Azuma Mirim Bb 5Lt Sushi</v>
      </c>
      <c r="R956" s="7">
        <f>SUMIF(NF!$A:$A,$Q956,NF!$I:$I)</f>
        <v>0</v>
      </c>
      <c r="S956" s="6"/>
      <c r="T956" s="6"/>
      <c r="U956" s="6"/>
      <c r="V956" s="6"/>
      <c r="W956" s="6"/>
      <c r="X956" s="6"/>
      <c r="Y956" s="6"/>
      <c r="Z956" s="7">
        <f t="shared" ref="Z956:Z957" si="1282">SUM(S956:Y956)</f>
        <v>0</v>
      </c>
      <c r="AA956" s="11">
        <f t="shared" si="1151"/>
        <v>0</v>
      </c>
      <c r="AB956" s="25"/>
      <c r="AC956" s="10" t="str">
        <f t="shared" si="1152"/>
        <v>OutubroSEMANA 3Saque Azuma Mirim Bb 5Lt Sushi</v>
      </c>
      <c r="AD956" s="7">
        <f>SUMIF(NF!$A:$A,$AC956,NF!$I:$I)</f>
        <v>0</v>
      </c>
      <c r="AE956" s="6"/>
      <c r="AF956" s="6"/>
      <c r="AG956" s="6"/>
      <c r="AH956" s="6"/>
      <c r="AI956" s="6"/>
      <c r="AJ956" s="6"/>
      <c r="AK956" s="6"/>
      <c r="AL956" s="7">
        <f t="shared" ref="AL956:AL957" si="1283">SUM(AE956:AK956)</f>
        <v>0</v>
      </c>
      <c r="AM956" s="11">
        <f t="shared" si="1154"/>
        <v>0</v>
      </c>
      <c r="AN956" s="25"/>
      <c r="AO956" s="10" t="str">
        <f t="shared" si="1155"/>
        <v>OutubroSEMANA 4Saque Azuma Mirim Bb 5Lt Sushi</v>
      </c>
      <c r="AP956" s="7">
        <f>SUMIF(NF!$A:$A,$AO956,NF!$I:$I)</f>
        <v>0</v>
      </c>
      <c r="AQ956" s="6"/>
      <c r="AR956" s="6"/>
      <c r="AS956" s="6"/>
      <c r="AT956" s="6"/>
      <c r="AU956" s="6"/>
      <c r="AV956" s="6"/>
      <c r="AW956" s="6"/>
      <c r="AX956" s="7">
        <f t="shared" ref="AX956:AX957" si="1284">SUM(AQ956:AW956)</f>
        <v>0</v>
      </c>
      <c r="AY956" s="11">
        <f t="shared" si="1157"/>
        <v>0</v>
      </c>
      <c r="AZ956" s="25"/>
      <c r="BA956" s="10" t="str">
        <f t="shared" si="1158"/>
        <v>OutubroSEMANA 5Saque Azuma Mirim Bb 5Lt Sushi</v>
      </c>
      <c r="BB956" s="7">
        <f>SUMIF(NF!$A:$A,$BA956,NF!$I:$I)</f>
        <v>0</v>
      </c>
      <c r="BC956" s="6"/>
      <c r="BD956" s="6"/>
      <c r="BE956" s="6"/>
      <c r="BF956" s="74"/>
      <c r="BG956" s="74"/>
      <c r="BH956" s="74"/>
      <c r="BI956" s="74"/>
      <c r="BJ956" s="74"/>
      <c r="BK956" s="7">
        <f t="shared" ref="BK956:BK957" si="1285">SUM(BC956:BJ956)</f>
        <v>0</v>
      </c>
      <c r="BL956" s="8">
        <f t="shared" si="1160"/>
        <v>0</v>
      </c>
      <c r="BM956" s="51" t="str">
        <f>IFERROR(VLOOKUP(A956,NF!$M:$O,3,0),"")</f>
        <v>Sushi</v>
      </c>
      <c r="BN956" s="7">
        <f t="shared" si="1161"/>
        <v>1</v>
      </c>
      <c r="BO956" s="8">
        <f t="array" ref="BO956">IFERROR(LARGE(IF(NF!$G$2:$G$3137='Mês atual'!A956,NF!$J$2:$J$3137),1),0)*BN956</f>
        <v>0</v>
      </c>
      <c r="BP956" s="50"/>
      <c r="BR956" s="147">
        <f t="array" ref="BR956">IFERROR(LARGE(IF(NF!$G$2:$G$3137='Mês atual'!A956,NF!$J$2:$J$3137),1),0)</f>
        <v>0</v>
      </c>
      <c r="BS956" s="143" t="str">
        <f>VLOOKUP(A956,NF!M:O,3,0)</f>
        <v>Sushi</v>
      </c>
    </row>
    <row r="957" spans="1:71" x14ac:dyDescent="0.25">
      <c r="A957" s="108" t="s">
        <v>741</v>
      </c>
      <c r="B957" s="12"/>
      <c r="C957" s="9">
        <v>0.2</v>
      </c>
      <c r="D957" s="25"/>
      <c r="E957" s="10" t="str">
        <f t="shared" si="1146"/>
        <v>OutubroSEMANA 1Shitake Sushi</v>
      </c>
      <c r="F957" s="7">
        <f>SUMIF(NF!$A:$A,$E957,NF!$I:$I)</f>
        <v>0</v>
      </c>
      <c r="G957" s="6"/>
      <c r="H957" s="6"/>
      <c r="I957" s="6"/>
      <c r="J957" s="6"/>
      <c r="K957" s="6"/>
      <c r="L957" s="6"/>
      <c r="M957" s="6"/>
      <c r="N957" s="7">
        <f t="shared" si="1281"/>
        <v>0</v>
      </c>
      <c r="O957" s="11">
        <f t="shared" si="1148"/>
        <v>0.2</v>
      </c>
      <c r="P957" s="25"/>
      <c r="Q957" s="10" t="str">
        <f t="shared" si="1149"/>
        <v>OutubroSEMANA 2Shitake Sushi</v>
      </c>
      <c r="R957" s="7">
        <f>SUMIF(NF!$A:$A,$Q957,NF!$I:$I)</f>
        <v>0</v>
      </c>
      <c r="S957" s="6"/>
      <c r="T957" s="6"/>
      <c r="U957" s="6"/>
      <c r="V957" s="6"/>
      <c r="W957" s="6"/>
      <c r="X957" s="6">
        <v>0.1</v>
      </c>
      <c r="Y957" s="6"/>
      <c r="Z957" s="7">
        <f t="shared" si="1282"/>
        <v>0.1</v>
      </c>
      <c r="AA957" s="11">
        <f t="shared" si="1151"/>
        <v>0.1</v>
      </c>
      <c r="AB957" s="25"/>
      <c r="AC957" s="10" t="str">
        <f t="shared" si="1152"/>
        <v>OutubroSEMANA 3Shitake Sushi</v>
      </c>
      <c r="AD957" s="7">
        <f>SUMIF(NF!$A:$A,$AC957,NF!$I:$I)</f>
        <v>0</v>
      </c>
      <c r="AE957" s="6"/>
      <c r="AF957" s="6"/>
      <c r="AG957" s="6"/>
      <c r="AH957" s="6"/>
      <c r="AI957" s="6"/>
      <c r="AJ957" s="6"/>
      <c r="AK957" s="6"/>
      <c r="AL957" s="7">
        <f t="shared" si="1283"/>
        <v>0</v>
      </c>
      <c r="AM957" s="11">
        <f t="shared" si="1154"/>
        <v>0.1</v>
      </c>
      <c r="AN957" s="25"/>
      <c r="AO957" s="10" t="str">
        <f t="shared" si="1155"/>
        <v>OutubroSEMANA 4Shitake Sushi</v>
      </c>
      <c r="AP957" s="7">
        <f>SUMIF(NF!$A:$A,$AO957,NF!$I:$I)</f>
        <v>0.5</v>
      </c>
      <c r="AQ957" s="6"/>
      <c r="AR957" s="6"/>
      <c r="AS957" s="6"/>
      <c r="AT957" s="6"/>
      <c r="AU957" s="6">
        <v>0.1</v>
      </c>
      <c r="AV957" s="6"/>
      <c r="AW957" s="6"/>
      <c r="AX957" s="7">
        <f t="shared" si="1284"/>
        <v>0.1</v>
      </c>
      <c r="AY957" s="11">
        <f t="shared" si="1157"/>
        <v>0.5</v>
      </c>
      <c r="AZ957" s="25"/>
      <c r="BA957" s="10" t="str">
        <f t="shared" si="1158"/>
        <v>OutubroSEMANA 5Shitake Sushi</v>
      </c>
      <c r="BB957" s="7">
        <f>SUMIF(NF!$A:$A,$BA957,NF!$I:$I)</f>
        <v>0</v>
      </c>
      <c r="BC957" s="6"/>
      <c r="BD957" s="6"/>
      <c r="BE957" s="6"/>
      <c r="BF957" s="74"/>
      <c r="BG957" s="74"/>
      <c r="BH957" s="74"/>
      <c r="BI957" s="74"/>
      <c r="BJ957" s="74"/>
      <c r="BK957" s="7">
        <f t="shared" si="1285"/>
        <v>0</v>
      </c>
      <c r="BL957" s="8">
        <f t="shared" si="1160"/>
        <v>0.5</v>
      </c>
      <c r="BM957" s="51" t="str">
        <f>IFERROR(VLOOKUP(A957,NF!$M:$O,3,0),"")</f>
        <v>Sushi</v>
      </c>
      <c r="BN957" s="7">
        <f t="shared" si="1161"/>
        <v>0.2</v>
      </c>
      <c r="BO957" s="8">
        <f t="array" ref="BO957">IFERROR(LARGE(IF(NF!$G$2:$G$3137='Mês atual'!A957,NF!$J$2:$J$3137),1),0)*BN957</f>
        <v>28</v>
      </c>
      <c r="BP957" s="50"/>
      <c r="BR957" s="147">
        <f t="array" ref="BR957">IFERROR(LARGE(IF(NF!$G$2:$G$3137='Mês atual'!A957,NF!$J$2:$J$3137),1),0)</f>
        <v>140</v>
      </c>
      <c r="BS957" s="143" t="str">
        <f>VLOOKUP(A957,NF!M:O,3,0)</f>
        <v>Sushi</v>
      </c>
    </row>
    <row r="958" spans="1:71" x14ac:dyDescent="0.25">
      <c r="A958" s="108" t="s">
        <v>743</v>
      </c>
      <c r="B958" s="12"/>
      <c r="C958" s="9"/>
      <c r="D958" s="25"/>
      <c r="E958" s="10" t="str">
        <f t="shared" si="1146"/>
        <v>OutubroSEMANA 1Shoyu Light Sushi</v>
      </c>
      <c r="F958" s="7">
        <f>SUMIF(NF!$A:$A,$E958,NF!$I:$I)</f>
        <v>0</v>
      </c>
      <c r="G958" s="6"/>
      <c r="H958" s="6"/>
      <c r="I958" s="6"/>
      <c r="J958" s="6"/>
      <c r="K958" s="6"/>
      <c r="L958" s="6"/>
      <c r="M958" s="6"/>
      <c r="N958" s="7">
        <f t="shared" ref="N958:N959" si="1286">SUM(G958:M958)</f>
        <v>0</v>
      </c>
      <c r="O958" s="11">
        <f t="shared" si="1148"/>
        <v>0</v>
      </c>
      <c r="P958" s="25"/>
      <c r="Q958" s="10" t="str">
        <f t="shared" si="1149"/>
        <v>OutubroSEMANA 2Shoyu Light Sushi</v>
      </c>
      <c r="R958" s="7">
        <f>SUMIF(NF!$A:$A,$Q958,NF!$I:$I)</f>
        <v>0</v>
      </c>
      <c r="S958" s="6"/>
      <c r="T958" s="6"/>
      <c r="U958" s="6"/>
      <c r="V958" s="6"/>
      <c r="W958" s="6"/>
      <c r="X958" s="6"/>
      <c r="Y958" s="6"/>
      <c r="Z958" s="7">
        <f t="shared" ref="Z958:Z959" si="1287">SUM(S958:Y958)</f>
        <v>0</v>
      </c>
      <c r="AA958" s="11">
        <f t="shared" si="1151"/>
        <v>0</v>
      </c>
      <c r="AB958" s="25"/>
      <c r="AC958" s="10" t="str">
        <f t="shared" si="1152"/>
        <v>OutubroSEMANA 3Shoyu Light Sushi</v>
      </c>
      <c r="AD958" s="7">
        <f>SUMIF(NF!$A:$A,$AC958,NF!$I:$I)</f>
        <v>0</v>
      </c>
      <c r="AE958" s="6"/>
      <c r="AF958" s="6"/>
      <c r="AG958" s="6"/>
      <c r="AH958" s="6"/>
      <c r="AI958" s="6"/>
      <c r="AJ958" s="6"/>
      <c r="AK958" s="6"/>
      <c r="AL958" s="7">
        <f t="shared" ref="AL958:AL959" si="1288">SUM(AE958:AK958)</f>
        <v>0</v>
      </c>
      <c r="AM958" s="11">
        <f t="shared" si="1154"/>
        <v>0</v>
      </c>
      <c r="AN958" s="25"/>
      <c r="AO958" s="10" t="str">
        <f t="shared" si="1155"/>
        <v>OutubroSEMANA 4Shoyu Light Sushi</v>
      </c>
      <c r="AP958" s="7">
        <f>SUMIF(NF!$A:$A,$AO958,NF!$I:$I)</f>
        <v>0</v>
      </c>
      <c r="AQ958" s="6"/>
      <c r="AR958" s="6"/>
      <c r="AS958" s="6"/>
      <c r="AT958" s="6"/>
      <c r="AU958" s="6"/>
      <c r="AV958" s="6"/>
      <c r="AW958" s="6"/>
      <c r="AX958" s="7">
        <f t="shared" ref="AX958:AX959" si="1289">SUM(AQ958:AW958)</f>
        <v>0</v>
      </c>
      <c r="AY958" s="11">
        <f t="shared" si="1157"/>
        <v>0</v>
      </c>
      <c r="AZ958" s="25"/>
      <c r="BA958" s="10" t="str">
        <f t="shared" si="1158"/>
        <v>OutubroSEMANA 5Shoyu Light Sushi</v>
      </c>
      <c r="BB958" s="7">
        <f>SUMIF(NF!$A:$A,$BA958,NF!$I:$I)</f>
        <v>0</v>
      </c>
      <c r="BC958" s="6"/>
      <c r="BD958" s="6"/>
      <c r="BE958" s="6"/>
      <c r="BF958" s="74"/>
      <c r="BG958" s="74"/>
      <c r="BH958" s="74"/>
      <c r="BI958" s="74"/>
      <c r="BJ958" s="74"/>
      <c r="BK958" s="7">
        <f t="shared" ref="BK958:BK959" si="1290">SUM(BC958:BJ958)</f>
        <v>0</v>
      </c>
      <c r="BL958" s="8">
        <f t="shared" si="1160"/>
        <v>0</v>
      </c>
      <c r="BM958" s="51" t="str">
        <f>IFERROR(VLOOKUP(A958,NF!$M:$O,3,0),"")</f>
        <v>Sushi</v>
      </c>
      <c r="BN958" s="7">
        <f t="shared" si="1161"/>
        <v>0</v>
      </c>
      <c r="BO958" s="8">
        <f t="array" ref="BO958">IFERROR(LARGE(IF(NF!$G$2:$G$3137='Mês atual'!A958,NF!$J$2:$J$3137),1),0)*BN958</f>
        <v>0</v>
      </c>
      <c r="BP958" s="50"/>
      <c r="BR958" s="147">
        <f t="array" ref="BR958">IFERROR(LARGE(IF(NF!$G$2:$G$3137='Mês atual'!A958,NF!$J$2:$J$3137),1),0)</f>
        <v>0</v>
      </c>
      <c r="BS958" s="143" t="str">
        <f>VLOOKUP(A958,NF!M:O,3,0)</f>
        <v>Sushi</v>
      </c>
    </row>
    <row r="959" spans="1:71" x14ac:dyDescent="0.25">
      <c r="A959" s="108" t="s">
        <v>886</v>
      </c>
      <c r="B959" s="12"/>
      <c r="C959" s="9"/>
      <c r="D959" s="25"/>
      <c r="E959" s="10" t="str">
        <f t="shared" si="1146"/>
        <v>OutubroSEMANA 1Shoyu Tradicional (Sushi) Bb 5 Lt</v>
      </c>
      <c r="F959" s="7">
        <f>SUMIF(NF!$A:$A,$E959,NF!$I:$I)</f>
        <v>1</v>
      </c>
      <c r="G959" s="6"/>
      <c r="H959" s="6"/>
      <c r="I959" s="6"/>
      <c r="J959" s="6"/>
      <c r="K959" s="6">
        <v>1</v>
      </c>
      <c r="L959" s="6"/>
      <c r="M959" s="6"/>
      <c r="N959" s="7">
        <f t="shared" si="1286"/>
        <v>1</v>
      </c>
      <c r="O959" s="11">
        <f t="shared" si="1148"/>
        <v>0</v>
      </c>
      <c r="P959" s="25"/>
      <c r="Q959" s="10" t="str">
        <f t="shared" si="1149"/>
        <v>OutubroSEMANA 2Shoyu Tradicional (Sushi) Bb 5 Lt</v>
      </c>
      <c r="R959" s="7">
        <f>SUMIF(NF!$A:$A,$Q959,NF!$I:$I)</f>
        <v>0</v>
      </c>
      <c r="S959" s="6"/>
      <c r="T959" s="6"/>
      <c r="U959" s="6"/>
      <c r="V959" s="6"/>
      <c r="W959" s="6"/>
      <c r="X959" s="6"/>
      <c r="Y959" s="6"/>
      <c r="Z959" s="7">
        <f t="shared" si="1287"/>
        <v>0</v>
      </c>
      <c r="AA959" s="11">
        <f t="shared" si="1151"/>
        <v>0</v>
      </c>
      <c r="AB959" s="25"/>
      <c r="AC959" s="10" t="str">
        <f t="shared" si="1152"/>
        <v>OutubroSEMANA 3Shoyu Tradicional (Sushi) Bb 5 Lt</v>
      </c>
      <c r="AD959" s="7">
        <f>SUMIF(NF!$A:$A,$AC959,NF!$I:$I)</f>
        <v>0</v>
      </c>
      <c r="AE959" s="6"/>
      <c r="AF959" s="6"/>
      <c r="AG959" s="6"/>
      <c r="AH959" s="6"/>
      <c r="AI959" s="6"/>
      <c r="AJ959" s="6"/>
      <c r="AK959" s="6"/>
      <c r="AL959" s="7">
        <f t="shared" si="1288"/>
        <v>0</v>
      </c>
      <c r="AM959" s="11">
        <f t="shared" si="1154"/>
        <v>0</v>
      </c>
      <c r="AN959" s="25"/>
      <c r="AO959" s="10" t="str">
        <f t="shared" si="1155"/>
        <v>OutubroSEMANA 4Shoyu Tradicional (Sushi) Bb 5 Lt</v>
      </c>
      <c r="AP959" s="7">
        <f>SUMIF(NF!$A:$A,$AO959,NF!$I:$I)</f>
        <v>1</v>
      </c>
      <c r="AQ959" s="6"/>
      <c r="AR959" s="6"/>
      <c r="AS959" s="6"/>
      <c r="AT959" s="6"/>
      <c r="AU959" s="6"/>
      <c r="AV959" s="6"/>
      <c r="AW959" s="6"/>
      <c r="AX959" s="7">
        <f t="shared" si="1289"/>
        <v>0</v>
      </c>
      <c r="AY959" s="11">
        <f t="shared" si="1157"/>
        <v>1</v>
      </c>
      <c r="AZ959" s="25"/>
      <c r="BA959" s="10" t="str">
        <f t="shared" si="1158"/>
        <v>OutubroSEMANA 5Shoyu Tradicional (Sushi) Bb 5 Lt</v>
      </c>
      <c r="BB959" s="7">
        <f>SUMIF(NF!$A:$A,$BA959,NF!$I:$I)</f>
        <v>0</v>
      </c>
      <c r="BC959" s="6"/>
      <c r="BD959" s="6">
        <v>1</v>
      </c>
      <c r="BE959" s="6"/>
      <c r="BF959" s="74"/>
      <c r="BG959" s="74"/>
      <c r="BH959" s="74"/>
      <c r="BI959" s="74"/>
      <c r="BJ959" s="74"/>
      <c r="BK959" s="7">
        <f t="shared" si="1290"/>
        <v>1</v>
      </c>
      <c r="BL959" s="8">
        <f t="shared" si="1160"/>
        <v>0</v>
      </c>
      <c r="BM959" s="51" t="str">
        <f>IFERROR(VLOOKUP(A959,NF!$M:$O,3,0),"")</f>
        <v>Sushi</v>
      </c>
      <c r="BN959" s="7">
        <f t="shared" si="1161"/>
        <v>2</v>
      </c>
      <c r="BO959" s="8">
        <f t="array" ref="BO959">IFERROR(LARGE(IF(NF!$G$2:$G$3137='Mês atual'!A959,NF!$J$2:$J$3137),1),0)*BN959</f>
        <v>98.44</v>
      </c>
      <c r="BP959" s="50"/>
      <c r="BR959" s="147">
        <f t="array" ref="BR959">IFERROR(LARGE(IF(NF!$G$2:$G$3137='Mês atual'!A959,NF!$J$2:$J$3137),1),0)</f>
        <v>49.22</v>
      </c>
      <c r="BS959" s="143" t="str">
        <f>VLOOKUP(A959,NF!M:O,3,0)</f>
        <v>Sushi</v>
      </c>
    </row>
    <row r="960" spans="1:71" x14ac:dyDescent="0.25">
      <c r="A960" s="108" t="s">
        <v>971</v>
      </c>
      <c r="B960" s="12"/>
      <c r="C960" s="9"/>
      <c r="D960" s="25"/>
      <c r="E960" s="10" t="str">
        <f t="shared" si="1146"/>
        <v>OutubroSEMANA 1Sweet Chilli Sauce 650 ml</v>
      </c>
      <c r="F960" s="7">
        <f>SUMIF(NF!$A:$A,$E960,NF!$I:$I)</f>
        <v>0</v>
      </c>
      <c r="G960" s="6"/>
      <c r="H960" s="6"/>
      <c r="I960" s="6"/>
      <c r="J960" s="6"/>
      <c r="K960" s="6"/>
      <c r="L960" s="6"/>
      <c r="M960" s="6"/>
      <c r="N960" s="7">
        <f t="shared" ref="N960" si="1291">SUM(G960:M960)</f>
        <v>0</v>
      </c>
      <c r="O960" s="11">
        <f t="shared" si="1148"/>
        <v>0</v>
      </c>
      <c r="P960" s="25"/>
      <c r="Q960" s="10" t="str">
        <f t="shared" si="1149"/>
        <v>OutubroSEMANA 2Sweet Chilli Sauce 650 ml</v>
      </c>
      <c r="R960" s="7">
        <f>SUMIF(NF!$A:$A,$Q960,NF!$I:$I)</f>
        <v>0</v>
      </c>
      <c r="S960" s="6"/>
      <c r="T960" s="6"/>
      <c r="U960" s="6"/>
      <c r="V960" s="6"/>
      <c r="W960" s="6"/>
      <c r="X960" s="6"/>
      <c r="Y960" s="6"/>
      <c r="Z960" s="7">
        <f t="shared" ref="Z960" si="1292">SUM(S960:Y960)</f>
        <v>0</v>
      </c>
      <c r="AA960" s="11">
        <f t="shared" si="1151"/>
        <v>0</v>
      </c>
      <c r="AB960" s="25"/>
      <c r="AC960" s="10" t="str">
        <f t="shared" si="1152"/>
        <v>OutubroSEMANA 3Sweet Chilli Sauce 650 ml</v>
      </c>
      <c r="AD960" s="7">
        <f>SUMIF(NF!$A:$A,$AC960,NF!$I:$I)</f>
        <v>0</v>
      </c>
      <c r="AE960" s="6"/>
      <c r="AF960" s="6"/>
      <c r="AG960" s="6"/>
      <c r="AH960" s="6"/>
      <c r="AI960" s="6"/>
      <c r="AJ960" s="6"/>
      <c r="AK960" s="6"/>
      <c r="AL960" s="7">
        <f t="shared" ref="AL960" si="1293">SUM(AE960:AK960)</f>
        <v>0</v>
      </c>
      <c r="AM960" s="11">
        <f t="shared" si="1154"/>
        <v>0</v>
      </c>
      <c r="AN960" s="25"/>
      <c r="AO960" s="10" t="str">
        <f t="shared" si="1155"/>
        <v>OutubroSEMANA 4Sweet Chilli Sauce 650 ml</v>
      </c>
      <c r="AP960" s="7">
        <f>SUMIF(NF!$A:$A,$AO960,NF!$I:$I)</f>
        <v>1</v>
      </c>
      <c r="AQ960" s="6"/>
      <c r="AR960" s="6"/>
      <c r="AS960" s="6"/>
      <c r="AT960" s="6"/>
      <c r="AU960" s="6">
        <v>1</v>
      </c>
      <c r="AV960" s="6"/>
      <c r="AW960" s="6"/>
      <c r="AX960" s="7">
        <f t="shared" ref="AX960" si="1294">SUM(AQ960:AW960)</f>
        <v>1</v>
      </c>
      <c r="AY960" s="11">
        <f t="shared" si="1157"/>
        <v>0</v>
      </c>
      <c r="AZ960" s="25"/>
      <c r="BA960" s="10" t="str">
        <f t="shared" si="1158"/>
        <v>OutubroSEMANA 5Sweet Chilli Sauce 650 ml</v>
      </c>
      <c r="BB960" s="7">
        <f>SUMIF(NF!$A:$A,$BA960,NF!$I:$I)</f>
        <v>0</v>
      </c>
      <c r="BC960" s="6"/>
      <c r="BD960" s="6"/>
      <c r="BE960" s="6"/>
      <c r="BF960" s="74"/>
      <c r="BG960" s="74"/>
      <c r="BH960" s="74"/>
      <c r="BI960" s="74"/>
      <c r="BJ960" s="74"/>
      <c r="BK960" s="7">
        <f t="shared" ref="BK960" si="1295">SUM(BC960:BJ960)</f>
        <v>0</v>
      </c>
      <c r="BL960" s="8">
        <f t="shared" si="1160"/>
        <v>0</v>
      </c>
      <c r="BM960" s="51" t="str">
        <f>IFERROR(VLOOKUP(A960,NF!$M:$O,3,0),"")</f>
        <v>Sushi</v>
      </c>
      <c r="BN960" s="7">
        <f t="shared" si="1161"/>
        <v>1</v>
      </c>
      <c r="BO960" s="8">
        <f t="array" ref="BO960">IFERROR(LARGE(IF(NF!$G$2:$G$3137='Mês atual'!A960,NF!$J$2:$J$3137),1),0)*BN960</f>
        <v>30</v>
      </c>
      <c r="BP960" s="50"/>
      <c r="BR960" s="147">
        <f t="array" ref="BR960">IFERROR(LARGE(IF(NF!$G$2:$G$3137='Mês atual'!A960,NF!$J$2:$J$3137),1),0)</f>
        <v>30</v>
      </c>
      <c r="BS960" s="143" t="str">
        <f>VLOOKUP(A960,NF!M:O,3,0)</f>
        <v>Sushi</v>
      </c>
    </row>
    <row r="961" spans="1:74" x14ac:dyDescent="0.25">
      <c r="A961" s="108" t="s">
        <v>917</v>
      </c>
      <c r="B961" s="12"/>
      <c r="C961" s="9"/>
      <c r="D961" s="25"/>
      <c r="E961" s="10" t="str">
        <f t="shared" si="1146"/>
        <v>OutubroSEMANA 1Tempero p/ Sushi Bb 5 Lt (Sushi)</v>
      </c>
      <c r="F961" s="7">
        <f>SUMIF(NF!$A:$A,$E961,NF!$I:$I)</f>
        <v>0</v>
      </c>
      <c r="G961" s="6"/>
      <c r="H961" s="6"/>
      <c r="I961" s="6"/>
      <c r="J961" s="6"/>
      <c r="K961" s="6"/>
      <c r="L961" s="6"/>
      <c r="M961" s="6"/>
      <c r="N961" s="7">
        <f t="shared" ref="N961:N965" si="1296">SUM(G961:M961)</f>
        <v>0</v>
      </c>
      <c r="O961" s="11">
        <f t="shared" si="1148"/>
        <v>0</v>
      </c>
      <c r="P961" s="25"/>
      <c r="Q961" s="10" t="str">
        <f t="shared" si="1149"/>
        <v>OutubroSEMANA 2Tempero p/ Sushi Bb 5 Lt (Sushi)</v>
      </c>
      <c r="R961" s="7">
        <f>SUMIF(NF!$A:$A,$Q961,NF!$I:$I)</f>
        <v>0</v>
      </c>
      <c r="S961" s="6"/>
      <c r="T961" s="6"/>
      <c r="U961" s="6"/>
      <c r="V961" s="6"/>
      <c r="W961" s="6"/>
      <c r="X961" s="6"/>
      <c r="Y961" s="6"/>
      <c r="Z961" s="7">
        <f t="shared" ref="Z961:Z965" si="1297">SUM(S961:Y961)</f>
        <v>0</v>
      </c>
      <c r="AA961" s="11">
        <f t="shared" si="1151"/>
        <v>0</v>
      </c>
      <c r="AB961" s="25"/>
      <c r="AC961" s="10" t="str">
        <f t="shared" si="1152"/>
        <v>OutubroSEMANA 3Tempero p/ Sushi Bb 5 Lt (Sushi)</v>
      </c>
      <c r="AD961" s="7">
        <f>SUMIF(NF!$A:$A,$AC961,NF!$I:$I)</f>
        <v>0</v>
      </c>
      <c r="AE961" s="6"/>
      <c r="AF961" s="6"/>
      <c r="AG961" s="6"/>
      <c r="AH961" s="6"/>
      <c r="AI961" s="6"/>
      <c r="AJ961" s="6"/>
      <c r="AK961" s="6"/>
      <c r="AL961" s="7">
        <f t="shared" ref="AL961:AL965" si="1298">SUM(AE961:AK961)</f>
        <v>0</v>
      </c>
      <c r="AM961" s="11">
        <f t="shared" si="1154"/>
        <v>0</v>
      </c>
      <c r="AN961" s="25"/>
      <c r="AO961" s="10" t="str">
        <f t="shared" si="1155"/>
        <v>OutubroSEMANA 4Tempero p/ Sushi Bb 5 Lt (Sushi)</v>
      </c>
      <c r="AP961" s="7">
        <f>SUMIF(NF!$A:$A,$AO961,NF!$I:$I)</f>
        <v>0</v>
      </c>
      <c r="AQ961" s="6"/>
      <c r="AR961" s="6"/>
      <c r="AS961" s="6"/>
      <c r="AT961" s="6"/>
      <c r="AU961" s="6"/>
      <c r="AV961" s="6"/>
      <c r="AW961" s="6"/>
      <c r="AX961" s="7">
        <f t="shared" ref="AX961:AX965" si="1299">SUM(AQ961:AW961)</f>
        <v>0</v>
      </c>
      <c r="AY961" s="11">
        <f t="shared" si="1157"/>
        <v>0</v>
      </c>
      <c r="AZ961" s="25"/>
      <c r="BA961" s="10" t="str">
        <f t="shared" si="1158"/>
        <v>OutubroSEMANA 5Tempero p/ Sushi Bb 5 Lt (Sushi)</v>
      </c>
      <c r="BB961" s="7">
        <f>SUMIF(NF!$A:$A,$BA961,NF!$I:$I)</f>
        <v>0</v>
      </c>
      <c r="BC961" s="6"/>
      <c r="BD961" s="6"/>
      <c r="BE961" s="6"/>
      <c r="BF961" s="74"/>
      <c r="BG961" s="74"/>
      <c r="BH961" s="74"/>
      <c r="BI961" s="74"/>
      <c r="BJ961" s="74"/>
      <c r="BK961" s="7">
        <f t="shared" ref="BK961:BK965" si="1300">SUM(BC961:BJ961)</f>
        <v>0</v>
      </c>
      <c r="BL961" s="8">
        <f t="shared" si="1160"/>
        <v>0</v>
      </c>
      <c r="BM961" s="51" t="str">
        <f>IFERROR(VLOOKUP(A961,NF!$M:$O,3,0),"")</f>
        <v>Sushi</v>
      </c>
      <c r="BN961" s="7">
        <f t="shared" si="1161"/>
        <v>0</v>
      </c>
      <c r="BO961" s="8">
        <f t="array" ref="BO961">IFERROR(LARGE(IF(NF!$G$2:$G$3137='Mês atual'!A961,NF!$J$2:$J$3137),1),0)*BN961</f>
        <v>0</v>
      </c>
      <c r="BP961" s="50"/>
      <c r="BR961" s="147">
        <f t="array" ref="BR961">IFERROR(LARGE(IF(NF!$G$2:$G$3137='Mês atual'!A961,NF!$J$2:$J$3137),1),0)</f>
        <v>0</v>
      </c>
      <c r="BS961" s="143" t="str">
        <f>VLOOKUP(A961,NF!M:O,3,0)</f>
        <v>Sushi</v>
      </c>
    </row>
    <row r="962" spans="1:74" x14ac:dyDescent="0.25">
      <c r="A962" s="108" t="s">
        <v>796</v>
      </c>
      <c r="B962" s="12"/>
      <c r="C962" s="9"/>
      <c r="D962" s="25"/>
      <c r="E962" s="10" t="str">
        <f t="shared" si="1146"/>
        <v>OutubroSEMANA 1Tomate Salada Sushi</v>
      </c>
      <c r="F962" s="7">
        <f>SUMIF(NF!$A:$A,$E962,NF!$I:$I)</f>
        <v>0</v>
      </c>
      <c r="G962" s="6"/>
      <c r="H962" s="6"/>
      <c r="I962" s="6"/>
      <c r="J962" s="6"/>
      <c r="K962" s="6"/>
      <c r="L962" s="6"/>
      <c r="M962" s="6"/>
      <c r="N962" s="7">
        <f t="shared" si="1296"/>
        <v>0</v>
      </c>
      <c r="O962" s="11">
        <f t="shared" si="1148"/>
        <v>0</v>
      </c>
      <c r="P962" s="25"/>
      <c r="Q962" s="10" t="str">
        <f t="shared" si="1149"/>
        <v>OutubroSEMANA 2Tomate Salada Sushi</v>
      </c>
      <c r="R962" s="7">
        <f>SUMIF(NF!$A:$A,$Q962,NF!$I:$I)</f>
        <v>0</v>
      </c>
      <c r="S962" s="6"/>
      <c r="T962" s="6"/>
      <c r="U962" s="6"/>
      <c r="V962" s="6"/>
      <c r="W962" s="6"/>
      <c r="X962" s="6"/>
      <c r="Y962" s="6"/>
      <c r="Z962" s="7">
        <f t="shared" si="1297"/>
        <v>0</v>
      </c>
      <c r="AA962" s="11">
        <f t="shared" si="1151"/>
        <v>0</v>
      </c>
      <c r="AB962" s="25"/>
      <c r="AC962" s="10" t="str">
        <f t="shared" si="1152"/>
        <v>OutubroSEMANA 3Tomate Salada Sushi</v>
      </c>
      <c r="AD962" s="7">
        <f>SUMIF(NF!$A:$A,$AC962,NF!$I:$I)</f>
        <v>0</v>
      </c>
      <c r="AE962" s="6"/>
      <c r="AF962" s="6"/>
      <c r="AG962" s="6"/>
      <c r="AH962" s="6"/>
      <c r="AI962" s="6"/>
      <c r="AJ962" s="6"/>
      <c r="AK962" s="6"/>
      <c r="AL962" s="7">
        <f t="shared" si="1298"/>
        <v>0</v>
      </c>
      <c r="AM962" s="11">
        <f t="shared" si="1154"/>
        <v>0</v>
      </c>
      <c r="AN962" s="25"/>
      <c r="AO962" s="10" t="str">
        <f t="shared" si="1155"/>
        <v>OutubroSEMANA 4Tomate Salada Sushi</v>
      </c>
      <c r="AP962" s="7">
        <f>SUMIF(NF!$A:$A,$AO962,NF!$I:$I)</f>
        <v>0</v>
      </c>
      <c r="AQ962" s="6"/>
      <c r="AR962" s="6"/>
      <c r="AS962" s="6"/>
      <c r="AT962" s="6"/>
      <c r="AU962" s="6"/>
      <c r="AV962" s="6"/>
      <c r="AW962" s="6"/>
      <c r="AX962" s="7">
        <f t="shared" si="1299"/>
        <v>0</v>
      </c>
      <c r="AY962" s="11">
        <f t="shared" si="1157"/>
        <v>0</v>
      </c>
      <c r="AZ962" s="25"/>
      <c r="BA962" s="10" t="str">
        <f t="shared" si="1158"/>
        <v>OutubroSEMANA 5Tomate Salada Sushi</v>
      </c>
      <c r="BB962" s="7">
        <f>SUMIF(NF!$A:$A,$BA962,NF!$I:$I)</f>
        <v>0</v>
      </c>
      <c r="BC962" s="6"/>
      <c r="BD962" s="6"/>
      <c r="BE962" s="6"/>
      <c r="BF962" s="74"/>
      <c r="BG962" s="74"/>
      <c r="BH962" s="74"/>
      <c r="BI962" s="74"/>
      <c r="BJ962" s="74"/>
      <c r="BK962" s="7">
        <f t="shared" si="1300"/>
        <v>0</v>
      </c>
      <c r="BL962" s="8">
        <f t="shared" si="1160"/>
        <v>0</v>
      </c>
      <c r="BM962" s="51" t="str">
        <f>IFERROR(VLOOKUP(A962,NF!$M:$O,3,0),"")</f>
        <v>Sushi</v>
      </c>
      <c r="BN962" s="7">
        <f t="shared" si="1161"/>
        <v>0</v>
      </c>
      <c r="BO962" s="8">
        <f t="array" ref="BO962">IFERROR(LARGE(IF(NF!$G$2:$G$3137='Mês atual'!A962,NF!$J$2:$J$3137),1),0)*BN962</f>
        <v>0</v>
      </c>
      <c r="BP962" s="50"/>
      <c r="BR962" s="147">
        <f t="array" ref="BR962">IFERROR(LARGE(IF(NF!$G$2:$G$3137='Mês atual'!A962,NF!$J$2:$J$3137),1),0)</f>
        <v>0</v>
      </c>
      <c r="BS962" s="143" t="str">
        <f>VLOOKUP(A962,NF!M:O,3,0)</f>
        <v>Sushi</v>
      </c>
    </row>
    <row r="963" spans="1:74" x14ac:dyDescent="0.25">
      <c r="A963" s="108" t="s">
        <v>839</v>
      </c>
      <c r="B963" s="12"/>
      <c r="C963" s="9"/>
      <c r="D963" s="25"/>
      <c r="E963" s="10" t="str">
        <f t="shared" si="1146"/>
        <v>OutubroSEMANA 1Vinagre de Arroz Bb 5 Lt</v>
      </c>
      <c r="F963" s="7">
        <f>SUMIF(NF!$A:$A,$E963,NF!$I:$I)</f>
        <v>0</v>
      </c>
      <c r="G963" s="6"/>
      <c r="H963" s="6"/>
      <c r="I963" s="6"/>
      <c r="J963" s="6"/>
      <c r="K963" s="6"/>
      <c r="L963" s="6"/>
      <c r="M963" s="6"/>
      <c r="N963" s="7">
        <f t="shared" si="1296"/>
        <v>0</v>
      </c>
      <c r="O963" s="11">
        <f t="shared" si="1148"/>
        <v>0</v>
      </c>
      <c r="P963" s="25"/>
      <c r="Q963" s="10" t="str">
        <f t="shared" si="1149"/>
        <v>OutubroSEMANA 2Vinagre de Arroz Bb 5 Lt</v>
      </c>
      <c r="R963" s="7">
        <f>SUMIF(NF!$A:$A,$Q963,NF!$I:$I)</f>
        <v>0</v>
      </c>
      <c r="S963" s="6"/>
      <c r="T963" s="6"/>
      <c r="U963" s="6"/>
      <c r="V963" s="6"/>
      <c r="W963" s="6"/>
      <c r="X963" s="6"/>
      <c r="Y963" s="6"/>
      <c r="Z963" s="7">
        <f t="shared" si="1297"/>
        <v>0</v>
      </c>
      <c r="AA963" s="11">
        <f t="shared" si="1151"/>
        <v>0</v>
      </c>
      <c r="AB963" s="25"/>
      <c r="AC963" s="10" t="str">
        <f t="shared" si="1152"/>
        <v>OutubroSEMANA 3Vinagre de Arroz Bb 5 Lt</v>
      </c>
      <c r="AD963" s="7">
        <f>SUMIF(NF!$A:$A,$AC963,NF!$I:$I)</f>
        <v>0</v>
      </c>
      <c r="AE963" s="6"/>
      <c r="AF963" s="6"/>
      <c r="AG963" s="6"/>
      <c r="AH963" s="6"/>
      <c r="AI963" s="6"/>
      <c r="AJ963" s="6"/>
      <c r="AK963" s="6"/>
      <c r="AL963" s="7">
        <f t="shared" si="1298"/>
        <v>0</v>
      </c>
      <c r="AM963" s="11">
        <f t="shared" si="1154"/>
        <v>0</v>
      </c>
      <c r="AN963" s="25"/>
      <c r="AO963" s="10" t="str">
        <f t="shared" si="1155"/>
        <v>OutubroSEMANA 4Vinagre de Arroz Bb 5 Lt</v>
      </c>
      <c r="AP963" s="7">
        <f>SUMIF(NF!$A:$A,$AO963,NF!$I:$I)</f>
        <v>0</v>
      </c>
      <c r="AQ963" s="6"/>
      <c r="AR963" s="6"/>
      <c r="AS963" s="6"/>
      <c r="AT963" s="6"/>
      <c r="AU963" s="6"/>
      <c r="AV963" s="6"/>
      <c r="AW963" s="6"/>
      <c r="AX963" s="7">
        <f t="shared" si="1299"/>
        <v>0</v>
      </c>
      <c r="AY963" s="11">
        <f t="shared" si="1157"/>
        <v>0</v>
      </c>
      <c r="AZ963" s="25"/>
      <c r="BA963" s="10" t="str">
        <f t="shared" si="1158"/>
        <v>OutubroSEMANA 5Vinagre de Arroz Bb 5 Lt</v>
      </c>
      <c r="BB963" s="7">
        <f>SUMIF(NF!$A:$A,$BA963,NF!$I:$I)</f>
        <v>0</v>
      </c>
      <c r="BC963" s="6"/>
      <c r="BD963" s="6"/>
      <c r="BE963" s="6"/>
      <c r="BF963" s="74"/>
      <c r="BG963" s="74"/>
      <c r="BH963" s="74"/>
      <c r="BI963" s="74"/>
      <c r="BJ963" s="74"/>
      <c r="BK963" s="7">
        <f t="shared" si="1300"/>
        <v>0</v>
      </c>
      <c r="BL963" s="8">
        <f t="shared" si="1160"/>
        <v>0</v>
      </c>
      <c r="BM963" s="51" t="str">
        <f>IFERROR(VLOOKUP(A963,NF!$M:$O,3,0),"")</f>
        <v>Sushi</v>
      </c>
      <c r="BN963" s="7">
        <f t="shared" si="1161"/>
        <v>0</v>
      </c>
      <c r="BO963" s="8">
        <f t="array" ref="BO963">IFERROR(LARGE(IF(NF!$G$2:$G$3137='Mês atual'!A963,NF!$J$2:$J$3137),1),0)*BN963</f>
        <v>0</v>
      </c>
      <c r="BP963" s="50"/>
      <c r="BR963" s="147">
        <f t="array" ref="BR963">IFERROR(LARGE(IF(NF!$G$2:$G$3137='Mês atual'!A963,NF!$J$2:$J$3137),1),0)</f>
        <v>0</v>
      </c>
      <c r="BS963" s="143" t="str">
        <f>VLOOKUP(A963,NF!M:O,3,0)</f>
        <v>Sushi</v>
      </c>
    </row>
    <row r="964" spans="1:74" x14ac:dyDescent="0.25">
      <c r="A964" s="108" t="s">
        <v>840</v>
      </c>
      <c r="B964" s="12"/>
      <c r="C964" s="9">
        <f>(50*0.75)-5.25-5.25</f>
        <v>27</v>
      </c>
      <c r="D964" s="25"/>
      <c r="E964" s="10" t="str">
        <f t="shared" si="1146"/>
        <v>OutubroSEMANA 1Vinagre de Arroz Sushi</v>
      </c>
      <c r="F964" s="7">
        <f>SUMIF(NF!$A:$A,$E964,NF!$I:$I)</f>
        <v>3.75</v>
      </c>
      <c r="G964" s="6"/>
      <c r="H964" s="6">
        <f>14*0.75</f>
        <v>10.5</v>
      </c>
      <c r="I964" s="6"/>
      <c r="J964" s="6"/>
      <c r="K964" s="6"/>
      <c r="L964" s="6"/>
      <c r="M964" s="6"/>
      <c r="N964" s="7">
        <f t="shared" si="1296"/>
        <v>10.5</v>
      </c>
      <c r="O964" s="11">
        <f t="shared" si="1148"/>
        <v>20.25</v>
      </c>
      <c r="P964" s="25"/>
      <c r="Q964" s="10" t="str">
        <f t="shared" si="1149"/>
        <v>OutubroSEMANA 2Vinagre de Arroz Sushi</v>
      </c>
      <c r="R964" s="7">
        <f>SUMIF(NF!$A:$A,$Q964,NF!$I:$I)</f>
        <v>0</v>
      </c>
      <c r="S964" s="6"/>
      <c r="T964" s="6"/>
      <c r="U964" s="6"/>
      <c r="V964" s="6"/>
      <c r="W964" s="6"/>
      <c r="X964" s="6"/>
      <c r="Y964" s="6">
        <f>14*0.75</f>
        <v>10.5</v>
      </c>
      <c r="Z964" s="7">
        <f t="shared" si="1297"/>
        <v>10.5</v>
      </c>
      <c r="AA964" s="11">
        <f t="shared" si="1151"/>
        <v>9.75</v>
      </c>
      <c r="AB964" s="25"/>
      <c r="AC964" s="10" t="str">
        <f t="shared" si="1152"/>
        <v>OutubroSEMANA 3Vinagre de Arroz Sushi</v>
      </c>
      <c r="AD964" s="7">
        <f>SUMIF(NF!$A:$A,$AC964,NF!$I:$I)</f>
        <v>12.75</v>
      </c>
      <c r="AE964" s="6"/>
      <c r="AF964" s="6"/>
      <c r="AG964" s="6"/>
      <c r="AH964" s="6"/>
      <c r="AI964" s="6"/>
      <c r="AJ964" s="6">
        <f>14*0.75</f>
        <v>10.5</v>
      </c>
      <c r="AK964" s="6"/>
      <c r="AL964" s="7">
        <f t="shared" si="1298"/>
        <v>10.5</v>
      </c>
      <c r="AM964" s="11">
        <f t="shared" si="1154"/>
        <v>12</v>
      </c>
      <c r="AN964" s="25"/>
      <c r="AO964" s="10" t="str">
        <f t="shared" si="1155"/>
        <v>OutubroSEMANA 4Vinagre de Arroz Sushi</v>
      </c>
      <c r="AP964" s="7">
        <f>SUMIF(NF!$A:$A,$AO964,NF!$I:$I)</f>
        <v>3.75</v>
      </c>
      <c r="AQ964" s="6"/>
      <c r="AR964" s="6"/>
      <c r="AS964" s="6"/>
      <c r="AT964" s="6"/>
      <c r="AU964" s="6"/>
      <c r="AV964" s="6"/>
      <c r="AW964" s="6"/>
      <c r="AX964" s="7">
        <f t="shared" si="1299"/>
        <v>0</v>
      </c>
      <c r="AY964" s="11">
        <f t="shared" si="1157"/>
        <v>15.75</v>
      </c>
      <c r="AZ964" s="25"/>
      <c r="BA964" s="10" t="str">
        <f t="shared" si="1158"/>
        <v>OutubroSEMANA 5Vinagre de Arroz Sushi</v>
      </c>
      <c r="BB964" s="7">
        <f>SUMIF(NF!$A:$A,$BA964,NF!$I:$I)</f>
        <v>0</v>
      </c>
      <c r="BC964" s="6"/>
      <c r="BD964" s="6">
        <f>14*0.75</f>
        <v>10.5</v>
      </c>
      <c r="BE964" s="6"/>
      <c r="BF964" s="74"/>
      <c r="BG964" s="74"/>
      <c r="BH964" s="74"/>
      <c r="BI964" s="74"/>
      <c r="BJ964" s="74"/>
      <c r="BK964" s="7">
        <f t="shared" si="1300"/>
        <v>10.5</v>
      </c>
      <c r="BL964" s="8">
        <f t="shared" si="1160"/>
        <v>5.25</v>
      </c>
      <c r="BM964" s="51" t="str">
        <f>IFERROR(VLOOKUP(A964,NF!$M:$O,3,0),"")</f>
        <v>Sushi</v>
      </c>
      <c r="BN964" s="7">
        <f t="shared" si="1161"/>
        <v>42</v>
      </c>
      <c r="BO964" s="8">
        <f t="array" ref="BO964">IFERROR(LARGE(IF(NF!$G$2:$G$3137='Mês atual'!A964,NF!$J$2:$J$3137),1),0)*BN964</f>
        <v>221.76000000000002</v>
      </c>
      <c r="BP964" s="50"/>
      <c r="BR964" s="147">
        <f t="array" ref="BR964">IFERROR(LARGE(IF(NF!$G$2:$G$3137='Mês atual'!A964,NF!$J$2:$J$3137),1),0)</f>
        <v>5.28</v>
      </c>
      <c r="BS964" s="143" t="str">
        <f>VLOOKUP(A964,NF!M:O,3,0)</f>
        <v>Sushi</v>
      </c>
    </row>
    <row r="965" spans="1:74" ht="15.75" thickBot="1" x14ac:dyDescent="0.3">
      <c r="A965" s="108" t="s">
        <v>868</v>
      </c>
      <c r="B965" s="12"/>
      <c r="C965" s="9">
        <v>1</v>
      </c>
      <c r="D965" s="25"/>
      <c r="E965" s="10" t="str">
        <f t="shared" si="1146"/>
        <v>OutubroSEMANA 1Wasabi em Pó</v>
      </c>
      <c r="F965" s="7">
        <f>SUMIF(NF!$A:$A,$E965,NF!$I:$I)</f>
        <v>0</v>
      </c>
      <c r="G965" s="6"/>
      <c r="H965" s="6"/>
      <c r="I965" s="6"/>
      <c r="J965" s="6"/>
      <c r="K965" s="6"/>
      <c r="L965" s="6"/>
      <c r="M965" s="6"/>
      <c r="N965" s="7">
        <f t="shared" si="1296"/>
        <v>0</v>
      </c>
      <c r="O965" s="11">
        <f t="shared" si="1148"/>
        <v>1</v>
      </c>
      <c r="P965" s="25"/>
      <c r="Q965" s="10" t="str">
        <f t="shared" si="1149"/>
        <v>OutubroSEMANA 2Wasabi em Pó</v>
      </c>
      <c r="R965" s="7">
        <f>SUMIF(NF!$A:$A,$Q965,NF!$I:$I)</f>
        <v>0</v>
      </c>
      <c r="S965" s="6"/>
      <c r="T965" s="6"/>
      <c r="U965" s="6"/>
      <c r="V965" s="6"/>
      <c r="W965" s="6"/>
      <c r="X965" s="6"/>
      <c r="Y965" s="6"/>
      <c r="Z965" s="7">
        <f t="shared" si="1297"/>
        <v>0</v>
      </c>
      <c r="AA965" s="11">
        <f t="shared" si="1151"/>
        <v>1</v>
      </c>
      <c r="AB965" s="25"/>
      <c r="AC965" s="10" t="str">
        <f t="shared" si="1152"/>
        <v>OutubroSEMANA 3Wasabi em Pó</v>
      </c>
      <c r="AD965" s="7">
        <f>SUMIF(NF!$A:$A,$AC965,NF!$I:$I)</f>
        <v>0</v>
      </c>
      <c r="AE965" s="6"/>
      <c r="AF965" s="6"/>
      <c r="AG965" s="6"/>
      <c r="AH965" s="6">
        <v>1</v>
      </c>
      <c r="AI965" s="6"/>
      <c r="AJ965" s="6"/>
      <c r="AK965" s="6"/>
      <c r="AL965" s="7">
        <f t="shared" si="1298"/>
        <v>1</v>
      </c>
      <c r="AM965" s="11">
        <f t="shared" si="1154"/>
        <v>0</v>
      </c>
      <c r="AN965" s="25"/>
      <c r="AO965" s="10" t="str">
        <f t="shared" si="1155"/>
        <v>OutubroSEMANA 4Wasabi em Pó</v>
      </c>
      <c r="AP965" s="7">
        <f>SUMIF(NF!$A:$A,$AO965,NF!$I:$I)</f>
        <v>1</v>
      </c>
      <c r="AQ965" s="6"/>
      <c r="AR965" s="6"/>
      <c r="AS965" s="6"/>
      <c r="AT965" s="6"/>
      <c r="AU965" s="6"/>
      <c r="AV965" s="6"/>
      <c r="AW965" s="6"/>
      <c r="AX965" s="7">
        <f t="shared" si="1299"/>
        <v>0</v>
      </c>
      <c r="AY965" s="11">
        <f t="shared" si="1157"/>
        <v>1</v>
      </c>
      <c r="AZ965" s="25"/>
      <c r="BA965" s="10" t="str">
        <f t="shared" si="1158"/>
        <v>OutubroSEMANA 5Wasabi em Pó</v>
      </c>
      <c r="BB965" s="7">
        <f>SUMIF(NF!$A:$A,$BA965,NF!$I:$I)</f>
        <v>0</v>
      </c>
      <c r="BC965" s="6"/>
      <c r="BD965" s="6"/>
      <c r="BE965" s="6"/>
      <c r="BF965" s="74"/>
      <c r="BG965" s="74"/>
      <c r="BH965" s="74"/>
      <c r="BI965" s="74"/>
      <c r="BJ965" s="74"/>
      <c r="BK965" s="7">
        <f t="shared" si="1300"/>
        <v>0</v>
      </c>
      <c r="BL965" s="8">
        <f t="shared" si="1160"/>
        <v>1</v>
      </c>
      <c r="BM965" s="51" t="str">
        <f>IFERROR(VLOOKUP(A965,NF!$M:$O,3,0),"")</f>
        <v>Sushi</v>
      </c>
      <c r="BN965" s="7">
        <f t="shared" si="1161"/>
        <v>1</v>
      </c>
      <c r="BO965" s="8">
        <f t="array" ref="BO965">IFERROR(LARGE(IF(NF!$G$2:$G$3137='Mês atual'!A965,NF!$J$2:$J$3137),1),0)*BN965</f>
        <v>35</v>
      </c>
      <c r="BP965" s="50"/>
      <c r="BR965" s="147">
        <f t="array" ref="BR965">IFERROR(LARGE(IF(NF!$G$2:$G$3137='Mês atual'!A965,NF!$J$2:$J$3137),1),0)</f>
        <v>35</v>
      </c>
      <c r="BS965" s="143" t="str">
        <f>VLOOKUP(A965,NF!M:O,3,0)</f>
        <v>Sushi</v>
      </c>
    </row>
    <row r="966" spans="1:74" s="16" customFormat="1" ht="30" customHeight="1" thickBot="1" x14ac:dyDescent="0.3">
      <c r="A966" s="139" t="s">
        <v>928</v>
      </c>
      <c r="B966" s="130"/>
      <c r="C966" s="131"/>
      <c r="D966" s="132"/>
      <c r="E966" s="133"/>
      <c r="F966" s="134"/>
      <c r="G966" s="133"/>
      <c r="H966" s="133"/>
      <c r="I966" s="133"/>
      <c r="J966" s="133"/>
      <c r="K966" s="133"/>
      <c r="L966" s="133"/>
      <c r="M966" s="133"/>
      <c r="N966" s="134"/>
      <c r="O966" s="134"/>
      <c r="P966" s="132"/>
      <c r="Q966" s="133"/>
      <c r="R966" s="134"/>
      <c r="S966" s="133"/>
      <c r="T966" s="133"/>
      <c r="U966" s="133"/>
      <c r="V966" s="133"/>
      <c r="W966" s="133"/>
      <c r="X966" s="133"/>
      <c r="Y966" s="133"/>
      <c r="Z966" s="134"/>
      <c r="AA966" s="134"/>
      <c r="AB966" s="132"/>
      <c r="AC966" s="133"/>
      <c r="AD966" s="134"/>
      <c r="AE966" s="133"/>
      <c r="AF966" s="133"/>
      <c r="AG966" s="133"/>
      <c r="AH966" s="133"/>
      <c r="AI966" s="133"/>
      <c r="AJ966" s="133"/>
      <c r="AK966" s="133"/>
      <c r="AL966" s="134"/>
      <c r="AM966" s="134"/>
      <c r="AN966" s="132"/>
      <c r="AO966" s="133"/>
      <c r="AP966" s="134"/>
      <c r="AQ966" s="133"/>
      <c r="AR966" s="133"/>
      <c r="AS966" s="133"/>
      <c r="AT966" s="133"/>
      <c r="AU966" s="133"/>
      <c r="AV966" s="133"/>
      <c r="AW966" s="133"/>
      <c r="AX966" s="134"/>
      <c r="AY966" s="134"/>
      <c r="AZ966" s="132"/>
      <c r="BA966" s="133"/>
      <c r="BB966" s="134"/>
      <c r="BC966" s="133"/>
      <c r="BD966" s="133"/>
      <c r="BE966" s="133"/>
      <c r="BF966" s="135"/>
      <c r="BG966" s="135"/>
      <c r="BH966" s="135"/>
      <c r="BI966" s="135"/>
      <c r="BJ966" s="135"/>
      <c r="BK966" s="134"/>
      <c r="BL966" s="134"/>
      <c r="BM966" s="136"/>
      <c r="BN966" s="137"/>
      <c r="BO966" s="137"/>
      <c r="BP966" s="138"/>
      <c r="BQ966" s="145"/>
      <c r="BR966" s="145"/>
      <c r="BS966" s="145"/>
      <c r="BT966" s="146"/>
      <c r="BU966" s="146"/>
      <c r="BV966" s="146"/>
    </row>
    <row r="967" spans="1:74" x14ac:dyDescent="0.25">
      <c r="A967" s="108" t="s">
        <v>159</v>
      </c>
      <c r="B967" s="12"/>
      <c r="C967" s="9">
        <v>2</v>
      </c>
      <c r="D967" s="25"/>
      <c r="E967" s="10" t="str">
        <f t="shared" ref="E967:E980" si="1301">CONCATENATE($C$2,$F$1,$A967)</f>
        <v>OutubroSEMANA 1Bala de Alga 500 g</v>
      </c>
      <c r="F967" s="7">
        <f>SUMIF(NF!$A:$A,$E967,NF!$I:$I)</f>
        <v>2</v>
      </c>
      <c r="G967" s="6"/>
      <c r="H967" s="6">
        <v>1</v>
      </c>
      <c r="I967" s="6"/>
      <c r="J967" s="6"/>
      <c r="K967" s="6">
        <v>1</v>
      </c>
      <c r="L967" s="6"/>
      <c r="M967" s="6"/>
      <c r="N967" s="7">
        <f t="shared" ref="N967:N970" si="1302">SUM(G967:M967)</f>
        <v>2</v>
      </c>
      <c r="O967" s="11">
        <f t="shared" ref="O967:O980" si="1303">F967+C967-N967</f>
        <v>2</v>
      </c>
      <c r="P967" s="25"/>
      <c r="Q967" s="10" t="str">
        <f t="shared" ref="Q967:Q980" si="1304">CONCATENATE($C$2,$R$1,$A967)</f>
        <v>OutubroSEMANA 2Bala de Alga 500 g</v>
      </c>
      <c r="R967" s="7">
        <f>SUMIF(NF!$A:$A,$Q967,NF!$I:$I)</f>
        <v>2</v>
      </c>
      <c r="S967" s="6"/>
      <c r="T967" s="6">
        <v>1</v>
      </c>
      <c r="U967" s="6"/>
      <c r="V967" s="6"/>
      <c r="W967" s="6"/>
      <c r="X967" s="6"/>
      <c r="Y967" s="6"/>
      <c r="Z967" s="7">
        <f t="shared" ref="Z967:Z970" si="1305">SUM(S967:Y967)</f>
        <v>1</v>
      </c>
      <c r="AA967" s="11">
        <f t="shared" ref="AA967:AA980" si="1306">R967+O967-Z967</f>
        <v>3</v>
      </c>
      <c r="AB967" s="25"/>
      <c r="AC967" s="10" t="str">
        <f t="shared" ref="AC967:AC980" si="1307">CONCATENATE($C$2,$AD$1,$A967)</f>
        <v>OutubroSEMANA 3Bala de Alga 500 g</v>
      </c>
      <c r="AD967" s="7">
        <f>SUMIF(NF!$A:$A,$AC967,NF!$I:$I)</f>
        <v>1</v>
      </c>
      <c r="AE967" s="6"/>
      <c r="AF967" s="6"/>
      <c r="AG967" s="6">
        <v>1</v>
      </c>
      <c r="AH967" s="6"/>
      <c r="AI967" s="6"/>
      <c r="AJ967" s="6"/>
      <c r="AK967" s="6">
        <v>1</v>
      </c>
      <c r="AL967" s="7">
        <f t="shared" ref="AL967:AL970" si="1308">SUM(AE967:AK967)</f>
        <v>2</v>
      </c>
      <c r="AM967" s="11">
        <f t="shared" ref="AM967:AM980" si="1309">AD967+AA967-AL967</f>
        <v>2</v>
      </c>
      <c r="AN967" s="25"/>
      <c r="AO967" s="10" t="str">
        <f t="shared" ref="AO967:AO980" si="1310">CONCATENATE($C$2,$AP$1,$A967)</f>
        <v>OutubroSEMANA 4Bala de Alga 500 g</v>
      </c>
      <c r="AP967" s="7">
        <f>SUMIF(NF!$A:$A,$AO967,NF!$I:$I)</f>
        <v>0</v>
      </c>
      <c r="AQ967" s="6"/>
      <c r="AR967" s="6"/>
      <c r="AS967" s="6"/>
      <c r="AT967" s="6"/>
      <c r="AU967" s="6"/>
      <c r="AV967" s="6"/>
      <c r="AW967" s="6"/>
      <c r="AX967" s="7">
        <f t="shared" ref="AX967:AX970" si="1311">SUM(AQ967:AW967)</f>
        <v>0</v>
      </c>
      <c r="AY967" s="11">
        <f t="shared" ref="AY967:AY980" si="1312">AP967+AM967-AX967</f>
        <v>2</v>
      </c>
      <c r="AZ967" s="25"/>
      <c r="BA967" s="10" t="str">
        <f t="shared" ref="BA967:BA980" si="1313">CONCATENATE($C$2,$BB$1,$A967)</f>
        <v>OutubroSEMANA 5Bala de Alga 500 g</v>
      </c>
      <c r="BB967" s="7">
        <f>SUMIF(NF!$A:$A,$BA967,NF!$I:$I)</f>
        <v>2</v>
      </c>
      <c r="BC967" s="6">
        <v>1</v>
      </c>
      <c r="BD967" s="6"/>
      <c r="BE967" s="6"/>
      <c r="BF967" s="74"/>
      <c r="BG967" s="74"/>
      <c r="BH967" s="74"/>
      <c r="BI967" s="74"/>
      <c r="BJ967" s="74"/>
      <c r="BK967" s="7">
        <f t="shared" ref="BK967:BK970" si="1314">SUM(BC967:BJ967)</f>
        <v>1</v>
      </c>
      <c r="BL967" s="8">
        <f t="shared" ref="BL967:BL980" si="1315">BB967+AY967-BK967</f>
        <v>3</v>
      </c>
      <c r="BM967" s="51" t="str">
        <f>IFERROR(VLOOKUP(A967,NF!$M:$O,3,0),"")</f>
        <v>Vendas Caixa</v>
      </c>
      <c r="BN967" s="7">
        <f t="shared" ref="BN967:BN980" si="1316">SUM(N967,Z967,AL967,AX967,BK967)</f>
        <v>6</v>
      </c>
      <c r="BO967" s="8">
        <f t="array" ref="BO967">IFERROR(LARGE(IF(NF!$G$2:$G$3137='Mês atual'!A967,NF!$J$2:$J$3137),1),0)*BN967</f>
        <v>102.96000000000001</v>
      </c>
      <c r="BP967" s="50"/>
      <c r="BR967" s="147">
        <f t="array" ref="BR967">IFERROR(LARGE(IF(NF!$G$2:$G$3137='Mês atual'!A967,NF!$J$2:$J$3137),1),0)</f>
        <v>17.16</v>
      </c>
      <c r="BS967" s="143" t="str">
        <f>VLOOKUP(A967,NF!M:O,3,0)</f>
        <v>Vendas Caixa</v>
      </c>
    </row>
    <row r="968" spans="1:74" x14ac:dyDescent="0.25">
      <c r="A968" s="108" t="s">
        <v>160</v>
      </c>
      <c r="B968" s="12"/>
      <c r="C968" s="9"/>
      <c r="D968" s="25"/>
      <c r="E968" s="10" t="str">
        <f t="shared" si="1301"/>
        <v>OutubroSEMANA 1Bala de Gengibre</v>
      </c>
      <c r="F968" s="7">
        <f>SUMIF(NF!$A:$A,$E968,NF!$I:$I)</f>
        <v>0</v>
      </c>
      <c r="G968" s="6"/>
      <c r="H968" s="6"/>
      <c r="I968" s="6"/>
      <c r="J968" s="6"/>
      <c r="K968" s="6"/>
      <c r="L968" s="6"/>
      <c r="M968" s="6"/>
      <c r="N968" s="7">
        <f t="shared" si="1302"/>
        <v>0</v>
      </c>
      <c r="O968" s="11">
        <f t="shared" si="1303"/>
        <v>0</v>
      </c>
      <c r="P968" s="25"/>
      <c r="Q968" s="10" t="str">
        <f t="shared" si="1304"/>
        <v>OutubroSEMANA 2Bala de Gengibre</v>
      </c>
      <c r="R968" s="7">
        <f>SUMIF(NF!$A:$A,$Q968,NF!$I:$I)</f>
        <v>0</v>
      </c>
      <c r="S968" s="6"/>
      <c r="T968" s="6"/>
      <c r="U968" s="6"/>
      <c r="V968" s="6"/>
      <c r="W968" s="6"/>
      <c r="X968" s="6"/>
      <c r="Y968" s="6"/>
      <c r="Z968" s="7">
        <f t="shared" si="1305"/>
        <v>0</v>
      </c>
      <c r="AA968" s="11">
        <f t="shared" si="1306"/>
        <v>0</v>
      </c>
      <c r="AB968" s="25"/>
      <c r="AC968" s="10" t="str">
        <f t="shared" si="1307"/>
        <v>OutubroSEMANA 3Bala de Gengibre</v>
      </c>
      <c r="AD968" s="7">
        <f>SUMIF(NF!$A:$A,$AC968,NF!$I:$I)</f>
        <v>0</v>
      </c>
      <c r="AE968" s="6"/>
      <c r="AF968" s="6"/>
      <c r="AG968" s="6"/>
      <c r="AH968" s="6"/>
      <c r="AI968" s="6"/>
      <c r="AJ968" s="6"/>
      <c r="AK968" s="6"/>
      <c r="AL968" s="7">
        <f t="shared" si="1308"/>
        <v>0</v>
      </c>
      <c r="AM968" s="11">
        <f t="shared" si="1309"/>
        <v>0</v>
      </c>
      <c r="AN968" s="25"/>
      <c r="AO968" s="10" t="str">
        <f t="shared" si="1310"/>
        <v>OutubroSEMANA 4Bala de Gengibre</v>
      </c>
      <c r="AP968" s="7">
        <f>SUMIF(NF!$A:$A,$AO968,NF!$I:$I)</f>
        <v>0</v>
      </c>
      <c r="AQ968" s="6"/>
      <c r="AR968" s="6"/>
      <c r="AS968" s="6"/>
      <c r="AT968" s="6"/>
      <c r="AU968" s="6"/>
      <c r="AV968" s="6"/>
      <c r="AW968" s="6"/>
      <c r="AX968" s="7">
        <f t="shared" si="1311"/>
        <v>0</v>
      </c>
      <c r="AY968" s="11">
        <f t="shared" si="1312"/>
        <v>0</v>
      </c>
      <c r="AZ968" s="25"/>
      <c r="BA968" s="10" t="str">
        <f t="shared" si="1313"/>
        <v>OutubroSEMANA 5Bala de Gengibre</v>
      </c>
      <c r="BB968" s="7">
        <f>SUMIF(NF!$A:$A,$BA968,NF!$I:$I)</f>
        <v>0</v>
      </c>
      <c r="BC968" s="6"/>
      <c r="BD968" s="6"/>
      <c r="BE968" s="6"/>
      <c r="BF968" s="74"/>
      <c r="BG968" s="74"/>
      <c r="BH968" s="74"/>
      <c r="BI968" s="74"/>
      <c r="BJ968" s="74"/>
      <c r="BK968" s="7">
        <f t="shared" si="1314"/>
        <v>0</v>
      </c>
      <c r="BL968" s="8">
        <f t="shared" si="1315"/>
        <v>0</v>
      </c>
      <c r="BM968" s="51" t="str">
        <f>IFERROR(VLOOKUP(A968,NF!$M:$O,3,0),"")</f>
        <v>Vendas Caixa</v>
      </c>
      <c r="BN968" s="7">
        <f t="shared" si="1316"/>
        <v>0</v>
      </c>
      <c r="BO968" s="8">
        <f t="array" ref="BO968">IFERROR(LARGE(IF(NF!$G$2:$G$3137='Mês atual'!A968,NF!$J$2:$J$3137),1),0)*BN968</f>
        <v>0</v>
      </c>
      <c r="BP968" s="50"/>
      <c r="BR968" s="147">
        <f t="array" ref="BR968">IFERROR(LARGE(IF(NF!$G$2:$G$3137='Mês atual'!A968,NF!$J$2:$J$3137),1),0)</f>
        <v>0</v>
      </c>
      <c r="BS968" s="143" t="str">
        <f>VLOOKUP(A968,NF!M:O,3,0)</f>
        <v>Vendas Caixa</v>
      </c>
    </row>
    <row r="969" spans="1:74" x14ac:dyDescent="0.25">
      <c r="A969" s="108" t="s">
        <v>184</v>
      </c>
      <c r="B969" s="12"/>
      <c r="C969" s="9">
        <f>2.6+2.8+0.5</f>
        <v>5.9</v>
      </c>
      <c r="D969" s="25"/>
      <c r="E969" s="10" t="str">
        <f t="shared" si="1301"/>
        <v xml:space="preserve">OutubroSEMANA 1Biscoito de Milho Venda </v>
      </c>
      <c r="F969" s="7">
        <f>SUMIF(NF!$A:$A,$E969,NF!$I:$I)</f>
        <v>0</v>
      </c>
      <c r="G969" s="6">
        <v>0.5</v>
      </c>
      <c r="H969" s="6"/>
      <c r="I969" s="6">
        <v>1.1000000000000001</v>
      </c>
      <c r="J969" s="6"/>
      <c r="K969" s="6">
        <v>1.1000000000000001</v>
      </c>
      <c r="L969" s="6"/>
      <c r="M969" s="6">
        <v>1</v>
      </c>
      <c r="N969" s="7">
        <f t="shared" si="1302"/>
        <v>3.7</v>
      </c>
      <c r="O969" s="11">
        <f t="shared" si="1303"/>
        <v>2.2000000000000002</v>
      </c>
      <c r="P969" s="25"/>
      <c r="Q969" s="10" t="str">
        <f t="shared" si="1304"/>
        <v xml:space="preserve">OutubroSEMANA 2Biscoito de Milho Venda </v>
      </c>
      <c r="R969" s="7">
        <f>SUMIF(NF!$A:$A,$Q969,NF!$I:$I)</f>
        <v>5.6</v>
      </c>
      <c r="S969" s="6"/>
      <c r="T969" s="6">
        <v>1.1000000000000001</v>
      </c>
      <c r="U969" s="6"/>
      <c r="V969" s="6">
        <v>1.1000000000000001</v>
      </c>
      <c r="W969" s="6"/>
      <c r="X969" s="6">
        <v>1.1000000000000001</v>
      </c>
      <c r="Y969" s="6"/>
      <c r="Z969" s="7">
        <f t="shared" si="1305"/>
        <v>3.3000000000000003</v>
      </c>
      <c r="AA969" s="11">
        <f t="shared" si="1306"/>
        <v>4.5</v>
      </c>
      <c r="AB969" s="25"/>
      <c r="AC969" s="10" t="str">
        <f t="shared" si="1307"/>
        <v xml:space="preserve">OutubroSEMANA 3Biscoito de Milho Venda </v>
      </c>
      <c r="AD969" s="7">
        <f>SUMIF(NF!$A:$A,$AC969,NF!$I:$I)</f>
        <v>2.8</v>
      </c>
      <c r="AE969" s="6"/>
      <c r="AF969" s="6"/>
      <c r="AG969" s="6">
        <v>1.1000000000000001</v>
      </c>
      <c r="AH969" s="6">
        <v>1.1000000000000001</v>
      </c>
      <c r="AI969" s="6"/>
      <c r="AJ969" s="6"/>
      <c r="AK969" s="6">
        <v>1.1000000000000001</v>
      </c>
      <c r="AL969" s="7">
        <f t="shared" si="1308"/>
        <v>3.3000000000000003</v>
      </c>
      <c r="AM969" s="11">
        <f t="shared" si="1309"/>
        <v>3.9999999999999996</v>
      </c>
      <c r="AN969" s="25"/>
      <c r="AO969" s="10" t="str">
        <f t="shared" si="1310"/>
        <v xml:space="preserve">OutubroSEMANA 4Biscoito de Milho Venda </v>
      </c>
      <c r="AP969" s="7">
        <f>SUMIF(NF!$A:$A,$AO969,NF!$I:$I)</f>
        <v>2.8</v>
      </c>
      <c r="AQ969" s="6"/>
      <c r="AR969" s="6"/>
      <c r="AS969" s="6">
        <v>1.1000000000000001</v>
      </c>
      <c r="AT969" s="6"/>
      <c r="AU969" s="6">
        <v>1.1000000000000001</v>
      </c>
      <c r="AV969" s="6"/>
      <c r="AW969" s="6"/>
      <c r="AX969" s="7">
        <f t="shared" si="1311"/>
        <v>2.2000000000000002</v>
      </c>
      <c r="AY969" s="11">
        <f t="shared" si="1312"/>
        <v>4.5999999999999988</v>
      </c>
      <c r="AZ969" s="25"/>
      <c r="BA969" s="10" t="str">
        <f t="shared" si="1313"/>
        <v xml:space="preserve">OutubroSEMANA 5Biscoito de Milho Venda </v>
      </c>
      <c r="BB969" s="7">
        <f>SUMIF(NF!$A:$A,$BA969,NF!$I:$I)</f>
        <v>0</v>
      </c>
      <c r="BC969" s="6">
        <v>1.1000000000000001</v>
      </c>
      <c r="BD969" s="6"/>
      <c r="BE969" s="6">
        <v>1</v>
      </c>
      <c r="BF969" s="74"/>
      <c r="BG969" s="74"/>
      <c r="BH969" s="74"/>
      <c r="BI969" s="74"/>
      <c r="BJ969" s="74"/>
      <c r="BK969" s="7">
        <f t="shared" si="1314"/>
        <v>2.1</v>
      </c>
      <c r="BL969" s="8">
        <f t="shared" si="1315"/>
        <v>2.4999999999999987</v>
      </c>
      <c r="BM969" s="51" t="str">
        <f>IFERROR(VLOOKUP(A969,NF!$M:$O,3,0),"")</f>
        <v>Vendas Caixa</v>
      </c>
      <c r="BN969" s="7">
        <f t="shared" si="1316"/>
        <v>14.6</v>
      </c>
      <c r="BO969" s="8">
        <f t="array" ref="BO969">IFERROR(LARGE(IF(NF!$G$2:$G$3137='Mês atual'!A969,NF!$J$2:$J$3137),1),0)*BN969</f>
        <v>324.04178571428577</v>
      </c>
      <c r="BP969" s="50"/>
      <c r="BR969" s="147">
        <f t="array" ref="BR969">IFERROR(LARGE(IF(NF!$G$2:$G$3137='Mês atual'!A969,NF!$J$2:$J$3137),1),0)</f>
        <v>22.19464285714286</v>
      </c>
      <c r="BS969" s="143" t="str">
        <f>VLOOKUP(A969,NF!M:O,3,0)</f>
        <v>Vendas Caixa</v>
      </c>
    </row>
    <row r="970" spans="1:74" x14ac:dyDescent="0.25">
      <c r="A970" s="108" t="s">
        <v>192</v>
      </c>
      <c r="B970" s="12"/>
      <c r="C970" s="9"/>
      <c r="D970" s="25"/>
      <c r="E970" s="10" t="str">
        <f t="shared" si="1301"/>
        <v>OutubroSEMANA 1Bombom Trufado</v>
      </c>
      <c r="F970" s="7">
        <f>SUMIF(NF!$A:$A,$E970,NF!$I:$I)</f>
        <v>0</v>
      </c>
      <c r="G970" s="6"/>
      <c r="H970" s="6"/>
      <c r="I970" s="6"/>
      <c r="J970" s="6"/>
      <c r="K970" s="6"/>
      <c r="L970" s="6"/>
      <c r="M970" s="6"/>
      <c r="N970" s="7">
        <f t="shared" si="1302"/>
        <v>0</v>
      </c>
      <c r="O970" s="11">
        <f t="shared" si="1303"/>
        <v>0</v>
      </c>
      <c r="P970" s="25"/>
      <c r="Q970" s="10" t="str">
        <f t="shared" si="1304"/>
        <v>OutubroSEMANA 2Bombom Trufado</v>
      </c>
      <c r="R970" s="7">
        <f>SUMIF(NF!$A:$A,$Q970,NF!$I:$I)</f>
        <v>180</v>
      </c>
      <c r="S970" s="6"/>
      <c r="T970" s="6"/>
      <c r="U970" s="6"/>
      <c r="V970" s="6"/>
      <c r="W970" s="6">
        <f>50+30+50+50</f>
        <v>180</v>
      </c>
      <c r="X970" s="6"/>
      <c r="Y970" s="6"/>
      <c r="Z970" s="7">
        <f t="shared" si="1305"/>
        <v>180</v>
      </c>
      <c r="AA970" s="11">
        <f t="shared" si="1306"/>
        <v>0</v>
      </c>
      <c r="AB970" s="25"/>
      <c r="AC970" s="10" t="str">
        <f t="shared" si="1307"/>
        <v>OutubroSEMANA 3Bombom Trufado</v>
      </c>
      <c r="AD970" s="7">
        <f>SUMIF(NF!$A:$A,$AC970,NF!$I:$I)</f>
        <v>0</v>
      </c>
      <c r="AE970" s="6"/>
      <c r="AF970" s="6"/>
      <c r="AG970" s="6"/>
      <c r="AH970" s="6"/>
      <c r="AI970" s="6"/>
      <c r="AJ970" s="6"/>
      <c r="AK970" s="6"/>
      <c r="AL970" s="7">
        <f t="shared" si="1308"/>
        <v>0</v>
      </c>
      <c r="AM970" s="11">
        <f t="shared" si="1309"/>
        <v>0</v>
      </c>
      <c r="AN970" s="25"/>
      <c r="AO970" s="10" t="str">
        <f t="shared" si="1310"/>
        <v>OutubroSEMANA 4Bombom Trufado</v>
      </c>
      <c r="AP970" s="7">
        <f>SUMIF(NF!$A:$A,$AO970,NF!$I:$I)</f>
        <v>0</v>
      </c>
      <c r="AQ970" s="6"/>
      <c r="AR970" s="6"/>
      <c r="AS970" s="6"/>
      <c r="AT970" s="6"/>
      <c r="AU970" s="6"/>
      <c r="AV970" s="6"/>
      <c r="AW970" s="6"/>
      <c r="AX970" s="7">
        <f t="shared" si="1311"/>
        <v>0</v>
      </c>
      <c r="AY970" s="11">
        <f t="shared" si="1312"/>
        <v>0</v>
      </c>
      <c r="AZ970" s="25"/>
      <c r="BA970" s="10" t="str">
        <f t="shared" si="1313"/>
        <v>OutubroSEMANA 5Bombom Trufado</v>
      </c>
      <c r="BB970" s="7">
        <f>SUMIF(NF!$A:$A,$BA970,NF!$I:$I)</f>
        <v>0</v>
      </c>
      <c r="BC970" s="6"/>
      <c r="BD970" s="6"/>
      <c r="BE970" s="6"/>
      <c r="BF970" s="74"/>
      <c r="BG970" s="74"/>
      <c r="BH970" s="74"/>
      <c r="BI970" s="74"/>
      <c r="BJ970" s="74"/>
      <c r="BK970" s="7">
        <f t="shared" si="1314"/>
        <v>0</v>
      </c>
      <c r="BL970" s="8">
        <f t="shared" si="1315"/>
        <v>0</v>
      </c>
      <c r="BM970" s="51" t="str">
        <f>IFERROR(VLOOKUP(A970,NF!$M:$O,3,0),"")</f>
        <v>Vendas Caixa</v>
      </c>
      <c r="BN970" s="7">
        <f t="shared" si="1316"/>
        <v>180</v>
      </c>
      <c r="BO970" s="8">
        <f t="array" ref="BO970">IFERROR(LARGE(IF(NF!$G$2:$G$3137='Mês atual'!A970,NF!$J$2:$J$3137),1),0)*BN970</f>
        <v>299.25</v>
      </c>
      <c r="BP970" s="50"/>
      <c r="BR970" s="147">
        <f t="array" ref="BR970">IFERROR(LARGE(IF(NF!$G$2:$G$3137='Mês atual'!A970,NF!$J$2:$J$3137),1),0)</f>
        <v>1.6625000000000001</v>
      </c>
      <c r="BS970" s="143" t="str">
        <f>VLOOKUP(A970,NF!M:O,3,0)</f>
        <v>Vendas Caixa</v>
      </c>
    </row>
    <row r="971" spans="1:74" x14ac:dyDescent="0.25">
      <c r="A971" s="108" t="s">
        <v>237</v>
      </c>
      <c r="B971" s="12"/>
      <c r="C971" s="9"/>
      <c r="D971" s="25"/>
      <c r="E971" s="10" t="str">
        <f t="shared" si="1301"/>
        <v>OutubroSEMANA 1Casquinha de Laranja com chocolate</v>
      </c>
      <c r="F971" s="7">
        <f>SUMIF(NF!$A:$A,$E971,NF!$I:$I)</f>
        <v>0</v>
      </c>
      <c r="G971" s="6"/>
      <c r="H971" s="6"/>
      <c r="I971" s="6"/>
      <c r="J971" s="6"/>
      <c r="K971" s="6"/>
      <c r="L971" s="6"/>
      <c r="M971" s="6"/>
      <c r="N971" s="7">
        <f t="shared" ref="N971:N980" si="1317">SUM(G971:M971)</f>
        <v>0</v>
      </c>
      <c r="O971" s="11">
        <f t="shared" si="1303"/>
        <v>0</v>
      </c>
      <c r="P971" s="25"/>
      <c r="Q971" s="10" t="str">
        <f t="shared" si="1304"/>
        <v>OutubroSEMANA 2Casquinha de Laranja com chocolate</v>
      </c>
      <c r="R971" s="7">
        <f>SUMIF(NF!$A:$A,$Q971,NF!$I:$I)</f>
        <v>30</v>
      </c>
      <c r="S971" s="6"/>
      <c r="T971" s="6"/>
      <c r="U971" s="6"/>
      <c r="V971" s="6"/>
      <c r="W971" s="6">
        <v>30</v>
      </c>
      <c r="X971" s="6"/>
      <c r="Y971" s="6"/>
      <c r="Z971" s="7">
        <f t="shared" ref="Z971:Z980" si="1318">SUM(S971:Y971)</f>
        <v>30</v>
      </c>
      <c r="AA971" s="11">
        <f t="shared" si="1306"/>
        <v>0</v>
      </c>
      <c r="AB971" s="25"/>
      <c r="AC971" s="10" t="str">
        <f t="shared" si="1307"/>
        <v>OutubroSEMANA 3Casquinha de Laranja com chocolate</v>
      </c>
      <c r="AD971" s="7">
        <f>SUMIF(NF!$A:$A,$AC971,NF!$I:$I)</f>
        <v>0</v>
      </c>
      <c r="AE971" s="6"/>
      <c r="AF971" s="6"/>
      <c r="AG971" s="6"/>
      <c r="AH971" s="6"/>
      <c r="AI971" s="6"/>
      <c r="AJ971" s="6"/>
      <c r="AK971" s="6"/>
      <c r="AL971" s="7">
        <f t="shared" ref="AL971:AL980" si="1319">SUM(AE971:AK971)</f>
        <v>0</v>
      </c>
      <c r="AM971" s="11">
        <f t="shared" si="1309"/>
        <v>0</v>
      </c>
      <c r="AN971" s="25"/>
      <c r="AO971" s="10" t="str">
        <f t="shared" si="1310"/>
        <v>OutubroSEMANA 4Casquinha de Laranja com chocolate</v>
      </c>
      <c r="AP971" s="7">
        <f>SUMIF(NF!$A:$A,$AO971,NF!$I:$I)</f>
        <v>0</v>
      </c>
      <c r="AQ971" s="6"/>
      <c r="AR971" s="6"/>
      <c r="AS971" s="6"/>
      <c r="AT971" s="6"/>
      <c r="AU971" s="6"/>
      <c r="AV971" s="6"/>
      <c r="AW971" s="6"/>
      <c r="AX971" s="7">
        <f t="shared" ref="AX971:AX980" si="1320">SUM(AQ971:AW971)</f>
        <v>0</v>
      </c>
      <c r="AY971" s="11">
        <f t="shared" si="1312"/>
        <v>0</v>
      </c>
      <c r="AZ971" s="25"/>
      <c r="BA971" s="10" t="str">
        <f t="shared" si="1313"/>
        <v>OutubroSEMANA 5Casquinha de Laranja com chocolate</v>
      </c>
      <c r="BB971" s="7">
        <f>SUMIF(NF!$A:$A,$BA971,NF!$I:$I)</f>
        <v>0</v>
      </c>
      <c r="BC971" s="6"/>
      <c r="BD971" s="6"/>
      <c r="BE971" s="6"/>
      <c r="BF971" s="74"/>
      <c r="BG971" s="74"/>
      <c r="BH971" s="74"/>
      <c r="BI971" s="74"/>
      <c r="BJ971" s="74"/>
      <c r="BK971" s="7">
        <f t="shared" ref="BK971:BK980" si="1321">SUM(BC971:BJ971)</f>
        <v>0</v>
      </c>
      <c r="BL971" s="8">
        <f t="shared" si="1315"/>
        <v>0</v>
      </c>
      <c r="BM971" s="51" t="str">
        <f>IFERROR(VLOOKUP(A971,NF!$M:$O,3,0),"")</f>
        <v>Vendas Caixa</v>
      </c>
      <c r="BN971" s="7">
        <f t="shared" si="1316"/>
        <v>30</v>
      </c>
      <c r="BO971" s="8">
        <f t="array" ref="BO971">IFERROR(LARGE(IF(NF!$G$2:$G$3137='Mês atual'!A971,NF!$J$2:$J$3137),1),0)*BN971</f>
        <v>185.25</v>
      </c>
      <c r="BP971" s="50"/>
      <c r="BR971" s="147">
        <f t="array" ref="BR971">IFERROR(LARGE(IF(NF!$G$2:$G$3137='Mês atual'!A971,NF!$J$2:$J$3137),1),0)</f>
        <v>6.1749999999999998</v>
      </c>
      <c r="BS971" s="143" t="str">
        <f>VLOOKUP(A971,NF!M:O,3,0)</f>
        <v>Vendas Caixa</v>
      </c>
    </row>
    <row r="972" spans="1:74" x14ac:dyDescent="0.25">
      <c r="A972" s="108" t="s">
        <v>273</v>
      </c>
      <c r="B972" s="12"/>
      <c r="C972" s="9">
        <v>6</v>
      </c>
      <c r="D972" s="25"/>
      <c r="E972" s="10" t="str">
        <f t="shared" si="1301"/>
        <v>OutubroSEMANA 1Chiclete Adams</v>
      </c>
      <c r="F972" s="7">
        <f>SUMIF(NF!$A:$A,$E972,NF!$I:$I)</f>
        <v>0</v>
      </c>
      <c r="G972" s="6"/>
      <c r="H972" s="6"/>
      <c r="I972" s="6"/>
      <c r="J972" s="6"/>
      <c r="K972" s="6"/>
      <c r="L972" s="6"/>
      <c r="M972" s="6"/>
      <c r="N972" s="7">
        <f t="shared" si="1317"/>
        <v>0</v>
      </c>
      <c r="O972" s="11">
        <f t="shared" si="1303"/>
        <v>6</v>
      </c>
      <c r="P972" s="25"/>
      <c r="Q972" s="10" t="str">
        <f t="shared" si="1304"/>
        <v>OutubroSEMANA 2Chiclete Adams</v>
      </c>
      <c r="R972" s="7">
        <f>SUMIF(NF!$A:$A,$Q972,NF!$I:$I)</f>
        <v>0</v>
      </c>
      <c r="S972" s="6"/>
      <c r="T972" s="6">
        <v>2</v>
      </c>
      <c r="U972" s="6"/>
      <c r="V972" s="6"/>
      <c r="W972" s="6"/>
      <c r="X972" s="6"/>
      <c r="Y972" s="6"/>
      <c r="Z972" s="7">
        <f t="shared" si="1318"/>
        <v>2</v>
      </c>
      <c r="AA972" s="11">
        <f t="shared" si="1306"/>
        <v>4</v>
      </c>
      <c r="AB972" s="25"/>
      <c r="AC972" s="10" t="str">
        <f t="shared" si="1307"/>
        <v>OutubroSEMANA 3Chiclete Adams</v>
      </c>
      <c r="AD972" s="7">
        <f>SUMIF(NF!$A:$A,$AC972,NF!$I:$I)</f>
        <v>0</v>
      </c>
      <c r="AE972" s="6"/>
      <c r="AF972" s="6"/>
      <c r="AG972" s="6"/>
      <c r="AH972" s="6"/>
      <c r="AI972" s="6"/>
      <c r="AJ972" s="6"/>
      <c r="AK972" s="6"/>
      <c r="AL972" s="7">
        <f t="shared" si="1319"/>
        <v>0</v>
      </c>
      <c r="AM972" s="11">
        <f t="shared" si="1309"/>
        <v>4</v>
      </c>
      <c r="AN972" s="25"/>
      <c r="AO972" s="10" t="str">
        <f t="shared" si="1310"/>
        <v>OutubroSEMANA 4Chiclete Adams</v>
      </c>
      <c r="AP972" s="7">
        <f>SUMIF(NF!$A:$A,$AO972,NF!$I:$I)</f>
        <v>0</v>
      </c>
      <c r="AQ972" s="6"/>
      <c r="AR972" s="6"/>
      <c r="AS972" s="6"/>
      <c r="AT972" s="6"/>
      <c r="AU972" s="6"/>
      <c r="AV972" s="6"/>
      <c r="AW972" s="6"/>
      <c r="AX972" s="7">
        <f t="shared" si="1320"/>
        <v>0</v>
      </c>
      <c r="AY972" s="11">
        <f t="shared" si="1312"/>
        <v>4</v>
      </c>
      <c r="AZ972" s="25"/>
      <c r="BA972" s="10" t="str">
        <f t="shared" si="1313"/>
        <v>OutubroSEMANA 5Chiclete Adams</v>
      </c>
      <c r="BB972" s="7">
        <f>SUMIF(NF!$A:$A,$BA972,NF!$I:$I)</f>
        <v>0</v>
      </c>
      <c r="BC972" s="6">
        <v>2</v>
      </c>
      <c r="BD972" s="6"/>
      <c r="BE972" s="6"/>
      <c r="BF972" s="74"/>
      <c r="BG972" s="74"/>
      <c r="BH972" s="74"/>
      <c r="BI972" s="74"/>
      <c r="BJ972" s="74"/>
      <c r="BK972" s="7">
        <f t="shared" si="1321"/>
        <v>2</v>
      </c>
      <c r="BL972" s="8">
        <f t="shared" si="1315"/>
        <v>2</v>
      </c>
      <c r="BM972" s="51" t="str">
        <f>IFERROR(VLOOKUP(A972,NF!$M:$O,3,0),"")</f>
        <v>Vendas Caixa</v>
      </c>
      <c r="BN972" s="7">
        <f t="shared" si="1316"/>
        <v>4</v>
      </c>
      <c r="BO972" s="8">
        <f t="array" ref="BO972">IFERROR(LARGE(IF(NF!$G$2:$G$3137='Mês atual'!A972,NF!$J$2:$J$3137),1),0)*BN972</f>
        <v>0</v>
      </c>
      <c r="BP972" s="50"/>
      <c r="BR972" s="147">
        <f t="array" ref="BR972">IFERROR(LARGE(IF(NF!$G$2:$G$3137='Mês atual'!A972,NF!$J$2:$J$3137),1),0)</f>
        <v>0</v>
      </c>
      <c r="BS972" s="143" t="str">
        <f>VLOOKUP(A972,NF!M:O,3,0)</f>
        <v>Vendas Caixa</v>
      </c>
    </row>
    <row r="973" spans="1:74" x14ac:dyDescent="0.25">
      <c r="A973" s="108" t="s">
        <v>274</v>
      </c>
      <c r="B973" s="12"/>
      <c r="C973" s="9">
        <v>7</v>
      </c>
      <c r="D973" s="25"/>
      <c r="E973" s="10" t="str">
        <f t="shared" si="1301"/>
        <v>OutubroSEMANA 1Chiclete Japonês cx 48</v>
      </c>
      <c r="F973" s="7">
        <f>SUMIF(NF!$A:$A,$E973,NF!$I:$I)</f>
        <v>0</v>
      </c>
      <c r="G973" s="6"/>
      <c r="H973" s="6"/>
      <c r="I973" s="6"/>
      <c r="J973" s="6"/>
      <c r="K973" s="6">
        <v>1</v>
      </c>
      <c r="L973" s="6"/>
      <c r="M973" s="6"/>
      <c r="N973" s="7">
        <f t="shared" si="1317"/>
        <v>1</v>
      </c>
      <c r="O973" s="11">
        <f t="shared" si="1303"/>
        <v>6</v>
      </c>
      <c r="P973" s="25"/>
      <c r="Q973" s="10" t="str">
        <f t="shared" si="1304"/>
        <v>OutubroSEMANA 2Chiclete Japonês cx 48</v>
      </c>
      <c r="R973" s="7">
        <f>SUMIF(NF!$A:$A,$Q973,NF!$I:$I)</f>
        <v>0</v>
      </c>
      <c r="S973" s="6"/>
      <c r="T973" s="6"/>
      <c r="U973" s="6"/>
      <c r="V973" s="6"/>
      <c r="W973" s="6"/>
      <c r="X973" s="6"/>
      <c r="Y973" s="6"/>
      <c r="Z973" s="7">
        <f t="shared" si="1318"/>
        <v>0</v>
      </c>
      <c r="AA973" s="11">
        <f t="shared" si="1306"/>
        <v>6</v>
      </c>
      <c r="AB973" s="25"/>
      <c r="AC973" s="10" t="str">
        <f t="shared" si="1307"/>
        <v>OutubroSEMANA 3Chiclete Japonês cx 48</v>
      </c>
      <c r="AD973" s="7">
        <f>SUMIF(NF!$A:$A,$AC973,NF!$I:$I)</f>
        <v>0</v>
      </c>
      <c r="AE973" s="6"/>
      <c r="AF973" s="6"/>
      <c r="AG973" s="6"/>
      <c r="AH973" s="6"/>
      <c r="AI973" s="6"/>
      <c r="AJ973" s="6"/>
      <c r="AK973" s="6">
        <v>1</v>
      </c>
      <c r="AL973" s="7">
        <f t="shared" si="1319"/>
        <v>1</v>
      </c>
      <c r="AM973" s="11">
        <f t="shared" si="1309"/>
        <v>5</v>
      </c>
      <c r="AN973" s="25"/>
      <c r="AO973" s="10" t="str">
        <f t="shared" si="1310"/>
        <v>OutubroSEMANA 4Chiclete Japonês cx 48</v>
      </c>
      <c r="AP973" s="7">
        <f>SUMIF(NF!$A:$A,$AO973,NF!$I:$I)</f>
        <v>0</v>
      </c>
      <c r="AQ973" s="6"/>
      <c r="AR973" s="6"/>
      <c r="AS973" s="6"/>
      <c r="AT973" s="6">
        <v>1</v>
      </c>
      <c r="AU973" s="6"/>
      <c r="AV973" s="6"/>
      <c r="AW973" s="6"/>
      <c r="AX973" s="7">
        <f t="shared" si="1320"/>
        <v>1</v>
      </c>
      <c r="AY973" s="11">
        <f t="shared" si="1312"/>
        <v>4</v>
      </c>
      <c r="AZ973" s="25"/>
      <c r="BA973" s="10" t="str">
        <f t="shared" si="1313"/>
        <v>OutubroSEMANA 5Chiclete Japonês cx 48</v>
      </c>
      <c r="BB973" s="7">
        <f>SUMIF(NF!$A:$A,$BA973,NF!$I:$I)</f>
        <v>0</v>
      </c>
      <c r="BC973" s="6"/>
      <c r="BD973" s="6"/>
      <c r="BE973" s="6"/>
      <c r="BF973" s="74"/>
      <c r="BG973" s="74"/>
      <c r="BH973" s="74"/>
      <c r="BI973" s="74"/>
      <c r="BJ973" s="74"/>
      <c r="BK973" s="7">
        <f t="shared" si="1321"/>
        <v>0</v>
      </c>
      <c r="BL973" s="8">
        <f t="shared" si="1315"/>
        <v>4</v>
      </c>
      <c r="BM973" s="51" t="str">
        <f>IFERROR(VLOOKUP(A973,NF!$M:$O,3,0),"")</f>
        <v>Vendas Caixa</v>
      </c>
      <c r="BN973" s="7">
        <f t="shared" si="1316"/>
        <v>3</v>
      </c>
      <c r="BO973" s="8">
        <f t="array" ref="BO973">IFERROR(LARGE(IF(NF!$G$2:$G$3137='Mês atual'!A973,NF!$J$2:$J$3137),1),0)*BN973</f>
        <v>0</v>
      </c>
      <c r="BP973" s="50"/>
      <c r="BR973" s="147">
        <f t="array" ref="BR973">IFERROR(LARGE(IF(NF!$G$2:$G$3137='Mês atual'!A973,NF!$J$2:$J$3137),1),0)</f>
        <v>0</v>
      </c>
      <c r="BS973" s="143" t="str">
        <f>VLOOKUP(A973,NF!M:O,3,0)</f>
        <v>Vendas Caixa</v>
      </c>
    </row>
    <row r="974" spans="1:74" x14ac:dyDescent="0.25">
      <c r="A974" s="108" t="s">
        <v>278</v>
      </c>
      <c r="B974" s="12"/>
      <c r="C974" s="9"/>
      <c r="D974" s="25"/>
      <c r="E974" s="10" t="str">
        <f t="shared" si="1301"/>
        <v>OutubroSEMANA 1Choco Diet</v>
      </c>
      <c r="F974" s="7">
        <f>SUMIF(NF!$A:$A,$E974,NF!$I:$I)</f>
        <v>0</v>
      </c>
      <c r="G974" s="6"/>
      <c r="H974" s="6"/>
      <c r="I974" s="6"/>
      <c r="J974" s="6"/>
      <c r="K974" s="6"/>
      <c r="L974" s="6"/>
      <c r="M974" s="6"/>
      <c r="N974" s="7">
        <f t="shared" si="1317"/>
        <v>0</v>
      </c>
      <c r="O974" s="11">
        <f t="shared" si="1303"/>
        <v>0</v>
      </c>
      <c r="P974" s="25"/>
      <c r="Q974" s="10" t="str">
        <f t="shared" si="1304"/>
        <v>OutubroSEMANA 2Choco Diet</v>
      </c>
      <c r="R974" s="7">
        <f>SUMIF(NF!$A:$A,$Q974,NF!$I:$I)</f>
        <v>0</v>
      </c>
      <c r="S974" s="6"/>
      <c r="T974" s="6"/>
      <c r="U974" s="6"/>
      <c r="V974" s="6"/>
      <c r="W974" s="6"/>
      <c r="X974" s="6"/>
      <c r="Y974" s="6"/>
      <c r="Z974" s="7">
        <f t="shared" si="1318"/>
        <v>0</v>
      </c>
      <c r="AA974" s="11">
        <f t="shared" si="1306"/>
        <v>0</v>
      </c>
      <c r="AB974" s="25"/>
      <c r="AC974" s="10" t="str">
        <f t="shared" si="1307"/>
        <v>OutubroSEMANA 3Choco Diet</v>
      </c>
      <c r="AD974" s="7">
        <f>SUMIF(NF!$A:$A,$AC974,NF!$I:$I)</f>
        <v>0</v>
      </c>
      <c r="AE974" s="6"/>
      <c r="AF974" s="6"/>
      <c r="AG974" s="6"/>
      <c r="AH974" s="6"/>
      <c r="AI974" s="6"/>
      <c r="AJ974" s="6"/>
      <c r="AK974" s="6"/>
      <c r="AL974" s="7">
        <f t="shared" si="1319"/>
        <v>0</v>
      </c>
      <c r="AM974" s="11">
        <f t="shared" si="1309"/>
        <v>0</v>
      </c>
      <c r="AN974" s="25"/>
      <c r="AO974" s="10" t="str">
        <f t="shared" si="1310"/>
        <v>OutubroSEMANA 4Choco Diet</v>
      </c>
      <c r="AP974" s="7">
        <f>SUMIF(NF!$A:$A,$AO974,NF!$I:$I)</f>
        <v>0</v>
      </c>
      <c r="AQ974" s="6"/>
      <c r="AR974" s="6"/>
      <c r="AS974" s="6"/>
      <c r="AT974" s="6"/>
      <c r="AU974" s="6"/>
      <c r="AV974" s="6"/>
      <c r="AW974" s="6"/>
      <c r="AX974" s="7">
        <f t="shared" si="1320"/>
        <v>0</v>
      </c>
      <c r="AY974" s="11">
        <f t="shared" si="1312"/>
        <v>0</v>
      </c>
      <c r="AZ974" s="25"/>
      <c r="BA974" s="10" t="str">
        <f t="shared" si="1313"/>
        <v>OutubroSEMANA 5Choco Diet</v>
      </c>
      <c r="BB974" s="7">
        <f>SUMIF(NF!$A:$A,$BA974,NF!$I:$I)</f>
        <v>0</v>
      </c>
      <c r="BC974" s="6"/>
      <c r="BD974" s="6"/>
      <c r="BE974" s="6"/>
      <c r="BF974" s="74"/>
      <c r="BG974" s="74"/>
      <c r="BH974" s="74"/>
      <c r="BI974" s="74"/>
      <c r="BJ974" s="74"/>
      <c r="BK974" s="7">
        <f t="shared" si="1321"/>
        <v>0</v>
      </c>
      <c r="BL974" s="8">
        <f t="shared" si="1315"/>
        <v>0</v>
      </c>
      <c r="BM974" s="51" t="str">
        <f>IFERROR(VLOOKUP(A974,NF!$M:$O,3,0),"")</f>
        <v>Vendas Caixa</v>
      </c>
      <c r="BN974" s="7">
        <f t="shared" si="1316"/>
        <v>0</v>
      </c>
      <c r="BO974" s="8">
        <f t="array" ref="BO974">IFERROR(LARGE(IF(NF!$G$2:$G$3137='Mês atual'!A974,NF!$J$2:$J$3137),1),0)*BN974</f>
        <v>0</v>
      </c>
      <c r="BP974" s="50"/>
      <c r="BR974" s="147">
        <f t="array" ref="BR974">IFERROR(LARGE(IF(NF!$G$2:$G$3137='Mês atual'!A974,NF!$J$2:$J$3137),1),0)</f>
        <v>0</v>
      </c>
      <c r="BS974" s="143" t="str">
        <f>VLOOKUP(A974,NF!M:O,3,0)</f>
        <v>Vendas Caixa</v>
      </c>
    </row>
    <row r="975" spans="1:74" x14ac:dyDescent="0.25">
      <c r="A975" s="108" t="s">
        <v>316</v>
      </c>
      <c r="B975" s="12"/>
      <c r="C975" s="9"/>
      <c r="D975" s="25"/>
      <c r="E975" s="10" t="str">
        <f t="shared" si="1301"/>
        <v>OutubroSEMANA 1Cupcake</v>
      </c>
      <c r="F975" s="7">
        <f>SUMIF(NF!$A:$A,$E975,NF!$I:$I)</f>
        <v>0</v>
      </c>
      <c r="G975" s="6"/>
      <c r="H975" s="6"/>
      <c r="I975" s="6"/>
      <c r="J975" s="6"/>
      <c r="K975" s="6"/>
      <c r="L975" s="6"/>
      <c r="M975" s="6"/>
      <c r="N975" s="7">
        <f t="shared" si="1317"/>
        <v>0</v>
      </c>
      <c r="O975" s="11">
        <f t="shared" si="1303"/>
        <v>0</v>
      </c>
      <c r="P975" s="25"/>
      <c r="Q975" s="10" t="str">
        <f t="shared" si="1304"/>
        <v>OutubroSEMANA 2Cupcake</v>
      </c>
      <c r="R975" s="7">
        <f>SUMIF(NF!$A:$A,$Q975,NF!$I:$I)</f>
        <v>0</v>
      </c>
      <c r="S975" s="6"/>
      <c r="T975" s="6"/>
      <c r="U975" s="6"/>
      <c r="V975" s="6"/>
      <c r="W975" s="6"/>
      <c r="X975" s="6"/>
      <c r="Y975" s="6"/>
      <c r="Z975" s="7">
        <f t="shared" si="1318"/>
        <v>0</v>
      </c>
      <c r="AA975" s="11">
        <f t="shared" si="1306"/>
        <v>0</v>
      </c>
      <c r="AB975" s="25"/>
      <c r="AC975" s="10" t="str">
        <f t="shared" si="1307"/>
        <v>OutubroSEMANA 3Cupcake</v>
      </c>
      <c r="AD975" s="7">
        <f>SUMIF(NF!$A:$A,$AC975,NF!$I:$I)</f>
        <v>0</v>
      </c>
      <c r="AE975" s="6"/>
      <c r="AF975" s="6"/>
      <c r="AG975" s="6"/>
      <c r="AH975" s="6"/>
      <c r="AI975" s="6"/>
      <c r="AJ975" s="6"/>
      <c r="AK975" s="6"/>
      <c r="AL975" s="7">
        <f t="shared" si="1319"/>
        <v>0</v>
      </c>
      <c r="AM975" s="11">
        <f t="shared" si="1309"/>
        <v>0</v>
      </c>
      <c r="AN975" s="25"/>
      <c r="AO975" s="10" t="str">
        <f t="shared" si="1310"/>
        <v>OutubroSEMANA 4Cupcake</v>
      </c>
      <c r="AP975" s="7">
        <f>SUMIF(NF!$A:$A,$AO975,NF!$I:$I)</f>
        <v>0</v>
      </c>
      <c r="AQ975" s="6"/>
      <c r="AR975" s="6"/>
      <c r="AS975" s="6"/>
      <c r="AT975" s="6"/>
      <c r="AU975" s="6"/>
      <c r="AV975" s="6"/>
      <c r="AW975" s="6"/>
      <c r="AX975" s="7">
        <f t="shared" si="1320"/>
        <v>0</v>
      </c>
      <c r="AY975" s="11">
        <f t="shared" si="1312"/>
        <v>0</v>
      </c>
      <c r="AZ975" s="25"/>
      <c r="BA975" s="10" t="str">
        <f t="shared" si="1313"/>
        <v>OutubroSEMANA 5Cupcake</v>
      </c>
      <c r="BB975" s="7">
        <f>SUMIF(NF!$A:$A,$BA975,NF!$I:$I)</f>
        <v>0</v>
      </c>
      <c r="BC975" s="6"/>
      <c r="BD975" s="6"/>
      <c r="BE975" s="6"/>
      <c r="BF975" s="74"/>
      <c r="BG975" s="74"/>
      <c r="BH975" s="74"/>
      <c r="BI975" s="74"/>
      <c r="BJ975" s="74"/>
      <c r="BK975" s="7">
        <f t="shared" si="1321"/>
        <v>0</v>
      </c>
      <c r="BL975" s="8">
        <f t="shared" si="1315"/>
        <v>0</v>
      </c>
      <c r="BM975" s="51" t="str">
        <f>IFERROR(VLOOKUP(A975,NF!$M:$O,3,0),"")</f>
        <v>Vendas Caixa</v>
      </c>
      <c r="BN975" s="7">
        <f t="shared" si="1316"/>
        <v>0</v>
      </c>
      <c r="BO975" s="8">
        <f t="array" ref="BO975">IFERROR(LARGE(IF(NF!$G$2:$G$3137='Mês atual'!A975,NF!$J$2:$J$3137),1),0)*BN975</f>
        <v>0</v>
      </c>
      <c r="BP975" s="50"/>
      <c r="BR975" s="147">
        <f t="array" ref="BR975">IFERROR(LARGE(IF(NF!$G$2:$G$3137='Mês atual'!A975,NF!$J$2:$J$3137),1),0)</f>
        <v>0</v>
      </c>
      <c r="BS975" s="143" t="str">
        <f>VLOOKUP(A975,NF!M:O,3,0)</f>
        <v>Vendas Caixa</v>
      </c>
    </row>
    <row r="976" spans="1:74" x14ac:dyDescent="0.25">
      <c r="A976" s="108" t="s">
        <v>552</v>
      </c>
      <c r="B976" s="12"/>
      <c r="C976" s="9"/>
      <c r="D976" s="25"/>
      <c r="E976" s="10" t="str">
        <f t="shared" si="1301"/>
        <v>OutubroSEMANA 1Ovos Pontudos 14 gr</v>
      </c>
      <c r="F976" s="7">
        <f>SUMIF(NF!$A:$A,$E976,NF!$I:$I)</f>
        <v>0</v>
      </c>
      <c r="G976" s="6"/>
      <c r="H976" s="6"/>
      <c r="I976" s="6"/>
      <c r="J976" s="6"/>
      <c r="K976" s="6"/>
      <c r="L976" s="6"/>
      <c r="M976" s="6"/>
      <c r="N976" s="7">
        <f t="shared" si="1317"/>
        <v>0</v>
      </c>
      <c r="O976" s="11">
        <f t="shared" si="1303"/>
        <v>0</v>
      </c>
      <c r="P976" s="25"/>
      <c r="Q976" s="10" t="str">
        <f t="shared" si="1304"/>
        <v>OutubroSEMANA 2Ovos Pontudos 14 gr</v>
      </c>
      <c r="R976" s="7">
        <f>SUMIF(NF!$A:$A,$Q976,NF!$I:$I)</f>
        <v>0</v>
      </c>
      <c r="S976" s="6"/>
      <c r="T976" s="6"/>
      <c r="U976" s="6"/>
      <c r="V976" s="6"/>
      <c r="W976" s="6"/>
      <c r="X976" s="6"/>
      <c r="Y976" s="6"/>
      <c r="Z976" s="7">
        <f t="shared" si="1318"/>
        <v>0</v>
      </c>
      <c r="AA976" s="11">
        <f t="shared" si="1306"/>
        <v>0</v>
      </c>
      <c r="AB976" s="25"/>
      <c r="AC976" s="10" t="str">
        <f t="shared" si="1307"/>
        <v>OutubroSEMANA 3Ovos Pontudos 14 gr</v>
      </c>
      <c r="AD976" s="7">
        <f>SUMIF(NF!$A:$A,$AC976,NF!$I:$I)</f>
        <v>0</v>
      </c>
      <c r="AE976" s="6"/>
      <c r="AF976" s="6"/>
      <c r="AG976" s="6"/>
      <c r="AH976" s="6"/>
      <c r="AI976" s="6"/>
      <c r="AJ976" s="6"/>
      <c r="AK976" s="6"/>
      <c r="AL976" s="7">
        <f t="shared" si="1319"/>
        <v>0</v>
      </c>
      <c r="AM976" s="11">
        <f t="shared" si="1309"/>
        <v>0</v>
      </c>
      <c r="AN976" s="25"/>
      <c r="AO976" s="10" t="str">
        <f t="shared" si="1310"/>
        <v>OutubroSEMANA 4Ovos Pontudos 14 gr</v>
      </c>
      <c r="AP976" s="7">
        <f>SUMIF(NF!$A:$A,$AO976,NF!$I:$I)</f>
        <v>0</v>
      </c>
      <c r="AQ976" s="6"/>
      <c r="AR976" s="6"/>
      <c r="AS976" s="6"/>
      <c r="AT976" s="6"/>
      <c r="AU976" s="6"/>
      <c r="AV976" s="6"/>
      <c r="AW976" s="6"/>
      <c r="AX976" s="7">
        <f t="shared" si="1320"/>
        <v>0</v>
      </c>
      <c r="AY976" s="11">
        <f t="shared" si="1312"/>
        <v>0</v>
      </c>
      <c r="AZ976" s="25"/>
      <c r="BA976" s="10" t="str">
        <f t="shared" si="1313"/>
        <v>OutubroSEMANA 5Ovos Pontudos 14 gr</v>
      </c>
      <c r="BB976" s="7">
        <f>SUMIF(NF!$A:$A,$BA976,NF!$I:$I)</f>
        <v>0</v>
      </c>
      <c r="BC976" s="6"/>
      <c r="BD976" s="6"/>
      <c r="BE976" s="6"/>
      <c r="BF976" s="74"/>
      <c r="BG976" s="74"/>
      <c r="BH976" s="74"/>
      <c r="BI976" s="74"/>
      <c r="BJ976" s="74"/>
      <c r="BK976" s="7">
        <f t="shared" si="1321"/>
        <v>0</v>
      </c>
      <c r="BL976" s="8">
        <f t="shared" si="1315"/>
        <v>0</v>
      </c>
      <c r="BM976" s="51" t="str">
        <f>IFERROR(VLOOKUP(A976,NF!$M:$O,3,0),"")</f>
        <v>Vendas Caixa</v>
      </c>
      <c r="BN976" s="7">
        <f t="shared" si="1316"/>
        <v>0</v>
      </c>
      <c r="BO976" s="8">
        <f t="array" ref="BO976">IFERROR(LARGE(IF(NF!$G$2:$G$3137='Mês atual'!A976,NF!$J$2:$J$3137),1),0)*BN976</f>
        <v>0</v>
      </c>
      <c r="BP976" s="50"/>
      <c r="BR976" s="147">
        <f t="array" ref="BR976">IFERROR(LARGE(IF(NF!$G$2:$G$3137='Mês atual'!A976,NF!$J$2:$J$3137),1),0)</f>
        <v>0</v>
      </c>
      <c r="BS976" s="143" t="str">
        <f>VLOOKUP(A976,NF!M:O,3,0)</f>
        <v>Vendas Caixa</v>
      </c>
    </row>
    <row r="977" spans="1:74" x14ac:dyDescent="0.25">
      <c r="A977" s="108" t="s">
        <v>778</v>
      </c>
      <c r="B977" s="12"/>
      <c r="C977" s="9"/>
      <c r="D977" s="25"/>
      <c r="E977" s="10" t="str">
        <f t="shared" si="1301"/>
        <v>OutubroSEMANA 1Tablet Diet</v>
      </c>
      <c r="F977" s="7">
        <f>SUMIF(NF!$A:$A,$E977,NF!$I:$I)</f>
        <v>0</v>
      </c>
      <c r="G977" s="6"/>
      <c r="H977" s="6"/>
      <c r="I977" s="6"/>
      <c r="J977" s="6"/>
      <c r="K977" s="6"/>
      <c r="L977" s="6"/>
      <c r="M977" s="6"/>
      <c r="N977" s="7">
        <f t="shared" si="1317"/>
        <v>0</v>
      </c>
      <c r="O977" s="11">
        <f t="shared" si="1303"/>
        <v>0</v>
      </c>
      <c r="P977" s="25"/>
      <c r="Q977" s="10" t="str">
        <f t="shared" si="1304"/>
        <v>OutubroSEMANA 2Tablet Diet</v>
      </c>
      <c r="R977" s="7">
        <f>SUMIF(NF!$A:$A,$Q977,NF!$I:$I)</f>
        <v>30</v>
      </c>
      <c r="S977" s="6"/>
      <c r="T977" s="6"/>
      <c r="U977" s="6"/>
      <c r="V977" s="6"/>
      <c r="W977" s="6">
        <v>30</v>
      </c>
      <c r="X977" s="6"/>
      <c r="Y977" s="6"/>
      <c r="Z977" s="7">
        <f t="shared" si="1318"/>
        <v>30</v>
      </c>
      <c r="AA977" s="11">
        <f t="shared" si="1306"/>
        <v>0</v>
      </c>
      <c r="AB977" s="25"/>
      <c r="AC977" s="10" t="str">
        <f t="shared" si="1307"/>
        <v>OutubroSEMANA 3Tablet Diet</v>
      </c>
      <c r="AD977" s="7">
        <f>SUMIF(NF!$A:$A,$AC977,NF!$I:$I)</f>
        <v>0</v>
      </c>
      <c r="AE977" s="6"/>
      <c r="AF977" s="6"/>
      <c r="AG977" s="6"/>
      <c r="AH977" s="6"/>
      <c r="AI977" s="6"/>
      <c r="AJ977" s="6"/>
      <c r="AK977" s="6"/>
      <c r="AL977" s="7">
        <f t="shared" si="1319"/>
        <v>0</v>
      </c>
      <c r="AM977" s="11">
        <f t="shared" si="1309"/>
        <v>0</v>
      </c>
      <c r="AN977" s="25"/>
      <c r="AO977" s="10" t="str">
        <f t="shared" si="1310"/>
        <v>OutubroSEMANA 4Tablet Diet</v>
      </c>
      <c r="AP977" s="7">
        <f>SUMIF(NF!$A:$A,$AO977,NF!$I:$I)</f>
        <v>0</v>
      </c>
      <c r="AQ977" s="6"/>
      <c r="AR977" s="6"/>
      <c r="AS977" s="6"/>
      <c r="AT977" s="6"/>
      <c r="AU977" s="6"/>
      <c r="AV977" s="6"/>
      <c r="AW977" s="6"/>
      <c r="AX977" s="7">
        <f t="shared" si="1320"/>
        <v>0</v>
      </c>
      <c r="AY977" s="11">
        <f t="shared" si="1312"/>
        <v>0</v>
      </c>
      <c r="AZ977" s="25"/>
      <c r="BA977" s="10" t="str">
        <f t="shared" si="1313"/>
        <v>OutubroSEMANA 5Tablet Diet</v>
      </c>
      <c r="BB977" s="7">
        <f>SUMIF(NF!$A:$A,$BA977,NF!$I:$I)</f>
        <v>0</v>
      </c>
      <c r="BC977" s="6"/>
      <c r="BD977" s="6"/>
      <c r="BE977" s="6"/>
      <c r="BF977" s="74"/>
      <c r="BG977" s="74"/>
      <c r="BH977" s="74"/>
      <c r="BI977" s="74"/>
      <c r="BJ977" s="74"/>
      <c r="BK977" s="7">
        <f t="shared" si="1321"/>
        <v>0</v>
      </c>
      <c r="BL977" s="8">
        <f t="shared" si="1315"/>
        <v>0</v>
      </c>
      <c r="BM977" s="51" t="str">
        <f>IFERROR(VLOOKUP(A977,NF!$M:$O,3,0),"")</f>
        <v>Vendas Caixa</v>
      </c>
      <c r="BN977" s="7">
        <f t="shared" si="1316"/>
        <v>30</v>
      </c>
      <c r="BO977" s="8">
        <f t="array" ref="BO977">IFERROR(LARGE(IF(NF!$G$2:$G$3137='Mês atual'!A977,NF!$J$2:$J$3137),1),0)*BN977</f>
        <v>64.125</v>
      </c>
      <c r="BP977" s="50"/>
      <c r="BR977" s="147">
        <f t="array" ref="BR977">IFERROR(LARGE(IF(NF!$G$2:$G$3137='Mês atual'!A977,NF!$J$2:$J$3137),1),0)</f>
        <v>2.1375000000000002</v>
      </c>
      <c r="BS977" s="143" t="str">
        <f>VLOOKUP(A977,NF!M:O,3,0)</f>
        <v>Vendas Caixa</v>
      </c>
    </row>
    <row r="978" spans="1:74" x14ac:dyDescent="0.25">
      <c r="A978" s="108" t="s">
        <v>786</v>
      </c>
      <c r="B978" s="12"/>
      <c r="C978" s="9"/>
      <c r="D978" s="25"/>
      <c r="E978" s="10" t="str">
        <f t="shared" si="1301"/>
        <v>OutubroSEMANA 1Tic Tac</v>
      </c>
      <c r="F978" s="7">
        <f>SUMIF(NF!$A:$A,$E978,NF!$I:$I)</f>
        <v>0</v>
      </c>
      <c r="G978" s="6"/>
      <c r="H978" s="6"/>
      <c r="I978" s="6"/>
      <c r="J978" s="6"/>
      <c r="K978" s="6"/>
      <c r="L978" s="6"/>
      <c r="M978" s="6"/>
      <c r="N978" s="7">
        <f t="shared" si="1317"/>
        <v>0</v>
      </c>
      <c r="O978" s="11">
        <f t="shared" si="1303"/>
        <v>0</v>
      </c>
      <c r="P978" s="25"/>
      <c r="Q978" s="10" t="str">
        <f t="shared" si="1304"/>
        <v>OutubroSEMANA 2Tic Tac</v>
      </c>
      <c r="R978" s="7">
        <f>SUMIF(NF!$A:$A,$Q978,NF!$I:$I)</f>
        <v>0</v>
      </c>
      <c r="S978" s="6"/>
      <c r="T978" s="6"/>
      <c r="U978" s="6"/>
      <c r="V978" s="6"/>
      <c r="W978" s="6"/>
      <c r="X978" s="6"/>
      <c r="Y978" s="6"/>
      <c r="Z978" s="7">
        <f t="shared" si="1318"/>
        <v>0</v>
      </c>
      <c r="AA978" s="11">
        <f t="shared" si="1306"/>
        <v>0</v>
      </c>
      <c r="AB978" s="25"/>
      <c r="AC978" s="10" t="str">
        <f t="shared" si="1307"/>
        <v>OutubroSEMANA 3Tic Tac</v>
      </c>
      <c r="AD978" s="7">
        <f>SUMIF(NF!$A:$A,$AC978,NF!$I:$I)</f>
        <v>0</v>
      </c>
      <c r="AE978" s="6"/>
      <c r="AF978" s="6"/>
      <c r="AG978" s="6"/>
      <c r="AH978" s="6"/>
      <c r="AI978" s="6"/>
      <c r="AJ978" s="6"/>
      <c r="AK978" s="6"/>
      <c r="AL978" s="7">
        <f t="shared" si="1319"/>
        <v>0</v>
      </c>
      <c r="AM978" s="11">
        <f t="shared" si="1309"/>
        <v>0</v>
      </c>
      <c r="AN978" s="25"/>
      <c r="AO978" s="10" t="str">
        <f t="shared" si="1310"/>
        <v>OutubroSEMANA 4Tic Tac</v>
      </c>
      <c r="AP978" s="7">
        <f>SUMIF(NF!$A:$A,$AO978,NF!$I:$I)</f>
        <v>0</v>
      </c>
      <c r="AQ978" s="6"/>
      <c r="AR978" s="6"/>
      <c r="AS978" s="6"/>
      <c r="AT978" s="6"/>
      <c r="AU978" s="6"/>
      <c r="AV978" s="6"/>
      <c r="AW978" s="6"/>
      <c r="AX978" s="7">
        <f t="shared" si="1320"/>
        <v>0</v>
      </c>
      <c r="AY978" s="11">
        <f t="shared" si="1312"/>
        <v>0</v>
      </c>
      <c r="AZ978" s="25"/>
      <c r="BA978" s="10" t="str">
        <f t="shared" si="1313"/>
        <v>OutubroSEMANA 5Tic Tac</v>
      </c>
      <c r="BB978" s="7">
        <f>SUMIF(NF!$A:$A,$BA978,NF!$I:$I)</f>
        <v>0</v>
      </c>
      <c r="BC978" s="6"/>
      <c r="BD978" s="6"/>
      <c r="BE978" s="6"/>
      <c r="BF978" s="74"/>
      <c r="BG978" s="74"/>
      <c r="BH978" s="74"/>
      <c r="BI978" s="74"/>
      <c r="BJ978" s="74"/>
      <c r="BK978" s="7">
        <f t="shared" si="1321"/>
        <v>0</v>
      </c>
      <c r="BL978" s="8">
        <f t="shared" si="1315"/>
        <v>0</v>
      </c>
      <c r="BM978" s="51" t="str">
        <f>IFERROR(VLOOKUP(A978,NF!$M:$O,3,0),"")</f>
        <v>Vendas Caixa</v>
      </c>
      <c r="BN978" s="7">
        <f t="shared" si="1316"/>
        <v>0</v>
      </c>
      <c r="BO978" s="8">
        <f t="array" ref="BO978">IFERROR(LARGE(IF(NF!$G$2:$G$3137='Mês atual'!A978,NF!$J$2:$J$3137),1),0)*BN978</f>
        <v>0</v>
      </c>
      <c r="BP978" s="50"/>
      <c r="BR978" s="147">
        <f t="array" ref="BR978">IFERROR(LARGE(IF(NF!$G$2:$G$3137='Mês atual'!A978,NF!$J$2:$J$3137),1),0)</f>
        <v>0</v>
      </c>
      <c r="BS978" s="143" t="str">
        <f>VLOOKUP(A978,NF!M:O,3,0)</f>
        <v>Vendas Caixa</v>
      </c>
    </row>
    <row r="979" spans="1:74" x14ac:dyDescent="0.25">
      <c r="A979" s="108" t="s">
        <v>824</v>
      </c>
      <c r="B979" s="12"/>
      <c r="C979" s="9">
        <v>11</v>
      </c>
      <c r="D979" s="25"/>
      <c r="E979" s="10" t="str">
        <f t="shared" si="1301"/>
        <v>OutubroSEMANA 1Trident</v>
      </c>
      <c r="F979" s="7">
        <f>SUMIF(NF!$A:$A,$E979,NF!$I:$I)</f>
        <v>0</v>
      </c>
      <c r="G979" s="6"/>
      <c r="H979" s="6"/>
      <c r="I979" s="6"/>
      <c r="J979" s="6"/>
      <c r="K979" s="6"/>
      <c r="L979" s="6"/>
      <c r="M979" s="6"/>
      <c r="N979" s="7">
        <f t="shared" si="1317"/>
        <v>0</v>
      </c>
      <c r="O979" s="11">
        <f t="shared" si="1303"/>
        <v>11</v>
      </c>
      <c r="P979" s="25"/>
      <c r="Q979" s="10" t="str">
        <f t="shared" si="1304"/>
        <v>OutubroSEMANA 2Trident</v>
      </c>
      <c r="R979" s="7">
        <f>SUMIF(NF!$A:$A,$Q979,NF!$I:$I)</f>
        <v>0</v>
      </c>
      <c r="S979" s="6"/>
      <c r="T979" s="6">
        <v>5</v>
      </c>
      <c r="U979" s="6"/>
      <c r="V979" s="6"/>
      <c r="W979" s="6"/>
      <c r="X979" s="6"/>
      <c r="Y979" s="6"/>
      <c r="Z979" s="7">
        <f t="shared" si="1318"/>
        <v>5</v>
      </c>
      <c r="AA979" s="11">
        <f t="shared" si="1306"/>
        <v>6</v>
      </c>
      <c r="AB979" s="25"/>
      <c r="AC979" s="10" t="str">
        <f t="shared" si="1307"/>
        <v>OutubroSEMANA 3Trident</v>
      </c>
      <c r="AD979" s="7">
        <f>SUMIF(NF!$A:$A,$AC979,NF!$I:$I)</f>
        <v>0</v>
      </c>
      <c r="AE979" s="6"/>
      <c r="AF979" s="6"/>
      <c r="AG979" s="6"/>
      <c r="AH979" s="6"/>
      <c r="AI979" s="6"/>
      <c r="AJ979" s="6"/>
      <c r="AK979" s="6"/>
      <c r="AL979" s="7">
        <f t="shared" si="1319"/>
        <v>0</v>
      </c>
      <c r="AM979" s="11">
        <f t="shared" si="1309"/>
        <v>6</v>
      </c>
      <c r="AN979" s="25"/>
      <c r="AO979" s="10" t="str">
        <f t="shared" si="1310"/>
        <v>OutubroSEMANA 4Trident</v>
      </c>
      <c r="AP979" s="7">
        <f>SUMIF(NF!$A:$A,$AO979,NF!$I:$I)</f>
        <v>0</v>
      </c>
      <c r="AQ979" s="6"/>
      <c r="AR979" s="6"/>
      <c r="AS979" s="6"/>
      <c r="AT979" s="6">
        <v>1</v>
      </c>
      <c r="AU979" s="6"/>
      <c r="AV979" s="6"/>
      <c r="AW979" s="6"/>
      <c r="AX979" s="7">
        <f t="shared" si="1320"/>
        <v>1</v>
      </c>
      <c r="AY979" s="11">
        <f t="shared" si="1312"/>
        <v>5</v>
      </c>
      <c r="AZ979" s="25"/>
      <c r="BA979" s="10" t="str">
        <f t="shared" si="1313"/>
        <v>OutubroSEMANA 5Trident</v>
      </c>
      <c r="BB979" s="7">
        <f>SUMIF(NF!$A:$A,$BA979,NF!$I:$I)</f>
        <v>0</v>
      </c>
      <c r="BC979" s="6"/>
      <c r="BD979" s="6">
        <v>1</v>
      </c>
      <c r="BE979" s="6"/>
      <c r="BF979" s="74"/>
      <c r="BG979" s="74"/>
      <c r="BH979" s="74"/>
      <c r="BI979" s="74"/>
      <c r="BJ979" s="74"/>
      <c r="BK979" s="7">
        <f t="shared" si="1321"/>
        <v>1</v>
      </c>
      <c r="BL979" s="8">
        <f t="shared" si="1315"/>
        <v>4</v>
      </c>
      <c r="BM979" s="51" t="str">
        <f>IFERROR(VLOOKUP(A979,NF!$M:$O,3,0),"")</f>
        <v>Vendas Caixa</v>
      </c>
      <c r="BN979" s="7">
        <f t="shared" si="1316"/>
        <v>7</v>
      </c>
      <c r="BO979" s="8">
        <f t="array" ref="BO979">IFERROR(LARGE(IF(NF!$G$2:$G$3137='Mês atual'!A979,NF!$J$2:$J$3137),1),0)*BN979</f>
        <v>0</v>
      </c>
      <c r="BP979" s="50"/>
      <c r="BR979" s="147">
        <f t="array" ref="BR979">IFERROR(LARGE(IF(NF!$G$2:$G$3137='Mês atual'!A979,NF!$J$2:$J$3137),1),0)</f>
        <v>0</v>
      </c>
      <c r="BS979" s="143" t="str">
        <f>VLOOKUP(A979,NF!M:O,3,0)</f>
        <v>Vendas Caixa</v>
      </c>
    </row>
    <row r="980" spans="1:74" ht="15.75" thickBot="1" x14ac:dyDescent="0.3">
      <c r="A980" s="108" t="s">
        <v>827</v>
      </c>
      <c r="B980" s="12"/>
      <c r="C980" s="9"/>
      <c r="D980" s="25"/>
      <c r="E980" s="10" t="str">
        <f t="shared" si="1301"/>
        <v>OutubroSEMANA 1Trufas Diversas</v>
      </c>
      <c r="F980" s="7">
        <f>SUMIF(NF!$A:$A,$E980,NF!$I:$I)</f>
        <v>0</v>
      </c>
      <c r="G980" s="6"/>
      <c r="H980" s="6"/>
      <c r="I980" s="6"/>
      <c r="J980" s="6"/>
      <c r="K980" s="6"/>
      <c r="L980" s="6"/>
      <c r="M980" s="6"/>
      <c r="N980" s="7">
        <f t="shared" si="1317"/>
        <v>0</v>
      </c>
      <c r="O980" s="11">
        <f t="shared" si="1303"/>
        <v>0</v>
      </c>
      <c r="P980" s="25"/>
      <c r="Q980" s="10" t="str">
        <f t="shared" si="1304"/>
        <v>OutubroSEMANA 2Trufas Diversas</v>
      </c>
      <c r="R980" s="7">
        <f>SUMIF(NF!$A:$A,$Q980,NF!$I:$I)</f>
        <v>0</v>
      </c>
      <c r="S980" s="6"/>
      <c r="T980" s="6"/>
      <c r="U980" s="6"/>
      <c r="V980" s="6"/>
      <c r="W980" s="6"/>
      <c r="X980" s="6"/>
      <c r="Y980" s="6"/>
      <c r="Z980" s="7">
        <f t="shared" si="1318"/>
        <v>0</v>
      </c>
      <c r="AA980" s="11">
        <f t="shared" si="1306"/>
        <v>0</v>
      </c>
      <c r="AB980" s="25"/>
      <c r="AC980" s="10" t="str">
        <f t="shared" si="1307"/>
        <v>OutubroSEMANA 3Trufas Diversas</v>
      </c>
      <c r="AD980" s="7">
        <f>SUMIF(NF!$A:$A,$AC980,NF!$I:$I)</f>
        <v>0</v>
      </c>
      <c r="AE980" s="6"/>
      <c r="AF980" s="6"/>
      <c r="AG980" s="6"/>
      <c r="AH980" s="6"/>
      <c r="AI980" s="6"/>
      <c r="AJ980" s="6"/>
      <c r="AK980" s="6"/>
      <c r="AL980" s="7">
        <f t="shared" si="1319"/>
        <v>0</v>
      </c>
      <c r="AM980" s="11">
        <f t="shared" si="1309"/>
        <v>0</v>
      </c>
      <c r="AN980" s="25"/>
      <c r="AO980" s="10" t="str">
        <f t="shared" si="1310"/>
        <v>OutubroSEMANA 4Trufas Diversas</v>
      </c>
      <c r="AP980" s="7">
        <f>SUMIF(NF!$A:$A,$AO980,NF!$I:$I)</f>
        <v>0</v>
      </c>
      <c r="AQ980" s="6"/>
      <c r="AR980" s="6"/>
      <c r="AS980" s="6"/>
      <c r="AT980" s="6"/>
      <c r="AU980" s="6"/>
      <c r="AV980" s="6"/>
      <c r="AW980" s="6"/>
      <c r="AX980" s="7">
        <f t="shared" si="1320"/>
        <v>0</v>
      </c>
      <c r="AY980" s="11">
        <f t="shared" si="1312"/>
        <v>0</v>
      </c>
      <c r="AZ980" s="25"/>
      <c r="BA980" s="10" t="str">
        <f t="shared" si="1313"/>
        <v>OutubroSEMANA 5Trufas Diversas</v>
      </c>
      <c r="BB980" s="7">
        <f>SUMIF(NF!$A:$A,$BA980,NF!$I:$I)</f>
        <v>0</v>
      </c>
      <c r="BC980" s="6"/>
      <c r="BD980" s="6"/>
      <c r="BE980" s="6"/>
      <c r="BF980" s="74"/>
      <c r="BG980" s="74"/>
      <c r="BH980" s="74"/>
      <c r="BI980" s="74"/>
      <c r="BJ980" s="74"/>
      <c r="BK980" s="7">
        <f t="shared" si="1321"/>
        <v>0</v>
      </c>
      <c r="BL980" s="8">
        <f t="shared" si="1315"/>
        <v>0</v>
      </c>
      <c r="BM980" s="51" t="str">
        <f>IFERROR(VLOOKUP(A980,NF!$M:$O,3,0),"")</f>
        <v>Vendas Caixa</v>
      </c>
      <c r="BN980" s="7">
        <f t="shared" si="1316"/>
        <v>0</v>
      </c>
      <c r="BO980" s="8">
        <f t="array" ref="BO980">IFERROR(LARGE(IF(NF!$G$2:$G$3137='Mês atual'!A980,NF!$J$2:$J$3137),1),0)*BN980</f>
        <v>0</v>
      </c>
      <c r="BP980" s="50"/>
      <c r="BR980" s="147">
        <f t="array" ref="BR980">IFERROR(LARGE(IF(NF!$G$2:$G$3137='Mês atual'!A980,NF!$J$2:$J$3137),1),0)</f>
        <v>0</v>
      </c>
      <c r="BS980" s="143" t="str">
        <f>VLOOKUP(A980,NF!M:O,3,0)</f>
        <v>Vendas Caixa</v>
      </c>
    </row>
    <row r="981" spans="1:74" ht="15.75" thickBot="1" x14ac:dyDescent="0.3">
      <c r="A981" s="109"/>
      <c r="B981" s="64"/>
      <c r="C981" s="64"/>
      <c r="D981" s="58"/>
      <c r="E981" s="97"/>
      <c r="F981" s="64"/>
      <c r="G981" s="58"/>
      <c r="H981" s="58"/>
      <c r="I981" s="58"/>
      <c r="J981" s="58"/>
      <c r="K981" s="58"/>
      <c r="L981" s="58"/>
      <c r="M981" s="58"/>
      <c r="N981" s="58"/>
      <c r="O981" s="64"/>
      <c r="P981" s="58"/>
      <c r="Q981" s="97"/>
      <c r="R981" s="64"/>
      <c r="S981" s="58"/>
      <c r="T981" s="58"/>
      <c r="U981" s="58"/>
      <c r="V981" s="58"/>
      <c r="W981" s="58"/>
      <c r="X981" s="58"/>
      <c r="Y981" s="58"/>
      <c r="Z981" s="58"/>
      <c r="AA981" s="64"/>
      <c r="AB981" s="58"/>
      <c r="AC981" s="97"/>
      <c r="AD981" s="64"/>
      <c r="AE981" s="58"/>
      <c r="AF981" s="58"/>
      <c r="AG981" s="58"/>
      <c r="AH981" s="58"/>
      <c r="AI981" s="58"/>
      <c r="AJ981" s="58"/>
      <c r="AK981" s="58"/>
      <c r="AL981" s="58"/>
      <c r="AM981" s="64"/>
      <c r="AN981" s="58"/>
      <c r="AO981" s="97"/>
      <c r="AP981" s="64"/>
      <c r="AQ981" s="58"/>
      <c r="AR981" s="58"/>
      <c r="AS981" s="58"/>
      <c r="AT981" s="58"/>
      <c r="AU981" s="58"/>
      <c r="AV981" s="58"/>
      <c r="AW981" s="58"/>
      <c r="AX981" s="58"/>
      <c r="AY981" s="64"/>
      <c r="AZ981" s="58"/>
      <c r="BA981" s="97"/>
      <c r="BB981" s="64"/>
      <c r="BC981" s="58"/>
      <c r="BD981" s="58"/>
      <c r="BE981" s="58"/>
      <c r="BF981" s="58"/>
      <c r="BG981" s="58"/>
      <c r="BH981" s="58"/>
      <c r="BI981" s="58"/>
      <c r="BJ981" s="58"/>
      <c r="BK981" s="58"/>
      <c r="BL981" s="64"/>
      <c r="BM981" s="58"/>
      <c r="BN981" s="98"/>
      <c r="BO981" s="99"/>
      <c r="BP981" s="50"/>
    </row>
    <row r="982" spans="1:74" s="2" customFormat="1" ht="15.75" thickBot="1" x14ac:dyDescent="0.3">
      <c r="A982" s="100" t="s">
        <v>57</v>
      </c>
      <c r="B982" s="57"/>
      <c r="C982" s="62"/>
      <c r="D982" s="50"/>
      <c r="E982" s="54"/>
      <c r="F982" s="63"/>
      <c r="G982" s="67">
        <f t="shared" ref="G982:M982" si="1322">SUMPRODUCT(G5:G980,$BR$5:$BR$980)</f>
        <v>5245.2427496241517</v>
      </c>
      <c r="H982" s="67">
        <f t="shared" si="1322"/>
        <v>4900.6825859438877</v>
      </c>
      <c r="I982" s="67">
        <f t="shared" si="1322"/>
        <v>5848.595049099581</v>
      </c>
      <c r="J982" s="67">
        <f t="shared" si="1322"/>
        <v>4516.5931933459815</v>
      </c>
      <c r="K982" s="67">
        <f t="shared" si="1322"/>
        <v>5988.3670665350146</v>
      </c>
      <c r="L982" s="67">
        <f t="shared" si="1322"/>
        <v>5654.7974390143081</v>
      </c>
      <c r="M982" s="67">
        <f t="shared" si="1322"/>
        <v>5430.9601901632459</v>
      </c>
      <c r="N982" s="68">
        <f>SUM(G982:M982)</f>
        <v>37585.238273726172</v>
      </c>
      <c r="O982" s="59"/>
      <c r="P982" s="50"/>
      <c r="Q982" s="54"/>
      <c r="R982" s="63"/>
      <c r="S982" s="67">
        <f t="shared" ref="S982:Y982" si="1323">SUMPRODUCT(S5:S980,$BR$5:$BR$980)</f>
        <v>6419.1575291708732</v>
      </c>
      <c r="T982" s="67">
        <f t="shared" si="1323"/>
        <v>4611.9142156080779</v>
      </c>
      <c r="U982" s="67">
        <f t="shared" si="1323"/>
        <v>7535.4328591820104</v>
      </c>
      <c r="V982" s="67">
        <f t="shared" si="1323"/>
        <v>5177.9556038267992</v>
      </c>
      <c r="W982" s="67">
        <f t="shared" si="1323"/>
        <v>6400.168351995575</v>
      </c>
      <c r="X982" s="67">
        <f t="shared" si="1323"/>
        <v>5167.0867133844722</v>
      </c>
      <c r="Y982" s="67">
        <f t="shared" si="1323"/>
        <v>6733.6447862049872</v>
      </c>
      <c r="Z982" s="68">
        <f>SUM(S982:Y982)</f>
        <v>42045.360059372797</v>
      </c>
      <c r="AA982" s="59"/>
      <c r="AB982" s="50"/>
      <c r="AC982" s="54"/>
      <c r="AD982" s="63"/>
      <c r="AE982" s="67">
        <f t="shared" ref="AE982:AK982" si="1324">SUMPRODUCT(AE5:AE980,$BR$5:$BR$980)</f>
        <v>6945.9052311059977</v>
      </c>
      <c r="AF982" s="67">
        <f t="shared" si="1324"/>
        <v>5133.6350657692838</v>
      </c>
      <c r="AG982" s="67">
        <f t="shared" si="1324"/>
        <v>5419.6038697107133</v>
      </c>
      <c r="AH982" s="67">
        <f t="shared" si="1324"/>
        <v>5765.87171425005</v>
      </c>
      <c r="AI982" s="67">
        <f t="shared" si="1324"/>
        <v>5970.5116894356916</v>
      </c>
      <c r="AJ982" s="67">
        <f t="shared" si="1324"/>
        <v>5853.1649685960656</v>
      </c>
      <c r="AK982" s="67">
        <f t="shared" si="1324"/>
        <v>5270.2228484419466</v>
      </c>
      <c r="AL982" s="68">
        <f>SUM(AE982:AK982)</f>
        <v>40358.915387309753</v>
      </c>
      <c r="AM982" s="59"/>
      <c r="AN982" s="50"/>
      <c r="AO982" s="54"/>
      <c r="AP982" s="63"/>
      <c r="AQ982" s="67">
        <f t="shared" ref="AQ982:AW982" si="1325">SUMPRODUCT(AQ5:AQ980,$BR$5:$BR$980)</f>
        <v>6518.2583100078928</v>
      </c>
      <c r="AR982" s="67">
        <f t="shared" si="1325"/>
        <v>5426.7843460172817</v>
      </c>
      <c r="AS982" s="67">
        <f t="shared" si="1325"/>
        <v>4448.8470681359186</v>
      </c>
      <c r="AT982" s="67">
        <f t="shared" si="1325"/>
        <v>5624.7150105631381</v>
      </c>
      <c r="AU982" s="67">
        <f t="shared" si="1325"/>
        <v>5881.0478226914011</v>
      </c>
      <c r="AV982" s="67">
        <f t="shared" si="1325"/>
        <v>4886.7646904727007</v>
      </c>
      <c r="AW982" s="67">
        <f t="shared" si="1325"/>
        <v>4836.1152423201174</v>
      </c>
      <c r="AX982" s="68">
        <f>SUM(AQ982:AW982)</f>
        <v>37622.532490208454</v>
      </c>
      <c r="AY982" s="59"/>
      <c r="AZ982" s="50"/>
      <c r="BA982" s="54"/>
      <c r="BB982" s="63"/>
      <c r="BC982" s="67">
        <f t="shared" ref="BC982:BJ982" si="1326">SUMPRODUCT(BC5:BC980,$BR$5:$BR$980)</f>
        <v>7884.1444516750689</v>
      </c>
      <c r="BD982" s="67">
        <f t="shared" si="1326"/>
        <v>5627.961194795399</v>
      </c>
      <c r="BE982" s="67">
        <f t="shared" si="1326"/>
        <v>4371.9650623869584</v>
      </c>
      <c r="BF982" s="67">
        <f t="shared" si="1326"/>
        <v>0</v>
      </c>
      <c r="BG982" s="67">
        <f t="shared" si="1326"/>
        <v>0</v>
      </c>
      <c r="BH982" s="67">
        <f t="shared" si="1326"/>
        <v>0</v>
      </c>
      <c r="BI982" s="67">
        <f t="shared" si="1326"/>
        <v>0</v>
      </c>
      <c r="BJ982" s="67">
        <f t="shared" si="1326"/>
        <v>0</v>
      </c>
      <c r="BK982" s="68">
        <f>SUM(BC982:BJ982)</f>
        <v>17884.070708857427</v>
      </c>
      <c r="BL982" s="59"/>
      <c r="BM982" s="50"/>
      <c r="BN982" s="55"/>
      <c r="BO982" s="101">
        <f>SUM(BO5:BO980)</f>
        <v>175496.11691947465</v>
      </c>
      <c r="BP982" s="50"/>
      <c r="BQ982" s="144"/>
      <c r="BR982" s="144"/>
      <c r="BS982" s="144"/>
      <c r="BT982" s="144"/>
      <c r="BU982" s="144"/>
      <c r="BV982" s="144"/>
    </row>
    <row r="983" spans="1:74" ht="15.75" thickBot="1" x14ac:dyDescent="0.3">
      <c r="A983" s="110"/>
      <c r="B983" s="62"/>
      <c r="C983" s="102"/>
      <c r="D983" s="50"/>
      <c r="E983" s="103"/>
      <c r="F983" s="102"/>
      <c r="G983" s="69"/>
      <c r="H983" s="69"/>
      <c r="I983" s="69"/>
      <c r="J983" s="69"/>
      <c r="K983" s="69"/>
      <c r="L983" s="69"/>
      <c r="M983" s="69"/>
      <c r="N983" s="69"/>
      <c r="O983" s="102"/>
      <c r="P983" s="50"/>
      <c r="Q983" s="103"/>
      <c r="R983" s="102"/>
      <c r="S983" s="69"/>
      <c r="T983" s="69"/>
      <c r="U983" s="69"/>
      <c r="V983" s="69"/>
      <c r="W983" s="69"/>
      <c r="X983" s="69"/>
      <c r="Y983" s="69"/>
      <c r="Z983" s="69"/>
      <c r="AA983" s="102"/>
      <c r="AB983" s="50"/>
      <c r="AC983" s="103"/>
      <c r="AD983" s="102"/>
      <c r="AE983" s="69"/>
      <c r="AF983" s="69"/>
      <c r="AG983" s="69"/>
      <c r="AH983" s="69"/>
      <c r="AI983" s="69"/>
      <c r="AJ983" s="69"/>
      <c r="AK983" s="69"/>
      <c r="AL983" s="69"/>
      <c r="AM983" s="102"/>
      <c r="AN983" s="50"/>
      <c r="AO983" s="103"/>
      <c r="AP983" s="102"/>
      <c r="AQ983" s="69"/>
      <c r="AR983" s="69"/>
      <c r="AS983" s="69"/>
      <c r="AT983" s="69"/>
      <c r="AU983" s="69"/>
      <c r="AV983" s="69"/>
      <c r="AW983" s="69"/>
      <c r="AX983" s="69"/>
      <c r="AY983" s="102"/>
      <c r="AZ983" s="50"/>
      <c r="BA983" s="103"/>
      <c r="BB983" s="102"/>
      <c r="BC983" s="69"/>
      <c r="BD983" s="69"/>
      <c r="BE983" s="69"/>
      <c r="BF983" s="69"/>
      <c r="BG983" s="69"/>
      <c r="BH983" s="69"/>
      <c r="BI983" s="69"/>
      <c r="BJ983" s="69"/>
      <c r="BK983" s="69"/>
      <c r="BL983" s="102"/>
      <c r="BM983" s="50"/>
      <c r="BN983" s="104"/>
      <c r="BO983" s="105"/>
      <c r="BP983" s="50"/>
    </row>
    <row r="984" spans="1:74" s="2" customFormat="1" ht="15.75" thickBot="1" x14ac:dyDescent="0.3">
      <c r="A984" s="100" t="s">
        <v>58</v>
      </c>
      <c r="B984" s="57"/>
      <c r="C984" s="62"/>
      <c r="D984" s="50"/>
      <c r="E984" s="54"/>
      <c r="F984" s="63"/>
      <c r="G984" s="67">
        <f t="shared" ref="G984:M984" si="1327">SUMPRODUCT(G5:G980,$BR$5:$BR$980,--($BS$5:$BS$980="Carnes"))</f>
        <v>1347.6849999999999</v>
      </c>
      <c r="H984" s="67">
        <f t="shared" si="1327"/>
        <v>2663.5169999999998</v>
      </c>
      <c r="I984" s="67">
        <f t="shared" si="1327"/>
        <v>2572.239</v>
      </c>
      <c r="J984" s="67">
        <f t="shared" si="1327"/>
        <v>2238.1661199999994</v>
      </c>
      <c r="K984" s="67">
        <f t="shared" si="1327"/>
        <v>2328.3911000000003</v>
      </c>
      <c r="L984" s="67">
        <f t="shared" si="1327"/>
        <v>2472.0719599999998</v>
      </c>
      <c r="M984" s="67">
        <f t="shared" si="1327"/>
        <v>1533.2758999999999</v>
      </c>
      <c r="N984" s="68">
        <f>SUM(G984:M984)</f>
        <v>15155.346079999999</v>
      </c>
      <c r="O984" s="59"/>
      <c r="P984" s="50"/>
      <c r="Q984" s="54"/>
      <c r="R984" s="63"/>
      <c r="S984" s="67">
        <f t="shared" ref="S984:Y984" si="1328">SUMPRODUCT(S5:S980,$BR$5:$BR$980,--($BS$5:$BS$980="Carnes"))</f>
        <v>2475.1474279999998</v>
      </c>
      <c r="T984" s="67">
        <f t="shared" si="1328"/>
        <v>1316.9836</v>
      </c>
      <c r="U984" s="67">
        <f t="shared" si="1328"/>
        <v>3078.8780400000001</v>
      </c>
      <c r="V984" s="67">
        <f t="shared" si="1328"/>
        <v>2319.4859317647056</v>
      </c>
      <c r="W984" s="67">
        <f t="shared" si="1328"/>
        <v>2685.8559999999998</v>
      </c>
      <c r="X984" s="67">
        <f t="shared" si="1328"/>
        <v>1841.2933879999998</v>
      </c>
      <c r="Y984" s="67">
        <f t="shared" si="1328"/>
        <v>2678.8537999999999</v>
      </c>
      <c r="Z984" s="68">
        <f>SUM(S984:Y984)</f>
        <v>16396.498187764704</v>
      </c>
      <c r="AA984" s="59"/>
      <c r="AB984" s="50"/>
      <c r="AC984" s="54"/>
      <c r="AD984" s="63"/>
      <c r="AE984" s="67">
        <f t="shared" ref="AE984:AK984" si="1329">SUMPRODUCT(AE5:AE980,$BR$5:$BR$980,--($BS$5:$BS$980="Carnes"))</f>
        <v>2761.4813588235297</v>
      </c>
      <c r="AF984" s="67">
        <f t="shared" si="1329"/>
        <v>2059.1669999999999</v>
      </c>
      <c r="AG984" s="67">
        <f t="shared" si="1329"/>
        <v>2777.4322399999996</v>
      </c>
      <c r="AH984" s="67">
        <f t="shared" si="1329"/>
        <v>2185.1025</v>
      </c>
      <c r="AI984" s="67">
        <f t="shared" si="1329"/>
        <v>2922.8482000000004</v>
      </c>
      <c r="AJ984" s="67">
        <f t="shared" si="1329"/>
        <v>1991.2236999999998</v>
      </c>
      <c r="AK984" s="67">
        <f t="shared" si="1329"/>
        <v>1359.8278999999998</v>
      </c>
      <c r="AL984" s="68">
        <f>SUM(AE984:AK984)</f>
        <v>16057.082898823532</v>
      </c>
      <c r="AM984" s="59"/>
      <c r="AN984" s="50"/>
      <c r="AO984" s="54"/>
      <c r="AP984" s="63"/>
      <c r="AQ984" s="67">
        <f t="shared" ref="AQ984:AW984" si="1330">SUMPRODUCT(AQ5:AQ980,$BR$5:$BR$980,--($BS$5:$BS$980="Carnes"))</f>
        <v>2781.2708000000002</v>
      </c>
      <c r="AR984" s="67">
        <f t="shared" si="1330"/>
        <v>2271.5541199999998</v>
      </c>
      <c r="AS984" s="67">
        <f t="shared" si="1330"/>
        <v>2196.4061999999999</v>
      </c>
      <c r="AT984" s="67">
        <f t="shared" si="1330"/>
        <v>2667.2732000000001</v>
      </c>
      <c r="AU984" s="67">
        <f t="shared" si="1330"/>
        <v>2749.4897000000001</v>
      </c>
      <c r="AV984" s="67">
        <f t="shared" si="1330"/>
        <v>1884.5669499999999</v>
      </c>
      <c r="AW984" s="67">
        <f t="shared" si="1330"/>
        <v>1824.7341599999997</v>
      </c>
      <c r="AX984" s="68">
        <f>SUM(AQ984:AW984)</f>
        <v>16375.29513</v>
      </c>
      <c r="AY984" s="59"/>
      <c r="AZ984" s="50"/>
      <c r="BA984" s="54"/>
      <c r="BB984" s="63"/>
      <c r="BC984" s="67">
        <f t="shared" ref="BC984:BJ984" si="1331">SUMPRODUCT(BC5:BC980,$BR$5:$BR$980,--($BS$5:$BS$980="Carnes"))</f>
        <v>3524.5700000000006</v>
      </c>
      <c r="BD984" s="67">
        <f t="shared" si="1331"/>
        <v>2417.2901999999999</v>
      </c>
      <c r="BE984" s="67">
        <f t="shared" si="1331"/>
        <v>1551.6424999999999</v>
      </c>
      <c r="BF984" s="67">
        <f t="shared" si="1331"/>
        <v>0</v>
      </c>
      <c r="BG984" s="67">
        <f t="shared" si="1331"/>
        <v>0</v>
      </c>
      <c r="BH984" s="67">
        <f t="shared" si="1331"/>
        <v>0</v>
      </c>
      <c r="BI984" s="67">
        <f t="shared" si="1331"/>
        <v>0</v>
      </c>
      <c r="BJ984" s="67">
        <f t="shared" si="1331"/>
        <v>0</v>
      </c>
      <c r="BK984" s="68">
        <f>SUM(BC984:BJ984)</f>
        <v>7493.5027000000009</v>
      </c>
      <c r="BL984" s="59"/>
      <c r="BM984" s="50"/>
      <c r="BN984" s="55"/>
      <c r="BO984" s="101">
        <f>SUMPRODUCT(BN5:BN980,$BR$5:$BR$980,--($BS$5:$BS$980="Carnes"))</f>
        <v>71477.724996588251</v>
      </c>
      <c r="BP984" s="50"/>
      <c r="BQ984" s="144"/>
      <c r="BR984" s="144"/>
      <c r="BS984" s="144"/>
      <c r="BT984" s="144"/>
      <c r="BU984" s="144"/>
      <c r="BV984" s="144"/>
    </row>
    <row r="985" spans="1:74" ht="15.75" thickBot="1" x14ac:dyDescent="0.3">
      <c r="A985" s="110"/>
      <c r="B985" s="62"/>
      <c r="C985" s="102"/>
      <c r="D985" s="50"/>
      <c r="E985" s="103"/>
      <c r="F985" s="102"/>
      <c r="G985" s="69"/>
      <c r="H985" s="69"/>
      <c r="I985" s="69"/>
      <c r="J985" s="69"/>
      <c r="K985" s="69"/>
      <c r="L985" s="69"/>
      <c r="M985" s="69"/>
      <c r="N985" s="69"/>
      <c r="O985" s="102"/>
      <c r="P985" s="50"/>
      <c r="Q985" s="103"/>
      <c r="R985" s="102"/>
      <c r="S985" s="69"/>
      <c r="T985" s="69"/>
      <c r="U985" s="69"/>
      <c r="V985" s="69"/>
      <c r="W985" s="69"/>
      <c r="X985" s="69"/>
      <c r="Y985" s="69"/>
      <c r="Z985" s="69"/>
      <c r="AA985" s="102"/>
      <c r="AB985" s="50"/>
      <c r="AC985" s="103"/>
      <c r="AD985" s="102"/>
      <c r="AE985" s="69"/>
      <c r="AF985" s="69"/>
      <c r="AG985" s="69"/>
      <c r="AH985" s="69"/>
      <c r="AI985" s="69"/>
      <c r="AJ985" s="69"/>
      <c r="AK985" s="69"/>
      <c r="AL985" s="69"/>
      <c r="AM985" s="102"/>
      <c r="AN985" s="50"/>
      <c r="AO985" s="103"/>
      <c r="AP985" s="102"/>
      <c r="AQ985" s="69"/>
      <c r="AR985" s="69"/>
      <c r="AS985" s="69"/>
      <c r="AT985" s="69"/>
      <c r="AU985" s="69"/>
      <c r="AV985" s="69"/>
      <c r="AW985" s="69"/>
      <c r="AX985" s="69"/>
      <c r="AY985" s="102"/>
      <c r="AZ985" s="50"/>
      <c r="BA985" s="103"/>
      <c r="BB985" s="102"/>
      <c r="BC985" s="69"/>
      <c r="BD985" s="69"/>
      <c r="BE985" s="69"/>
      <c r="BF985" s="69"/>
      <c r="BG985" s="69"/>
      <c r="BH985" s="69"/>
      <c r="BI985" s="69"/>
      <c r="BJ985" s="69"/>
      <c r="BK985" s="69"/>
      <c r="BL985" s="102"/>
      <c r="BM985" s="50"/>
      <c r="BN985" s="104"/>
      <c r="BO985" s="105"/>
      <c r="BP985" s="50"/>
    </row>
    <row r="986" spans="1:74" s="2" customFormat="1" ht="15.75" thickBot="1" x14ac:dyDescent="0.3">
      <c r="A986" s="100" t="s">
        <v>59</v>
      </c>
      <c r="B986" s="57"/>
      <c r="C986" s="62"/>
      <c r="D986" s="50"/>
      <c r="E986" s="54"/>
      <c r="F986" s="63"/>
      <c r="G986" s="70">
        <f t="shared" ref="G986:M986" si="1332">SUMIF($BS$5:$BS$980,"Carnes",G5:G980)</f>
        <v>74.3</v>
      </c>
      <c r="H986" s="70">
        <f t="shared" si="1332"/>
        <v>110</v>
      </c>
      <c r="I986" s="70">
        <f t="shared" si="1332"/>
        <v>113.84</v>
      </c>
      <c r="J986" s="70">
        <f t="shared" si="1332"/>
        <v>94.416000000000011</v>
      </c>
      <c r="K986" s="70">
        <f t="shared" si="1332"/>
        <v>112.705</v>
      </c>
      <c r="L986" s="70">
        <f t="shared" si="1332"/>
        <v>127.572</v>
      </c>
      <c r="M986" s="70">
        <f t="shared" si="1332"/>
        <v>75.441000000000017</v>
      </c>
      <c r="N986" s="71">
        <f>SUM(G986:M986)</f>
        <v>708.274</v>
      </c>
      <c r="O986" s="59"/>
      <c r="P986" s="50"/>
      <c r="Q986" s="54"/>
      <c r="R986" s="63"/>
      <c r="S986" s="70">
        <f t="shared" ref="S986:Y986" si="1333">SUMIF($BS$5:$BS$980,"Carnes",S5:S980)</f>
        <v>85.83</v>
      </c>
      <c r="T986" s="70">
        <f t="shared" si="1333"/>
        <v>92.527000000000001</v>
      </c>
      <c r="U986" s="70">
        <f t="shared" si="1333"/>
        <v>107.55799999999999</v>
      </c>
      <c r="V986" s="70">
        <f t="shared" si="1333"/>
        <v>79.563999999999993</v>
      </c>
      <c r="W986" s="70">
        <f t="shared" si="1333"/>
        <v>91.33</v>
      </c>
      <c r="X986" s="70">
        <f t="shared" si="1333"/>
        <v>85.42</v>
      </c>
      <c r="Y986" s="70">
        <f t="shared" si="1333"/>
        <v>80</v>
      </c>
      <c r="Z986" s="71">
        <f>SUM(S986:Y986)</f>
        <v>622.22899999999993</v>
      </c>
      <c r="AA986" s="59"/>
      <c r="AB986" s="50"/>
      <c r="AC986" s="54"/>
      <c r="AD986" s="63"/>
      <c r="AE986" s="70">
        <f t="shared" ref="AE986:AK986" si="1334">SUMIF($BS$5:$BS$980,"Carnes",AE5:AE980)</f>
        <v>90.725999999999999</v>
      </c>
      <c r="AF986" s="70">
        <f t="shared" si="1334"/>
        <v>88.9</v>
      </c>
      <c r="AG986" s="70">
        <f t="shared" si="1334"/>
        <v>94.233999999999995</v>
      </c>
      <c r="AH986" s="70">
        <f t="shared" si="1334"/>
        <v>134.20499999999998</v>
      </c>
      <c r="AI986" s="70">
        <f t="shared" si="1334"/>
        <v>106.465</v>
      </c>
      <c r="AJ986" s="70">
        <f t="shared" si="1334"/>
        <v>124.43999999999997</v>
      </c>
      <c r="AK986" s="70">
        <f t="shared" si="1334"/>
        <v>74.349999999999994</v>
      </c>
      <c r="AL986" s="71">
        <f>SUM(AE986:AK986)</f>
        <v>713.31999999999994</v>
      </c>
      <c r="AM986" s="59"/>
      <c r="AN986" s="50"/>
      <c r="AO986" s="54"/>
      <c r="AP986" s="63"/>
      <c r="AQ986" s="70">
        <f t="shared" ref="AQ986:AW986" si="1335">SUMIF($BS$5:$BS$980,"Carnes",AQ5:AQ980)</f>
        <v>94.56</v>
      </c>
      <c r="AR986" s="70">
        <f t="shared" si="1335"/>
        <v>89.858999999999995</v>
      </c>
      <c r="AS986" s="70">
        <f t="shared" si="1335"/>
        <v>102.11</v>
      </c>
      <c r="AT986" s="70">
        <f t="shared" si="1335"/>
        <v>108.13000000000002</v>
      </c>
      <c r="AU986" s="70">
        <f t="shared" si="1335"/>
        <v>121.87</v>
      </c>
      <c r="AV986" s="70">
        <f t="shared" si="1335"/>
        <v>91.595000000000013</v>
      </c>
      <c r="AW986" s="70">
        <f t="shared" si="1335"/>
        <v>113.194</v>
      </c>
      <c r="AX986" s="71">
        <f>SUM(AQ986:AW986)</f>
        <v>721.31799999999998</v>
      </c>
      <c r="AY986" s="59"/>
      <c r="AZ986" s="50"/>
      <c r="BA986" s="54"/>
      <c r="BB986" s="63"/>
      <c r="BC986" s="70">
        <f t="shared" ref="BC986:BJ986" si="1336">SUMIF($BS$5:$BS$980,"Carnes",BC5:BC980)</f>
        <v>110.25</v>
      </c>
      <c r="BD986" s="70">
        <f t="shared" si="1336"/>
        <v>107.22000000000001</v>
      </c>
      <c r="BE986" s="70">
        <f t="shared" si="1336"/>
        <v>95.91</v>
      </c>
      <c r="BF986" s="70">
        <f t="shared" si="1336"/>
        <v>0</v>
      </c>
      <c r="BG986" s="70">
        <f t="shared" si="1336"/>
        <v>0</v>
      </c>
      <c r="BH986" s="70">
        <f t="shared" si="1336"/>
        <v>0</v>
      </c>
      <c r="BI986" s="70">
        <f t="shared" si="1336"/>
        <v>0</v>
      </c>
      <c r="BJ986" s="70">
        <f t="shared" si="1336"/>
        <v>0</v>
      </c>
      <c r="BK986" s="71">
        <f>SUM(BC986:BJ986)</f>
        <v>313.38</v>
      </c>
      <c r="BL986" s="59"/>
      <c r="BM986" s="50"/>
      <c r="BN986" s="55"/>
      <c r="BO986" s="106">
        <f>SUMIF($BS$5:$BS$980,"Carnes",BN5:BN980)</f>
        <v>3078.5210000000002</v>
      </c>
      <c r="BP986" s="50"/>
      <c r="BQ986" s="144"/>
      <c r="BR986" s="144"/>
      <c r="BS986" s="144"/>
      <c r="BT986" s="144"/>
      <c r="BU986" s="144"/>
      <c r="BV986" s="144"/>
    </row>
    <row r="987" spans="1:74" ht="15.75" thickBot="1" x14ac:dyDescent="0.3">
      <c r="A987" s="111"/>
      <c r="B987" s="60"/>
      <c r="C987" s="61"/>
      <c r="D987" s="65"/>
      <c r="E987" s="61"/>
      <c r="F987" s="61"/>
      <c r="G987" s="61"/>
      <c r="H987" s="61"/>
      <c r="I987" s="61"/>
      <c r="J987" s="61"/>
      <c r="K987" s="61"/>
      <c r="L987" s="61"/>
      <c r="M987" s="61"/>
      <c r="N987" s="61"/>
      <c r="O987" s="61"/>
      <c r="P987" s="65"/>
      <c r="Q987" s="61"/>
      <c r="R987" s="61"/>
      <c r="S987" s="61"/>
      <c r="T987" s="61"/>
      <c r="U987" s="61"/>
      <c r="V987" s="61"/>
      <c r="W987" s="61"/>
      <c r="X987" s="61"/>
      <c r="Y987" s="61"/>
      <c r="Z987" s="61"/>
      <c r="AA987" s="61"/>
      <c r="AB987" s="65"/>
      <c r="AC987" s="61"/>
      <c r="AD987" s="61"/>
      <c r="AE987" s="61"/>
      <c r="AF987" s="61"/>
      <c r="AG987" s="61"/>
      <c r="AH987" s="61"/>
      <c r="AI987" s="61"/>
      <c r="AJ987" s="61"/>
      <c r="AK987" s="61"/>
      <c r="AL987" s="61"/>
      <c r="AM987" s="61"/>
      <c r="AN987" s="65"/>
      <c r="AO987" s="61"/>
      <c r="AP987" s="61"/>
      <c r="AQ987" s="61"/>
      <c r="AR987" s="61"/>
      <c r="AS987" s="61"/>
      <c r="AT987" s="61"/>
      <c r="AU987" s="61"/>
      <c r="AV987" s="61"/>
      <c r="AW987" s="61"/>
      <c r="AX987" s="61"/>
      <c r="AY987" s="61"/>
      <c r="AZ987" s="65"/>
      <c r="BA987" s="61"/>
      <c r="BB987" s="61"/>
      <c r="BC987" s="61"/>
      <c r="BD987" s="61"/>
      <c r="BE987" s="61"/>
      <c r="BF987" s="61"/>
      <c r="BG987" s="61"/>
      <c r="BH987" s="61"/>
      <c r="BI987" s="61"/>
      <c r="BJ987" s="61"/>
      <c r="BK987" s="61"/>
      <c r="BL987" s="61"/>
      <c r="BM987" s="65"/>
      <c r="BN987" s="66"/>
      <c r="BO987" s="107"/>
      <c r="BP987" s="56"/>
    </row>
    <row r="992" spans="1:74" x14ac:dyDescent="0.25">
      <c r="A992" s="114"/>
    </row>
    <row r="993" spans="1:9" x14ac:dyDescent="0.25">
      <c r="B993" s="5"/>
      <c r="C993" s="26"/>
      <c r="D993" s="26"/>
      <c r="E993" s="26"/>
      <c r="F993" s="26"/>
      <c r="G993" s="26"/>
      <c r="H993" s="26"/>
      <c r="I993" s="26"/>
    </row>
    <row r="994" spans="1:9" x14ac:dyDescent="0.25">
      <c r="A994" s="113"/>
      <c r="B994" s="5"/>
      <c r="C994" s="27"/>
      <c r="D994" s="26"/>
      <c r="E994" s="26"/>
      <c r="F994" s="26" t="s">
        <v>29</v>
      </c>
      <c r="G994" s="27"/>
      <c r="H994" s="26"/>
      <c r="I994" s="26"/>
    </row>
    <row r="995" spans="1:9" x14ac:dyDescent="0.25">
      <c r="B995" s="5"/>
      <c r="C995" s="27"/>
      <c r="D995" s="26"/>
      <c r="E995" s="26"/>
      <c r="F995" s="26" t="s">
        <v>30</v>
      </c>
      <c r="G995" s="27"/>
      <c r="H995" s="26"/>
      <c r="I995" s="26"/>
    </row>
    <row r="996" spans="1:9" x14ac:dyDescent="0.25">
      <c r="B996" s="5"/>
      <c r="C996" s="27"/>
      <c r="D996" s="26"/>
      <c r="E996" s="26"/>
      <c r="F996" s="26" t="s">
        <v>31</v>
      </c>
      <c r="G996" s="27"/>
      <c r="H996" s="26"/>
      <c r="I996" s="26"/>
    </row>
    <row r="997" spans="1:9" x14ac:dyDescent="0.25">
      <c r="A997" s="113"/>
      <c r="B997" s="5"/>
      <c r="C997" s="27"/>
      <c r="D997" s="26"/>
      <c r="E997" s="26"/>
      <c r="F997" s="26" t="s">
        <v>32</v>
      </c>
      <c r="G997" s="27"/>
      <c r="H997" s="26"/>
      <c r="I997" s="26"/>
    </row>
    <row r="998" spans="1:9" x14ac:dyDescent="0.25">
      <c r="B998" s="5"/>
      <c r="C998" s="27"/>
      <c r="D998" s="26"/>
      <c r="E998" s="26"/>
      <c r="F998" s="26" t="s">
        <v>33</v>
      </c>
      <c r="G998" s="27"/>
      <c r="H998" s="26"/>
      <c r="I998" s="26"/>
    </row>
    <row r="999" spans="1:9" x14ac:dyDescent="0.25">
      <c r="B999" s="5"/>
      <c r="C999" s="27"/>
      <c r="D999" s="26"/>
      <c r="E999" s="26"/>
      <c r="F999" s="26" t="s">
        <v>34</v>
      </c>
      <c r="G999" s="27"/>
      <c r="H999" s="26"/>
      <c r="I999" s="26"/>
    </row>
    <row r="1000" spans="1:9" x14ac:dyDescent="0.25">
      <c r="B1000" s="5"/>
      <c r="C1000" s="27"/>
      <c r="D1000" s="26"/>
      <c r="E1000" s="26"/>
      <c r="F1000" s="26" t="s">
        <v>25</v>
      </c>
      <c r="G1000" s="27"/>
      <c r="H1000" s="26"/>
      <c r="I1000" s="26"/>
    </row>
    <row r="1001" spans="1:9" x14ac:dyDescent="0.25">
      <c r="B1001" s="5"/>
      <c r="C1001" s="27"/>
      <c r="D1001" s="26"/>
      <c r="E1001" s="26"/>
      <c r="F1001" s="26" t="s">
        <v>35</v>
      </c>
      <c r="G1001" s="26"/>
      <c r="H1001" s="26"/>
      <c r="I1001" s="26"/>
    </row>
    <row r="1002" spans="1:9" x14ac:dyDescent="0.25">
      <c r="B1002" s="5"/>
      <c r="C1002" s="27"/>
      <c r="D1002" s="26"/>
      <c r="E1002" s="26"/>
      <c r="F1002" s="26" t="s">
        <v>36</v>
      </c>
      <c r="G1002" s="26"/>
      <c r="H1002" s="26"/>
      <c r="I1002" s="26"/>
    </row>
    <row r="1003" spans="1:9" x14ac:dyDescent="0.25">
      <c r="B1003" s="5"/>
      <c r="C1003" s="27"/>
      <c r="D1003" s="26"/>
      <c r="E1003" s="26"/>
      <c r="F1003" s="26" t="s">
        <v>37</v>
      </c>
      <c r="G1003" s="26"/>
      <c r="H1003" s="26"/>
      <c r="I1003" s="26"/>
    </row>
    <row r="1004" spans="1:9" x14ac:dyDescent="0.25">
      <c r="B1004" s="5"/>
      <c r="C1004" s="27"/>
      <c r="D1004" s="26"/>
      <c r="E1004" s="26"/>
      <c r="F1004" s="26" t="s">
        <v>38</v>
      </c>
      <c r="G1004" s="26"/>
      <c r="H1004" s="26"/>
      <c r="I1004" s="26"/>
    </row>
    <row r="1005" spans="1:9" x14ac:dyDescent="0.25">
      <c r="B1005" s="5"/>
      <c r="C1005" s="27"/>
      <c r="D1005" s="26"/>
      <c r="E1005" s="26"/>
      <c r="F1005" s="26" t="s">
        <v>39</v>
      </c>
      <c r="G1005" s="26"/>
      <c r="H1005" s="26"/>
      <c r="I1005" s="26"/>
    </row>
  </sheetData>
  <sheetProtection password="87CF" sheet="1" objects="1" scenarios="1" selectLockedCells="1"/>
  <sortState ref="A4:BK316">
    <sortCondition ref="A4"/>
  </sortState>
  <mergeCells count="23">
    <mergeCell ref="AD1:AM1"/>
    <mergeCell ref="AP1:AY1"/>
    <mergeCell ref="A1:A3"/>
    <mergeCell ref="F2:F3"/>
    <mergeCell ref="N2:N3"/>
    <mergeCell ref="O2:O3"/>
    <mergeCell ref="R2:R3"/>
    <mergeCell ref="F1:O1"/>
    <mergeCell ref="R1:AA1"/>
    <mergeCell ref="AA2:AA3"/>
    <mergeCell ref="Z2:Z3"/>
    <mergeCell ref="AM2:AM3"/>
    <mergeCell ref="AL2:AL3"/>
    <mergeCell ref="AD2:AD3"/>
    <mergeCell ref="BN1:BN3"/>
    <mergeCell ref="BO1:BO3"/>
    <mergeCell ref="AY2:AY3"/>
    <mergeCell ref="AX2:AX3"/>
    <mergeCell ref="AP2:AP3"/>
    <mergeCell ref="BL2:BL3"/>
    <mergeCell ref="BK2:BK3"/>
    <mergeCell ref="BB2:BB3"/>
    <mergeCell ref="BB1:BL1"/>
  </mergeCells>
  <conditionalFormatting sqref="BO5 BO766:BO773 BO700:BO701 BO868 BO892 BO835:BO845 BO908:BO909 BO338:BO340 BO804:BO833 BO886:BO888 BO890 BO235:BO237 BO798 BO883:BO884 BO894:BO902 BO870:BO881 BO723:BO764 BO239:BO246 BO342:BO362 BO847:BO857 BO859:BO866 BO800:BO802 BO469:BO474 BO667:BO674 BO912:BO913 BO904:BO905 BO14:BO28 BO46:BO68 BO476:BO509 BO775:BO796">
    <cfRule type="cellIs" dxfId="297" priority="274" operator="lessThan">
      <formula>0</formula>
    </cfRule>
  </conditionalFormatting>
  <conditionalFormatting sqref="BO918 BO971:BO980 BO931:BO957 BO920:BO925 BO702:BO703 BO720:BO721 BO708:BO717 BO705:BO706 BO927 BO929">
    <cfRule type="cellIs" dxfId="296" priority="273" operator="lessThan">
      <formula>0</formula>
    </cfRule>
  </conditionalFormatting>
  <conditionalFormatting sqref="BO765">
    <cfRule type="cellIs" dxfId="295" priority="272" operator="lessThan">
      <formula>0</formula>
    </cfRule>
  </conditionalFormatting>
  <conditionalFormatting sqref="BO915">
    <cfRule type="cellIs" dxfId="294" priority="271" operator="lessThan">
      <formula>0</formula>
    </cfRule>
  </conditionalFormatting>
  <conditionalFormatting sqref="O5 AA5 AM5 AY5 BL5 BL971:BL980 AY971:AY980 AM971:AM980 AA971:AA980 O971:O980 BL868 AY868 AM868 AA868 O868 O892 AA892 AM892 AY892 BL892 BL835:BL845 AY835:AY845 AM835:AM845 AA835:AA845 O835:O845 BL918 AY918 AM918 AA918 O918 O931:O957 AA931:AA957 AM931:AM957 AY931:AY957 BL931:BL957 BL908:BL909 AY908:AY909 AM908:AM909 AA908:AA909 O908:O909 O915 AA915 AM915 AY915 BL915 O920:O925 AA920:AA925 AM920:AM925 AY920:AY925 BL920:BL925 O700:O703 AA700:AA703 AM700:AM703 AY700:AY703 BL700:BL703 BL338:BL340 AY338:AY340 AM338:AM340 AA338:AA340 O338:O340 BL804:BL833 AY804:AY833 AM804:AM833 AA804:AA833 O804:O833 O886:O888 AA886:AA888 AM886:AM888 AY886:AY888 BL886:BL888 BL890 AY890 AM890 AA890 O890 BL235:BL237 AY235:AY237 AM235:AM237 AA235:AA237 O235:O237 BL720:BL721 AY720:AY721 AM720:AM721 AA720:AA721 O720:O721 BL798 AY798 AM798 AA798 O798 O883:O884 AA883:AA884 AM883:AM884 AY883:AY884 BL883:BL884 BL894:BL902 AY894:AY902 AM894:AM902 AA894:AA902 O894:O902 O870:O881 AA870:AA881 AM870:AM881 AY870:AY881 BL870:BL881 O723:O773 AA723:AA773 AM723:AM773 AY723:AY773 BL723:BL773 O239:O246 AA239:AA246 AM239:AM246 AY239:AY246 BL239:BL246 O342:O362 AA342:AA362 AM342:AM362 AY342:AY362 BL342:BL362 O847:O857 AA847:AA857 AM847:AM857 AY847:AY857 BL847:BL857 BL859:BL866 AY859:AY866 AM859:AM866 AA859:AA866 O859:O866 O800:O802 AA800:AA802 AM800:AM802 AY800:AY802 BL800:BL802 BL708:BL717 AY708:AY717 AM708:AM717 AA708:AA717 O708:O717 O469:O474 AA469:AA474 AM469:AM474 AY469:AY474 BL469:BL474 O667:O674 AA667:AA674 AM667:AM674 AY667:AY674 BL667:BL674 BL705:BL706 AY705:AY706 AM705:AM706 AA705:AA706 O705:O706 O912:O913 AA912:AA913 AM912:AM913 AY912:AY913 BL912:BL913 O904:O905 AA904:AA905 AM904:AM905 AY904:AY905 BL904:BL905 BL927 AY927 AM927 AA927 O927 O929 AA929 AM929 AY929 BL929 O14:O28 AA14:AA28 AM14:AM28 AY14:AY28 BL14:BL28 BL46:BL68 AY46:AY68 AM46:AM68 AA46:AA68 O46:O68 BL476:BL509 AY476:AY509 AM476:AM509 AA476:AA509 O476:O509 O775:O796 AA775:AA796 AM775:AM796 AY775:AY796 BL775:BL796">
    <cfRule type="cellIs" dxfId="293" priority="270" operator="lessThan">
      <formula>0</formula>
    </cfRule>
  </conditionalFormatting>
  <conditionalFormatting sqref="BO774">
    <cfRule type="cellIs" dxfId="292" priority="269" operator="lessThan">
      <formula>0</formula>
    </cfRule>
  </conditionalFormatting>
  <conditionalFormatting sqref="O774 AA774 AM774 AY774 BL774">
    <cfRule type="cellIs" dxfId="291" priority="268" operator="lessThan">
      <formula>0</formula>
    </cfRule>
  </conditionalFormatting>
  <conditionalFormatting sqref="BO416:BO417 BO426:BO440 BO330:BO331 BO559:BO560 BO442:BO453 BO455:BO457 BO419:BO424 BO557 BO511:BO518 BO542:BO555 BO459:BO467 BO521 BO523:BO540">
    <cfRule type="cellIs" dxfId="290" priority="267" operator="lessThan">
      <formula>0</formula>
    </cfRule>
  </conditionalFormatting>
  <conditionalFormatting sqref="BO332:BO333 BO699 BO563:BO580 BO389:BO408 BO599:BO604 BO582:BO597 BO335:BO336 BO365 BO376 BO382:BO384 BO387 BO410:BO414 BO646:BO653 BO676:BO689 BO606:BO632 BO655:BO665 BO634:BO644">
    <cfRule type="cellIs" dxfId="289" priority="266" operator="lessThan">
      <formula>0</formula>
    </cfRule>
  </conditionalFormatting>
  <conditionalFormatting sqref="BO690">
    <cfRule type="cellIs" dxfId="288" priority="265" operator="lessThan">
      <formula>0</formula>
    </cfRule>
  </conditionalFormatting>
  <conditionalFormatting sqref="BO415">
    <cfRule type="cellIs" dxfId="287" priority="264" operator="lessThan">
      <formula>0</formula>
    </cfRule>
  </conditionalFormatting>
  <conditionalFormatting sqref="BO561">
    <cfRule type="cellIs" dxfId="286" priority="263" operator="lessThan">
      <formula>0</formula>
    </cfRule>
  </conditionalFormatting>
  <conditionalFormatting sqref="BL699 AY699 AM699 AA699 O699 BL426:BL440 AY426:AY440 AM426:AM440 AA426:AA440 O426:O440 BL330:BL333 AY330:AY333 AM330:AM333 AA330:AA333 O330:O333 O389:O408 AA389:AA408 AM389:AM408 AY389:AY408 BL389:BL408 O559:O561 AA559:AA561 AM559:AM561 AY559:AY561 BL559:BL561 BL599:BL604 AY599:AY604 AM599:AM604 AA599:AA604 O599:O604 BL582:BL597 AY582:AY597 AM582:AM597 AA582:AA597 O582:O597 O335:O336 AA335:AA336 AM335:AM336 AY335:AY336 BL335:BL336 O365 AA365 AM365 AY365 BL365 BL376 AY376 AM376 AA376 O376 O382:O384 AA382:AA384 AM382:AM384 AY382:AY384 BL382:BL384 BL387 AY387 AM387 AA387 O387 BL410:BL417 AY410:AY417 AM410:AM417 AA410:AA417 O410:O417 O442:O453 AA442:AA453 AM442:AM453 AY442:AY453 BL442:BL453 BL455:BL457 AY455:AY457 AM455:AM457 AA455:AA457 O455:O457 O646:O653 AA646:AA653 AM646:AM653 AY646:AY653 BL646:BL653 BL676:BL690 AY676:AY690 AM676:AM690 AA676:AA690 O676:O690 O419:O424 AA419:AA424 AM419:AM424 AY419:AY424 BL419:BL424 BL557 AY557 AM557 AA557 O557 BL563:BL580 AY563:AY580 AM563:AM580 AA563:AA580 O563:O580 BL511:BL518 AY511:AY518 AM511:AM518 AA511:AA518 O511:O518 O542:O555 AA542:AA555 AM542:AM555 AY542:AY555 BL542:BL555 O606:O632 AA606:AA632 AM606:AM632 AY606:AY632 BL606:BL632 BL655:BL665 AY655:AY665 AM655:AM665 AA655:AA665 O655:O665 O459:O467 AA459:AA467 AM459:AM467 AY459:AY467 BL459:BL467 BL634:BL644 AY634:AY644 AM634:AM644 AA634:AA644 O634:O644 O521 AA521 AM521 AY521 BL521 BL523:BL540 AY523:AY540 AM523:AM540 AA523:AA540 O523:O540">
    <cfRule type="cellIs" dxfId="285" priority="262" operator="lessThan">
      <formula>0</formula>
    </cfRule>
  </conditionalFormatting>
  <conditionalFormatting sqref="BO698">
    <cfRule type="cellIs" dxfId="284" priority="261" operator="lessThan">
      <formula>0</formula>
    </cfRule>
  </conditionalFormatting>
  <conditionalFormatting sqref="O698 AA698 AM698 AY698 BL698">
    <cfRule type="cellIs" dxfId="283" priority="260" operator="lessThan">
      <formula>0</formula>
    </cfRule>
  </conditionalFormatting>
  <conditionalFormatting sqref="BO697">
    <cfRule type="cellIs" dxfId="282" priority="259" operator="lessThan">
      <formula>0</formula>
    </cfRule>
  </conditionalFormatting>
  <conditionalFormatting sqref="O697 AA697 AM697 AY697 BL697">
    <cfRule type="cellIs" dxfId="281" priority="258" operator="lessThan">
      <formula>0</formula>
    </cfRule>
  </conditionalFormatting>
  <conditionalFormatting sqref="BO696">
    <cfRule type="cellIs" dxfId="280" priority="257" operator="lessThan">
      <formula>0</formula>
    </cfRule>
  </conditionalFormatting>
  <conditionalFormatting sqref="O696 AA696 AM696 AY696 BL696">
    <cfRule type="cellIs" dxfId="279" priority="256" operator="lessThan">
      <formula>0</formula>
    </cfRule>
  </conditionalFormatting>
  <conditionalFormatting sqref="BO695">
    <cfRule type="cellIs" dxfId="278" priority="255" operator="lessThan">
      <formula>0</formula>
    </cfRule>
  </conditionalFormatting>
  <conditionalFormatting sqref="O695 AA695 AM695 AY695 BL695">
    <cfRule type="cellIs" dxfId="277" priority="254" operator="lessThan">
      <formula>0</formula>
    </cfRule>
  </conditionalFormatting>
  <conditionalFormatting sqref="BO694">
    <cfRule type="cellIs" dxfId="276" priority="253" operator="lessThan">
      <formula>0</formula>
    </cfRule>
  </conditionalFormatting>
  <conditionalFormatting sqref="O694 AA694 AM694 AY694 BL694">
    <cfRule type="cellIs" dxfId="275" priority="252" operator="lessThan">
      <formula>0</formula>
    </cfRule>
  </conditionalFormatting>
  <conditionalFormatting sqref="BO693">
    <cfRule type="cellIs" dxfId="274" priority="251" operator="lessThan">
      <formula>0</formula>
    </cfRule>
  </conditionalFormatting>
  <conditionalFormatting sqref="O693 AA693 AM693 AY693 BL693">
    <cfRule type="cellIs" dxfId="273" priority="250" operator="lessThan">
      <formula>0</formula>
    </cfRule>
  </conditionalFormatting>
  <conditionalFormatting sqref="BO692">
    <cfRule type="cellIs" dxfId="272" priority="249" operator="lessThan">
      <formula>0</formula>
    </cfRule>
  </conditionalFormatting>
  <conditionalFormatting sqref="O692 AA692 AM692 AY692 BL692">
    <cfRule type="cellIs" dxfId="271" priority="248" operator="lessThan">
      <formula>0</formula>
    </cfRule>
  </conditionalFormatting>
  <conditionalFormatting sqref="BO691">
    <cfRule type="cellIs" dxfId="270" priority="247" operator="lessThan">
      <formula>0</formula>
    </cfRule>
  </conditionalFormatting>
  <conditionalFormatting sqref="O691 AA691 AM691 AY691 BL691">
    <cfRule type="cellIs" dxfId="269" priority="246" operator="lessThan">
      <formula>0</formula>
    </cfRule>
  </conditionalFormatting>
  <conditionalFormatting sqref="BO425">
    <cfRule type="cellIs" dxfId="268" priority="245" operator="lessThan">
      <formula>0</formula>
    </cfRule>
  </conditionalFormatting>
  <conditionalFormatting sqref="O425 AA425 AM425 AY425 BL425">
    <cfRule type="cellIs" dxfId="267" priority="244" operator="lessThan">
      <formula>0</formula>
    </cfRule>
  </conditionalFormatting>
  <conditionalFormatting sqref="BO226:BO233 BO159:BO160 BO260 BO297:BO299 BO247:BO257 BO309 BO313 BO316:BO326 BO262 BO264 BO279:BO282 BO287 BO266:BO274 BO276:BO277 BO285 BO301:BO303 BO328:BO329 BO289:BO293">
    <cfRule type="cellIs" dxfId="266" priority="243" operator="lessThan">
      <formula>0</formula>
    </cfRule>
  </conditionalFormatting>
  <conditionalFormatting sqref="BO161:BO174 BO196:BO202 BO180:BO194 BO176:BO178 BO204:BO224">
    <cfRule type="cellIs" dxfId="265" priority="242" operator="lessThan">
      <formula>0</formula>
    </cfRule>
  </conditionalFormatting>
  <conditionalFormatting sqref="BO225">
    <cfRule type="cellIs" dxfId="264" priority="241" operator="lessThan">
      <formula>0</formula>
    </cfRule>
  </conditionalFormatting>
  <conditionalFormatting sqref="BL159:BL174 AY159:AY174 AM159:AM174 AA159:AA174 O159:O174 O196:O202 AA196:AA202 AM196:AM202 AY196:AY202 BL196:BL202 O260 AA260 AM260 AY260 BL260 BL297:BL299 AY297:AY299 AM297:AM299 AA297:AA299 O297:O299 O247:O257 AA247:AA257 AM247:AM257 AY247:AY257 BL247:BL257 O309 AA309 AM309 AY309 BL309 BL313 AY313 AM313 AA313 O313 O316:O326 AA316:AA326 AM316:AM326 AY316:AY326 BL316:BL326 O180:O194 AA180:AA194 AM180:AM194 AY180:AY194 BL180:BL194 BL262 AY262 AM262 AA262 O262 O264 AA264 AM264 AY264 BL264 BL279:BL282 AY279:AY282 AM279:AM282 AA279:AA282 O279:O282 O287 AA287 AM287 AY287 BL287 BL266:BL274 AY266:AY274 AM266:AM274 AA266:AA274 O266:O274 O176:O178 AA176:AA178 AM176:AM178 AY176:AY178 BL176:BL178 O276:O277 AA276:AA277 AM276:AM277 AY276:AY277 BL276:BL277 O285 AA285 AM285 AY285 BL285 BL204:BL233 AY204:AY233 AM204:AM233 AA204:AA233 O204:O233 O301:O303 AA301:AA303 AM301:AM303 AY301:AY303 BL301:BL303 BL328:BL329 AY328:AY329 AM328:AM329 AA328:AA329 O328:O329 BL289:BL293 AY289:AY293 AM289:AM293 AA289:AA293 O289:O293">
    <cfRule type="cellIs" dxfId="263" priority="240" operator="lessThan">
      <formula>0</formula>
    </cfRule>
  </conditionalFormatting>
  <conditionalFormatting sqref="BO234">
    <cfRule type="cellIs" dxfId="262" priority="239" operator="lessThan">
      <formula>0</formula>
    </cfRule>
  </conditionalFormatting>
  <conditionalFormatting sqref="O234 AA234 AM234 AY234 BL234">
    <cfRule type="cellIs" dxfId="261" priority="238" operator="lessThan">
      <formula>0</formula>
    </cfRule>
  </conditionalFormatting>
  <conditionalFormatting sqref="BO155:BO156">
    <cfRule type="cellIs" dxfId="260" priority="237" operator="lessThan">
      <formula>0</formula>
    </cfRule>
  </conditionalFormatting>
  <conditionalFormatting sqref="BO157:BO158">
    <cfRule type="cellIs" dxfId="259" priority="236" operator="lessThan">
      <formula>0</formula>
    </cfRule>
  </conditionalFormatting>
  <conditionalFormatting sqref="BL155:BL158 AY155:AY158 AM155:AM158 AA155:AA158 O155:O158">
    <cfRule type="cellIs" dxfId="258" priority="235" operator="lessThan">
      <formula>0</formula>
    </cfRule>
  </conditionalFormatting>
  <conditionalFormatting sqref="BO74:BO81 BO83:BO96 BO6:BO7 BO116:BO154 BO98:BO110 BO112:BO114">
    <cfRule type="cellIs" dxfId="257" priority="234" operator="lessThan">
      <formula>0</formula>
    </cfRule>
  </conditionalFormatting>
  <conditionalFormatting sqref="BO8:BO10 BO12 BO30:BO31 BO33:BO44 BO70">
    <cfRule type="cellIs" dxfId="256" priority="233" operator="lessThan">
      <formula>0</formula>
    </cfRule>
  </conditionalFormatting>
  <conditionalFormatting sqref="BO71">
    <cfRule type="cellIs" dxfId="255" priority="232" operator="lessThan">
      <formula>0</formula>
    </cfRule>
  </conditionalFormatting>
  <conditionalFormatting sqref="BL83:BL96 AY83:AY96 AM83:AM96 AA83:AA96 O83:O96 BL6:BL10 AY6:AY10 AM6:AM10 AA6:AA10 O6:O10 O74:O81 AA74:AA81 AM74:AM81 AY74:AY81 BL74:BL81 O12 AA12 AM12 AY12 BL12 BL30:BL31 AY30:AY31 AM30:AM31 AA30:AA31 O30:O31 O33:O44 AA33:AA44 AM33:AM44 AY33:AY44 BL33:BL44 O116:O154 AA116:AA154 AM116:AM154 AY116:AY154 BL116:BL154 O98:O110 AA98:AA110 AM98:AM110 AY98:AY110 BL98:BL110 BL112:BL114 AY112:AY114 AM112:AM114 AA112:AA114 O112:O114 O70:O71 AA70:AA71 AM70:AM71 AY70:AY71 BL70:BL71">
    <cfRule type="cellIs" dxfId="254" priority="231" operator="lessThan">
      <formula>0</formula>
    </cfRule>
  </conditionalFormatting>
  <conditionalFormatting sqref="BO82">
    <cfRule type="cellIs" dxfId="253" priority="230" operator="lessThan">
      <formula>0</formula>
    </cfRule>
  </conditionalFormatting>
  <conditionalFormatting sqref="O82 AA82 AM82 AY82 BL82">
    <cfRule type="cellIs" dxfId="252" priority="229" operator="lessThan">
      <formula>0</formula>
    </cfRule>
  </conditionalFormatting>
  <conditionalFormatting sqref="BO958:BO959 BO967:BO969 BO961:BO965">
    <cfRule type="cellIs" dxfId="251" priority="228" operator="lessThan">
      <formula>0</formula>
    </cfRule>
  </conditionalFormatting>
  <conditionalFormatting sqref="BL958:BL959 AY958:AY959 AM958:AM959 AA958:AA959 O958:O959 O967:O969 AA967:AA969 AM967:AM969 AY967:AY969 BL967:BL969 O961:O965 AA961:AA965 AM961:AM965 AY961:AY965 BL961:BL965">
    <cfRule type="cellIs" dxfId="250" priority="227" operator="lessThan">
      <formula>0</formula>
    </cfRule>
  </conditionalFormatting>
  <conditionalFormatting sqref="BO970">
    <cfRule type="cellIs" dxfId="249" priority="226" operator="lessThan">
      <formula>0</formula>
    </cfRule>
  </conditionalFormatting>
  <conditionalFormatting sqref="BL970 AY970 AM970 AA970 O970">
    <cfRule type="cellIs" dxfId="248" priority="225" operator="lessThan">
      <formula>0</formula>
    </cfRule>
  </conditionalFormatting>
  <conditionalFormatting sqref="BO581">
    <cfRule type="cellIs" dxfId="247" priority="224" operator="lessThan">
      <formula>0</formula>
    </cfRule>
  </conditionalFormatting>
  <conditionalFormatting sqref="BL581 AY581 AM581 AA581 O581">
    <cfRule type="cellIs" dxfId="246" priority="223" operator="lessThan">
      <formula>0</formula>
    </cfRule>
  </conditionalFormatting>
  <conditionalFormatting sqref="BO666">
    <cfRule type="cellIs" dxfId="245" priority="222" operator="lessThan">
      <formula>0</formula>
    </cfRule>
  </conditionalFormatting>
  <conditionalFormatting sqref="O666 AA666 AM666 AY666 BL666">
    <cfRule type="cellIs" dxfId="244" priority="221" operator="lessThan">
      <formula>0</formula>
    </cfRule>
  </conditionalFormatting>
  <conditionalFormatting sqref="BO834">
    <cfRule type="cellIs" dxfId="243" priority="220" operator="lessThan">
      <formula>0</formula>
    </cfRule>
  </conditionalFormatting>
  <conditionalFormatting sqref="BL834 AY834 AM834 AA834 O834">
    <cfRule type="cellIs" dxfId="242" priority="219" operator="lessThan">
      <formula>0</formula>
    </cfRule>
  </conditionalFormatting>
  <conditionalFormatting sqref="BO917">
    <cfRule type="cellIs" dxfId="241" priority="216" operator="lessThan">
      <formula>0</formula>
    </cfRule>
  </conditionalFormatting>
  <conditionalFormatting sqref="BL917 AY917 AM917 AA917 O917">
    <cfRule type="cellIs" dxfId="240" priority="215" operator="lessThan">
      <formula>0</formula>
    </cfRule>
  </conditionalFormatting>
  <conditionalFormatting sqref="BO930">
    <cfRule type="cellIs" dxfId="239" priority="214" operator="lessThan">
      <formula>0</formula>
    </cfRule>
  </conditionalFormatting>
  <conditionalFormatting sqref="O930 AA930 AM930 AY930 BL930">
    <cfRule type="cellIs" dxfId="238" priority="213" operator="lessThan">
      <formula>0</formula>
    </cfRule>
  </conditionalFormatting>
  <conditionalFormatting sqref="BO13">
    <cfRule type="cellIs" dxfId="237" priority="212" operator="lessThan">
      <formula>0</formula>
    </cfRule>
  </conditionalFormatting>
  <conditionalFormatting sqref="BL13 AY13 AM13 AA13 O13">
    <cfRule type="cellIs" dxfId="236" priority="211" operator="lessThan">
      <formula>0</formula>
    </cfRule>
  </conditionalFormatting>
  <conditionalFormatting sqref="BO11">
    <cfRule type="cellIs" dxfId="235" priority="210" operator="lessThan">
      <formula>0</formula>
    </cfRule>
  </conditionalFormatting>
  <conditionalFormatting sqref="O11 AA11 AM11 AY11 BL11">
    <cfRule type="cellIs" dxfId="234" priority="209" operator="lessThan">
      <formula>0</formula>
    </cfRule>
  </conditionalFormatting>
  <conditionalFormatting sqref="BO29">
    <cfRule type="cellIs" dxfId="233" priority="208" operator="lessThan">
      <formula>0</formula>
    </cfRule>
  </conditionalFormatting>
  <conditionalFormatting sqref="BL29 AY29 AM29 AA29 O29">
    <cfRule type="cellIs" dxfId="232" priority="207" operator="lessThan">
      <formula>0</formula>
    </cfRule>
  </conditionalFormatting>
  <conditionalFormatting sqref="BO32">
    <cfRule type="cellIs" dxfId="231" priority="206" operator="lessThan">
      <formula>0</formula>
    </cfRule>
  </conditionalFormatting>
  <conditionalFormatting sqref="O32 AA32 AM32 AY32 BL32">
    <cfRule type="cellIs" dxfId="230" priority="205" operator="lessThan">
      <formula>0</formula>
    </cfRule>
  </conditionalFormatting>
  <conditionalFormatting sqref="BO45">
    <cfRule type="cellIs" dxfId="229" priority="204" operator="lessThan">
      <formula>0</formula>
    </cfRule>
  </conditionalFormatting>
  <conditionalFormatting sqref="BL45 AY45 AM45 AA45 O45">
    <cfRule type="cellIs" dxfId="228" priority="203" operator="lessThan">
      <formula>0</formula>
    </cfRule>
  </conditionalFormatting>
  <conditionalFormatting sqref="BO73">
    <cfRule type="cellIs" dxfId="227" priority="202" operator="lessThan">
      <formula>0</formula>
    </cfRule>
  </conditionalFormatting>
  <conditionalFormatting sqref="O73 AA73 AM73 AY73 BL73">
    <cfRule type="cellIs" dxfId="226" priority="201" operator="lessThan">
      <formula>0</formula>
    </cfRule>
  </conditionalFormatting>
  <conditionalFormatting sqref="BO115">
    <cfRule type="cellIs" dxfId="225" priority="200" operator="lessThan">
      <formula>0</formula>
    </cfRule>
  </conditionalFormatting>
  <conditionalFormatting sqref="O115 AA115 AM115 AY115 BL115">
    <cfRule type="cellIs" dxfId="224" priority="199" operator="lessThan">
      <formula>0</formula>
    </cfRule>
  </conditionalFormatting>
  <conditionalFormatting sqref="BO304">
    <cfRule type="cellIs" dxfId="223" priority="198" operator="lessThan">
      <formula>0</formula>
    </cfRule>
  </conditionalFormatting>
  <conditionalFormatting sqref="O304 AA304 AM304 AY304 BL304">
    <cfRule type="cellIs" dxfId="222" priority="197" operator="lessThan">
      <formula>0</formula>
    </cfRule>
  </conditionalFormatting>
  <conditionalFormatting sqref="BO306">
    <cfRule type="cellIs" dxfId="221" priority="196" operator="lessThan">
      <formula>0</formula>
    </cfRule>
  </conditionalFormatting>
  <conditionalFormatting sqref="O306 AA306 AM306 AY306 BL306">
    <cfRule type="cellIs" dxfId="220" priority="195" operator="lessThan">
      <formula>0</formula>
    </cfRule>
  </conditionalFormatting>
  <conditionalFormatting sqref="BO307">
    <cfRule type="cellIs" dxfId="219" priority="194" operator="lessThan">
      <formula>0</formula>
    </cfRule>
  </conditionalFormatting>
  <conditionalFormatting sqref="O307 AA307 AM307 AY307 BL307">
    <cfRule type="cellIs" dxfId="218" priority="193" operator="lessThan">
      <formula>0</formula>
    </cfRule>
  </conditionalFormatting>
  <conditionalFormatting sqref="BO308">
    <cfRule type="cellIs" dxfId="217" priority="192" operator="lessThan">
      <formula>0</formula>
    </cfRule>
  </conditionalFormatting>
  <conditionalFormatting sqref="O308 AA308 AM308 AY308 BL308">
    <cfRule type="cellIs" dxfId="216" priority="191" operator="lessThan">
      <formula>0</formula>
    </cfRule>
  </conditionalFormatting>
  <conditionalFormatting sqref="BO311">
    <cfRule type="cellIs" dxfId="215" priority="190" operator="lessThan">
      <formula>0</formula>
    </cfRule>
  </conditionalFormatting>
  <conditionalFormatting sqref="BL311 AY311 AM311 AA311 O311">
    <cfRule type="cellIs" dxfId="214" priority="189" operator="lessThan">
      <formula>0</formula>
    </cfRule>
  </conditionalFormatting>
  <conditionalFormatting sqref="BO315">
    <cfRule type="cellIs" dxfId="213" priority="188" operator="lessThan">
      <formula>0</formula>
    </cfRule>
  </conditionalFormatting>
  <conditionalFormatting sqref="O315 AA315 AM315 AY315 BL315">
    <cfRule type="cellIs" dxfId="212" priority="187" operator="lessThan">
      <formula>0</formula>
    </cfRule>
  </conditionalFormatting>
  <conditionalFormatting sqref="BO334">
    <cfRule type="cellIs" dxfId="211" priority="186" operator="lessThan">
      <formula>0</formula>
    </cfRule>
  </conditionalFormatting>
  <conditionalFormatting sqref="O334 AA334 AM334 AY334 BL334">
    <cfRule type="cellIs" dxfId="210" priority="185" operator="lessThan">
      <formula>0</formula>
    </cfRule>
  </conditionalFormatting>
  <conditionalFormatting sqref="BO337">
    <cfRule type="cellIs" dxfId="209" priority="184" operator="lessThan">
      <formula>0</formula>
    </cfRule>
  </conditionalFormatting>
  <conditionalFormatting sqref="BL337 AY337 AM337 AA337 O337">
    <cfRule type="cellIs" dxfId="208" priority="183" operator="lessThan">
      <formula>0</formula>
    </cfRule>
  </conditionalFormatting>
  <conditionalFormatting sqref="BO364">
    <cfRule type="cellIs" dxfId="207" priority="182" operator="lessThan">
      <formula>0</formula>
    </cfRule>
  </conditionalFormatting>
  <conditionalFormatting sqref="O364 AA364 AM364 AY364 BL364">
    <cfRule type="cellIs" dxfId="206" priority="181" operator="lessThan">
      <formula>0</formula>
    </cfRule>
  </conditionalFormatting>
  <conditionalFormatting sqref="BO372">
    <cfRule type="cellIs" dxfId="205" priority="180" operator="lessThan">
      <formula>0</formula>
    </cfRule>
  </conditionalFormatting>
  <conditionalFormatting sqref="BL372 AY372 AM372 AA372 O372">
    <cfRule type="cellIs" dxfId="204" priority="179" operator="lessThan">
      <formula>0</formula>
    </cfRule>
  </conditionalFormatting>
  <conditionalFormatting sqref="BO371">
    <cfRule type="cellIs" dxfId="203" priority="178" operator="lessThan">
      <formula>0</formula>
    </cfRule>
  </conditionalFormatting>
  <conditionalFormatting sqref="BL371 AY371 AM371 AA371 O371">
    <cfRule type="cellIs" dxfId="202" priority="177" operator="lessThan">
      <formula>0</formula>
    </cfRule>
  </conditionalFormatting>
  <conditionalFormatting sqref="BO370">
    <cfRule type="cellIs" dxfId="201" priority="176" operator="lessThan">
      <formula>0</formula>
    </cfRule>
  </conditionalFormatting>
  <conditionalFormatting sqref="BL370 AY370 AM370 AA370 O370">
    <cfRule type="cellIs" dxfId="200" priority="175" operator="lessThan">
      <formula>0</formula>
    </cfRule>
  </conditionalFormatting>
  <conditionalFormatting sqref="BO369">
    <cfRule type="cellIs" dxfId="199" priority="174" operator="lessThan">
      <formula>0</formula>
    </cfRule>
  </conditionalFormatting>
  <conditionalFormatting sqref="BL369 AY369 AM369 AA369 O369">
    <cfRule type="cellIs" dxfId="198" priority="173" operator="lessThan">
      <formula>0</formula>
    </cfRule>
  </conditionalFormatting>
  <conditionalFormatting sqref="BO379">
    <cfRule type="cellIs" dxfId="197" priority="172" operator="lessThan">
      <formula>0</formula>
    </cfRule>
  </conditionalFormatting>
  <conditionalFormatting sqref="O379 AA379 AM379 AY379 BL379">
    <cfRule type="cellIs" dxfId="196" priority="171" operator="lessThan">
      <formula>0</formula>
    </cfRule>
  </conditionalFormatting>
  <conditionalFormatting sqref="BO378">
    <cfRule type="cellIs" dxfId="195" priority="170" operator="lessThan">
      <formula>0</formula>
    </cfRule>
  </conditionalFormatting>
  <conditionalFormatting sqref="O378 AA378 AM378 AY378 BL378">
    <cfRule type="cellIs" dxfId="194" priority="169" operator="lessThan">
      <formula>0</formula>
    </cfRule>
  </conditionalFormatting>
  <conditionalFormatting sqref="BO377">
    <cfRule type="cellIs" dxfId="193" priority="168" operator="lessThan">
      <formula>0</formula>
    </cfRule>
  </conditionalFormatting>
  <conditionalFormatting sqref="O377 AA377 AM377 AY377 BL377">
    <cfRule type="cellIs" dxfId="192" priority="167" operator="lessThan">
      <formula>0</formula>
    </cfRule>
  </conditionalFormatting>
  <conditionalFormatting sqref="BO386">
    <cfRule type="cellIs" dxfId="191" priority="166" operator="lessThan">
      <formula>0</formula>
    </cfRule>
  </conditionalFormatting>
  <conditionalFormatting sqref="BL386 AY386 AM386 AA386 O386">
    <cfRule type="cellIs" dxfId="190" priority="165" operator="lessThan">
      <formula>0</formula>
    </cfRule>
  </conditionalFormatting>
  <conditionalFormatting sqref="BO385">
    <cfRule type="cellIs" dxfId="189" priority="164" operator="lessThan">
      <formula>0</formula>
    </cfRule>
  </conditionalFormatting>
  <conditionalFormatting sqref="BL385 AY385 AM385 AA385 O385">
    <cfRule type="cellIs" dxfId="188" priority="163" operator="lessThan">
      <formula>0</formula>
    </cfRule>
  </conditionalFormatting>
  <conditionalFormatting sqref="BO409">
    <cfRule type="cellIs" dxfId="187" priority="162" operator="lessThan">
      <formula>0</formula>
    </cfRule>
  </conditionalFormatting>
  <conditionalFormatting sqref="BL409 AY409 AM409 AA409 O409">
    <cfRule type="cellIs" dxfId="186" priority="161" operator="lessThan">
      <formula>0</formula>
    </cfRule>
  </conditionalFormatting>
  <conditionalFormatting sqref="BO441">
    <cfRule type="cellIs" dxfId="185" priority="160" operator="lessThan">
      <formula>0</formula>
    </cfRule>
  </conditionalFormatting>
  <conditionalFormatting sqref="O441 AA441 AM441 AY441 BL441">
    <cfRule type="cellIs" dxfId="184" priority="159" operator="lessThan">
      <formula>0</formula>
    </cfRule>
  </conditionalFormatting>
  <conditionalFormatting sqref="BO454">
    <cfRule type="cellIs" dxfId="183" priority="158" operator="lessThan">
      <formula>0</formula>
    </cfRule>
  </conditionalFormatting>
  <conditionalFormatting sqref="BL454 AY454 AM454 AA454 O454">
    <cfRule type="cellIs" dxfId="182" priority="157" operator="lessThan">
      <formula>0</formula>
    </cfRule>
  </conditionalFormatting>
  <conditionalFormatting sqref="BO645">
    <cfRule type="cellIs" dxfId="181" priority="156" operator="lessThan">
      <formula>0</formula>
    </cfRule>
  </conditionalFormatting>
  <conditionalFormatting sqref="O645 AA645 AM645 AY645 BL645">
    <cfRule type="cellIs" dxfId="180" priority="155" operator="lessThan">
      <formula>0</formula>
    </cfRule>
  </conditionalFormatting>
  <conditionalFormatting sqref="BO675">
    <cfRule type="cellIs" dxfId="179" priority="154" operator="lessThan">
      <formula>0</formula>
    </cfRule>
  </conditionalFormatting>
  <conditionalFormatting sqref="BL675 AY675 AM675 AA675 O675">
    <cfRule type="cellIs" dxfId="178" priority="153" operator="lessThan">
      <formula>0</formula>
    </cfRule>
  </conditionalFormatting>
  <conditionalFormatting sqref="BO722">
    <cfRule type="cellIs" dxfId="177" priority="152" operator="lessThan">
      <formula>0</formula>
    </cfRule>
  </conditionalFormatting>
  <conditionalFormatting sqref="O722 AA722 AM722 AY722 BL722">
    <cfRule type="cellIs" dxfId="176" priority="151" operator="lessThan">
      <formula>0</formula>
    </cfRule>
  </conditionalFormatting>
  <conditionalFormatting sqref="BO907">
    <cfRule type="cellIs" dxfId="175" priority="150" operator="lessThan">
      <formula>0</formula>
    </cfRule>
  </conditionalFormatting>
  <conditionalFormatting sqref="BL907 AY907 AM907 AA907 O907">
    <cfRule type="cellIs" dxfId="174" priority="149" operator="lessThan">
      <formula>0</formula>
    </cfRule>
  </conditionalFormatting>
  <conditionalFormatting sqref="BO914">
    <cfRule type="cellIs" dxfId="173" priority="148" operator="lessThan">
      <formula>0</formula>
    </cfRule>
  </conditionalFormatting>
  <conditionalFormatting sqref="O914 AA914 AM914 AY914 BL914">
    <cfRule type="cellIs" dxfId="172" priority="147" operator="lessThan">
      <formula>0</formula>
    </cfRule>
  </conditionalFormatting>
  <conditionalFormatting sqref="BO916">
    <cfRule type="cellIs" dxfId="171" priority="146" operator="lessThan">
      <formula>0</formula>
    </cfRule>
  </conditionalFormatting>
  <conditionalFormatting sqref="BL916 AY916 AM916 AA916 O916">
    <cfRule type="cellIs" dxfId="170" priority="145" operator="lessThan">
      <formula>0</formula>
    </cfRule>
  </conditionalFormatting>
  <conditionalFormatting sqref="BO919">
    <cfRule type="cellIs" dxfId="169" priority="144" operator="lessThan">
      <formula>0</formula>
    </cfRule>
  </conditionalFormatting>
  <conditionalFormatting sqref="O919 AA919 AM919 AY919 BL919">
    <cfRule type="cellIs" dxfId="168" priority="143" operator="lessThan">
      <formula>0</formula>
    </cfRule>
  </conditionalFormatting>
  <conditionalFormatting sqref="BO960">
    <cfRule type="cellIs" dxfId="167" priority="142" operator="lessThan">
      <formula>0</formula>
    </cfRule>
  </conditionalFormatting>
  <conditionalFormatting sqref="O960 AA960 AM960 AY960 BL960">
    <cfRule type="cellIs" dxfId="166" priority="141" operator="lessThan">
      <formula>0</formula>
    </cfRule>
  </conditionalFormatting>
  <conditionalFormatting sqref="BO97">
    <cfRule type="cellIs" dxfId="165" priority="138" operator="lessThan">
      <formula>0</formula>
    </cfRule>
  </conditionalFormatting>
  <conditionalFormatting sqref="O97 AA97 AM97 AY97 BL97">
    <cfRule type="cellIs" dxfId="164" priority="137" operator="lessThan">
      <formula>0</formula>
    </cfRule>
  </conditionalFormatting>
  <conditionalFormatting sqref="BO111">
    <cfRule type="cellIs" dxfId="163" priority="136" operator="lessThan">
      <formula>0</formula>
    </cfRule>
  </conditionalFormatting>
  <conditionalFormatting sqref="BL111 AY111 AM111 AA111 O111">
    <cfRule type="cellIs" dxfId="162" priority="135" operator="lessThan">
      <formula>0</formula>
    </cfRule>
  </conditionalFormatting>
  <conditionalFormatting sqref="BO179">
    <cfRule type="cellIs" dxfId="161" priority="134" operator="lessThan">
      <formula>0</formula>
    </cfRule>
  </conditionalFormatting>
  <conditionalFormatting sqref="O179 AA179 AM179 AY179 BL179">
    <cfRule type="cellIs" dxfId="160" priority="133" operator="lessThan">
      <formula>0</formula>
    </cfRule>
  </conditionalFormatting>
  <conditionalFormatting sqref="BO259">
    <cfRule type="cellIs" dxfId="159" priority="132" operator="lessThan">
      <formula>0</formula>
    </cfRule>
  </conditionalFormatting>
  <conditionalFormatting sqref="O259 AA259 AM259 AY259 BL259">
    <cfRule type="cellIs" dxfId="158" priority="131" operator="lessThan">
      <formula>0</formula>
    </cfRule>
  </conditionalFormatting>
  <conditionalFormatting sqref="BO261">
    <cfRule type="cellIs" dxfId="157" priority="130" operator="lessThan">
      <formula>0</formula>
    </cfRule>
  </conditionalFormatting>
  <conditionalFormatting sqref="BL261 AY261 AM261 AA261 O261">
    <cfRule type="cellIs" dxfId="156" priority="129" operator="lessThan">
      <formula>0</formula>
    </cfRule>
  </conditionalFormatting>
  <conditionalFormatting sqref="BO263">
    <cfRule type="cellIs" dxfId="155" priority="128" operator="lessThan">
      <formula>0</formula>
    </cfRule>
  </conditionalFormatting>
  <conditionalFormatting sqref="O263 AA263 AM263 AY263 BL263">
    <cfRule type="cellIs" dxfId="154" priority="127" operator="lessThan">
      <formula>0</formula>
    </cfRule>
  </conditionalFormatting>
  <conditionalFormatting sqref="BO278">
    <cfRule type="cellIs" dxfId="153" priority="126" operator="lessThan">
      <formula>0</formula>
    </cfRule>
  </conditionalFormatting>
  <conditionalFormatting sqref="BL278 AY278 AM278 AA278 O278">
    <cfRule type="cellIs" dxfId="152" priority="125" operator="lessThan">
      <formula>0</formula>
    </cfRule>
  </conditionalFormatting>
  <conditionalFormatting sqref="BO286">
    <cfRule type="cellIs" dxfId="151" priority="124" operator="lessThan">
      <formula>0</formula>
    </cfRule>
  </conditionalFormatting>
  <conditionalFormatting sqref="O286 AA286 AM286 AY286 BL286">
    <cfRule type="cellIs" dxfId="150" priority="123" operator="lessThan">
      <formula>0</formula>
    </cfRule>
  </conditionalFormatting>
  <conditionalFormatting sqref="BO265">
    <cfRule type="cellIs" dxfId="149" priority="122" operator="lessThan">
      <formula>0</formula>
    </cfRule>
  </conditionalFormatting>
  <conditionalFormatting sqref="BL265 AY265 AM265 AA265 O265">
    <cfRule type="cellIs" dxfId="148" priority="121" operator="lessThan">
      <formula>0</formula>
    </cfRule>
  </conditionalFormatting>
  <conditionalFormatting sqref="BO296">
    <cfRule type="cellIs" dxfId="147" priority="120" operator="lessThan">
      <formula>0</formula>
    </cfRule>
  </conditionalFormatting>
  <conditionalFormatting sqref="BL296 AY296 AM296 AA296 O296">
    <cfRule type="cellIs" dxfId="146" priority="119" operator="lessThan">
      <formula>0</formula>
    </cfRule>
  </conditionalFormatting>
  <conditionalFormatting sqref="BO418">
    <cfRule type="cellIs" dxfId="145" priority="118" operator="lessThan">
      <formula>0</formula>
    </cfRule>
  </conditionalFormatting>
  <conditionalFormatting sqref="O418 AA418 AM418 AY418 BL418">
    <cfRule type="cellIs" dxfId="144" priority="117" operator="lessThan">
      <formula>0</formula>
    </cfRule>
  </conditionalFormatting>
  <conditionalFormatting sqref="BO468">
    <cfRule type="cellIs" dxfId="143" priority="116" operator="lessThan">
      <formula>0</formula>
    </cfRule>
  </conditionalFormatting>
  <conditionalFormatting sqref="O468 AA468 AM468 AY468 BL468">
    <cfRule type="cellIs" dxfId="142" priority="115" operator="lessThan">
      <formula>0</formula>
    </cfRule>
  </conditionalFormatting>
  <conditionalFormatting sqref="BO556">
    <cfRule type="cellIs" dxfId="141" priority="114" operator="lessThan">
      <formula>0</formula>
    </cfRule>
  </conditionalFormatting>
  <conditionalFormatting sqref="BL556 AY556 AM556 AA556 O556">
    <cfRule type="cellIs" dxfId="140" priority="113" operator="lessThan">
      <formula>0</formula>
    </cfRule>
  </conditionalFormatting>
  <conditionalFormatting sqref="BO803">
    <cfRule type="cellIs" dxfId="139" priority="112" operator="lessThan">
      <formula>0</formula>
    </cfRule>
  </conditionalFormatting>
  <conditionalFormatting sqref="BL803 AY803 AM803 AA803 O803">
    <cfRule type="cellIs" dxfId="138" priority="111" operator="lessThan">
      <formula>0</formula>
    </cfRule>
  </conditionalFormatting>
  <conditionalFormatting sqref="BO885">
    <cfRule type="cellIs" dxfId="137" priority="110" operator="lessThan">
      <formula>0</formula>
    </cfRule>
  </conditionalFormatting>
  <conditionalFormatting sqref="O885 AA885 AM885 AY885 BL885">
    <cfRule type="cellIs" dxfId="136" priority="109" operator="lessThan">
      <formula>0</formula>
    </cfRule>
  </conditionalFormatting>
  <conditionalFormatting sqref="BO889">
    <cfRule type="cellIs" dxfId="135" priority="108" operator="lessThan">
      <formula>0</formula>
    </cfRule>
  </conditionalFormatting>
  <conditionalFormatting sqref="BL889 AY889 AM889 AA889 O889">
    <cfRule type="cellIs" dxfId="134" priority="107" operator="lessThan">
      <formula>0</formula>
    </cfRule>
  </conditionalFormatting>
  <conditionalFormatting sqref="BO175">
    <cfRule type="cellIs" dxfId="133" priority="106" operator="lessThan">
      <formula>0</formula>
    </cfRule>
  </conditionalFormatting>
  <conditionalFormatting sqref="O175 AA175 AM175 AY175 BL175">
    <cfRule type="cellIs" dxfId="132" priority="105" operator="lessThan">
      <formula>0</formula>
    </cfRule>
  </conditionalFormatting>
  <conditionalFormatting sqref="BO275">
    <cfRule type="cellIs" dxfId="131" priority="104" operator="lessThan">
      <formula>0</formula>
    </cfRule>
  </conditionalFormatting>
  <conditionalFormatting sqref="O275 AA275 AM275 AY275 BL275">
    <cfRule type="cellIs" dxfId="130" priority="103" operator="lessThan">
      <formula>0</formula>
    </cfRule>
  </conditionalFormatting>
  <conditionalFormatting sqref="BO284">
    <cfRule type="cellIs" dxfId="129" priority="102" operator="lessThan">
      <formula>0</formula>
    </cfRule>
  </conditionalFormatting>
  <conditionalFormatting sqref="O284 AA284 AM284 AY284 BL284">
    <cfRule type="cellIs" dxfId="128" priority="101" operator="lessThan">
      <formula>0</formula>
    </cfRule>
  </conditionalFormatting>
  <conditionalFormatting sqref="BO305">
    <cfRule type="cellIs" dxfId="127" priority="100" operator="lessThan">
      <formula>0</formula>
    </cfRule>
  </conditionalFormatting>
  <conditionalFormatting sqref="O305 AA305 AM305 AY305 BL305">
    <cfRule type="cellIs" dxfId="126" priority="99" operator="lessThan">
      <formula>0</formula>
    </cfRule>
  </conditionalFormatting>
  <conditionalFormatting sqref="BO312">
    <cfRule type="cellIs" dxfId="125" priority="98" operator="lessThan">
      <formula>0</formula>
    </cfRule>
  </conditionalFormatting>
  <conditionalFormatting sqref="BL312 AY312 AM312 AA312 O312">
    <cfRule type="cellIs" dxfId="124" priority="97" operator="lessThan">
      <formula>0</formula>
    </cfRule>
  </conditionalFormatting>
  <conditionalFormatting sqref="BO374">
    <cfRule type="cellIs" dxfId="123" priority="96" operator="lessThan">
      <formula>0</formula>
    </cfRule>
  </conditionalFormatting>
  <conditionalFormatting sqref="BL374 AY374 AM374 AA374 O374">
    <cfRule type="cellIs" dxfId="122" priority="95" operator="lessThan">
      <formula>0</formula>
    </cfRule>
  </conditionalFormatting>
  <conditionalFormatting sqref="BO375">
    <cfRule type="cellIs" dxfId="121" priority="94" operator="lessThan">
      <formula>0</formula>
    </cfRule>
  </conditionalFormatting>
  <conditionalFormatting sqref="BL375 AY375 AM375 AA375 O375">
    <cfRule type="cellIs" dxfId="120" priority="93" operator="lessThan">
      <formula>0</formula>
    </cfRule>
  </conditionalFormatting>
  <conditionalFormatting sqref="BO562">
    <cfRule type="cellIs" dxfId="119" priority="92" operator="lessThan">
      <formula>0</formula>
    </cfRule>
  </conditionalFormatting>
  <conditionalFormatting sqref="BL562 AY562 AM562 AA562 O562">
    <cfRule type="cellIs" dxfId="118" priority="91" operator="lessThan">
      <formula>0</formula>
    </cfRule>
  </conditionalFormatting>
  <conditionalFormatting sqref="BO719">
    <cfRule type="cellIs" dxfId="117" priority="90" operator="lessThan">
      <formula>0</formula>
    </cfRule>
  </conditionalFormatting>
  <conditionalFormatting sqref="BL719 AY719 AM719 AA719 O719">
    <cfRule type="cellIs" dxfId="116" priority="89" operator="lessThan">
      <formula>0</formula>
    </cfRule>
  </conditionalFormatting>
  <conditionalFormatting sqref="BO797">
    <cfRule type="cellIs" dxfId="115" priority="88" operator="lessThan">
      <formula>0</formula>
    </cfRule>
  </conditionalFormatting>
  <conditionalFormatting sqref="BL797 AY797 AM797 AA797 O797">
    <cfRule type="cellIs" dxfId="114" priority="87" operator="lessThan">
      <formula>0</formula>
    </cfRule>
  </conditionalFormatting>
  <conditionalFormatting sqref="BO882">
    <cfRule type="cellIs" dxfId="113" priority="86" operator="lessThan">
      <formula>0</formula>
    </cfRule>
  </conditionalFormatting>
  <conditionalFormatting sqref="O882 AA882 AM882 AY882 BL882">
    <cfRule type="cellIs" dxfId="112" priority="85" operator="lessThan">
      <formula>0</formula>
    </cfRule>
  </conditionalFormatting>
  <conditionalFormatting sqref="BO893">
    <cfRule type="cellIs" dxfId="111" priority="84" operator="lessThan">
      <formula>0</formula>
    </cfRule>
  </conditionalFormatting>
  <conditionalFormatting sqref="BL893 AY893 AM893 AA893 O893">
    <cfRule type="cellIs" dxfId="110" priority="83" operator="lessThan">
      <formula>0</formula>
    </cfRule>
  </conditionalFormatting>
  <conditionalFormatting sqref="BO906">
    <cfRule type="cellIs" dxfId="109" priority="82" operator="lessThan">
      <formula>0</formula>
    </cfRule>
  </conditionalFormatting>
  <conditionalFormatting sqref="BL906 AY906 AM906 AA906 O906">
    <cfRule type="cellIs" dxfId="108" priority="81" operator="lessThan">
      <formula>0</formula>
    </cfRule>
  </conditionalFormatting>
  <conditionalFormatting sqref="BO869">
    <cfRule type="cellIs" dxfId="107" priority="80" operator="lessThan">
      <formula>0</formula>
    </cfRule>
  </conditionalFormatting>
  <conditionalFormatting sqref="O869 AA869 AM869 AY869 BL869">
    <cfRule type="cellIs" dxfId="106" priority="79" operator="lessThan">
      <formula>0</formula>
    </cfRule>
  </conditionalFormatting>
  <conditionalFormatting sqref="BO69">
    <cfRule type="cellIs" dxfId="105" priority="78" operator="lessThan">
      <formula>0</formula>
    </cfRule>
  </conditionalFormatting>
  <conditionalFormatting sqref="O69 AA69 AM69 AY69 BL69">
    <cfRule type="cellIs" dxfId="104" priority="77" operator="lessThan">
      <formula>0</formula>
    </cfRule>
  </conditionalFormatting>
  <conditionalFormatting sqref="BO203">
    <cfRule type="cellIs" dxfId="103" priority="76" operator="lessThan">
      <formula>0</formula>
    </cfRule>
  </conditionalFormatting>
  <conditionalFormatting sqref="BL203 AY203 AM203 AA203 O203">
    <cfRule type="cellIs" dxfId="102" priority="75" operator="lessThan">
      <formula>0</formula>
    </cfRule>
  </conditionalFormatting>
  <conditionalFormatting sqref="BO238">
    <cfRule type="cellIs" dxfId="101" priority="74" operator="lessThan">
      <formula>0</formula>
    </cfRule>
  </conditionalFormatting>
  <conditionalFormatting sqref="O238 AA238 AM238 AY238 BL238">
    <cfRule type="cellIs" dxfId="100" priority="73" operator="lessThan">
      <formula>0</formula>
    </cfRule>
  </conditionalFormatting>
  <conditionalFormatting sqref="BO373">
    <cfRule type="cellIs" dxfId="99" priority="72" operator="lessThan">
      <formula>0</formula>
    </cfRule>
  </conditionalFormatting>
  <conditionalFormatting sqref="BL373 AY373 AM373 AA373 O373">
    <cfRule type="cellIs" dxfId="98" priority="71" operator="lessThan">
      <formula>0</formula>
    </cfRule>
  </conditionalFormatting>
  <conditionalFormatting sqref="BO295">
    <cfRule type="cellIs" dxfId="97" priority="70" operator="lessThan">
      <formula>0</formula>
    </cfRule>
  </conditionalFormatting>
  <conditionalFormatting sqref="BL295 AY295 AM295 AA295 O295">
    <cfRule type="cellIs" dxfId="96" priority="69" operator="lessThan">
      <formula>0</formula>
    </cfRule>
  </conditionalFormatting>
  <conditionalFormatting sqref="BO300">
    <cfRule type="cellIs" dxfId="95" priority="68" operator="lessThan">
      <formula>0</formula>
    </cfRule>
  </conditionalFormatting>
  <conditionalFormatting sqref="O300 AA300 AM300 AY300 BL300">
    <cfRule type="cellIs" dxfId="94" priority="67" operator="lessThan">
      <formula>0</formula>
    </cfRule>
  </conditionalFormatting>
  <conditionalFormatting sqref="BO310">
    <cfRule type="cellIs" dxfId="93" priority="66" operator="lessThan">
      <formula>0</formula>
    </cfRule>
  </conditionalFormatting>
  <conditionalFormatting sqref="BL310 AY310 AM310 AA310 O310">
    <cfRule type="cellIs" dxfId="92" priority="65" operator="lessThan">
      <formula>0</formula>
    </cfRule>
  </conditionalFormatting>
  <conditionalFormatting sqref="BO314">
    <cfRule type="cellIs" dxfId="91" priority="64" operator="lessThan">
      <formula>0</formula>
    </cfRule>
  </conditionalFormatting>
  <conditionalFormatting sqref="O314 AA314 AM314 AY314 BL314">
    <cfRule type="cellIs" dxfId="90" priority="63" operator="lessThan">
      <formula>0</formula>
    </cfRule>
  </conditionalFormatting>
  <conditionalFormatting sqref="BO367">
    <cfRule type="cellIs" dxfId="89" priority="62" operator="lessThan">
      <formula>0</formula>
    </cfRule>
  </conditionalFormatting>
  <conditionalFormatting sqref="BL367 AY367 AM367 AA367 O367">
    <cfRule type="cellIs" dxfId="88" priority="61" operator="lessThan">
      <formula>0</formula>
    </cfRule>
  </conditionalFormatting>
  <conditionalFormatting sqref="BO368">
    <cfRule type="cellIs" dxfId="87" priority="60" operator="lessThan">
      <formula>0</formula>
    </cfRule>
  </conditionalFormatting>
  <conditionalFormatting sqref="BL368 AY368 AM368 AA368 O368">
    <cfRule type="cellIs" dxfId="86" priority="59" operator="lessThan">
      <formula>0</formula>
    </cfRule>
  </conditionalFormatting>
  <conditionalFormatting sqref="BO380">
    <cfRule type="cellIs" dxfId="85" priority="58" operator="lessThan">
      <formula>0</formula>
    </cfRule>
  </conditionalFormatting>
  <conditionalFormatting sqref="O380 AA380 AM380 AY380 BL380">
    <cfRule type="cellIs" dxfId="84" priority="57" operator="lessThan">
      <formula>0</formula>
    </cfRule>
  </conditionalFormatting>
  <conditionalFormatting sqref="BO381">
    <cfRule type="cellIs" dxfId="83" priority="56" operator="lessThan">
      <formula>0</formula>
    </cfRule>
  </conditionalFormatting>
  <conditionalFormatting sqref="O381 AA381 AM381 AY381 BL381">
    <cfRule type="cellIs" dxfId="82" priority="55" operator="lessThan">
      <formula>0</formula>
    </cfRule>
  </conditionalFormatting>
  <conditionalFormatting sqref="BO341">
    <cfRule type="cellIs" dxfId="81" priority="54" operator="lessThan">
      <formula>0</formula>
    </cfRule>
  </conditionalFormatting>
  <conditionalFormatting sqref="O341 AA341 AM341 AY341 BL341">
    <cfRule type="cellIs" dxfId="80" priority="53" operator="lessThan">
      <formula>0</formula>
    </cfRule>
  </conditionalFormatting>
  <conditionalFormatting sqref="BO363">
    <cfRule type="cellIs" dxfId="79" priority="52" operator="lessThan">
      <formula>0</formula>
    </cfRule>
  </conditionalFormatting>
  <conditionalFormatting sqref="O363 AA363 AM363 AY363 BL363">
    <cfRule type="cellIs" dxfId="78" priority="51" operator="lessThan">
      <formula>0</formula>
    </cfRule>
  </conditionalFormatting>
  <conditionalFormatting sqref="BO366">
    <cfRule type="cellIs" dxfId="77" priority="50" operator="lessThan">
      <formula>0</formula>
    </cfRule>
  </conditionalFormatting>
  <conditionalFormatting sqref="BL366 AY366 AM366 AA366 O366">
    <cfRule type="cellIs" dxfId="76" priority="49" operator="lessThan">
      <formula>0</formula>
    </cfRule>
  </conditionalFormatting>
  <conditionalFormatting sqref="BO327">
    <cfRule type="cellIs" dxfId="75" priority="48" operator="lessThan">
      <formula>0</formula>
    </cfRule>
  </conditionalFormatting>
  <conditionalFormatting sqref="BL327 AY327 AM327 AA327 O327">
    <cfRule type="cellIs" dxfId="74" priority="47" operator="lessThan">
      <formula>0</formula>
    </cfRule>
  </conditionalFormatting>
  <conditionalFormatting sqref="BO510">
    <cfRule type="cellIs" dxfId="73" priority="46" operator="lessThan">
      <formula>0</formula>
    </cfRule>
  </conditionalFormatting>
  <conditionalFormatting sqref="BL510 AY510 AM510 AA510 O510">
    <cfRule type="cellIs" dxfId="72" priority="45" operator="lessThan">
      <formula>0</formula>
    </cfRule>
  </conditionalFormatting>
  <conditionalFormatting sqref="BO541">
    <cfRule type="cellIs" dxfId="71" priority="44" operator="lessThan">
      <formula>0</formula>
    </cfRule>
  </conditionalFormatting>
  <conditionalFormatting sqref="O541 AA541 AM541 AY541 BL541">
    <cfRule type="cellIs" dxfId="70" priority="43" operator="lessThan">
      <formula>0</formula>
    </cfRule>
  </conditionalFormatting>
  <conditionalFormatting sqref="BO605">
    <cfRule type="cellIs" dxfId="69" priority="42" operator="lessThan">
      <formula>0</formula>
    </cfRule>
  </conditionalFormatting>
  <conditionalFormatting sqref="O605 AA605 AM605 AY605 BL605">
    <cfRule type="cellIs" dxfId="68" priority="41" operator="lessThan">
      <formula>0</formula>
    </cfRule>
  </conditionalFormatting>
  <conditionalFormatting sqref="BO846">
    <cfRule type="cellIs" dxfId="67" priority="40" operator="lessThan">
      <formula>0</formula>
    </cfRule>
  </conditionalFormatting>
  <conditionalFormatting sqref="O846 AA846 AM846 AY846 BL846">
    <cfRule type="cellIs" dxfId="66" priority="39" operator="lessThan">
      <formula>0</formula>
    </cfRule>
  </conditionalFormatting>
  <conditionalFormatting sqref="BO654">
    <cfRule type="cellIs" dxfId="65" priority="38" operator="lessThan">
      <formula>0</formula>
    </cfRule>
  </conditionalFormatting>
  <conditionalFormatting sqref="BL654 AY654 AM654 AA654 O654">
    <cfRule type="cellIs" dxfId="64" priority="37" operator="lessThan">
      <formula>0</formula>
    </cfRule>
  </conditionalFormatting>
  <conditionalFormatting sqref="BO718">
    <cfRule type="cellIs" dxfId="63" priority="36" operator="lessThan">
      <formula>0</formula>
    </cfRule>
  </conditionalFormatting>
  <conditionalFormatting sqref="BL718 AY718 AM718 AA718 O718">
    <cfRule type="cellIs" dxfId="62" priority="35" operator="lessThan">
      <formula>0</formula>
    </cfRule>
  </conditionalFormatting>
  <conditionalFormatting sqref="BO858">
    <cfRule type="cellIs" dxfId="61" priority="34" operator="lessThan">
      <formula>0</formula>
    </cfRule>
  </conditionalFormatting>
  <conditionalFormatting sqref="BL858 AY858 AM858 AA858 O858">
    <cfRule type="cellIs" dxfId="60" priority="33" operator="lessThan">
      <formula>0</formula>
    </cfRule>
  </conditionalFormatting>
  <conditionalFormatting sqref="BO799">
    <cfRule type="cellIs" dxfId="59" priority="32" operator="lessThan">
      <formula>0</formula>
    </cfRule>
  </conditionalFormatting>
  <conditionalFormatting sqref="O799 AA799 AM799 AY799 BL799">
    <cfRule type="cellIs" dxfId="58" priority="31" operator="lessThan">
      <formula>0</formula>
    </cfRule>
  </conditionalFormatting>
  <conditionalFormatting sqref="BO707">
    <cfRule type="cellIs" dxfId="57" priority="30" operator="lessThan">
      <formula>0</formula>
    </cfRule>
  </conditionalFormatting>
  <conditionalFormatting sqref="O707 AA707 AM707 AY707 BL707">
    <cfRule type="cellIs" dxfId="56" priority="29" operator="lessThan">
      <formula>0</formula>
    </cfRule>
  </conditionalFormatting>
  <conditionalFormatting sqref="BO458">
    <cfRule type="cellIs" dxfId="55" priority="28" operator="lessThan">
      <formula>0</formula>
    </cfRule>
  </conditionalFormatting>
  <conditionalFormatting sqref="O458 AA458 AM458 AY458 BL458">
    <cfRule type="cellIs" dxfId="54" priority="27" operator="lessThan">
      <formula>0</formula>
    </cfRule>
  </conditionalFormatting>
  <conditionalFormatting sqref="BO283">
    <cfRule type="cellIs" dxfId="53" priority="26" operator="lessThan">
      <formula>0</formula>
    </cfRule>
  </conditionalFormatting>
  <conditionalFormatting sqref="O283 AA283 AM283 AY283 BL283">
    <cfRule type="cellIs" dxfId="52" priority="25" operator="lessThan">
      <formula>0</formula>
    </cfRule>
  </conditionalFormatting>
  <conditionalFormatting sqref="BO288">
    <cfRule type="cellIs" dxfId="51" priority="24" operator="lessThan">
      <formula>0</formula>
    </cfRule>
  </conditionalFormatting>
  <conditionalFormatting sqref="BL288 AY288 AM288 AA288 O288">
    <cfRule type="cellIs" dxfId="50" priority="23" operator="lessThan">
      <formula>0</formula>
    </cfRule>
  </conditionalFormatting>
  <conditionalFormatting sqref="BO633">
    <cfRule type="cellIs" dxfId="49" priority="22" operator="lessThan">
      <formula>0</formula>
    </cfRule>
  </conditionalFormatting>
  <conditionalFormatting sqref="BL633 AY633 AM633 AA633 O633">
    <cfRule type="cellIs" dxfId="48" priority="21" operator="lessThan">
      <formula>0</formula>
    </cfRule>
  </conditionalFormatting>
  <conditionalFormatting sqref="BO704">
    <cfRule type="cellIs" dxfId="47" priority="20" operator="lessThan">
      <formula>0</formula>
    </cfRule>
  </conditionalFormatting>
  <conditionalFormatting sqref="BL704 AY704 AM704 AA704 O704">
    <cfRule type="cellIs" dxfId="46" priority="19" operator="lessThan">
      <formula>0</formula>
    </cfRule>
  </conditionalFormatting>
  <conditionalFormatting sqref="BO911">
    <cfRule type="cellIs" dxfId="45" priority="18" operator="lessThan">
      <formula>0</formula>
    </cfRule>
  </conditionalFormatting>
  <conditionalFormatting sqref="O911 AA911 AM911 AY911 BL911">
    <cfRule type="cellIs" dxfId="44" priority="17" operator="lessThan">
      <formula>0</formula>
    </cfRule>
  </conditionalFormatting>
  <conditionalFormatting sqref="BO910">
    <cfRule type="cellIs" dxfId="43" priority="16" operator="lessThan">
      <formula>0</formula>
    </cfRule>
  </conditionalFormatting>
  <conditionalFormatting sqref="O910 AA910 AM910 AY910 BL910">
    <cfRule type="cellIs" dxfId="42" priority="15" operator="lessThan">
      <formula>0</formula>
    </cfRule>
  </conditionalFormatting>
  <conditionalFormatting sqref="BO903">
    <cfRule type="cellIs" dxfId="41" priority="14" operator="lessThan">
      <formula>0</formula>
    </cfRule>
  </conditionalFormatting>
  <conditionalFormatting sqref="O903 AA903 AM903 AY903 BL903">
    <cfRule type="cellIs" dxfId="40" priority="13" operator="lessThan">
      <formula>0</formula>
    </cfRule>
  </conditionalFormatting>
  <conditionalFormatting sqref="BO926">
    <cfRule type="cellIs" dxfId="39" priority="12" operator="lessThan">
      <formula>0</formula>
    </cfRule>
  </conditionalFormatting>
  <conditionalFormatting sqref="BL926 AY926 AM926 AA926 O926">
    <cfRule type="cellIs" dxfId="38" priority="11" operator="lessThan">
      <formula>0</formula>
    </cfRule>
  </conditionalFormatting>
  <conditionalFormatting sqref="BO928">
    <cfRule type="cellIs" dxfId="37" priority="10" operator="lessThan">
      <formula>0</formula>
    </cfRule>
  </conditionalFormatting>
  <conditionalFormatting sqref="O928 AA928 AM928 AY928 BL928">
    <cfRule type="cellIs" dxfId="36" priority="9" operator="lessThan">
      <formula>0</formula>
    </cfRule>
  </conditionalFormatting>
  <conditionalFormatting sqref="BO475">
    <cfRule type="cellIs" dxfId="35" priority="8" operator="lessThan">
      <formula>0</formula>
    </cfRule>
  </conditionalFormatting>
  <conditionalFormatting sqref="BL475 AY475 AM475 AA475 O475">
    <cfRule type="cellIs" dxfId="34" priority="7" operator="lessThan">
      <formula>0</formula>
    </cfRule>
  </conditionalFormatting>
  <conditionalFormatting sqref="BO519">
    <cfRule type="cellIs" dxfId="33" priority="6" operator="lessThan">
      <formula>0</formula>
    </cfRule>
  </conditionalFormatting>
  <conditionalFormatting sqref="O519 AA519 AM519 AY519 BL519">
    <cfRule type="cellIs" dxfId="32" priority="5" operator="lessThan">
      <formula>0</formula>
    </cfRule>
  </conditionalFormatting>
  <conditionalFormatting sqref="BO520">
    <cfRule type="cellIs" dxfId="31" priority="4" operator="lessThan">
      <formula>0</formula>
    </cfRule>
  </conditionalFormatting>
  <conditionalFormatting sqref="O520 AA520 AM520 AY520 BL520">
    <cfRule type="cellIs" dxfId="30" priority="3" operator="lessThan">
      <formula>0</formula>
    </cfRule>
  </conditionalFormatting>
  <conditionalFormatting sqref="BO522">
    <cfRule type="cellIs" dxfId="29" priority="2" operator="lessThan">
      <formula>0</formula>
    </cfRule>
  </conditionalFormatting>
  <conditionalFormatting sqref="O522 AA522 AM522 AY522 BL522">
    <cfRule type="cellIs" dxfId="2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headerFooter>
    <oddHeader>&amp;C&amp;G</oddHeader>
  </headerFooter>
  <drawing r:id="rId2"/>
  <legacyDrawingHF r:id="rId3"/>
  <picture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/>
  <dimension ref="A1:XFB29"/>
  <sheetViews>
    <sheetView showGridLines="0" topLeftCell="A4" zoomScale="70" zoomScaleNormal="70" zoomScalePageLayoutView="70" workbookViewId="0">
      <selection activeCell="M8" sqref="M8"/>
    </sheetView>
  </sheetViews>
  <sheetFormatPr defaultColWidth="0" defaultRowHeight="0" customHeight="1" zeroHeight="1" x14ac:dyDescent="0.25"/>
  <cols>
    <col min="1" max="1" width="1.42578125" style="18" customWidth="1"/>
    <col min="2" max="2" width="30.42578125" style="19" bestFit="1" customWidth="1"/>
    <col min="3" max="3" width="1.140625" style="19" customWidth="1"/>
    <col min="4" max="33" width="15.85546875" style="19" customWidth="1"/>
    <col min="34" max="34" width="1.140625" style="19" customWidth="1"/>
    <col min="35" max="16384" width="0" style="19" hidden="1"/>
  </cols>
  <sheetData>
    <row r="1" spans="1:16382" ht="6" customHeight="1" thickBot="1" x14ac:dyDescent="0.3"/>
    <row r="2" spans="1:16382" ht="15" x14ac:dyDescent="0.25">
      <c r="B2" s="161" t="s">
        <v>52</v>
      </c>
      <c r="C2" s="43"/>
      <c r="D2" s="48">
        <v>1</v>
      </c>
      <c r="E2" s="48">
        <v>2</v>
      </c>
      <c r="F2" s="48">
        <v>3</v>
      </c>
      <c r="G2" s="48">
        <v>4</v>
      </c>
      <c r="H2" s="48">
        <v>5</v>
      </c>
      <c r="I2" s="48">
        <v>6</v>
      </c>
      <c r="J2" s="48">
        <v>7</v>
      </c>
      <c r="K2" s="48">
        <v>8</v>
      </c>
      <c r="L2" s="48">
        <v>9</v>
      </c>
      <c r="M2" s="48">
        <v>10</v>
      </c>
    </row>
    <row r="3" spans="1:16382" ht="16.5" thickBot="1" x14ac:dyDescent="0.3">
      <c r="B3" s="162"/>
      <c r="C3" s="47"/>
      <c r="D3" s="22">
        <v>25660.41</v>
      </c>
      <c r="E3" s="22">
        <v>15011.92</v>
      </c>
      <c r="F3" s="22">
        <v>14734.640000000001</v>
      </c>
      <c r="G3" s="22">
        <v>17739.54</v>
      </c>
      <c r="H3" s="22">
        <v>19710.89</v>
      </c>
      <c r="I3" s="22">
        <v>16783.009999999998</v>
      </c>
      <c r="J3" s="22">
        <v>17466.560000000001</v>
      </c>
      <c r="K3" s="22">
        <v>28667.049999999996</v>
      </c>
      <c r="L3" s="22">
        <v>16108.669999999998</v>
      </c>
      <c r="M3" s="22">
        <v>18708.66</v>
      </c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  <c r="NK3" s="28"/>
      <c r="NL3" s="28"/>
      <c r="NM3" s="28"/>
      <c r="NN3" s="28"/>
      <c r="NO3" s="28"/>
      <c r="NP3" s="28"/>
      <c r="NQ3" s="28"/>
      <c r="NR3" s="28"/>
      <c r="NS3" s="28"/>
      <c r="NT3" s="28"/>
      <c r="NU3" s="28"/>
      <c r="NV3" s="28"/>
      <c r="NW3" s="28"/>
      <c r="NX3" s="28"/>
      <c r="NY3" s="28"/>
      <c r="NZ3" s="28"/>
      <c r="OA3" s="28"/>
      <c r="OB3" s="28"/>
      <c r="OC3" s="28"/>
      <c r="OD3" s="28"/>
      <c r="OE3" s="28"/>
      <c r="OF3" s="28"/>
      <c r="OG3" s="28"/>
      <c r="OH3" s="28"/>
      <c r="OI3" s="28"/>
      <c r="OJ3" s="28"/>
      <c r="OK3" s="28"/>
      <c r="OL3" s="28"/>
      <c r="OM3" s="28"/>
      <c r="ON3" s="28"/>
      <c r="OO3" s="28"/>
      <c r="OP3" s="28"/>
      <c r="OQ3" s="28"/>
      <c r="OR3" s="28"/>
      <c r="OS3" s="28"/>
      <c r="OT3" s="28"/>
      <c r="OU3" s="28"/>
      <c r="OV3" s="28"/>
      <c r="OW3" s="28"/>
      <c r="OX3" s="28"/>
      <c r="OY3" s="28"/>
      <c r="OZ3" s="28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8"/>
      <c r="QD3" s="28"/>
      <c r="QE3" s="28"/>
      <c r="QF3" s="28"/>
      <c r="QG3" s="28"/>
      <c r="QH3" s="28"/>
      <c r="QI3" s="28"/>
      <c r="QJ3" s="28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28"/>
      <c r="QV3" s="28"/>
      <c r="QW3" s="28"/>
      <c r="QX3" s="28"/>
      <c r="QY3" s="28"/>
      <c r="QZ3" s="28"/>
      <c r="RA3" s="28"/>
      <c r="RB3" s="28"/>
      <c r="RC3" s="28"/>
      <c r="RD3" s="28"/>
      <c r="RE3" s="28"/>
      <c r="RF3" s="28"/>
      <c r="RG3" s="28"/>
      <c r="RH3" s="28"/>
      <c r="RI3" s="28"/>
      <c r="RJ3" s="28"/>
      <c r="RK3" s="28"/>
      <c r="RL3" s="28"/>
      <c r="RM3" s="28"/>
      <c r="RN3" s="28"/>
      <c r="RO3" s="28"/>
      <c r="RP3" s="28"/>
      <c r="RQ3" s="28"/>
      <c r="RR3" s="28"/>
      <c r="RS3" s="28"/>
      <c r="RT3" s="28"/>
      <c r="RU3" s="28"/>
      <c r="RV3" s="28"/>
      <c r="RW3" s="28"/>
      <c r="RX3" s="28"/>
      <c r="RY3" s="28"/>
      <c r="RZ3" s="28"/>
      <c r="SA3" s="28"/>
      <c r="SB3" s="28"/>
      <c r="SC3" s="28"/>
      <c r="SD3" s="28"/>
      <c r="SE3" s="28"/>
      <c r="SF3" s="28"/>
      <c r="SG3" s="28"/>
      <c r="SH3" s="28"/>
      <c r="SI3" s="28"/>
      <c r="SJ3" s="28"/>
      <c r="SK3" s="28"/>
      <c r="SL3" s="28"/>
      <c r="SM3" s="28"/>
      <c r="SN3" s="28"/>
      <c r="SO3" s="28"/>
      <c r="SP3" s="28"/>
      <c r="SQ3" s="28"/>
      <c r="SR3" s="28"/>
      <c r="SS3" s="28"/>
      <c r="ST3" s="28"/>
      <c r="SU3" s="28"/>
      <c r="SV3" s="28"/>
      <c r="SW3" s="28"/>
      <c r="SX3" s="28"/>
      <c r="SY3" s="28"/>
      <c r="SZ3" s="28"/>
      <c r="TA3" s="28"/>
      <c r="TB3" s="28"/>
      <c r="TC3" s="28"/>
      <c r="TD3" s="28"/>
      <c r="TE3" s="28"/>
      <c r="TF3" s="28"/>
      <c r="TG3" s="28"/>
      <c r="TH3" s="28"/>
      <c r="TI3" s="28"/>
      <c r="TJ3" s="28"/>
      <c r="TK3" s="28"/>
      <c r="TL3" s="28"/>
      <c r="TM3" s="28"/>
      <c r="TN3" s="28"/>
      <c r="TO3" s="28"/>
      <c r="TP3" s="28"/>
      <c r="TQ3" s="28"/>
      <c r="TR3" s="28"/>
      <c r="TS3" s="28"/>
      <c r="TT3" s="28"/>
      <c r="TU3" s="28"/>
      <c r="TV3" s="28"/>
      <c r="TW3" s="28"/>
      <c r="TX3" s="28"/>
      <c r="TY3" s="28"/>
      <c r="TZ3" s="28"/>
      <c r="UA3" s="28"/>
      <c r="UB3" s="28"/>
      <c r="UC3" s="28"/>
      <c r="UD3" s="28"/>
      <c r="UE3" s="28"/>
      <c r="UF3" s="28"/>
      <c r="UG3" s="28"/>
      <c r="UH3" s="28"/>
      <c r="UI3" s="28"/>
      <c r="UJ3" s="28"/>
      <c r="UK3" s="28"/>
      <c r="UL3" s="28"/>
      <c r="UM3" s="28"/>
      <c r="UN3" s="28"/>
      <c r="UO3" s="28"/>
      <c r="UP3" s="28"/>
      <c r="UQ3" s="28"/>
      <c r="UR3" s="28"/>
      <c r="US3" s="28"/>
      <c r="UT3" s="28"/>
      <c r="UU3" s="28"/>
      <c r="UV3" s="28"/>
      <c r="UW3" s="28"/>
      <c r="UX3" s="28"/>
      <c r="UY3" s="28"/>
      <c r="UZ3" s="28"/>
      <c r="VA3" s="28"/>
      <c r="VB3" s="28"/>
      <c r="VC3" s="28"/>
      <c r="VD3" s="28"/>
      <c r="VE3" s="28"/>
      <c r="VF3" s="28"/>
      <c r="VG3" s="28"/>
      <c r="VH3" s="28"/>
      <c r="VI3" s="28"/>
      <c r="VJ3" s="28"/>
      <c r="VK3" s="28"/>
      <c r="VL3" s="28"/>
      <c r="VM3" s="28"/>
      <c r="VN3" s="28"/>
      <c r="VO3" s="28"/>
      <c r="VP3" s="28"/>
      <c r="VQ3" s="28"/>
      <c r="VR3" s="28"/>
      <c r="VS3" s="28"/>
      <c r="VT3" s="28"/>
      <c r="VU3" s="28"/>
      <c r="VV3" s="28"/>
      <c r="VW3" s="28"/>
      <c r="VX3" s="28"/>
      <c r="VY3" s="28"/>
      <c r="VZ3" s="28"/>
      <c r="WA3" s="28"/>
      <c r="WB3" s="28"/>
      <c r="WC3" s="28"/>
      <c r="WD3" s="28"/>
      <c r="WE3" s="28"/>
      <c r="WF3" s="28"/>
      <c r="WG3" s="28"/>
      <c r="WH3" s="28"/>
      <c r="WI3" s="28"/>
      <c r="WJ3" s="28"/>
      <c r="WK3" s="28"/>
      <c r="WL3" s="28"/>
      <c r="WM3" s="28"/>
      <c r="WN3" s="28"/>
      <c r="WO3" s="28"/>
      <c r="WP3" s="28"/>
      <c r="WQ3" s="28"/>
      <c r="WR3" s="28"/>
      <c r="WS3" s="28"/>
      <c r="WT3" s="28"/>
      <c r="WU3" s="28"/>
      <c r="WV3" s="28"/>
      <c r="WW3" s="28"/>
      <c r="WX3" s="28"/>
      <c r="WY3" s="28"/>
      <c r="WZ3" s="28"/>
      <c r="XA3" s="28"/>
      <c r="XB3" s="28"/>
      <c r="XC3" s="28"/>
      <c r="XD3" s="28"/>
      <c r="XE3" s="28"/>
      <c r="XF3" s="28"/>
      <c r="XG3" s="28"/>
      <c r="XH3" s="28"/>
      <c r="XI3" s="28"/>
      <c r="XJ3" s="28"/>
      <c r="XK3" s="28"/>
      <c r="XL3" s="28"/>
      <c r="XM3" s="28"/>
      <c r="XN3" s="28"/>
      <c r="XO3" s="28"/>
      <c r="XP3" s="28"/>
      <c r="XQ3" s="28"/>
      <c r="XR3" s="28"/>
      <c r="XS3" s="28"/>
      <c r="XT3" s="28"/>
      <c r="XU3" s="28"/>
      <c r="XV3" s="28"/>
      <c r="XW3" s="28"/>
      <c r="XX3" s="28"/>
      <c r="XY3" s="28"/>
      <c r="XZ3" s="28"/>
      <c r="YA3" s="28"/>
      <c r="YB3" s="28"/>
      <c r="YC3" s="28"/>
      <c r="YD3" s="28"/>
      <c r="YE3" s="28"/>
      <c r="YF3" s="28"/>
      <c r="YG3" s="28"/>
      <c r="YH3" s="28"/>
      <c r="YI3" s="28"/>
      <c r="YJ3" s="28"/>
      <c r="YK3" s="28"/>
      <c r="YL3" s="28"/>
      <c r="YM3" s="28"/>
      <c r="YN3" s="28"/>
      <c r="YO3" s="28"/>
      <c r="YP3" s="28"/>
      <c r="YQ3" s="28"/>
      <c r="YR3" s="28"/>
      <c r="YS3" s="28"/>
      <c r="YT3" s="28"/>
      <c r="YU3" s="28"/>
      <c r="YV3" s="28"/>
      <c r="YW3" s="28"/>
      <c r="YX3" s="28"/>
      <c r="YY3" s="28"/>
      <c r="YZ3" s="28"/>
      <c r="ZA3" s="28"/>
      <c r="ZB3" s="28"/>
      <c r="ZC3" s="28"/>
      <c r="ZD3" s="28"/>
      <c r="ZE3" s="28"/>
      <c r="ZF3" s="28"/>
      <c r="ZG3" s="28"/>
      <c r="ZH3" s="28"/>
      <c r="ZI3" s="28"/>
      <c r="ZJ3" s="28"/>
      <c r="ZK3" s="28"/>
      <c r="ZL3" s="28"/>
      <c r="ZM3" s="28"/>
      <c r="ZN3" s="28"/>
      <c r="ZO3" s="28"/>
      <c r="ZP3" s="28"/>
      <c r="ZQ3" s="28"/>
      <c r="ZR3" s="28"/>
      <c r="ZS3" s="28"/>
      <c r="ZT3" s="28"/>
      <c r="ZU3" s="28"/>
      <c r="ZV3" s="28"/>
      <c r="ZW3" s="28"/>
      <c r="ZX3" s="28"/>
      <c r="ZY3" s="28"/>
      <c r="ZZ3" s="28"/>
      <c r="AAA3" s="28"/>
      <c r="AAB3" s="28"/>
      <c r="AAC3" s="28"/>
      <c r="AAD3" s="28"/>
      <c r="AAE3" s="28"/>
      <c r="AAF3" s="28"/>
      <c r="AAG3" s="28"/>
      <c r="AAH3" s="28"/>
      <c r="AAI3" s="28"/>
      <c r="AAJ3" s="28"/>
      <c r="AAK3" s="28"/>
      <c r="AAL3" s="28"/>
      <c r="AAM3" s="28"/>
      <c r="AAN3" s="28"/>
      <c r="AAO3" s="28"/>
      <c r="AAP3" s="28"/>
      <c r="AAQ3" s="28"/>
      <c r="AAR3" s="28"/>
      <c r="AAS3" s="28"/>
      <c r="AAT3" s="28"/>
      <c r="AAU3" s="28"/>
      <c r="AAV3" s="28"/>
      <c r="AAW3" s="28"/>
      <c r="AAX3" s="28"/>
      <c r="AAY3" s="28"/>
      <c r="AAZ3" s="28"/>
      <c r="ABA3" s="28"/>
      <c r="ABB3" s="28"/>
      <c r="ABC3" s="28"/>
      <c r="ABD3" s="28"/>
      <c r="ABE3" s="28"/>
      <c r="ABF3" s="28"/>
      <c r="ABG3" s="28"/>
      <c r="ABH3" s="28"/>
      <c r="ABI3" s="28"/>
      <c r="ABJ3" s="28"/>
      <c r="ABK3" s="28"/>
      <c r="ABL3" s="28"/>
      <c r="ABM3" s="28"/>
      <c r="ABN3" s="28"/>
      <c r="ABO3" s="28"/>
      <c r="ABP3" s="28"/>
      <c r="ABQ3" s="28"/>
      <c r="ABR3" s="28"/>
      <c r="ABS3" s="28"/>
      <c r="ABT3" s="28"/>
      <c r="ABU3" s="28"/>
      <c r="ABV3" s="28"/>
      <c r="ABW3" s="28"/>
      <c r="ABX3" s="28"/>
      <c r="ABY3" s="28"/>
      <c r="ABZ3" s="28"/>
      <c r="ACA3" s="28"/>
      <c r="ACB3" s="28"/>
      <c r="ACC3" s="28"/>
      <c r="ACD3" s="28"/>
      <c r="ACE3" s="28"/>
      <c r="ACF3" s="28"/>
      <c r="ACG3" s="28"/>
      <c r="ACH3" s="28"/>
      <c r="ACI3" s="28"/>
      <c r="ACJ3" s="28"/>
      <c r="ACK3" s="28"/>
      <c r="ACL3" s="28"/>
      <c r="ACM3" s="28"/>
      <c r="ACN3" s="28"/>
      <c r="ACO3" s="28"/>
      <c r="ACP3" s="28"/>
      <c r="ACQ3" s="28"/>
      <c r="ACR3" s="28"/>
      <c r="ACS3" s="28"/>
      <c r="ACT3" s="28"/>
      <c r="ACU3" s="28"/>
      <c r="ACV3" s="28"/>
      <c r="ACW3" s="28"/>
      <c r="ACX3" s="28"/>
      <c r="ACY3" s="28"/>
      <c r="ACZ3" s="28"/>
      <c r="ADA3" s="28"/>
      <c r="ADB3" s="28"/>
      <c r="ADC3" s="28"/>
      <c r="ADD3" s="28"/>
      <c r="ADE3" s="28"/>
      <c r="ADF3" s="28"/>
      <c r="ADG3" s="28"/>
      <c r="ADH3" s="28"/>
      <c r="ADI3" s="28"/>
      <c r="ADJ3" s="28"/>
      <c r="ADK3" s="28"/>
      <c r="ADL3" s="28"/>
      <c r="ADM3" s="28"/>
      <c r="ADN3" s="28"/>
      <c r="ADO3" s="28"/>
      <c r="ADP3" s="28"/>
      <c r="ADQ3" s="28"/>
      <c r="ADR3" s="28"/>
      <c r="ADS3" s="28"/>
      <c r="ADT3" s="28"/>
      <c r="ADU3" s="28"/>
      <c r="ADV3" s="28"/>
      <c r="ADW3" s="28"/>
      <c r="ADX3" s="28"/>
      <c r="ADY3" s="28"/>
      <c r="ADZ3" s="28"/>
      <c r="AEA3" s="28"/>
      <c r="AEB3" s="28"/>
      <c r="AEC3" s="28"/>
      <c r="AED3" s="28"/>
      <c r="AEE3" s="28"/>
      <c r="AEF3" s="28"/>
      <c r="AEG3" s="28"/>
      <c r="AEH3" s="28"/>
      <c r="AEI3" s="28"/>
      <c r="AEJ3" s="28"/>
      <c r="AEK3" s="28"/>
      <c r="AEL3" s="28"/>
      <c r="AEM3" s="28"/>
      <c r="AEN3" s="28"/>
      <c r="AEO3" s="28"/>
      <c r="AEP3" s="28"/>
      <c r="AEQ3" s="28"/>
      <c r="AER3" s="28"/>
      <c r="AES3" s="28"/>
      <c r="AET3" s="28"/>
      <c r="AEU3" s="28"/>
      <c r="AEV3" s="28"/>
      <c r="AEW3" s="28"/>
      <c r="AEX3" s="28"/>
      <c r="AEY3" s="28"/>
      <c r="AEZ3" s="28"/>
      <c r="AFA3" s="28"/>
      <c r="AFB3" s="28"/>
      <c r="AFC3" s="28"/>
      <c r="AFD3" s="28"/>
      <c r="AFE3" s="28"/>
      <c r="AFF3" s="28"/>
      <c r="AFG3" s="28"/>
      <c r="AFH3" s="28"/>
      <c r="AFI3" s="28"/>
      <c r="AFJ3" s="28"/>
      <c r="AFK3" s="28"/>
      <c r="AFL3" s="28"/>
      <c r="AFM3" s="28"/>
      <c r="AFN3" s="28"/>
      <c r="AFO3" s="28"/>
      <c r="AFP3" s="28"/>
      <c r="AFQ3" s="28"/>
      <c r="AFR3" s="28"/>
      <c r="AFS3" s="28"/>
      <c r="AFT3" s="28"/>
      <c r="AFU3" s="28"/>
      <c r="AFV3" s="28"/>
      <c r="AFW3" s="28"/>
      <c r="AFX3" s="28"/>
      <c r="AFY3" s="28"/>
      <c r="AFZ3" s="28"/>
      <c r="AGA3" s="28"/>
      <c r="AGB3" s="28"/>
      <c r="AGC3" s="28"/>
      <c r="AGD3" s="28"/>
      <c r="AGE3" s="28"/>
      <c r="AGF3" s="28"/>
      <c r="AGG3" s="28"/>
      <c r="AGH3" s="28"/>
      <c r="AGI3" s="28"/>
      <c r="AGJ3" s="28"/>
      <c r="AGK3" s="28"/>
      <c r="AGL3" s="28"/>
      <c r="AGM3" s="28"/>
      <c r="AGN3" s="28"/>
      <c r="AGO3" s="28"/>
      <c r="AGP3" s="28"/>
      <c r="AGQ3" s="28"/>
      <c r="AGR3" s="28"/>
      <c r="AGS3" s="28"/>
      <c r="AGT3" s="28"/>
      <c r="AGU3" s="28"/>
      <c r="AGV3" s="28"/>
      <c r="AGW3" s="28"/>
      <c r="AGX3" s="28"/>
      <c r="AGY3" s="28"/>
      <c r="AGZ3" s="28"/>
      <c r="AHA3" s="28"/>
      <c r="AHB3" s="28"/>
      <c r="AHC3" s="28"/>
      <c r="AHD3" s="28"/>
      <c r="AHE3" s="28"/>
      <c r="AHF3" s="28"/>
      <c r="AHG3" s="28"/>
      <c r="AHH3" s="28"/>
      <c r="AHI3" s="28"/>
      <c r="AHJ3" s="28"/>
      <c r="AHK3" s="28"/>
      <c r="AHL3" s="28"/>
      <c r="AHM3" s="28"/>
      <c r="AHN3" s="28"/>
      <c r="AHO3" s="28"/>
      <c r="AHP3" s="28"/>
      <c r="AHQ3" s="28"/>
      <c r="AHR3" s="28"/>
      <c r="AHS3" s="28"/>
      <c r="AHT3" s="28"/>
      <c r="AHU3" s="28"/>
      <c r="AHV3" s="28"/>
      <c r="AHW3" s="28"/>
      <c r="AHX3" s="28"/>
      <c r="AHY3" s="28"/>
      <c r="AHZ3" s="28"/>
      <c r="AIA3" s="28"/>
      <c r="AIB3" s="28"/>
      <c r="AIC3" s="28"/>
      <c r="AID3" s="28"/>
      <c r="AIE3" s="28"/>
      <c r="AIF3" s="28"/>
      <c r="AIG3" s="28"/>
      <c r="AIH3" s="28"/>
      <c r="AII3" s="28"/>
      <c r="AIJ3" s="28"/>
      <c r="AIK3" s="28"/>
      <c r="AIL3" s="28"/>
      <c r="AIM3" s="28"/>
      <c r="AIN3" s="28"/>
      <c r="AIO3" s="28"/>
      <c r="AIP3" s="28"/>
      <c r="AIQ3" s="28"/>
      <c r="AIR3" s="28"/>
      <c r="AIS3" s="28"/>
      <c r="AIT3" s="28"/>
      <c r="AIU3" s="28"/>
      <c r="AIV3" s="28"/>
      <c r="AIW3" s="28"/>
      <c r="AIX3" s="28"/>
      <c r="AIY3" s="28"/>
      <c r="AIZ3" s="28"/>
      <c r="AJA3" s="28"/>
      <c r="AJB3" s="28"/>
      <c r="AJC3" s="28"/>
      <c r="AJD3" s="28"/>
      <c r="AJE3" s="28"/>
      <c r="AJF3" s="28"/>
      <c r="AJG3" s="28"/>
      <c r="AJH3" s="28"/>
      <c r="AJI3" s="28"/>
      <c r="AJJ3" s="28"/>
      <c r="AJK3" s="28"/>
      <c r="AJL3" s="28"/>
      <c r="AJM3" s="28"/>
      <c r="AJN3" s="28"/>
      <c r="AJO3" s="28"/>
      <c r="AJP3" s="28"/>
      <c r="AJQ3" s="28"/>
      <c r="AJR3" s="28"/>
      <c r="AJS3" s="28"/>
      <c r="AJT3" s="28"/>
      <c r="AJU3" s="28"/>
      <c r="AJV3" s="28"/>
      <c r="AJW3" s="28"/>
      <c r="AJX3" s="28"/>
      <c r="AJY3" s="28"/>
      <c r="AJZ3" s="28"/>
      <c r="AKA3" s="28"/>
      <c r="AKB3" s="28"/>
      <c r="AKC3" s="28"/>
      <c r="AKD3" s="28"/>
      <c r="AKE3" s="28"/>
      <c r="AKF3" s="28"/>
      <c r="AKG3" s="28"/>
      <c r="AKH3" s="28"/>
      <c r="AKI3" s="28"/>
      <c r="AKJ3" s="28"/>
      <c r="AKK3" s="28"/>
      <c r="AKL3" s="28"/>
      <c r="AKM3" s="28"/>
      <c r="AKN3" s="28"/>
      <c r="AKO3" s="28"/>
      <c r="AKP3" s="28"/>
      <c r="AKQ3" s="28"/>
      <c r="AKR3" s="28"/>
      <c r="AKS3" s="28"/>
      <c r="AKT3" s="28"/>
      <c r="AKU3" s="28"/>
      <c r="AKV3" s="28"/>
      <c r="AKW3" s="28"/>
      <c r="AKX3" s="28"/>
      <c r="AKY3" s="28"/>
      <c r="AKZ3" s="28"/>
      <c r="ALA3" s="28"/>
      <c r="ALB3" s="28"/>
      <c r="ALC3" s="28"/>
      <c r="ALD3" s="28"/>
      <c r="ALE3" s="28"/>
      <c r="ALF3" s="28"/>
      <c r="ALG3" s="28"/>
      <c r="ALH3" s="28"/>
      <c r="ALI3" s="28"/>
      <c r="ALJ3" s="28"/>
      <c r="ALK3" s="28"/>
      <c r="ALL3" s="28"/>
      <c r="ALM3" s="28"/>
      <c r="ALN3" s="28"/>
      <c r="ALO3" s="28"/>
      <c r="ALP3" s="28"/>
      <c r="ALQ3" s="28"/>
      <c r="ALR3" s="28"/>
      <c r="ALS3" s="28"/>
      <c r="ALT3" s="28"/>
      <c r="ALU3" s="28"/>
      <c r="ALV3" s="28"/>
      <c r="ALW3" s="28"/>
      <c r="ALX3" s="28"/>
      <c r="ALY3" s="28"/>
      <c r="ALZ3" s="28"/>
      <c r="AMA3" s="28"/>
      <c r="AMB3" s="28"/>
      <c r="AMC3" s="28"/>
      <c r="AMD3" s="28"/>
      <c r="AME3" s="28"/>
      <c r="AMF3" s="28"/>
      <c r="AMG3" s="28"/>
      <c r="AMH3" s="28"/>
      <c r="AMI3" s="28"/>
      <c r="AMJ3" s="28"/>
      <c r="AMK3" s="28"/>
      <c r="AML3" s="28"/>
      <c r="AMM3" s="28"/>
      <c r="AMN3" s="28"/>
      <c r="AMO3" s="28"/>
      <c r="AMP3" s="28"/>
      <c r="AMQ3" s="28"/>
      <c r="AMR3" s="28"/>
      <c r="AMS3" s="28"/>
      <c r="AMT3" s="28"/>
      <c r="AMU3" s="28"/>
      <c r="AMV3" s="28"/>
      <c r="AMW3" s="28"/>
      <c r="AMX3" s="28"/>
      <c r="AMY3" s="28"/>
      <c r="AMZ3" s="28"/>
      <c r="ANA3" s="28"/>
      <c r="ANB3" s="28"/>
      <c r="ANC3" s="28"/>
      <c r="AND3" s="28"/>
      <c r="ANE3" s="28"/>
      <c r="ANF3" s="28"/>
      <c r="ANG3" s="28"/>
      <c r="ANH3" s="28"/>
      <c r="ANI3" s="28"/>
      <c r="ANJ3" s="28"/>
      <c r="ANK3" s="28"/>
      <c r="ANL3" s="28"/>
      <c r="ANM3" s="28"/>
      <c r="ANN3" s="28"/>
      <c r="ANO3" s="28"/>
      <c r="ANP3" s="28"/>
      <c r="ANQ3" s="28"/>
      <c r="ANR3" s="28"/>
      <c r="ANS3" s="28"/>
      <c r="ANT3" s="28"/>
      <c r="ANU3" s="28"/>
      <c r="ANV3" s="28"/>
      <c r="ANW3" s="28"/>
      <c r="ANX3" s="28"/>
      <c r="ANY3" s="28"/>
      <c r="ANZ3" s="28"/>
      <c r="AOA3" s="28"/>
      <c r="AOB3" s="28"/>
      <c r="AOC3" s="28"/>
      <c r="AOD3" s="28"/>
      <c r="AOE3" s="28"/>
      <c r="AOF3" s="28"/>
      <c r="AOG3" s="28"/>
      <c r="AOH3" s="28"/>
      <c r="AOI3" s="28"/>
      <c r="AOJ3" s="28"/>
      <c r="AOK3" s="28"/>
      <c r="AOL3" s="28"/>
      <c r="AOM3" s="28"/>
      <c r="AON3" s="28"/>
      <c r="AOO3" s="28"/>
      <c r="AOP3" s="28"/>
      <c r="AOQ3" s="28"/>
      <c r="AOR3" s="28"/>
      <c r="AOS3" s="28"/>
      <c r="AOT3" s="28"/>
      <c r="AOU3" s="28"/>
      <c r="AOV3" s="28"/>
      <c r="AOW3" s="28"/>
      <c r="AOX3" s="28"/>
      <c r="AOY3" s="28"/>
      <c r="AOZ3" s="28"/>
      <c r="APA3" s="28"/>
      <c r="APB3" s="28"/>
      <c r="APC3" s="28"/>
      <c r="APD3" s="28"/>
      <c r="APE3" s="28"/>
      <c r="APF3" s="28"/>
      <c r="APG3" s="28"/>
      <c r="APH3" s="28"/>
      <c r="API3" s="28"/>
      <c r="APJ3" s="28"/>
      <c r="APK3" s="28"/>
      <c r="APL3" s="28"/>
      <c r="APM3" s="28"/>
      <c r="APN3" s="28"/>
      <c r="APO3" s="28"/>
      <c r="APP3" s="28"/>
      <c r="APQ3" s="28"/>
      <c r="APR3" s="28"/>
      <c r="APS3" s="28"/>
      <c r="APT3" s="28"/>
      <c r="APU3" s="28"/>
      <c r="APV3" s="28"/>
      <c r="APW3" s="28"/>
      <c r="APX3" s="28"/>
      <c r="APY3" s="28"/>
      <c r="APZ3" s="28"/>
      <c r="AQA3" s="28"/>
      <c r="AQB3" s="28"/>
      <c r="AQC3" s="28"/>
      <c r="AQD3" s="28"/>
      <c r="AQE3" s="28"/>
      <c r="AQF3" s="28"/>
      <c r="AQG3" s="28"/>
      <c r="AQH3" s="28"/>
      <c r="AQI3" s="28"/>
      <c r="AQJ3" s="28"/>
      <c r="AQK3" s="28"/>
      <c r="AQL3" s="28"/>
      <c r="AQM3" s="28"/>
      <c r="AQN3" s="28"/>
      <c r="AQO3" s="28"/>
      <c r="AQP3" s="28"/>
      <c r="AQQ3" s="28"/>
      <c r="AQR3" s="28"/>
      <c r="AQS3" s="28"/>
      <c r="AQT3" s="28"/>
      <c r="AQU3" s="28"/>
      <c r="AQV3" s="28"/>
      <c r="AQW3" s="28"/>
      <c r="AQX3" s="28"/>
      <c r="AQY3" s="28"/>
      <c r="AQZ3" s="28"/>
      <c r="ARA3" s="28"/>
      <c r="ARB3" s="28"/>
      <c r="ARC3" s="28"/>
      <c r="ARD3" s="28"/>
      <c r="ARE3" s="28"/>
      <c r="ARF3" s="28"/>
      <c r="ARG3" s="28"/>
      <c r="ARH3" s="28"/>
      <c r="ARI3" s="28"/>
      <c r="ARJ3" s="28"/>
      <c r="ARK3" s="28"/>
      <c r="ARL3" s="28"/>
      <c r="ARM3" s="28"/>
      <c r="ARN3" s="28"/>
      <c r="ARO3" s="28"/>
      <c r="ARP3" s="28"/>
      <c r="ARQ3" s="28"/>
      <c r="ARR3" s="28"/>
      <c r="ARS3" s="28"/>
      <c r="ART3" s="28"/>
      <c r="ARU3" s="28"/>
      <c r="ARV3" s="28"/>
      <c r="ARW3" s="28"/>
      <c r="ARX3" s="28"/>
      <c r="ARY3" s="28"/>
      <c r="ARZ3" s="28"/>
      <c r="ASA3" s="28"/>
      <c r="ASB3" s="28"/>
      <c r="ASC3" s="28"/>
      <c r="ASD3" s="28"/>
      <c r="ASE3" s="28"/>
      <c r="ASF3" s="28"/>
      <c r="ASG3" s="28"/>
      <c r="ASH3" s="28"/>
      <c r="ASI3" s="28"/>
      <c r="ASJ3" s="28"/>
      <c r="ASK3" s="28"/>
      <c r="ASL3" s="28"/>
      <c r="ASM3" s="28"/>
      <c r="ASN3" s="28"/>
      <c r="ASO3" s="28"/>
      <c r="ASP3" s="28"/>
      <c r="ASQ3" s="28"/>
      <c r="ASR3" s="28"/>
      <c r="ASS3" s="28"/>
      <c r="AST3" s="28"/>
      <c r="ASU3" s="28"/>
      <c r="ASV3" s="28"/>
      <c r="ASW3" s="28"/>
      <c r="ASX3" s="28"/>
      <c r="ASY3" s="28"/>
      <c r="ASZ3" s="28"/>
      <c r="ATA3" s="28"/>
      <c r="ATB3" s="28"/>
      <c r="ATC3" s="28"/>
      <c r="ATD3" s="28"/>
      <c r="ATE3" s="28"/>
      <c r="ATF3" s="28"/>
      <c r="ATG3" s="28"/>
      <c r="ATH3" s="28"/>
      <c r="ATI3" s="28"/>
      <c r="ATJ3" s="28"/>
      <c r="ATK3" s="28"/>
      <c r="ATL3" s="28"/>
      <c r="ATM3" s="28"/>
      <c r="ATN3" s="28"/>
      <c r="ATO3" s="28"/>
      <c r="ATP3" s="28"/>
      <c r="ATQ3" s="28"/>
      <c r="ATR3" s="28"/>
      <c r="ATS3" s="28"/>
      <c r="ATT3" s="28"/>
      <c r="ATU3" s="28"/>
      <c r="ATV3" s="28"/>
      <c r="ATW3" s="28"/>
      <c r="ATX3" s="28"/>
      <c r="ATY3" s="28"/>
      <c r="ATZ3" s="28"/>
      <c r="AUA3" s="28"/>
      <c r="AUB3" s="28"/>
      <c r="AUC3" s="28"/>
      <c r="AUD3" s="28"/>
      <c r="AUE3" s="28"/>
      <c r="AUF3" s="28"/>
      <c r="AUG3" s="28"/>
      <c r="AUH3" s="28"/>
      <c r="AUI3" s="28"/>
      <c r="AUJ3" s="28"/>
      <c r="AUK3" s="28"/>
      <c r="AUL3" s="28"/>
      <c r="AUM3" s="28"/>
      <c r="AUN3" s="28"/>
      <c r="AUO3" s="28"/>
      <c r="AUP3" s="28"/>
      <c r="AUQ3" s="28"/>
      <c r="AUR3" s="28"/>
      <c r="AUS3" s="28"/>
      <c r="AUT3" s="28"/>
      <c r="AUU3" s="28"/>
      <c r="AUV3" s="28"/>
      <c r="AUW3" s="28"/>
      <c r="AUX3" s="28"/>
      <c r="AUY3" s="28"/>
      <c r="AUZ3" s="28"/>
      <c r="AVA3" s="28"/>
      <c r="AVB3" s="28"/>
      <c r="AVC3" s="28"/>
      <c r="AVD3" s="28"/>
      <c r="AVE3" s="28"/>
      <c r="AVF3" s="28"/>
      <c r="AVG3" s="28"/>
      <c r="AVH3" s="28"/>
      <c r="AVI3" s="28"/>
      <c r="AVJ3" s="28"/>
      <c r="AVK3" s="28"/>
      <c r="AVL3" s="28"/>
      <c r="AVM3" s="28"/>
      <c r="AVN3" s="28"/>
      <c r="AVO3" s="28"/>
      <c r="AVP3" s="28"/>
      <c r="AVQ3" s="28"/>
      <c r="AVR3" s="28"/>
      <c r="AVS3" s="28"/>
      <c r="AVT3" s="28"/>
      <c r="AVU3" s="28"/>
      <c r="AVV3" s="28"/>
      <c r="AVW3" s="28"/>
      <c r="AVX3" s="28"/>
      <c r="AVY3" s="28"/>
      <c r="AVZ3" s="28"/>
      <c r="AWA3" s="28"/>
      <c r="AWB3" s="28"/>
      <c r="AWC3" s="28"/>
      <c r="AWD3" s="28"/>
      <c r="AWE3" s="28"/>
      <c r="AWF3" s="28"/>
      <c r="AWG3" s="28"/>
      <c r="AWH3" s="28"/>
      <c r="AWI3" s="28"/>
      <c r="AWJ3" s="28"/>
      <c r="AWK3" s="28"/>
      <c r="AWL3" s="28"/>
      <c r="AWM3" s="28"/>
      <c r="AWN3" s="28"/>
      <c r="AWO3" s="28"/>
      <c r="AWP3" s="28"/>
      <c r="AWQ3" s="28"/>
      <c r="AWR3" s="28"/>
      <c r="AWS3" s="28"/>
      <c r="AWT3" s="28"/>
      <c r="AWU3" s="28"/>
      <c r="AWV3" s="28"/>
      <c r="AWW3" s="28"/>
      <c r="AWX3" s="28"/>
      <c r="AWY3" s="28"/>
      <c r="AWZ3" s="28"/>
      <c r="AXA3" s="28"/>
      <c r="AXB3" s="28"/>
      <c r="AXC3" s="28"/>
      <c r="AXD3" s="28"/>
      <c r="AXE3" s="28"/>
      <c r="AXF3" s="28"/>
      <c r="AXG3" s="28"/>
      <c r="AXH3" s="28"/>
      <c r="AXI3" s="28"/>
      <c r="AXJ3" s="28"/>
      <c r="AXK3" s="28"/>
      <c r="AXL3" s="28"/>
      <c r="AXM3" s="28"/>
      <c r="AXN3" s="28"/>
      <c r="AXO3" s="28"/>
      <c r="AXP3" s="28"/>
      <c r="AXQ3" s="28"/>
      <c r="AXR3" s="28"/>
      <c r="AXS3" s="28"/>
      <c r="AXT3" s="28"/>
      <c r="AXU3" s="28"/>
      <c r="AXV3" s="28"/>
      <c r="AXW3" s="28"/>
      <c r="AXX3" s="28"/>
      <c r="AXY3" s="28"/>
      <c r="AXZ3" s="28"/>
      <c r="AYA3" s="28"/>
      <c r="AYB3" s="28"/>
      <c r="AYC3" s="28"/>
      <c r="AYD3" s="28"/>
      <c r="AYE3" s="28"/>
      <c r="AYF3" s="28"/>
      <c r="AYG3" s="28"/>
      <c r="AYH3" s="28"/>
      <c r="AYI3" s="28"/>
      <c r="AYJ3" s="28"/>
      <c r="AYK3" s="28"/>
      <c r="AYL3" s="28"/>
      <c r="AYM3" s="28"/>
      <c r="AYN3" s="28"/>
      <c r="AYO3" s="28"/>
      <c r="AYP3" s="28"/>
      <c r="AYQ3" s="28"/>
      <c r="AYR3" s="28"/>
      <c r="AYS3" s="28"/>
      <c r="AYT3" s="28"/>
      <c r="AYU3" s="28"/>
      <c r="AYV3" s="28"/>
      <c r="AYW3" s="28"/>
      <c r="AYX3" s="28"/>
      <c r="AYY3" s="28"/>
      <c r="AYZ3" s="28"/>
      <c r="AZA3" s="28"/>
      <c r="AZB3" s="28"/>
      <c r="AZC3" s="28"/>
      <c r="AZD3" s="28"/>
      <c r="AZE3" s="28"/>
      <c r="AZF3" s="28"/>
      <c r="AZG3" s="28"/>
      <c r="AZH3" s="28"/>
      <c r="AZI3" s="28"/>
      <c r="AZJ3" s="28"/>
      <c r="AZK3" s="28"/>
      <c r="AZL3" s="28"/>
      <c r="AZM3" s="28"/>
      <c r="AZN3" s="28"/>
      <c r="AZO3" s="28"/>
      <c r="AZP3" s="28"/>
      <c r="AZQ3" s="28"/>
      <c r="AZR3" s="28"/>
      <c r="AZS3" s="28"/>
      <c r="AZT3" s="28"/>
      <c r="AZU3" s="28"/>
      <c r="AZV3" s="28"/>
      <c r="AZW3" s="28"/>
      <c r="AZX3" s="28"/>
      <c r="AZY3" s="28"/>
      <c r="AZZ3" s="28"/>
      <c r="BAA3" s="28"/>
      <c r="BAB3" s="28"/>
      <c r="BAC3" s="28"/>
      <c r="BAD3" s="28"/>
      <c r="BAE3" s="28"/>
      <c r="BAF3" s="28"/>
      <c r="BAG3" s="28"/>
      <c r="BAH3" s="28"/>
      <c r="BAI3" s="28"/>
      <c r="BAJ3" s="28"/>
      <c r="BAK3" s="28"/>
      <c r="BAL3" s="28"/>
      <c r="BAM3" s="28"/>
      <c r="BAN3" s="28"/>
      <c r="BAO3" s="28"/>
      <c r="BAP3" s="28"/>
      <c r="BAQ3" s="28"/>
      <c r="BAR3" s="28"/>
      <c r="BAS3" s="28"/>
      <c r="BAT3" s="28"/>
      <c r="BAU3" s="28"/>
      <c r="BAV3" s="28"/>
      <c r="BAW3" s="28"/>
      <c r="BAX3" s="28"/>
      <c r="BAY3" s="28"/>
      <c r="BAZ3" s="28"/>
      <c r="BBA3" s="28"/>
      <c r="BBB3" s="28"/>
      <c r="BBC3" s="28"/>
      <c r="BBD3" s="28"/>
      <c r="BBE3" s="28"/>
      <c r="BBF3" s="28"/>
      <c r="BBG3" s="28"/>
      <c r="BBH3" s="28"/>
      <c r="BBI3" s="28"/>
      <c r="BBJ3" s="28"/>
      <c r="BBK3" s="28"/>
      <c r="BBL3" s="28"/>
      <c r="BBM3" s="28"/>
      <c r="BBN3" s="28"/>
      <c r="BBO3" s="28"/>
      <c r="BBP3" s="28"/>
      <c r="BBQ3" s="28"/>
      <c r="BBR3" s="28"/>
      <c r="BBS3" s="28"/>
      <c r="BBT3" s="28"/>
      <c r="BBU3" s="28"/>
      <c r="BBV3" s="28"/>
      <c r="BBW3" s="28"/>
      <c r="BBX3" s="28"/>
      <c r="BBY3" s="28"/>
      <c r="BBZ3" s="28"/>
      <c r="BCA3" s="28"/>
      <c r="BCB3" s="28"/>
      <c r="BCC3" s="28"/>
      <c r="BCD3" s="28"/>
      <c r="BCE3" s="28"/>
      <c r="BCF3" s="28"/>
      <c r="BCG3" s="28"/>
      <c r="BCH3" s="28"/>
      <c r="BCI3" s="28"/>
      <c r="BCJ3" s="28"/>
      <c r="BCK3" s="28"/>
      <c r="BCL3" s="28"/>
      <c r="BCM3" s="28"/>
      <c r="BCN3" s="28"/>
      <c r="BCO3" s="28"/>
      <c r="BCP3" s="28"/>
      <c r="BCQ3" s="28"/>
      <c r="BCR3" s="28"/>
      <c r="BCS3" s="28"/>
      <c r="BCT3" s="28"/>
      <c r="BCU3" s="28"/>
      <c r="BCV3" s="28"/>
      <c r="BCW3" s="28"/>
      <c r="BCX3" s="28"/>
      <c r="BCY3" s="28"/>
      <c r="BCZ3" s="28"/>
      <c r="BDA3" s="28"/>
      <c r="BDB3" s="28"/>
      <c r="BDC3" s="28"/>
      <c r="BDD3" s="28"/>
      <c r="BDE3" s="28"/>
      <c r="BDF3" s="28"/>
      <c r="BDG3" s="28"/>
      <c r="BDH3" s="28"/>
      <c r="BDI3" s="28"/>
      <c r="BDJ3" s="28"/>
      <c r="BDK3" s="28"/>
      <c r="BDL3" s="28"/>
      <c r="BDM3" s="28"/>
      <c r="BDN3" s="28"/>
      <c r="BDO3" s="28"/>
      <c r="BDP3" s="28"/>
      <c r="BDQ3" s="28"/>
      <c r="BDR3" s="28"/>
      <c r="BDS3" s="28"/>
      <c r="BDT3" s="28"/>
      <c r="BDU3" s="28"/>
      <c r="BDV3" s="28"/>
      <c r="BDW3" s="28"/>
      <c r="BDX3" s="28"/>
      <c r="BDY3" s="28"/>
      <c r="BDZ3" s="28"/>
      <c r="BEA3" s="28"/>
      <c r="BEB3" s="28"/>
      <c r="BEC3" s="28"/>
      <c r="BED3" s="28"/>
      <c r="BEE3" s="28"/>
      <c r="BEF3" s="28"/>
      <c r="BEG3" s="28"/>
      <c r="BEH3" s="28"/>
      <c r="BEI3" s="28"/>
      <c r="BEJ3" s="28"/>
      <c r="BEK3" s="28"/>
      <c r="BEL3" s="28"/>
      <c r="BEM3" s="28"/>
      <c r="BEN3" s="28"/>
      <c r="BEO3" s="28"/>
      <c r="BEP3" s="28"/>
      <c r="BEQ3" s="28"/>
      <c r="BER3" s="28"/>
      <c r="BES3" s="28"/>
      <c r="BET3" s="28"/>
      <c r="BEU3" s="28"/>
      <c r="BEV3" s="28"/>
      <c r="BEW3" s="28"/>
      <c r="BEX3" s="28"/>
      <c r="BEY3" s="28"/>
      <c r="BEZ3" s="28"/>
      <c r="BFA3" s="28"/>
      <c r="BFB3" s="28"/>
      <c r="BFC3" s="28"/>
      <c r="BFD3" s="28"/>
      <c r="BFE3" s="28"/>
      <c r="BFF3" s="28"/>
      <c r="BFG3" s="28"/>
      <c r="BFH3" s="28"/>
      <c r="BFI3" s="28"/>
      <c r="BFJ3" s="28"/>
      <c r="BFK3" s="28"/>
      <c r="BFL3" s="28"/>
      <c r="BFM3" s="28"/>
      <c r="BFN3" s="28"/>
      <c r="BFO3" s="28"/>
      <c r="BFP3" s="28"/>
      <c r="BFQ3" s="28"/>
      <c r="BFR3" s="28"/>
      <c r="BFS3" s="28"/>
      <c r="BFT3" s="28"/>
      <c r="BFU3" s="28"/>
      <c r="BFV3" s="28"/>
      <c r="BFW3" s="28"/>
      <c r="BFX3" s="28"/>
      <c r="BFY3" s="28"/>
      <c r="BFZ3" s="28"/>
      <c r="BGA3" s="28"/>
      <c r="BGB3" s="28"/>
      <c r="BGC3" s="28"/>
      <c r="BGD3" s="28"/>
      <c r="BGE3" s="28"/>
      <c r="BGF3" s="28"/>
      <c r="BGG3" s="28"/>
      <c r="BGH3" s="28"/>
      <c r="BGI3" s="28"/>
      <c r="BGJ3" s="28"/>
      <c r="BGK3" s="28"/>
      <c r="BGL3" s="28"/>
      <c r="BGM3" s="28"/>
      <c r="BGN3" s="28"/>
      <c r="BGO3" s="28"/>
      <c r="BGP3" s="28"/>
      <c r="BGQ3" s="28"/>
      <c r="BGR3" s="28"/>
      <c r="BGS3" s="28"/>
      <c r="BGT3" s="28"/>
      <c r="BGU3" s="28"/>
      <c r="BGV3" s="28"/>
      <c r="BGW3" s="28"/>
      <c r="BGX3" s="28"/>
      <c r="BGY3" s="28"/>
      <c r="BGZ3" s="28"/>
      <c r="BHA3" s="28"/>
      <c r="BHB3" s="28"/>
      <c r="BHC3" s="28"/>
      <c r="BHD3" s="28"/>
      <c r="BHE3" s="28"/>
      <c r="BHF3" s="28"/>
      <c r="BHG3" s="28"/>
      <c r="BHH3" s="28"/>
      <c r="BHI3" s="28"/>
      <c r="BHJ3" s="28"/>
      <c r="BHK3" s="28"/>
      <c r="BHL3" s="28"/>
      <c r="BHM3" s="28"/>
      <c r="BHN3" s="28"/>
      <c r="BHO3" s="28"/>
      <c r="BHP3" s="28"/>
      <c r="BHQ3" s="28"/>
      <c r="BHR3" s="28"/>
      <c r="BHS3" s="28"/>
      <c r="BHT3" s="28"/>
      <c r="BHU3" s="28"/>
      <c r="BHV3" s="28"/>
      <c r="BHW3" s="28"/>
      <c r="BHX3" s="28"/>
      <c r="BHY3" s="28"/>
      <c r="BHZ3" s="28"/>
      <c r="BIA3" s="28"/>
      <c r="BIB3" s="28"/>
      <c r="BIC3" s="28"/>
      <c r="BID3" s="28"/>
      <c r="BIE3" s="28"/>
      <c r="BIF3" s="28"/>
      <c r="BIG3" s="28"/>
      <c r="BIH3" s="28"/>
      <c r="BII3" s="28"/>
      <c r="BIJ3" s="28"/>
      <c r="BIK3" s="28"/>
      <c r="BIL3" s="28"/>
      <c r="BIM3" s="28"/>
      <c r="BIN3" s="28"/>
      <c r="BIO3" s="28"/>
      <c r="BIP3" s="28"/>
      <c r="BIQ3" s="28"/>
      <c r="BIR3" s="28"/>
      <c r="BIS3" s="28"/>
      <c r="BIT3" s="28"/>
      <c r="BIU3" s="28"/>
      <c r="BIV3" s="28"/>
      <c r="BIW3" s="28"/>
      <c r="BIX3" s="28"/>
      <c r="BIY3" s="28"/>
      <c r="BIZ3" s="28"/>
      <c r="BJA3" s="28"/>
      <c r="BJB3" s="28"/>
      <c r="BJC3" s="28"/>
      <c r="BJD3" s="28"/>
      <c r="BJE3" s="28"/>
      <c r="BJF3" s="28"/>
      <c r="BJG3" s="28"/>
      <c r="BJH3" s="28"/>
      <c r="BJI3" s="28"/>
      <c r="BJJ3" s="28"/>
      <c r="BJK3" s="28"/>
      <c r="BJL3" s="28"/>
      <c r="BJM3" s="28"/>
      <c r="BJN3" s="28"/>
      <c r="BJO3" s="28"/>
      <c r="BJP3" s="28"/>
      <c r="BJQ3" s="28"/>
      <c r="BJR3" s="28"/>
      <c r="BJS3" s="28"/>
      <c r="BJT3" s="28"/>
      <c r="BJU3" s="28"/>
      <c r="BJV3" s="28"/>
      <c r="BJW3" s="28"/>
      <c r="BJX3" s="28"/>
      <c r="BJY3" s="28"/>
      <c r="BJZ3" s="28"/>
      <c r="BKA3" s="28"/>
      <c r="BKB3" s="28"/>
      <c r="BKC3" s="28"/>
      <c r="BKD3" s="28"/>
      <c r="BKE3" s="28"/>
      <c r="BKF3" s="28"/>
      <c r="BKG3" s="28"/>
      <c r="BKH3" s="28"/>
      <c r="BKI3" s="28"/>
      <c r="BKJ3" s="28"/>
      <c r="BKK3" s="28"/>
      <c r="BKL3" s="28"/>
      <c r="BKM3" s="28"/>
      <c r="BKN3" s="28"/>
      <c r="BKO3" s="28"/>
      <c r="BKP3" s="28"/>
      <c r="BKQ3" s="28"/>
      <c r="BKR3" s="28"/>
      <c r="BKS3" s="28"/>
      <c r="BKT3" s="28"/>
      <c r="BKU3" s="28"/>
      <c r="BKV3" s="28"/>
      <c r="BKW3" s="28"/>
      <c r="BKX3" s="28"/>
      <c r="BKY3" s="28"/>
      <c r="BKZ3" s="28"/>
      <c r="BLA3" s="28"/>
      <c r="BLB3" s="28"/>
      <c r="BLC3" s="28"/>
      <c r="BLD3" s="28"/>
      <c r="BLE3" s="28"/>
      <c r="BLF3" s="28"/>
      <c r="BLG3" s="28"/>
      <c r="BLH3" s="28"/>
      <c r="BLI3" s="28"/>
      <c r="BLJ3" s="28"/>
      <c r="BLK3" s="28"/>
      <c r="BLL3" s="28"/>
      <c r="BLM3" s="28"/>
      <c r="BLN3" s="28"/>
      <c r="BLO3" s="28"/>
      <c r="BLP3" s="28"/>
      <c r="BLQ3" s="28"/>
      <c r="BLR3" s="28"/>
      <c r="BLS3" s="28"/>
      <c r="BLT3" s="28"/>
      <c r="BLU3" s="28"/>
      <c r="BLV3" s="28"/>
      <c r="BLW3" s="28"/>
      <c r="BLX3" s="28"/>
      <c r="BLY3" s="28"/>
      <c r="BLZ3" s="28"/>
      <c r="BMA3" s="28"/>
      <c r="BMB3" s="28"/>
      <c r="BMC3" s="28"/>
      <c r="BMD3" s="28"/>
      <c r="BME3" s="28"/>
      <c r="BMF3" s="28"/>
      <c r="BMG3" s="28"/>
      <c r="BMH3" s="28"/>
      <c r="BMI3" s="28"/>
      <c r="BMJ3" s="28"/>
      <c r="BMK3" s="28"/>
      <c r="BML3" s="28"/>
      <c r="BMM3" s="28"/>
      <c r="BMN3" s="28"/>
      <c r="BMO3" s="28"/>
      <c r="BMP3" s="28"/>
      <c r="BMQ3" s="28"/>
      <c r="BMR3" s="28"/>
      <c r="BMS3" s="28"/>
      <c r="BMT3" s="28"/>
      <c r="BMU3" s="28"/>
      <c r="BMV3" s="28"/>
      <c r="BMW3" s="28"/>
      <c r="BMX3" s="28"/>
      <c r="BMY3" s="28"/>
      <c r="BMZ3" s="28"/>
      <c r="BNA3" s="28"/>
      <c r="BNB3" s="28"/>
      <c r="BNC3" s="28"/>
      <c r="BND3" s="28"/>
      <c r="BNE3" s="28"/>
      <c r="BNF3" s="28"/>
      <c r="BNG3" s="28"/>
      <c r="BNH3" s="28"/>
      <c r="BNI3" s="28"/>
      <c r="BNJ3" s="28"/>
      <c r="BNK3" s="28"/>
      <c r="BNL3" s="28"/>
      <c r="BNM3" s="28"/>
      <c r="BNN3" s="28"/>
      <c r="BNO3" s="28"/>
      <c r="BNP3" s="28"/>
      <c r="BNQ3" s="28"/>
      <c r="BNR3" s="28"/>
      <c r="BNS3" s="28"/>
      <c r="BNT3" s="28"/>
      <c r="BNU3" s="28"/>
      <c r="BNV3" s="28"/>
      <c r="BNW3" s="28"/>
      <c r="BNX3" s="28"/>
      <c r="BNY3" s="28"/>
      <c r="BNZ3" s="28"/>
      <c r="BOA3" s="28"/>
      <c r="BOB3" s="28"/>
      <c r="BOC3" s="28"/>
      <c r="BOD3" s="28"/>
      <c r="BOE3" s="28"/>
      <c r="BOF3" s="28"/>
      <c r="BOG3" s="28"/>
      <c r="BOH3" s="28"/>
      <c r="BOI3" s="28"/>
      <c r="BOJ3" s="28"/>
      <c r="BOK3" s="28"/>
      <c r="BOL3" s="28"/>
      <c r="BOM3" s="28"/>
      <c r="BON3" s="28"/>
      <c r="BOO3" s="28"/>
      <c r="BOP3" s="28"/>
      <c r="BOQ3" s="28"/>
      <c r="BOR3" s="28"/>
      <c r="BOS3" s="28"/>
      <c r="BOT3" s="28"/>
      <c r="BOU3" s="28"/>
      <c r="BOV3" s="28"/>
      <c r="BOW3" s="28"/>
      <c r="BOX3" s="28"/>
      <c r="BOY3" s="28"/>
      <c r="BOZ3" s="28"/>
      <c r="BPA3" s="28"/>
      <c r="BPB3" s="28"/>
      <c r="BPC3" s="28"/>
      <c r="BPD3" s="28"/>
      <c r="BPE3" s="28"/>
      <c r="BPF3" s="28"/>
      <c r="BPG3" s="28"/>
      <c r="BPH3" s="28"/>
      <c r="BPI3" s="28"/>
      <c r="BPJ3" s="28"/>
      <c r="BPK3" s="28"/>
      <c r="BPL3" s="28"/>
      <c r="BPM3" s="28"/>
      <c r="BPN3" s="28"/>
      <c r="BPO3" s="28"/>
      <c r="BPP3" s="28"/>
      <c r="BPQ3" s="28"/>
      <c r="BPR3" s="28"/>
      <c r="BPS3" s="28"/>
      <c r="BPT3" s="28"/>
      <c r="BPU3" s="28"/>
      <c r="BPV3" s="28"/>
      <c r="BPW3" s="28"/>
      <c r="BPX3" s="28"/>
      <c r="BPY3" s="28"/>
      <c r="BPZ3" s="28"/>
      <c r="BQA3" s="28"/>
      <c r="BQB3" s="28"/>
      <c r="BQC3" s="28"/>
      <c r="BQD3" s="28"/>
      <c r="BQE3" s="28"/>
      <c r="BQF3" s="28"/>
      <c r="BQG3" s="28"/>
      <c r="BQH3" s="28"/>
      <c r="BQI3" s="28"/>
      <c r="BQJ3" s="28"/>
      <c r="BQK3" s="28"/>
      <c r="BQL3" s="28"/>
      <c r="BQM3" s="28"/>
      <c r="BQN3" s="28"/>
      <c r="BQO3" s="28"/>
      <c r="BQP3" s="28"/>
      <c r="BQQ3" s="28"/>
      <c r="BQR3" s="28"/>
      <c r="BQS3" s="28"/>
      <c r="BQT3" s="28"/>
      <c r="BQU3" s="28"/>
      <c r="BQV3" s="28"/>
      <c r="BQW3" s="28"/>
      <c r="BQX3" s="28"/>
      <c r="BQY3" s="28"/>
      <c r="BQZ3" s="28"/>
      <c r="BRA3" s="28"/>
      <c r="BRB3" s="28"/>
      <c r="BRC3" s="28"/>
      <c r="BRD3" s="28"/>
      <c r="BRE3" s="28"/>
      <c r="BRF3" s="28"/>
      <c r="BRG3" s="28"/>
      <c r="BRH3" s="28"/>
      <c r="BRI3" s="28"/>
      <c r="BRJ3" s="28"/>
      <c r="BRK3" s="28"/>
      <c r="BRL3" s="28"/>
      <c r="BRM3" s="28"/>
      <c r="BRN3" s="28"/>
      <c r="BRO3" s="28"/>
      <c r="BRP3" s="28"/>
      <c r="BRQ3" s="28"/>
      <c r="BRR3" s="28"/>
      <c r="BRS3" s="28"/>
      <c r="BRT3" s="28"/>
      <c r="BRU3" s="28"/>
      <c r="BRV3" s="28"/>
      <c r="BRW3" s="28"/>
      <c r="BRX3" s="28"/>
      <c r="BRY3" s="28"/>
      <c r="BRZ3" s="28"/>
      <c r="BSA3" s="28"/>
      <c r="BSB3" s="28"/>
      <c r="BSC3" s="28"/>
      <c r="BSD3" s="28"/>
      <c r="BSE3" s="28"/>
      <c r="BSF3" s="28"/>
      <c r="BSG3" s="28"/>
      <c r="BSH3" s="28"/>
      <c r="BSI3" s="28"/>
      <c r="BSJ3" s="28"/>
      <c r="BSK3" s="28"/>
      <c r="BSL3" s="28"/>
      <c r="BSM3" s="28"/>
      <c r="BSN3" s="28"/>
      <c r="BSO3" s="28"/>
      <c r="BSP3" s="28"/>
      <c r="BSQ3" s="28"/>
      <c r="BSR3" s="28"/>
      <c r="BSS3" s="28"/>
      <c r="BST3" s="28"/>
      <c r="BSU3" s="28"/>
      <c r="BSV3" s="28"/>
      <c r="BSW3" s="28"/>
      <c r="BSX3" s="28"/>
      <c r="BSY3" s="28"/>
      <c r="BSZ3" s="28"/>
      <c r="BTA3" s="28"/>
      <c r="BTB3" s="28"/>
      <c r="BTC3" s="28"/>
      <c r="BTD3" s="28"/>
      <c r="BTE3" s="28"/>
      <c r="BTF3" s="28"/>
      <c r="BTG3" s="28"/>
      <c r="BTH3" s="28"/>
      <c r="BTI3" s="28"/>
      <c r="BTJ3" s="28"/>
      <c r="BTK3" s="28"/>
      <c r="BTL3" s="28"/>
      <c r="BTM3" s="28"/>
      <c r="BTN3" s="28"/>
      <c r="BTO3" s="28"/>
      <c r="BTP3" s="28"/>
      <c r="BTQ3" s="28"/>
      <c r="BTR3" s="28"/>
      <c r="BTS3" s="28"/>
      <c r="BTT3" s="28"/>
      <c r="BTU3" s="28"/>
      <c r="BTV3" s="28"/>
      <c r="BTW3" s="28"/>
      <c r="BTX3" s="28"/>
      <c r="BTY3" s="28"/>
      <c r="BTZ3" s="28"/>
      <c r="BUA3" s="28"/>
      <c r="BUB3" s="28"/>
      <c r="BUC3" s="28"/>
      <c r="BUD3" s="28"/>
      <c r="BUE3" s="28"/>
      <c r="BUF3" s="28"/>
      <c r="BUG3" s="28"/>
      <c r="BUH3" s="28"/>
      <c r="BUI3" s="28"/>
      <c r="BUJ3" s="28"/>
      <c r="BUK3" s="28"/>
      <c r="BUL3" s="28"/>
      <c r="BUM3" s="28"/>
      <c r="BUN3" s="28"/>
      <c r="BUO3" s="28"/>
      <c r="BUP3" s="28"/>
      <c r="BUQ3" s="28"/>
      <c r="BUR3" s="28"/>
      <c r="BUS3" s="28"/>
      <c r="BUT3" s="28"/>
      <c r="BUU3" s="28"/>
      <c r="BUV3" s="28"/>
      <c r="BUW3" s="28"/>
      <c r="BUX3" s="28"/>
      <c r="BUY3" s="28"/>
      <c r="BUZ3" s="28"/>
      <c r="BVA3" s="28"/>
      <c r="BVB3" s="28"/>
      <c r="BVC3" s="28"/>
      <c r="BVD3" s="28"/>
      <c r="BVE3" s="28"/>
      <c r="BVF3" s="28"/>
      <c r="BVG3" s="28"/>
      <c r="BVH3" s="28"/>
      <c r="BVI3" s="28"/>
      <c r="BVJ3" s="28"/>
      <c r="BVK3" s="28"/>
      <c r="BVL3" s="28"/>
      <c r="BVM3" s="28"/>
      <c r="BVN3" s="28"/>
      <c r="BVO3" s="28"/>
      <c r="BVP3" s="28"/>
      <c r="BVQ3" s="28"/>
      <c r="BVR3" s="28"/>
      <c r="BVS3" s="28"/>
      <c r="BVT3" s="28"/>
      <c r="BVU3" s="28"/>
      <c r="BVV3" s="28"/>
      <c r="BVW3" s="28"/>
      <c r="BVX3" s="28"/>
      <c r="BVY3" s="28"/>
      <c r="BVZ3" s="28"/>
      <c r="BWA3" s="28"/>
      <c r="BWB3" s="28"/>
      <c r="BWC3" s="28"/>
      <c r="BWD3" s="28"/>
      <c r="BWE3" s="28"/>
      <c r="BWF3" s="28"/>
      <c r="BWG3" s="28"/>
      <c r="BWH3" s="28"/>
      <c r="BWI3" s="28"/>
      <c r="BWJ3" s="28"/>
      <c r="BWK3" s="28"/>
      <c r="BWL3" s="28"/>
      <c r="BWM3" s="28"/>
      <c r="BWN3" s="28"/>
      <c r="BWO3" s="28"/>
      <c r="BWP3" s="28"/>
      <c r="BWQ3" s="28"/>
      <c r="BWR3" s="28"/>
      <c r="BWS3" s="28"/>
      <c r="BWT3" s="28"/>
      <c r="BWU3" s="28"/>
      <c r="BWV3" s="28"/>
      <c r="BWW3" s="28"/>
      <c r="BWX3" s="28"/>
      <c r="BWY3" s="28"/>
      <c r="BWZ3" s="28"/>
      <c r="BXA3" s="28"/>
      <c r="BXB3" s="28"/>
      <c r="BXC3" s="28"/>
      <c r="BXD3" s="28"/>
      <c r="BXE3" s="28"/>
      <c r="BXF3" s="28"/>
      <c r="BXG3" s="28"/>
      <c r="BXH3" s="28"/>
      <c r="BXI3" s="28"/>
      <c r="BXJ3" s="28"/>
      <c r="BXK3" s="28"/>
      <c r="BXL3" s="28"/>
      <c r="BXM3" s="28"/>
      <c r="BXN3" s="28"/>
      <c r="BXO3" s="28"/>
      <c r="BXP3" s="28"/>
      <c r="BXQ3" s="28"/>
      <c r="BXR3" s="28"/>
      <c r="BXS3" s="28"/>
      <c r="BXT3" s="28"/>
      <c r="BXU3" s="28"/>
      <c r="BXV3" s="28"/>
      <c r="BXW3" s="28"/>
      <c r="BXX3" s="28"/>
      <c r="BXY3" s="28"/>
      <c r="BXZ3" s="28"/>
      <c r="BYA3" s="28"/>
      <c r="BYB3" s="28"/>
      <c r="BYC3" s="28"/>
      <c r="BYD3" s="28"/>
      <c r="BYE3" s="28"/>
      <c r="BYF3" s="28"/>
      <c r="BYG3" s="28"/>
      <c r="BYH3" s="28"/>
      <c r="BYI3" s="28"/>
      <c r="BYJ3" s="28"/>
      <c r="BYK3" s="28"/>
      <c r="BYL3" s="28"/>
      <c r="BYM3" s="28"/>
      <c r="BYN3" s="28"/>
      <c r="BYO3" s="28"/>
      <c r="BYP3" s="28"/>
      <c r="BYQ3" s="28"/>
      <c r="BYR3" s="28"/>
      <c r="BYS3" s="28"/>
      <c r="BYT3" s="28"/>
      <c r="BYU3" s="28"/>
      <c r="BYV3" s="28"/>
      <c r="BYW3" s="28"/>
      <c r="BYX3" s="28"/>
      <c r="BYY3" s="28"/>
      <c r="BYZ3" s="28"/>
      <c r="BZA3" s="28"/>
      <c r="BZB3" s="28"/>
      <c r="BZC3" s="28"/>
      <c r="BZD3" s="28"/>
      <c r="BZE3" s="28"/>
      <c r="BZF3" s="28"/>
      <c r="BZG3" s="28"/>
      <c r="BZH3" s="28"/>
      <c r="BZI3" s="28"/>
      <c r="BZJ3" s="28"/>
      <c r="BZK3" s="28"/>
      <c r="BZL3" s="28"/>
      <c r="BZM3" s="28"/>
      <c r="BZN3" s="28"/>
      <c r="BZO3" s="28"/>
      <c r="BZP3" s="28"/>
      <c r="BZQ3" s="28"/>
      <c r="BZR3" s="28"/>
      <c r="BZS3" s="28"/>
      <c r="BZT3" s="28"/>
      <c r="BZU3" s="28"/>
      <c r="BZV3" s="28"/>
      <c r="BZW3" s="28"/>
      <c r="BZX3" s="28"/>
      <c r="BZY3" s="28"/>
      <c r="BZZ3" s="28"/>
      <c r="CAA3" s="28"/>
      <c r="CAB3" s="28"/>
      <c r="CAC3" s="28"/>
      <c r="CAD3" s="28"/>
      <c r="CAE3" s="28"/>
      <c r="CAF3" s="28"/>
      <c r="CAG3" s="28"/>
      <c r="CAH3" s="28"/>
      <c r="CAI3" s="28"/>
      <c r="CAJ3" s="28"/>
      <c r="CAK3" s="28"/>
      <c r="CAL3" s="28"/>
      <c r="CAM3" s="28"/>
      <c r="CAN3" s="28"/>
      <c r="CAO3" s="28"/>
      <c r="CAP3" s="28"/>
      <c r="CAQ3" s="28"/>
      <c r="CAR3" s="28"/>
      <c r="CAS3" s="28"/>
      <c r="CAT3" s="28"/>
      <c r="CAU3" s="28"/>
      <c r="CAV3" s="28"/>
      <c r="CAW3" s="28"/>
      <c r="CAX3" s="28"/>
      <c r="CAY3" s="28"/>
      <c r="CAZ3" s="28"/>
      <c r="CBA3" s="28"/>
      <c r="CBB3" s="28"/>
      <c r="CBC3" s="28"/>
      <c r="CBD3" s="28"/>
      <c r="CBE3" s="28"/>
      <c r="CBF3" s="28"/>
      <c r="CBG3" s="28"/>
      <c r="CBH3" s="28"/>
      <c r="CBI3" s="28"/>
      <c r="CBJ3" s="28"/>
      <c r="CBK3" s="28"/>
      <c r="CBL3" s="28"/>
      <c r="CBM3" s="28"/>
      <c r="CBN3" s="28"/>
      <c r="CBO3" s="28"/>
      <c r="CBP3" s="28"/>
      <c r="CBQ3" s="28"/>
      <c r="CBR3" s="28"/>
      <c r="CBS3" s="28"/>
      <c r="CBT3" s="28"/>
      <c r="CBU3" s="28"/>
      <c r="CBV3" s="28"/>
      <c r="CBW3" s="28"/>
      <c r="CBX3" s="28"/>
      <c r="CBY3" s="28"/>
      <c r="CBZ3" s="28"/>
      <c r="CCA3" s="28"/>
      <c r="CCB3" s="28"/>
      <c r="CCC3" s="28"/>
      <c r="CCD3" s="28"/>
      <c r="CCE3" s="28"/>
      <c r="CCF3" s="28"/>
      <c r="CCG3" s="28"/>
      <c r="CCH3" s="28"/>
      <c r="CCI3" s="28"/>
      <c r="CCJ3" s="28"/>
      <c r="CCK3" s="28"/>
      <c r="CCL3" s="28"/>
      <c r="CCM3" s="28"/>
      <c r="CCN3" s="28"/>
      <c r="CCO3" s="28"/>
      <c r="CCP3" s="28"/>
      <c r="CCQ3" s="28"/>
      <c r="CCR3" s="28"/>
      <c r="CCS3" s="28"/>
      <c r="CCT3" s="28"/>
      <c r="CCU3" s="28"/>
      <c r="CCV3" s="28"/>
      <c r="CCW3" s="28"/>
      <c r="CCX3" s="28"/>
      <c r="CCY3" s="28"/>
      <c r="CCZ3" s="28"/>
      <c r="CDA3" s="28"/>
      <c r="CDB3" s="28"/>
      <c r="CDC3" s="28"/>
      <c r="CDD3" s="28"/>
      <c r="CDE3" s="28"/>
      <c r="CDF3" s="28"/>
      <c r="CDG3" s="28"/>
      <c r="CDH3" s="28"/>
      <c r="CDI3" s="28"/>
      <c r="CDJ3" s="28"/>
      <c r="CDK3" s="28"/>
      <c r="CDL3" s="28"/>
      <c r="CDM3" s="28"/>
      <c r="CDN3" s="28"/>
      <c r="CDO3" s="28"/>
      <c r="CDP3" s="28"/>
      <c r="CDQ3" s="28"/>
      <c r="CDR3" s="28"/>
      <c r="CDS3" s="28"/>
      <c r="CDT3" s="28"/>
      <c r="CDU3" s="28"/>
      <c r="CDV3" s="28"/>
      <c r="CDW3" s="28"/>
      <c r="CDX3" s="28"/>
      <c r="CDY3" s="28"/>
      <c r="CDZ3" s="28"/>
      <c r="CEA3" s="28"/>
      <c r="CEB3" s="28"/>
      <c r="CEC3" s="28"/>
      <c r="CED3" s="28"/>
      <c r="CEE3" s="28"/>
      <c r="CEF3" s="28"/>
      <c r="CEG3" s="28"/>
      <c r="CEH3" s="28"/>
      <c r="CEI3" s="28"/>
      <c r="CEJ3" s="28"/>
      <c r="CEK3" s="28"/>
      <c r="CEL3" s="28"/>
      <c r="CEM3" s="28"/>
      <c r="CEN3" s="28"/>
      <c r="CEO3" s="28"/>
      <c r="CEP3" s="28"/>
      <c r="CEQ3" s="28"/>
      <c r="CER3" s="28"/>
      <c r="CES3" s="28"/>
      <c r="CET3" s="28"/>
      <c r="CEU3" s="28"/>
      <c r="CEV3" s="28"/>
      <c r="CEW3" s="28"/>
      <c r="CEX3" s="28"/>
      <c r="CEY3" s="28"/>
      <c r="CEZ3" s="28"/>
      <c r="CFA3" s="28"/>
      <c r="CFB3" s="28"/>
      <c r="CFC3" s="28"/>
      <c r="CFD3" s="28"/>
      <c r="CFE3" s="28"/>
      <c r="CFF3" s="28"/>
      <c r="CFG3" s="28"/>
      <c r="CFH3" s="28"/>
      <c r="CFI3" s="28"/>
      <c r="CFJ3" s="28"/>
      <c r="CFK3" s="28"/>
      <c r="CFL3" s="28"/>
      <c r="CFM3" s="28"/>
      <c r="CFN3" s="28"/>
      <c r="CFO3" s="28"/>
      <c r="CFP3" s="28"/>
      <c r="CFQ3" s="28"/>
      <c r="CFR3" s="28"/>
      <c r="CFS3" s="28"/>
      <c r="CFT3" s="28"/>
      <c r="CFU3" s="28"/>
      <c r="CFV3" s="28"/>
      <c r="CFW3" s="28"/>
      <c r="CFX3" s="28"/>
      <c r="CFY3" s="28"/>
      <c r="CFZ3" s="28"/>
      <c r="CGA3" s="28"/>
      <c r="CGB3" s="28"/>
      <c r="CGC3" s="28"/>
      <c r="CGD3" s="28"/>
      <c r="CGE3" s="28"/>
      <c r="CGF3" s="28"/>
      <c r="CGG3" s="28"/>
      <c r="CGH3" s="28"/>
      <c r="CGI3" s="28"/>
      <c r="CGJ3" s="28"/>
      <c r="CGK3" s="28"/>
      <c r="CGL3" s="28"/>
      <c r="CGM3" s="28"/>
      <c r="CGN3" s="28"/>
      <c r="CGO3" s="28"/>
      <c r="CGP3" s="28"/>
      <c r="CGQ3" s="28"/>
      <c r="CGR3" s="28"/>
      <c r="CGS3" s="28"/>
      <c r="CGT3" s="28"/>
      <c r="CGU3" s="28"/>
      <c r="CGV3" s="28"/>
      <c r="CGW3" s="28"/>
      <c r="CGX3" s="28"/>
      <c r="CGY3" s="28"/>
      <c r="CGZ3" s="28"/>
      <c r="CHA3" s="28"/>
      <c r="CHB3" s="28"/>
      <c r="CHC3" s="28"/>
      <c r="CHD3" s="28"/>
      <c r="CHE3" s="28"/>
      <c r="CHF3" s="28"/>
      <c r="CHG3" s="28"/>
      <c r="CHH3" s="28"/>
      <c r="CHI3" s="28"/>
      <c r="CHJ3" s="28"/>
      <c r="CHK3" s="28"/>
      <c r="CHL3" s="28"/>
      <c r="CHM3" s="28"/>
      <c r="CHN3" s="28"/>
      <c r="CHO3" s="28"/>
      <c r="CHP3" s="28"/>
      <c r="CHQ3" s="28"/>
      <c r="CHR3" s="28"/>
      <c r="CHS3" s="28"/>
      <c r="CHT3" s="28"/>
      <c r="CHU3" s="28"/>
      <c r="CHV3" s="28"/>
      <c r="CHW3" s="28"/>
      <c r="CHX3" s="28"/>
      <c r="CHY3" s="28"/>
      <c r="CHZ3" s="28"/>
      <c r="CIA3" s="28"/>
      <c r="CIB3" s="28"/>
      <c r="CIC3" s="28"/>
      <c r="CID3" s="28"/>
      <c r="CIE3" s="28"/>
      <c r="CIF3" s="28"/>
      <c r="CIG3" s="28"/>
      <c r="CIH3" s="28"/>
      <c r="CII3" s="28"/>
      <c r="CIJ3" s="28"/>
      <c r="CIK3" s="28"/>
      <c r="CIL3" s="28"/>
      <c r="CIM3" s="28"/>
      <c r="CIN3" s="28"/>
      <c r="CIO3" s="28"/>
      <c r="CIP3" s="28"/>
      <c r="CIQ3" s="28"/>
      <c r="CIR3" s="28"/>
      <c r="CIS3" s="28"/>
      <c r="CIT3" s="28"/>
      <c r="CIU3" s="28"/>
      <c r="CIV3" s="28"/>
      <c r="CIW3" s="28"/>
      <c r="CIX3" s="28"/>
      <c r="CIY3" s="28"/>
      <c r="CIZ3" s="28"/>
      <c r="CJA3" s="28"/>
      <c r="CJB3" s="28"/>
      <c r="CJC3" s="28"/>
      <c r="CJD3" s="28"/>
      <c r="CJE3" s="28"/>
      <c r="CJF3" s="28"/>
      <c r="CJG3" s="28"/>
      <c r="CJH3" s="28"/>
      <c r="CJI3" s="28"/>
      <c r="CJJ3" s="28"/>
      <c r="CJK3" s="28"/>
      <c r="CJL3" s="28"/>
      <c r="CJM3" s="28"/>
      <c r="CJN3" s="28"/>
      <c r="CJO3" s="28"/>
      <c r="CJP3" s="28"/>
      <c r="CJQ3" s="28"/>
      <c r="CJR3" s="28"/>
      <c r="CJS3" s="28"/>
      <c r="CJT3" s="28"/>
      <c r="CJU3" s="28"/>
      <c r="CJV3" s="28"/>
      <c r="CJW3" s="28"/>
      <c r="CJX3" s="28"/>
      <c r="CJY3" s="28"/>
      <c r="CJZ3" s="28"/>
      <c r="CKA3" s="28"/>
      <c r="CKB3" s="28"/>
      <c r="CKC3" s="28"/>
      <c r="CKD3" s="28"/>
      <c r="CKE3" s="28"/>
      <c r="CKF3" s="28"/>
      <c r="CKG3" s="28"/>
      <c r="CKH3" s="28"/>
      <c r="CKI3" s="28"/>
      <c r="CKJ3" s="28"/>
      <c r="CKK3" s="28"/>
      <c r="CKL3" s="28"/>
      <c r="CKM3" s="28"/>
      <c r="CKN3" s="28"/>
      <c r="CKO3" s="28"/>
      <c r="CKP3" s="28"/>
      <c r="CKQ3" s="28"/>
      <c r="CKR3" s="28"/>
      <c r="CKS3" s="28"/>
      <c r="CKT3" s="28"/>
      <c r="CKU3" s="28"/>
      <c r="CKV3" s="28"/>
      <c r="CKW3" s="28"/>
      <c r="CKX3" s="28"/>
      <c r="CKY3" s="28"/>
      <c r="CKZ3" s="28"/>
      <c r="CLA3" s="28"/>
      <c r="CLB3" s="28"/>
      <c r="CLC3" s="28"/>
      <c r="CLD3" s="28"/>
      <c r="CLE3" s="28"/>
      <c r="CLF3" s="28"/>
      <c r="CLG3" s="28"/>
      <c r="CLH3" s="28"/>
      <c r="CLI3" s="28"/>
      <c r="CLJ3" s="28"/>
      <c r="CLK3" s="28"/>
      <c r="CLL3" s="28"/>
      <c r="CLM3" s="28"/>
      <c r="CLN3" s="28"/>
      <c r="CLO3" s="28"/>
      <c r="CLP3" s="28"/>
      <c r="CLQ3" s="28"/>
      <c r="CLR3" s="28"/>
      <c r="CLS3" s="28"/>
      <c r="CLT3" s="28"/>
      <c r="CLU3" s="28"/>
      <c r="CLV3" s="28"/>
      <c r="CLW3" s="28"/>
      <c r="CLX3" s="28"/>
      <c r="CLY3" s="28"/>
      <c r="CLZ3" s="28"/>
      <c r="CMA3" s="28"/>
      <c r="CMB3" s="28"/>
      <c r="CMC3" s="28"/>
      <c r="CMD3" s="28"/>
      <c r="CME3" s="28"/>
      <c r="CMF3" s="28"/>
      <c r="CMG3" s="28"/>
      <c r="CMH3" s="28"/>
      <c r="CMI3" s="28"/>
      <c r="CMJ3" s="28"/>
      <c r="CMK3" s="28"/>
      <c r="CML3" s="28"/>
      <c r="CMM3" s="28"/>
      <c r="CMN3" s="28"/>
      <c r="CMO3" s="28"/>
      <c r="CMP3" s="28"/>
      <c r="CMQ3" s="28"/>
      <c r="CMR3" s="28"/>
      <c r="CMS3" s="28"/>
      <c r="CMT3" s="28"/>
      <c r="CMU3" s="28"/>
      <c r="CMV3" s="28"/>
      <c r="CMW3" s="28"/>
      <c r="CMX3" s="28"/>
      <c r="CMY3" s="28"/>
      <c r="CMZ3" s="28"/>
      <c r="CNA3" s="28"/>
      <c r="CNB3" s="28"/>
      <c r="CNC3" s="28"/>
      <c r="CND3" s="28"/>
      <c r="CNE3" s="28"/>
      <c r="CNF3" s="28"/>
      <c r="CNG3" s="28"/>
      <c r="CNH3" s="28"/>
      <c r="CNI3" s="28"/>
      <c r="CNJ3" s="28"/>
      <c r="CNK3" s="28"/>
      <c r="CNL3" s="28"/>
      <c r="CNM3" s="28"/>
      <c r="CNN3" s="28"/>
      <c r="CNO3" s="28"/>
      <c r="CNP3" s="28"/>
      <c r="CNQ3" s="28"/>
      <c r="CNR3" s="28"/>
      <c r="CNS3" s="28"/>
      <c r="CNT3" s="28"/>
      <c r="CNU3" s="28"/>
      <c r="CNV3" s="28"/>
      <c r="CNW3" s="28"/>
      <c r="CNX3" s="28"/>
      <c r="CNY3" s="28"/>
      <c r="CNZ3" s="28"/>
      <c r="COA3" s="28"/>
      <c r="COB3" s="28"/>
      <c r="COC3" s="28"/>
      <c r="COD3" s="28"/>
      <c r="COE3" s="28"/>
      <c r="COF3" s="28"/>
      <c r="COG3" s="28"/>
      <c r="COH3" s="28"/>
      <c r="COI3" s="28"/>
      <c r="COJ3" s="28"/>
      <c r="COK3" s="28"/>
      <c r="COL3" s="28"/>
      <c r="COM3" s="28"/>
      <c r="CON3" s="28"/>
      <c r="COO3" s="28"/>
      <c r="COP3" s="28"/>
      <c r="COQ3" s="28"/>
      <c r="COR3" s="28"/>
      <c r="COS3" s="28"/>
      <c r="COT3" s="28"/>
      <c r="COU3" s="28"/>
      <c r="COV3" s="28"/>
      <c r="COW3" s="28"/>
      <c r="COX3" s="28"/>
      <c r="COY3" s="28"/>
      <c r="COZ3" s="28"/>
      <c r="CPA3" s="28"/>
      <c r="CPB3" s="28"/>
      <c r="CPC3" s="28"/>
      <c r="CPD3" s="28"/>
      <c r="CPE3" s="28"/>
      <c r="CPF3" s="28"/>
      <c r="CPG3" s="28"/>
      <c r="CPH3" s="28"/>
      <c r="CPI3" s="28"/>
      <c r="CPJ3" s="28"/>
      <c r="CPK3" s="28"/>
      <c r="CPL3" s="28"/>
      <c r="CPM3" s="28"/>
      <c r="CPN3" s="28"/>
      <c r="CPO3" s="28"/>
      <c r="CPP3" s="28"/>
      <c r="CPQ3" s="28"/>
      <c r="CPR3" s="28"/>
      <c r="CPS3" s="28"/>
      <c r="CPT3" s="28"/>
      <c r="CPU3" s="28"/>
      <c r="CPV3" s="28"/>
      <c r="CPW3" s="28"/>
      <c r="CPX3" s="28"/>
      <c r="CPY3" s="28"/>
      <c r="CPZ3" s="28"/>
      <c r="CQA3" s="28"/>
      <c r="CQB3" s="28"/>
      <c r="CQC3" s="28"/>
      <c r="CQD3" s="28"/>
      <c r="CQE3" s="28"/>
      <c r="CQF3" s="28"/>
      <c r="CQG3" s="28"/>
      <c r="CQH3" s="28"/>
      <c r="CQI3" s="28"/>
      <c r="CQJ3" s="28"/>
      <c r="CQK3" s="28"/>
      <c r="CQL3" s="28"/>
      <c r="CQM3" s="28"/>
      <c r="CQN3" s="28"/>
      <c r="CQO3" s="28"/>
      <c r="CQP3" s="28"/>
      <c r="CQQ3" s="28"/>
      <c r="CQR3" s="28"/>
      <c r="CQS3" s="28"/>
      <c r="CQT3" s="28"/>
      <c r="CQU3" s="28"/>
      <c r="CQV3" s="28"/>
      <c r="CQW3" s="28"/>
      <c r="CQX3" s="28"/>
      <c r="CQY3" s="28"/>
      <c r="CQZ3" s="28"/>
      <c r="CRA3" s="28"/>
      <c r="CRB3" s="28"/>
      <c r="CRC3" s="28"/>
      <c r="CRD3" s="28"/>
      <c r="CRE3" s="28"/>
      <c r="CRF3" s="28"/>
      <c r="CRG3" s="28"/>
      <c r="CRH3" s="28"/>
      <c r="CRI3" s="28"/>
      <c r="CRJ3" s="28"/>
      <c r="CRK3" s="28"/>
      <c r="CRL3" s="28"/>
      <c r="CRM3" s="28"/>
      <c r="CRN3" s="28"/>
      <c r="CRO3" s="28"/>
      <c r="CRP3" s="28"/>
      <c r="CRQ3" s="28"/>
      <c r="CRR3" s="28"/>
      <c r="CRS3" s="28"/>
      <c r="CRT3" s="28"/>
      <c r="CRU3" s="28"/>
      <c r="CRV3" s="28"/>
      <c r="CRW3" s="28"/>
      <c r="CRX3" s="28"/>
      <c r="CRY3" s="28"/>
      <c r="CRZ3" s="28"/>
      <c r="CSA3" s="28"/>
      <c r="CSB3" s="28"/>
      <c r="CSC3" s="28"/>
      <c r="CSD3" s="28"/>
      <c r="CSE3" s="28"/>
      <c r="CSF3" s="28"/>
      <c r="CSG3" s="28"/>
      <c r="CSH3" s="28"/>
      <c r="CSI3" s="28"/>
      <c r="CSJ3" s="28"/>
      <c r="CSK3" s="28"/>
      <c r="CSL3" s="28"/>
      <c r="CSM3" s="28"/>
      <c r="CSN3" s="28"/>
      <c r="CSO3" s="28"/>
      <c r="CSP3" s="28"/>
      <c r="CSQ3" s="28"/>
      <c r="CSR3" s="28"/>
      <c r="CSS3" s="28"/>
      <c r="CST3" s="28"/>
      <c r="CSU3" s="28"/>
      <c r="CSV3" s="28"/>
      <c r="CSW3" s="28"/>
      <c r="CSX3" s="28"/>
      <c r="CSY3" s="28"/>
      <c r="CSZ3" s="28"/>
      <c r="CTA3" s="28"/>
      <c r="CTB3" s="28"/>
      <c r="CTC3" s="28"/>
      <c r="CTD3" s="28"/>
      <c r="CTE3" s="28"/>
      <c r="CTF3" s="28"/>
      <c r="CTG3" s="28"/>
      <c r="CTH3" s="28"/>
      <c r="CTI3" s="28"/>
      <c r="CTJ3" s="28"/>
      <c r="CTK3" s="28"/>
      <c r="CTL3" s="28"/>
      <c r="CTM3" s="28"/>
      <c r="CTN3" s="28"/>
      <c r="CTO3" s="28"/>
      <c r="CTP3" s="28"/>
      <c r="CTQ3" s="28"/>
      <c r="CTR3" s="28"/>
      <c r="CTS3" s="28"/>
      <c r="CTT3" s="28"/>
      <c r="CTU3" s="28"/>
      <c r="CTV3" s="28"/>
      <c r="CTW3" s="28"/>
      <c r="CTX3" s="28"/>
      <c r="CTY3" s="28"/>
      <c r="CTZ3" s="28"/>
      <c r="CUA3" s="28"/>
      <c r="CUB3" s="28"/>
      <c r="CUC3" s="28"/>
      <c r="CUD3" s="28"/>
      <c r="CUE3" s="28"/>
      <c r="CUF3" s="28"/>
      <c r="CUG3" s="28"/>
      <c r="CUH3" s="28"/>
      <c r="CUI3" s="28"/>
      <c r="CUJ3" s="28"/>
      <c r="CUK3" s="28"/>
      <c r="CUL3" s="28"/>
      <c r="CUM3" s="28"/>
      <c r="CUN3" s="28"/>
      <c r="CUO3" s="28"/>
      <c r="CUP3" s="28"/>
      <c r="CUQ3" s="28"/>
      <c r="CUR3" s="28"/>
      <c r="CUS3" s="28"/>
      <c r="CUT3" s="28"/>
      <c r="CUU3" s="28"/>
      <c r="CUV3" s="28"/>
      <c r="CUW3" s="28"/>
      <c r="CUX3" s="28"/>
      <c r="CUY3" s="28"/>
      <c r="CUZ3" s="28"/>
      <c r="CVA3" s="28"/>
      <c r="CVB3" s="28"/>
      <c r="CVC3" s="28"/>
      <c r="CVD3" s="28"/>
      <c r="CVE3" s="28"/>
      <c r="CVF3" s="28"/>
      <c r="CVG3" s="28"/>
      <c r="CVH3" s="28"/>
      <c r="CVI3" s="28"/>
      <c r="CVJ3" s="28"/>
      <c r="CVK3" s="28"/>
      <c r="CVL3" s="28"/>
      <c r="CVM3" s="28"/>
      <c r="CVN3" s="28"/>
      <c r="CVO3" s="28"/>
      <c r="CVP3" s="28"/>
      <c r="CVQ3" s="28"/>
      <c r="CVR3" s="28"/>
      <c r="CVS3" s="28"/>
      <c r="CVT3" s="28"/>
      <c r="CVU3" s="28"/>
      <c r="CVV3" s="28"/>
      <c r="CVW3" s="28"/>
      <c r="CVX3" s="28"/>
      <c r="CVY3" s="28"/>
      <c r="CVZ3" s="28"/>
      <c r="CWA3" s="28"/>
      <c r="CWB3" s="28"/>
      <c r="CWC3" s="28"/>
      <c r="CWD3" s="28"/>
      <c r="CWE3" s="28"/>
      <c r="CWF3" s="28"/>
      <c r="CWG3" s="28"/>
      <c r="CWH3" s="28"/>
      <c r="CWI3" s="28"/>
      <c r="CWJ3" s="28"/>
      <c r="CWK3" s="28"/>
      <c r="CWL3" s="28"/>
      <c r="CWM3" s="28"/>
      <c r="CWN3" s="28"/>
      <c r="CWO3" s="28"/>
      <c r="CWP3" s="28"/>
      <c r="CWQ3" s="28"/>
      <c r="CWR3" s="28"/>
      <c r="CWS3" s="28"/>
      <c r="CWT3" s="28"/>
      <c r="CWU3" s="28"/>
      <c r="CWV3" s="28"/>
      <c r="CWW3" s="28"/>
      <c r="CWX3" s="28"/>
      <c r="CWY3" s="28"/>
      <c r="CWZ3" s="28"/>
      <c r="CXA3" s="28"/>
      <c r="CXB3" s="28"/>
      <c r="CXC3" s="28"/>
      <c r="CXD3" s="28"/>
      <c r="CXE3" s="28"/>
      <c r="CXF3" s="28"/>
      <c r="CXG3" s="28"/>
      <c r="CXH3" s="28"/>
      <c r="CXI3" s="28"/>
      <c r="CXJ3" s="28"/>
      <c r="CXK3" s="28"/>
      <c r="CXL3" s="28"/>
      <c r="CXM3" s="28"/>
      <c r="CXN3" s="28"/>
      <c r="CXO3" s="28"/>
      <c r="CXP3" s="28"/>
      <c r="CXQ3" s="28"/>
      <c r="CXR3" s="28"/>
      <c r="CXS3" s="28"/>
      <c r="CXT3" s="28"/>
      <c r="CXU3" s="28"/>
      <c r="CXV3" s="28"/>
      <c r="CXW3" s="28"/>
      <c r="CXX3" s="28"/>
      <c r="CXY3" s="28"/>
      <c r="CXZ3" s="28"/>
      <c r="CYA3" s="28"/>
      <c r="CYB3" s="28"/>
      <c r="CYC3" s="28"/>
      <c r="CYD3" s="28"/>
      <c r="CYE3" s="28"/>
      <c r="CYF3" s="28"/>
      <c r="CYG3" s="28"/>
      <c r="CYH3" s="28"/>
      <c r="CYI3" s="28"/>
      <c r="CYJ3" s="28"/>
      <c r="CYK3" s="28"/>
      <c r="CYL3" s="28"/>
      <c r="CYM3" s="28"/>
      <c r="CYN3" s="28"/>
      <c r="CYO3" s="28"/>
      <c r="CYP3" s="28"/>
      <c r="CYQ3" s="28"/>
      <c r="CYR3" s="28"/>
      <c r="CYS3" s="28"/>
      <c r="CYT3" s="28"/>
      <c r="CYU3" s="28"/>
      <c r="CYV3" s="28"/>
      <c r="CYW3" s="28"/>
      <c r="CYX3" s="28"/>
      <c r="CYY3" s="28"/>
      <c r="CYZ3" s="28"/>
      <c r="CZA3" s="28"/>
      <c r="CZB3" s="28"/>
      <c r="CZC3" s="28"/>
      <c r="CZD3" s="28"/>
      <c r="CZE3" s="28"/>
      <c r="CZF3" s="28"/>
      <c r="CZG3" s="28"/>
      <c r="CZH3" s="28"/>
      <c r="CZI3" s="28"/>
      <c r="CZJ3" s="28"/>
      <c r="CZK3" s="28"/>
      <c r="CZL3" s="28"/>
      <c r="CZM3" s="28"/>
      <c r="CZN3" s="28"/>
      <c r="CZO3" s="28"/>
      <c r="CZP3" s="28"/>
      <c r="CZQ3" s="28"/>
      <c r="CZR3" s="28"/>
      <c r="CZS3" s="28"/>
      <c r="CZT3" s="28"/>
      <c r="CZU3" s="28"/>
      <c r="CZV3" s="28"/>
      <c r="CZW3" s="28"/>
      <c r="CZX3" s="28"/>
      <c r="CZY3" s="28"/>
      <c r="CZZ3" s="28"/>
      <c r="DAA3" s="28"/>
      <c r="DAB3" s="28"/>
      <c r="DAC3" s="28"/>
      <c r="DAD3" s="28"/>
      <c r="DAE3" s="28"/>
      <c r="DAF3" s="28"/>
      <c r="DAG3" s="28"/>
      <c r="DAH3" s="28"/>
      <c r="DAI3" s="28"/>
      <c r="DAJ3" s="28"/>
      <c r="DAK3" s="28"/>
      <c r="DAL3" s="28"/>
      <c r="DAM3" s="28"/>
      <c r="DAN3" s="28"/>
      <c r="DAO3" s="28"/>
      <c r="DAP3" s="28"/>
      <c r="DAQ3" s="28"/>
      <c r="DAR3" s="28"/>
      <c r="DAS3" s="28"/>
      <c r="DAT3" s="28"/>
      <c r="DAU3" s="28"/>
      <c r="DAV3" s="28"/>
      <c r="DAW3" s="28"/>
      <c r="DAX3" s="28"/>
      <c r="DAY3" s="28"/>
      <c r="DAZ3" s="28"/>
      <c r="DBA3" s="28"/>
      <c r="DBB3" s="28"/>
      <c r="DBC3" s="28"/>
      <c r="DBD3" s="28"/>
      <c r="DBE3" s="28"/>
      <c r="DBF3" s="28"/>
      <c r="DBG3" s="28"/>
      <c r="DBH3" s="28"/>
      <c r="DBI3" s="28"/>
      <c r="DBJ3" s="28"/>
      <c r="DBK3" s="28"/>
      <c r="DBL3" s="28"/>
      <c r="DBM3" s="28"/>
      <c r="DBN3" s="28"/>
      <c r="DBO3" s="28"/>
      <c r="DBP3" s="28"/>
      <c r="DBQ3" s="28"/>
      <c r="DBR3" s="28"/>
      <c r="DBS3" s="28"/>
      <c r="DBT3" s="28"/>
      <c r="DBU3" s="28"/>
      <c r="DBV3" s="28"/>
      <c r="DBW3" s="28"/>
      <c r="DBX3" s="28"/>
      <c r="DBY3" s="28"/>
      <c r="DBZ3" s="28"/>
      <c r="DCA3" s="28"/>
      <c r="DCB3" s="28"/>
      <c r="DCC3" s="28"/>
      <c r="DCD3" s="28"/>
      <c r="DCE3" s="28"/>
      <c r="DCF3" s="28"/>
      <c r="DCG3" s="28"/>
      <c r="DCH3" s="28"/>
      <c r="DCI3" s="28"/>
      <c r="DCJ3" s="28"/>
      <c r="DCK3" s="28"/>
      <c r="DCL3" s="28"/>
      <c r="DCM3" s="28"/>
      <c r="DCN3" s="28"/>
      <c r="DCO3" s="28"/>
      <c r="DCP3" s="28"/>
      <c r="DCQ3" s="28"/>
      <c r="DCR3" s="28"/>
      <c r="DCS3" s="28"/>
      <c r="DCT3" s="28"/>
      <c r="DCU3" s="28"/>
      <c r="DCV3" s="28"/>
      <c r="DCW3" s="28"/>
      <c r="DCX3" s="28"/>
      <c r="DCY3" s="28"/>
      <c r="DCZ3" s="28"/>
      <c r="DDA3" s="28"/>
      <c r="DDB3" s="28"/>
      <c r="DDC3" s="28"/>
      <c r="DDD3" s="28"/>
      <c r="DDE3" s="28"/>
      <c r="DDF3" s="28"/>
      <c r="DDG3" s="28"/>
      <c r="DDH3" s="28"/>
      <c r="DDI3" s="28"/>
      <c r="DDJ3" s="28"/>
      <c r="DDK3" s="28"/>
      <c r="DDL3" s="28"/>
      <c r="DDM3" s="28"/>
      <c r="DDN3" s="28"/>
      <c r="DDO3" s="28"/>
      <c r="DDP3" s="28"/>
      <c r="DDQ3" s="28"/>
      <c r="DDR3" s="28"/>
      <c r="DDS3" s="28"/>
      <c r="DDT3" s="28"/>
      <c r="DDU3" s="28"/>
      <c r="DDV3" s="28"/>
      <c r="DDW3" s="28"/>
      <c r="DDX3" s="28"/>
      <c r="DDY3" s="28"/>
      <c r="DDZ3" s="28"/>
      <c r="DEA3" s="28"/>
      <c r="DEB3" s="28"/>
      <c r="DEC3" s="28"/>
      <c r="DED3" s="28"/>
      <c r="DEE3" s="28"/>
      <c r="DEF3" s="28"/>
      <c r="DEG3" s="28"/>
      <c r="DEH3" s="28"/>
      <c r="DEI3" s="28"/>
      <c r="DEJ3" s="28"/>
      <c r="DEK3" s="28"/>
      <c r="DEL3" s="28"/>
      <c r="DEM3" s="28"/>
      <c r="DEN3" s="28"/>
      <c r="DEO3" s="28"/>
      <c r="DEP3" s="28"/>
      <c r="DEQ3" s="28"/>
      <c r="DER3" s="28"/>
      <c r="DES3" s="28"/>
      <c r="DET3" s="28"/>
      <c r="DEU3" s="28"/>
      <c r="DEV3" s="28"/>
      <c r="DEW3" s="28"/>
      <c r="DEX3" s="28"/>
      <c r="DEY3" s="28"/>
      <c r="DEZ3" s="28"/>
      <c r="DFA3" s="28"/>
      <c r="DFB3" s="28"/>
      <c r="DFC3" s="28"/>
      <c r="DFD3" s="28"/>
      <c r="DFE3" s="28"/>
      <c r="DFF3" s="28"/>
      <c r="DFG3" s="28"/>
      <c r="DFH3" s="28"/>
      <c r="DFI3" s="28"/>
      <c r="DFJ3" s="28"/>
      <c r="DFK3" s="28"/>
      <c r="DFL3" s="28"/>
      <c r="DFM3" s="28"/>
      <c r="DFN3" s="28"/>
      <c r="DFO3" s="28"/>
      <c r="DFP3" s="28"/>
      <c r="DFQ3" s="28"/>
      <c r="DFR3" s="28"/>
      <c r="DFS3" s="28"/>
      <c r="DFT3" s="28"/>
      <c r="DFU3" s="28"/>
      <c r="DFV3" s="28"/>
      <c r="DFW3" s="28"/>
      <c r="DFX3" s="28"/>
      <c r="DFY3" s="28"/>
      <c r="DFZ3" s="28"/>
      <c r="DGA3" s="28"/>
      <c r="DGB3" s="28"/>
      <c r="DGC3" s="28"/>
      <c r="DGD3" s="28"/>
      <c r="DGE3" s="28"/>
      <c r="DGF3" s="28"/>
      <c r="DGG3" s="28"/>
      <c r="DGH3" s="28"/>
      <c r="DGI3" s="28"/>
      <c r="DGJ3" s="28"/>
      <c r="DGK3" s="28"/>
      <c r="DGL3" s="28"/>
      <c r="DGM3" s="28"/>
      <c r="DGN3" s="28"/>
      <c r="DGO3" s="28"/>
      <c r="DGP3" s="28"/>
      <c r="DGQ3" s="28"/>
      <c r="DGR3" s="28"/>
      <c r="DGS3" s="28"/>
      <c r="DGT3" s="28"/>
      <c r="DGU3" s="28"/>
      <c r="DGV3" s="28"/>
      <c r="DGW3" s="28"/>
      <c r="DGX3" s="28"/>
      <c r="DGY3" s="28"/>
      <c r="DGZ3" s="28"/>
      <c r="DHA3" s="28"/>
      <c r="DHB3" s="28"/>
      <c r="DHC3" s="28"/>
      <c r="DHD3" s="28"/>
      <c r="DHE3" s="28"/>
      <c r="DHF3" s="28"/>
      <c r="DHG3" s="28"/>
      <c r="DHH3" s="28"/>
      <c r="DHI3" s="28"/>
      <c r="DHJ3" s="28"/>
      <c r="DHK3" s="28"/>
      <c r="DHL3" s="28"/>
      <c r="DHM3" s="28"/>
      <c r="DHN3" s="28"/>
      <c r="DHO3" s="28"/>
      <c r="DHP3" s="28"/>
      <c r="DHQ3" s="28"/>
      <c r="DHR3" s="28"/>
      <c r="DHS3" s="28"/>
      <c r="DHT3" s="28"/>
      <c r="DHU3" s="28"/>
      <c r="DHV3" s="28"/>
      <c r="DHW3" s="28"/>
      <c r="DHX3" s="28"/>
      <c r="DHY3" s="28"/>
      <c r="DHZ3" s="28"/>
      <c r="DIA3" s="28"/>
      <c r="DIB3" s="28"/>
      <c r="DIC3" s="28"/>
      <c r="DID3" s="28"/>
      <c r="DIE3" s="28"/>
      <c r="DIF3" s="28"/>
      <c r="DIG3" s="28"/>
      <c r="DIH3" s="28"/>
      <c r="DII3" s="28"/>
      <c r="DIJ3" s="28"/>
      <c r="DIK3" s="28"/>
      <c r="DIL3" s="28"/>
      <c r="DIM3" s="28"/>
      <c r="DIN3" s="28"/>
      <c r="DIO3" s="28"/>
      <c r="DIP3" s="28"/>
      <c r="DIQ3" s="28"/>
      <c r="DIR3" s="28"/>
      <c r="DIS3" s="28"/>
      <c r="DIT3" s="28"/>
      <c r="DIU3" s="28"/>
      <c r="DIV3" s="28"/>
      <c r="DIW3" s="28"/>
      <c r="DIX3" s="28"/>
      <c r="DIY3" s="28"/>
      <c r="DIZ3" s="28"/>
      <c r="DJA3" s="28"/>
      <c r="DJB3" s="28"/>
      <c r="DJC3" s="28"/>
      <c r="DJD3" s="28"/>
      <c r="DJE3" s="28"/>
      <c r="DJF3" s="28"/>
      <c r="DJG3" s="28"/>
      <c r="DJH3" s="28"/>
      <c r="DJI3" s="28"/>
      <c r="DJJ3" s="28"/>
      <c r="DJK3" s="28"/>
      <c r="DJL3" s="28"/>
      <c r="DJM3" s="28"/>
      <c r="DJN3" s="28"/>
      <c r="DJO3" s="28"/>
      <c r="DJP3" s="28"/>
      <c r="DJQ3" s="28"/>
      <c r="DJR3" s="28"/>
      <c r="DJS3" s="28"/>
      <c r="DJT3" s="28"/>
      <c r="DJU3" s="28"/>
      <c r="DJV3" s="28"/>
      <c r="DJW3" s="28"/>
      <c r="DJX3" s="28"/>
      <c r="DJY3" s="28"/>
      <c r="DJZ3" s="28"/>
      <c r="DKA3" s="28"/>
      <c r="DKB3" s="28"/>
      <c r="DKC3" s="28"/>
      <c r="DKD3" s="28"/>
      <c r="DKE3" s="28"/>
      <c r="DKF3" s="28"/>
      <c r="DKG3" s="28"/>
      <c r="DKH3" s="28"/>
      <c r="DKI3" s="28"/>
      <c r="DKJ3" s="28"/>
      <c r="DKK3" s="28"/>
      <c r="DKL3" s="28"/>
      <c r="DKM3" s="28"/>
      <c r="DKN3" s="28"/>
      <c r="DKO3" s="28"/>
      <c r="DKP3" s="28"/>
      <c r="DKQ3" s="28"/>
      <c r="DKR3" s="28"/>
      <c r="DKS3" s="28"/>
      <c r="DKT3" s="28"/>
      <c r="DKU3" s="28"/>
      <c r="DKV3" s="28"/>
      <c r="DKW3" s="28"/>
      <c r="DKX3" s="28"/>
      <c r="DKY3" s="28"/>
      <c r="DKZ3" s="28"/>
      <c r="DLA3" s="28"/>
      <c r="DLB3" s="28"/>
      <c r="DLC3" s="28"/>
      <c r="DLD3" s="28"/>
      <c r="DLE3" s="28"/>
      <c r="DLF3" s="28"/>
      <c r="DLG3" s="28"/>
      <c r="DLH3" s="28"/>
      <c r="DLI3" s="28"/>
      <c r="DLJ3" s="28"/>
      <c r="DLK3" s="28"/>
      <c r="DLL3" s="28"/>
      <c r="DLM3" s="28"/>
      <c r="DLN3" s="28"/>
      <c r="DLO3" s="28"/>
      <c r="DLP3" s="28"/>
      <c r="DLQ3" s="28"/>
      <c r="DLR3" s="28"/>
      <c r="DLS3" s="28"/>
      <c r="DLT3" s="28"/>
      <c r="DLU3" s="28"/>
      <c r="DLV3" s="28"/>
      <c r="DLW3" s="28"/>
      <c r="DLX3" s="28"/>
      <c r="DLY3" s="28"/>
      <c r="DLZ3" s="28"/>
      <c r="DMA3" s="28"/>
      <c r="DMB3" s="28"/>
      <c r="DMC3" s="28"/>
      <c r="DMD3" s="28"/>
      <c r="DME3" s="28"/>
      <c r="DMF3" s="28"/>
      <c r="DMG3" s="28"/>
      <c r="DMH3" s="28"/>
      <c r="DMI3" s="28"/>
      <c r="DMJ3" s="28"/>
      <c r="DMK3" s="28"/>
      <c r="DML3" s="28"/>
      <c r="DMM3" s="28"/>
      <c r="DMN3" s="28"/>
      <c r="DMO3" s="28"/>
      <c r="DMP3" s="28"/>
      <c r="DMQ3" s="28"/>
      <c r="DMR3" s="28"/>
      <c r="DMS3" s="28"/>
      <c r="DMT3" s="28"/>
      <c r="DMU3" s="28"/>
      <c r="DMV3" s="28"/>
      <c r="DMW3" s="28"/>
      <c r="DMX3" s="28"/>
      <c r="DMY3" s="28"/>
      <c r="DMZ3" s="28"/>
      <c r="DNA3" s="28"/>
      <c r="DNB3" s="28"/>
      <c r="DNC3" s="28"/>
      <c r="DND3" s="28"/>
      <c r="DNE3" s="28"/>
      <c r="DNF3" s="28"/>
      <c r="DNG3" s="28"/>
      <c r="DNH3" s="28"/>
      <c r="DNI3" s="28"/>
      <c r="DNJ3" s="28"/>
      <c r="DNK3" s="28"/>
      <c r="DNL3" s="28"/>
      <c r="DNM3" s="28"/>
      <c r="DNN3" s="28"/>
      <c r="DNO3" s="28"/>
      <c r="DNP3" s="28"/>
      <c r="DNQ3" s="28"/>
      <c r="DNR3" s="28"/>
      <c r="DNS3" s="28"/>
      <c r="DNT3" s="28"/>
      <c r="DNU3" s="28"/>
      <c r="DNV3" s="28"/>
      <c r="DNW3" s="28"/>
      <c r="DNX3" s="28"/>
      <c r="DNY3" s="28"/>
      <c r="DNZ3" s="28"/>
      <c r="DOA3" s="28"/>
      <c r="DOB3" s="28"/>
      <c r="DOC3" s="28"/>
      <c r="DOD3" s="28"/>
      <c r="DOE3" s="28"/>
      <c r="DOF3" s="28"/>
      <c r="DOG3" s="28"/>
      <c r="DOH3" s="28"/>
      <c r="DOI3" s="28"/>
      <c r="DOJ3" s="28"/>
      <c r="DOK3" s="28"/>
      <c r="DOL3" s="28"/>
      <c r="DOM3" s="28"/>
      <c r="DON3" s="28"/>
      <c r="DOO3" s="28"/>
      <c r="DOP3" s="28"/>
      <c r="DOQ3" s="28"/>
      <c r="DOR3" s="28"/>
      <c r="DOS3" s="28"/>
      <c r="DOT3" s="28"/>
      <c r="DOU3" s="28"/>
      <c r="DOV3" s="28"/>
      <c r="DOW3" s="28"/>
      <c r="DOX3" s="28"/>
      <c r="DOY3" s="28"/>
      <c r="DOZ3" s="28"/>
      <c r="DPA3" s="28"/>
      <c r="DPB3" s="28"/>
      <c r="DPC3" s="28"/>
      <c r="DPD3" s="28"/>
      <c r="DPE3" s="28"/>
      <c r="DPF3" s="28"/>
      <c r="DPG3" s="28"/>
      <c r="DPH3" s="28"/>
      <c r="DPI3" s="28"/>
      <c r="DPJ3" s="28"/>
      <c r="DPK3" s="28"/>
      <c r="DPL3" s="28"/>
      <c r="DPM3" s="28"/>
      <c r="DPN3" s="28"/>
      <c r="DPO3" s="28"/>
      <c r="DPP3" s="28"/>
      <c r="DPQ3" s="28"/>
      <c r="DPR3" s="28"/>
      <c r="DPS3" s="28"/>
      <c r="DPT3" s="28"/>
      <c r="DPU3" s="28"/>
      <c r="DPV3" s="28"/>
      <c r="DPW3" s="28"/>
      <c r="DPX3" s="28"/>
      <c r="DPY3" s="28"/>
      <c r="DPZ3" s="28"/>
      <c r="DQA3" s="28"/>
      <c r="DQB3" s="28"/>
      <c r="DQC3" s="28"/>
      <c r="DQD3" s="28"/>
      <c r="DQE3" s="28"/>
      <c r="DQF3" s="28"/>
      <c r="DQG3" s="28"/>
      <c r="DQH3" s="28"/>
      <c r="DQI3" s="28"/>
      <c r="DQJ3" s="28"/>
      <c r="DQK3" s="28"/>
      <c r="DQL3" s="28"/>
      <c r="DQM3" s="28"/>
      <c r="DQN3" s="28"/>
      <c r="DQO3" s="28"/>
      <c r="DQP3" s="28"/>
      <c r="DQQ3" s="28"/>
      <c r="DQR3" s="28"/>
      <c r="DQS3" s="28"/>
      <c r="DQT3" s="28"/>
      <c r="DQU3" s="28"/>
      <c r="DQV3" s="28"/>
      <c r="DQW3" s="28"/>
      <c r="DQX3" s="28"/>
      <c r="DQY3" s="28"/>
      <c r="DQZ3" s="28"/>
      <c r="DRA3" s="28"/>
      <c r="DRB3" s="28"/>
      <c r="DRC3" s="28"/>
      <c r="DRD3" s="28"/>
      <c r="DRE3" s="28"/>
      <c r="DRF3" s="28"/>
      <c r="DRG3" s="28"/>
      <c r="DRH3" s="28"/>
      <c r="DRI3" s="28"/>
      <c r="DRJ3" s="28"/>
      <c r="DRK3" s="28"/>
      <c r="DRL3" s="28"/>
      <c r="DRM3" s="28"/>
      <c r="DRN3" s="28"/>
      <c r="DRO3" s="28"/>
      <c r="DRP3" s="28"/>
      <c r="DRQ3" s="28"/>
      <c r="DRR3" s="28"/>
      <c r="DRS3" s="28"/>
      <c r="DRT3" s="28"/>
      <c r="DRU3" s="28"/>
      <c r="DRV3" s="28"/>
      <c r="DRW3" s="28"/>
      <c r="DRX3" s="28"/>
      <c r="DRY3" s="28"/>
      <c r="DRZ3" s="28"/>
      <c r="DSA3" s="28"/>
      <c r="DSB3" s="28"/>
      <c r="DSC3" s="28"/>
      <c r="DSD3" s="28"/>
      <c r="DSE3" s="28"/>
      <c r="DSF3" s="28"/>
      <c r="DSG3" s="28"/>
      <c r="DSH3" s="28"/>
      <c r="DSI3" s="28"/>
      <c r="DSJ3" s="28"/>
      <c r="DSK3" s="28"/>
      <c r="DSL3" s="28"/>
      <c r="DSM3" s="28"/>
      <c r="DSN3" s="28"/>
      <c r="DSO3" s="28"/>
      <c r="DSP3" s="28"/>
      <c r="DSQ3" s="28"/>
      <c r="DSR3" s="28"/>
      <c r="DSS3" s="28"/>
      <c r="DST3" s="28"/>
      <c r="DSU3" s="28"/>
      <c r="DSV3" s="28"/>
      <c r="DSW3" s="28"/>
      <c r="DSX3" s="28"/>
      <c r="DSY3" s="28"/>
      <c r="DSZ3" s="28"/>
      <c r="DTA3" s="28"/>
      <c r="DTB3" s="28"/>
      <c r="DTC3" s="28"/>
      <c r="DTD3" s="28"/>
      <c r="DTE3" s="28"/>
      <c r="DTF3" s="28"/>
      <c r="DTG3" s="28"/>
      <c r="DTH3" s="28"/>
      <c r="DTI3" s="28"/>
      <c r="DTJ3" s="28"/>
      <c r="DTK3" s="28"/>
      <c r="DTL3" s="28"/>
      <c r="DTM3" s="28"/>
      <c r="DTN3" s="28"/>
      <c r="DTO3" s="28"/>
      <c r="DTP3" s="28"/>
      <c r="DTQ3" s="28"/>
      <c r="DTR3" s="28"/>
      <c r="DTS3" s="28"/>
      <c r="DTT3" s="28"/>
      <c r="DTU3" s="28"/>
      <c r="DTV3" s="28"/>
      <c r="DTW3" s="28"/>
      <c r="DTX3" s="28"/>
      <c r="DTY3" s="28"/>
      <c r="DTZ3" s="28"/>
      <c r="DUA3" s="28"/>
      <c r="DUB3" s="28"/>
      <c r="DUC3" s="28"/>
      <c r="DUD3" s="28"/>
      <c r="DUE3" s="28"/>
      <c r="DUF3" s="28"/>
      <c r="DUG3" s="28"/>
      <c r="DUH3" s="28"/>
      <c r="DUI3" s="28"/>
      <c r="DUJ3" s="28"/>
      <c r="DUK3" s="28"/>
      <c r="DUL3" s="28"/>
      <c r="DUM3" s="28"/>
      <c r="DUN3" s="28"/>
      <c r="DUO3" s="28"/>
      <c r="DUP3" s="28"/>
      <c r="DUQ3" s="28"/>
      <c r="DUR3" s="28"/>
      <c r="DUS3" s="28"/>
      <c r="DUT3" s="28"/>
      <c r="DUU3" s="28"/>
      <c r="DUV3" s="28"/>
      <c r="DUW3" s="28"/>
      <c r="DUX3" s="28"/>
      <c r="DUY3" s="28"/>
      <c r="DUZ3" s="28"/>
      <c r="DVA3" s="28"/>
      <c r="DVB3" s="28"/>
      <c r="DVC3" s="28"/>
      <c r="DVD3" s="28"/>
      <c r="DVE3" s="28"/>
      <c r="DVF3" s="28"/>
      <c r="DVG3" s="28"/>
      <c r="DVH3" s="28"/>
      <c r="DVI3" s="28"/>
      <c r="DVJ3" s="28"/>
      <c r="DVK3" s="28"/>
      <c r="DVL3" s="28"/>
      <c r="DVM3" s="28"/>
      <c r="DVN3" s="28"/>
      <c r="DVO3" s="28"/>
      <c r="DVP3" s="28"/>
      <c r="DVQ3" s="28"/>
      <c r="DVR3" s="28"/>
      <c r="DVS3" s="28"/>
      <c r="DVT3" s="28"/>
      <c r="DVU3" s="28"/>
      <c r="DVV3" s="28"/>
      <c r="DVW3" s="28"/>
      <c r="DVX3" s="28"/>
      <c r="DVY3" s="28"/>
      <c r="DVZ3" s="28"/>
      <c r="DWA3" s="28"/>
      <c r="DWB3" s="28"/>
      <c r="DWC3" s="28"/>
      <c r="DWD3" s="28"/>
      <c r="DWE3" s="28"/>
      <c r="DWF3" s="28"/>
      <c r="DWG3" s="28"/>
      <c r="DWH3" s="28"/>
      <c r="DWI3" s="28"/>
      <c r="DWJ3" s="28"/>
      <c r="DWK3" s="28"/>
      <c r="DWL3" s="28"/>
      <c r="DWM3" s="28"/>
      <c r="DWN3" s="28"/>
      <c r="DWO3" s="28"/>
      <c r="DWP3" s="28"/>
      <c r="DWQ3" s="28"/>
      <c r="DWR3" s="28"/>
      <c r="DWS3" s="28"/>
      <c r="DWT3" s="28"/>
      <c r="DWU3" s="28"/>
      <c r="DWV3" s="28"/>
      <c r="DWW3" s="28"/>
      <c r="DWX3" s="28"/>
      <c r="DWY3" s="28"/>
      <c r="DWZ3" s="28"/>
      <c r="DXA3" s="28"/>
      <c r="DXB3" s="28"/>
      <c r="DXC3" s="28"/>
      <c r="DXD3" s="28"/>
      <c r="DXE3" s="28"/>
      <c r="DXF3" s="28"/>
      <c r="DXG3" s="28"/>
      <c r="DXH3" s="28"/>
      <c r="DXI3" s="28"/>
      <c r="DXJ3" s="28"/>
      <c r="DXK3" s="28"/>
      <c r="DXL3" s="28"/>
      <c r="DXM3" s="28"/>
      <c r="DXN3" s="28"/>
      <c r="DXO3" s="28"/>
      <c r="DXP3" s="28"/>
      <c r="DXQ3" s="28"/>
      <c r="DXR3" s="28"/>
      <c r="DXS3" s="28"/>
      <c r="DXT3" s="28"/>
      <c r="DXU3" s="28"/>
      <c r="DXV3" s="28"/>
      <c r="DXW3" s="28"/>
      <c r="DXX3" s="28"/>
      <c r="DXY3" s="28"/>
      <c r="DXZ3" s="28"/>
      <c r="DYA3" s="28"/>
      <c r="DYB3" s="28"/>
      <c r="DYC3" s="28"/>
      <c r="DYD3" s="28"/>
      <c r="DYE3" s="28"/>
      <c r="DYF3" s="28"/>
      <c r="DYG3" s="28"/>
      <c r="DYH3" s="28"/>
      <c r="DYI3" s="28"/>
      <c r="DYJ3" s="28"/>
      <c r="DYK3" s="28"/>
      <c r="DYL3" s="28"/>
      <c r="DYM3" s="28"/>
      <c r="DYN3" s="28"/>
      <c r="DYO3" s="28"/>
      <c r="DYP3" s="28"/>
      <c r="DYQ3" s="28"/>
      <c r="DYR3" s="28"/>
      <c r="DYS3" s="28"/>
      <c r="DYT3" s="28"/>
      <c r="DYU3" s="28"/>
      <c r="DYV3" s="28"/>
      <c r="DYW3" s="28"/>
      <c r="DYX3" s="28"/>
      <c r="DYY3" s="28"/>
      <c r="DYZ3" s="28"/>
      <c r="DZA3" s="28"/>
      <c r="DZB3" s="28"/>
      <c r="DZC3" s="28"/>
      <c r="DZD3" s="28"/>
      <c r="DZE3" s="28"/>
      <c r="DZF3" s="28"/>
      <c r="DZG3" s="28"/>
      <c r="DZH3" s="28"/>
      <c r="DZI3" s="28"/>
      <c r="DZJ3" s="28"/>
      <c r="DZK3" s="28"/>
      <c r="DZL3" s="28"/>
      <c r="DZM3" s="28"/>
      <c r="DZN3" s="28"/>
      <c r="DZO3" s="28"/>
      <c r="DZP3" s="28"/>
      <c r="DZQ3" s="28"/>
      <c r="DZR3" s="28"/>
      <c r="DZS3" s="28"/>
      <c r="DZT3" s="28"/>
      <c r="DZU3" s="28"/>
      <c r="DZV3" s="28"/>
      <c r="DZW3" s="28"/>
      <c r="DZX3" s="28"/>
      <c r="DZY3" s="28"/>
      <c r="DZZ3" s="28"/>
      <c r="EAA3" s="28"/>
      <c r="EAB3" s="28"/>
      <c r="EAC3" s="28"/>
      <c r="EAD3" s="28"/>
      <c r="EAE3" s="28"/>
      <c r="EAF3" s="28"/>
      <c r="EAG3" s="28"/>
      <c r="EAH3" s="28"/>
      <c r="EAI3" s="28"/>
      <c r="EAJ3" s="28"/>
      <c r="EAK3" s="28"/>
      <c r="EAL3" s="28"/>
      <c r="EAM3" s="28"/>
      <c r="EAN3" s="28"/>
      <c r="EAO3" s="28"/>
      <c r="EAP3" s="28"/>
      <c r="EAQ3" s="28"/>
      <c r="EAR3" s="28"/>
      <c r="EAS3" s="28"/>
      <c r="EAT3" s="28"/>
      <c r="EAU3" s="28"/>
      <c r="EAV3" s="28"/>
      <c r="EAW3" s="28"/>
      <c r="EAX3" s="28"/>
      <c r="EAY3" s="28"/>
      <c r="EAZ3" s="28"/>
      <c r="EBA3" s="28"/>
      <c r="EBB3" s="28"/>
      <c r="EBC3" s="28"/>
      <c r="EBD3" s="28"/>
      <c r="EBE3" s="28"/>
      <c r="EBF3" s="28"/>
      <c r="EBG3" s="28"/>
      <c r="EBH3" s="28"/>
      <c r="EBI3" s="28"/>
      <c r="EBJ3" s="28"/>
      <c r="EBK3" s="28"/>
      <c r="EBL3" s="28"/>
      <c r="EBM3" s="28"/>
      <c r="EBN3" s="28"/>
      <c r="EBO3" s="28"/>
      <c r="EBP3" s="28"/>
      <c r="EBQ3" s="28"/>
      <c r="EBR3" s="28"/>
      <c r="EBS3" s="28"/>
      <c r="EBT3" s="28"/>
      <c r="EBU3" s="28"/>
      <c r="EBV3" s="28"/>
      <c r="EBW3" s="28"/>
      <c r="EBX3" s="28"/>
      <c r="EBY3" s="28"/>
      <c r="EBZ3" s="28"/>
      <c r="ECA3" s="28"/>
      <c r="ECB3" s="28"/>
      <c r="ECC3" s="28"/>
      <c r="ECD3" s="28"/>
      <c r="ECE3" s="28"/>
      <c r="ECF3" s="28"/>
      <c r="ECG3" s="28"/>
      <c r="ECH3" s="28"/>
      <c r="ECI3" s="28"/>
      <c r="ECJ3" s="28"/>
      <c r="ECK3" s="28"/>
      <c r="ECL3" s="28"/>
      <c r="ECM3" s="28"/>
      <c r="ECN3" s="28"/>
      <c r="ECO3" s="28"/>
      <c r="ECP3" s="28"/>
      <c r="ECQ3" s="28"/>
      <c r="ECR3" s="28"/>
      <c r="ECS3" s="28"/>
      <c r="ECT3" s="28"/>
      <c r="ECU3" s="28"/>
      <c r="ECV3" s="28"/>
      <c r="ECW3" s="28"/>
      <c r="ECX3" s="28"/>
      <c r="ECY3" s="28"/>
      <c r="ECZ3" s="28"/>
      <c r="EDA3" s="28"/>
      <c r="EDB3" s="28"/>
      <c r="EDC3" s="28"/>
      <c r="EDD3" s="28"/>
      <c r="EDE3" s="28"/>
      <c r="EDF3" s="28"/>
      <c r="EDG3" s="28"/>
      <c r="EDH3" s="28"/>
      <c r="EDI3" s="28"/>
      <c r="EDJ3" s="28"/>
      <c r="EDK3" s="28"/>
      <c r="EDL3" s="28"/>
      <c r="EDM3" s="28"/>
      <c r="EDN3" s="28"/>
      <c r="EDO3" s="28"/>
      <c r="EDP3" s="28"/>
      <c r="EDQ3" s="28"/>
      <c r="EDR3" s="28"/>
      <c r="EDS3" s="28"/>
      <c r="EDT3" s="28"/>
      <c r="EDU3" s="28"/>
      <c r="EDV3" s="28"/>
      <c r="EDW3" s="28"/>
      <c r="EDX3" s="28"/>
      <c r="EDY3" s="28"/>
      <c r="EDZ3" s="28"/>
      <c r="EEA3" s="28"/>
      <c r="EEB3" s="28"/>
      <c r="EEC3" s="28"/>
      <c r="EED3" s="28"/>
      <c r="EEE3" s="28"/>
      <c r="EEF3" s="28"/>
      <c r="EEG3" s="28"/>
      <c r="EEH3" s="28"/>
      <c r="EEI3" s="28"/>
      <c r="EEJ3" s="28"/>
      <c r="EEK3" s="28"/>
      <c r="EEL3" s="28"/>
      <c r="EEM3" s="28"/>
      <c r="EEN3" s="28"/>
      <c r="EEO3" s="28"/>
      <c r="EEP3" s="28"/>
      <c r="EEQ3" s="28"/>
      <c r="EER3" s="28"/>
      <c r="EES3" s="28"/>
      <c r="EET3" s="28"/>
      <c r="EEU3" s="28"/>
      <c r="EEV3" s="28"/>
      <c r="EEW3" s="28"/>
      <c r="EEX3" s="28"/>
      <c r="EEY3" s="28"/>
      <c r="EEZ3" s="28"/>
      <c r="EFA3" s="28"/>
      <c r="EFB3" s="28"/>
      <c r="EFC3" s="28"/>
      <c r="EFD3" s="28"/>
      <c r="EFE3" s="28"/>
      <c r="EFF3" s="28"/>
      <c r="EFG3" s="28"/>
      <c r="EFH3" s="28"/>
      <c r="EFI3" s="28"/>
      <c r="EFJ3" s="28"/>
      <c r="EFK3" s="28"/>
      <c r="EFL3" s="28"/>
      <c r="EFM3" s="28"/>
      <c r="EFN3" s="28"/>
      <c r="EFO3" s="28"/>
      <c r="EFP3" s="28"/>
      <c r="EFQ3" s="28"/>
      <c r="EFR3" s="28"/>
      <c r="EFS3" s="28"/>
      <c r="EFT3" s="28"/>
      <c r="EFU3" s="28"/>
      <c r="EFV3" s="28"/>
      <c r="EFW3" s="28"/>
      <c r="EFX3" s="28"/>
      <c r="EFY3" s="28"/>
      <c r="EFZ3" s="28"/>
      <c r="EGA3" s="28"/>
      <c r="EGB3" s="28"/>
      <c r="EGC3" s="28"/>
      <c r="EGD3" s="28"/>
      <c r="EGE3" s="28"/>
      <c r="EGF3" s="28"/>
      <c r="EGG3" s="28"/>
      <c r="EGH3" s="28"/>
      <c r="EGI3" s="28"/>
      <c r="EGJ3" s="28"/>
      <c r="EGK3" s="28"/>
      <c r="EGL3" s="28"/>
      <c r="EGM3" s="28"/>
      <c r="EGN3" s="28"/>
      <c r="EGO3" s="28"/>
      <c r="EGP3" s="28"/>
      <c r="EGQ3" s="28"/>
      <c r="EGR3" s="28"/>
      <c r="EGS3" s="28"/>
      <c r="EGT3" s="28"/>
      <c r="EGU3" s="28"/>
      <c r="EGV3" s="28"/>
      <c r="EGW3" s="28"/>
      <c r="EGX3" s="28"/>
      <c r="EGY3" s="28"/>
      <c r="EGZ3" s="28"/>
      <c r="EHA3" s="28"/>
      <c r="EHB3" s="28"/>
      <c r="EHC3" s="28"/>
      <c r="EHD3" s="28"/>
      <c r="EHE3" s="28"/>
      <c r="EHF3" s="28"/>
      <c r="EHG3" s="28"/>
      <c r="EHH3" s="28"/>
      <c r="EHI3" s="28"/>
      <c r="EHJ3" s="28"/>
      <c r="EHK3" s="28"/>
      <c r="EHL3" s="28"/>
      <c r="EHM3" s="28"/>
      <c r="EHN3" s="28"/>
      <c r="EHO3" s="28"/>
      <c r="EHP3" s="28"/>
      <c r="EHQ3" s="28"/>
      <c r="EHR3" s="28"/>
      <c r="EHS3" s="28"/>
      <c r="EHT3" s="28"/>
      <c r="EHU3" s="28"/>
      <c r="EHV3" s="28"/>
      <c r="EHW3" s="28"/>
      <c r="EHX3" s="28"/>
      <c r="EHY3" s="28"/>
      <c r="EHZ3" s="28"/>
      <c r="EIA3" s="28"/>
      <c r="EIB3" s="28"/>
      <c r="EIC3" s="28"/>
      <c r="EID3" s="28"/>
      <c r="EIE3" s="28"/>
      <c r="EIF3" s="28"/>
      <c r="EIG3" s="28"/>
      <c r="EIH3" s="28"/>
      <c r="EII3" s="28"/>
      <c r="EIJ3" s="28"/>
      <c r="EIK3" s="28"/>
      <c r="EIL3" s="28"/>
      <c r="EIM3" s="28"/>
      <c r="EIN3" s="28"/>
      <c r="EIO3" s="28"/>
      <c r="EIP3" s="28"/>
      <c r="EIQ3" s="28"/>
      <c r="EIR3" s="28"/>
      <c r="EIS3" s="28"/>
      <c r="EIT3" s="28"/>
      <c r="EIU3" s="28"/>
      <c r="EIV3" s="28"/>
      <c r="EIW3" s="28"/>
      <c r="EIX3" s="28"/>
      <c r="EIY3" s="28"/>
      <c r="EIZ3" s="28"/>
      <c r="EJA3" s="28"/>
      <c r="EJB3" s="28"/>
      <c r="EJC3" s="28"/>
      <c r="EJD3" s="28"/>
      <c r="EJE3" s="28"/>
      <c r="EJF3" s="28"/>
      <c r="EJG3" s="28"/>
      <c r="EJH3" s="28"/>
      <c r="EJI3" s="28"/>
      <c r="EJJ3" s="28"/>
      <c r="EJK3" s="28"/>
      <c r="EJL3" s="28"/>
      <c r="EJM3" s="28"/>
      <c r="EJN3" s="28"/>
      <c r="EJO3" s="28"/>
      <c r="EJP3" s="28"/>
      <c r="EJQ3" s="28"/>
      <c r="EJR3" s="28"/>
      <c r="EJS3" s="28"/>
      <c r="EJT3" s="28"/>
      <c r="EJU3" s="28"/>
      <c r="EJV3" s="28"/>
      <c r="EJW3" s="28"/>
      <c r="EJX3" s="28"/>
      <c r="EJY3" s="28"/>
      <c r="EJZ3" s="28"/>
      <c r="EKA3" s="28"/>
      <c r="EKB3" s="28"/>
      <c r="EKC3" s="28"/>
      <c r="EKD3" s="28"/>
      <c r="EKE3" s="28"/>
      <c r="EKF3" s="28"/>
      <c r="EKG3" s="28"/>
      <c r="EKH3" s="28"/>
      <c r="EKI3" s="28"/>
      <c r="EKJ3" s="28"/>
      <c r="EKK3" s="28"/>
      <c r="EKL3" s="28"/>
      <c r="EKM3" s="28"/>
      <c r="EKN3" s="28"/>
      <c r="EKO3" s="28"/>
      <c r="EKP3" s="28"/>
      <c r="EKQ3" s="28"/>
      <c r="EKR3" s="28"/>
      <c r="EKS3" s="28"/>
      <c r="EKT3" s="28"/>
      <c r="EKU3" s="28"/>
      <c r="EKV3" s="28"/>
      <c r="EKW3" s="28"/>
      <c r="EKX3" s="28"/>
      <c r="EKY3" s="28"/>
      <c r="EKZ3" s="28"/>
      <c r="ELA3" s="28"/>
      <c r="ELB3" s="28"/>
      <c r="ELC3" s="28"/>
      <c r="ELD3" s="28"/>
      <c r="ELE3" s="28"/>
      <c r="ELF3" s="28"/>
      <c r="ELG3" s="28"/>
      <c r="ELH3" s="28"/>
      <c r="ELI3" s="28"/>
      <c r="ELJ3" s="28"/>
      <c r="ELK3" s="28"/>
      <c r="ELL3" s="28"/>
      <c r="ELM3" s="28"/>
      <c r="ELN3" s="28"/>
      <c r="ELO3" s="28"/>
      <c r="ELP3" s="28"/>
      <c r="ELQ3" s="28"/>
      <c r="ELR3" s="28"/>
      <c r="ELS3" s="28"/>
      <c r="ELT3" s="28"/>
      <c r="ELU3" s="28"/>
      <c r="ELV3" s="28"/>
      <c r="ELW3" s="28"/>
      <c r="ELX3" s="28"/>
      <c r="ELY3" s="28"/>
      <c r="ELZ3" s="28"/>
      <c r="EMA3" s="28"/>
      <c r="EMB3" s="28"/>
      <c r="EMC3" s="28"/>
      <c r="EMD3" s="28"/>
      <c r="EME3" s="28"/>
      <c r="EMF3" s="28"/>
      <c r="EMG3" s="28"/>
      <c r="EMH3" s="28"/>
      <c r="EMI3" s="28"/>
      <c r="EMJ3" s="28"/>
      <c r="EMK3" s="28"/>
      <c r="EML3" s="28"/>
      <c r="EMM3" s="28"/>
      <c r="EMN3" s="28"/>
      <c r="EMO3" s="28"/>
      <c r="EMP3" s="28"/>
      <c r="EMQ3" s="28"/>
      <c r="EMR3" s="28"/>
      <c r="EMS3" s="28"/>
      <c r="EMT3" s="28"/>
      <c r="EMU3" s="28"/>
      <c r="EMV3" s="28"/>
      <c r="EMW3" s="28"/>
      <c r="EMX3" s="28"/>
      <c r="EMY3" s="28"/>
      <c r="EMZ3" s="28"/>
      <c r="ENA3" s="28"/>
      <c r="ENB3" s="28"/>
      <c r="ENC3" s="28"/>
      <c r="END3" s="28"/>
      <c r="ENE3" s="28"/>
      <c r="ENF3" s="28"/>
      <c r="ENG3" s="28"/>
      <c r="ENH3" s="28"/>
      <c r="ENI3" s="28"/>
      <c r="ENJ3" s="28"/>
      <c r="ENK3" s="28"/>
      <c r="ENL3" s="28"/>
      <c r="ENM3" s="28"/>
      <c r="ENN3" s="28"/>
      <c r="ENO3" s="28"/>
      <c r="ENP3" s="28"/>
      <c r="ENQ3" s="28"/>
      <c r="ENR3" s="28"/>
      <c r="ENS3" s="28"/>
      <c r="ENT3" s="28"/>
      <c r="ENU3" s="28"/>
      <c r="ENV3" s="28"/>
      <c r="ENW3" s="28"/>
      <c r="ENX3" s="28"/>
      <c r="ENY3" s="28"/>
      <c r="ENZ3" s="28"/>
      <c r="EOA3" s="28"/>
      <c r="EOB3" s="28"/>
      <c r="EOC3" s="28"/>
      <c r="EOD3" s="28"/>
      <c r="EOE3" s="28"/>
      <c r="EOF3" s="28"/>
      <c r="EOG3" s="28"/>
      <c r="EOH3" s="28"/>
      <c r="EOI3" s="28"/>
      <c r="EOJ3" s="28"/>
      <c r="EOK3" s="28"/>
      <c r="EOL3" s="28"/>
      <c r="EOM3" s="28"/>
      <c r="EON3" s="28"/>
      <c r="EOO3" s="28"/>
      <c r="EOP3" s="28"/>
      <c r="EOQ3" s="28"/>
      <c r="EOR3" s="28"/>
      <c r="EOS3" s="28"/>
      <c r="EOT3" s="28"/>
      <c r="EOU3" s="28"/>
      <c r="EOV3" s="28"/>
      <c r="EOW3" s="28"/>
      <c r="EOX3" s="28"/>
      <c r="EOY3" s="28"/>
      <c r="EOZ3" s="28"/>
      <c r="EPA3" s="28"/>
      <c r="EPB3" s="28"/>
      <c r="EPC3" s="28"/>
      <c r="EPD3" s="28"/>
      <c r="EPE3" s="28"/>
      <c r="EPF3" s="28"/>
      <c r="EPG3" s="28"/>
      <c r="EPH3" s="28"/>
      <c r="EPI3" s="28"/>
      <c r="EPJ3" s="28"/>
      <c r="EPK3" s="28"/>
      <c r="EPL3" s="28"/>
      <c r="EPM3" s="28"/>
      <c r="EPN3" s="28"/>
      <c r="EPO3" s="28"/>
      <c r="EPP3" s="28"/>
      <c r="EPQ3" s="28"/>
      <c r="EPR3" s="28"/>
      <c r="EPS3" s="28"/>
      <c r="EPT3" s="28"/>
      <c r="EPU3" s="28"/>
      <c r="EPV3" s="28"/>
      <c r="EPW3" s="28"/>
      <c r="EPX3" s="28"/>
      <c r="EPY3" s="28"/>
      <c r="EPZ3" s="28"/>
      <c r="EQA3" s="28"/>
      <c r="EQB3" s="28"/>
      <c r="EQC3" s="28"/>
      <c r="EQD3" s="28"/>
      <c r="EQE3" s="28"/>
      <c r="EQF3" s="28"/>
      <c r="EQG3" s="28"/>
      <c r="EQH3" s="28"/>
      <c r="EQI3" s="28"/>
      <c r="EQJ3" s="28"/>
      <c r="EQK3" s="28"/>
      <c r="EQL3" s="28"/>
      <c r="EQM3" s="28"/>
      <c r="EQN3" s="28"/>
      <c r="EQO3" s="28"/>
      <c r="EQP3" s="28"/>
      <c r="EQQ3" s="28"/>
      <c r="EQR3" s="28"/>
      <c r="EQS3" s="28"/>
      <c r="EQT3" s="28"/>
      <c r="EQU3" s="28"/>
      <c r="EQV3" s="28"/>
      <c r="EQW3" s="28"/>
      <c r="EQX3" s="28"/>
      <c r="EQY3" s="28"/>
      <c r="EQZ3" s="28"/>
      <c r="ERA3" s="28"/>
      <c r="ERB3" s="28"/>
      <c r="ERC3" s="28"/>
      <c r="ERD3" s="28"/>
      <c r="ERE3" s="28"/>
      <c r="ERF3" s="28"/>
      <c r="ERG3" s="28"/>
      <c r="ERH3" s="28"/>
      <c r="ERI3" s="28"/>
      <c r="ERJ3" s="28"/>
      <c r="ERK3" s="28"/>
      <c r="ERL3" s="28"/>
      <c r="ERM3" s="28"/>
      <c r="ERN3" s="28"/>
      <c r="ERO3" s="28"/>
      <c r="ERP3" s="28"/>
      <c r="ERQ3" s="28"/>
      <c r="ERR3" s="28"/>
      <c r="ERS3" s="28"/>
      <c r="ERT3" s="28"/>
      <c r="ERU3" s="28"/>
      <c r="ERV3" s="28"/>
      <c r="ERW3" s="28"/>
      <c r="ERX3" s="28"/>
      <c r="ERY3" s="28"/>
      <c r="ERZ3" s="28"/>
      <c r="ESA3" s="28"/>
      <c r="ESB3" s="28"/>
      <c r="ESC3" s="28"/>
      <c r="ESD3" s="28"/>
      <c r="ESE3" s="28"/>
      <c r="ESF3" s="28"/>
      <c r="ESG3" s="28"/>
      <c r="ESH3" s="28"/>
      <c r="ESI3" s="28"/>
      <c r="ESJ3" s="28"/>
      <c r="ESK3" s="28"/>
      <c r="ESL3" s="28"/>
      <c r="ESM3" s="28"/>
      <c r="ESN3" s="28"/>
      <c r="ESO3" s="28"/>
      <c r="ESP3" s="28"/>
      <c r="ESQ3" s="28"/>
      <c r="ESR3" s="28"/>
      <c r="ESS3" s="28"/>
      <c r="EST3" s="28"/>
      <c r="ESU3" s="28"/>
      <c r="ESV3" s="28"/>
      <c r="ESW3" s="28"/>
      <c r="ESX3" s="28"/>
      <c r="ESY3" s="28"/>
      <c r="ESZ3" s="28"/>
      <c r="ETA3" s="28"/>
      <c r="ETB3" s="28"/>
      <c r="ETC3" s="28"/>
      <c r="ETD3" s="28"/>
      <c r="ETE3" s="28"/>
      <c r="ETF3" s="28"/>
      <c r="ETG3" s="28"/>
      <c r="ETH3" s="28"/>
      <c r="ETI3" s="28"/>
      <c r="ETJ3" s="28"/>
      <c r="ETK3" s="28"/>
      <c r="ETL3" s="28"/>
      <c r="ETM3" s="28"/>
      <c r="ETN3" s="28"/>
      <c r="ETO3" s="28"/>
      <c r="ETP3" s="28"/>
      <c r="ETQ3" s="28"/>
      <c r="ETR3" s="28"/>
      <c r="ETS3" s="28"/>
      <c r="ETT3" s="28"/>
      <c r="ETU3" s="28"/>
      <c r="ETV3" s="28"/>
      <c r="ETW3" s="28"/>
      <c r="ETX3" s="28"/>
      <c r="ETY3" s="28"/>
      <c r="ETZ3" s="28"/>
      <c r="EUA3" s="28"/>
      <c r="EUB3" s="28"/>
      <c r="EUC3" s="28"/>
      <c r="EUD3" s="28"/>
      <c r="EUE3" s="28"/>
      <c r="EUF3" s="28"/>
      <c r="EUG3" s="28"/>
      <c r="EUH3" s="28"/>
      <c r="EUI3" s="28"/>
      <c r="EUJ3" s="28"/>
      <c r="EUK3" s="28"/>
      <c r="EUL3" s="28"/>
      <c r="EUM3" s="28"/>
      <c r="EUN3" s="28"/>
      <c r="EUO3" s="28"/>
      <c r="EUP3" s="28"/>
      <c r="EUQ3" s="28"/>
      <c r="EUR3" s="28"/>
      <c r="EUS3" s="28"/>
      <c r="EUT3" s="28"/>
      <c r="EUU3" s="28"/>
      <c r="EUV3" s="28"/>
      <c r="EUW3" s="28"/>
      <c r="EUX3" s="28"/>
      <c r="EUY3" s="28"/>
      <c r="EUZ3" s="28"/>
      <c r="EVA3" s="28"/>
      <c r="EVB3" s="28"/>
      <c r="EVC3" s="28"/>
      <c r="EVD3" s="28"/>
      <c r="EVE3" s="28"/>
      <c r="EVF3" s="28"/>
      <c r="EVG3" s="28"/>
      <c r="EVH3" s="28"/>
      <c r="EVI3" s="28"/>
      <c r="EVJ3" s="28"/>
      <c r="EVK3" s="28"/>
      <c r="EVL3" s="28"/>
      <c r="EVM3" s="28"/>
      <c r="EVN3" s="28"/>
      <c r="EVO3" s="28"/>
      <c r="EVP3" s="28"/>
      <c r="EVQ3" s="28"/>
      <c r="EVR3" s="28"/>
      <c r="EVS3" s="28"/>
      <c r="EVT3" s="28"/>
      <c r="EVU3" s="28"/>
      <c r="EVV3" s="28"/>
      <c r="EVW3" s="28"/>
      <c r="EVX3" s="28"/>
      <c r="EVY3" s="28"/>
      <c r="EVZ3" s="28"/>
      <c r="EWA3" s="28"/>
      <c r="EWB3" s="28"/>
      <c r="EWC3" s="28"/>
      <c r="EWD3" s="28"/>
      <c r="EWE3" s="28"/>
      <c r="EWF3" s="28"/>
      <c r="EWG3" s="28"/>
      <c r="EWH3" s="28"/>
      <c r="EWI3" s="28"/>
      <c r="EWJ3" s="28"/>
      <c r="EWK3" s="28"/>
      <c r="EWL3" s="28"/>
      <c r="EWM3" s="28"/>
      <c r="EWN3" s="28"/>
      <c r="EWO3" s="28"/>
      <c r="EWP3" s="28"/>
      <c r="EWQ3" s="28"/>
      <c r="EWR3" s="28"/>
      <c r="EWS3" s="28"/>
      <c r="EWT3" s="28"/>
      <c r="EWU3" s="28"/>
      <c r="EWV3" s="28"/>
      <c r="EWW3" s="28"/>
      <c r="EWX3" s="28"/>
      <c r="EWY3" s="28"/>
      <c r="EWZ3" s="28"/>
      <c r="EXA3" s="28"/>
      <c r="EXB3" s="28"/>
      <c r="EXC3" s="28"/>
      <c r="EXD3" s="28"/>
      <c r="EXE3" s="28"/>
      <c r="EXF3" s="28"/>
      <c r="EXG3" s="28"/>
      <c r="EXH3" s="28"/>
      <c r="EXI3" s="28"/>
      <c r="EXJ3" s="28"/>
      <c r="EXK3" s="28"/>
      <c r="EXL3" s="28"/>
      <c r="EXM3" s="28"/>
      <c r="EXN3" s="28"/>
      <c r="EXO3" s="28"/>
      <c r="EXP3" s="28"/>
      <c r="EXQ3" s="28"/>
      <c r="EXR3" s="28"/>
      <c r="EXS3" s="28"/>
      <c r="EXT3" s="28"/>
      <c r="EXU3" s="28"/>
      <c r="EXV3" s="28"/>
      <c r="EXW3" s="28"/>
      <c r="EXX3" s="28"/>
      <c r="EXY3" s="28"/>
      <c r="EXZ3" s="28"/>
      <c r="EYA3" s="28"/>
      <c r="EYB3" s="28"/>
      <c r="EYC3" s="28"/>
      <c r="EYD3" s="28"/>
      <c r="EYE3" s="28"/>
      <c r="EYF3" s="28"/>
      <c r="EYG3" s="28"/>
      <c r="EYH3" s="28"/>
      <c r="EYI3" s="28"/>
      <c r="EYJ3" s="28"/>
      <c r="EYK3" s="28"/>
      <c r="EYL3" s="28"/>
      <c r="EYM3" s="28"/>
      <c r="EYN3" s="28"/>
      <c r="EYO3" s="28"/>
      <c r="EYP3" s="28"/>
      <c r="EYQ3" s="28"/>
      <c r="EYR3" s="28"/>
      <c r="EYS3" s="28"/>
      <c r="EYT3" s="28"/>
      <c r="EYU3" s="28"/>
      <c r="EYV3" s="28"/>
      <c r="EYW3" s="28"/>
      <c r="EYX3" s="28"/>
      <c r="EYY3" s="28"/>
      <c r="EYZ3" s="28"/>
      <c r="EZA3" s="28"/>
      <c r="EZB3" s="28"/>
      <c r="EZC3" s="28"/>
      <c r="EZD3" s="28"/>
      <c r="EZE3" s="28"/>
      <c r="EZF3" s="28"/>
      <c r="EZG3" s="28"/>
      <c r="EZH3" s="28"/>
      <c r="EZI3" s="28"/>
      <c r="EZJ3" s="28"/>
      <c r="EZK3" s="28"/>
      <c r="EZL3" s="28"/>
      <c r="EZM3" s="28"/>
      <c r="EZN3" s="28"/>
      <c r="EZO3" s="28"/>
      <c r="EZP3" s="28"/>
      <c r="EZQ3" s="28"/>
      <c r="EZR3" s="28"/>
      <c r="EZS3" s="28"/>
      <c r="EZT3" s="28"/>
      <c r="EZU3" s="28"/>
      <c r="EZV3" s="28"/>
      <c r="EZW3" s="28"/>
      <c r="EZX3" s="28"/>
      <c r="EZY3" s="28"/>
      <c r="EZZ3" s="28"/>
      <c r="FAA3" s="28"/>
      <c r="FAB3" s="28"/>
      <c r="FAC3" s="28"/>
      <c r="FAD3" s="28"/>
      <c r="FAE3" s="28"/>
      <c r="FAF3" s="28"/>
      <c r="FAG3" s="28"/>
      <c r="FAH3" s="28"/>
      <c r="FAI3" s="28"/>
      <c r="FAJ3" s="28"/>
      <c r="FAK3" s="28"/>
      <c r="FAL3" s="28"/>
      <c r="FAM3" s="28"/>
      <c r="FAN3" s="28"/>
      <c r="FAO3" s="28"/>
      <c r="FAP3" s="28"/>
      <c r="FAQ3" s="28"/>
      <c r="FAR3" s="28"/>
      <c r="FAS3" s="28"/>
      <c r="FAT3" s="28"/>
      <c r="FAU3" s="28"/>
      <c r="FAV3" s="28"/>
      <c r="FAW3" s="28"/>
      <c r="FAX3" s="28"/>
      <c r="FAY3" s="28"/>
      <c r="FAZ3" s="28"/>
      <c r="FBA3" s="28"/>
      <c r="FBB3" s="28"/>
      <c r="FBC3" s="28"/>
      <c r="FBD3" s="28"/>
      <c r="FBE3" s="28"/>
      <c r="FBF3" s="28"/>
      <c r="FBG3" s="28"/>
      <c r="FBH3" s="28"/>
      <c r="FBI3" s="28"/>
      <c r="FBJ3" s="28"/>
      <c r="FBK3" s="28"/>
      <c r="FBL3" s="28"/>
      <c r="FBM3" s="28"/>
      <c r="FBN3" s="28"/>
      <c r="FBO3" s="28"/>
      <c r="FBP3" s="28"/>
      <c r="FBQ3" s="28"/>
      <c r="FBR3" s="28"/>
      <c r="FBS3" s="28"/>
      <c r="FBT3" s="28"/>
      <c r="FBU3" s="28"/>
      <c r="FBV3" s="28"/>
      <c r="FBW3" s="28"/>
      <c r="FBX3" s="28"/>
      <c r="FBY3" s="28"/>
      <c r="FBZ3" s="28"/>
      <c r="FCA3" s="28"/>
      <c r="FCB3" s="28"/>
      <c r="FCC3" s="28"/>
      <c r="FCD3" s="28"/>
      <c r="FCE3" s="28"/>
      <c r="FCF3" s="28"/>
      <c r="FCG3" s="28"/>
      <c r="FCH3" s="28"/>
      <c r="FCI3" s="28"/>
      <c r="FCJ3" s="28"/>
      <c r="FCK3" s="28"/>
      <c r="FCL3" s="28"/>
      <c r="FCM3" s="28"/>
      <c r="FCN3" s="28"/>
      <c r="FCO3" s="28"/>
      <c r="FCP3" s="28"/>
      <c r="FCQ3" s="28"/>
      <c r="FCR3" s="28"/>
      <c r="FCS3" s="28"/>
      <c r="FCT3" s="28"/>
      <c r="FCU3" s="28"/>
      <c r="FCV3" s="28"/>
      <c r="FCW3" s="28"/>
      <c r="FCX3" s="28"/>
      <c r="FCY3" s="28"/>
      <c r="FCZ3" s="28"/>
      <c r="FDA3" s="28"/>
      <c r="FDB3" s="28"/>
      <c r="FDC3" s="28"/>
      <c r="FDD3" s="28"/>
      <c r="FDE3" s="28"/>
      <c r="FDF3" s="28"/>
      <c r="FDG3" s="28"/>
      <c r="FDH3" s="28"/>
      <c r="FDI3" s="28"/>
      <c r="FDJ3" s="28"/>
      <c r="FDK3" s="28"/>
      <c r="FDL3" s="28"/>
      <c r="FDM3" s="28"/>
      <c r="FDN3" s="28"/>
      <c r="FDO3" s="28"/>
      <c r="FDP3" s="28"/>
      <c r="FDQ3" s="28"/>
      <c r="FDR3" s="28"/>
      <c r="FDS3" s="28"/>
      <c r="FDT3" s="28"/>
      <c r="FDU3" s="28"/>
      <c r="FDV3" s="28"/>
      <c r="FDW3" s="28"/>
      <c r="FDX3" s="28"/>
      <c r="FDY3" s="28"/>
      <c r="FDZ3" s="28"/>
      <c r="FEA3" s="28"/>
      <c r="FEB3" s="28"/>
      <c r="FEC3" s="28"/>
      <c r="FED3" s="28"/>
      <c r="FEE3" s="28"/>
      <c r="FEF3" s="28"/>
      <c r="FEG3" s="28"/>
      <c r="FEH3" s="28"/>
      <c r="FEI3" s="28"/>
      <c r="FEJ3" s="28"/>
      <c r="FEK3" s="28"/>
      <c r="FEL3" s="28"/>
      <c r="FEM3" s="28"/>
      <c r="FEN3" s="28"/>
      <c r="FEO3" s="28"/>
      <c r="FEP3" s="28"/>
      <c r="FEQ3" s="28"/>
      <c r="FER3" s="28"/>
      <c r="FES3" s="28"/>
      <c r="FET3" s="28"/>
      <c r="FEU3" s="28"/>
      <c r="FEV3" s="28"/>
      <c r="FEW3" s="28"/>
      <c r="FEX3" s="28"/>
      <c r="FEY3" s="28"/>
      <c r="FEZ3" s="28"/>
      <c r="FFA3" s="28"/>
      <c r="FFB3" s="28"/>
      <c r="FFC3" s="28"/>
      <c r="FFD3" s="28"/>
      <c r="FFE3" s="28"/>
      <c r="FFF3" s="28"/>
      <c r="FFG3" s="28"/>
      <c r="FFH3" s="28"/>
      <c r="FFI3" s="28"/>
      <c r="FFJ3" s="28"/>
      <c r="FFK3" s="28"/>
      <c r="FFL3" s="28"/>
      <c r="FFM3" s="28"/>
      <c r="FFN3" s="28"/>
      <c r="FFO3" s="28"/>
      <c r="FFP3" s="28"/>
      <c r="FFQ3" s="28"/>
      <c r="FFR3" s="28"/>
      <c r="FFS3" s="28"/>
      <c r="FFT3" s="28"/>
      <c r="FFU3" s="28"/>
      <c r="FFV3" s="28"/>
      <c r="FFW3" s="28"/>
      <c r="FFX3" s="28"/>
      <c r="FFY3" s="28"/>
      <c r="FFZ3" s="28"/>
      <c r="FGA3" s="28"/>
      <c r="FGB3" s="28"/>
      <c r="FGC3" s="28"/>
      <c r="FGD3" s="28"/>
      <c r="FGE3" s="28"/>
      <c r="FGF3" s="28"/>
      <c r="FGG3" s="28"/>
      <c r="FGH3" s="28"/>
      <c r="FGI3" s="28"/>
      <c r="FGJ3" s="28"/>
      <c r="FGK3" s="28"/>
      <c r="FGL3" s="28"/>
      <c r="FGM3" s="28"/>
      <c r="FGN3" s="28"/>
      <c r="FGO3" s="28"/>
      <c r="FGP3" s="28"/>
      <c r="FGQ3" s="28"/>
      <c r="FGR3" s="28"/>
      <c r="FGS3" s="28"/>
      <c r="FGT3" s="28"/>
      <c r="FGU3" s="28"/>
      <c r="FGV3" s="28"/>
      <c r="FGW3" s="28"/>
      <c r="FGX3" s="28"/>
      <c r="FGY3" s="28"/>
      <c r="FGZ3" s="28"/>
      <c r="FHA3" s="28"/>
      <c r="FHB3" s="28"/>
      <c r="FHC3" s="28"/>
      <c r="FHD3" s="28"/>
      <c r="FHE3" s="28"/>
      <c r="FHF3" s="28"/>
      <c r="FHG3" s="28"/>
      <c r="FHH3" s="28"/>
      <c r="FHI3" s="28"/>
      <c r="FHJ3" s="28"/>
      <c r="FHK3" s="28"/>
      <c r="FHL3" s="28"/>
      <c r="FHM3" s="28"/>
      <c r="FHN3" s="28"/>
      <c r="FHO3" s="28"/>
      <c r="FHP3" s="28"/>
      <c r="FHQ3" s="28"/>
      <c r="FHR3" s="28"/>
      <c r="FHS3" s="28"/>
      <c r="FHT3" s="28"/>
      <c r="FHU3" s="28"/>
      <c r="FHV3" s="28"/>
      <c r="FHW3" s="28"/>
      <c r="FHX3" s="28"/>
      <c r="FHY3" s="28"/>
      <c r="FHZ3" s="28"/>
      <c r="FIA3" s="28"/>
      <c r="FIB3" s="28"/>
      <c r="FIC3" s="28"/>
      <c r="FID3" s="28"/>
      <c r="FIE3" s="28"/>
      <c r="FIF3" s="28"/>
      <c r="FIG3" s="28"/>
      <c r="FIH3" s="28"/>
      <c r="FII3" s="28"/>
      <c r="FIJ3" s="28"/>
      <c r="FIK3" s="28"/>
      <c r="FIL3" s="28"/>
      <c r="FIM3" s="28"/>
      <c r="FIN3" s="28"/>
      <c r="FIO3" s="28"/>
      <c r="FIP3" s="28"/>
      <c r="FIQ3" s="28"/>
      <c r="FIR3" s="28"/>
      <c r="FIS3" s="28"/>
      <c r="FIT3" s="28"/>
      <c r="FIU3" s="28"/>
      <c r="FIV3" s="28"/>
      <c r="FIW3" s="28"/>
      <c r="FIX3" s="28"/>
      <c r="FIY3" s="28"/>
      <c r="FIZ3" s="28"/>
      <c r="FJA3" s="28"/>
      <c r="FJB3" s="28"/>
      <c r="FJC3" s="28"/>
      <c r="FJD3" s="28"/>
      <c r="FJE3" s="28"/>
      <c r="FJF3" s="28"/>
      <c r="FJG3" s="28"/>
      <c r="FJH3" s="28"/>
      <c r="FJI3" s="28"/>
      <c r="FJJ3" s="28"/>
      <c r="FJK3" s="28"/>
      <c r="FJL3" s="28"/>
      <c r="FJM3" s="28"/>
      <c r="FJN3" s="28"/>
      <c r="FJO3" s="28"/>
      <c r="FJP3" s="28"/>
      <c r="FJQ3" s="28"/>
      <c r="FJR3" s="28"/>
      <c r="FJS3" s="28"/>
      <c r="FJT3" s="28"/>
      <c r="FJU3" s="28"/>
      <c r="FJV3" s="28"/>
      <c r="FJW3" s="28"/>
      <c r="FJX3" s="28"/>
      <c r="FJY3" s="28"/>
      <c r="FJZ3" s="28"/>
      <c r="FKA3" s="28"/>
      <c r="FKB3" s="28"/>
      <c r="FKC3" s="28"/>
      <c r="FKD3" s="28"/>
      <c r="FKE3" s="28"/>
      <c r="FKF3" s="28"/>
      <c r="FKG3" s="28"/>
      <c r="FKH3" s="28"/>
      <c r="FKI3" s="28"/>
      <c r="FKJ3" s="28"/>
      <c r="FKK3" s="28"/>
      <c r="FKL3" s="28"/>
      <c r="FKM3" s="28"/>
      <c r="FKN3" s="28"/>
      <c r="FKO3" s="28"/>
      <c r="FKP3" s="28"/>
      <c r="FKQ3" s="28"/>
      <c r="FKR3" s="28"/>
      <c r="FKS3" s="28"/>
      <c r="FKT3" s="28"/>
      <c r="FKU3" s="28"/>
      <c r="FKV3" s="28"/>
      <c r="FKW3" s="28"/>
      <c r="FKX3" s="28"/>
      <c r="FKY3" s="28"/>
      <c r="FKZ3" s="28"/>
      <c r="FLA3" s="28"/>
      <c r="FLB3" s="28"/>
      <c r="FLC3" s="28"/>
      <c r="FLD3" s="28"/>
      <c r="FLE3" s="28"/>
      <c r="FLF3" s="28"/>
      <c r="FLG3" s="28"/>
      <c r="FLH3" s="28"/>
      <c r="FLI3" s="28"/>
      <c r="FLJ3" s="28"/>
      <c r="FLK3" s="28"/>
      <c r="FLL3" s="28"/>
      <c r="FLM3" s="28"/>
      <c r="FLN3" s="28"/>
      <c r="FLO3" s="28"/>
      <c r="FLP3" s="28"/>
      <c r="FLQ3" s="28"/>
      <c r="FLR3" s="28"/>
      <c r="FLS3" s="28"/>
      <c r="FLT3" s="28"/>
      <c r="FLU3" s="28"/>
      <c r="FLV3" s="28"/>
      <c r="FLW3" s="28"/>
      <c r="FLX3" s="28"/>
      <c r="FLY3" s="28"/>
      <c r="FLZ3" s="28"/>
      <c r="FMA3" s="28"/>
      <c r="FMB3" s="28"/>
      <c r="FMC3" s="28"/>
      <c r="FMD3" s="28"/>
      <c r="FME3" s="28"/>
      <c r="FMF3" s="28"/>
      <c r="FMG3" s="28"/>
      <c r="FMH3" s="28"/>
      <c r="FMI3" s="28"/>
      <c r="FMJ3" s="28"/>
      <c r="FMK3" s="28"/>
      <c r="FML3" s="28"/>
      <c r="FMM3" s="28"/>
      <c r="FMN3" s="28"/>
      <c r="FMO3" s="28"/>
      <c r="FMP3" s="28"/>
      <c r="FMQ3" s="28"/>
      <c r="FMR3" s="28"/>
      <c r="FMS3" s="28"/>
      <c r="FMT3" s="28"/>
      <c r="FMU3" s="28"/>
      <c r="FMV3" s="28"/>
      <c r="FMW3" s="28"/>
      <c r="FMX3" s="28"/>
      <c r="FMY3" s="28"/>
      <c r="FMZ3" s="28"/>
      <c r="FNA3" s="28"/>
      <c r="FNB3" s="28"/>
      <c r="FNC3" s="28"/>
      <c r="FND3" s="28"/>
      <c r="FNE3" s="28"/>
      <c r="FNF3" s="28"/>
      <c r="FNG3" s="28"/>
      <c r="FNH3" s="28"/>
      <c r="FNI3" s="28"/>
      <c r="FNJ3" s="28"/>
      <c r="FNK3" s="28"/>
      <c r="FNL3" s="28"/>
      <c r="FNM3" s="28"/>
      <c r="FNN3" s="28"/>
      <c r="FNO3" s="28"/>
      <c r="FNP3" s="28"/>
      <c r="FNQ3" s="28"/>
      <c r="FNR3" s="28"/>
      <c r="FNS3" s="28"/>
      <c r="FNT3" s="28"/>
      <c r="FNU3" s="28"/>
      <c r="FNV3" s="28"/>
      <c r="FNW3" s="28"/>
      <c r="FNX3" s="28"/>
      <c r="FNY3" s="28"/>
      <c r="FNZ3" s="28"/>
      <c r="FOA3" s="28"/>
      <c r="FOB3" s="28"/>
      <c r="FOC3" s="28"/>
      <c r="FOD3" s="28"/>
      <c r="FOE3" s="28"/>
      <c r="FOF3" s="28"/>
      <c r="FOG3" s="28"/>
      <c r="FOH3" s="28"/>
      <c r="FOI3" s="28"/>
      <c r="FOJ3" s="28"/>
      <c r="FOK3" s="28"/>
      <c r="FOL3" s="28"/>
      <c r="FOM3" s="28"/>
      <c r="FON3" s="28"/>
      <c r="FOO3" s="28"/>
      <c r="FOP3" s="28"/>
      <c r="FOQ3" s="28"/>
      <c r="FOR3" s="28"/>
      <c r="FOS3" s="28"/>
      <c r="FOT3" s="28"/>
      <c r="FOU3" s="28"/>
      <c r="FOV3" s="28"/>
      <c r="FOW3" s="28"/>
      <c r="FOX3" s="28"/>
      <c r="FOY3" s="28"/>
      <c r="FOZ3" s="28"/>
      <c r="FPA3" s="28"/>
      <c r="FPB3" s="28"/>
      <c r="FPC3" s="28"/>
      <c r="FPD3" s="28"/>
      <c r="FPE3" s="28"/>
      <c r="FPF3" s="28"/>
      <c r="FPG3" s="28"/>
      <c r="FPH3" s="28"/>
      <c r="FPI3" s="28"/>
      <c r="FPJ3" s="28"/>
      <c r="FPK3" s="28"/>
      <c r="FPL3" s="28"/>
      <c r="FPM3" s="28"/>
      <c r="FPN3" s="28"/>
      <c r="FPO3" s="28"/>
      <c r="FPP3" s="28"/>
      <c r="FPQ3" s="28"/>
      <c r="FPR3" s="28"/>
      <c r="FPS3" s="28"/>
      <c r="FPT3" s="28"/>
      <c r="FPU3" s="28"/>
      <c r="FPV3" s="28"/>
      <c r="FPW3" s="28"/>
      <c r="FPX3" s="28"/>
      <c r="FPY3" s="28"/>
      <c r="FPZ3" s="28"/>
      <c r="FQA3" s="28"/>
      <c r="FQB3" s="28"/>
      <c r="FQC3" s="28"/>
      <c r="FQD3" s="28"/>
      <c r="FQE3" s="28"/>
      <c r="FQF3" s="28"/>
      <c r="FQG3" s="28"/>
      <c r="FQH3" s="28"/>
      <c r="FQI3" s="28"/>
      <c r="FQJ3" s="28"/>
      <c r="FQK3" s="28"/>
      <c r="FQL3" s="28"/>
      <c r="FQM3" s="28"/>
      <c r="FQN3" s="28"/>
      <c r="FQO3" s="28"/>
      <c r="FQP3" s="28"/>
      <c r="FQQ3" s="28"/>
      <c r="FQR3" s="28"/>
      <c r="FQS3" s="28"/>
      <c r="FQT3" s="28"/>
      <c r="FQU3" s="28"/>
      <c r="FQV3" s="28"/>
      <c r="FQW3" s="28"/>
      <c r="FQX3" s="28"/>
      <c r="FQY3" s="28"/>
      <c r="FQZ3" s="28"/>
      <c r="FRA3" s="28"/>
      <c r="FRB3" s="28"/>
      <c r="FRC3" s="28"/>
      <c r="FRD3" s="28"/>
      <c r="FRE3" s="28"/>
      <c r="FRF3" s="28"/>
      <c r="FRG3" s="28"/>
      <c r="FRH3" s="28"/>
      <c r="FRI3" s="28"/>
      <c r="FRJ3" s="28"/>
      <c r="FRK3" s="28"/>
      <c r="FRL3" s="28"/>
      <c r="FRM3" s="28"/>
      <c r="FRN3" s="28"/>
      <c r="FRO3" s="28"/>
      <c r="FRP3" s="28"/>
      <c r="FRQ3" s="28"/>
      <c r="FRR3" s="28"/>
      <c r="FRS3" s="28"/>
      <c r="FRT3" s="28"/>
      <c r="FRU3" s="28"/>
      <c r="FRV3" s="28"/>
      <c r="FRW3" s="28"/>
      <c r="FRX3" s="28"/>
      <c r="FRY3" s="28"/>
      <c r="FRZ3" s="28"/>
      <c r="FSA3" s="28"/>
      <c r="FSB3" s="28"/>
      <c r="FSC3" s="28"/>
      <c r="FSD3" s="28"/>
      <c r="FSE3" s="28"/>
      <c r="FSF3" s="28"/>
      <c r="FSG3" s="28"/>
      <c r="FSH3" s="28"/>
      <c r="FSI3" s="28"/>
      <c r="FSJ3" s="28"/>
      <c r="FSK3" s="28"/>
      <c r="FSL3" s="28"/>
      <c r="FSM3" s="28"/>
      <c r="FSN3" s="28"/>
      <c r="FSO3" s="28"/>
      <c r="FSP3" s="28"/>
      <c r="FSQ3" s="28"/>
      <c r="FSR3" s="28"/>
      <c r="FSS3" s="28"/>
      <c r="FST3" s="28"/>
      <c r="FSU3" s="28"/>
      <c r="FSV3" s="28"/>
      <c r="FSW3" s="28"/>
      <c r="FSX3" s="28"/>
      <c r="FSY3" s="28"/>
      <c r="FSZ3" s="28"/>
      <c r="FTA3" s="28"/>
      <c r="FTB3" s="28"/>
      <c r="FTC3" s="28"/>
      <c r="FTD3" s="28"/>
      <c r="FTE3" s="28"/>
      <c r="FTF3" s="28"/>
      <c r="FTG3" s="28"/>
      <c r="FTH3" s="28"/>
      <c r="FTI3" s="28"/>
      <c r="FTJ3" s="28"/>
      <c r="FTK3" s="28"/>
      <c r="FTL3" s="28"/>
      <c r="FTM3" s="28"/>
      <c r="FTN3" s="28"/>
      <c r="FTO3" s="28"/>
      <c r="FTP3" s="28"/>
      <c r="FTQ3" s="28"/>
      <c r="FTR3" s="28"/>
      <c r="FTS3" s="28"/>
      <c r="FTT3" s="28"/>
      <c r="FTU3" s="28"/>
      <c r="FTV3" s="28"/>
      <c r="FTW3" s="28"/>
      <c r="FTX3" s="28"/>
      <c r="FTY3" s="28"/>
      <c r="FTZ3" s="28"/>
      <c r="FUA3" s="28"/>
      <c r="FUB3" s="28"/>
      <c r="FUC3" s="28"/>
      <c r="FUD3" s="28"/>
      <c r="FUE3" s="28"/>
      <c r="FUF3" s="28"/>
      <c r="FUG3" s="28"/>
      <c r="FUH3" s="28"/>
      <c r="FUI3" s="28"/>
      <c r="FUJ3" s="28"/>
      <c r="FUK3" s="28"/>
      <c r="FUL3" s="28"/>
      <c r="FUM3" s="28"/>
      <c r="FUN3" s="28"/>
      <c r="FUO3" s="28"/>
      <c r="FUP3" s="28"/>
      <c r="FUQ3" s="28"/>
      <c r="FUR3" s="28"/>
      <c r="FUS3" s="28"/>
      <c r="FUT3" s="28"/>
      <c r="FUU3" s="28"/>
      <c r="FUV3" s="28"/>
      <c r="FUW3" s="28"/>
      <c r="FUX3" s="28"/>
      <c r="FUY3" s="28"/>
      <c r="FUZ3" s="28"/>
      <c r="FVA3" s="28"/>
      <c r="FVB3" s="28"/>
      <c r="FVC3" s="28"/>
      <c r="FVD3" s="28"/>
      <c r="FVE3" s="28"/>
      <c r="FVF3" s="28"/>
      <c r="FVG3" s="28"/>
      <c r="FVH3" s="28"/>
      <c r="FVI3" s="28"/>
      <c r="FVJ3" s="28"/>
      <c r="FVK3" s="28"/>
      <c r="FVL3" s="28"/>
      <c r="FVM3" s="28"/>
      <c r="FVN3" s="28"/>
      <c r="FVO3" s="28"/>
      <c r="FVP3" s="28"/>
      <c r="FVQ3" s="28"/>
      <c r="FVR3" s="28"/>
      <c r="FVS3" s="28"/>
      <c r="FVT3" s="28"/>
      <c r="FVU3" s="28"/>
      <c r="FVV3" s="28"/>
      <c r="FVW3" s="28"/>
      <c r="FVX3" s="28"/>
      <c r="FVY3" s="28"/>
      <c r="FVZ3" s="28"/>
      <c r="FWA3" s="28"/>
      <c r="FWB3" s="28"/>
      <c r="FWC3" s="28"/>
      <c r="FWD3" s="28"/>
      <c r="FWE3" s="28"/>
      <c r="FWF3" s="28"/>
      <c r="FWG3" s="28"/>
      <c r="FWH3" s="28"/>
      <c r="FWI3" s="28"/>
      <c r="FWJ3" s="28"/>
      <c r="FWK3" s="28"/>
      <c r="FWL3" s="28"/>
      <c r="FWM3" s="28"/>
      <c r="FWN3" s="28"/>
      <c r="FWO3" s="28"/>
      <c r="FWP3" s="28"/>
      <c r="FWQ3" s="28"/>
      <c r="FWR3" s="28"/>
      <c r="FWS3" s="28"/>
      <c r="FWT3" s="28"/>
      <c r="FWU3" s="28"/>
      <c r="FWV3" s="28"/>
      <c r="FWW3" s="28"/>
      <c r="FWX3" s="28"/>
      <c r="FWY3" s="28"/>
      <c r="FWZ3" s="28"/>
      <c r="FXA3" s="28"/>
      <c r="FXB3" s="28"/>
      <c r="FXC3" s="28"/>
      <c r="FXD3" s="28"/>
      <c r="FXE3" s="28"/>
      <c r="FXF3" s="28"/>
      <c r="FXG3" s="28"/>
      <c r="FXH3" s="28"/>
      <c r="FXI3" s="28"/>
      <c r="FXJ3" s="28"/>
      <c r="FXK3" s="28"/>
      <c r="FXL3" s="28"/>
      <c r="FXM3" s="28"/>
      <c r="FXN3" s="28"/>
      <c r="FXO3" s="28"/>
      <c r="FXP3" s="28"/>
      <c r="FXQ3" s="28"/>
      <c r="FXR3" s="28"/>
      <c r="FXS3" s="28"/>
      <c r="FXT3" s="28"/>
      <c r="FXU3" s="28"/>
      <c r="FXV3" s="28"/>
      <c r="FXW3" s="28"/>
      <c r="FXX3" s="28"/>
      <c r="FXY3" s="28"/>
      <c r="FXZ3" s="28"/>
      <c r="FYA3" s="28"/>
      <c r="FYB3" s="28"/>
      <c r="FYC3" s="28"/>
      <c r="FYD3" s="28"/>
      <c r="FYE3" s="28"/>
      <c r="FYF3" s="28"/>
      <c r="FYG3" s="28"/>
      <c r="FYH3" s="28"/>
      <c r="FYI3" s="28"/>
      <c r="FYJ3" s="28"/>
      <c r="FYK3" s="28"/>
      <c r="FYL3" s="28"/>
      <c r="FYM3" s="28"/>
      <c r="FYN3" s="28"/>
      <c r="FYO3" s="28"/>
      <c r="FYP3" s="28"/>
      <c r="FYQ3" s="28"/>
      <c r="FYR3" s="28"/>
      <c r="FYS3" s="28"/>
      <c r="FYT3" s="28"/>
      <c r="FYU3" s="28"/>
      <c r="FYV3" s="28"/>
      <c r="FYW3" s="28"/>
      <c r="FYX3" s="28"/>
      <c r="FYY3" s="28"/>
      <c r="FYZ3" s="28"/>
      <c r="FZA3" s="28"/>
      <c r="FZB3" s="28"/>
      <c r="FZC3" s="28"/>
      <c r="FZD3" s="28"/>
      <c r="FZE3" s="28"/>
      <c r="FZF3" s="28"/>
      <c r="FZG3" s="28"/>
      <c r="FZH3" s="28"/>
      <c r="FZI3" s="28"/>
      <c r="FZJ3" s="28"/>
      <c r="FZK3" s="28"/>
      <c r="FZL3" s="28"/>
      <c r="FZM3" s="28"/>
      <c r="FZN3" s="28"/>
      <c r="FZO3" s="28"/>
      <c r="FZP3" s="28"/>
      <c r="FZQ3" s="28"/>
      <c r="FZR3" s="28"/>
      <c r="FZS3" s="28"/>
      <c r="FZT3" s="28"/>
      <c r="FZU3" s="28"/>
      <c r="FZV3" s="28"/>
      <c r="FZW3" s="28"/>
      <c r="FZX3" s="28"/>
      <c r="FZY3" s="28"/>
      <c r="FZZ3" s="28"/>
      <c r="GAA3" s="28"/>
      <c r="GAB3" s="28"/>
      <c r="GAC3" s="28"/>
      <c r="GAD3" s="28"/>
      <c r="GAE3" s="28"/>
      <c r="GAF3" s="28"/>
      <c r="GAG3" s="28"/>
      <c r="GAH3" s="28"/>
      <c r="GAI3" s="28"/>
      <c r="GAJ3" s="28"/>
      <c r="GAK3" s="28"/>
      <c r="GAL3" s="28"/>
      <c r="GAM3" s="28"/>
      <c r="GAN3" s="28"/>
      <c r="GAO3" s="28"/>
      <c r="GAP3" s="28"/>
      <c r="GAQ3" s="28"/>
      <c r="GAR3" s="28"/>
      <c r="GAS3" s="28"/>
      <c r="GAT3" s="28"/>
      <c r="GAU3" s="28"/>
      <c r="GAV3" s="28"/>
      <c r="GAW3" s="28"/>
      <c r="GAX3" s="28"/>
      <c r="GAY3" s="28"/>
      <c r="GAZ3" s="28"/>
      <c r="GBA3" s="28"/>
      <c r="GBB3" s="28"/>
      <c r="GBC3" s="28"/>
      <c r="GBD3" s="28"/>
      <c r="GBE3" s="28"/>
      <c r="GBF3" s="28"/>
      <c r="GBG3" s="28"/>
      <c r="GBH3" s="28"/>
      <c r="GBI3" s="28"/>
      <c r="GBJ3" s="28"/>
      <c r="GBK3" s="28"/>
      <c r="GBL3" s="28"/>
      <c r="GBM3" s="28"/>
      <c r="GBN3" s="28"/>
      <c r="GBO3" s="28"/>
      <c r="GBP3" s="28"/>
      <c r="GBQ3" s="28"/>
      <c r="GBR3" s="28"/>
      <c r="GBS3" s="28"/>
      <c r="GBT3" s="28"/>
      <c r="GBU3" s="28"/>
      <c r="GBV3" s="28"/>
      <c r="GBW3" s="28"/>
      <c r="GBX3" s="28"/>
      <c r="GBY3" s="28"/>
      <c r="GBZ3" s="28"/>
      <c r="GCA3" s="28"/>
      <c r="GCB3" s="28"/>
      <c r="GCC3" s="28"/>
      <c r="GCD3" s="28"/>
      <c r="GCE3" s="28"/>
      <c r="GCF3" s="28"/>
      <c r="GCG3" s="28"/>
      <c r="GCH3" s="28"/>
      <c r="GCI3" s="28"/>
      <c r="GCJ3" s="28"/>
      <c r="GCK3" s="28"/>
      <c r="GCL3" s="28"/>
      <c r="GCM3" s="28"/>
      <c r="GCN3" s="28"/>
      <c r="GCO3" s="28"/>
      <c r="GCP3" s="28"/>
      <c r="GCQ3" s="28"/>
      <c r="GCR3" s="28"/>
      <c r="GCS3" s="28"/>
      <c r="GCT3" s="28"/>
      <c r="GCU3" s="28"/>
      <c r="GCV3" s="28"/>
      <c r="GCW3" s="28"/>
      <c r="GCX3" s="28"/>
      <c r="GCY3" s="28"/>
      <c r="GCZ3" s="28"/>
      <c r="GDA3" s="28"/>
      <c r="GDB3" s="28"/>
      <c r="GDC3" s="28"/>
      <c r="GDD3" s="28"/>
      <c r="GDE3" s="28"/>
      <c r="GDF3" s="28"/>
      <c r="GDG3" s="28"/>
      <c r="GDH3" s="28"/>
      <c r="GDI3" s="28"/>
      <c r="GDJ3" s="28"/>
      <c r="GDK3" s="28"/>
      <c r="GDL3" s="28"/>
      <c r="GDM3" s="28"/>
      <c r="GDN3" s="28"/>
      <c r="GDO3" s="28"/>
      <c r="GDP3" s="28"/>
      <c r="GDQ3" s="28"/>
      <c r="GDR3" s="28"/>
      <c r="GDS3" s="28"/>
      <c r="GDT3" s="28"/>
      <c r="GDU3" s="28"/>
      <c r="GDV3" s="28"/>
      <c r="GDW3" s="28"/>
      <c r="GDX3" s="28"/>
      <c r="GDY3" s="28"/>
      <c r="GDZ3" s="28"/>
      <c r="GEA3" s="28"/>
      <c r="GEB3" s="28"/>
      <c r="GEC3" s="28"/>
      <c r="GED3" s="28"/>
      <c r="GEE3" s="28"/>
      <c r="GEF3" s="28"/>
      <c r="GEG3" s="28"/>
      <c r="GEH3" s="28"/>
      <c r="GEI3" s="28"/>
      <c r="GEJ3" s="28"/>
      <c r="GEK3" s="28"/>
      <c r="GEL3" s="28"/>
      <c r="GEM3" s="28"/>
      <c r="GEN3" s="28"/>
      <c r="GEO3" s="28"/>
      <c r="GEP3" s="28"/>
      <c r="GEQ3" s="28"/>
      <c r="GER3" s="28"/>
      <c r="GES3" s="28"/>
      <c r="GET3" s="28"/>
      <c r="GEU3" s="28"/>
      <c r="GEV3" s="28"/>
      <c r="GEW3" s="28"/>
      <c r="GEX3" s="28"/>
      <c r="GEY3" s="28"/>
      <c r="GEZ3" s="28"/>
      <c r="GFA3" s="28"/>
      <c r="GFB3" s="28"/>
      <c r="GFC3" s="28"/>
      <c r="GFD3" s="28"/>
      <c r="GFE3" s="28"/>
      <c r="GFF3" s="28"/>
      <c r="GFG3" s="28"/>
      <c r="GFH3" s="28"/>
      <c r="GFI3" s="28"/>
      <c r="GFJ3" s="28"/>
      <c r="GFK3" s="28"/>
      <c r="GFL3" s="28"/>
      <c r="GFM3" s="28"/>
      <c r="GFN3" s="28"/>
      <c r="GFO3" s="28"/>
      <c r="GFP3" s="28"/>
      <c r="GFQ3" s="28"/>
      <c r="GFR3" s="28"/>
      <c r="GFS3" s="28"/>
      <c r="GFT3" s="28"/>
      <c r="GFU3" s="28"/>
      <c r="GFV3" s="28"/>
      <c r="GFW3" s="28"/>
      <c r="GFX3" s="28"/>
      <c r="GFY3" s="28"/>
      <c r="GFZ3" s="28"/>
      <c r="GGA3" s="28"/>
      <c r="GGB3" s="28"/>
      <c r="GGC3" s="28"/>
      <c r="GGD3" s="28"/>
      <c r="GGE3" s="28"/>
      <c r="GGF3" s="28"/>
      <c r="GGG3" s="28"/>
      <c r="GGH3" s="28"/>
      <c r="GGI3" s="28"/>
      <c r="GGJ3" s="28"/>
      <c r="GGK3" s="28"/>
      <c r="GGL3" s="28"/>
      <c r="GGM3" s="28"/>
      <c r="GGN3" s="28"/>
      <c r="GGO3" s="28"/>
      <c r="GGP3" s="28"/>
      <c r="GGQ3" s="28"/>
      <c r="GGR3" s="28"/>
      <c r="GGS3" s="28"/>
      <c r="GGT3" s="28"/>
      <c r="GGU3" s="28"/>
      <c r="GGV3" s="28"/>
      <c r="GGW3" s="28"/>
      <c r="GGX3" s="28"/>
      <c r="GGY3" s="28"/>
      <c r="GGZ3" s="28"/>
      <c r="GHA3" s="28"/>
      <c r="GHB3" s="28"/>
      <c r="GHC3" s="28"/>
      <c r="GHD3" s="28"/>
      <c r="GHE3" s="28"/>
      <c r="GHF3" s="28"/>
      <c r="GHG3" s="28"/>
      <c r="GHH3" s="28"/>
      <c r="GHI3" s="28"/>
      <c r="GHJ3" s="28"/>
      <c r="GHK3" s="28"/>
      <c r="GHL3" s="28"/>
      <c r="GHM3" s="28"/>
      <c r="GHN3" s="28"/>
      <c r="GHO3" s="28"/>
      <c r="GHP3" s="28"/>
      <c r="GHQ3" s="28"/>
      <c r="GHR3" s="28"/>
      <c r="GHS3" s="28"/>
      <c r="GHT3" s="28"/>
      <c r="GHU3" s="28"/>
      <c r="GHV3" s="28"/>
      <c r="GHW3" s="28"/>
      <c r="GHX3" s="28"/>
      <c r="GHY3" s="28"/>
      <c r="GHZ3" s="28"/>
      <c r="GIA3" s="28"/>
      <c r="GIB3" s="28"/>
      <c r="GIC3" s="28"/>
      <c r="GID3" s="28"/>
      <c r="GIE3" s="28"/>
      <c r="GIF3" s="28"/>
      <c r="GIG3" s="28"/>
      <c r="GIH3" s="28"/>
      <c r="GII3" s="28"/>
      <c r="GIJ3" s="28"/>
      <c r="GIK3" s="28"/>
      <c r="GIL3" s="28"/>
      <c r="GIM3" s="28"/>
      <c r="GIN3" s="28"/>
      <c r="GIO3" s="28"/>
      <c r="GIP3" s="28"/>
      <c r="GIQ3" s="28"/>
      <c r="GIR3" s="28"/>
      <c r="GIS3" s="28"/>
      <c r="GIT3" s="28"/>
      <c r="GIU3" s="28"/>
      <c r="GIV3" s="28"/>
      <c r="GIW3" s="28"/>
      <c r="GIX3" s="28"/>
      <c r="GIY3" s="28"/>
      <c r="GIZ3" s="28"/>
      <c r="GJA3" s="28"/>
      <c r="GJB3" s="28"/>
      <c r="GJC3" s="28"/>
      <c r="GJD3" s="28"/>
      <c r="GJE3" s="28"/>
      <c r="GJF3" s="28"/>
      <c r="GJG3" s="28"/>
      <c r="GJH3" s="28"/>
      <c r="GJI3" s="28"/>
      <c r="GJJ3" s="28"/>
      <c r="GJK3" s="28"/>
      <c r="GJL3" s="28"/>
      <c r="GJM3" s="28"/>
      <c r="GJN3" s="28"/>
      <c r="GJO3" s="28"/>
      <c r="GJP3" s="28"/>
      <c r="GJQ3" s="28"/>
      <c r="GJR3" s="28"/>
      <c r="GJS3" s="28"/>
      <c r="GJT3" s="28"/>
      <c r="GJU3" s="28"/>
      <c r="GJV3" s="28"/>
      <c r="GJW3" s="28"/>
      <c r="GJX3" s="28"/>
      <c r="GJY3" s="28"/>
      <c r="GJZ3" s="28"/>
      <c r="GKA3" s="28"/>
      <c r="GKB3" s="28"/>
      <c r="GKC3" s="28"/>
      <c r="GKD3" s="28"/>
      <c r="GKE3" s="28"/>
      <c r="GKF3" s="28"/>
      <c r="GKG3" s="28"/>
      <c r="GKH3" s="28"/>
      <c r="GKI3" s="28"/>
      <c r="GKJ3" s="28"/>
      <c r="GKK3" s="28"/>
      <c r="GKL3" s="28"/>
      <c r="GKM3" s="28"/>
      <c r="GKN3" s="28"/>
      <c r="GKO3" s="28"/>
      <c r="GKP3" s="28"/>
      <c r="GKQ3" s="28"/>
      <c r="GKR3" s="28"/>
      <c r="GKS3" s="28"/>
      <c r="GKT3" s="28"/>
      <c r="GKU3" s="28"/>
      <c r="GKV3" s="28"/>
      <c r="GKW3" s="28"/>
      <c r="GKX3" s="28"/>
      <c r="GKY3" s="28"/>
      <c r="GKZ3" s="28"/>
      <c r="GLA3" s="28"/>
      <c r="GLB3" s="28"/>
      <c r="GLC3" s="28"/>
      <c r="GLD3" s="28"/>
      <c r="GLE3" s="28"/>
      <c r="GLF3" s="28"/>
      <c r="GLG3" s="28"/>
      <c r="GLH3" s="28"/>
      <c r="GLI3" s="28"/>
      <c r="GLJ3" s="28"/>
      <c r="GLK3" s="28"/>
      <c r="GLL3" s="28"/>
      <c r="GLM3" s="28"/>
      <c r="GLN3" s="28"/>
      <c r="GLO3" s="28"/>
      <c r="GLP3" s="28"/>
      <c r="GLQ3" s="28"/>
      <c r="GLR3" s="28"/>
      <c r="GLS3" s="28"/>
      <c r="GLT3" s="28"/>
      <c r="GLU3" s="28"/>
      <c r="GLV3" s="28"/>
      <c r="GLW3" s="28"/>
      <c r="GLX3" s="28"/>
      <c r="GLY3" s="28"/>
      <c r="GLZ3" s="28"/>
      <c r="GMA3" s="28"/>
      <c r="GMB3" s="28"/>
      <c r="GMC3" s="28"/>
      <c r="GMD3" s="28"/>
      <c r="GME3" s="28"/>
      <c r="GMF3" s="28"/>
      <c r="GMG3" s="28"/>
      <c r="GMH3" s="28"/>
      <c r="GMI3" s="28"/>
      <c r="GMJ3" s="28"/>
      <c r="GMK3" s="28"/>
      <c r="GML3" s="28"/>
      <c r="GMM3" s="28"/>
      <c r="GMN3" s="28"/>
      <c r="GMO3" s="28"/>
      <c r="GMP3" s="28"/>
      <c r="GMQ3" s="28"/>
      <c r="GMR3" s="28"/>
      <c r="GMS3" s="28"/>
      <c r="GMT3" s="28"/>
      <c r="GMU3" s="28"/>
      <c r="GMV3" s="28"/>
      <c r="GMW3" s="28"/>
      <c r="GMX3" s="28"/>
      <c r="GMY3" s="28"/>
      <c r="GMZ3" s="28"/>
      <c r="GNA3" s="28"/>
      <c r="GNB3" s="28"/>
      <c r="GNC3" s="28"/>
      <c r="GND3" s="28"/>
      <c r="GNE3" s="28"/>
      <c r="GNF3" s="28"/>
      <c r="GNG3" s="28"/>
      <c r="GNH3" s="28"/>
      <c r="GNI3" s="28"/>
      <c r="GNJ3" s="28"/>
      <c r="GNK3" s="28"/>
      <c r="GNL3" s="28"/>
      <c r="GNM3" s="28"/>
      <c r="GNN3" s="28"/>
      <c r="GNO3" s="28"/>
      <c r="GNP3" s="28"/>
      <c r="GNQ3" s="28"/>
      <c r="GNR3" s="28"/>
      <c r="GNS3" s="28"/>
      <c r="GNT3" s="28"/>
      <c r="GNU3" s="28"/>
      <c r="GNV3" s="28"/>
      <c r="GNW3" s="28"/>
      <c r="GNX3" s="28"/>
      <c r="GNY3" s="28"/>
      <c r="GNZ3" s="28"/>
      <c r="GOA3" s="28"/>
      <c r="GOB3" s="28"/>
      <c r="GOC3" s="28"/>
      <c r="GOD3" s="28"/>
      <c r="GOE3" s="28"/>
      <c r="GOF3" s="28"/>
      <c r="GOG3" s="28"/>
      <c r="GOH3" s="28"/>
      <c r="GOI3" s="28"/>
      <c r="GOJ3" s="28"/>
      <c r="GOK3" s="28"/>
      <c r="GOL3" s="28"/>
      <c r="GOM3" s="28"/>
      <c r="GON3" s="28"/>
      <c r="GOO3" s="28"/>
      <c r="GOP3" s="28"/>
      <c r="GOQ3" s="28"/>
      <c r="GOR3" s="28"/>
      <c r="GOS3" s="28"/>
      <c r="GOT3" s="28"/>
      <c r="GOU3" s="28"/>
      <c r="GOV3" s="28"/>
      <c r="GOW3" s="28"/>
      <c r="GOX3" s="28"/>
      <c r="GOY3" s="28"/>
      <c r="GOZ3" s="28"/>
      <c r="GPA3" s="28"/>
      <c r="GPB3" s="28"/>
      <c r="GPC3" s="28"/>
      <c r="GPD3" s="28"/>
      <c r="GPE3" s="28"/>
      <c r="GPF3" s="28"/>
      <c r="GPG3" s="28"/>
      <c r="GPH3" s="28"/>
      <c r="GPI3" s="28"/>
      <c r="GPJ3" s="28"/>
      <c r="GPK3" s="28"/>
      <c r="GPL3" s="28"/>
      <c r="GPM3" s="28"/>
      <c r="GPN3" s="28"/>
      <c r="GPO3" s="28"/>
      <c r="GPP3" s="28"/>
      <c r="GPQ3" s="28"/>
      <c r="GPR3" s="28"/>
      <c r="GPS3" s="28"/>
      <c r="GPT3" s="28"/>
      <c r="GPU3" s="28"/>
      <c r="GPV3" s="28"/>
      <c r="GPW3" s="28"/>
      <c r="GPX3" s="28"/>
      <c r="GPY3" s="28"/>
      <c r="GPZ3" s="28"/>
      <c r="GQA3" s="28"/>
      <c r="GQB3" s="28"/>
      <c r="GQC3" s="28"/>
      <c r="GQD3" s="28"/>
      <c r="GQE3" s="28"/>
      <c r="GQF3" s="28"/>
      <c r="GQG3" s="28"/>
      <c r="GQH3" s="28"/>
      <c r="GQI3" s="28"/>
      <c r="GQJ3" s="28"/>
      <c r="GQK3" s="28"/>
      <c r="GQL3" s="28"/>
      <c r="GQM3" s="28"/>
      <c r="GQN3" s="28"/>
      <c r="GQO3" s="28"/>
      <c r="GQP3" s="28"/>
      <c r="GQQ3" s="28"/>
      <c r="GQR3" s="28"/>
      <c r="GQS3" s="28"/>
      <c r="GQT3" s="28"/>
      <c r="GQU3" s="28"/>
      <c r="GQV3" s="28"/>
      <c r="GQW3" s="28"/>
      <c r="GQX3" s="28"/>
      <c r="GQY3" s="28"/>
      <c r="GQZ3" s="28"/>
      <c r="GRA3" s="28"/>
      <c r="GRB3" s="28"/>
      <c r="GRC3" s="28"/>
      <c r="GRD3" s="28"/>
      <c r="GRE3" s="28"/>
      <c r="GRF3" s="28"/>
      <c r="GRG3" s="28"/>
      <c r="GRH3" s="28"/>
      <c r="GRI3" s="28"/>
      <c r="GRJ3" s="28"/>
      <c r="GRK3" s="28"/>
      <c r="GRL3" s="28"/>
      <c r="GRM3" s="28"/>
      <c r="GRN3" s="28"/>
      <c r="GRO3" s="28"/>
      <c r="GRP3" s="28"/>
      <c r="GRQ3" s="28"/>
      <c r="GRR3" s="28"/>
      <c r="GRS3" s="28"/>
      <c r="GRT3" s="28"/>
      <c r="GRU3" s="28"/>
      <c r="GRV3" s="28"/>
      <c r="GRW3" s="28"/>
      <c r="GRX3" s="28"/>
      <c r="GRY3" s="28"/>
      <c r="GRZ3" s="28"/>
      <c r="GSA3" s="28"/>
      <c r="GSB3" s="28"/>
      <c r="GSC3" s="28"/>
      <c r="GSD3" s="28"/>
      <c r="GSE3" s="28"/>
      <c r="GSF3" s="28"/>
      <c r="GSG3" s="28"/>
      <c r="GSH3" s="28"/>
      <c r="GSI3" s="28"/>
      <c r="GSJ3" s="28"/>
      <c r="GSK3" s="28"/>
      <c r="GSL3" s="28"/>
      <c r="GSM3" s="28"/>
      <c r="GSN3" s="28"/>
      <c r="GSO3" s="28"/>
      <c r="GSP3" s="28"/>
      <c r="GSQ3" s="28"/>
      <c r="GSR3" s="28"/>
      <c r="GSS3" s="28"/>
      <c r="GST3" s="28"/>
      <c r="GSU3" s="28"/>
      <c r="GSV3" s="28"/>
      <c r="GSW3" s="28"/>
      <c r="GSX3" s="28"/>
      <c r="GSY3" s="28"/>
      <c r="GSZ3" s="28"/>
      <c r="GTA3" s="28"/>
      <c r="GTB3" s="28"/>
      <c r="GTC3" s="28"/>
      <c r="GTD3" s="28"/>
      <c r="GTE3" s="28"/>
      <c r="GTF3" s="28"/>
      <c r="GTG3" s="28"/>
      <c r="GTH3" s="28"/>
      <c r="GTI3" s="28"/>
      <c r="GTJ3" s="28"/>
      <c r="GTK3" s="28"/>
      <c r="GTL3" s="28"/>
      <c r="GTM3" s="28"/>
      <c r="GTN3" s="28"/>
      <c r="GTO3" s="28"/>
      <c r="GTP3" s="28"/>
      <c r="GTQ3" s="28"/>
      <c r="GTR3" s="28"/>
      <c r="GTS3" s="28"/>
      <c r="GTT3" s="28"/>
      <c r="GTU3" s="28"/>
      <c r="GTV3" s="28"/>
      <c r="GTW3" s="28"/>
      <c r="GTX3" s="28"/>
      <c r="GTY3" s="28"/>
      <c r="GTZ3" s="28"/>
      <c r="GUA3" s="28"/>
      <c r="GUB3" s="28"/>
      <c r="GUC3" s="28"/>
      <c r="GUD3" s="28"/>
      <c r="GUE3" s="28"/>
      <c r="GUF3" s="28"/>
      <c r="GUG3" s="28"/>
      <c r="GUH3" s="28"/>
      <c r="GUI3" s="28"/>
      <c r="GUJ3" s="28"/>
      <c r="GUK3" s="28"/>
      <c r="GUL3" s="28"/>
      <c r="GUM3" s="28"/>
      <c r="GUN3" s="28"/>
      <c r="GUO3" s="28"/>
      <c r="GUP3" s="28"/>
      <c r="GUQ3" s="28"/>
      <c r="GUR3" s="28"/>
      <c r="GUS3" s="28"/>
      <c r="GUT3" s="28"/>
      <c r="GUU3" s="28"/>
      <c r="GUV3" s="28"/>
      <c r="GUW3" s="28"/>
      <c r="GUX3" s="28"/>
      <c r="GUY3" s="28"/>
      <c r="GUZ3" s="28"/>
      <c r="GVA3" s="28"/>
      <c r="GVB3" s="28"/>
      <c r="GVC3" s="28"/>
      <c r="GVD3" s="28"/>
      <c r="GVE3" s="28"/>
      <c r="GVF3" s="28"/>
      <c r="GVG3" s="28"/>
      <c r="GVH3" s="28"/>
      <c r="GVI3" s="28"/>
      <c r="GVJ3" s="28"/>
      <c r="GVK3" s="28"/>
      <c r="GVL3" s="28"/>
      <c r="GVM3" s="28"/>
      <c r="GVN3" s="28"/>
      <c r="GVO3" s="28"/>
      <c r="GVP3" s="28"/>
      <c r="GVQ3" s="28"/>
      <c r="GVR3" s="28"/>
      <c r="GVS3" s="28"/>
      <c r="GVT3" s="28"/>
      <c r="GVU3" s="28"/>
      <c r="GVV3" s="28"/>
      <c r="GVW3" s="28"/>
      <c r="GVX3" s="28"/>
      <c r="GVY3" s="28"/>
      <c r="GVZ3" s="28"/>
      <c r="GWA3" s="28"/>
      <c r="GWB3" s="28"/>
      <c r="GWC3" s="28"/>
      <c r="GWD3" s="28"/>
      <c r="GWE3" s="28"/>
      <c r="GWF3" s="28"/>
      <c r="GWG3" s="28"/>
      <c r="GWH3" s="28"/>
      <c r="GWI3" s="28"/>
      <c r="GWJ3" s="28"/>
      <c r="GWK3" s="28"/>
      <c r="GWL3" s="28"/>
      <c r="GWM3" s="28"/>
      <c r="GWN3" s="28"/>
      <c r="GWO3" s="28"/>
      <c r="GWP3" s="28"/>
      <c r="GWQ3" s="28"/>
      <c r="GWR3" s="28"/>
      <c r="GWS3" s="28"/>
      <c r="GWT3" s="28"/>
      <c r="GWU3" s="28"/>
      <c r="GWV3" s="28"/>
      <c r="GWW3" s="28"/>
      <c r="GWX3" s="28"/>
      <c r="GWY3" s="28"/>
      <c r="GWZ3" s="28"/>
      <c r="GXA3" s="28"/>
      <c r="GXB3" s="28"/>
      <c r="GXC3" s="28"/>
      <c r="GXD3" s="28"/>
      <c r="GXE3" s="28"/>
      <c r="GXF3" s="28"/>
      <c r="GXG3" s="28"/>
      <c r="GXH3" s="28"/>
      <c r="GXI3" s="28"/>
      <c r="GXJ3" s="28"/>
      <c r="GXK3" s="28"/>
      <c r="GXL3" s="28"/>
      <c r="GXM3" s="28"/>
      <c r="GXN3" s="28"/>
      <c r="GXO3" s="28"/>
      <c r="GXP3" s="28"/>
      <c r="GXQ3" s="28"/>
      <c r="GXR3" s="28"/>
      <c r="GXS3" s="28"/>
      <c r="GXT3" s="28"/>
      <c r="GXU3" s="28"/>
      <c r="GXV3" s="28"/>
      <c r="GXW3" s="28"/>
      <c r="GXX3" s="28"/>
      <c r="GXY3" s="28"/>
      <c r="GXZ3" s="28"/>
      <c r="GYA3" s="28"/>
      <c r="GYB3" s="28"/>
      <c r="GYC3" s="28"/>
      <c r="GYD3" s="28"/>
      <c r="GYE3" s="28"/>
      <c r="GYF3" s="28"/>
      <c r="GYG3" s="28"/>
      <c r="GYH3" s="28"/>
      <c r="GYI3" s="28"/>
      <c r="GYJ3" s="28"/>
      <c r="GYK3" s="28"/>
      <c r="GYL3" s="28"/>
      <c r="GYM3" s="28"/>
      <c r="GYN3" s="28"/>
      <c r="GYO3" s="28"/>
      <c r="GYP3" s="28"/>
      <c r="GYQ3" s="28"/>
      <c r="GYR3" s="28"/>
      <c r="GYS3" s="28"/>
      <c r="GYT3" s="28"/>
      <c r="GYU3" s="28"/>
      <c r="GYV3" s="28"/>
      <c r="GYW3" s="28"/>
      <c r="GYX3" s="28"/>
      <c r="GYY3" s="28"/>
      <c r="GYZ3" s="28"/>
      <c r="GZA3" s="28"/>
      <c r="GZB3" s="28"/>
      <c r="GZC3" s="28"/>
      <c r="GZD3" s="28"/>
      <c r="GZE3" s="28"/>
      <c r="GZF3" s="28"/>
      <c r="GZG3" s="28"/>
      <c r="GZH3" s="28"/>
      <c r="GZI3" s="28"/>
      <c r="GZJ3" s="28"/>
      <c r="GZK3" s="28"/>
      <c r="GZL3" s="28"/>
      <c r="GZM3" s="28"/>
      <c r="GZN3" s="28"/>
      <c r="GZO3" s="28"/>
      <c r="GZP3" s="28"/>
      <c r="GZQ3" s="28"/>
      <c r="GZR3" s="28"/>
      <c r="GZS3" s="28"/>
      <c r="GZT3" s="28"/>
      <c r="GZU3" s="28"/>
      <c r="GZV3" s="28"/>
      <c r="GZW3" s="28"/>
      <c r="GZX3" s="28"/>
      <c r="GZY3" s="28"/>
      <c r="GZZ3" s="28"/>
      <c r="HAA3" s="28"/>
      <c r="HAB3" s="28"/>
      <c r="HAC3" s="28"/>
      <c r="HAD3" s="28"/>
      <c r="HAE3" s="28"/>
      <c r="HAF3" s="28"/>
      <c r="HAG3" s="28"/>
      <c r="HAH3" s="28"/>
      <c r="HAI3" s="28"/>
      <c r="HAJ3" s="28"/>
      <c r="HAK3" s="28"/>
      <c r="HAL3" s="28"/>
      <c r="HAM3" s="28"/>
      <c r="HAN3" s="28"/>
      <c r="HAO3" s="28"/>
      <c r="HAP3" s="28"/>
      <c r="HAQ3" s="28"/>
      <c r="HAR3" s="28"/>
      <c r="HAS3" s="28"/>
      <c r="HAT3" s="28"/>
      <c r="HAU3" s="28"/>
      <c r="HAV3" s="28"/>
      <c r="HAW3" s="28"/>
      <c r="HAX3" s="28"/>
      <c r="HAY3" s="28"/>
      <c r="HAZ3" s="28"/>
      <c r="HBA3" s="28"/>
      <c r="HBB3" s="28"/>
      <c r="HBC3" s="28"/>
      <c r="HBD3" s="28"/>
      <c r="HBE3" s="28"/>
      <c r="HBF3" s="28"/>
      <c r="HBG3" s="28"/>
      <c r="HBH3" s="28"/>
      <c r="HBI3" s="28"/>
      <c r="HBJ3" s="28"/>
      <c r="HBK3" s="28"/>
      <c r="HBL3" s="28"/>
      <c r="HBM3" s="28"/>
      <c r="HBN3" s="28"/>
      <c r="HBO3" s="28"/>
      <c r="HBP3" s="28"/>
      <c r="HBQ3" s="28"/>
      <c r="HBR3" s="28"/>
      <c r="HBS3" s="28"/>
      <c r="HBT3" s="28"/>
      <c r="HBU3" s="28"/>
      <c r="HBV3" s="28"/>
      <c r="HBW3" s="28"/>
      <c r="HBX3" s="28"/>
      <c r="HBY3" s="28"/>
      <c r="HBZ3" s="28"/>
      <c r="HCA3" s="28"/>
      <c r="HCB3" s="28"/>
      <c r="HCC3" s="28"/>
      <c r="HCD3" s="28"/>
      <c r="HCE3" s="28"/>
      <c r="HCF3" s="28"/>
      <c r="HCG3" s="28"/>
      <c r="HCH3" s="28"/>
      <c r="HCI3" s="28"/>
      <c r="HCJ3" s="28"/>
      <c r="HCK3" s="28"/>
      <c r="HCL3" s="28"/>
      <c r="HCM3" s="28"/>
      <c r="HCN3" s="28"/>
      <c r="HCO3" s="28"/>
      <c r="HCP3" s="28"/>
      <c r="HCQ3" s="28"/>
      <c r="HCR3" s="28"/>
      <c r="HCS3" s="28"/>
      <c r="HCT3" s="28"/>
      <c r="HCU3" s="28"/>
      <c r="HCV3" s="28"/>
      <c r="HCW3" s="28"/>
      <c r="HCX3" s="28"/>
      <c r="HCY3" s="28"/>
      <c r="HCZ3" s="28"/>
      <c r="HDA3" s="28"/>
      <c r="HDB3" s="28"/>
      <c r="HDC3" s="28"/>
      <c r="HDD3" s="28"/>
      <c r="HDE3" s="28"/>
      <c r="HDF3" s="28"/>
      <c r="HDG3" s="28"/>
      <c r="HDH3" s="28"/>
      <c r="HDI3" s="28"/>
      <c r="HDJ3" s="28"/>
      <c r="HDK3" s="28"/>
      <c r="HDL3" s="28"/>
      <c r="HDM3" s="28"/>
      <c r="HDN3" s="28"/>
      <c r="HDO3" s="28"/>
      <c r="HDP3" s="28"/>
      <c r="HDQ3" s="28"/>
      <c r="HDR3" s="28"/>
      <c r="HDS3" s="28"/>
      <c r="HDT3" s="28"/>
      <c r="HDU3" s="28"/>
      <c r="HDV3" s="28"/>
      <c r="HDW3" s="28"/>
      <c r="HDX3" s="28"/>
      <c r="HDY3" s="28"/>
      <c r="HDZ3" s="28"/>
      <c r="HEA3" s="28"/>
      <c r="HEB3" s="28"/>
      <c r="HEC3" s="28"/>
      <c r="HED3" s="28"/>
      <c r="HEE3" s="28"/>
      <c r="HEF3" s="28"/>
      <c r="HEG3" s="28"/>
      <c r="HEH3" s="28"/>
      <c r="HEI3" s="28"/>
      <c r="HEJ3" s="28"/>
      <c r="HEK3" s="28"/>
      <c r="HEL3" s="28"/>
      <c r="HEM3" s="28"/>
      <c r="HEN3" s="28"/>
      <c r="HEO3" s="28"/>
      <c r="HEP3" s="28"/>
      <c r="HEQ3" s="28"/>
      <c r="HER3" s="28"/>
      <c r="HES3" s="28"/>
      <c r="HET3" s="28"/>
      <c r="HEU3" s="28"/>
      <c r="HEV3" s="28"/>
      <c r="HEW3" s="28"/>
      <c r="HEX3" s="28"/>
      <c r="HEY3" s="28"/>
      <c r="HEZ3" s="28"/>
      <c r="HFA3" s="28"/>
      <c r="HFB3" s="28"/>
      <c r="HFC3" s="28"/>
      <c r="HFD3" s="28"/>
      <c r="HFE3" s="28"/>
      <c r="HFF3" s="28"/>
      <c r="HFG3" s="28"/>
      <c r="HFH3" s="28"/>
      <c r="HFI3" s="28"/>
      <c r="HFJ3" s="28"/>
      <c r="HFK3" s="28"/>
      <c r="HFL3" s="28"/>
      <c r="HFM3" s="28"/>
      <c r="HFN3" s="28"/>
      <c r="HFO3" s="28"/>
      <c r="HFP3" s="28"/>
      <c r="HFQ3" s="28"/>
      <c r="HFR3" s="28"/>
      <c r="HFS3" s="28"/>
      <c r="HFT3" s="28"/>
      <c r="HFU3" s="28"/>
      <c r="HFV3" s="28"/>
      <c r="HFW3" s="28"/>
      <c r="HFX3" s="28"/>
      <c r="HFY3" s="28"/>
      <c r="HFZ3" s="28"/>
      <c r="HGA3" s="28"/>
      <c r="HGB3" s="28"/>
      <c r="HGC3" s="28"/>
      <c r="HGD3" s="28"/>
      <c r="HGE3" s="28"/>
      <c r="HGF3" s="28"/>
      <c r="HGG3" s="28"/>
      <c r="HGH3" s="28"/>
      <c r="HGI3" s="28"/>
      <c r="HGJ3" s="28"/>
      <c r="HGK3" s="28"/>
      <c r="HGL3" s="28"/>
      <c r="HGM3" s="28"/>
      <c r="HGN3" s="28"/>
      <c r="HGO3" s="28"/>
      <c r="HGP3" s="28"/>
      <c r="HGQ3" s="28"/>
      <c r="HGR3" s="28"/>
      <c r="HGS3" s="28"/>
      <c r="HGT3" s="28"/>
      <c r="HGU3" s="28"/>
      <c r="HGV3" s="28"/>
      <c r="HGW3" s="28"/>
      <c r="HGX3" s="28"/>
      <c r="HGY3" s="28"/>
      <c r="HGZ3" s="28"/>
      <c r="HHA3" s="28"/>
      <c r="HHB3" s="28"/>
      <c r="HHC3" s="28"/>
      <c r="HHD3" s="28"/>
      <c r="HHE3" s="28"/>
      <c r="HHF3" s="28"/>
      <c r="HHG3" s="28"/>
      <c r="HHH3" s="28"/>
      <c r="HHI3" s="28"/>
      <c r="HHJ3" s="28"/>
      <c r="HHK3" s="28"/>
      <c r="HHL3" s="28"/>
      <c r="HHM3" s="28"/>
      <c r="HHN3" s="28"/>
      <c r="HHO3" s="28"/>
      <c r="HHP3" s="28"/>
      <c r="HHQ3" s="28"/>
      <c r="HHR3" s="28"/>
      <c r="HHS3" s="28"/>
      <c r="HHT3" s="28"/>
      <c r="HHU3" s="28"/>
      <c r="HHV3" s="28"/>
      <c r="HHW3" s="28"/>
      <c r="HHX3" s="28"/>
      <c r="HHY3" s="28"/>
      <c r="HHZ3" s="28"/>
      <c r="HIA3" s="28"/>
      <c r="HIB3" s="28"/>
      <c r="HIC3" s="28"/>
      <c r="HID3" s="28"/>
      <c r="HIE3" s="28"/>
      <c r="HIF3" s="28"/>
      <c r="HIG3" s="28"/>
      <c r="HIH3" s="28"/>
      <c r="HII3" s="28"/>
      <c r="HIJ3" s="28"/>
      <c r="HIK3" s="28"/>
      <c r="HIL3" s="28"/>
      <c r="HIM3" s="28"/>
      <c r="HIN3" s="28"/>
      <c r="HIO3" s="28"/>
      <c r="HIP3" s="28"/>
      <c r="HIQ3" s="28"/>
      <c r="HIR3" s="28"/>
      <c r="HIS3" s="28"/>
      <c r="HIT3" s="28"/>
      <c r="HIU3" s="28"/>
      <c r="HIV3" s="28"/>
      <c r="HIW3" s="28"/>
      <c r="HIX3" s="28"/>
      <c r="HIY3" s="28"/>
      <c r="HIZ3" s="28"/>
      <c r="HJA3" s="28"/>
      <c r="HJB3" s="28"/>
      <c r="HJC3" s="28"/>
      <c r="HJD3" s="28"/>
      <c r="HJE3" s="28"/>
      <c r="HJF3" s="28"/>
      <c r="HJG3" s="28"/>
      <c r="HJH3" s="28"/>
      <c r="HJI3" s="28"/>
      <c r="HJJ3" s="28"/>
      <c r="HJK3" s="28"/>
      <c r="HJL3" s="28"/>
      <c r="HJM3" s="28"/>
      <c r="HJN3" s="28"/>
      <c r="HJO3" s="28"/>
      <c r="HJP3" s="28"/>
      <c r="HJQ3" s="28"/>
      <c r="HJR3" s="28"/>
      <c r="HJS3" s="28"/>
      <c r="HJT3" s="28"/>
      <c r="HJU3" s="28"/>
      <c r="HJV3" s="28"/>
      <c r="HJW3" s="28"/>
      <c r="HJX3" s="28"/>
      <c r="HJY3" s="28"/>
      <c r="HJZ3" s="28"/>
      <c r="HKA3" s="28"/>
      <c r="HKB3" s="28"/>
      <c r="HKC3" s="28"/>
      <c r="HKD3" s="28"/>
      <c r="HKE3" s="28"/>
      <c r="HKF3" s="28"/>
      <c r="HKG3" s="28"/>
      <c r="HKH3" s="28"/>
      <c r="HKI3" s="28"/>
      <c r="HKJ3" s="28"/>
      <c r="HKK3" s="28"/>
      <c r="HKL3" s="28"/>
      <c r="HKM3" s="28"/>
      <c r="HKN3" s="28"/>
      <c r="HKO3" s="28"/>
      <c r="HKP3" s="28"/>
      <c r="HKQ3" s="28"/>
      <c r="HKR3" s="28"/>
      <c r="HKS3" s="28"/>
      <c r="HKT3" s="28"/>
      <c r="HKU3" s="28"/>
      <c r="HKV3" s="28"/>
      <c r="HKW3" s="28"/>
      <c r="HKX3" s="28"/>
      <c r="HKY3" s="28"/>
      <c r="HKZ3" s="28"/>
      <c r="HLA3" s="28"/>
      <c r="HLB3" s="28"/>
      <c r="HLC3" s="28"/>
      <c r="HLD3" s="28"/>
      <c r="HLE3" s="28"/>
      <c r="HLF3" s="28"/>
      <c r="HLG3" s="28"/>
      <c r="HLH3" s="28"/>
      <c r="HLI3" s="28"/>
      <c r="HLJ3" s="28"/>
      <c r="HLK3" s="28"/>
      <c r="HLL3" s="28"/>
      <c r="HLM3" s="28"/>
      <c r="HLN3" s="28"/>
      <c r="HLO3" s="28"/>
      <c r="HLP3" s="28"/>
      <c r="HLQ3" s="28"/>
      <c r="HLR3" s="28"/>
      <c r="HLS3" s="28"/>
      <c r="HLT3" s="28"/>
      <c r="HLU3" s="28"/>
      <c r="HLV3" s="28"/>
      <c r="HLW3" s="28"/>
      <c r="HLX3" s="28"/>
      <c r="HLY3" s="28"/>
      <c r="HLZ3" s="28"/>
      <c r="HMA3" s="28"/>
      <c r="HMB3" s="28"/>
      <c r="HMC3" s="28"/>
      <c r="HMD3" s="28"/>
      <c r="HME3" s="28"/>
      <c r="HMF3" s="28"/>
      <c r="HMG3" s="28"/>
      <c r="HMH3" s="28"/>
      <c r="HMI3" s="28"/>
      <c r="HMJ3" s="28"/>
      <c r="HMK3" s="28"/>
      <c r="HML3" s="28"/>
      <c r="HMM3" s="28"/>
      <c r="HMN3" s="28"/>
      <c r="HMO3" s="28"/>
      <c r="HMP3" s="28"/>
      <c r="HMQ3" s="28"/>
      <c r="HMR3" s="28"/>
      <c r="HMS3" s="28"/>
      <c r="HMT3" s="28"/>
      <c r="HMU3" s="28"/>
      <c r="HMV3" s="28"/>
      <c r="HMW3" s="28"/>
      <c r="HMX3" s="28"/>
      <c r="HMY3" s="28"/>
      <c r="HMZ3" s="28"/>
      <c r="HNA3" s="28"/>
      <c r="HNB3" s="28"/>
      <c r="HNC3" s="28"/>
      <c r="HND3" s="28"/>
      <c r="HNE3" s="28"/>
      <c r="HNF3" s="28"/>
      <c r="HNG3" s="28"/>
      <c r="HNH3" s="28"/>
      <c r="HNI3" s="28"/>
      <c r="HNJ3" s="28"/>
      <c r="HNK3" s="28"/>
      <c r="HNL3" s="28"/>
      <c r="HNM3" s="28"/>
      <c r="HNN3" s="28"/>
      <c r="HNO3" s="28"/>
      <c r="HNP3" s="28"/>
      <c r="HNQ3" s="28"/>
      <c r="HNR3" s="28"/>
      <c r="HNS3" s="28"/>
      <c r="HNT3" s="28"/>
      <c r="HNU3" s="28"/>
      <c r="HNV3" s="28"/>
      <c r="HNW3" s="28"/>
      <c r="HNX3" s="28"/>
      <c r="HNY3" s="28"/>
      <c r="HNZ3" s="28"/>
      <c r="HOA3" s="28"/>
      <c r="HOB3" s="28"/>
      <c r="HOC3" s="28"/>
      <c r="HOD3" s="28"/>
      <c r="HOE3" s="28"/>
      <c r="HOF3" s="28"/>
      <c r="HOG3" s="28"/>
      <c r="HOH3" s="28"/>
      <c r="HOI3" s="28"/>
      <c r="HOJ3" s="28"/>
      <c r="HOK3" s="28"/>
      <c r="HOL3" s="28"/>
      <c r="HOM3" s="28"/>
      <c r="HON3" s="28"/>
      <c r="HOO3" s="28"/>
      <c r="HOP3" s="28"/>
      <c r="HOQ3" s="28"/>
      <c r="HOR3" s="28"/>
      <c r="HOS3" s="28"/>
      <c r="HOT3" s="28"/>
      <c r="HOU3" s="28"/>
      <c r="HOV3" s="28"/>
      <c r="HOW3" s="28"/>
      <c r="HOX3" s="28"/>
      <c r="HOY3" s="28"/>
      <c r="HOZ3" s="28"/>
      <c r="HPA3" s="28"/>
      <c r="HPB3" s="28"/>
      <c r="HPC3" s="28"/>
      <c r="HPD3" s="28"/>
      <c r="HPE3" s="28"/>
      <c r="HPF3" s="28"/>
      <c r="HPG3" s="28"/>
      <c r="HPH3" s="28"/>
      <c r="HPI3" s="28"/>
      <c r="HPJ3" s="28"/>
      <c r="HPK3" s="28"/>
      <c r="HPL3" s="28"/>
      <c r="HPM3" s="28"/>
      <c r="HPN3" s="28"/>
      <c r="HPO3" s="28"/>
      <c r="HPP3" s="28"/>
      <c r="HPQ3" s="28"/>
      <c r="HPR3" s="28"/>
      <c r="HPS3" s="28"/>
      <c r="HPT3" s="28"/>
      <c r="HPU3" s="28"/>
      <c r="HPV3" s="28"/>
      <c r="HPW3" s="28"/>
      <c r="HPX3" s="28"/>
      <c r="HPY3" s="28"/>
      <c r="HPZ3" s="28"/>
      <c r="HQA3" s="28"/>
      <c r="HQB3" s="28"/>
      <c r="HQC3" s="28"/>
      <c r="HQD3" s="28"/>
      <c r="HQE3" s="28"/>
      <c r="HQF3" s="28"/>
      <c r="HQG3" s="28"/>
      <c r="HQH3" s="28"/>
      <c r="HQI3" s="28"/>
      <c r="HQJ3" s="28"/>
      <c r="HQK3" s="28"/>
      <c r="HQL3" s="28"/>
      <c r="HQM3" s="28"/>
      <c r="HQN3" s="28"/>
      <c r="HQO3" s="28"/>
      <c r="HQP3" s="28"/>
      <c r="HQQ3" s="28"/>
      <c r="HQR3" s="28"/>
      <c r="HQS3" s="28"/>
      <c r="HQT3" s="28"/>
      <c r="HQU3" s="28"/>
      <c r="HQV3" s="28"/>
      <c r="HQW3" s="28"/>
      <c r="HQX3" s="28"/>
      <c r="HQY3" s="28"/>
      <c r="HQZ3" s="28"/>
      <c r="HRA3" s="28"/>
      <c r="HRB3" s="28"/>
      <c r="HRC3" s="28"/>
      <c r="HRD3" s="28"/>
      <c r="HRE3" s="28"/>
      <c r="HRF3" s="28"/>
      <c r="HRG3" s="28"/>
      <c r="HRH3" s="28"/>
      <c r="HRI3" s="28"/>
      <c r="HRJ3" s="28"/>
      <c r="HRK3" s="28"/>
      <c r="HRL3" s="28"/>
      <c r="HRM3" s="28"/>
      <c r="HRN3" s="28"/>
      <c r="HRO3" s="28"/>
      <c r="HRP3" s="28"/>
      <c r="HRQ3" s="28"/>
      <c r="HRR3" s="28"/>
      <c r="HRS3" s="28"/>
      <c r="HRT3" s="28"/>
      <c r="HRU3" s="28"/>
      <c r="HRV3" s="28"/>
      <c r="HRW3" s="28"/>
      <c r="HRX3" s="28"/>
      <c r="HRY3" s="28"/>
      <c r="HRZ3" s="28"/>
      <c r="HSA3" s="28"/>
      <c r="HSB3" s="28"/>
      <c r="HSC3" s="28"/>
      <c r="HSD3" s="28"/>
      <c r="HSE3" s="28"/>
      <c r="HSF3" s="28"/>
      <c r="HSG3" s="28"/>
      <c r="HSH3" s="28"/>
      <c r="HSI3" s="28"/>
      <c r="HSJ3" s="28"/>
      <c r="HSK3" s="28"/>
      <c r="HSL3" s="28"/>
      <c r="HSM3" s="28"/>
      <c r="HSN3" s="28"/>
      <c r="HSO3" s="28"/>
      <c r="HSP3" s="28"/>
      <c r="HSQ3" s="28"/>
      <c r="HSR3" s="28"/>
      <c r="HSS3" s="28"/>
      <c r="HST3" s="28"/>
      <c r="HSU3" s="28"/>
      <c r="HSV3" s="28"/>
      <c r="HSW3" s="28"/>
      <c r="HSX3" s="28"/>
      <c r="HSY3" s="28"/>
      <c r="HSZ3" s="28"/>
      <c r="HTA3" s="28"/>
      <c r="HTB3" s="28"/>
      <c r="HTC3" s="28"/>
      <c r="HTD3" s="28"/>
      <c r="HTE3" s="28"/>
      <c r="HTF3" s="28"/>
      <c r="HTG3" s="28"/>
      <c r="HTH3" s="28"/>
      <c r="HTI3" s="28"/>
      <c r="HTJ3" s="28"/>
      <c r="HTK3" s="28"/>
      <c r="HTL3" s="28"/>
      <c r="HTM3" s="28"/>
      <c r="HTN3" s="28"/>
      <c r="HTO3" s="28"/>
      <c r="HTP3" s="28"/>
      <c r="HTQ3" s="28"/>
      <c r="HTR3" s="28"/>
      <c r="HTS3" s="28"/>
      <c r="HTT3" s="28"/>
      <c r="HTU3" s="28"/>
      <c r="HTV3" s="28"/>
      <c r="HTW3" s="28"/>
      <c r="HTX3" s="28"/>
      <c r="HTY3" s="28"/>
      <c r="HTZ3" s="28"/>
      <c r="HUA3" s="28"/>
      <c r="HUB3" s="28"/>
      <c r="HUC3" s="28"/>
      <c r="HUD3" s="28"/>
      <c r="HUE3" s="28"/>
      <c r="HUF3" s="28"/>
      <c r="HUG3" s="28"/>
      <c r="HUH3" s="28"/>
      <c r="HUI3" s="28"/>
      <c r="HUJ3" s="28"/>
      <c r="HUK3" s="28"/>
      <c r="HUL3" s="28"/>
      <c r="HUM3" s="28"/>
      <c r="HUN3" s="28"/>
      <c r="HUO3" s="28"/>
      <c r="HUP3" s="28"/>
      <c r="HUQ3" s="28"/>
      <c r="HUR3" s="28"/>
      <c r="HUS3" s="28"/>
      <c r="HUT3" s="28"/>
      <c r="HUU3" s="28"/>
      <c r="HUV3" s="28"/>
      <c r="HUW3" s="28"/>
      <c r="HUX3" s="28"/>
      <c r="HUY3" s="28"/>
      <c r="HUZ3" s="28"/>
      <c r="HVA3" s="28"/>
      <c r="HVB3" s="28"/>
      <c r="HVC3" s="28"/>
      <c r="HVD3" s="28"/>
      <c r="HVE3" s="28"/>
      <c r="HVF3" s="28"/>
      <c r="HVG3" s="28"/>
      <c r="HVH3" s="28"/>
      <c r="HVI3" s="28"/>
      <c r="HVJ3" s="28"/>
      <c r="HVK3" s="28"/>
      <c r="HVL3" s="28"/>
      <c r="HVM3" s="28"/>
      <c r="HVN3" s="28"/>
      <c r="HVO3" s="28"/>
      <c r="HVP3" s="28"/>
      <c r="HVQ3" s="28"/>
      <c r="HVR3" s="28"/>
      <c r="HVS3" s="28"/>
      <c r="HVT3" s="28"/>
      <c r="HVU3" s="28"/>
      <c r="HVV3" s="28"/>
      <c r="HVW3" s="28"/>
      <c r="HVX3" s="28"/>
      <c r="HVY3" s="28"/>
      <c r="HVZ3" s="28"/>
      <c r="HWA3" s="28"/>
      <c r="HWB3" s="28"/>
      <c r="HWC3" s="28"/>
      <c r="HWD3" s="28"/>
      <c r="HWE3" s="28"/>
      <c r="HWF3" s="28"/>
      <c r="HWG3" s="28"/>
      <c r="HWH3" s="28"/>
      <c r="HWI3" s="28"/>
      <c r="HWJ3" s="28"/>
      <c r="HWK3" s="28"/>
      <c r="HWL3" s="28"/>
      <c r="HWM3" s="28"/>
      <c r="HWN3" s="28"/>
      <c r="HWO3" s="28"/>
      <c r="HWP3" s="28"/>
      <c r="HWQ3" s="28"/>
      <c r="HWR3" s="28"/>
      <c r="HWS3" s="28"/>
      <c r="HWT3" s="28"/>
      <c r="HWU3" s="28"/>
      <c r="HWV3" s="28"/>
      <c r="HWW3" s="28"/>
      <c r="HWX3" s="28"/>
      <c r="HWY3" s="28"/>
      <c r="HWZ3" s="28"/>
      <c r="HXA3" s="28"/>
      <c r="HXB3" s="28"/>
      <c r="HXC3" s="28"/>
      <c r="HXD3" s="28"/>
      <c r="HXE3" s="28"/>
      <c r="HXF3" s="28"/>
      <c r="HXG3" s="28"/>
      <c r="HXH3" s="28"/>
      <c r="HXI3" s="28"/>
      <c r="HXJ3" s="28"/>
      <c r="HXK3" s="28"/>
      <c r="HXL3" s="28"/>
      <c r="HXM3" s="28"/>
      <c r="HXN3" s="28"/>
      <c r="HXO3" s="28"/>
      <c r="HXP3" s="28"/>
      <c r="HXQ3" s="28"/>
      <c r="HXR3" s="28"/>
      <c r="HXS3" s="28"/>
      <c r="HXT3" s="28"/>
      <c r="HXU3" s="28"/>
      <c r="HXV3" s="28"/>
      <c r="HXW3" s="28"/>
      <c r="HXX3" s="28"/>
      <c r="HXY3" s="28"/>
      <c r="HXZ3" s="28"/>
      <c r="HYA3" s="28"/>
      <c r="HYB3" s="28"/>
      <c r="HYC3" s="28"/>
      <c r="HYD3" s="28"/>
      <c r="HYE3" s="28"/>
      <c r="HYF3" s="28"/>
      <c r="HYG3" s="28"/>
      <c r="HYH3" s="28"/>
      <c r="HYI3" s="28"/>
      <c r="HYJ3" s="28"/>
      <c r="HYK3" s="28"/>
      <c r="HYL3" s="28"/>
      <c r="HYM3" s="28"/>
      <c r="HYN3" s="28"/>
      <c r="HYO3" s="28"/>
      <c r="HYP3" s="28"/>
      <c r="HYQ3" s="28"/>
      <c r="HYR3" s="28"/>
      <c r="HYS3" s="28"/>
      <c r="HYT3" s="28"/>
      <c r="HYU3" s="28"/>
      <c r="HYV3" s="28"/>
      <c r="HYW3" s="28"/>
      <c r="HYX3" s="28"/>
      <c r="HYY3" s="28"/>
      <c r="HYZ3" s="28"/>
      <c r="HZA3" s="28"/>
      <c r="HZB3" s="28"/>
      <c r="HZC3" s="28"/>
      <c r="HZD3" s="28"/>
      <c r="HZE3" s="28"/>
      <c r="HZF3" s="28"/>
      <c r="HZG3" s="28"/>
      <c r="HZH3" s="28"/>
      <c r="HZI3" s="28"/>
      <c r="HZJ3" s="28"/>
      <c r="HZK3" s="28"/>
      <c r="HZL3" s="28"/>
      <c r="HZM3" s="28"/>
      <c r="HZN3" s="28"/>
      <c r="HZO3" s="28"/>
      <c r="HZP3" s="28"/>
      <c r="HZQ3" s="28"/>
      <c r="HZR3" s="28"/>
      <c r="HZS3" s="28"/>
      <c r="HZT3" s="28"/>
      <c r="HZU3" s="28"/>
      <c r="HZV3" s="28"/>
      <c r="HZW3" s="28"/>
      <c r="HZX3" s="28"/>
      <c r="HZY3" s="28"/>
      <c r="HZZ3" s="28"/>
      <c r="IAA3" s="28"/>
      <c r="IAB3" s="28"/>
      <c r="IAC3" s="28"/>
      <c r="IAD3" s="28"/>
      <c r="IAE3" s="28"/>
      <c r="IAF3" s="28"/>
      <c r="IAG3" s="28"/>
      <c r="IAH3" s="28"/>
      <c r="IAI3" s="28"/>
      <c r="IAJ3" s="28"/>
      <c r="IAK3" s="28"/>
      <c r="IAL3" s="28"/>
      <c r="IAM3" s="28"/>
      <c r="IAN3" s="28"/>
      <c r="IAO3" s="28"/>
      <c r="IAP3" s="28"/>
      <c r="IAQ3" s="28"/>
      <c r="IAR3" s="28"/>
      <c r="IAS3" s="28"/>
      <c r="IAT3" s="28"/>
      <c r="IAU3" s="28"/>
      <c r="IAV3" s="28"/>
      <c r="IAW3" s="28"/>
      <c r="IAX3" s="28"/>
      <c r="IAY3" s="28"/>
      <c r="IAZ3" s="28"/>
      <c r="IBA3" s="28"/>
      <c r="IBB3" s="28"/>
      <c r="IBC3" s="28"/>
      <c r="IBD3" s="28"/>
      <c r="IBE3" s="28"/>
      <c r="IBF3" s="28"/>
      <c r="IBG3" s="28"/>
      <c r="IBH3" s="28"/>
      <c r="IBI3" s="28"/>
      <c r="IBJ3" s="28"/>
      <c r="IBK3" s="28"/>
      <c r="IBL3" s="28"/>
      <c r="IBM3" s="28"/>
      <c r="IBN3" s="28"/>
      <c r="IBO3" s="28"/>
      <c r="IBP3" s="28"/>
      <c r="IBQ3" s="28"/>
      <c r="IBR3" s="28"/>
      <c r="IBS3" s="28"/>
      <c r="IBT3" s="28"/>
      <c r="IBU3" s="28"/>
      <c r="IBV3" s="28"/>
      <c r="IBW3" s="28"/>
      <c r="IBX3" s="28"/>
      <c r="IBY3" s="28"/>
      <c r="IBZ3" s="28"/>
      <c r="ICA3" s="28"/>
      <c r="ICB3" s="28"/>
      <c r="ICC3" s="28"/>
      <c r="ICD3" s="28"/>
      <c r="ICE3" s="28"/>
      <c r="ICF3" s="28"/>
      <c r="ICG3" s="28"/>
      <c r="ICH3" s="28"/>
      <c r="ICI3" s="28"/>
      <c r="ICJ3" s="28"/>
      <c r="ICK3" s="28"/>
      <c r="ICL3" s="28"/>
      <c r="ICM3" s="28"/>
      <c r="ICN3" s="28"/>
      <c r="ICO3" s="28"/>
      <c r="ICP3" s="28"/>
      <c r="ICQ3" s="28"/>
      <c r="ICR3" s="28"/>
      <c r="ICS3" s="28"/>
      <c r="ICT3" s="28"/>
      <c r="ICU3" s="28"/>
      <c r="ICV3" s="28"/>
      <c r="ICW3" s="28"/>
      <c r="ICX3" s="28"/>
      <c r="ICY3" s="28"/>
      <c r="ICZ3" s="28"/>
      <c r="IDA3" s="28"/>
      <c r="IDB3" s="28"/>
      <c r="IDC3" s="28"/>
      <c r="IDD3" s="28"/>
      <c r="IDE3" s="28"/>
      <c r="IDF3" s="28"/>
      <c r="IDG3" s="28"/>
      <c r="IDH3" s="28"/>
      <c r="IDI3" s="28"/>
      <c r="IDJ3" s="28"/>
      <c r="IDK3" s="28"/>
      <c r="IDL3" s="28"/>
      <c r="IDM3" s="28"/>
      <c r="IDN3" s="28"/>
      <c r="IDO3" s="28"/>
      <c r="IDP3" s="28"/>
      <c r="IDQ3" s="28"/>
      <c r="IDR3" s="28"/>
      <c r="IDS3" s="28"/>
      <c r="IDT3" s="28"/>
      <c r="IDU3" s="28"/>
      <c r="IDV3" s="28"/>
      <c r="IDW3" s="28"/>
      <c r="IDX3" s="28"/>
      <c r="IDY3" s="28"/>
      <c r="IDZ3" s="28"/>
      <c r="IEA3" s="28"/>
      <c r="IEB3" s="28"/>
      <c r="IEC3" s="28"/>
      <c r="IED3" s="28"/>
      <c r="IEE3" s="28"/>
      <c r="IEF3" s="28"/>
      <c r="IEG3" s="28"/>
      <c r="IEH3" s="28"/>
      <c r="IEI3" s="28"/>
      <c r="IEJ3" s="28"/>
      <c r="IEK3" s="28"/>
      <c r="IEL3" s="28"/>
      <c r="IEM3" s="28"/>
      <c r="IEN3" s="28"/>
      <c r="IEO3" s="28"/>
      <c r="IEP3" s="28"/>
      <c r="IEQ3" s="28"/>
      <c r="IER3" s="28"/>
      <c r="IES3" s="28"/>
      <c r="IET3" s="28"/>
      <c r="IEU3" s="28"/>
      <c r="IEV3" s="28"/>
      <c r="IEW3" s="28"/>
      <c r="IEX3" s="28"/>
      <c r="IEY3" s="28"/>
      <c r="IEZ3" s="28"/>
      <c r="IFA3" s="28"/>
      <c r="IFB3" s="28"/>
      <c r="IFC3" s="28"/>
      <c r="IFD3" s="28"/>
      <c r="IFE3" s="28"/>
      <c r="IFF3" s="28"/>
      <c r="IFG3" s="28"/>
      <c r="IFH3" s="28"/>
      <c r="IFI3" s="28"/>
      <c r="IFJ3" s="28"/>
      <c r="IFK3" s="28"/>
      <c r="IFL3" s="28"/>
      <c r="IFM3" s="28"/>
      <c r="IFN3" s="28"/>
      <c r="IFO3" s="28"/>
      <c r="IFP3" s="28"/>
      <c r="IFQ3" s="28"/>
      <c r="IFR3" s="28"/>
      <c r="IFS3" s="28"/>
      <c r="IFT3" s="28"/>
      <c r="IFU3" s="28"/>
      <c r="IFV3" s="28"/>
      <c r="IFW3" s="28"/>
      <c r="IFX3" s="28"/>
      <c r="IFY3" s="28"/>
      <c r="IFZ3" s="28"/>
      <c r="IGA3" s="28"/>
      <c r="IGB3" s="28"/>
      <c r="IGC3" s="28"/>
      <c r="IGD3" s="28"/>
      <c r="IGE3" s="28"/>
      <c r="IGF3" s="28"/>
      <c r="IGG3" s="28"/>
      <c r="IGH3" s="28"/>
      <c r="IGI3" s="28"/>
      <c r="IGJ3" s="28"/>
      <c r="IGK3" s="28"/>
      <c r="IGL3" s="28"/>
      <c r="IGM3" s="28"/>
      <c r="IGN3" s="28"/>
      <c r="IGO3" s="28"/>
      <c r="IGP3" s="28"/>
      <c r="IGQ3" s="28"/>
      <c r="IGR3" s="28"/>
      <c r="IGS3" s="28"/>
      <c r="IGT3" s="28"/>
      <c r="IGU3" s="28"/>
      <c r="IGV3" s="28"/>
      <c r="IGW3" s="28"/>
      <c r="IGX3" s="28"/>
      <c r="IGY3" s="28"/>
      <c r="IGZ3" s="28"/>
      <c r="IHA3" s="28"/>
      <c r="IHB3" s="28"/>
      <c r="IHC3" s="28"/>
      <c r="IHD3" s="28"/>
      <c r="IHE3" s="28"/>
      <c r="IHF3" s="28"/>
      <c r="IHG3" s="28"/>
      <c r="IHH3" s="28"/>
      <c r="IHI3" s="28"/>
      <c r="IHJ3" s="28"/>
      <c r="IHK3" s="28"/>
      <c r="IHL3" s="28"/>
      <c r="IHM3" s="28"/>
      <c r="IHN3" s="28"/>
      <c r="IHO3" s="28"/>
      <c r="IHP3" s="28"/>
      <c r="IHQ3" s="28"/>
      <c r="IHR3" s="28"/>
      <c r="IHS3" s="28"/>
      <c r="IHT3" s="28"/>
      <c r="IHU3" s="28"/>
      <c r="IHV3" s="28"/>
      <c r="IHW3" s="28"/>
      <c r="IHX3" s="28"/>
      <c r="IHY3" s="28"/>
      <c r="IHZ3" s="28"/>
      <c r="IIA3" s="28"/>
      <c r="IIB3" s="28"/>
      <c r="IIC3" s="28"/>
      <c r="IID3" s="28"/>
      <c r="IIE3" s="28"/>
      <c r="IIF3" s="28"/>
      <c r="IIG3" s="28"/>
      <c r="IIH3" s="28"/>
      <c r="III3" s="28"/>
      <c r="IIJ3" s="28"/>
      <c r="IIK3" s="28"/>
      <c r="IIL3" s="28"/>
      <c r="IIM3" s="28"/>
      <c r="IIN3" s="28"/>
      <c r="IIO3" s="28"/>
      <c r="IIP3" s="28"/>
      <c r="IIQ3" s="28"/>
      <c r="IIR3" s="28"/>
      <c r="IIS3" s="28"/>
      <c r="IIT3" s="28"/>
      <c r="IIU3" s="28"/>
      <c r="IIV3" s="28"/>
      <c r="IIW3" s="28"/>
      <c r="IIX3" s="28"/>
      <c r="IIY3" s="28"/>
      <c r="IIZ3" s="28"/>
      <c r="IJA3" s="28"/>
      <c r="IJB3" s="28"/>
      <c r="IJC3" s="28"/>
      <c r="IJD3" s="28"/>
      <c r="IJE3" s="28"/>
      <c r="IJF3" s="28"/>
      <c r="IJG3" s="28"/>
      <c r="IJH3" s="28"/>
      <c r="IJI3" s="28"/>
      <c r="IJJ3" s="28"/>
      <c r="IJK3" s="28"/>
      <c r="IJL3" s="28"/>
      <c r="IJM3" s="28"/>
      <c r="IJN3" s="28"/>
      <c r="IJO3" s="28"/>
      <c r="IJP3" s="28"/>
      <c r="IJQ3" s="28"/>
      <c r="IJR3" s="28"/>
      <c r="IJS3" s="28"/>
      <c r="IJT3" s="28"/>
      <c r="IJU3" s="28"/>
      <c r="IJV3" s="28"/>
      <c r="IJW3" s="28"/>
      <c r="IJX3" s="28"/>
      <c r="IJY3" s="28"/>
      <c r="IJZ3" s="28"/>
      <c r="IKA3" s="28"/>
      <c r="IKB3" s="28"/>
      <c r="IKC3" s="28"/>
      <c r="IKD3" s="28"/>
      <c r="IKE3" s="28"/>
      <c r="IKF3" s="28"/>
      <c r="IKG3" s="28"/>
      <c r="IKH3" s="28"/>
      <c r="IKI3" s="28"/>
      <c r="IKJ3" s="28"/>
      <c r="IKK3" s="28"/>
      <c r="IKL3" s="28"/>
      <c r="IKM3" s="28"/>
      <c r="IKN3" s="28"/>
      <c r="IKO3" s="28"/>
      <c r="IKP3" s="28"/>
      <c r="IKQ3" s="28"/>
      <c r="IKR3" s="28"/>
      <c r="IKS3" s="28"/>
      <c r="IKT3" s="28"/>
      <c r="IKU3" s="28"/>
      <c r="IKV3" s="28"/>
      <c r="IKW3" s="28"/>
      <c r="IKX3" s="28"/>
      <c r="IKY3" s="28"/>
      <c r="IKZ3" s="28"/>
      <c r="ILA3" s="28"/>
      <c r="ILB3" s="28"/>
      <c r="ILC3" s="28"/>
      <c r="ILD3" s="28"/>
      <c r="ILE3" s="28"/>
      <c r="ILF3" s="28"/>
      <c r="ILG3" s="28"/>
      <c r="ILH3" s="28"/>
      <c r="ILI3" s="28"/>
      <c r="ILJ3" s="28"/>
      <c r="ILK3" s="28"/>
      <c r="ILL3" s="28"/>
      <c r="ILM3" s="28"/>
      <c r="ILN3" s="28"/>
      <c r="ILO3" s="28"/>
      <c r="ILP3" s="28"/>
      <c r="ILQ3" s="28"/>
      <c r="ILR3" s="28"/>
      <c r="ILS3" s="28"/>
      <c r="ILT3" s="28"/>
      <c r="ILU3" s="28"/>
      <c r="ILV3" s="28"/>
      <c r="ILW3" s="28"/>
      <c r="ILX3" s="28"/>
      <c r="ILY3" s="28"/>
      <c r="ILZ3" s="28"/>
      <c r="IMA3" s="28"/>
      <c r="IMB3" s="28"/>
      <c r="IMC3" s="28"/>
      <c r="IMD3" s="28"/>
      <c r="IME3" s="28"/>
      <c r="IMF3" s="28"/>
      <c r="IMG3" s="28"/>
      <c r="IMH3" s="28"/>
      <c r="IMI3" s="28"/>
      <c r="IMJ3" s="28"/>
      <c r="IMK3" s="28"/>
      <c r="IML3" s="28"/>
      <c r="IMM3" s="28"/>
      <c r="IMN3" s="28"/>
      <c r="IMO3" s="28"/>
      <c r="IMP3" s="28"/>
      <c r="IMQ3" s="28"/>
      <c r="IMR3" s="28"/>
      <c r="IMS3" s="28"/>
      <c r="IMT3" s="28"/>
      <c r="IMU3" s="28"/>
      <c r="IMV3" s="28"/>
      <c r="IMW3" s="28"/>
      <c r="IMX3" s="28"/>
      <c r="IMY3" s="28"/>
      <c r="IMZ3" s="28"/>
      <c r="INA3" s="28"/>
      <c r="INB3" s="28"/>
      <c r="INC3" s="28"/>
      <c r="IND3" s="28"/>
      <c r="INE3" s="28"/>
      <c r="INF3" s="28"/>
      <c r="ING3" s="28"/>
      <c r="INH3" s="28"/>
      <c r="INI3" s="28"/>
      <c r="INJ3" s="28"/>
      <c r="INK3" s="28"/>
      <c r="INL3" s="28"/>
      <c r="INM3" s="28"/>
      <c r="INN3" s="28"/>
      <c r="INO3" s="28"/>
      <c r="INP3" s="28"/>
      <c r="INQ3" s="28"/>
      <c r="INR3" s="28"/>
      <c r="INS3" s="28"/>
      <c r="INT3" s="28"/>
      <c r="INU3" s="28"/>
      <c r="INV3" s="28"/>
      <c r="INW3" s="28"/>
      <c r="INX3" s="28"/>
      <c r="INY3" s="28"/>
      <c r="INZ3" s="28"/>
      <c r="IOA3" s="28"/>
      <c r="IOB3" s="28"/>
      <c r="IOC3" s="28"/>
      <c r="IOD3" s="28"/>
      <c r="IOE3" s="28"/>
      <c r="IOF3" s="28"/>
      <c r="IOG3" s="28"/>
      <c r="IOH3" s="28"/>
      <c r="IOI3" s="28"/>
      <c r="IOJ3" s="28"/>
      <c r="IOK3" s="28"/>
      <c r="IOL3" s="28"/>
      <c r="IOM3" s="28"/>
      <c r="ION3" s="28"/>
      <c r="IOO3" s="28"/>
      <c r="IOP3" s="28"/>
      <c r="IOQ3" s="28"/>
      <c r="IOR3" s="28"/>
      <c r="IOS3" s="28"/>
      <c r="IOT3" s="28"/>
      <c r="IOU3" s="28"/>
      <c r="IOV3" s="28"/>
      <c r="IOW3" s="28"/>
      <c r="IOX3" s="28"/>
      <c r="IOY3" s="28"/>
      <c r="IOZ3" s="28"/>
      <c r="IPA3" s="28"/>
      <c r="IPB3" s="28"/>
      <c r="IPC3" s="28"/>
      <c r="IPD3" s="28"/>
      <c r="IPE3" s="28"/>
      <c r="IPF3" s="28"/>
      <c r="IPG3" s="28"/>
      <c r="IPH3" s="28"/>
      <c r="IPI3" s="28"/>
      <c r="IPJ3" s="28"/>
      <c r="IPK3" s="28"/>
      <c r="IPL3" s="28"/>
      <c r="IPM3" s="28"/>
      <c r="IPN3" s="28"/>
      <c r="IPO3" s="28"/>
      <c r="IPP3" s="28"/>
      <c r="IPQ3" s="28"/>
      <c r="IPR3" s="28"/>
      <c r="IPS3" s="28"/>
      <c r="IPT3" s="28"/>
      <c r="IPU3" s="28"/>
      <c r="IPV3" s="28"/>
      <c r="IPW3" s="28"/>
      <c r="IPX3" s="28"/>
      <c r="IPY3" s="28"/>
      <c r="IPZ3" s="28"/>
      <c r="IQA3" s="28"/>
      <c r="IQB3" s="28"/>
      <c r="IQC3" s="28"/>
      <c r="IQD3" s="28"/>
      <c r="IQE3" s="28"/>
      <c r="IQF3" s="28"/>
      <c r="IQG3" s="28"/>
      <c r="IQH3" s="28"/>
      <c r="IQI3" s="28"/>
      <c r="IQJ3" s="28"/>
      <c r="IQK3" s="28"/>
      <c r="IQL3" s="28"/>
      <c r="IQM3" s="28"/>
      <c r="IQN3" s="28"/>
      <c r="IQO3" s="28"/>
      <c r="IQP3" s="28"/>
      <c r="IQQ3" s="28"/>
      <c r="IQR3" s="28"/>
      <c r="IQS3" s="28"/>
      <c r="IQT3" s="28"/>
      <c r="IQU3" s="28"/>
      <c r="IQV3" s="28"/>
      <c r="IQW3" s="28"/>
      <c r="IQX3" s="28"/>
      <c r="IQY3" s="28"/>
      <c r="IQZ3" s="28"/>
      <c r="IRA3" s="28"/>
      <c r="IRB3" s="28"/>
      <c r="IRC3" s="28"/>
      <c r="IRD3" s="28"/>
      <c r="IRE3" s="28"/>
      <c r="IRF3" s="28"/>
      <c r="IRG3" s="28"/>
      <c r="IRH3" s="28"/>
      <c r="IRI3" s="28"/>
      <c r="IRJ3" s="28"/>
      <c r="IRK3" s="28"/>
      <c r="IRL3" s="28"/>
      <c r="IRM3" s="28"/>
      <c r="IRN3" s="28"/>
      <c r="IRO3" s="28"/>
      <c r="IRP3" s="28"/>
      <c r="IRQ3" s="28"/>
      <c r="IRR3" s="28"/>
      <c r="IRS3" s="28"/>
      <c r="IRT3" s="28"/>
      <c r="IRU3" s="28"/>
      <c r="IRV3" s="28"/>
      <c r="IRW3" s="28"/>
      <c r="IRX3" s="28"/>
      <c r="IRY3" s="28"/>
      <c r="IRZ3" s="28"/>
      <c r="ISA3" s="28"/>
      <c r="ISB3" s="28"/>
      <c r="ISC3" s="28"/>
      <c r="ISD3" s="28"/>
      <c r="ISE3" s="28"/>
      <c r="ISF3" s="28"/>
      <c r="ISG3" s="28"/>
      <c r="ISH3" s="28"/>
      <c r="ISI3" s="28"/>
      <c r="ISJ3" s="28"/>
      <c r="ISK3" s="28"/>
      <c r="ISL3" s="28"/>
      <c r="ISM3" s="28"/>
      <c r="ISN3" s="28"/>
      <c r="ISO3" s="28"/>
      <c r="ISP3" s="28"/>
      <c r="ISQ3" s="28"/>
      <c r="ISR3" s="28"/>
      <c r="ISS3" s="28"/>
      <c r="IST3" s="28"/>
      <c r="ISU3" s="28"/>
      <c r="ISV3" s="28"/>
      <c r="ISW3" s="28"/>
      <c r="ISX3" s="28"/>
      <c r="ISY3" s="28"/>
      <c r="ISZ3" s="28"/>
      <c r="ITA3" s="28"/>
      <c r="ITB3" s="28"/>
      <c r="ITC3" s="28"/>
      <c r="ITD3" s="28"/>
      <c r="ITE3" s="28"/>
      <c r="ITF3" s="28"/>
      <c r="ITG3" s="28"/>
      <c r="ITH3" s="28"/>
      <c r="ITI3" s="28"/>
      <c r="ITJ3" s="28"/>
      <c r="ITK3" s="28"/>
      <c r="ITL3" s="28"/>
      <c r="ITM3" s="28"/>
      <c r="ITN3" s="28"/>
      <c r="ITO3" s="28"/>
      <c r="ITP3" s="28"/>
      <c r="ITQ3" s="28"/>
      <c r="ITR3" s="28"/>
      <c r="ITS3" s="28"/>
      <c r="ITT3" s="28"/>
      <c r="ITU3" s="28"/>
      <c r="ITV3" s="28"/>
      <c r="ITW3" s="28"/>
      <c r="ITX3" s="28"/>
      <c r="ITY3" s="28"/>
      <c r="ITZ3" s="28"/>
      <c r="IUA3" s="28"/>
      <c r="IUB3" s="28"/>
      <c r="IUC3" s="28"/>
      <c r="IUD3" s="28"/>
      <c r="IUE3" s="28"/>
      <c r="IUF3" s="28"/>
      <c r="IUG3" s="28"/>
      <c r="IUH3" s="28"/>
      <c r="IUI3" s="28"/>
      <c r="IUJ3" s="28"/>
      <c r="IUK3" s="28"/>
      <c r="IUL3" s="28"/>
      <c r="IUM3" s="28"/>
      <c r="IUN3" s="28"/>
      <c r="IUO3" s="28"/>
      <c r="IUP3" s="28"/>
      <c r="IUQ3" s="28"/>
      <c r="IUR3" s="28"/>
      <c r="IUS3" s="28"/>
      <c r="IUT3" s="28"/>
      <c r="IUU3" s="28"/>
      <c r="IUV3" s="28"/>
      <c r="IUW3" s="28"/>
      <c r="IUX3" s="28"/>
      <c r="IUY3" s="28"/>
      <c r="IUZ3" s="28"/>
      <c r="IVA3" s="28"/>
      <c r="IVB3" s="28"/>
      <c r="IVC3" s="28"/>
      <c r="IVD3" s="28"/>
      <c r="IVE3" s="28"/>
      <c r="IVF3" s="28"/>
      <c r="IVG3" s="28"/>
      <c r="IVH3" s="28"/>
      <c r="IVI3" s="28"/>
      <c r="IVJ3" s="28"/>
      <c r="IVK3" s="28"/>
      <c r="IVL3" s="28"/>
      <c r="IVM3" s="28"/>
      <c r="IVN3" s="28"/>
      <c r="IVO3" s="28"/>
      <c r="IVP3" s="28"/>
      <c r="IVQ3" s="28"/>
      <c r="IVR3" s="28"/>
      <c r="IVS3" s="28"/>
      <c r="IVT3" s="28"/>
      <c r="IVU3" s="28"/>
      <c r="IVV3" s="28"/>
      <c r="IVW3" s="28"/>
      <c r="IVX3" s="28"/>
      <c r="IVY3" s="28"/>
      <c r="IVZ3" s="28"/>
      <c r="IWA3" s="28"/>
      <c r="IWB3" s="28"/>
      <c r="IWC3" s="28"/>
      <c r="IWD3" s="28"/>
      <c r="IWE3" s="28"/>
      <c r="IWF3" s="28"/>
      <c r="IWG3" s="28"/>
      <c r="IWH3" s="28"/>
      <c r="IWI3" s="28"/>
      <c r="IWJ3" s="28"/>
      <c r="IWK3" s="28"/>
      <c r="IWL3" s="28"/>
      <c r="IWM3" s="28"/>
      <c r="IWN3" s="28"/>
      <c r="IWO3" s="28"/>
      <c r="IWP3" s="28"/>
      <c r="IWQ3" s="28"/>
      <c r="IWR3" s="28"/>
      <c r="IWS3" s="28"/>
      <c r="IWT3" s="28"/>
      <c r="IWU3" s="28"/>
      <c r="IWV3" s="28"/>
      <c r="IWW3" s="28"/>
      <c r="IWX3" s="28"/>
      <c r="IWY3" s="28"/>
      <c r="IWZ3" s="28"/>
      <c r="IXA3" s="28"/>
      <c r="IXB3" s="28"/>
      <c r="IXC3" s="28"/>
      <c r="IXD3" s="28"/>
      <c r="IXE3" s="28"/>
      <c r="IXF3" s="28"/>
      <c r="IXG3" s="28"/>
      <c r="IXH3" s="28"/>
      <c r="IXI3" s="28"/>
      <c r="IXJ3" s="28"/>
      <c r="IXK3" s="28"/>
      <c r="IXL3" s="28"/>
      <c r="IXM3" s="28"/>
      <c r="IXN3" s="28"/>
      <c r="IXO3" s="28"/>
      <c r="IXP3" s="28"/>
      <c r="IXQ3" s="28"/>
      <c r="IXR3" s="28"/>
      <c r="IXS3" s="28"/>
      <c r="IXT3" s="28"/>
      <c r="IXU3" s="28"/>
      <c r="IXV3" s="28"/>
      <c r="IXW3" s="28"/>
      <c r="IXX3" s="28"/>
      <c r="IXY3" s="28"/>
      <c r="IXZ3" s="28"/>
      <c r="IYA3" s="28"/>
      <c r="IYB3" s="28"/>
      <c r="IYC3" s="28"/>
      <c r="IYD3" s="28"/>
      <c r="IYE3" s="28"/>
      <c r="IYF3" s="28"/>
      <c r="IYG3" s="28"/>
      <c r="IYH3" s="28"/>
      <c r="IYI3" s="28"/>
      <c r="IYJ3" s="28"/>
      <c r="IYK3" s="28"/>
      <c r="IYL3" s="28"/>
      <c r="IYM3" s="28"/>
      <c r="IYN3" s="28"/>
      <c r="IYO3" s="28"/>
      <c r="IYP3" s="28"/>
      <c r="IYQ3" s="28"/>
      <c r="IYR3" s="28"/>
      <c r="IYS3" s="28"/>
      <c r="IYT3" s="28"/>
      <c r="IYU3" s="28"/>
      <c r="IYV3" s="28"/>
      <c r="IYW3" s="28"/>
      <c r="IYX3" s="28"/>
      <c r="IYY3" s="28"/>
      <c r="IYZ3" s="28"/>
      <c r="IZA3" s="28"/>
      <c r="IZB3" s="28"/>
      <c r="IZC3" s="28"/>
      <c r="IZD3" s="28"/>
      <c r="IZE3" s="28"/>
      <c r="IZF3" s="28"/>
      <c r="IZG3" s="28"/>
      <c r="IZH3" s="28"/>
      <c r="IZI3" s="28"/>
      <c r="IZJ3" s="28"/>
      <c r="IZK3" s="28"/>
      <c r="IZL3" s="28"/>
      <c r="IZM3" s="28"/>
      <c r="IZN3" s="28"/>
      <c r="IZO3" s="28"/>
      <c r="IZP3" s="28"/>
      <c r="IZQ3" s="28"/>
      <c r="IZR3" s="28"/>
      <c r="IZS3" s="28"/>
      <c r="IZT3" s="28"/>
      <c r="IZU3" s="28"/>
      <c r="IZV3" s="28"/>
      <c r="IZW3" s="28"/>
      <c r="IZX3" s="28"/>
      <c r="IZY3" s="28"/>
      <c r="IZZ3" s="28"/>
      <c r="JAA3" s="28"/>
      <c r="JAB3" s="28"/>
      <c r="JAC3" s="28"/>
      <c r="JAD3" s="28"/>
      <c r="JAE3" s="28"/>
      <c r="JAF3" s="28"/>
      <c r="JAG3" s="28"/>
      <c r="JAH3" s="28"/>
      <c r="JAI3" s="28"/>
      <c r="JAJ3" s="28"/>
      <c r="JAK3" s="28"/>
      <c r="JAL3" s="28"/>
      <c r="JAM3" s="28"/>
      <c r="JAN3" s="28"/>
      <c r="JAO3" s="28"/>
      <c r="JAP3" s="28"/>
      <c r="JAQ3" s="28"/>
      <c r="JAR3" s="28"/>
      <c r="JAS3" s="28"/>
      <c r="JAT3" s="28"/>
      <c r="JAU3" s="28"/>
      <c r="JAV3" s="28"/>
      <c r="JAW3" s="28"/>
      <c r="JAX3" s="28"/>
      <c r="JAY3" s="28"/>
      <c r="JAZ3" s="28"/>
      <c r="JBA3" s="28"/>
      <c r="JBB3" s="28"/>
      <c r="JBC3" s="28"/>
      <c r="JBD3" s="28"/>
      <c r="JBE3" s="28"/>
      <c r="JBF3" s="28"/>
      <c r="JBG3" s="28"/>
      <c r="JBH3" s="28"/>
      <c r="JBI3" s="28"/>
      <c r="JBJ3" s="28"/>
      <c r="JBK3" s="28"/>
      <c r="JBL3" s="28"/>
      <c r="JBM3" s="28"/>
      <c r="JBN3" s="28"/>
      <c r="JBO3" s="28"/>
      <c r="JBP3" s="28"/>
      <c r="JBQ3" s="28"/>
      <c r="JBR3" s="28"/>
      <c r="JBS3" s="28"/>
      <c r="JBT3" s="28"/>
      <c r="JBU3" s="28"/>
      <c r="JBV3" s="28"/>
      <c r="JBW3" s="28"/>
      <c r="JBX3" s="28"/>
      <c r="JBY3" s="28"/>
      <c r="JBZ3" s="28"/>
      <c r="JCA3" s="28"/>
      <c r="JCB3" s="28"/>
      <c r="JCC3" s="28"/>
      <c r="JCD3" s="28"/>
      <c r="JCE3" s="28"/>
      <c r="JCF3" s="28"/>
      <c r="JCG3" s="28"/>
      <c r="JCH3" s="28"/>
      <c r="JCI3" s="28"/>
      <c r="JCJ3" s="28"/>
      <c r="JCK3" s="28"/>
      <c r="JCL3" s="28"/>
      <c r="JCM3" s="28"/>
      <c r="JCN3" s="28"/>
      <c r="JCO3" s="28"/>
      <c r="JCP3" s="28"/>
      <c r="JCQ3" s="28"/>
      <c r="JCR3" s="28"/>
      <c r="JCS3" s="28"/>
      <c r="JCT3" s="28"/>
      <c r="JCU3" s="28"/>
      <c r="JCV3" s="28"/>
      <c r="JCW3" s="28"/>
      <c r="JCX3" s="28"/>
      <c r="JCY3" s="28"/>
      <c r="JCZ3" s="28"/>
      <c r="JDA3" s="28"/>
      <c r="JDB3" s="28"/>
      <c r="JDC3" s="28"/>
      <c r="JDD3" s="28"/>
      <c r="JDE3" s="28"/>
      <c r="JDF3" s="28"/>
      <c r="JDG3" s="28"/>
      <c r="JDH3" s="28"/>
      <c r="JDI3" s="28"/>
      <c r="JDJ3" s="28"/>
      <c r="JDK3" s="28"/>
      <c r="JDL3" s="28"/>
      <c r="JDM3" s="28"/>
      <c r="JDN3" s="28"/>
      <c r="JDO3" s="28"/>
      <c r="JDP3" s="28"/>
      <c r="JDQ3" s="28"/>
      <c r="JDR3" s="28"/>
      <c r="JDS3" s="28"/>
      <c r="JDT3" s="28"/>
      <c r="JDU3" s="28"/>
      <c r="JDV3" s="28"/>
      <c r="JDW3" s="28"/>
      <c r="JDX3" s="28"/>
      <c r="JDY3" s="28"/>
      <c r="JDZ3" s="28"/>
      <c r="JEA3" s="28"/>
      <c r="JEB3" s="28"/>
      <c r="JEC3" s="28"/>
      <c r="JED3" s="28"/>
      <c r="JEE3" s="28"/>
      <c r="JEF3" s="28"/>
      <c r="JEG3" s="28"/>
      <c r="JEH3" s="28"/>
      <c r="JEI3" s="28"/>
      <c r="JEJ3" s="28"/>
      <c r="JEK3" s="28"/>
      <c r="JEL3" s="28"/>
      <c r="JEM3" s="28"/>
      <c r="JEN3" s="28"/>
      <c r="JEO3" s="28"/>
      <c r="JEP3" s="28"/>
      <c r="JEQ3" s="28"/>
      <c r="JER3" s="28"/>
      <c r="JES3" s="28"/>
      <c r="JET3" s="28"/>
      <c r="JEU3" s="28"/>
      <c r="JEV3" s="28"/>
      <c r="JEW3" s="28"/>
      <c r="JEX3" s="28"/>
      <c r="JEY3" s="28"/>
      <c r="JEZ3" s="28"/>
      <c r="JFA3" s="28"/>
      <c r="JFB3" s="28"/>
      <c r="JFC3" s="28"/>
      <c r="JFD3" s="28"/>
      <c r="JFE3" s="28"/>
      <c r="JFF3" s="28"/>
      <c r="JFG3" s="28"/>
      <c r="JFH3" s="28"/>
      <c r="JFI3" s="28"/>
      <c r="JFJ3" s="28"/>
      <c r="JFK3" s="28"/>
      <c r="JFL3" s="28"/>
      <c r="JFM3" s="28"/>
      <c r="JFN3" s="28"/>
      <c r="JFO3" s="28"/>
      <c r="JFP3" s="28"/>
      <c r="JFQ3" s="28"/>
      <c r="JFR3" s="28"/>
      <c r="JFS3" s="28"/>
      <c r="JFT3" s="28"/>
      <c r="JFU3" s="28"/>
      <c r="JFV3" s="28"/>
      <c r="JFW3" s="28"/>
      <c r="JFX3" s="28"/>
      <c r="JFY3" s="28"/>
      <c r="JFZ3" s="28"/>
      <c r="JGA3" s="28"/>
      <c r="JGB3" s="28"/>
      <c r="JGC3" s="28"/>
      <c r="JGD3" s="28"/>
      <c r="JGE3" s="28"/>
      <c r="JGF3" s="28"/>
      <c r="JGG3" s="28"/>
      <c r="JGH3" s="28"/>
      <c r="JGI3" s="28"/>
      <c r="JGJ3" s="28"/>
      <c r="JGK3" s="28"/>
      <c r="JGL3" s="28"/>
      <c r="JGM3" s="28"/>
      <c r="JGN3" s="28"/>
      <c r="JGO3" s="28"/>
      <c r="JGP3" s="28"/>
      <c r="JGQ3" s="28"/>
      <c r="JGR3" s="28"/>
      <c r="JGS3" s="28"/>
      <c r="JGT3" s="28"/>
      <c r="JGU3" s="28"/>
      <c r="JGV3" s="28"/>
      <c r="JGW3" s="28"/>
      <c r="JGX3" s="28"/>
      <c r="JGY3" s="28"/>
      <c r="JGZ3" s="28"/>
      <c r="JHA3" s="28"/>
      <c r="JHB3" s="28"/>
      <c r="JHC3" s="28"/>
      <c r="JHD3" s="28"/>
      <c r="JHE3" s="28"/>
      <c r="JHF3" s="28"/>
      <c r="JHG3" s="28"/>
      <c r="JHH3" s="28"/>
      <c r="JHI3" s="28"/>
      <c r="JHJ3" s="28"/>
      <c r="JHK3" s="28"/>
      <c r="JHL3" s="28"/>
      <c r="JHM3" s="28"/>
      <c r="JHN3" s="28"/>
      <c r="JHO3" s="28"/>
      <c r="JHP3" s="28"/>
      <c r="JHQ3" s="28"/>
      <c r="JHR3" s="28"/>
      <c r="JHS3" s="28"/>
      <c r="JHT3" s="28"/>
      <c r="JHU3" s="28"/>
      <c r="JHV3" s="28"/>
      <c r="JHW3" s="28"/>
      <c r="JHX3" s="28"/>
      <c r="JHY3" s="28"/>
      <c r="JHZ3" s="28"/>
      <c r="JIA3" s="28"/>
      <c r="JIB3" s="28"/>
      <c r="JIC3" s="28"/>
      <c r="JID3" s="28"/>
      <c r="JIE3" s="28"/>
      <c r="JIF3" s="28"/>
      <c r="JIG3" s="28"/>
      <c r="JIH3" s="28"/>
      <c r="JII3" s="28"/>
      <c r="JIJ3" s="28"/>
      <c r="JIK3" s="28"/>
      <c r="JIL3" s="28"/>
      <c r="JIM3" s="28"/>
      <c r="JIN3" s="28"/>
      <c r="JIO3" s="28"/>
      <c r="JIP3" s="28"/>
      <c r="JIQ3" s="28"/>
      <c r="JIR3" s="28"/>
      <c r="JIS3" s="28"/>
      <c r="JIT3" s="28"/>
      <c r="JIU3" s="28"/>
      <c r="JIV3" s="28"/>
      <c r="JIW3" s="28"/>
      <c r="JIX3" s="28"/>
      <c r="JIY3" s="28"/>
      <c r="JIZ3" s="28"/>
      <c r="JJA3" s="28"/>
      <c r="JJB3" s="28"/>
      <c r="JJC3" s="28"/>
      <c r="JJD3" s="28"/>
      <c r="JJE3" s="28"/>
      <c r="JJF3" s="28"/>
      <c r="JJG3" s="28"/>
      <c r="JJH3" s="28"/>
      <c r="JJI3" s="28"/>
      <c r="JJJ3" s="28"/>
      <c r="JJK3" s="28"/>
      <c r="JJL3" s="28"/>
      <c r="JJM3" s="28"/>
      <c r="JJN3" s="28"/>
      <c r="JJO3" s="28"/>
      <c r="JJP3" s="28"/>
      <c r="JJQ3" s="28"/>
      <c r="JJR3" s="28"/>
      <c r="JJS3" s="28"/>
      <c r="JJT3" s="28"/>
      <c r="JJU3" s="28"/>
      <c r="JJV3" s="28"/>
      <c r="JJW3" s="28"/>
      <c r="JJX3" s="28"/>
      <c r="JJY3" s="28"/>
      <c r="JJZ3" s="28"/>
      <c r="JKA3" s="28"/>
      <c r="JKB3" s="28"/>
      <c r="JKC3" s="28"/>
      <c r="JKD3" s="28"/>
      <c r="JKE3" s="28"/>
      <c r="JKF3" s="28"/>
      <c r="JKG3" s="28"/>
      <c r="JKH3" s="28"/>
      <c r="JKI3" s="28"/>
      <c r="JKJ3" s="28"/>
      <c r="JKK3" s="28"/>
      <c r="JKL3" s="28"/>
      <c r="JKM3" s="28"/>
      <c r="JKN3" s="28"/>
      <c r="JKO3" s="28"/>
      <c r="JKP3" s="28"/>
      <c r="JKQ3" s="28"/>
      <c r="JKR3" s="28"/>
      <c r="JKS3" s="28"/>
      <c r="JKT3" s="28"/>
      <c r="JKU3" s="28"/>
      <c r="JKV3" s="28"/>
      <c r="JKW3" s="28"/>
      <c r="JKX3" s="28"/>
      <c r="JKY3" s="28"/>
      <c r="JKZ3" s="28"/>
      <c r="JLA3" s="28"/>
      <c r="JLB3" s="28"/>
      <c r="JLC3" s="28"/>
      <c r="JLD3" s="28"/>
      <c r="JLE3" s="28"/>
      <c r="JLF3" s="28"/>
      <c r="JLG3" s="28"/>
      <c r="JLH3" s="28"/>
      <c r="JLI3" s="28"/>
      <c r="JLJ3" s="28"/>
      <c r="JLK3" s="28"/>
      <c r="JLL3" s="28"/>
      <c r="JLM3" s="28"/>
      <c r="JLN3" s="28"/>
      <c r="JLO3" s="28"/>
      <c r="JLP3" s="28"/>
      <c r="JLQ3" s="28"/>
      <c r="JLR3" s="28"/>
      <c r="JLS3" s="28"/>
      <c r="JLT3" s="28"/>
      <c r="JLU3" s="28"/>
      <c r="JLV3" s="28"/>
      <c r="JLW3" s="28"/>
      <c r="JLX3" s="28"/>
      <c r="JLY3" s="28"/>
      <c r="JLZ3" s="28"/>
      <c r="JMA3" s="28"/>
      <c r="JMB3" s="28"/>
      <c r="JMC3" s="28"/>
      <c r="JMD3" s="28"/>
      <c r="JME3" s="28"/>
      <c r="JMF3" s="28"/>
      <c r="JMG3" s="28"/>
      <c r="JMH3" s="28"/>
      <c r="JMI3" s="28"/>
      <c r="JMJ3" s="28"/>
      <c r="JMK3" s="28"/>
      <c r="JML3" s="28"/>
      <c r="JMM3" s="28"/>
      <c r="JMN3" s="28"/>
      <c r="JMO3" s="28"/>
      <c r="JMP3" s="28"/>
      <c r="JMQ3" s="28"/>
      <c r="JMR3" s="28"/>
      <c r="JMS3" s="28"/>
      <c r="JMT3" s="28"/>
      <c r="JMU3" s="28"/>
      <c r="JMV3" s="28"/>
      <c r="JMW3" s="28"/>
      <c r="JMX3" s="28"/>
      <c r="JMY3" s="28"/>
      <c r="JMZ3" s="28"/>
      <c r="JNA3" s="28"/>
      <c r="JNB3" s="28"/>
      <c r="JNC3" s="28"/>
      <c r="JND3" s="28"/>
      <c r="JNE3" s="28"/>
      <c r="JNF3" s="28"/>
      <c r="JNG3" s="28"/>
      <c r="JNH3" s="28"/>
      <c r="JNI3" s="28"/>
      <c r="JNJ3" s="28"/>
      <c r="JNK3" s="28"/>
      <c r="JNL3" s="28"/>
      <c r="JNM3" s="28"/>
      <c r="JNN3" s="28"/>
      <c r="JNO3" s="28"/>
      <c r="JNP3" s="28"/>
      <c r="JNQ3" s="28"/>
      <c r="JNR3" s="28"/>
      <c r="JNS3" s="28"/>
      <c r="JNT3" s="28"/>
      <c r="JNU3" s="28"/>
      <c r="JNV3" s="28"/>
      <c r="JNW3" s="28"/>
      <c r="JNX3" s="28"/>
      <c r="JNY3" s="28"/>
      <c r="JNZ3" s="28"/>
      <c r="JOA3" s="28"/>
      <c r="JOB3" s="28"/>
      <c r="JOC3" s="28"/>
      <c r="JOD3" s="28"/>
      <c r="JOE3" s="28"/>
      <c r="JOF3" s="28"/>
      <c r="JOG3" s="28"/>
      <c r="JOH3" s="28"/>
      <c r="JOI3" s="28"/>
      <c r="JOJ3" s="28"/>
      <c r="JOK3" s="28"/>
      <c r="JOL3" s="28"/>
      <c r="JOM3" s="28"/>
      <c r="JON3" s="28"/>
      <c r="JOO3" s="28"/>
      <c r="JOP3" s="28"/>
      <c r="JOQ3" s="28"/>
      <c r="JOR3" s="28"/>
      <c r="JOS3" s="28"/>
      <c r="JOT3" s="28"/>
      <c r="JOU3" s="28"/>
      <c r="JOV3" s="28"/>
      <c r="JOW3" s="28"/>
      <c r="JOX3" s="28"/>
      <c r="JOY3" s="28"/>
      <c r="JOZ3" s="28"/>
      <c r="JPA3" s="28"/>
      <c r="JPB3" s="28"/>
      <c r="JPC3" s="28"/>
      <c r="JPD3" s="28"/>
      <c r="JPE3" s="28"/>
      <c r="JPF3" s="28"/>
      <c r="JPG3" s="28"/>
      <c r="JPH3" s="28"/>
      <c r="JPI3" s="28"/>
      <c r="JPJ3" s="28"/>
      <c r="JPK3" s="28"/>
      <c r="JPL3" s="28"/>
      <c r="JPM3" s="28"/>
      <c r="JPN3" s="28"/>
      <c r="JPO3" s="28"/>
      <c r="JPP3" s="28"/>
      <c r="JPQ3" s="28"/>
      <c r="JPR3" s="28"/>
      <c r="JPS3" s="28"/>
      <c r="JPT3" s="28"/>
      <c r="JPU3" s="28"/>
      <c r="JPV3" s="28"/>
      <c r="JPW3" s="28"/>
      <c r="JPX3" s="28"/>
      <c r="JPY3" s="28"/>
      <c r="JPZ3" s="28"/>
      <c r="JQA3" s="28"/>
      <c r="JQB3" s="28"/>
      <c r="JQC3" s="28"/>
      <c r="JQD3" s="28"/>
      <c r="JQE3" s="28"/>
      <c r="JQF3" s="28"/>
      <c r="JQG3" s="28"/>
      <c r="JQH3" s="28"/>
      <c r="JQI3" s="28"/>
      <c r="JQJ3" s="28"/>
      <c r="JQK3" s="28"/>
      <c r="JQL3" s="28"/>
      <c r="JQM3" s="28"/>
      <c r="JQN3" s="28"/>
      <c r="JQO3" s="28"/>
      <c r="JQP3" s="28"/>
      <c r="JQQ3" s="28"/>
      <c r="JQR3" s="28"/>
      <c r="JQS3" s="28"/>
      <c r="JQT3" s="28"/>
      <c r="JQU3" s="28"/>
      <c r="JQV3" s="28"/>
      <c r="JQW3" s="28"/>
      <c r="JQX3" s="28"/>
      <c r="JQY3" s="28"/>
      <c r="JQZ3" s="28"/>
      <c r="JRA3" s="28"/>
      <c r="JRB3" s="28"/>
      <c r="JRC3" s="28"/>
      <c r="JRD3" s="28"/>
      <c r="JRE3" s="28"/>
      <c r="JRF3" s="28"/>
      <c r="JRG3" s="28"/>
      <c r="JRH3" s="28"/>
      <c r="JRI3" s="28"/>
      <c r="JRJ3" s="28"/>
      <c r="JRK3" s="28"/>
      <c r="JRL3" s="28"/>
      <c r="JRM3" s="28"/>
      <c r="JRN3" s="28"/>
      <c r="JRO3" s="28"/>
      <c r="JRP3" s="28"/>
      <c r="JRQ3" s="28"/>
      <c r="JRR3" s="28"/>
      <c r="JRS3" s="28"/>
      <c r="JRT3" s="28"/>
      <c r="JRU3" s="28"/>
      <c r="JRV3" s="28"/>
      <c r="JRW3" s="28"/>
      <c r="JRX3" s="28"/>
      <c r="JRY3" s="28"/>
      <c r="JRZ3" s="28"/>
      <c r="JSA3" s="28"/>
      <c r="JSB3" s="28"/>
      <c r="JSC3" s="28"/>
      <c r="JSD3" s="28"/>
      <c r="JSE3" s="28"/>
      <c r="JSF3" s="28"/>
      <c r="JSG3" s="28"/>
      <c r="JSH3" s="28"/>
      <c r="JSI3" s="28"/>
      <c r="JSJ3" s="28"/>
      <c r="JSK3" s="28"/>
      <c r="JSL3" s="28"/>
      <c r="JSM3" s="28"/>
      <c r="JSN3" s="28"/>
      <c r="JSO3" s="28"/>
      <c r="JSP3" s="28"/>
      <c r="JSQ3" s="28"/>
      <c r="JSR3" s="28"/>
      <c r="JSS3" s="28"/>
      <c r="JST3" s="28"/>
      <c r="JSU3" s="28"/>
      <c r="JSV3" s="28"/>
      <c r="JSW3" s="28"/>
      <c r="JSX3" s="28"/>
      <c r="JSY3" s="28"/>
      <c r="JSZ3" s="28"/>
      <c r="JTA3" s="28"/>
      <c r="JTB3" s="28"/>
      <c r="JTC3" s="28"/>
      <c r="JTD3" s="28"/>
      <c r="JTE3" s="28"/>
      <c r="JTF3" s="28"/>
      <c r="JTG3" s="28"/>
      <c r="JTH3" s="28"/>
      <c r="JTI3" s="28"/>
      <c r="JTJ3" s="28"/>
      <c r="JTK3" s="28"/>
      <c r="JTL3" s="28"/>
      <c r="JTM3" s="28"/>
      <c r="JTN3" s="28"/>
      <c r="JTO3" s="28"/>
      <c r="JTP3" s="28"/>
      <c r="JTQ3" s="28"/>
      <c r="JTR3" s="28"/>
      <c r="JTS3" s="28"/>
      <c r="JTT3" s="28"/>
      <c r="JTU3" s="28"/>
      <c r="JTV3" s="28"/>
      <c r="JTW3" s="28"/>
      <c r="JTX3" s="28"/>
      <c r="JTY3" s="28"/>
      <c r="JTZ3" s="28"/>
      <c r="JUA3" s="28"/>
      <c r="JUB3" s="28"/>
      <c r="JUC3" s="28"/>
      <c r="JUD3" s="28"/>
      <c r="JUE3" s="28"/>
      <c r="JUF3" s="28"/>
      <c r="JUG3" s="28"/>
      <c r="JUH3" s="28"/>
      <c r="JUI3" s="28"/>
      <c r="JUJ3" s="28"/>
      <c r="JUK3" s="28"/>
      <c r="JUL3" s="28"/>
      <c r="JUM3" s="28"/>
      <c r="JUN3" s="28"/>
      <c r="JUO3" s="28"/>
      <c r="JUP3" s="28"/>
      <c r="JUQ3" s="28"/>
      <c r="JUR3" s="28"/>
      <c r="JUS3" s="28"/>
      <c r="JUT3" s="28"/>
      <c r="JUU3" s="28"/>
      <c r="JUV3" s="28"/>
      <c r="JUW3" s="28"/>
      <c r="JUX3" s="28"/>
      <c r="JUY3" s="28"/>
      <c r="JUZ3" s="28"/>
      <c r="JVA3" s="28"/>
      <c r="JVB3" s="28"/>
      <c r="JVC3" s="28"/>
      <c r="JVD3" s="28"/>
      <c r="JVE3" s="28"/>
      <c r="JVF3" s="28"/>
      <c r="JVG3" s="28"/>
      <c r="JVH3" s="28"/>
      <c r="JVI3" s="28"/>
      <c r="JVJ3" s="28"/>
      <c r="JVK3" s="28"/>
      <c r="JVL3" s="28"/>
      <c r="JVM3" s="28"/>
      <c r="JVN3" s="28"/>
      <c r="JVO3" s="28"/>
      <c r="JVP3" s="28"/>
      <c r="JVQ3" s="28"/>
      <c r="JVR3" s="28"/>
      <c r="JVS3" s="28"/>
      <c r="JVT3" s="28"/>
      <c r="JVU3" s="28"/>
      <c r="JVV3" s="28"/>
      <c r="JVW3" s="28"/>
      <c r="JVX3" s="28"/>
      <c r="JVY3" s="28"/>
      <c r="JVZ3" s="28"/>
      <c r="JWA3" s="28"/>
      <c r="JWB3" s="28"/>
      <c r="JWC3" s="28"/>
      <c r="JWD3" s="28"/>
      <c r="JWE3" s="28"/>
      <c r="JWF3" s="28"/>
      <c r="JWG3" s="28"/>
      <c r="JWH3" s="28"/>
      <c r="JWI3" s="28"/>
      <c r="JWJ3" s="28"/>
      <c r="JWK3" s="28"/>
      <c r="JWL3" s="28"/>
      <c r="JWM3" s="28"/>
      <c r="JWN3" s="28"/>
      <c r="JWO3" s="28"/>
      <c r="JWP3" s="28"/>
      <c r="JWQ3" s="28"/>
      <c r="JWR3" s="28"/>
      <c r="JWS3" s="28"/>
      <c r="JWT3" s="28"/>
      <c r="JWU3" s="28"/>
      <c r="JWV3" s="28"/>
      <c r="JWW3" s="28"/>
      <c r="JWX3" s="28"/>
      <c r="JWY3" s="28"/>
      <c r="JWZ3" s="28"/>
      <c r="JXA3" s="28"/>
      <c r="JXB3" s="28"/>
      <c r="JXC3" s="28"/>
      <c r="JXD3" s="28"/>
      <c r="JXE3" s="28"/>
      <c r="JXF3" s="28"/>
      <c r="JXG3" s="28"/>
      <c r="JXH3" s="28"/>
      <c r="JXI3" s="28"/>
      <c r="JXJ3" s="28"/>
      <c r="JXK3" s="28"/>
      <c r="JXL3" s="28"/>
      <c r="JXM3" s="28"/>
      <c r="JXN3" s="28"/>
      <c r="JXO3" s="28"/>
      <c r="JXP3" s="28"/>
      <c r="JXQ3" s="28"/>
      <c r="JXR3" s="28"/>
      <c r="JXS3" s="28"/>
      <c r="JXT3" s="28"/>
      <c r="JXU3" s="28"/>
      <c r="JXV3" s="28"/>
      <c r="JXW3" s="28"/>
      <c r="JXX3" s="28"/>
      <c r="JXY3" s="28"/>
      <c r="JXZ3" s="28"/>
      <c r="JYA3" s="28"/>
      <c r="JYB3" s="28"/>
      <c r="JYC3" s="28"/>
      <c r="JYD3" s="28"/>
      <c r="JYE3" s="28"/>
      <c r="JYF3" s="28"/>
      <c r="JYG3" s="28"/>
      <c r="JYH3" s="28"/>
      <c r="JYI3" s="28"/>
      <c r="JYJ3" s="28"/>
      <c r="JYK3" s="28"/>
      <c r="JYL3" s="28"/>
      <c r="JYM3" s="28"/>
      <c r="JYN3" s="28"/>
      <c r="JYO3" s="28"/>
      <c r="JYP3" s="28"/>
      <c r="JYQ3" s="28"/>
      <c r="JYR3" s="28"/>
      <c r="JYS3" s="28"/>
      <c r="JYT3" s="28"/>
      <c r="JYU3" s="28"/>
      <c r="JYV3" s="28"/>
      <c r="JYW3" s="28"/>
      <c r="JYX3" s="28"/>
      <c r="JYY3" s="28"/>
      <c r="JYZ3" s="28"/>
      <c r="JZA3" s="28"/>
      <c r="JZB3" s="28"/>
      <c r="JZC3" s="28"/>
      <c r="JZD3" s="28"/>
      <c r="JZE3" s="28"/>
      <c r="JZF3" s="28"/>
      <c r="JZG3" s="28"/>
      <c r="JZH3" s="28"/>
      <c r="JZI3" s="28"/>
      <c r="JZJ3" s="28"/>
      <c r="JZK3" s="28"/>
      <c r="JZL3" s="28"/>
      <c r="JZM3" s="28"/>
      <c r="JZN3" s="28"/>
      <c r="JZO3" s="28"/>
      <c r="JZP3" s="28"/>
      <c r="JZQ3" s="28"/>
      <c r="JZR3" s="28"/>
      <c r="JZS3" s="28"/>
      <c r="JZT3" s="28"/>
      <c r="JZU3" s="28"/>
      <c r="JZV3" s="28"/>
      <c r="JZW3" s="28"/>
      <c r="JZX3" s="28"/>
      <c r="JZY3" s="28"/>
      <c r="JZZ3" s="28"/>
      <c r="KAA3" s="28"/>
      <c r="KAB3" s="28"/>
      <c r="KAC3" s="28"/>
      <c r="KAD3" s="28"/>
      <c r="KAE3" s="28"/>
      <c r="KAF3" s="28"/>
      <c r="KAG3" s="28"/>
      <c r="KAH3" s="28"/>
      <c r="KAI3" s="28"/>
      <c r="KAJ3" s="28"/>
      <c r="KAK3" s="28"/>
      <c r="KAL3" s="28"/>
      <c r="KAM3" s="28"/>
      <c r="KAN3" s="28"/>
      <c r="KAO3" s="28"/>
      <c r="KAP3" s="28"/>
      <c r="KAQ3" s="28"/>
      <c r="KAR3" s="28"/>
      <c r="KAS3" s="28"/>
      <c r="KAT3" s="28"/>
      <c r="KAU3" s="28"/>
      <c r="KAV3" s="28"/>
      <c r="KAW3" s="28"/>
      <c r="KAX3" s="28"/>
      <c r="KAY3" s="28"/>
      <c r="KAZ3" s="28"/>
      <c r="KBA3" s="28"/>
      <c r="KBB3" s="28"/>
      <c r="KBC3" s="28"/>
      <c r="KBD3" s="28"/>
      <c r="KBE3" s="28"/>
      <c r="KBF3" s="28"/>
      <c r="KBG3" s="28"/>
      <c r="KBH3" s="28"/>
      <c r="KBI3" s="28"/>
      <c r="KBJ3" s="28"/>
      <c r="KBK3" s="28"/>
      <c r="KBL3" s="28"/>
      <c r="KBM3" s="28"/>
      <c r="KBN3" s="28"/>
      <c r="KBO3" s="28"/>
      <c r="KBP3" s="28"/>
      <c r="KBQ3" s="28"/>
      <c r="KBR3" s="28"/>
      <c r="KBS3" s="28"/>
      <c r="KBT3" s="28"/>
      <c r="KBU3" s="28"/>
      <c r="KBV3" s="28"/>
      <c r="KBW3" s="28"/>
      <c r="KBX3" s="28"/>
      <c r="KBY3" s="28"/>
      <c r="KBZ3" s="28"/>
      <c r="KCA3" s="28"/>
      <c r="KCB3" s="28"/>
      <c r="KCC3" s="28"/>
      <c r="KCD3" s="28"/>
      <c r="KCE3" s="28"/>
      <c r="KCF3" s="28"/>
      <c r="KCG3" s="28"/>
      <c r="KCH3" s="28"/>
      <c r="KCI3" s="28"/>
      <c r="KCJ3" s="28"/>
      <c r="KCK3" s="28"/>
      <c r="KCL3" s="28"/>
      <c r="KCM3" s="28"/>
      <c r="KCN3" s="28"/>
      <c r="KCO3" s="28"/>
      <c r="KCP3" s="28"/>
      <c r="KCQ3" s="28"/>
      <c r="KCR3" s="28"/>
      <c r="KCS3" s="28"/>
      <c r="KCT3" s="28"/>
      <c r="KCU3" s="28"/>
      <c r="KCV3" s="28"/>
      <c r="KCW3" s="28"/>
      <c r="KCX3" s="28"/>
      <c r="KCY3" s="28"/>
      <c r="KCZ3" s="28"/>
      <c r="KDA3" s="28"/>
      <c r="KDB3" s="28"/>
      <c r="KDC3" s="28"/>
      <c r="KDD3" s="28"/>
      <c r="KDE3" s="28"/>
      <c r="KDF3" s="28"/>
      <c r="KDG3" s="28"/>
      <c r="KDH3" s="28"/>
      <c r="KDI3" s="28"/>
      <c r="KDJ3" s="28"/>
      <c r="KDK3" s="28"/>
      <c r="KDL3" s="28"/>
      <c r="KDM3" s="28"/>
      <c r="KDN3" s="28"/>
      <c r="KDO3" s="28"/>
      <c r="KDP3" s="28"/>
      <c r="KDQ3" s="28"/>
      <c r="KDR3" s="28"/>
      <c r="KDS3" s="28"/>
      <c r="KDT3" s="28"/>
      <c r="KDU3" s="28"/>
      <c r="KDV3" s="28"/>
      <c r="KDW3" s="28"/>
      <c r="KDX3" s="28"/>
      <c r="KDY3" s="28"/>
      <c r="KDZ3" s="28"/>
      <c r="KEA3" s="28"/>
      <c r="KEB3" s="28"/>
      <c r="KEC3" s="28"/>
      <c r="KED3" s="28"/>
      <c r="KEE3" s="28"/>
      <c r="KEF3" s="28"/>
      <c r="KEG3" s="28"/>
      <c r="KEH3" s="28"/>
      <c r="KEI3" s="28"/>
      <c r="KEJ3" s="28"/>
      <c r="KEK3" s="28"/>
      <c r="KEL3" s="28"/>
      <c r="KEM3" s="28"/>
      <c r="KEN3" s="28"/>
      <c r="KEO3" s="28"/>
      <c r="KEP3" s="28"/>
      <c r="KEQ3" s="28"/>
      <c r="KER3" s="28"/>
      <c r="KES3" s="28"/>
      <c r="KET3" s="28"/>
      <c r="KEU3" s="28"/>
      <c r="KEV3" s="28"/>
      <c r="KEW3" s="28"/>
      <c r="KEX3" s="28"/>
      <c r="KEY3" s="28"/>
      <c r="KEZ3" s="28"/>
      <c r="KFA3" s="28"/>
      <c r="KFB3" s="28"/>
      <c r="KFC3" s="28"/>
      <c r="KFD3" s="28"/>
      <c r="KFE3" s="28"/>
      <c r="KFF3" s="28"/>
      <c r="KFG3" s="28"/>
      <c r="KFH3" s="28"/>
      <c r="KFI3" s="28"/>
      <c r="KFJ3" s="28"/>
      <c r="KFK3" s="28"/>
      <c r="KFL3" s="28"/>
      <c r="KFM3" s="28"/>
      <c r="KFN3" s="28"/>
      <c r="KFO3" s="28"/>
      <c r="KFP3" s="28"/>
      <c r="KFQ3" s="28"/>
      <c r="KFR3" s="28"/>
      <c r="KFS3" s="28"/>
      <c r="KFT3" s="28"/>
      <c r="KFU3" s="28"/>
      <c r="KFV3" s="28"/>
      <c r="KFW3" s="28"/>
      <c r="KFX3" s="28"/>
      <c r="KFY3" s="28"/>
      <c r="KFZ3" s="28"/>
      <c r="KGA3" s="28"/>
      <c r="KGB3" s="28"/>
      <c r="KGC3" s="28"/>
      <c r="KGD3" s="28"/>
      <c r="KGE3" s="28"/>
      <c r="KGF3" s="28"/>
      <c r="KGG3" s="28"/>
      <c r="KGH3" s="28"/>
      <c r="KGI3" s="28"/>
      <c r="KGJ3" s="28"/>
      <c r="KGK3" s="28"/>
      <c r="KGL3" s="28"/>
      <c r="KGM3" s="28"/>
      <c r="KGN3" s="28"/>
      <c r="KGO3" s="28"/>
      <c r="KGP3" s="28"/>
      <c r="KGQ3" s="28"/>
      <c r="KGR3" s="28"/>
      <c r="KGS3" s="28"/>
      <c r="KGT3" s="28"/>
      <c r="KGU3" s="28"/>
      <c r="KGV3" s="28"/>
      <c r="KGW3" s="28"/>
      <c r="KGX3" s="28"/>
      <c r="KGY3" s="28"/>
      <c r="KGZ3" s="28"/>
      <c r="KHA3" s="28"/>
      <c r="KHB3" s="28"/>
      <c r="KHC3" s="28"/>
      <c r="KHD3" s="28"/>
      <c r="KHE3" s="28"/>
      <c r="KHF3" s="28"/>
      <c r="KHG3" s="28"/>
      <c r="KHH3" s="28"/>
      <c r="KHI3" s="28"/>
      <c r="KHJ3" s="28"/>
      <c r="KHK3" s="28"/>
      <c r="KHL3" s="28"/>
      <c r="KHM3" s="28"/>
      <c r="KHN3" s="28"/>
      <c r="KHO3" s="28"/>
      <c r="KHP3" s="28"/>
      <c r="KHQ3" s="28"/>
      <c r="KHR3" s="28"/>
      <c r="KHS3" s="28"/>
      <c r="KHT3" s="28"/>
      <c r="KHU3" s="28"/>
      <c r="KHV3" s="28"/>
      <c r="KHW3" s="28"/>
      <c r="KHX3" s="28"/>
      <c r="KHY3" s="28"/>
      <c r="KHZ3" s="28"/>
      <c r="KIA3" s="28"/>
      <c r="KIB3" s="28"/>
      <c r="KIC3" s="28"/>
      <c r="KID3" s="28"/>
      <c r="KIE3" s="28"/>
      <c r="KIF3" s="28"/>
      <c r="KIG3" s="28"/>
      <c r="KIH3" s="28"/>
      <c r="KII3" s="28"/>
      <c r="KIJ3" s="28"/>
      <c r="KIK3" s="28"/>
      <c r="KIL3" s="28"/>
      <c r="KIM3" s="28"/>
      <c r="KIN3" s="28"/>
      <c r="KIO3" s="28"/>
      <c r="KIP3" s="28"/>
      <c r="KIQ3" s="28"/>
      <c r="KIR3" s="28"/>
      <c r="KIS3" s="28"/>
      <c r="KIT3" s="28"/>
      <c r="KIU3" s="28"/>
      <c r="KIV3" s="28"/>
      <c r="KIW3" s="28"/>
      <c r="KIX3" s="28"/>
      <c r="KIY3" s="28"/>
      <c r="KIZ3" s="28"/>
      <c r="KJA3" s="28"/>
      <c r="KJB3" s="28"/>
      <c r="KJC3" s="28"/>
      <c r="KJD3" s="28"/>
      <c r="KJE3" s="28"/>
      <c r="KJF3" s="28"/>
      <c r="KJG3" s="28"/>
      <c r="KJH3" s="28"/>
      <c r="KJI3" s="28"/>
      <c r="KJJ3" s="28"/>
      <c r="KJK3" s="28"/>
      <c r="KJL3" s="28"/>
      <c r="KJM3" s="28"/>
      <c r="KJN3" s="28"/>
      <c r="KJO3" s="28"/>
      <c r="KJP3" s="28"/>
      <c r="KJQ3" s="28"/>
      <c r="KJR3" s="28"/>
      <c r="KJS3" s="28"/>
      <c r="KJT3" s="28"/>
      <c r="KJU3" s="28"/>
      <c r="KJV3" s="28"/>
      <c r="KJW3" s="28"/>
      <c r="KJX3" s="28"/>
      <c r="KJY3" s="28"/>
      <c r="KJZ3" s="28"/>
      <c r="KKA3" s="28"/>
      <c r="KKB3" s="28"/>
      <c r="KKC3" s="28"/>
      <c r="KKD3" s="28"/>
      <c r="KKE3" s="28"/>
      <c r="KKF3" s="28"/>
      <c r="KKG3" s="28"/>
      <c r="KKH3" s="28"/>
      <c r="KKI3" s="28"/>
      <c r="KKJ3" s="28"/>
      <c r="KKK3" s="28"/>
      <c r="KKL3" s="28"/>
      <c r="KKM3" s="28"/>
      <c r="KKN3" s="28"/>
      <c r="KKO3" s="28"/>
      <c r="KKP3" s="28"/>
      <c r="KKQ3" s="28"/>
      <c r="KKR3" s="28"/>
      <c r="KKS3" s="28"/>
      <c r="KKT3" s="28"/>
      <c r="KKU3" s="28"/>
      <c r="KKV3" s="28"/>
      <c r="KKW3" s="28"/>
      <c r="KKX3" s="28"/>
      <c r="KKY3" s="28"/>
      <c r="KKZ3" s="28"/>
      <c r="KLA3" s="28"/>
      <c r="KLB3" s="28"/>
      <c r="KLC3" s="28"/>
      <c r="KLD3" s="28"/>
      <c r="KLE3" s="28"/>
      <c r="KLF3" s="28"/>
      <c r="KLG3" s="28"/>
      <c r="KLH3" s="28"/>
      <c r="KLI3" s="28"/>
      <c r="KLJ3" s="28"/>
      <c r="KLK3" s="28"/>
      <c r="KLL3" s="28"/>
      <c r="KLM3" s="28"/>
      <c r="KLN3" s="28"/>
      <c r="KLO3" s="28"/>
      <c r="KLP3" s="28"/>
      <c r="KLQ3" s="28"/>
      <c r="KLR3" s="28"/>
      <c r="KLS3" s="28"/>
      <c r="KLT3" s="28"/>
      <c r="KLU3" s="28"/>
      <c r="KLV3" s="28"/>
      <c r="KLW3" s="28"/>
      <c r="KLX3" s="28"/>
      <c r="KLY3" s="28"/>
      <c r="KLZ3" s="28"/>
      <c r="KMA3" s="28"/>
      <c r="KMB3" s="28"/>
      <c r="KMC3" s="28"/>
      <c r="KMD3" s="28"/>
      <c r="KME3" s="28"/>
      <c r="KMF3" s="28"/>
      <c r="KMG3" s="28"/>
      <c r="KMH3" s="28"/>
      <c r="KMI3" s="28"/>
      <c r="KMJ3" s="28"/>
      <c r="KMK3" s="28"/>
      <c r="KML3" s="28"/>
      <c r="KMM3" s="28"/>
      <c r="KMN3" s="28"/>
      <c r="KMO3" s="28"/>
      <c r="KMP3" s="28"/>
      <c r="KMQ3" s="28"/>
      <c r="KMR3" s="28"/>
      <c r="KMS3" s="28"/>
      <c r="KMT3" s="28"/>
      <c r="KMU3" s="28"/>
      <c r="KMV3" s="28"/>
      <c r="KMW3" s="28"/>
      <c r="KMX3" s="28"/>
      <c r="KMY3" s="28"/>
      <c r="KMZ3" s="28"/>
      <c r="KNA3" s="28"/>
      <c r="KNB3" s="28"/>
      <c r="KNC3" s="28"/>
      <c r="KND3" s="28"/>
      <c r="KNE3" s="28"/>
      <c r="KNF3" s="28"/>
      <c r="KNG3" s="28"/>
      <c r="KNH3" s="28"/>
      <c r="KNI3" s="28"/>
      <c r="KNJ3" s="28"/>
      <c r="KNK3" s="28"/>
      <c r="KNL3" s="28"/>
      <c r="KNM3" s="28"/>
      <c r="KNN3" s="28"/>
      <c r="KNO3" s="28"/>
      <c r="KNP3" s="28"/>
      <c r="KNQ3" s="28"/>
      <c r="KNR3" s="28"/>
      <c r="KNS3" s="28"/>
      <c r="KNT3" s="28"/>
      <c r="KNU3" s="28"/>
      <c r="KNV3" s="28"/>
      <c r="KNW3" s="28"/>
      <c r="KNX3" s="28"/>
      <c r="KNY3" s="28"/>
      <c r="KNZ3" s="28"/>
      <c r="KOA3" s="28"/>
      <c r="KOB3" s="28"/>
      <c r="KOC3" s="28"/>
      <c r="KOD3" s="28"/>
      <c r="KOE3" s="28"/>
      <c r="KOF3" s="28"/>
      <c r="KOG3" s="28"/>
      <c r="KOH3" s="28"/>
      <c r="KOI3" s="28"/>
      <c r="KOJ3" s="28"/>
      <c r="KOK3" s="28"/>
      <c r="KOL3" s="28"/>
      <c r="KOM3" s="28"/>
      <c r="KON3" s="28"/>
      <c r="KOO3" s="28"/>
      <c r="KOP3" s="28"/>
      <c r="KOQ3" s="28"/>
      <c r="KOR3" s="28"/>
      <c r="KOS3" s="28"/>
      <c r="KOT3" s="28"/>
      <c r="KOU3" s="28"/>
      <c r="KOV3" s="28"/>
      <c r="KOW3" s="28"/>
      <c r="KOX3" s="28"/>
      <c r="KOY3" s="28"/>
      <c r="KOZ3" s="28"/>
      <c r="KPA3" s="28"/>
      <c r="KPB3" s="28"/>
      <c r="KPC3" s="28"/>
      <c r="KPD3" s="28"/>
      <c r="KPE3" s="28"/>
      <c r="KPF3" s="28"/>
      <c r="KPG3" s="28"/>
      <c r="KPH3" s="28"/>
      <c r="KPI3" s="28"/>
      <c r="KPJ3" s="28"/>
      <c r="KPK3" s="28"/>
      <c r="KPL3" s="28"/>
      <c r="KPM3" s="28"/>
      <c r="KPN3" s="28"/>
      <c r="KPO3" s="28"/>
      <c r="KPP3" s="28"/>
      <c r="KPQ3" s="28"/>
      <c r="KPR3" s="28"/>
      <c r="KPS3" s="28"/>
      <c r="KPT3" s="28"/>
      <c r="KPU3" s="28"/>
      <c r="KPV3" s="28"/>
      <c r="KPW3" s="28"/>
      <c r="KPX3" s="28"/>
      <c r="KPY3" s="28"/>
      <c r="KPZ3" s="28"/>
      <c r="KQA3" s="28"/>
      <c r="KQB3" s="28"/>
      <c r="KQC3" s="28"/>
      <c r="KQD3" s="28"/>
      <c r="KQE3" s="28"/>
      <c r="KQF3" s="28"/>
      <c r="KQG3" s="28"/>
      <c r="KQH3" s="28"/>
      <c r="KQI3" s="28"/>
      <c r="KQJ3" s="28"/>
      <c r="KQK3" s="28"/>
      <c r="KQL3" s="28"/>
      <c r="KQM3" s="28"/>
      <c r="KQN3" s="28"/>
      <c r="KQO3" s="28"/>
      <c r="KQP3" s="28"/>
      <c r="KQQ3" s="28"/>
      <c r="KQR3" s="28"/>
      <c r="KQS3" s="28"/>
      <c r="KQT3" s="28"/>
      <c r="KQU3" s="28"/>
      <c r="KQV3" s="28"/>
      <c r="KQW3" s="28"/>
      <c r="KQX3" s="28"/>
      <c r="KQY3" s="28"/>
      <c r="KQZ3" s="28"/>
      <c r="KRA3" s="28"/>
      <c r="KRB3" s="28"/>
      <c r="KRC3" s="28"/>
      <c r="KRD3" s="28"/>
      <c r="KRE3" s="28"/>
      <c r="KRF3" s="28"/>
      <c r="KRG3" s="28"/>
      <c r="KRH3" s="28"/>
      <c r="KRI3" s="28"/>
      <c r="KRJ3" s="28"/>
      <c r="KRK3" s="28"/>
      <c r="KRL3" s="28"/>
      <c r="KRM3" s="28"/>
      <c r="KRN3" s="28"/>
      <c r="KRO3" s="28"/>
      <c r="KRP3" s="28"/>
      <c r="KRQ3" s="28"/>
      <c r="KRR3" s="28"/>
      <c r="KRS3" s="28"/>
      <c r="KRT3" s="28"/>
      <c r="KRU3" s="28"/>
      <c r="KRV3" s="28"/>
      <c r="KRW3" s="28"/>
      <c r="KRX3" s="28"/>
      <c r="KRY3" s="28"/>
      <c r="KRZ3" s="28"/>
      <c r="KSA3" s="28"/>
      <c r="KSB3" s="28"/>
      <c r="KSC3" s="28"/>
      <c r="KSD3" s="28"/>
      <c r="KSE3" s="28"/>
      <c r="KSF3" s="28"/>
      <c r="KSG3" s="28"/>
      <c r="KSH3" s="28"/>
      <c r="KSI3" s="28"/>
      <c r="KSJ3" s="28"/>
      <c r="KSK3" s="28"/>
      <c r="KSL3" s="28"/>
      <c r="KSM3" s="28"/>
      <c r="KSN3" s="28"/>
      <c r="KSO3" s="28"/>
      <c r="KSP3" s="28"/>
      <c r="KSQ3" s="28"/>
      <c r="KSR3" s="28"/>
      <c r="KSS3" s="28"/>
      <c r="KST3" s="28"/>
      <c r="KSU3" s="28"/>
      <c r="KSV3" s="28"/>
      <c r="KSW3" s="28"/>
      <c r="KSX3" s="28"/>
      <c r="KSY3" s="28"/>
      <c r="KSZ3" s="28"/>
      <c r="KTA3" s="28"/>
      <c r="KTB3" s="28"/>
      <c r="KTC3" s="28"/>
      <c r="KTD3" s="28"/>
      <c r="KTE3" s="28"/>
      <c r="KTF3" s="28"/>
      <c r="KTG3" s="28"/>
      <c r="KTH3" s="28"/>
      <c r="KTI3" s="28"/>
      <c r="KTJ3" s="28"/>
      <c r="KTK3" s="28"/>
      <c r="KTL3" s="28"/>
      <c r="KTM3" s="28"/>
      <c r="KTN3" s="28"/>
      <c r="KTO3" s="28"/>
      <c r="KTP3" s="28"/>
      <c r="KTQ3" s="28"/>
      <c r="KTR3" s="28"/>
      <c r="KTS3" s="28"/>
      <c r="KTT3" s="28"/>
      <c r="KTU3" s="28"/>
      <c r="KTV3" s="28"/>
      <c r="KTW3" s="28"/>
      <c r="KTX3" s="28"/>
      <c r="KTY3" s="28"/>
      <c r="KTZ3" s="28"/>
      <c r="KUA3" s="28"/>
      <c r="KUB3" s="28"/>
      <c r="KUC3" s="28"/>
      <c r="KUD3" s="28"/>
      <c r="KUE3" s="28"/>
      <c r="KUF3" s="28"/>
      <c r="KUG3" s="28"/>
      <c r="KUH3" s="28"/>
      <c r="KUI3" s="28"/>
      <c r="KUJ3" s="28"/>
      <c r="KUK3" s="28"/>
      <c r="KUL3" s="28"/>
      <c r="KUM3" s="28"/>
      <c r="KUN3" s="28"/>
      <c r="KUO3" s="28"/>
      <c r="KUP3" s="28"/>
      <c r="KUQ3" s="28"/>
      <c r="KUR3" s="28"/>
      <c r="KUS3" s="28"/>
      <c r="KUT3" s="28"/>
      <c r="KUU3" s="28"/>
      <c r="KUV3" s="28"/>
      <c r="KUW3" s="28"/>
      <c r="KUX3" s="28"/>
      <c r="KUY3" s="28"/>
      <c r="KUZ3" s="28"/>
      <c r="KVA3" s="28"/>
      <c r="KVB3" s="28"/>
      <c r="KVC3" s="28"/>
      <c r="KVD3" s="28"/>
      <c r="KVE3" s="28"/>
      <c r="KVF3" s="28"/>
      <c r="KVG3" s="28"/>
      <c r="KVH3" s="28"/>
      <c r="KVI3" s="28"/>
      <c r="KVJ3" s="28"/>
      <c r="KVK3" s="28"/>
      <c r="KVL3" s="28"/>
      <c r="KVM3" s="28"/>
      <c r="KVN3" s="28"/>
      <c r="KVO3" s="28"/>
      <c r="KVP3" s="28"/>
      <c r="KVQ3" s="28"/>
      <c r="KVR3" s="28"/>
      <c r="KVS3" s="28"/>
      <c r="KVT3" s="28"/>
      <c r="KVU3" s="28"/>
      <c r="KVV3" s="28"/>
      <c r="KVW3" s="28"/>
      <c r="KVX3" s="28"/>
      <c r="KVY3" s="28"/>
      <c r="KVZ3" s="28"/>
      <c r="KWA3" s="28"/>
      <c r="KWB3" s="28"/>
      <c r="KWC3" s="28"/>
      <c r="KWD3" s="28"/>
      <c r="KWE3" s="28"/>
      <c r="KWF3" s="28"/>
      <c r="KWG3" s="28"/>
      <c r="KWH3" s="28"/>
      <c r="KWI3" s="28"/>
      <c r="KWJ3" s="28"/>
      <c r="KWK3" s="28"/>
      <c r="KWL3" s="28"/>
      <c r="KWM3" s="28"/>
      <c r="KWN3" s="28"/>
      <c r="KWO3" s="28"/>
      <c r="KWP3" s="28"/>
      <c r="KWQ3" s="28"/>
      <c r="KWR3" s="28"/>
      <c r="KWS3" s="28"/>
      <c r="KWT3" s="28"/>
      <c r="KWU3" s="28"/>
      <c r="KWV3" s="28"/>
      <c r="KWW3" s="28"/>
      <c r="KWX3" s="28"/>
      <c r="KWY3" s="28"/>
      <c r="KWZ3" s="28"/>
      <c r="KXA3" s="28"/>
      <c r="KXB3" s="28"/>
      <c r="KXC3" s="28"/>
      <c r="KXD3" s="28"/>
      <c r="KXE3" s="28"/>
      <c r="KXF3" s="28"/>
      <c r="KXG3" s="28"/>
      <c r="KXH3" s="28"/>
      <c r="KXI3" s="28"/>
      <c r="KXJ3" s="28"/>
      <c r="KXK3" s="28"/>
      <c r="KXL3" s="28"/>
      <c r="KXM3" s="28"/>
      <c r="KXN3" s="28"/>
      <c r="KXO3" s="28"/>
      <c r="KXP3" s="28"/>
      <c r="KXQ3" s="28"/>
      <c r="KXR3" s="28"/>
      <c r="KXS3" s="28"/>
      <c r="KXT3" s="28"/>
      <c r="KXU3" s="28"/>
      <c r="KXV3" s="28"/>
      <c r="KXW3" s="28"/>
      <c r="KXX3" s="28"/>
      <c r="KXY3" s="28"/>
      <c r="KXZ3" s="28"/>
      <c r="KYA3" s="28"/>
      <c r="KYB3" s="28"/>
      <c r="KYC3" s="28"/>
      <c r="KYD3" s="28"/>
      <c r="KYE3" s="28"/>
      <c r="KYF3" s="28"/>
      <c r="KYG3" s="28"/>
      <c r="KYH3" s="28"/>
      <c r="KYI3" s="28"/>
      <c r="KYJ3" s="28"/>
      <c r="KYK3" s="28"/>
      <c r="KYL3" s="28"/>
      <c r="KYM3" s="28"/>
      <c r="KYN3" s="28"/>
      <c r="KYO3" s="28"/>
      <c r="KYP3" s="28"/>
      <c r="KYQ3" s="28"/>
      <c r="KYR3" s="28"/>
      <c r="KYS3" s="28"/>
      <c r="KYT3" s="28"/>
      <c r="KYU3" s="28"/>
      <c r="KYV3" s="28"/>
      <c r="KYW3" s="28"/>
      <c r="KYX3" s="28"/>
      <c r="KYY3" s="28"/>
      <c r="KYZ3" s="28"/>
      <c r="KZA3" s="28"/>
      <c r="KZB3" s="28"/>
      <c r="KZC3" s="28"/>
      <c r="KZD3" s="28"/>
      <c r="KZE3" s="28"/>
      <c r="KZF3" s="28"/>
      <c r="KZG3" s="28"/>
      <c r="KZH3" s="28"/>
      <c r="KZI3" s="28"/>
      <c r="KZJ3" s="28"/>
      <c r="KZK3" s="28"/>
      <c r="KZL3" s="28"/>
      <c r="KZM3" s="28"/>
      <c r="KZN3" s="28"/>
      <c r="KZO3" s="28"/>
      <c r="KZP3" s="28"/>
      <c r="KZQ3" s="28"/>
      <c r="KZR3" s="28"/>
      <c r="KZS3" s="28"/>
      <c r="KZT3" s="28"/>
      <c r="KZU3" s="28"/>
      <c r="KZV3" s="28"/>
      <c r="KZW3" s="28"/>
      <c r="KZX3" s="28"/>
      <c r="KZY3" s="28"/>
      <c r="KZZ3" s="28"/>
      <c r="LAA3" s="28"/>
      <c r="LAB3" s="28"/>
      <c r="LAC3" s="28"/>
      <c r="LAD3" s="28"/>
      <c r="LAE3" s="28"/>
      <c r="LAF3" s="28"/>
      <c r="LAG3" s="28"/>
      <c r="LAH3" s="28"/>
      <c r="LAI3" s="28"/>
      <c r="LAJ3" s="28"/>
      <c r="LAK3" s="28"/>
      <c r="LAL3" s="28"/>
      <c r="LAM3" s="28"/>
      <c r="LAN3" s="28"/>
      <c r="LAO3" s="28"/>
      <c r="LAP3" s="28"/>
      <c r="LAQ3" s="28"/>
      <c r="LAR3" s="28"/>
      <c r="LAS3" s="28"/>
      <c r="LAT3" s="28"/>
      <c r="LAU3" s="28"/>
      <c r="LAV3" s="28"/>
      <c r="LAW3" s="28"/>
      <c r="LAX3" s="28"/>
      <c r="LAY3" s="28"/>
      <c r="LAZ3" s="28"/>
      <c r="LBA3" s="28"/>
      <c r="LBB3" s="28"/>
      <c r="LBC3" s="28"/>
      <c r="LBD3" s="28"/>
      <c r="LBE3" s="28"/>
      <c r="LBF3" s="28"/>
      <c r="LBG3" s="28"/>
      <c r="LBH3" s="28"/>
      <c r="LBI3" s="28"/>
      <c r="LBJ3" s="28"/>
      <c r="LBK3" s="28"/>
      <c r="LBL3" s="28"/>
      <c r="LBM3" s="28"/>
      <c r="LBN3" s="28"/>
      <c r="LBO3" s="28"/>
      <c r="LBP3" s="28"/>
      <c r="LBQ3" s="28"/>
      <c r="LBR3" s="28"/>
      <c r="LBS3" s="28"/>
      <c r="LBT3" s="28"/>
      <c r="LBU3" s="28"/>
      <c r="LBV3" s="28"/>
      <c r="LBW3" s="28"/>
      <c r="LBX3" s="28"/>
      <c r="LBY3" s="28"/>
      <c r="LBZ3" s="28"/>
      <c r="LCA3" s="28"/>
      <c r="LCB3" s="28"/>
      <c r="LCC3" s="28"/>
      <c r="LCD3" s="28"/>
      <c r="LCE3" s="28"/>
      <c r="LCF3" s="28"/>
      <c r="LCG3" s="28"/>
      <c r="LCH3" s="28"/>
      <c r="LCI3" s="28"/>
      <c r="LCJ3" s="28"/>
      <c r="LCK3" s="28"/>
      <c r="LCL3" s="28"/>
      <c r="LCM3" s="28"/>
      <c r="LCN3" s="28"/>
      <c r="LCO3" s="28"/>
      <c r="LCP3" s="28"/>
      <c r="LCQ3" s="28"/>
      <c r="LCR3" s="28"/>
      <c r="LCS3" s="28"/>
      <c r="LCT3" s="28"/>
      <c r="LCU3" s="28"/>
      <c r="LCV3" s="28"/>
      <c r="LCW3" s="28"/>
      <c r="LCX3" s="28"/>
      <c r="LCY3" s="28"/>
      <c r="LCZ3" s="28"/>
      <c r="LDA3" s="28"/>
      <c r="LDB3" s="28"/>
      <c r="LDC3" s="28"/>
      <c r="LDD3" s="28"/>
      <c r="LDE3" s="28"/>
      <c r="LDF3" s="28"/>
      <c r="LDG3" s="28"/>
      <c r="LDH3" s="28"/>
      <c r="LDI3" s="28"/>
      <c r="LDJ3" s="28"/>
      <c r="LDK3" s="28"/>
      <c r="LDL3" s="28"/>
      <c r="LDM3" s="28"/>
      <c r="LDN3" s="28"/>
      <c r="LDO3" s="28"/>
      <c r="LDP3" s="28"/>
      <c r="LDQ3" s="28"/>
      <c r="LDR3" s="28"/>
      <c r="LDS3" s="28"/>
      <c r="LDT3" s="28"/>
      <c r="LDU3" s="28"/>
      <c r="LDV3" s="28"/>
      <c r="LDW3" s="28"/>
      <c r="LDX3" s="28"/>
      <c r="LDY3" s="28"/>
      <c r="LDZ3" s="28"/>
      <c r="LEA3" s="28"/>
      <c r="LEB3" s="28"/>
      <c r="LEC3" s="28"/>
      <c r="LED3" s="28"/>
      <c r="LEE3" s="28"/>
      <c r="LEF3" s="28"/>
      <c r="LEG3" s="28"/>
      <c r="LEH3" s="28"/>
      <c r="LEI3" s="28"/>
      <c r="LEJ3" s="28"/>
      <c r="LEK3" s="28"/>
      <c r="LEL3" s="28"/>
      <c r="LEM3" s="28"/>
      <c r="LEN3" s="28"/>
      <c r="LEO3" s="28"/>
      <c r="LEP3" s="28"/>
      <c r="LEQ3" s="28"/>
      <c r="LER3" s="28"/>
      <c r="LES3" s="28"/>
      <c r="LET3" s="28"/>
      <c r="LEU3" s="28"/>
      <c r="LEV3" s="28"/>
      <c r="LEW3" s="28"/>
      <c r="LEX3" s="28"/>
      <c r="LEY3" s="28"/>
      <c r="LEZ3" s="28"/>
      <c r="LFA3" s="28"/>
      <c r="LFB3" s="28"/>
      <c r="LFC3" s="28"/>
      <c r="LFD3" s="28"/>
      <c r="LFE3" s="28"/>
      <c r="LFF3" s="28"/>
      <c r="LFG3" s="28"/>
      <c r="LFH3" s="28"/>
      <c r="LFI3" s="28"/>
      <c r="LFJ3" s="28"/>
      <c r="LFK3" s="28"/>
      <c r="LFL3" s="28"/>
      <c r="LFM3" s="28"/>
      <c r="LFN3" s="28"/>
      <c r="LFO3" s="28"/>
      <c r="LFP3" s="28"/>
      <c r="LFQ3" s="28"/>
      <c r="LFR3" s="28"/>
      <c r="LFS3" s="28"/>
      <c r="LFT3" s="28"/>
      <c r="LFU3" s="28"/>
      <c r="LFV3" s="28"/>
      <c r="LFW3" s="28"/>
      <c r="LFX3" s="28"/>
      <c r="LFY3" s="28"/>
      <c r="LFZ3" s="28"/>
      <c r="LGA3" s="28"/>
      <c r="LGB3" s="28"/>
      <c r="LGC3" s="28"/>
      <c r="LGD3" s="28"/>
      <c r="LGE3" s="28"/>
      <c r="LGF3" s="28"/>
      <c r="LGG3" s="28"/>
      <c r="LGH3" s="28"/>
      <c r="LGI3" s="28"/>
      <c r="LGJ3" s="28"/>
      <c r="LGK3" s="28"/>
      <c r="LGL3" s="28"/>
      <c r="LGM3" s="28"/>
      <c r="LGN3" s="28"/>
      <c r="LGO3" s="28"/>
      <c r="LGP3" s="28"/>
      <c r="LGQ3" s="28"/>
      <c r="LGR3" s="28"/>
      <c r="LGS3" s="28"/>
      <c r="LGT3" s="28"/>
      <c r="LGU3" s="28"/>
      <c r="LGV3" s="28"/>
      <c r="LGW3" s="28"/>
      <c r="LGX3" s="28"/>
      <c r="LGY3" s="28"/>
      <c r="LGZ3" s="28"/>
      <c r="LHA3" s="28"/>
      <c r="LHB3" s="28"/>
      <c r="LHC3" s="28"/>
      <c r="LHD3" s="28"/>
      <c r="LHE3" s="28"/>
      <c r="LHF3" s="28"/>
      <c r="LHG3" s="28"/>
      <c r="LHH3" s="28"/>
      <c r="LHI3" s="28"/>
      <c r="LHJ3" s="28"/>
      <c r="LHK3" s="28"/>
      <c r="LHL3" s="28"/>
      <c r="LHM3" s="28"/>
      <c r="LHN3" s="28"/>
      <c r="LHO3" s="28"/>
      <c r="LHP3" s="28"/>
      <c r="LHQ3" s="28"/>
      <c r="LHR3" s="28"/>
      <c r="LHS3" s="28"/>
      <c r="LHT3" s="28"/>
      <c r="LHU3" s="28"/>
      <c r="LHV3" s="28"/>
      <c r="LHW3" s="28"/>
      <c r="LHX3" s="28"/>
      <c r="LHY3" s="28"/>
      <c r="LHZ3" s="28"/>
      <c r="LIA3" s="28"/>
      <c r="LIB3" s="28"/>
      <c r="LIC3" s="28"/>
      <c r="LID3" s="28"/>
      <c r="LIE3" s="28"/>
      <c r="LIF3" s="28"/>
      <c r="LIG3" s="28"/>
      <c r="LIH3" s="28"/>
      <c r="LII3" s="28"/>
      <c r="LIJ3" s="28"/>
      <c r="LIK3" s="28"/>
      <c r="LIL3" s="28"/>
      <c r="LIM3" s="28"/>
      <c r="LIN3" s="28"/>
      <c r="LIO3" s="28"/>
      <c r="LIP3" s="28"/>
      <c r="LIQ3" s="28"/>
      <c r="LIR3" s="28"/>
      <c r="LIS3" s="28"/>
      <c r="LIT3" s="28"/>
      <c r="LIU3" s="28"/>
      <c r="LIV3" s="28"/>
      <c r="LIW3" s="28"/>
      <c r="LIX3" s="28"/>
      <c r="LIY3" s="28"/>
      <c r="LIZ3" s="28"/>
      <c r="LJA3" s="28"/>
      <c r="LJB3" s="28"/>
      <c r="LJC3" s="28"/>
      <c r="LJD3" s="28"/>
      <c r="LJE3" s="28"/>
      <c r="LJF3" s="28"/>
      <c r="LJG3" s="28"/>
      <c r="LJH3" s="28"/>
      <c r="LJI3" s="28"/>
      <c r="LJJ3" s="28"/>
      <c r="LJK3" s="28"/>
      <c r="LJL3" s="28"/>
      <c r="LJM3" s="28"/>
      <c r="LJN3" s="28"/>
      <c r="LJO3" s="28"/>
      <c r="LJP3" s="28"/>
      <c r="LJQ3" s="28"/>
      <c r="LJR3" s="28"/>
      <c r="LJS3" s="28"/>
      <c r="LJT3" s="28"/>
      <c r="LJU3" s="28"/>
      <c r="LJV3" s="28"/>
      <c r="LJW3" s="28"/>
      <c r="LJX3" s="28"/>
      <c r="LJY3" s="28"/>
      <c r="LJZ3" s="28"/>
      <c r="LKA3" s="28"/>
      <c r="LKB3" s="28"/>
      <c r="LKC3" s="28"/>
      <c r="LKD3" s="28"/>
      <c r="LKE3" s="28"/>
      <c r="LKF3" s="28"/>
      <c r="LKG3" s="28"/>
      <c r="LKH3" s="28"/>
      <c r="LKI3" s="28"/>
      <c r="LKJ3" s="28"/>
      <c r="LKK3" s="28"/>
      <c r="LKL3" s="28"/>
      <c r="LKM3" s="28"/>
      <c r="LKN3" s="28"/>
      <c r="LKO3" s="28"/>
      <c r="LKP3" s="28"/>
      <c r="LKQ3" s="28"/>
      <c r="LKR3" s="28"/>
      <c r="LKS3" s="28"/>
      <c r="LKT3" s="28"/>
      <c r="LKU3" s="28"/>
      <c r="LKV3" s="28"/>
      <c r="LKW3" s="28"/>
      <c r="LKX3" s="28"/>
      <c r="LKY3" s="28"/>
      <c r="LKZ3" s="28"/>
      <c r="LLA3" s="28"/>
      <c r="LLB3" s="28"/>
      <c r="LLC3" s="28"/>
      <c r="LLD3" s="28"/>
      <c r="LLE3" s="28"/>
      <c r="LLF3" s="28"/>
      <c r="LLG3" s="28"/>
      <c r="LLH3" s="28"/>
      <c r="LLI3" s="28"/>
      <c r="LLJ3" s="28"/>
      <c r="LLK3" s="28"/>
      <c r="LLL3" s="28"/>
      <c r="LLM3" s="28"/>
      <c r="LLN3" s="28"/>
      <c r="LLO3" s="28"/>
      <c r="LLP3" s="28"/>
      <c r="LLQ3" s="28"/>
      <c r="LLR3" s="28"/>
      <c r="LLS3" s="28"/>
      <c r="LLT3" s="28"/>
      <c r="LLU3" s="28"/>
      <c r="LLV3" s="28"/>
      <c r="LLW3" s="28"/>
      <c r="LLX3" s="28"/>
      <c r="LLY3" s="28"/>
      <c r="LLZ3" s="28"/>
      <c r="LMA3" s="28"/>
      <c r="LMB3" s="28"/>
      <c r="LMC3" s="28"/>
      <c r="LMD3" s="28"/>
      <c r="LME3" s="28"/>
      <c r="LMF3" s="28"/>
      <c r="LMG3" s="28"/>
      <c r="LMH3" s="28"/>
      <c r="LMI3" s="28"/>
      <c r="LMJ3" s="28"/>
      <c r="LMK3" s="28"/>
      <c r="LML3" s="28"/>
      <c r="LMM3" s="28"/>
      <c r="LMN3" s="28"/>
      <c r="LMO3" s="28"/>
      <c r="LMP3" s="28"/>
      <c r="LMQ3" s="28"/>
      <c r="LMR3" s="28"/>
      <c r="LMS3" s="28"/>
      <c r="LMT3" s="28"/>
      <c r="LMU3" s="28"/>
      <c r="LMV3" s="28"/>
      <c r="LMW3" s="28"/>
      <c r="LMX3" s="28"/>
      <c r="LMY3" s="28"/>
      <c r="LMZ3" s="28"/>
      <c r="LNA3" s="28"/>
      <c r="LNB3" s="28"/>
      <c r="LNC3" s="28"/>
      <c r="LND3" s="28"/>
      <c r="LNE3" s="28"/>
      <c r="LNF3" s="28"/>
      <c r="LNG3" s="28"/>
      <c r="LNH3" s="28"/>
      <c r="LNI3" s="28"/>
      <c r="LNJ3" s="28"/>
      <c r="LNK3" s="28"/>
      <c r="LNL3" s="28"/>
      <c r="LNM3" s="28"/>
      <c r="LNN3" s="28"/>
      <c r="LNO3" s="28"/>
      <c r="LNP3" s="28"/>
      <c r="LNQ3" s="28"/>
      <c r="LNR3" s="28"/>
      <c r="LNS3" s="28"/>
      <c r="LNT3" s="28"/>
      <c r="LNU3" s="28"/>
      <c r="LNV3" s="28"/>
      <c r="LNW3" s="28"/>
      <c r="LNX3" s="28"/>
      <c r="LNY3" s="28"/>
      <c r="LNZ3" s="28"/>
      <c r="LOA3" s="28"/>
      <c r="LOB3" s="28"/>
      <c r="LOC3" s="28"/>
      <c r="LOD3" s="28"/>
      <c r="LOE3" s="28"/>
      <c r="LOF3" s="28"/>
      <c r="LOG3" s="28"/>
      <c r="LOH3" s="28"/>
      <c r="LOI3" s="28"/>
      <c r="LOJ3" s="28"/>
      <c r="LOK3" s="28"/>
      <c r="LOL3" s="28"/>
      <c r="LOM3" s="28"/>
      <c r="LON3" s="28"/>
      <c r="LOO3" s="28"/>
      <c r="LOP3" s="28"/>
      <c r="LOQ3" s="28"/>
      <c r="LOR3" s="28"/>
      <c r="LOS3" s="28"/>
      <c r="LOT3" s="28"/>
      <c r="LOU3" s="28"/>
      <c r="LOV3" s="28"/>
      <c r="LOW3" s="28"/>
      <c r="LOX3" s="28"/>
      <c r="LOY3" s="28"/>
      <c r="LOZ3" s="28"/>
      <c r="LPA3" s="28"/>
      <c r="LPB3" s="28"/>
      <c r="LPC3" s="28"/>
      <c r="LPD3" s="28"/>
      <c r="LPE3" s="28"/>
      <c r="LPF3" s="28"/>
      <c r="LPG3" s="28"/>
      <c r="LPH3" s="28"/>
      <c r="LPI3" s="28"/>
      <c r="LPJ3" s="28"/>
      <c r="LPK3" s="28"/>
      <c r="LPL3" s="28"/>
      <c r="LPM3" s="28"/>
      <c r="LPN3" s="28"/>
      <c r="LPO3" s="28"/>
      <c r="LPP3" s="28"/>
      <c r="LPQ3" s="28"/>
      <c r="LPR3" s="28"/>
      <c r="LPS3" s="28"/>
      <c r="LPT3" s="28"/>
      <c r="LPU3" s="28"/>
      <c r="LPV3" s="28"/>
      <c r="LPW3" s="28"/>
      <c r="LPX3" s="28"/>
      <c r="LPY3" s="28"/>
      <c r="LPZ3" s="28"/>
      <c r="LQA3" s="28"/>
      <c r="LQB3" s="28"/>
      <c r="LQC3" s="28"/>
      <c r="LQD3" s="28"/>
      <c r="LQE3" s="28"/>
      <c r="LQF3" s="28"/>
      <c r="LQG3" s="28"/>
      <c r="LQH3" s="28"/>
      <c r="LQI3" s="28"/>
      <c r="LQJ3" s="28"/>
      <c r="LQK3" s="28"/>
      <c r="LQL3" s="28"/>
      <c r="LQM3" s="28"/>
      <c r="LQN3" s="28"/>
      <c r="LQO3" s="28"/>
      <c r="LQP3" s="28"/>
      <c r="LQQ3" s="28"/>
      <c r="LQR3" s="28"/>
      <c r="LQS3" s="28"/>
      <c r="LQT3" s="28"/>
      <c r="LQU3" s="28"/>
      <c r="LQV3" s="28"/>
      <c r="LQW3" s="28"/>
      <c r="LQX3" s="28"/>
      <c r="LQY3" s="28"/>
      <c r="LQZ3" s="28"/>
      <c r="LRA3" s="28"/>
      <c r="LRB3" s="28"/>
      <c r="LRC3" s="28"/>
      <c r="LRD3" s="28"/>
      <c r="LRE3" s="28"/>
      <c r="LRF3" s="28"/>
      <c r="LRG3" s="28"/>
      <c r="LRH3" s="28"/>
      <c r="LRI3" s="28"/>
      <c r="LRJ3" s="28"/>
      <c r="LRK3" s="28"/>
      <c r="LRL3" s="28"/>
      <c r="LRM3" s="28"/>
      <c r="LRN3" s="28"/>
      <c r="LRO3" s="28"/>
      <c r="LRP3" s="28"/>
      <c r="LRQ3" s="28"/>
      <c r="LRR3" s="28"/>
      <c r="LRS3" s="28"/>
      <c r="LRT3" s="28"/>
      <c r="LRU3" s="28"/>
      <c r="LRV3" s="28"/>
      <c r="LRW3" s="28"/>
      <c r="LRX3" s="28"/>
      <c r="LRY3" s="28"/>
      <c r="LRZ3" s="28"/>
      <c r="LSA3" s="28"/>
      <c r="LSB3" s="28"/>
      <c r="LSC3" s="28"/>
      <c r="LSD3" s="28"/>
      <c r="LSE3" s="28"/>
      <c r="LSF3" s="28"/>
      <c r="LSG3" s="28"/>
      <c r="LSH3" s="28"/>
      <c r="LSI3" s="28"/>
      <c r="LSJ3" s="28"/>
      <c r="LSK3" s="28"/>
      <c r="LSL3" s="28"/>
      <c r="LSM3" s="28"/>
      <c r="LSN3" s="28"/>
      <c r="LSO3" s="28"/>
      <c r="LSP3" s="28"/>
      <c r="LSQ3" s="28"/>
      <c r="LSR3" s="28"/>
      <c r="LSS3" s="28"/>
      <c r="LST3" s="28"/>
      <c r="LSU3" s="28"/>
      <c r="LSV3" s="28"/>
      <c r="LSW3" s="28"/>
      <c r="LSX3" s="28"/>
      <c r="LSY3" s="28"/>
      <c r="LSZ3" s="28"/>
      <c r="LTA3" s="28"/>
      <c r="LTB3" s="28"/>
      <c r="LTC3" s="28"/>
      <c r="LTD3" s="28"/>
      <c r="LTE3" s="28"/>
      <c r="LTF3" s="28"/>
      <c r="LTG3" s="28"/>
      <c r="LTH3" s="28"/>
      <c r="LTI3" s="28"/>
      <c r="LTJ3" s="28"/>
      <c r="LTK3" s="28"/>
      <c r="LTL3" s="28"/>
      <c r="LTM3" s="28"/>
      <c r="LTN3" s="28"/>
      <c r="LTO3" s="28"/>
      <c r="LTP3" s="28"/>
      <c r="LTQ3" s="28"/>
      <c r="LTR3" s="28"/>
      <c r="LTS3" s="28"/>
      <c r="LTT3" s="28"/>
      <c r="LTU3" s="28"/>
      <c r="LTV3" s="28"/>
      <c r="LTW3" s="28"/>
      <c r="LTX3" s="28"/>
      <c r="LTY3" s="28"/>
      <c r="LTZ3" s="28"/>
      <c r="LUA3" s="28"/>
      <c r="LUB3" s="28"/>
      <c r="LUC3" s="28"/>
      <c r="LUD3" s="28"/>
      <c r="LUE3" s="28"/>
      <c r="LUF3" s="28"/>
      <c r="LUG3" s="28"/>
      <c r="LUH3" s="28"/>
      <c r="LUI3" s="28"/>
      <c r="LUJ3" s="28"/>
      <c r="LUK3" s="28"/>
      <c r="LUL3" s="28"/>
      <c r="LUM3" s="28"/>
      <c r="LUN3" s="28"/>
      <c r="LUO3" s="28"/>
      <c r="LUP3" s="28"/>
      <c r="LUQ3" s="28"/>
      <c r="LUR3" s="28"/>
      <c r="LUS3" s="28"/>
      <c r="LUT3" s="28"/>
      <c r="LUU3" s="28"/>
      <c r="LUV3" s="28"/>
      <c r="LUW3" s="28"/>
      <c r="LUX3" s="28"/>
      <c r="LUY3" s="28"/>
      <c r="LUZ3" s="28"/>
      <c r="LVA3" s="28"/>
      <c r="LVB3" s="28"/>
      <c r="LVC3" s="28"/>
      <c r="LVD3" s="28"/>
      <c r="LVE3" s="28"/>
      <c r="LVF3" s="28"/>
      <c r="LVG3" s="28"/>
      <c r="LVH3" s="28"/>
      <c r="LVI3" s="28"/>
      <c r="LVJ3" s="28"/>
      <c r="LVK3" s="28"/>
      <c r="LVL3" s="28"/>
      <c r="LVM3" s="28"/>
      <c r="LVN3" s="28"/>
      <c r="LVO3" s="28"/>
      <c r="LVP3" s="28"/>
      <c r="LVQ3" s="28"/>
      <c r="LVR3" s="28"/>
      <c r="LVS3" s="28"/>
      <c r="LVT3" s="28"/>
      <c r="LVU3" s="28"/>
      <c r="LVV3" s="28"/>
      <c r="LVW3" s="28"/>
      <c r="LVX3" s="28"/>
      <c r="LVY3" s="28"/>
      <c r="LVZ3" s="28"/>
      <c r="LWA3" s="28"/>
      <c r="LWB3" s="28"/>
      <c r="LWC3" s="28"/>
      <c r="LWD3" s="28"/>
      <c r="LWE3" s="28"/>
      <c r="LWF3" s="28"/>
      <c r="LWG3" s="28"/>
      <c r="LWH3" s="28"/>
      <c r="LWI3" s="28"/>
      <c r="LWJ3" s="28"/>
      <c r="LWK3" s="28"/>
      <c r="LWL3" s="28"/>
      <c r="LWM3" s="28"/>
      <c r="LWN3" s="28"/>
      <c r="LWO3" s="28"/>
      <c r="LWP3" s="28"/>
      <c r="LWQ3" s="28"/>
      <c r="LWR3" s="28"/>
      <c r="LWS3" s="28"/>
      <c r="LWT3" s="28"/>
      <c r="LWU3" s="28"/>
      <c r="LWV3" s="28"/>
      <c r="LWW3" s="28"/>
      <c r="LWX3" s="28"/>
      <c r="LWY3" s="28"/>
      <c r="LWZ3" s="28"/>
      <c r="LXA3" s="28"/>
      <c r="LXB3" s="28"/>
      <c r="LXC3" s="28"/>
      <c r="LXD3" s="28"/>
      <c r="LXE3" s="28"/>
      <c r="LXF3" s="28"/>
      <c r="LXG3" s="28"/>
      <c r="LXH3" s="28"/>
      <c r="LXI3" s="28"/>
      <c r="LXJ3" s="28"/>
      <c r="LXK3" s="28"/>
      <c r="LXL3" s="28"/>
      <c r="LXM3" s="28"/>
      <c r="LXN3" s="28"/>
      <c r="LXO3" s="28"/>
      <c r="LXP3" s="28"/>
      <c r="LXQ3" s="28"/>
      <c r="LXR3" s="28"/>
      <c r="LXS3" s="28"/>
      <c r="LXT3" s="28"/>
      <c r="LXU3" s="28"/>
      <c r="LXV3" s="28"/>
      <c r="LXW3" s="28"/>
      <c r="LXX3" s="28"/>
      <c r="LXY3" s="28"/>
      <c r="LXZ3" s="28"/>
      <c r="LYA3" s="28"/>
      <c r="LYB3" s="28"/>
      <c r="LYC3" s="28"/>
      <c r="LYD3" s="28"/>
      <c r="LYE3" s="28"/>
      <c r="LYF3" s="28"/>
      <c r="LYG3" s="28"/>
      <c r="LYH3" s="28"/>
      <c r="LYI3" s="28"/>
      <c r="LYJ3" s="28"/>
      <c r="LYK3" s="28"/>
      <c r="LYL3" s="28"/>
      <c r="LYM3" s="28"/>
      <c r="LYN3" s="28"/>
      <c r="LYO3" s="28"/>
      <c r="LYP3" s="28"/>
      <c r="LYQ3" s="28"/>
      <c r="LYR3" s="28"/>
      <c r="LYS3" s="28"/>
      <c r="LYT3" s="28"/>
      <c r="LYU3" s="28"/>
      <c r="LYV3" s="28"/>
      <c r="LYW3" s="28"/>
      <c r="LYX3" s="28"/>
      <c r="LYY3" s="28"/>
      <c r="LYZ3" s="28"/>
      <c r="LZA3" s="28"/>
      <c r="LZB3" s="28"/>
      <c r="LZC3" s="28"/>
      <c r="LZD3" s="28"/>
      <c r="LZE3" s="28"/>
      <c r="LZF3" s="28"/>
      <c r="LZG3" s="28"/>
      <c r="LZH3" s="28"/>
      <c r="LZI3" s="28"/>
      <c r="LZJ3" s="28"/>
      <c r="LZK3" s="28"/>
      <c r="LZL3" s="28"/>
      <c r="LZM3" s="28"/>
      <c r="LZN3" s="28"/>
      <c r="LZO3" s="28"/>
      <c r="LZP3" s="28"/>
      <c r="LZQ3" s="28"/>
      <c r="LZR3" s="28"/>
      <c r="LZS3" s="28"/>
      <c r="LZT3" s="28"/>
      <c r="LZU3" s="28"/>
      <c r="LZV3" s="28"/>
      <c r="LZW3" s="28"/>
      <c r="LZX3" s="28"/>
      <c r="LZY3" s="28"/>
      <c r="LZZ3" s="28"/>
      <c r="MAA3" s="28"/>
      <c r="MAB3" s="28"/>
      <c r="MAC3" s="28"/>
      <c r="MAD3" s="28"/>
      <c r="MAE3" s="28"/>
      <c r="MAF3" s="28"/>
      <c r="MAG3" s="28"/>
      <c r="MAH3" s="28"/>
      <c r="MAI3" s="28"/>
      <c r="MAJ3" s="28"/>
      <c r="MAK3" s="28"/>
      <c r="MAL3" s="28"/>
      <c r="MAM3" s="28"/>
      <c r="MAN3" s="28"/>
      <c r="MAO3" s="28"/>
      <c r="MAP3" s="28"/>
      <c r="MAQ3" s="28"/>
      <c r="MAR3" s="28"/>
      <c r="MAS3" s="28"/>
      <c r="MAT3" s="28"/>
      <c r="MAU3" s="28"/>
      <c r="MAV3" s="28"/>
      <c r="MAW3" s="28"/>
      <c r="MAX3" s="28"/>
      <c r="MAY3" s="28"/>
      <c r="MAZ3" s="28"/>
      <c r="MBA3" s="28"/>
      <c r="MBB3" s="28"/>
      <c r="MBC3" s="28"/>
      <c r="MBD3" s="28"/>
      <c r="MBE3" s="28"/>
      <c r="MBF3" s="28"/>
      <c r="MBG3" s="28"/>
      <c r="MBH3" s="28"/>
      <c r="MBI3" s="28"/>
      <c r="MBJ3" s="28"/>
      <c r="MBK3" s="28"/>
      <c r="MBL3" s="28"/>
      <c r="MBM3" s="28"/>
      <c r="MBN3" s="28"/>
      <c r="MBO3" s="28"/>
      <c r="MBP3" s="28"/>
      <c r="MBQ3" s="28"/>
      <c r="MBR3" s="28"/>
      <c r="MBS3" s="28"/>
      <c r="MBT3" s="28"/>
      <c r="MBU3" s="28"/>
      <c r="MBV3" s="28"/>
      <c r="MBW3" s="28"/>
      <c r="MBX3" s="28"/>
      <c r="MBY3" s="28"/>
      <c r="MBZ3" s="28"/>
      <c r="MCA3" s="28"/>
      <c r="MCB3" s="28"/>
      <c r="MCC3" s="28"/>
      <c r="MCD3" s="28"/>
      <c r="MCE3" s="28"/>
      <c r="MCF3" s="28"/>
      <c r="MCG3" s="28"/>
      <c r="MCH3" s="28"/>
      <c r="MCI3" s="28"/>
      <c r="MCJ3" s="28"/>
      <c r="MCK3" s="28"/>
      <c r="MCL3" s="28"/>
      <c r="MCM3" s="28"/>
      <c r="MCN3" s="28"/>
      <c r="MCO3" s="28"/>
      <c r="MCP3" s="28"/>
      <c r="MCQ3" s="28"/>
      <c r="MCR3" s="28"/>
      <c r="MCS3" s="28"/>
      <c r="MCT3" s="28"/>
      <c r="MCU3" s="28"/>
      <c r="MCV3" s="28"/>
      <c r="MCW3" s="28"/>
      <c r="MCX3" s="28"/>
      <c r="MCY3" s="28"/>
      <c r="MCZ3" s="28"/>
      <c r="MDA3" s="28"/>
      <c r="MDB3" s="28"/>
      <c r="MDC3" s="28"/>
      <c r="MDD3" s="28"/>
      <c r="MDE3" s="28"/>
      <c r="MDF3" s="28"/>
      <c r="MDG3" s="28"/>
      <c r="MDH3" s="28"/>
      <c r="MDI3" s="28"/>
      <c r="MDJ3" s="28"/>
      <c r="MDK3" s="28"/>
      <c r="MDL3" s="28"/>
      <c r="MDM3" s="28"/>
      <c r="MDN3" s="28"/>
      <c r="MDO3" s="28"/>
      <c r="MDP3" s="28"/>
      <c r="MDQ3" s="28"/>
      <c r="MDR3" s="28"/>
      <c r="MDS3" s="28"/>
      <c r="MDT3" s="28"/>
      <c r="MDU3" s="28"/>
      <c r="MDV3" s="28"/>
      <c r="MDW3" s="28"/>
      <c r="MDX3" s="28"/>
      <c r="MDY3" s="28"/>
      <c r="MDZ3" s="28"/>
      <c r="MEA3" s="28"/>
      <c r="MEB3" s="28"/>
      <c r="MEC3" s="28"/>
      <c r="MED3" s="28"/>
      <c r="MEE3" s="28"/>
      <c r="MEF3" s="28"/>
      <c r="MEG3" s="28"/>
      <c r="MEH3" s="28"/>
      <c r="MEI3" s="28"/>
      <c r="MEJ3" s="28"/>
      <c r="MEK3" s="28"/>
      <c r="MEL3" s="28"/>
      <c r="MEM3" s="28"/>
      <c r="MEN3" s="28"/>
      <c r="MEO3" s="28"/>
      <c r="MEP3" s="28"/>
      <c r="MEQ3" s="28"/>
      <c r="MER3" s="28"/>
      <c r="MES3" s="28"/>
      <c r="MET3" s="28"/>
      <c r="MEU3" s="28"/>
      <c r="MEV3" s="28"/>
      <c r="MEW3" s="28"/>
      <c r="MEX3" s="28"/>
      <c r="MEY3" s="28"/>
      <c r="MEZ3" s="28"/>
      <c r="MFA3" s="28"/>
      <c r="MFB3" s="28"/>
      <c r="MFC3" s="28"/>
      <c r="MFD3" s="28"/>
      <c r="MFE3" s="28"/>
      <c r="MFF3" s="28"/>
      <c r="MFG3" s="28"/>
      <c r="MFH3" s="28"/>
      <c r="MFI3" s="28"/>
      <c r="MFJ3" s="28"/>
      <c r="MFK3" s="28"/>
      <c r="MFL3" s="28"/>
      <c r="MFM3" s="28"/>
      <c r="MFN3" s="28"/>
      <c r="MFO3" s="28"/>
      <c r="MFP3" s="28"/>
      <c r="MFQ3" s="28"/>
      <c r="MFR3" s="28"/>
      <c r="MFS3" s="28"/>
      <c r="MFT3" s="28"/>
      <c r="MFU3" s="28"/>
      <c r="MFV3" s="28"/>
      <c r="MFW3" s="28"/>
      <c r="MFX3" s="28"/>
      <c r="MFY3" s="28"/>
      <c r="MFZ3" s="28"/>
      <c r="MGA3" s="28"/>
      <c r="MGB3" s="28"/>
      <c r="MGC3" s="28"/>
      <c r="MGD3" s="28"/>
      <c r="MGE3" s="28"/>
      <c r="MGF3" s="28"/>
      <c r="MGG3" s="28"/>
      <c r="MGH3" s="28"/>
      <c r="MGI3" s="28"/>
      <c r="MGJ3" s="28"/>
      <c r="MGK3" s="28"/>
      <c r="MGL3" s="28"/>
      <c r="MGM3" s="28"/>
      <c r="MGN3" s="28"/>
      <c r="MGO3" s="28"/>
      <c r="MGP3" s="28"/>
      <c r="MGQ3" s="28"/>
      <c r="MGR3" s="28"/>
      <c r="MGS3" s="28"/>
      <c r="MGT3" s="28"/>
      <c r="MGU3" s="28"/>
      <c r="MGV3" s="28"/>
      <c r="MGW3" s="28"/>
      <c r="MGX3" s="28"/>
      <c r="MGY3" s="28"/>
      <c r="MGZ3" s="28"/>
      <c r="MHA3" s="28"/>
      <c r="MHB3" s="28"/>
      <c r="MHC3" s="28"/>
      <c r="MHD3" s="28"/>
      <c r="MHE3" s="28"/>
      <c r="MHF3" s="28"/>
      <c r="MHG3" s="28"/>
      <c r="MHH3" s="28"/>
      <c r="MHI3" s="28"/>
      <c r="MHJ3" s="28"/>
      <c r="MHK3" s="28"/>
      <c r="MHL3" s="28"/>
      <c r="MHM3" s="28"/>
      <c r="MHN3" s="28"/>
      <c r="MHO3" s="28"/>
      <c r="MHP3" s="28"/>
      <c r="MHQ3" s="28"/>
      <c r="MHR3" s="28"/>
      <c r="MHS3" s="28"/>
      <c r="MHT3" s="28"/>
      <c r="MHU3" s="28"/>
      <c r="MHV3" s="28"/>
      <c r="MHW3" s="28"/>
      <c r="MHX3" s="28"/>
      <c r="MHY3" s="28"/>
      <c r="MHZ3" s="28"/>
      <c r="MIA3" s="28"/>
      <c r="MIB3" s="28"/>
      <c r="MIC3" s="28"/>
      <c r="MID3" s="28"/>
      <c r="MIE3" s="28"/>
      <c r="MIF3" s="28"/>
      <c r="MIG3" s="28"/>
      <c r="MIH3" s="28"/>
      <c r="MII3" s="28"/>
      <c r="MIJ3" s="28"/>
      <c r="MIK3" s="28"/>
      <c r="MIL3" s="28"/>
      <c r="MIM3" s="28"/>
      <c r="MIN3" s="28"/>
      <c r="MIO3" s="28"/>
      <c r="MIP3" s="28"/>
      <c r="MIQ3" s="28"/>
      <c r="MIR3" s="28"/>
      <c r="MIS3" s="28"/>
      <c r="MIT3" s="28"/>
      <c r="MIU3" s="28"/>
      <c r="MIV3" s="28"/>
      <c r="MIW3" s="28"/>
      <c r="MIX3" s="28"/>
      <c r="MIY3" s="28"/>
      <c r="MIZ3" s="28"/>
      <c r="MJA3" s="28"/>
      <c r="MJB3" s="28"/>
      <c r="MJC3" s="28"/>
      <c r="MJD3" s="28"/>
      <c r="MJE3" s="28"/>
      <c r="MJF3" s="28"/>
      <c r="MJG3" s="28"/>
      <c r="MJH3" s="28"/>
      <c r="MJI3" s="28"/>
      <c r="MJJ3" s="28"/>
      <c r="MJK3" s="28"/>
      <c r="MJL3" s="28"/>
      <c r="MJM3" s="28"/>
      <c r="MJN3" s="28"/>
      <c r="MJO3" s="28"/>
      <c r="MJP3" s="28"/>
      <c r="MJQ3" s="28"/>
      <c r="MJR3" s="28"/>
      <c r="MJS3" s="28"/>
      <c r="MJT3" s="28"/>
      <c r="MJU3" s="28"/>
      <c r="MJV3" s="28"/>
      <c r="MJW3" s="28"/>
      <c r="MJX3" s="28"/>
      <c r="MJY3" s="28"/>
      <c r="MJZ3" s="28"/>
      <c r="MKA3" s="28"/>
      <c r="MKB3" s="28"/>
      <c r="MKC3" s="28"/>
      <c r="MKD3" s="28"/>
      <c r="MKE3" s="28"/>
      <c r="MKF3" s="28"/>
      <c r="MKG3" s="28"/>
      <c r="MKH3" s="28"/>
      <c r="MKI3" s="28"/>
      <c r="MKJ3" s="28"/>
      <c r="MKK3" s="28"/>
      <c r="MKL3" s="28"/>
      <c r="MKM3" s="28"/>
      <c r="MKN3" s="28"/>
      <c r="MKO3" s="28"/>
      <c r="MKP3" s="28"/>
      <c r="MKQ3" s="28"/>
      <c r="MKR3" s="28"/>
      <c r="MKS3" s="28"/>
      <c r="MKT3" s="28"/>
      <c r="MKU3" s="28"/>
      <c r="MKV3" s="28"/>
      <c r="MKW3" s="28"/>
      <c r="MKX3" s="28"/>
      <c r="MKY3" s="28"/>
      <c r="MKZ3" s="28"/>
      <c r="MLA3" s="28"/>
      <c r="MLB3" s="28"/>
      <c r="MLC3" s="28"/>
      <c r="MLD3" s="28"/>
      <c r="MLE3" s="28"/>
      <c r="MLF3" s="28"/>
      <c r="MLG3" s="28"/>
      <c r="MLH3" s="28"/>
      <c r="MLI3" s="28"/>
      <c r="MLJ3" s="28"/>
      <c r="MLK3" s="28"/>
      <c r="MLL3" s="28"/>
      <c r="MLM3" s="28"/>
      <c r="MLN3" s="28"/>
      <c r="MLO3" s="28"/>
      <c r="MLP3" s="28"/>
      <c r="MLQ3" s="28"/>
      <c r="MLR3" s="28"/>
      <c r="MLS3" s="28"/>
      <c r="MLT3" s="28"/>
      <c r="MLU3" s="28"/>
      <c r="MLV3" s="28"/>
      <c r="MLW3" s="28"/>
      <c r="MLX3" s="28"/>
      <c r="MLY3" s="28"/>
      <c r="MLZ3" s="28"/>
      <c r="MMA3" s="28"/>
      <c r="MMB3" s="28"/>
      <c r="MMC3" s="28"/>
      <c r="MMD3" s="28"/>
      <c r="MME3" s="28"/>
      <c r="MMF3" s="28"/>
      <c r="MMG3" s="28"/>
      <c r="MMH3" s="28"/>
      <c r="MMI3" s="28"/>
      <c r="MMJ3" s="28"/>
      <c r="MMK3" s="28"/>
      <c r="MML3" s="28"/>
      <c r="MMM3" s="28"/>
      <c r="MMN3" s="28"/>
      <c r="MMO3" s="28"/>
      <c r="MMP3" s="28"/>
      <c r="MMQ3" s="28"/>
      <c r="MMR3" s="28"/>
      <c r="MMS3" s="28"/>
      <c r="MMT3" s="28"/>
      <c r="MMU3" s="28"/>
      <c r="MMV3" s="28"/>
      <c r="MMW3" s="28"/>
      <c r="MMX3" s="28"/>
      <c r="MMY3" s="28"/>
      <c r="MMZ3" s="28"/>
      <c r="MNA3" s="28"/>
      <c r="MNB3" s="28"/>
      <c r="MNC3" s="28"/>
      <c r="MND3" s="28"/>
      <c r="MNE3" s="28"/>
      <c r="MNF3" s="28"/>
      <c r="MNG3" s="28"/>
      <c r="MNH3" s="28"/>
      <c r="MNI3" s="28"/>
      <c r="MNJ3" s="28"/>
      <c r="MNK3" s="28"/>
      <c r="MNL3" s="28"/>
      <c r="MNM3" s="28"/>
      <c r="MNN3" s="28"/>
      <c r="MNO3" s="28"/>
      <c r="MNP3" s="28"/>
      <c r="MNQ3" s="28"/>
      <c r="MNR3" s="28"/>
      <c r="MNS3" s="28"/>
      <c r="MNT3" s="28"/>
      <c r="MNU3" s="28"/>
      <c r="MNV3" s="28"/>
      <c r="MNW3" s="28"/>
      <c r="MNX3" s="28"/>
      <c r="MNY3" s="28"/>
      <c r="MNZ3" s="28"/>
      <c r="MOA3" s="28"/>
      <c r="MOB3" s="28"/>
      <c r="MOC3" s="28"/>
      <c r="MOD3" s="28"/>
      <c r="MOE3" s="28"/>
      <c r="MOF3" s="28"/>
      <c r="MOG3" s="28"/>
      <c r="MOH3" s="28"/>
      <c r="MOI3" s="28"/>
      <c r="MOJ3" s="28"/>
      <c r="MOK3" s="28"/>
      <c r="MOL3" s="28"/>
      <c r="MOM3" s="28"/>
      <c r="MON3" s="28"/>
      <c r="MOO3" s="28"/>
      <c r="MOP3" s="28"/>
      <c r="MOQ3" s="28"/>
      <c r="MOR3" s="28"/>
      <c r="MOS3" s="28"/>
      <c r="MOT3" s="28"/>
      <c r="MOU3" s="28"/>
      <c r="MOV3" s="28"/>
      <c r="MOW3" s="28"/>
      <c r="MOX3" s="28"/>
      <c r="MOY3" s="28"/>
      <c r="MOZ3" s="28"/>
      <c r="MPA3" s="28"/>
      <c r="MPB3" s="28"/>
      <c r="MPC3" s="28"/>
      <c r="MPD3" s="28"/>
      <c r="MPE3" s="28"/>
      <c r="MPF3" s="28"/>
      <c r="MPG3" s="28"/>
      <c r="MPH3" s="28"/>
      <c r="MPI3" s="28"/>
      <c r="MPJ3" s="28"/>
      <c r="MPK3" s="28"/>
      <c r="MPL3" s="28"/>
      <c r="MPM3" s="28"/>
      <c r="MPN3" s="28"/>
      <c r="MPO3" s="28"/>
      <c r="MPP3" s="28"/>
      <c r="MPQ3" s="28"/>
      <c r="MPR3" s="28"/>
      <c r="MPS3" s="28"/>
      <c r="MPT3" s="28"/>
      <c r="MPU3" s="28"/>
      <c r="MPV3" s="28"/>
      <c r="MPW3" s="28"/>
      <c r="MPX3" s="28"/>
      <c r="MPY3" s="28"/>
      <c r="MPZ3" s="28"/>
      <c r="MQA3" s="28"/>
      <c r="MQB3" s="28"/>
      <c r="MQC3" s="28"/>
      <c r="MQD3" s="28"/>
      <c r="MQE3" s="28"/>
      <c r="MQF3" s="28"/>
      <c r="MQG3" s="28"/>
      <c r="MQH3" s="28"/>
      <c r="MQI3" s="28"/>
      <c r="MQJ3" s="28"/>
      <c r="MQK3" s="28"/>
      <c r="MQL3" s="28"/>
      <c r="MQM3" s="28"/>
      <c r="MQN3" s="28"/>
      <c r="MQO3" s="28"/>
      <c r="MQP3" s="28"/>
      <c r="MQQ3" s="28"/>
      <c r="MQR3" s="28"/>
      <c r="MQS3" s="28"/>
      <c r="MQT3" s="28"/>
      <c r="MQU3" s="28"/>
      <c r="MQV3" s="28"/>
      <c r="MQW3" s="28"/>
      <c r="MQX3" s="28"/>
      <c r="MQY3" s="28"/>
      <c r="MQZ3" s="28"/>
      <c r="MRA3" s="28"/>
      <c r="MRB3" s="28"/>
      <c r="MRC3" s="28"/>
      <c r="MRD3" s="28"/>
      <c r="MRE3" s="28"/>
      <c r="MRF3" s="28"/>
      <c r="MRG3" s="28"/>
      <c r="MRH3" s="28"/>
      <c r="MRI3" s="28"/>
      <c r="MRJ3" s="28"/>
      <c r="MRK3" s="28"/>
      <c r="MRL3" s="28"/>
      <c r="MRM3" s="28"/>
      <c r="MRN3" s="28"/>
      <c r="MRO3" s="28"/>
      <c r="MRP3" s="28"/>
      <c r="MRQ3" s="28"/>
      <c r="MRR3" s="28"/>
      <c r="MRS3" s="28"/>
      <c r="MRT3" s="28"/>
      <c r="MRU3" s="28"/>
      <c r="MRV3" s="28"/>
      <c r="MRW3" s="28"/>
      <c r="MRX3" s="28"/>
      <c r="MRY3" s="28"/>
      <c r="MRZ3" s="28"/>
      <c r="MSA3" s="28"/>
      <c r="MSB3" s="28"/>
      <c r="MSC3" s="28"/>
      <c r="MSD3" s="28"/>
      <c r="MSE3" s="28"/>
      <c r="MSF3" s="28"/>
      <c r="MSG3" s="28"/>
      <c r="MSH3" s="28"/>
      <c r="MSI3" s="28"/>
      <c r="MSJ3" s="28"/>
      <c r="MSK3" s="28"/>
      <c r="MSL3" s="28"/>
      <c r="MSM3" s="28"/>
      <c r="MSN3" s="28"/>
      <c r="MSO3" s="28"/>
      <c r="MSP3" s="28"/>
      <c r="MSQ3" s="28"/>
      <c r="MSR3" s="28"/>
      <c r="MSS3" s="28"/>
      <c r="MST3" s="28"/>
      <c r="MSU3" s="28"/>
      <c r="MSV3" s="28"/>
      <c r="MSW3" s="28"/>
      <c r="MSX3" s="28"/>
      <c r="MSY3" s="28"/>
      <c r="MSZ3" s="28"/>
      <c r="MTA3" s="28"/>
      <c r="MTB3" s="28"/>
      <c r="MTC3" s="28"/>
      <c r="MTD3" s="28"/>
      <c r="MTE3" s="28"/>
      <c r="MTF3" s="28"/>
      <c r="MTG3" s="28"/>
      <c r="MTH3" s="28"/>
      <c r="MTI3" s="28"/>
      <c r="MTJ3" s="28"/>
      <c r="MTK3" s="28"/>
      <c r="MTL3" s="28"/>
      <c r="MTM3" s="28"/>
      <c r="MTN3" s="28"/>
      <c r="MTO3" s="28"/>
      <c r="MTP3" s="28"/>
      <c r="MTQ3" s="28"/>
      <c r="MTR3" s="28"/>
      <c r="MTS3" s="28"/>
      <c r="MTT3" s="28"/>
      <c r="MTU3" s="28"/>
      <c r="MTV3" s="28"/>
      <c r="MTW3" s="28"/>
      <c r="MTX3" s="28"/>
      <c r="MTY3" s="28"/>
      <c r="MTZ3" s="28"/>
      <c r="MUA3" s="28"/>
      <c r="MUB3" s="28"/>
      <c r="MUC3" s="28"/>
      <c r="MUD3" s="28"/>
      <c r="MUE3" s="28"/>
      <c r="MUF3" s="28"/>
      <c r="MUG3" s="28"/>
      <c r="MUH3" s="28"/>
      <c r="MUI3" s="28"/>
      <c r="MUJ3" s="28"/>
      <c r="MUK3" s="28"/>
      <c r="MUL3" s="28"/>
      <c r="MUM3" s="28"/>
      <c r="MUN3" s="28"/>
      <c r="MUO3" s="28"/>
      <c r="MUP3" s="28"/>
      <c r="MUQ3" s="28"/>
      <c r="MUR3" s="28"/>
      <c r="MUS3" s="28"/>
      <c r="MUT3" s="28"/>
      <c r="MUU3" s="28"/>
      <c r="MUV3" s="28"/>
      <c r="MUW3" s="28"/>
      <c r="MUX3" s="28"/>
      <c r="MUY3" s="28"/>
      <c r="MUZ3" s="28"/>
      <c r="MVA3" s="28"/>
      <c r="MVB3" s="28"/>
      <c r="MVC3" s="28"/>
      <c r="MVD3" s="28"/>
      <c r="MVE3" s="28"/>
      <c r="MVF3" s="28"/>
      <c r="MVG3" s="28"/>
      <c r="MVH3" s="28"/>
      <c r="MVI3" s="28"/>
      <c r="MVJ3" s="28"/>
      <c r="MVK3" s="28"/>
      <c r="MVL3" s="28"/>
      <c r="MVM3" s="28"/>
      <c r="MVN3" s="28"/>
      <c r="MVO3" s="28"/>
      <c r="MVP3" s="28"/>
      <c r="MVQ3" s="28"/>
      <c r="MVR3" s="28"/>
      <c r="MVS3" s="28"/>
      <c r="MVT3" s="28"/>
      <c r="MVU3" s="28"/>
      <c r="MVV3" s="28"/>
      <c r="MVW3" s="28"/>
      <c r="MVX3" s="28"/>
      <c r="MVY3" s="28"/>
      <c r="MVZ3" s="28"/>
      <c r="MWA3" s="28"/>
      <c r="MWB3" s="28"/>
      <c r="MWC3" s="28"/>
      <c r="MWD3" s="28"/>
      <c r="MWE3" s="28"/>
      <c r="MWF3" s="28"/>
      <c r="MWG3" s="28"/>
      <c r="MWH3" s="28"/>
      <c r="MWI3" s="28"/>
      <c r="MWJ3" s="28"/>
      <c r="MWK3" s="28"/>
      <c r="MWL3" s="28"/>
      <c r="MWM3" s="28"/>
      <c r="MWN3" s="28"/>
      <c r="MWO3" s="28"/>
      <c r="MWP3" s="28"/>
      <c r="MWQ3" s="28"/>
      <c r="MWR3" s="28"/>
      <c r="MWS3" s="28"/>
      <c r="MWT3" s="28"/>
      <c r="MWU3" s="28"/>
      <c r="MWV3" s="28"/>
      <c r="MWW3" s="28"/>
      <c r="MWX3" s="28"/>
      <c r="MWY3" s="28"/>
      <c r="MWZ3" s="28"/>
      <c r="MXA3" s="28"/>
      <c r="MXB3" s="28"/>
      <c r="MXC3" s="28"/>
      <c r="MXD3" s="28"/>
      <c r="MXE3" s="28"/>
      <c r="MXF3" s="28"/>
      <c r="MXG3" s="28"/>
      <c r="MXH3" s="28"/>
      <c r="MXI3" s="28"/>
      <c r="MXJ3" s="28"/>
      <c r="MXK3" s="28"/>
      <c r="MXL3" s="28"/>
      <c r="MXM3" s="28"/>
      <c r="MXN3" s="28"/>
      <c r="MXO3" s="28"/>
      <c r="MXP3" s="28"/>
      <c r="MXQ3" s="28"/>
      <c r="MXR3" s="28"/>
      <c r="MXS3" s="28"/>
      <c r="MXT3" s="28"/>
      <c r="MXU3" s="28"/>
      <c r="MXV3" s="28"/>
      <c r="MXW3" s="28"/>
      <c r="MXX3" s="28"/>
      <c r="MXY3" s="28"/>
      <c r="MXZ3" s="28"/>
      <c r="MYA3" s="28"/>
      <c r="MYB3" s="28"/>
      <c r="MYC3" s="28"/>
      <c r="MYD3" s="28"/>
      <c r="MYE3" s="28"/>
      <c r="MYF3" s="28"/>
      <c r="MYG3" s="28"/>
      <c r="MYH3" s="28"/>
      <c r="MYI3" s="28"/>
      <c r="MYJ3" s="28"/>
      <c r="MYK3" s="28"/>
      <c r="MYL3" s="28"/>
      <c r="MYM3" s="28"/>
      <c r="MYN3" s="28"/>
      <c r="MYO3" s="28"/>
      <c r="MYP3" s="28"/>
      <c r="MYQ3" s="28"/>
      <c r="MYR3" s="28"/>
      <c r="MYS3" s="28"/>
      <c r="MYT3" s="28"/>
      <c r="MYU3" s="28"/>
      <c r="MYV3" s="28"/>
      <c r="MYW3" s="28"/>
      <c r="MYX3" s="28"/>
      <c r="MYY3" s="28"/>
      <c r="MYZ3" s="28"/>
      <c r="MZA3" s="28"/>
      <c r="MZB3" s="28"/>
      <c r="MZC3" s="28"/>
      <c r="MZD3" s="28"/>
      <c r="MZE3" s="28"/>
      <c r="MZF3" s="28"/>
      <c r="MZG3" s="28"/>
      <c r="MZH3" s="28"/>
      <c r="MZI3" s="28"/>
      <c r="MZJ3" s="28"/>
      <c r="MZK3" s="28"/>
      <c r="MZL3" s="28"/>
      <c r="MZM3" s="28"/>
      <c r="MZN3" s="28"/>
      <c r="MZO3" s="28"/>
      <c r="MZP3" s="28"/>
      <c r="MZQ3" s="28"/>
      <c r="MZR3" s="28"/>
      <c r="MZS3" s="28"/>
      <c r="MZT3" s="28"/>
      <c r="MZU3" s="28"/>
      <c r="MZV3" s="28"/>
      <c r="MZW3" s="28"/>
      <c r="MZX3" s="28"/>
      <c r="MZY3" s="28"/>
      <c r="MZZ3" s="28"/>
      <c r="NAA3" s="28"/>
      <c r="NAB3" s="28"/>
      <c r="NAC3" s="28"/>
      <c r="NAD3" s="28"/>
      <c r="NAE3" s="28"/>
      <c r="NAF3" s="28"/>
      <c r="NAG3" s="28"/>
      <c r="NAH3" s="28"/>
      <c r="NAI3" s="28"/>
      <c r="NAJ3" s="28"/>
      <c r="NAK3" s="28"/>
      <c r="NAL3" s="28"/>
      <c r="NAM3" s="28"/>
      <c r="NAN3" s="28"/>
      <c r="NAO3" s="28"/>
      <c r="NAP3" s="28"/>
      <c r="NAQ3" s="28"/>
      <c r="NAR3" s="28"/>
      <c r="NAS3" s="28"/>
      <c r="NAT3" s="28"/>
      <c r="NAU3" s="28"/>
      <c r="NAV3" s="28"/>
      <c r="NAW3" s="28"/>
      <c r="NAX3" s="28"/>
      <c r="NAY3" s="28"/>
      <c r="NAZ3" s="28"/>
      <c r="NBA3" s="28"/>
      <c r="NBB3" s="28"/>
      <c r="NBC3" s="28"/>
      <c r="NBD3" s="28"/>
      <c r="NBE3" s="28"/>
      <c r="NBF3" s="28"/>
      <c r="NBG3" s="28"/>
      <c r="NBH3" s="28"/>
      <c r="NBI3" s="28"/>
      <c r="NBJ3" s="28"/>
      <c r="NBK3" s="28"/>
      <c r="NBL3" s="28"/>
      <c r="NBM3" s="28"/>
      <c r="NBN3" s="28"/>
      <c r="NBO3" s="28"/>
      <c r="NBP3" s="28"/>
      <c r="NBQ3" s="28"/>
      <c r="NBR3" s="28"/>
      <c r="NBS3" s="28"/>
      <c r="NBT3" s="28"/>
      <c r="NBU3" s="28"/>
      <c r="NBV3" s="28"/>
      <c r="NBW3" s="28"/>
      <c r="NBX3" s="28"/>
      <c r="NBY3" s="28"/>
      <c r="NBZ3" s="28"/>
      <c r="NCA3" s="28"/>
      <c r="NCB3" s="28"/>
      <c r="NCC3" s="28"/>
      <c r="NCD3" s="28"/>
      <c r="NCE3" s="28"/>
      <c r="NCF3" s="28"/>
      <c r="NCG3" s="28"/>
      <c r="NCH3" s="28"/>
      <c r="NCI3" s="28"/>
      <c r="NCJ3" s="28"/>
      <c r="NCK3" s="28"/>
      <c r="NCL3" s="28"/>
      <c r="NCM3" s="28"/>
      <c r="NCN3" s="28"/>
      <c r="NCO3" s="28"/>
      <c r="NCP3" s="28"/>
      <c r="NCQ3" s="28"/>
      <c r="NCR3" s="28"/>
      <c r="NCS3" s="28"/>
      <c r="NCT3" s="28"/>
      <c r="NCU3" s="28"/>
      <c r="NCV3" s="28"/>
      <c r="NCW3" s="28"/>
      <c r="NCX3" s="28"/>
      <c r="NCY3" s="28"/>
      <c r="NCZ3" s="28"/>
      <c r="NDA3" s="28"/>
      <c r="NDB3" s="28"/>
      <c r="NDC3" s="28"/>
      <c r="NDD3" s="28"/>
      <c r="NDE3" s="28"/>
      <c r="NDF3" s="28"/>
      <c r="NDG3" s="28"/>
      <c r="NDH3" s="28"/>
      <c r="NDI3" s="28"/>
      <c r="NDJ3" s="28"/>
      <c r="NDK3" s="28"/>
      <c r="NDL3" s="28"/>
      <c r="NDM3" s="28"/>
      <c r="NDN3" s="28"/>
      <c r="NDO3" s="28"/>
      <c r="NDP3" s="28"/>
      <c r="NDQ3" s="28"/>
      <c r="NDR3" s="28"/>
      <c r="NDS3" s="28"/>
      <c r="NDT3" s="28"/>
      <c r="NDU3" s="28"/>
      <c r="NDV3" s="28"/>
      <c r="NDW3" s="28"/>
      <c r="NDX3" s="28"/>
      <c r="NDY3" s="28"/>
      <c r="NDZ3" s="28"/>
      <c r="NEA3" s="28"/>
      <c r="NEB3" s="28"/>
      <c r="NEC3" s="28"/>
      <c r="NED3" s="28"/>
      <c r="NEE3" s="28"/>
      <c r="NEF3" s="28"/>
      <c r="NEG3" s="28"/>
      <c r="NEH3" s="28"/>
      <c r="NEI3" s="28"/>
      <c r="NEJ3" s="28"/>
      <c r="NEK3" s="28"/>
      <c r="NEL3" s="28"/>
      <c r="NEM3" s="28"/>
      <c r="NEN3" s="28"/>
      <c r="NEO3" s="28"/>
      <c r="NEP3" s="28"/>
      <c r="NEQ3" s="28"/>
      <c r="NER3" s="28"/>
      <c r="NES3" s="28"/>
      <c r="NET3" s="28"/>
      <c r="NEU3" s="28"/>
      <c r="NEV3" s="28"/>
      <c r="NEW3" s="28"/>
      <c r="NEX3" s="28"/>
      <c r="NEY3" s="28"/>
      <c r="NEZ3" s="28"/>
      <c r="NFA3" s="28"/>
      <c r="NFB3" s="28"/>
      <c r="NFC3" s="28"/>
      <c r="NFD3" s="28"/>
      <c r="NFE3" s="28"/>
      <c r="NFF3" s="28"/>
      <c r="NFG3" s="28"/>
      <c r="NFH3" s="28"/>
      <c r="NFI3" s="28"/>
      <c r="NFJ3" s="28"/>
      <c r="NFK3" s="28"/>
      <c r="NFL3" s="28"/>
      <c r="NFM3" s="28"/>
      <c r="NFN3" s="28"/>
      <c r="NFO3" s="28"/>
      <c r="NFP3" s="28"/>
      <c r="NFQ3" s="28"/>
      <c r="NFR3" s="28"/>
      <c r="NFS3" s="28"/>
      <c r="NFT3" s="28"/>
      <c r="NFU3" s="28"/>
      <c r="NFV3" s="28"/>
      <c r="NFW3" s="28"/>
      <c r="NFX3" s="28"/>
      <c r="NFY3" s="28"/>
      <c r="NFZ3" s="28"/>
      <c r="NGA3" s="28"/>
      <c r="NGB3" s="28"/>
      <c r="NGC3" s="28"/>
      <c r="NGD3" s="28"/>
      <c r="NGE3" s="28"/>
      <c r="NGF3" s="28"/>
      <c r="NGG3" s="28"/>
      <c r="NGH3" s="28"/>
      <c r="NGI3" s="28"/>
      <c r="NGJ3" s="28"/>
      <c r="NGK3" s="28"/>
      <c r="NGL3" s="28"/>
      <c r="NGM3" s="28"/>
      <c r="NGN3" s="28"/>
      <c r="NGO3" s="28"/>
      <c r="NGP3" s="28"/>
      <c r="NGQ3" s="28"/>
      <c r="NGR3" s="28"/>
      <c r="NGS3" s="28"/>
      <c r="NGT3" s="28"/>
      <c r="NGU3" s="28"/>
      <c r="NGV3" s="28"/>
      <c r="NGW3" s="28"/>
      <c r="NGX3" s="28"/>
      <c r="NGY3" s="28"/>
      <c r="NGZ3" s="28"/>
      <c r="NHA3" s="28"/>
      <c r="NHB3" s="28"/>
      <c r="NHC3" s="28"/>
      <c r="NHD3" s="28"/>
      <c r="NHE3" s="28"/>
      <c r="NHF3" s="28"/>
      <c r="NHG3" s="28"/>
      <c r="NHH3" s="28"/>
      <c r="NHI3" s="28"/>
      <c r="NHJ3" s="28"/>
      <c r="NHK3" s="28"/>
      <c r="NHL3" s="28"/>
      <c r="NHM3" s="28"/>
      <c r="NHN3" s="28"/>
      <c r="NHO3" s="28"/>
      <c r="NHP3" s="28"/>
      <c r="NHQ3" s="28"/>
      <c r="NHR3" s="28"/>
      <c r="NHS3" s="28"/>
      <c r="NHT3" s="28"/>
      <c r="NHU3" s="28"/>
      <c r="NHV3" s="28"/>
      <c r="NHW3" s="28"/>
      <c r="NHX3" s="28"/>
      <c r="NHY3" s="28"/>
      <c r="NHZ3" s="28"/>
      <c r="NIA3" s="28"/>
      <c r="NIB3" s="28"/>
      <c r="NIC3" s="28"/>
      <c r="NID3" s="28"/>
      <c r="NIE3" s="28"/>
      <c r="NIF3" s="28"/>
      <c r="NIG3" s="28"/>
      <c r="NIH3" s="28"/>
      <c r="NII3" s="28"/>
      <c r="NIJ3" s="28"/>
      <c r="NIK3" s="28"/>
      <c r="NIL3" s="28"/>
      <c r="NIM3" s="28"/>
      <c r="NIN3" s="28"/>
      <c r="NIO3" s="28"/>
      <c r="NIP3" s="28"/>
      <c r="NIQ3" s="28"/>
      <c r="NIR3" s="28"/>
      <c r="NIS3" s="28"/>
      <c r="NIT3" s="28"/>
      <c r="NIU3" s="28"/>
      <c r="NIV3" s="28"/>
      <c r="NIW3" s="28"/>
      <c r="NIX3" s="28"/>
      <c r="NIY3" s="28"/>
      <c r="NIZ3" s="28"/>
      <c r="NJA3" s="28"/>
      <c r="NJB3" s="28"/>
      <c r="NJC3" s="28"/>
      <c r="NJD3" s="28"/>
      <c r="NJE3" s="28"/>
      <c r="NJF3" s="28"/>
      <c r="NJG3" s="28"/>
      <c r="NJH3" s="28"/>
      <c r="NJI3" s="28"/>
      <c r="NJJ3" s="28"/>
      <c r="NJK3" s="28"/>
      <c r="NJL3" s="28"/>
      <c r="NJM3" s="28"/>
      <c r="NJN3" s="28"/>
      <c r="NJO3" s="28"/>
      <c r="NJP3" s="28"/>
      <c r="NJQ3" s="28"/>
      <c r="NJR3" s="28"/>
      <c r="NJS3" s="28"/>
      <c r="NJT3" s="28"/>
      <c r="NJU3" s="28"/>
      <c r="NJV3" s="28"/>
      <c r="NJW3" s="28"/>
      <c r="NJX3" s="28"/>
      <c r="NJY3" s="28"/>
      <c r="NJZ3" s="28"/>
      <c r="NKA3" s="28"/>
      <c r="NKB3" s="28"/>
      <c r="NKC3" s="28"/>
      <c r="NKD3" s="28"/>
      <c r="NKE3" s="28"/>
      <c r="NKF3" s="28"/>
      <c r="NKG3" s="28"/>
      <c r="NKH3" s="28"/>
      <c r="NKI3" s="28"/>
      <c r="NKJ3" s="28"/>
      <c r="NKK3" s="28"/>
      <c r="NKL3" s="28"/>
      <c r="NKM3" s="28"/>
      <c r="NKN3" s="28"/>
      <c r="NKO3" s="28"/>
      <c r="NKP3" s="28"/>
      <c r="NKQ3" s="28"/>
      <c r="NKR3" s="28"/>
      <c r="NKS3" s="28"/>
      <c r="NKT3" s="28"/>
      <c r="NKU3" s="28"/>
      <c r="NKV3" s="28"/>
      <c r="NKW3" s="28"/>
      <c r="NKX3" s="28"/>
      <c r="NKY3" s="28"/>
      <c r="NKZ3" s="28"/>
      <c r="NLA3" s="28"/>
      <c r="NLB3" s="28"/>
      <c r="NLC3" s="28"/>
      <c r="NLD3" s="28"/>
      <c r="NLE3" s="28"/>
      <c r="NLF3" s="28"/>
      <c r="NLG3" s="28"/>
      <c r="NLH3" s="28"/>
      <c r="NLI3" s="28"/>
      <c r="NLJ3" s="28"/>
      <c r="NLK3" s="28"/>
      <c r="NLL3" s="28"/>
      <c r="NLM3" s="28"/>
      <c r="NLN3" s="28"/>
      <c r="NLO3" s="28"/>
      <c r="NLP3" s="28"/>
      <c r="NLQ3" s="28"/>
      <c r="NLR3" s="28"/>
      <c r="NLS3" s="28"/>
      <c r="NLT3" s="28"/>
      <c r="NLU3" s="28"/>
      <c r="NLV3" s="28"/>
      <c r="NLW3" s="28"/>
      <c r="NLX3" s="28"/>
      <c r="NLY3" s="28"/>
      <c r="NLZ3" s="28"/>
      <c r="NMA3" s="28"/>
      <c r="NMB3" s="28"/>
      <c r="NMC3" s="28"/>
      <c r="NMD3" s="28"/>
      <c r="NME3" s="28"/>
      <c r="NMF3" s="28"/>
      <c r="NMG3" s="28"/>
      <c r="NMH3" s="28"/>
      <c r="NMI3" s="28"/>
      <c r="NMJ3" s="28"/>
      <c r="NMK3" s="28"/>
      <c r="NML3" s="28"/>
      <c r="NMM3" s="28"/>
      <c r="NMN3" s="28"/>
      <c r="NMO3" s="28"/>
      <c r="NMP3" s="28"/>
      <c r="NMQ3" s="28"/>
      <c r="NMR3" s="28"/>
      <c r="NMS3" s="28"/>
      <c r="NMT3" s="28"/>
      <c r="NMU3" s="28"/>
      <c r="NMV3" s="28"/>
      <c r="NMW3" s="28"/>
      <c r="NMX3" s="28"/>
      <c r="NMY3" s="28"/>
      <c r="NMZ3" s="28"/>
      <c r="NNA3" s="28"/>
      <c r="NNB3" s="28"/>
      <c r="NNC3" s="28"/>
      <c r="NND3" s="28"/>
      <c r="NNE3" s="28"/>
      <c r="NNF3" s="28"/>
      <c r="NNG3" s="28"/>
      <c r="NNH3" s="28"/>
      <c r="NNI3" s="28"/>
      <c r="NNJ3" s="28"/>
      <c r="NNK3" s="28"/>
      <c r="NNL3" s="28"/>
      <c r="NNM3" s="28"/>
      <c r="NNN3" s="28"/>
      <c r="NNO3" s="28"/>
      <c r="NNP3" s="28"/>
      <c r="NNQ3" s="28"/>
      <c r="NNR3" s="28"/>
      <c r="NNS3" s="28"/>
      <c r="NNT3" s="28"/>
      <c r="NNU3" s="28"/>
      <c r="NNV3" s="28"/>
      <c r="NNW3" s="28"/>
      <c r="NNX3" s="28"/>
      <c r="NNY3" s="28"/>
      <c r="NNZ3" s="28"/>
      <c r="NOA3" s="28"/>
      <c r="NOB3" s="28"/>
      <c r="NOC3" s="28"/>
      <c r="NOD3" s="28"/>
      <c r="NOE3" s="28"/>
      <c r="NOF3" s="28"/>
      <c r="NOG3" s="28"/>
      <c r="NOH3" s="28"/>
      <c r="NOI3" s="28"/>
      <c r="NOJ3" s="28"/>
      <c r="NOK3" s="28"/>
      <c r="NOL3" s="28"/>
      <c r="NOM3" s="28"/>
      <c r="NON3" s="28"/>
      <c r="NOO3" s="28"/>
      <c r="NOP3" s="28"/>
      <c r="NOQ3" s="28"/>
      <c r="NOR3" s="28"/>
      <c r="NOS3" s="28"/>
      <c r="NOT3" s="28"/>
      <c r="NOU3" s="28"/>
      <c r="NOV3" s="28"/>
      <c r="NOW3" s="28"/>
      <c r="NOX3" s="28"/>
      <c r="NOY3" s="28"/>
      <c r="NOZ3" s="28"/>
      <c r="NPA3" s="28"/>
      <c r="NPB3" s="28"/>
      <c r="NPC3" s="28"/>
      <c r="NPD3" s="28"/>
      <c r="NPE3" s="28"/>
      <c r="NPF3" s="28"/>
      <c r="NPG3" s="28"/>
      <c r="NPH3" s="28"/>
      <c r="NPI3" s="28"/>
      <c r="NPJ3" s="28"/>
      <c r="NPK3" s="28"/>
      <c r="NPL3" s="28"/>
      <c r="NPM3" s="28"/>
      <c r="NPN3" s="28"/>
      <c r="NPO3" s="28"/>
      <c r="NPP3" s="28"/>
      <c r="NPQ3" s="28"/>
      <c r="NPR3" s="28"/>
      <c r="NPS3" s="28"/>
      <c r="NPT3" s="28"/>
      <c r="NPU3" s="28"/>
      <c r="NPV3" s="28"/>
      <c r="NPW3" s="28"/>
      <c r="NPX3" s="28"/>
      <c r="NPY3" s="28"/>
      <c r="NPZ3" s="28"/>
      <c r="NQA3" s="28"/>
      <c r="NQB3" s="28"/>
      <c r="NQC3" s="28"/>
      <c r="NQD3" s="28"/>
      <c r="NQE3" s="28"/>
      <c r="NQF3" s="28"/>
      <c r="NQG3" s="28"/>
      <c r="NQH3" s="28"/>
      <c r="NQI3" s="28"/>
      <c r="NQJ3" s="28"/>
      <c r="NQK3" s="28"/>
      <c r="NQL3" s="28"/>
      <c r="NQM3" s="28"/>
      <c r="NQN3" s="28"/>
      <c r="NQO3" s="28"/>
      <c r="NQP3" s="28"/>
      <c r="NQQ3" s="28"/>
      <c r="NQR3" s="28"/>
      <c r="NQS3" s="28"/>
      <c r="NQT3" s="28"/>
      <c r="NQU3" s="28"/>
      <c r="NQV3" s="28"/>
      <c r="NQW3" s="28"/>
      <c r="NQX3" s="28"/>
      <c r="NQY3" s="28"/>
      <c r="NQZ3" s="28"/>
      <c r="NRA3" s="28"/>
      <c r="NRB3" s="28"/>
      <c r="NRC3" s="28"/>
      <c r="NRD3" s="28"/>
      <c r="NRE3" s="28"/>
      <c r="NRF3" s="28"/>
      <c r="NRG3" s="28"/>
      <c r="NRH3" s="28"/>
      <c r="NRI3" s="28"/>
      <c r="NRJ3" s="28"/>
      <c r="NRK3" s="28"/>
      <c r="NRL3" s="28"/>
      <c r="NRM3" s="28"/>
      <c r="NRN3" s="28"/>
      <c r="NRO3" s="28"/>
      <c r="NRP3" s="28"/>
      <c r="NRQ3" s="28"/>
      <c r="NRR3" s="28"/>
      <c r="NRS3" s="28"/>
      <c r="NRT3" s="28"/>
      <c r="NRU3" s="28"/>
      <c r="NRV3" s="28"/>
      <c r="NRW3" s="28"/>
      <c r="NRX3" s="28"/>
      <c r="NRY3" s="28"/>
      <c r="NRZ3" s="28"/>
      <c r="NSA3" s="28"/>
      <c r="NSB3" s="28"/>
      <c r="NSC3" s="28"/>
      <c r="NSD3" s="28"/>
      <c r="NSE3" s="28"/>
      <c r="NSF3" s="28"/>
      <c r="NSG3" s="28"/>
      <c r="NSH3" s="28"/>
      <c r="NSI3" s="28"/>
      <c r="NSJ3" s="28"/>
      <c r="NSK3" s="28"/>
      <c r="NSL3" s="28"/>
      <c r="NSM3" s="28"/>
      <c r="NSN3" s="28"/>
      <c r="NSO3" s="28"/>
      <c r="NSP3" s="28"/>
      <c r="NSQ3" s="28"/>
      <c r="NSR3" s="28"/>
      <c r="NSS3" s="28"/>
      <c r="NST3" s="28"/>
      <c r="NSU3" s="28"/>
      <c r="NSV3" s="28"/>
      <c r="NSW3" s="28"/>
      <c r="NSX3" s="28"/>
      <c r="NSY3" s="28"/>
      <c r="NSZ3" s="28"/>
      <c r="NTA3" s="28"/>
      <c r="NTB3" s="28"/>
      <c r="NTC3" s="28"/>
      <c r="NTD3" s="28"/>
      <c r="NTE3" s="28"/>
      <c r="NTF3" s="28"/>
      <c r="NTG3" s="28"/>
      <c r="NTH3" s="28"/>
      <c r="NTI3" s="28"/>
      <c r="NTJ3" s="28"/>
      <c r="NTK3" s="28"/>
      <c r="NTL3" s="28"/>
      <c r="NTM3" s="28"/>
      <c r="NTN3" s="28"/>
      <c r="NTO3" s="28"/>
      <c r="NTP3" s="28"/>
      <c r="NTQ3" s="28"/>
      <c r="NTR3" s="28"/>
      <c r="NTS3" s="28"/>
      <c r="NTT3" s="28"/>
      <c r="NTU3" s="28"/>
      <c r="NTV3" s="28"/>
      <c r="NTW3" s="28"/>
      <c r="NTX3" s="28"/>
      <c r="NTY3" s="28"/>
      <c r="NTZ3" s="28"/>
      <c r="NUA3" s="28"/>
      <c r="NUB3" s="28"/>
      <c r="NUC3" s="28"/>
      <c r="NUD3" s="28"/>
      <c r="NUE3" s="28"/>
      <c r="NUF3" s="28"/>
      <c r="NUG3" s="28"/>
      <c r="NUH3" s="28"/>
      <c r="NUI3" s="28"/>
      <c r="NUJ3" s="28"/>
      <c r="NUK3" s="28"/>
      <c r="NUL3" s="28"/>
      <c r="NUM3" s="28"/>
      <c r="NUN3" s="28"/>
      <c r="NUO3" s="28"/>
      <c r="NUP3" s="28"/>
      <c r="NUQ3" s="28"/>
      <c r="NUR3" s="28"/>
      <c r="NUS3" s="28"/>
      <c r="NUT3" s="28"/>
      <c r="NUU3" s="28"/>
      <c r="NUV3" s="28"/>
      <c r="NUW3" s="28"/>
      <c r="NUX3" s="28"/>
      <c r="NUY3" s="28"/>
      <c r="NUZ3" s="28"/>
      <c r="NVA3" s="28"/>
      <c r="NVB3" s="28"/>
      <c r="NVC3" s="28"/>
      <c r="NVD3" s="28"/>
      <c r="NVE3" s="28"/>
      <c r="NVF3" s="28"/>
      <c r="NVG3" s="28"/>
      <c r="NVH3" s="28"/>
      <c r="NVI3" s="28"/>
      <c r="NVJ3" s="28"/>
      <c r="NVK3" s="28"/>
      <c r="NVL3" s="28"/>
      <c r="NVM3" s="28"/>
      <c r="NVN3" s="28"/>
      <c r="NVO3" s="28"/>
      <c r="NVP3" s="28"/>
      <c r="NVQ3" s="28"/>
      <c r="NVR3" s="28"/>
      <c r="NVS3" s="28"/>
      <c r="NVT3" s="28"/>
      <c r="NVU3" s="28"/>
      <c r="NVV3" s="28"/>
      <c r="NVW3" s="28"/>
      <c r="NVX3" s="28"/>
      <c r="NVY3" s="28"/>
      <c r="NVZ3" s="28"/>
      <c r="NWA3" s="28"/>
      <c r="NWB3" s="28"/>
      <c r="NWC3" s="28"/>
      <c r="NWD3" s="28"/>
      <c r="NWE3" s="28"/>
      <c r="NWF3" s="28"/>
      <c r="NWG3" s="28"/>
      <c r="NWH3" s="28"/>
      <c r="NWI3" s="28"/>
      <c r="NWJ3" s="28"/>
      <c r="NWK3" s="28"/>
      <c r="NWL3" s="28"/>
      <c r="NWM3" s="28"/>
      <c r="NWN3" s="28"/>
      <c r="NWO3" s="28"/>
      <c r="NWP3" s="28"/>
      <c r="NWQ3" s="28"/>
      <c r="NWR3" s="28"/>
      <c r="NWS3" s="28"/>
      <c r="NWT3" s="28"/>
      <c r="NWU3" s="28"/>
      <c r="NWV3" s="28"/>
      <c r="NWW3" s="28"/>
      <c r="NWX3" s="28"/>
      <c r="NWY3" s="28"/>
      <c r="NWZ3" s="28"/>
      <c r="NXA3" s="28"/>
      <c r="NXB3" s="28"/>
      <c r="NXC3" s="28"/>
      <c r="NXD3" s="28"/>
      <c r="NXE3" s="28"/>
      <c r="NXF3" s="28"/>
      <c r="NXG3" s="28"/>
      <c r="NXH3" s="28"/>
      <c r="NXI3" s="28"/>
      <c r="NXJ3" s="28"/>
      <c r="NXK3" s="28"/>
      <c r="NXL3" s="28"/>
      <c r="NXM3" s="28"/>
      <c r="NXN3" s="28"/>
      <c r="NXO3" s="28"/>
      <c r="NXP3" s="28"/>
      <c r="NXQ3" s="28"/>
      <c r="NXR3" s="28"/>
      <c r="NXS3" s="28"/>
      <c r="NXT3" s="28"/>
      <c r="NXU3" s="28"/>
      <c r="NXV3" s="28"/>
      <c r="NXW3" s="28"/>
      <c r="NXX3" s="28"/>
      <c r="NXY3" s="28"/>
      <c r="NXZ3" s="28"/>
      <c r="NYA3" s="28"/>
      <c r="NYB3" s="28"/>
      <c r="NYC3" s="28"/>
      <c r="NYD3" s="28"/>
      <c r="NYE3" s="28"/>
      <c r="NYF3" s="28"/>
      <c r="NYG3" s="28"/>
      <c r="NYH3" s="28"/>
      <c r="NYI3" s="28"/>
      <c r="NYJ3" s="28"/>
      <c r="NYK3" s="28"/>
      <c r="NYL3" s="28"/>
      <c r="NYM3" s="28"/>
      <c r="NYN3" s="28"/>
      <c r="NYO3" s="28"/>
      <c r="NYP3" s="28"/>
      <c r="NYQ3" s="28"/>
      <c r="NYR3" s="28"/>
      <c r="NYS3" s="28"/>
      <c r="NYT3" s="28"/>
      <c r="NYU3" s="28"/>
      <c r="NYV3" s="28"/>
      <c r="NYW3" s="28"/>
      <c r="NYX3" s="28"/>
      <c r="NYY3" s="28"/>
      <c r="NYZ3" s="28"/>
      <c r="NZA3" s="28"/>
      <c r="NZB3" s="28"/>
      <c r="NZC3" s="28"/>
      <c r="NZD3" s="28"/>
      <c r="NZE3" s="28"/>
      <c r="NZF3" s="28"/>
      <c r="NZG3" s="28"/>
      <c r="NZH3" s="28"/>
      <c r="NZI3" s="28"/>
      <c r="NZJ3" s="28"/>
      <c r="NZK3" s="28"/>
      <c r="NZL3" s="28"/>
      <c r="NZM3" s="28"/>
      <c r="NZN3" s="28"/>
      <c r="NZO3" s="28"/>
      <c r="NZP3" s="28"/>
      <c r="NZQ3" s="28"/>
      <c r="NZR3" s="28"/>
      <c r="NZS3" s="28"/>
      <c r="NZT3" s="28"/>
      <c r="NZU3" s="28"/>
      <c r="NZV3" s="28"/>
      <c r="NZW3" s="28"/>
      <c r="NZX3" s="28"/>
      <c r="NZY3" s="28"/>
      <c r="NZZ3" s="28"/>
      <c r="OAA3" s="28"/>
      <c r="OAB3" s="28"/>
      <c r="OAC3" s="28"/>
      <c r="OAD3" s="28"/>
      <c r="OAE3" s="28"/>
      <c r="OAF3" s="28"/>
      <c r="OAG3" s="28"/>
      <c r="OAH3" s="28"/>
      <c r="OAI3" s="28"/>
      <c r="OAJ3" s="28"/>
      <c r="OAK3" s="28"/>
      <c r="OAL3" s="28"/>
      <c r="OAM3" s="28"/>
      <c r="OAN3" s="28"/>
      <c r="OAO3" s="28"/>
      <c r="OAP3" s="28"/>
      <c r="OAQ3" s="28"/>
      <c r="OAR3" s="28"/>
      <c r="OAS3" s="28"/>
      <c r="OAT3" s="28"/>
      <c r="OAU3" s="28"/>
      <c r="OAV3" s="28"/>
      <c r="OAW3" s="28"/>
      <c r="OAX3" s="28"/>
      <c r="OAY3" s="28"/>
      <c r="OAZ3" s="28"/>
      <c r="OBA3" s="28"/>
      <c r="OBB3" s="28"/>
      <c r="OBC3" s="28"/>
      <c r="OBD3" s="28"/>
      <c r="OBE3" s="28"/>
      <c r="OBF3" s="28"/>
      <c r="OBG3" s="28"/>
      <c r="OBH3" s="28"/>
      <c r="OBI3" s="28"/>
      <c r="OBJ3" s="28"/>
      <c r="OBK3" s="28"/>
      <c r="OBL3" s="28"/>
      <c r="OBM3" s="28"/>
      <c r="OBN3" s="28"/>
      <c r="OBO3" s="28"/>
      <c r="OBP3" s="28"/>
      <c r="OBQ3" s="28"/>
      <c r="OBR3" s="28"/>
      <c r="OBS3" s="28"/>
      <c r="OBT3" s="28"/>
      <c r="OBU3" s="28"/>
      <c r="OBV3" s="28"/>
      <c r="OBW3" s="28"/>
      <c r="OBX3" s="28"/>
      <c r="OBY3" s="28"/>
      <c r="OBZ3" s="28"/>
      <c r="OCA3" s="28"/>
      <c r="OCB3" s="28"/>
      <c r="OCC3" s="28"/>
      <c r="OCD3" s="28"/>
      <c r="OCE3" s="28"/>
      <c r="OCF3" s="28"/>
      <c r="OCG3" s="28"/>
      <c r="OCH3" s="28"/>
      <c r="OCI3" s="28"/>
      <c r="OCJ3" s="28"/>
      <c r="OCK3" s="28"/>
      <c r="OCL3" s="28"/>
      <c r="OCM3" s="28"/>
      <c r="OCN3" s="28"/>
      <c r="OCO3" s="28"/>
      <c r="OCP3" s="28"/>
      <c r="OCQ3" s="28"/>
      <c r="OCR3" s="28"/>
      <c r="OCS3" s="28"/>
      <c r="OCT3" s="28"/>
      <c r="OCU3" s="28"/>
      <c r="OCV3" s="28"/>
      <c r="OCW3" s="28"/>
      <c r="OCX3" s="28"/>
      <c r="OCY3" s="28"/>
      <c r="OCZ3" s="28"/>
      <c r="ODA3" s="28"/>
      <c r="ODB3" s="28"/>
      <c r="ODC3" s="28"/>
      <c r="ODD3" s="28"/>
      <c r="ODE3" s="28"/>
      <c r="ODF3" s="28"/>
      <c r="ODG3" s="28"/>
      <c r="ODH3" s="28"/>
      <c r="ODI3" s="28"/>
      <c r="ODJ3" s="28"/>
      <c r="ODK3" s="28"/>
      <c r="ODL3" s="28"/>
      <c r="ODM3" s="28"/>
      <c r="ODN3" s="28"/>
      <c r="ODO3" s="28"/>
      <c r="ODP3" s="28"/>
      <c r="ODQ3" s="28"/>
      <c r="ODR3" s="28"/>
      <c r="ODS3" s="28"/>
      <c r="ODT3" s="28"/>
      <c r="ODU3" s="28"/>
      <c r="ODV3" s="28"/>
      <c r="ODW3" s="28"/>
      <c r="ODX3" s="28"/>
      <c r="ODY3" s="28"/>
      <c r="ODZ3" s="28"/>
      <c r="OEA3" s="28"/>
      <c r="OEB3" s="28"/>
      <c r="OEC3" s="28"/>
      <c r="OED3" s="28"/>
      <c r="OEE3" s="28"/>
      <c r="OEF3" s="28"/>
      <c r="OEG3" s="28"/>
      <c r="OEH3" s="28"/>
      <c r="OEI3" s="28"/>
      <c r="OEJ3" s="28"/>
      <c r="OEK3" s="28"/>
      <c r="OEL3" s="28"/>
      <c r="OEM3" s="28"/>
      <c r="OEN3" s="28"/>
      <c r="OEO3" s="28"/>
      <c r="OEP3" s="28"/>
      <c r="OEQ3" s="28"/>
      <c r="OER3" s="28"/>
      <c r="OES3" s="28"/>
      <c r="OET3" s="28"/>
      <c r="OEU3" s="28"/>
      <c r="OEV3" s="28"/>
      <c r="OEW3" s="28"/>
      <c r="OEX3" s="28"/>
      <c r="OEY3" s="28"/>
      <c r="OEZ3" s="28"/>
      <c r="OFA3" s="28"/>
      <c r="OFB3" s="28"/>
      <c r="OFC3" s="28"/>
      <c r="OFD3" s="28"/>
      <c r="OFE3" s="28"/>
      <c r="OFF3" s="28"/>
      <c r="OFG3" s="28"/>
      <c r="OFH3" s="28"/>
      <c r="OFI3" s="28"/>
      <c r="OFJ3" s="28"/>
      <c r="OFK3" s="28"/>
      <c r="OFL3" s="28"/>
      <c r="OFM3" s="28"/>
      <c r="OFN3" s="28"/>
      <c r="OFO3" s="28"/>
      <c r="OFP3" s="28"/>
      <c r="OFQ3" s="28"/>
      <c r="OFR3" s="28"/>
      <c r="OFS3" s="28"/>
      <c r="OFT3" s="28"/>
      <c r="OFU3" s="28"/>
      <c r="OFV3" s="28"/>
      <c r="OFW3" s="28"/>
      <c r="OFX3" s="28"/>
      <c r="OFY3" s="28"/>
      <c r="OFZ3" s="28"/>
      <c r="OGA3" s="28"/>
      <c r="OGB3" s="28"/>
      <c r="OGC3" s="28"/>
      <c r="OGD3" s="28"/>
      <c r="OGE3" s="28"/>
      <c r="OGF3" s="28"/>
      <c r="OGG3" s="28"/>
      <c r="OGH3" s="28"/>
      <c r="OGI3" s="28"/>
      <c r="OGJ3" s="28"/>
      <c r="OGK3" s="28"/>
      <c r="OGL3" s="28"/>
      <c r="OGM3" s="28"/>
      <c r="OGN3" s="28"/>
      <c r="OGO3" s="28"/>
      <c r="OGP3" s="28"/>
      <c r="OGQ3" s="28"/>
      <c r="OGR3" s="28"/>
      <c r="OGS3" s="28"/>
      <c r="OGT3" s="28"/>
      <c r="OGU3" s="28"/>
      <c r="OGV3" s="28"/>
      <c r="OGW3" s="28"/>
      <c r="OGX3" s="28"/>
      <c r="OGY3" s="28"/>
      <c r="OGZ3" s="28"/>
      <c r="OHA3" s="28"/>
      <c r="OHB3" s="28"/>
      <c r="OHC3" s="28"/>
      <c r="OHD3" s="28"/>
      <c r="OHE3" s="28"/>
      <c r="OHF3" s="28"/>
      <c r="OHG3" s="28"/>
      <c r="OHH3" s="28"/>
      <c r="OHI3" s="28"/>
      <c r="OHJ3" s="28"/>
      <c r="OHK3" s="28"/>
      <c r="OHL3" s="28"/>
      <c r="OHM3" s="28"/>
      <c r="OHN3" s="28"/>
      <c r="OHO3" s="28"/>
      <c r="OHP3" s="28"/>
      <c r="OHQ3" s="28"/>
      <c r="OHR3" s="28"/>
      <c r="OHS3" s="28"/>
      <c r="OHT3" s="28"/>
      <c r="OHU3" s="28"/>
      <c r="OHV3" s="28"/>
      <c r="OHW3" s="28"/>
      <c r="OHX3" s="28"/>
      <c r="OHY3" s="28"/>
      <c r="OHZ3" s="28"/>
      <c r="OIA3" s="28"/>
      <c r="OIB3" s="28"/>
      <c r="OIC3" s="28"/>
      <c r="OID3" s="28"/>
      <c r="OIE3" s="28"/>
      <c r="OIF3" s="28"/>
      <c r="OIG3" s="28"/>
      <c r="OIH3" s="28"/>
      <c r="OII3" s="28"/>
      <c r="OIJ3" s="28"/>
      <c r="OIK3" s="28"/>
      <c r="OIL3" s="28"/>
      <c r="OIM3" s="28"/>
      <c r="OIN3" s="28"/>
      <c r="OIO3" s="28"/>
      <c r="OIP3" s="28"/>
      <c r="OIQ3" s="28"/>
      <c r="OIR3" s="28"/>
      <c r="OIS3" s="28"/>
      <c r="OIT3" s="28"/>
      <c r="OIU3" s="28"/>
      <c r="OIV3" s="28"/>
      <c r="OIW3" s="28"/>
      <c r="OIX3" s="28"/>
      <c r="OIY3" s="28"/>
      <c r="OIZ3" s="28"/>
      <c r="OJA3" s="28"/>
      <c r="OJB3" s="28"/>
      <c r="OJC3" s="28"/>
      <c r="OJD3" s="28"/>
      <c r="OJE3" s="28"/>
      <c r="OJF3" s="28"/>
      <c r="OJG3" s="28"/>
      <c r="OJH3" s="28"/>
      <c r="OJI3" s="28"/>
      <c r="OJJ3" s="28"/>
      <c r="OJK3" s="28"/>
      <c r="OJL3" s="28"/>
      <c r="OJM3" s="28"/>
      <c r="OJN3" s="28"/>
      <c r="OJO3" s="28"/>
      <c r="OJP3" s="28"/>
      <c r="OJQ3" s="28"/>
      <c r="OJR3" s="28"/>
      <c r="OJS3" s="28"/>
      <c r="OJT3" s="28"/>
      <c r="OJU3" s="28"/>
      <c r="OJV3" s="28"/>
      <c r="OJW3" s="28"/>
      <c r="OJX3" s="28"/>
      <c r="OJY3" s="28"/>
      <c r="OJZ3" s="28"/>
      <c r="OKA3" s="28"/>
      <c r="OKB3" s="28"/>
      <c r="OKC3" s="28"/>
      <c r="OKD3" s="28"/>
      <c r="OKE3" s="28"/>
      <c r="OKF3" s="28"/>
      <c r="OKG3" s="28"/>
      <c r="OKH3" s="28"/>
      <c r="OKI3" s="28"/>
      <c r="OKJ3" s="28"/>
      <c r="OKK3" s="28"/>
      <c r="OKL3" s="28"/>
      <c r="OKM3" s="28"/>
      <c r="OKN3" s="28"/>
      <c r="OKO3" s="28"/>
      <c r="OKP3" s="28"/>
      <c r="OKQ3" s="28"/>
      <c r="OKR3" s="28"/>
      <c r="OKS3" s="28"/>
      <c r="OKT3" s="28"/>
      <c r="OKU3" s="28"/>
      <c r="OKV3" s="28"/>
      <c r="OKW3" s="28"/>
      <c r="OKX3" s="28"/>
      <c r="OKY3" s="28"/>
      <c r="OKZ3" s="28"/>
      <c r="OLA3" s="28"/>
      <c r="OLB3" s="28"/>
      <c r="OLC3" s="28"/>
      <c r="OLD3" s="28"/>
      <c r="OLE3" s="28"/>
      <c r="OLF3" s="28"/>
      <c r="OLG3" s="28"/>
      <c r="OLH3" s="28"/>
      <c r="OLI3" s="28"/>
      <c r="OLJ3" s="28"/>
      <c r="OLK3" s="28"/>
      <c r="OLL3" s="28"/>
      <c r="OLM3" s="28"/>
      <c r="OLN3" s="28"/>
      <c r="OLO3" s="28"/>
      <c r="OLP3" s="28"/>
      <c r="OLQ3" s="28"/>
      <c r="OLR3" s="28"/>
      <c r="OLS3" s="28"/>
      <c r="OLT3" s="28"/>
      <c r="OLU3" s="28"/>
      <c r="OLV3" s="28"/>
      <c r="OLW3" s="28"/>
      <c r="OLX3" s="28"/>
      <c r="OLY3" s="28"/>
      <c r="OLZ3" s="28"/>
      <c r="OMA3" s="28"/>
      <c r="OMB3" s="28"/>
      <c r="OMC3" s="28"/>
      <c r="OMD3" s="28"/>
      <c r="OME3" s="28"/>
      <c r="OMF3" s="28"/>
      <c r="OMG3" s="28"/>
      <c r="OMH3" s="28"/>
      <c r="OMI3" s="28"/>
      <c r="OMJ3" s="28"/>
      <c r="OMK3" s="28"/>
      <c r="OML3" s="28"/>
      <c r="OMM3" s="28"/>
      <c r="OMN3" s="28"/>
      <c r="OMO3" s="28"/>
      <c r="OMP3" s="28"/>
      <c r="OMQ3" s="28"/>
      <c r="OMR3" s="28"/>
      <c r="OMS3" s="28"/>
      <c r="OMT3" s="28"/>
      <c r="OMU3" s="28"/>
      <c r="OMV3" s="28"/>
      <c r="OMW3" s="28"/>
      <c r="OMX3" s="28"/>
      <c r="OMY3" s="28"/>
      <c r="OMZ3" s="28"/>
      <c r="ONA3" s="28"/>
      <c r="ONB3" s="28"/>
      <c r="ONC3" s="28"/>
      <c r="OND3" s="28"/>
      <c r="ONE3" s="28"/>
      <c r="ONF3" s="28"/>
      <c r="ONG3" s="28"/>
      <c r="ONH3" s="28"/>
      <c r="ONI3" s="28"/>
      <c r="ONJ3" s="28"/>
      <c r="ONK3" s="28"/>
      <c r="ONL3" s="28"/>
      <c r="ONM3" s="28"/>
      <c r="ONN3" s="28"/>
      <c r="ONO3" s="28"/>
      <c r="ONP3" s="28"/>
      <c r="ONQ3" s="28"/>
      <c r="ONR3" s="28"/>
      <c r="ONS3" s="28"/>
      <c r="ONT3" s="28"/>
      <c r="ONU3" s="28"/>
      <c r="ONV3" s="28"/>
      <c r="ONW3" s="28"/>
      <c r="ONX3" s="28"/>
      <c r="ONY3" s="28"/>
      <c r="ONZ3" s="28"/>
      <c r="OOA3" s="28"/>
      <c r="OOB3" s="28"/>
      <c r="OOC3" s="28"/>
      <c r="OOD3" s="28"/>
      <c r="OOE3" s="28"/>
      <c r="OOF3" s="28"/>
      <c r="OOG3" s="28"/>
      <c r="OOH3" s="28"/>
      <c r="OOI3" s="28"/>
      <c r="OOJ3" s="28"/>
      <c r="OOK3" s="28"/>
      <c r="OOL3" s="28"/>
      <c r="OOM3" s="28"/>
      <c r="OON3" s="28"/>
      <c r="OOO3" s="28"/>
      <c r="OOP3" s="28"/>
      <c r="OOQ3" s="28"/>
      <c r="OOR3" s="28"/>
      <c r="OOS3" s="28"/>
      <c r="OOT3" s="28"/>
      <c r="OOU3" s="28"/>
      <c r="OOV3" s="28"/>
      <c r="OOW3" s="28"/>
      <c r="OOX3" s="28"/>
      <c r="OOY3" s="28"/>
      <c r="OOZ3" s="28"/>
      <c r="OPA3" s="28"/>
      <c r="OPB3" s="28"/>
      <c r="OPC3" s="28"/>
      <c r="OPD3" s="28"/>
      <c r="OPE3" s="28"/>
      <c r="OPF3" s="28"/>
      <c r="OPG3" s="28"/>
      <c r="OPH3" s="28"/>
      <c r="OPI3" s="28"/>
      <c r="OPJ3" s="28"/>
      <c r="OPK3" s="28"/>
      <c r="OPL3" s="28"/>
      <c r="OPM3" s="28"/>
      <c r="OPN3" s="28"/>
      <c r="OPO3" s="28"/>
      <c r="OPP3" s="28"/>
      <c r="OPQ3" s="28"/>
      <c r="OPR3" s="28"/>
      <c r="OPS3" s="28"/>
      <c r="OPT3" s="28"/>
      <c r="OPU3" s="28"/>
      <c r="OPV3" s="28"/>
      <c r="OPW3" s="28"/>
      <c r="OPX3" s="28"/>
      <c r="OPY3" s="28"/>
      <c r="OPZ3" s="28"/>
      <c r="OQA3" s="28"/>
      <c r="OQB3" s="28"/>
      <c r="OQC3" s="28"/>
      <c r="OQD3" s="28"/>
      <c r="OQE3" s="28"/>
      <c r="OQF3" s="28"/>
      <c r="OQG3" s="28"/>
      <c r="OQH3" s="28"/>
      <c r="OQI3" s="28"/>
      <c r="OQJ3" s="28"/>
      <c r="OQK3" s="28"/>
      <c r="OQL3" s="28"/>
      <c r="OQM3" s="28"/>
      <c r="OQN3" s="28"/>
      <c r="OQO3" s="28"/>
      <c r="OQP3" s="28"/>
      <c r="OQQ3" s="28"/>
      <c r="OQR3" s="28"/>
      <c r="OQS3" s="28"/>
      <c r="OQT3" s="28"/>
      <c r="OQU3" s="28"/>
      <c r="OQV3" s="28"/>
      <c r="OQW3" s="28"/>
      <c r="OQX3" s="28"/>
      <c r="OQY3" s="28"/>
      <c r="OQZ3" s="28"/>
      <c r="ORA3" s="28"/>
      <c r="ORB3" s="28"/>
      <c r="ORC3" s="28"/>
      <c r="ORD3" s="28"/>
      <c r="ORE3" s="28"/>
      <c r="ORF3" s="28"/>
      <c r="ORG3" s="28"/>
      <c r="ORH3" s="28"/>
      <c r="ORI3" s="28"/>
      <c r="ORJ3" s="28"/>
      <c r="ORK3" s="28"/>
      <c r="ORL3" s="28"/>
      <c r="ORM3" s="28"/>
      <c r="ORN3" s="28"/>
      <c r="ORO3" s="28"/>
      <c r="ORP3" s="28"/>
      <c r="ORQ3" s="28"/>
      <c r="ORR3" s="28"/>
      <c r="ORS3" s="28"/>
      <c r="ORT3" s="28"/>
      <c r="ORU3" s="28"/>
      <c r="ORV3" s="28"/>
      <c r="ORW3" s="28"/>
      <c r="ORX3" s="28"/>
      <c r="ORY3" s="28"/>
      <c r="ORZ3" s="28"/>
      <c r="OSA3" s="28"/>
      <c r="OSB3" s="28"/>
      <c r="OSC3" s="28"/>
      <c r="OSD3" s="28"/>
      <c r="OSE3" s="28"/>
      <c r="OSF3" s="28"/>
      <c r="OSG3" s="28"/>
      <c r="OSH3" s="28"/>
      <c r="OSI3" s="28"/>
      <c r="OSJ3" s="28"/>
      <c r="OSK3" s="28"/>
      <c r="OSL3" s="28"/>
      <c r="OSM3" s="28"/>
      <c r="OSN3" s="28"/>
      <c r="OSO3" s="28"/>
      <c r="OSP3" s="28"/>
      <c r="OSQ3" s="28"/>
      <c r="OSR3" s="28"/>
      <c r="OSS3" s="28"/>
      <c r="OST3" s="28"/>
      <c r="OSU3" s="28"/>
      <c r="OSV3" s="28"/>
      <c r="OSW3" s="28"/>
      <c r="OSX3" s="28"/>
      <c r="OSY3" s="28"/>
      <c r="OSZ3" s="28"/>
      <c r="OTA3" s="28"/>
      <c r="OTB3" s="28"/>
      <c r="OTC3" s="28"/>
      <c r="OTD3" s="28"/>
      <c r="OTE3" s="28"/>
      <c r="OTF3" s="28"/>
      <c r="OTG3" s="28"/>
      <c r="OTH3" s="28"/>
      <c r="OTI3" s="28"/>
      <c r="OTJ3" s="28"/>
      <c r="OTK3" s="28"/>
      <c r="OTL3" s="28"/>
      <c r="OTM3" s="28"/>
      <c r="OTN3" s="28"/>
      <c r="OTO3" s="28"/>
      <c r="OTP3" s="28"/>
      <c r="OTQ3" s="28"/>
      <c r="OTR3" s="28"/>
      <c r="OTS3" s="28"/>
      <c r="OTT3" s="28"/>
      <c r="OTU3" s="28"/>
      <c r="OTV3" s="28"/>
      <c r="OTW3" s="28"/>
      <c r="OTX3" s="28"/>
      <c r="OTY3" s="28"/>
      <c r="OTZ3" s="28"/>
      <c r="OUA3" s="28"/>
      <c r="OUB3" s="28"/>
      <c r="OUC3" s="28"/>
      <c r="OUD3" s="28"/>
      <c r="OUE3" s="28"/>
      <c r="OUF3" s="28"/>
      <c r="OUG3" s="28"/>
      <c r="OUH3" s="28"/>
      <c r="OUI3" s="28"/>
      <c r="OUJ3" s="28"/>
      <c r="OUK3" s="28"/>
      <c r="OUL3" s="28"/>
      <c r="OUM3" s="28"/>
      <c r="OUN3" s="28"/>
      <c r="OUO3" s="28"/>
      <c r="OUP3" s="28"/>
      <c r="OUQ3" s="28"/>
      <c r="OUR3" s="28"/>
      <c r="OUS3" s="28"/>
      <c r="OUT3" s="28"/>
      <c r="OUU3" s="28"/>
      <c r="OUV3" s="28"/>
      <c r="OUW3" s="28"/>
      <c r="OUX3" s="28"/>
      <c r="OUY3" s="28"/>
      <c r="OUZ3" s="28"/>
      <c r="OVA3" s="28"/>
      <c r="OVB3" s="28"/>
      <c r="OVC3" s="28"/>
      <c r="OVD3" s="28"/>
      <c r="OVE3" s="28"/>
      <c r="OVF3" s="28"/>
      <c r="OVG3" s="28"/>
      <c r="OVH3" s="28"/>
      <c r="OVI3" s="28"/>
      <c r="OVJ3" s="28"/>
      <c r="OVK3" s="28"/>
      <c r="OVL3" s="28"/>
      <c r="OVM3" s="28"/>
      <c r="OVN3" s="28"/>
      <c r="OVO3" s="28"/>
      <c r="OVP3" s="28"/>
      <c r="OVQ3" s="28"/>
      <c r="OVR3" s="28"/>
      <c r="OVS3" s="28"/>
      <c r="OVT3" s="28"/>
      <c r="OVU3" s="28"/>
      <c r="OVV3" s="28"/>
      <c r="OVW3" s="28"/>
      <c r="OVX3" s="28"/>
      <c r="OVY3" s="28"/>
      <c r="OVZ3" s="28"/>
      <c r="OWA3" s="28"/>
      <c r="OWB3" s="28"/>
      <c r="OWC3" s="28"/>
      <c r="OWD3" s="28"/>
      <c r="OWE3" s="28"/>
      <c r="OWF3" s="28"/>
      <c r="OWG3" s="28"/>
      <c r="OWH3" s="28"/>
      <c r="OWI3" s="28"/>
      <c r="OWJ3" s="28"/>
      <c r="OWK3" s="28"/>
      <c r="OWL3" s="28"/>
      <c r="OWM3" s="28"/>
      <c r="OWN3" s="28"/>
      <c r="OWO3" s="28"/>
      <c r="OWP3" s="28"/>
      <c r="OWQ3" s="28"/>
      <c r="OWR3" s="28"/>
      <c r="OWS3" s="28"/>
      <c r="OWT3" s="28"/>
      <c r="OWU3" s="28"/>
      <c r="OWV3" s="28"/>
      <c r="OWW3" s="28"/>
      <c r="OWX3" s="28"/>
      <c r="OWY3" s="28"/>
      <c r="OWZ3" s="28"/>
      <c r="OXA3" s="28"/>
      <c r="OXB3" s="28"/>
      <c r="OXC3" s="28"/>
      <c r="OXD3" s="28"/>
      <c r="OXE3" s="28"/>
      <c r="OXF3" s="28"/>
      <c r="OXG3" s="28"/>
      <c r="OXH3" s="28"/>
      <c r="OXI3" s="28"/>
      <c r="OXJ3" s="28"/>
      <c r="OXK3" s="28"/>
      <c r="OXL3" s="28"/>
      <c r="OXM3" s="28"/>
      <c r="OXN3" s="28"/>
      <c r="OXO3" s="28"/>
      <c r="OXP3" s="28"/>
      <c r="OXQ3" s="28"/>
      <c r="OXR3" s="28"/>
      <c r="OXS3" s="28"/>
      <c r="OXT3" s="28"/>
      <c r="OXU3" s="28"/>
      <c r="OXV3" s="28"/>
      <c r="OXW3" s="28"/>
      <c r="OXX3" s="28"/>
      <c r="OXY3" s="28"/>
      <c r="OXZ3" s="28"/>
      <c r="OYA3" s="28"/>
      <c r="OYB3" s="28"/>
      <c r="OYC3" s="28"/>
      <c r="OYD3" s="28"/>
      <c r="OYE3" s="28"/>
      <c r="OYF3" s="28"/>
      <c r="OYG3" s="28"/>
      <c r="OYH3" s="28"/>
      <c r="OYI3" s="28"/>
      <c r="OYJ3" s="28"/>
      <c r="OYK3" s="28"/>
      <c r="OYL3" s="28"/>
      <c r="OYM3" s="28"/>
      <c r="OYN3" s="28"/>
      <c r="OYO3" s="28"/>
      <c r="OYP3" s="28"/>
      <c r="OYQ3" s="28"/>
      <c r="OYR3" s="28"/>
      <c r="OYS3" s="28"/>
      <c r="OYT3" s="28"/>
      <c r="OYU3" s="28"/>
      <c r="OYV3" s="28"/>
      <c r="OYW3" s="28"/>
      <c r="OYX3" s="28"/>
      <c r="OYY3" s="28"/>
      <c r="OYZ3" s="28"/>
      <c r="OZA3" s="28"/>
      <c r="OZB3" s="28"/>
      <c r="OZC3" s="28"/>
      <c r="OZD3" s="28"/>
      <c r="OZE3" s="28"/>
      <c r="OZF3" s="28"/>
      <c r="OZG3" s="28"/>
      <c r="OZH3" s="28"/>
      <c r="OZI3" s="28"/>
      <c r="OZJ3" s="28"/>
      <c r="OZK3" s="28"/>
      <c r="OZL3" s="28"/>
      <c r="OZM3" s="28"/>
      <c r="OZN3" s="28"/>
      <c r="OZO3" s="28"/>
      <c r="OZP3" s="28"/>
      <c r="OZQ3" s="28"/>
      <c r="OZR3" s="28"/>
      <c r="OZS3" s="28"/>
      <c r="OZT3" s="28"/>
      <c r="OZU3" s="28"/>
      <c r="OZV3" s="28"/>
      <c r="OZW3" s="28"/>
      <c r="OZX3" s="28"/>
      <c r="OZY3" s="28"/>
      <c r="OZZ3" s="28"/>
      <c r="PAA3" s="28"/>
      <c r="PAB3" s="28"/>
      <c r="PAC3" s="28"/>
      <c r="PAD3" s="28"/>
      <c r="PAE3" s="28"/>
      <c r="PAF3" s="28"/>
      <c r="PAG3" s="28"/>
      <c r="PAH3" s="28"/>
      <c r="PAI3" s="28"/>
      <c r="PAJ3" s="28"/>
      <c r="PAK3" s="28"/>
      <c r="PAL3" s="28"/>
      <c r="PAM3" s="28"/>
      <c r="PAN3" s="28"/>
      <c r="PAO3" s="28"/>
      <c r="PAP3" s="28"/>
      <c r="PAQ3" s="28"/>
      <c r="PAR3" s="28"/>
      <c r="PAS3" s="28"/>
      <c r="PAT3" s="28"/>
      <c r="PAU3" s="28"/>
      <c r="PAV3" s="28"/>
      <c r="PAW3" s="28"/>
      <c r="PAX3" s="28"/>
      <c r="PAY3" s="28"/>
      <c r="PAZ3" s="28"/>
      <c r="PBA3" s="28"/>
      <c r="PBB3" s="28"/>
      <c r="PBC3" s="28"/>
      <c r="PBD3" s="28"/>
      <c r="PBE3" s="28"/>
      <c r="PBF3" s="28"/>
      <c r="PBG3" s="28"/>
      <c r="PBH3" s="28"/>
      <c r="PBI3" s="28"/>
      <c r="PBJ3" s="28"/>
      <c r="PBK3" s="28"/>
      <c r="PBL3" s="28"/>
      <c r="PBM3" s="28"/>
      <c r="PBN3" s="28"/>
      <c r="PBO3" s="28"/>
      <c r="PBP3" s="28"/>
      <c r="PBQ3" s="28"/>
      <c r="PBR3" s="28"/>
      <c r="PBS3" s="28"/>
      <c r="PBT3" s="28"/>
      <c r="PBU3" s="28"/>
      <c r="PBV3" s="28"/>
      <c r="PBW3" s="28"/>
      <c r="PBX3" s="28"/>
      <c r="PBY3" s="28"/>
      <c r="PBZ3" s="28"/>
      <c r="PCA3" s="28"/>
      <c r="PCB3" s="28"/>
      <c r="PCC3" s="28"/>
      <c r="PCD3" s="28"/>
      <c r="PCE3" s="28"/>
      <c r="PCF3" s="28"/>
      <c r="PCG3" s="28"/>
      <c r="PCH3" s="28"/>
      <c r="PCI3" s="28"/>
      <c r="PCJ3" s="28"/>
      <c r="PCK3" s="28"/>
      <c r="PCL3" s="28"/>
      <c r="PCM3" s="28"/>
      <c r="PCN3" s="28"/>
      <c r="PCO3" s="28"/>
      <c r="PCP3" s="28"/>
      <c r="PCQ3" s="28"/>
      <c r="PCR3" s="28"/>
      <c r="PCS3" s="28"/>
      <c r="PCT3" s="28"/>
      <c r="PCU3" s="28"/>
      <c r="PCV3" s="28"/>
      <c r="PCW3" s="28"/>
      <c r="PCX3" s="28"/>
      <c r="PCY3" s="28"/>
      <c r="PCZ3" s="28"/>
      <c r="PDA3" s="28"/>
      <c r="PDB3" s="28"/>
      <c r="PDC3" s="28"/>
      <c r="PDD3" s="28"/>
      <c r="PDE3" s="28"/>
      <c r="PDF3" s="28"/>
      <c r="PDG3" s="28"/>
      <c r="PDH3" s="28"/>
      <c r="PDI3" s="28"/>
      <c r="PDJ3" s="28"/>
      <c r="PDK3" s="28"/>
      <c r="PDL3" s="28"/>
      <c r="PDM3" s="28"/>
      <c r="PDN3" s="28"/>
      <c r="PDO3" s="28"/>
      <c r="PDP3" s="28"/>
      <c r="PDQ3" s="28"/>
      <c r="PDR3" s="28"/>
      <c r="PDS3" s="28"/>
      <c r="PDT3" s="28"/>
      <c r="PDU3" s="28"/>
      <c r="PDV3" s="28"/>
      <c r="PDW3" s="28"/>
      <c r="PDX3" s="28"/>
      <c r="PDY3" s="28"/>
      <c r="PDZ3" s="28"/>
      <c r="PEA3" s="28"/>
      <c r="PEB3" s="28"/>
      <c r="PEC3" s="28"/>
      <c r="PED3" s="28"/>
      <c r="PEE3" s="28"/>
      <c r="PEF3" s="28"/>
      <c r="PEG3" s="28"/>
      <c r="PEH3" s="28"/>
      <c r="PEI3" s="28"/>
      <c r="PEJ3" s="28"/>
      <c r="PEK3" s="28"/>
      <c r="PEL3" s="28"/>
      <c r="PEM3" s="28"/>
      <c r="PEN3" s="28"/>
      <c r="PEO3" s="28"/>
      <c r="PEP3" s="28"/>
      <c r="PEQ3" s="28"/>
      <c r="PER3" s="28"/>
      <c r="PES3" s="28"/>
      <c r="PET3" s="28"/>
      <c r="PEU3" s="28"/>
      <c r="PEV3" s="28"/>
      <c r="PEW3" s="28"/>
      <c r="PEX3" s="28"/>
      <c r="PEY3" s="28"/>
      <c r="PEZ3" s="28"/>
      <c r="PFA3" s="28"/>
      <c r="PFB3" s="28"/>
      <c r="PFC3" s="28"/>
      <c r="PFD3" s="28"/>
      <c r="PFE3" s="28"/>
      <c r="PFF3" s="28"/>
      <c r="PFG3" s="28"/>
      <c r="PFH3" s="28"/>
      <c r="PFI3" s="28"/>
      <c r="PFJ3" s="28"/>
      <c r="PFK3" s="28"/>
      <c r="PFL3" s="28"/>
      <c r="PFM3" s="28"/>
      <c r="PFN3" s="28"/>
      <c r="PFO3" s="28"/>
      <c r="PFP3" s="28"/>
      <c r="PFQ3" s="28"/>
      <c r="PFR3" s="28"/>
      <c r="PFS3" s="28"/>
      <c r="PFT3" s="28"/>
      <c r="PFU3" s="28"/>
      <c r="PFV3" s="28"/>
      <c r="PFW3" s="28"/>
      <c r="PFX3" s="28"/>
      <c r="PFY3" s="28"/>
      <c r="PFZ3" s="28"/>
      <c r="PGA3" s="28"/>
      <c r="PGB3" s="28"/>
      <c r="PGC3" s="28"/>
      <c r="PGD3" s="28"/>
      <c r="PGE3" s="28"/>
      <c r="PGF3" s="28"/>
      <c r="PGG3" s="28"/>
      <c r="PGH3" s="28"/>
      <c r="PGI3" s="28"/>
      <c r="PGJ3" s="28"/>
      <c r="PGK3" s="28"/>
      <c r="PGL3" s="28"/>
      <c r="PGM3" s="28"/>
      <c r="PGN3" s="28"/>
      <c r="PGO3" s="28"/>
      <c r="PGP3" s="28"/>
      <c r="PGQ3" s="28"/>
      <c r="PGR3" s="28"/>
      <c r="PGS3" s="28"/>
      <c r="PGT3" s="28"/>
      <c r="PGU3" s="28"/>
      <c r="PGV3" s="28"/>
      <c r="PGW3" s="28"/>
      <c r="PGX3" s="28"/>
      <c r="PGY3" s="28"/>
      <c r="PGZ3" s="28"/>
      <c r="PHA3" s="28"/>
      <c r="PHB3" s="28"/>
      <c r="PHC3" s="28"/>
      <c r="PHD3" s="28"/>
      <c r="PHE3" s="28"/>
      <c r="PHF3" s="28"/>
      <c r="PHG3" s="28"/>
      <c r="PHH3" s="28"/>
      <c r="PHI3" s="28"/>
      <c r="PHJ3" s="28"/>
      <c r="PHK3" s="28"/>
      <c r="PHL3" s="28"/>
      <c r="PHM3" s="28"/>
      <c r="PHN3" s="28"/>
      <c r="PHO3" s="28"/>
      <c r="PHP3" s="28"/>
      <c r="PHQ3" s="28"/>
      <c r="PHR3" s="28"/>
      <c r="PHS3" s="28"/>
      <c r="PHT3" s="28"/>
      <c r="PHU3" s="28"/>
      <c r="PHV3" s="28"/>
      <c r="PHW3" s="28"/>
      <c r="PHX3" s="28"/>
      <c r="PHY3" s="28"/>
      <c r="PHZ3" s="28"/>
      <c r="PIA3" s="28"/>
      <c r="PIB3" s="28"/>
      <c r="PIC3" s="28"/>
      <c r="PID3" s="28"/>
      <c r="PIE3" s="28"/>
      <c r="PIF3" s="28"/>
      <c r="PIG3" s="28"/>
      <c r="PIH3" s="28"/>
      <c r="PII3" s="28"/>
      <c r="PIJ3" s="28"/>
      <c r="PIK3" s="28"/>
      <c r="PIL3" s="28"/>
      <c r="PIM3" s="28"/>
      <c r="PIN3" s="28"/>
      <c r="PIO3" s="28"/>
      <c r="PIP3" s="28"/>
      <c r="PIQ3" s="28"/>
      <c r="PIR3" s="28"/>
      <c r="PIS3" s="28"/>
      <c r="PIT3" s="28"/>
      <c r="PIU3" s="28"/>
      <c r="PIV3" s="28"/>
      <c r="PIW3" s="28"/>
      <c r="PIX3" s="28"/>
      <c r="PIY3" s="28"/>
      <c r="PIZ3" s="28"/>
      <c r="PJA3" s="28"/>
      <c r="PJB3" s="28"/>
      <c r="PJC3" s="28"/>
      <c r="PJD3" s="28"/>
      <c r="PJE3" s="28"/>
      <c r="PJF3" s="28"/>
      <c r="PJG3" s="28"/>
      <c r="PJH3" s="28"/>
      <c r="PJI3" s="28"/>
      <c r="PJJ3" s="28"/>
      <c r="PJK3" s="28"/>
      <c r="PJL3" s="28"/>
      <c r="PJM3" s="28"/>
      <c r="PJN3" s="28"/>
      <c r="PJO3" s="28"/>
      <c r="PJP3" s="28"/>
      <c r="PJQ3" s="28"/>
      <c r="PJR3" s="28"/>
      <c r="PJS3" s="28"/>
      <c r="PJT3" s="28"/>
      <c r="PJU3" s="28"/>
      <c r="PJV3" s="28"/>
      <c r="PJW3" s="28"/>
      <c r="PJX3" s="28"/>
      <c r="PJY3" s="28"/>
      <c r="PJZ3" s="28"/>
      <c r="PKA3" s="28"/>
      <c r="PKB3" s="28"/>
      <c r="PKC3" s="28"/>
      <c r="PKD3" s="28"/>
      <c r="PKE3" s="28"/>
      <c r="PKF3" s="28"/>
      <c r="PKG3" s="28"/>
      <c r="PKH3" s="28"/>
      <c r="PKI3" s="28"/>
      <c r="PKJ3" s="28"/>
      <c r="PKK3" s="28"/>
      <c r="PKL3" s="28"/>
      <c r="PKM3" s="28"/>
      <c r="PKN3" s="28"/>
      <c r="PKO3" s="28"/>
      <c r="PKP3" s="28"/>
      <c r="PKQ3" s="28"/>
      <c r="PKR3" s="28"/>
      <c r="PKS3" s="28"/>
      <c r="PKT3" s="28"/>
      <c r="PKU3" s="28"/>
      <c r="PKV3" s="28"/>
      <c r="PKW3" s="28"/>
      <c r="PKX3" s="28"/>
      <c r="PKY3" s="28"/>
      <c r="PKZ3" s="28"/>
      <c r="PLA3" s="28"/>
      <c r="PLB3" s="28"/>
      <c r="PLC3" s="28"/>
      <c r="PLD3" s="28"/>
      <c r="PLE3" s="28"/>
      <c r="PLF3" s="28"/>
      <c r="PLG3" s="28"/>
      <c r="PLH3" s="28"/>
      <c r="PLI3" s="28"/>
      <c r="PLJ3" s="28"/>
      <c r="PLK3" s="28"/>
      <c r="PLL3" s="28"/>
      <c r="PLM3" s="28"/>
      <c r="PLN3" s="28"/>
      <c r="PLO3" s="28"/>
      <c r="PLP3" s="28"/>
      <c r="PLQ3" s="28"/>
      <c r="PLR3" s="28"/>
      <c r="PLS3" s="28"/>
      <c r="PLT3" s="28"/>
      <c r="PLU3" s="28"/>
      <c r="PLV3" s="28"/>
      <c r="PLW3" s="28"/>
      <c r="PLX3" s="28"/>
      <c r="PLY3" s="28"/>
      <c r="PLZ3" s="28"/>
      <c r="PMA3" s="28"/>
      <c r="PMB3" s="28"/>
      <c r="PMC3" s="28"/>
      <c r="PMD3" s="28"/>
      <c r="PME3" s="28"/>
      <c r="PMF3" s="28"/>
      <c r="PMG3" s="28"/>
      <c r="PMH3" s="28"/>
      <c r="PMI3" s="28"/>
      <c r="PMJ3" s="28"/>
      <c r="PMK3" s="28"/>
      <c r="PML3" s="28"/>
      <c r="PMM3" s="28"/>
      <c r="PMN3" s="28"/>
      <c r="PMO3" s="28"/>
      <c r="PMP3" s="28"/>
      <c r="PMQ3" s="28"/>
      <c r="PMR3" s="28"/>
      <c r="PMS3" s="28"/>
      <c r="PMT3" s="28"/>
      <c r="PMU3" s="28"/>
      <c r="PMV3" s="28"/>
      <c r="PMW3" s="28"/>
      <c r="PMX3" s="28"/>
      <c r="PMY3" s="28"/>
      <c r="PMZ3" s="28"/>
      <c r="PNA3" s="28"/>
      <c r="PNB3" s="28"/>
      <c r="PNC3" s="28"/>
      <c r="PND3" s="28"/>
      <c r="PNE3" s="28"/>
      <c r="PNF3" s="28"/>
      <c r="PNG3" s="28"/>
      <c r="PNH3" s="28"/>
      <c r="PNI3" s="28"/>
      <c r="PNJ3" s="28"/>
      <c r="PNK3" s="28"/>
      <c r="PNL3" s="28"/>
      <c r="PNM3" s="28"/>
      <c r="PNN3" s="28"/>
      <c r="PNO3" s="28"/>
      <c r="PNP3" s="28"/>
      <c r="PNQ3" s="28"/>
      <c r="PNR3" s="28"/>
      <c r="PNS3" s="28"/>
      <c r="PNT3" s="28"/>
      <c r="PNU3" s="28"/>
      <c r="PNV3" s="28"/>
      <c r="PNW3" s="28"/>
      <c r="PNX3" s="28"/>
      <c r="PNY3" s="28"/>
      <c r="PNZ3" s="28"/>
      <c r="POA3" s="28"/>
      <c r="POB3" s="28"/>
      <c r="POC3" s="28"/>
      <c r="POD3" s="28"/>
      <c r="POE3" s="28"/>
      <c r="POF3" s="28"/>
      <c r="POG3" s="28"/>
      <c r="POH3" s="28"/>
      <c r="POI3" s="28"/>
      <c r="POJ3" s="28"/>
      <c r="POK3" s="28"/>
      <c r="POL3" s="28"/>
      <c r="POM3" s="28"/>
      <c r="PON3" s="28"/>
      <c r="POO3" s="28"/>
      <c r="POP3" s="28"/>
      <c r="POQ3" s="28"/>
      <c r="POR3" s="28"/>
      <c r="POS3" s="28"/>
      <c r="POT3" s="28"/>
      <c r="POU3" s="28"/>
      <c r="POV3" s="28"/>
      <c r="POW3" s="28"/>
      <c r="POX3" s="28"/>
      <c r="POY3" s="28"/>
      <c r="POZ3" s="28"/>
      <c r="PPA3" s="28"/>
      <c r="PPB3" s="28"/>
      <c r="PPC3" s="28"/>
      <c r="PPD3" s="28"/>
      <c r="PPE3" s="28"/>
      <c r="PPF3" s="28"/>
      <c r="PPG3" s="28"/>
      <c r="PPH3" s="28"/>
      <c r="PPI3" s="28"/>
      <c r="PPJ3" s="28"/>
      <c r="PPK3" s="28"/>
      <c r="PPL3" s="28"/>
      <c r="PPM3" s="28"/>
      <c r="PPN3" s="28"/>
      <c r="PPO3" s="28"/>
      <c r="PPP3" s="28"/>
      <c r="PPQ3" s="28"/>
      <c r="PPR3" s="28"/>
      <c r="PPS3" s="28"/>
      <c r="PPT3" s="28"/>
      <c r="PPU3" s="28"/>
      <c r="PPV3" s="28"/>
      <c r="PPW3" s="28"/>
      <c r="PPX3" s="28"/>
      <c r="PPY3" s="28"/>
      <c r="PPZ3" s="28"/>
      <c r="PQA3" s="28"/>
      <c r="PQB3" s="28"/>
      <c r="PQC3" s="28"/>
      <c r="PQD3" s="28"/>
      <c r="PQE3" s="28"/>
      <c r="PQF3" s="28"/>
      <c r="PQG3" s="28"/>
      <c r="PQH3" s="28"/>
      <c r="PQI3" s="28"/>
      <c r="PQJ3" s="28"/>
      <c r="PQK3" s="28"/>
      <c r="PQL3" s="28"/>
      <c r="PQM3" s="28"/>
      <c r="PQN3" s="28"/>
      <c r="PQO3" s="28"/>
      <c r="PQP3" s="28"/>
      <c r="PQQ3" s="28"/>
      <c r="PQR3" s="28"/>
      <c r="PQS3" s="28"/>
      <c r="PQT3" s="28"/>
      <c r="PQU3" s="28"/>
      <c r="PQV3" s="28"/>
      <c r="PQW3" s="28"/>
      <c r="PQX3" s="28"/>
      <c r="PQY3" s="28"/>
      <c r="PQZ3" s="28"/>
      <c r="PRA3" s="28"/>
      <c r="PRB3" s="28"/>
      <c r="PRC3" s="28"/>
      <c r="PRD3" s="28"/>
      <c r="PRE3" s="28"/>
      <c r="PRF3" s="28"/>
      <c r="PRG3" s="28"/>
      <c r="PRH3" s="28"/>
      <c r="PRI3" s="28"/>
      <c r="PRJ3" s="28"/>
      <c r="PRK3" s="28"/>
      <c r="PRL3" s="28"/>
      <c r="PRM3" s="28"/>
      <c r="PRN3" s="28"/>
      <c r="PRO3" s="28"/>
      <c r="PRP3" s="28"/>
      <c r="PRQ3" s="28"/>
      <c r="PRR3" s="28"/>
      <c r="PRS3" s="28"/>
      <c r="PRT3" s="28"/>
      <c r="PRU3" s="28"/>
      <c r="PRV3" s="28"/>
      <c r="PRW3" s="28"/>
      <c r="PRX3" s="28"/>
      <c r="PRY3" s="28"/>
      <c r="PRZ3" s="28"/>
      <c r="PSA3" s="28"/>
      <c r="PSB3" s="28"/>
      <c r="PSC3" s="28"/>
      <c r="PSD3" s="28"/>
      <c r="PSE3" s="28"/>
      <c r="PSF3" s="28"/>
      <c r="PSG3" s="28"/>
      <c r="PSH3" s="28"/>
      <c r="PSI3" s="28"/>
      <c r="PSJ3" s="28"/>
      <c r="PSK3" s="28"/>
      <c r="PSL3" s="28"/>
      <c r="PSM3" s="28"/>
      <c r="PSN3" s="28"/>
      <c r="PSO3" s="28"/>
      <c r="PSP3" s="28"/>
      <c r="PSQ3" s="28"/>
      <c r="PSR3" s="28"/>
      <c r="PSS3" s="28"/>
      <c r="PST3" s="28"/>
      <c r="PSU3" s="28"/>
      <c r="PSV3" s="28"/>
      <c r="PSW3" s="28"/>
      <c r="PSX3" s="28"/>
      <c r="PSY3" s="28"/>
      <c r="PSZ3" s="28"/>
      <c r="PTA3" s="28"/>
      <c r="PTB3" s="28"/>
      <c r="PTC3" s="28"/>
      <c r="PTD3" s="28"/>
      <c r="PTE3" s="28"/>
      <c r="PTF3" s="28"/>
      <c r="PTG3" s="28"/>
      <c r="PTH3" s="28"/>
      <c r="PTI3" s="28"/>
      <c r="PTJ3" s="28"/>
      <c r="PTK3" s="28"/>
      <c r="PTL3" s="28"/>
      <c r="PTM3" s="28"/>
      <c r="PTN3" s="28"/>
      <c r="PTO3" s="28"/>
      <c r="PTP3" s="28"/>
      <c r="PTQ3" s="28"/>
      <c r="PTR3" s="28"/>
      <c r="PTS3" s="28"/>
      <c r="PTT3" s="28"/>
      <c r="PTU3" s="28"/>
      <c r="PTV3" s="28"/>
      <c r="PTW3" s="28"/>
      <c r="PTX3" s="28"/>
      <c r="PTY3" s="28"/>
      <c r="PTZ3" s="28"/>
      <c r="PUA3" s="28"/>
      <c r="PUB3" s="28"/>
      <c r="PUC3" s="28"/>
      <c r="PUD3" s="28"/>
      <c r="PUE3" s="28"/>
      <c r="PUF3" s="28"/>
      <c r="PUG3" s="28"/>
      <c r="PUH3" s="28"/>
      <c r="PUI3" s="28"/>
      <c r="PUJ3" s="28"/>
      <c r="PUK3" s="28"/>
      <c r="PUL3" s="28"/>
      <c r="PUM3" s="28"/>
      <c r="PUN3" s="28"/>
      <c r="PUO3" s="28"/>
      <c r="PUP3" s="28"/>
      <c r="PUQ3" s="28"/>
      <c r="PUR3" s="28"/>
      <c r="PUS3" s="28"/>
      <c r="PUT3" s="28"/>
      <c r="PUU3" s="28"/>
      <c r="PUV3" s="28"/>
      <c r="PUW3" s="28"/>
      <c r="PUX3" s="28"/>
      <c r="PUY3" s="28"/>
      <c r="PUZ3" s="28"/>
      <c r="PVA3" s="28"/>
      <c r="PVB3" s="28"/>
      <c r="PVC3" s="28"/>
      <c r="PVD3" s="28"/>
      <c r="PVE3" s="28"/>
      <c r="PVF3" s="28"/>
      <c r="PVG3" s="28"/>
      <c r="PVH3" s="28"/>
      <c r="PVI3" s="28"/>
      <c r="PVJ3" s="28"/>
      <c r="PVK3" s="28"/>
      <c r="PVL3" s="28"/>
      <c r="PVM3" s="28"/>
      <c r="PVN3" s="28"/>
      <c r="PVO3" s="28"/>
      <c r="PVP3" s="28"/>
      <c r="PVQ3" s="28"/>
      <c r="PVR3" s="28"/>
      <c r="PVS3" s="28"/>
      <c r="PVT3" s="28"/>
      <c r="PVU3" s="28"/>
      <c r="PVV3" s="28"/>
      <c r="PVW3" s="28"/>
      <c r="PVX3" s="28"/>
      <c r="PVY3" s="28"/>
      <c r="PVZ3" s="28"/>
      <c r="PWA3" s="28"/>
      <c r="PWB3" s="28"/>
      <c r="PWC3" s="28"/>
      <c r="PWD3" s="28"/>
      <c r="PWE3" s="28"/>
      <c r="PWF3" s="28"/>
      <c r="PWG3" s="28"/>
      <c r="PWH3" s="28"/>
      <c r="PWI3" s="28"/>
      <c r="PWJ3" s="28"/>
      <c r="PWK3" s="28"/>
      <c r="PWL3" s="28"/>
      <c r="PWM3" s="28"/>
      <c r="PWN3" s="28"/>
      <c r="PWO3" s="28"/>
      <c r="PWP3" s="28"/>
      <c r="PWQ3" s="28"/>
      <c r="PWR3" s="28"/>
      <c r="PWS3" s="28"/>
      <c r="PWT3" s="28"/>
      <c r="PWU3" s="28"/>
      <c r="PWV3" s="28"/>
      <c r="PWW3" s="28"/>
      <c r="PWX3" s="28"/>
      <c r="PWY3" s="28"/>
      <c r="PWZ3" s="28"/>
      <c r="PXA3" s="28"/>
      <c r="PXB3" s="28"/>
      <c r="PXC3" s="28"/>
      <c r="PXD3" s="28"/>
      <c r="PXE3" s="28"/>
      <c r="PXF3" s="28"/>
      <c r="PXG3" s="28"/>
      <c r="PXH3" s="28"/>
      <c r="PXI3" s="28"/>
      <c r="PXJ3" s="28"/>
      <c r="PXK3" s="28"/>
      <c r="PXL3" s="28"/>
      <c r="PXM3" s="28"/>
      <c r="PXN3" s="28"/>
      <c r="PXO3" s="28"/>
      <c r="PXP3" s="28"/>
      <c r="PXQ3" s="28"/>
      <c r="PXR3" s="28"/>
      <c r="PXS3" s="28"/>
      <c r="PXT3" s="28"/>
      <c r="PXU3" s="28"/>
      <c r="PXV3" s="28"/>
      <c r="PXW3" s="28"/>
      <c r="PXX3" s="28"/>
      <c r="PXY3" s="28"/>
      <c r="PXZ3" s="28"/>
      <c r="PYA3" s="28"/>
      <c r="PYB3" s="28"/>
      <c r="PYC3" s="28"/>
      <c r="PYD3" s="28"/>
      <c r="PYE3" s="28"/>
      <c r="PYF3" s="28"/>
      <c r="PYG3" s="28"/>
      <c r="PYH3" s="28"/>
      <c r="PYI3" s="28"/>
      <c r="PYJ3" s="28"/>
      <c r="PYK3" s="28"/>
      <c r="PYL3" s="28"/>
      <c r="PYM3" s="28"/>
      <c r="PYN3" s="28"/>
      <c r="PYO3" s="28"/>
      <c r="PYP3" s="28"/>
      <c r="PYQ3" s="28"/>
      <c r="PYR3" s="28"/>
      <c r="PYS3" s="28"/>
      <c r="PYT3" s="28"/>
      <c r="PYU3" s="28"/>
      <c r="PYV3" s="28"/>
      <c r="PYW3" s="28"/>
      <c r="PYX3" s="28"/>
      <c r="PYY3" s="28"/>
      <c r="PYZ3" s="28"/>
      <c r="PZA3" s="28"/>
      <c r="PZB3" s="28"/>
      <c r="PZC3" s="28"/>
      <c r="PZD3" s="28"/>
      <c r="PZE3" s="28"/>
      <c r="PZF3" s="28"/>
      <c r="PZG3" s="28"/>
      <c r="PZH3" s="28"/>
      <c r="PZI3" s="28"/>
      <c r="PZJ3" s="28"/>
      <c r="PZK3" s="28"/>
      <c r="PZL3" s="28"/>
      <c r="PZM3" s="28"/>
      <c r="PZN3" s="28"/>
      <c r="PZO3" s="28"/>
      <c r="PZP3" s="28"/>
      <c r="PZQ3" s="28"/>
      <c r="PZR3" s="28"/>
      <c r="PZS3" s="28"/>
      <c r="PZT3" s="28"/>
      <c r="PZU3" s="28"/>
      <c r="PZV3" s="28"/>
      <c r="PZW3" s="28"/>
      <c r="PZX3" s="28"/>
      <c r="PZY3" s="28"/>
      <c r="PZZ3" s="28"/>
      <c r="QAA3" s="28"/>
      <c r="QAB3" s="28"/>
      <c r="QAC3" s="28"/>
      <c r="QAD3" s="28"/>
      <c r="QAE3" s="28"/>
      <c r="QAF3" s="28"/>
      <c r="QAG3" s="28"/>
      <c r="QAH3" s="28"/>
      <c r="QAI3" s="28"/>
      <c r="QAJ3" s="28"/>
      <c r="QAK3" s="28"/>
      <c r="QAL3" s="28"/>
      <c r="QAM3" s="28"/>
      <c r="QAN3" s="28"/>
      <c r="QAO3" s="28"/>
      <c r="QAP3" s="28"/>
      <c r="QAQ3" s="28"/>
      <c r="QAR3" s="28"/>
      <c r="QAS3" s="28"/>
      <c r="QAT3" s="28"/>
      <c r="QAU3" s="28"/>
      <c r="QAV3" s="28"/>
      <c r="QAW3" s="28"/>
      <c r="QAX3" s="28"/>
      <c r="QAY3" s="28"/>
      <c r="QAZ3" s="28"/>
      <c r="QBA3" s="28"/>
      <c r="QBB3" s="28"/>
      <c r="QBC3" s="28"/>
      <c r="QBD3" s="28"/>
      <c r="QBE3" s="28"/>
      <c r="QBF3" s="28"/>
      <c r="QBG3" s="28"/>
      <c r="QBH3" s="28"/>
      <c r="QBI3" s="28"/>
      <c r="QBJ3" s="28"/>
      <c r="QBK3" s="28"/>
      <c r="QBL3" s="28"/>
      <c r="QBM3" s="28"/>
      <c r="QBN3" s="28"/>
      <c r="QBO3" s="28"/>
      <c r="QBP3" s="28"/>
      <c r="QBQ3" s="28"/>
      <c r="QBR3" s="28"/>
      <c r="QBS3" s="28"/>
      <c r="QBT3" s="28"/>
      <c r="QBU3" s="28"/>
      <c r="QBV3" s="28"/>
      <c r="QBW3" s="28"/>
      <c r="QBX3" s="28"/>
      <c r="QBY3" s="28"/>
      <c r="QBZ3" s="28"/>
      <c r="QCA3" s="28"/>
      <c r="QCB3" s="28"/>
      <c r="QCC3" s="28"/>
      <c r="QCD3" s="28"/>
      <c r="QCE3" s="28"/>
      <c r="QCF3" s="28"/>
      <c r="QCG3" s="28"/>
      <c r="QCH3" s="28"/>
      <c r="QCI3" s="28"/>
      <c r="QCJ3" s="28"/>
      <c r="QCK3" s="28"/>
      <c r="QCL3" s="28"/>
      <c r="QCM3" s="28"/>
      <c r="QCN3" s="28"/>
      <c r="QCO3" s="28"/>
      <c r="QCP3" s="28"/>
      <c r="QCQ3" s="28"/>
      <c r="QCR3" s="28"/>
      <c r="QCS3" s="28"/>
      <c r="QCT3" s="28"/>
      <c r="QCU3" s="28"/>
      <c r="QCV3" s="28"/>
      <c r="QCW3" s="28"/>
      <c r="QCX3" s="28"/>
      <c r="QCY3" s="28"/>
      <c r="QCZ3" s="28"/>
      <c r="QDA3" s="28"/>
      <c r="QDB3" s="28"/>
      <c r="QDC3" s="28"/>
      <c r="QDD3" s="28"/>
      <c r="QDE3" s="28"/>
      <c r="QDF3" s="28"/>
      <c r="QDG3" s="28"/>
      <c r="QDH3" s="28"/>
      <c r="QDI3" s="28"/>
      <c r="QDJ3" s="28"/>
      <c r="QDK3" s="28"/>
      <c r="QDL3" s="28"/>
      <c r="QDM3" s="28"/>
      <c r="QDN3" s="28"/>
      <c r="QDO3" s="28"/>
      <c r="QDP3" s="28"/>
      <c r="QDQ3" s="28"/>
      <c r="QDR3" s="28"/>
      <c r="QDS3" s="28"/>
      <c r="QDT3" s="28"/>
      <c r="QDU3" s="28"/>
      <c r="QDV3" s="28"/>
      <c r="QDW3" s="28"/>
      <c r="QDX3" s="28"/>
      <c r="QDY3" s="28"/>
      <c r="QDZ3" s="28"/>
      <c r="QEA3" s="28"/>
      <c r="QEB3" s="28"/>
      <c r="QEC3" s="28"/>
      <c r="QED3" s="28"/>
      <c r="QEE3" s="28"/>
      <c r="QEF3" s="28"/>
      <c r="QEG3" s="28"/>
      <c r="QEH3" s="28"/>
      <c r="QEI3" s="28"/>
      <c r="QEJ3" s="28"/>
      <c r="QEK3" s="28"/>
      <c r="QEL3" s="28"/>
      <c r="QEM3" s="28"/>
      <c r="QEN3" s="28"/>
      <c r="QEO3" s="28"/>
      <c r="QEP3" s="28"/>
      <c r="QEQ3" s="28"/>
      <c r="QER3" s="28"/>
      <c r="QES3" s="28"/>
      <c r="QET3" s="28"/>
      <c r="QEU3" s="28"/>
      <c r="QEV3" s="28"/>
      <c r="QEW3" s="28"/>
      <c r="QEX3" s="28"/>
      <c r="QEY3" s="28"/>
      <c r="QEZ3" s="28"/>
      <c r="QFA3" s="28"/>
      <c r="QFB3" s="28"/>
      <c r="QFC3" s="28"/>
      <c r="QFD3" s="28"/>
      <c r="QFE3" s="28"/>
      <c r="QFF3" s="28"/>
      <c r="QFG3" s="28"/>
      <c r="QFH3" s="28"/>
      <c r="QFI3" s="28"/>
      <c r="QFJ3" s="28"/>
      <c r="QFK3" s="28"/>
      <c r="QFL3" s="28"/>
      <c r="QFM3" s="28"/>
      <c r="QFN3" s="28"/>
      <c r="QFO3" s="28"/>
      <c r="QFP3" s="28"/>
      <c r="QFQ3" s="28"/>
      <c r="QFR3" s="28"/>
      <c r="QFS3" s="28"/>
      <c r="QFT3" s="28"/>
      <c r="QFU3" s="28"/>
      <c r="QFV3" s="28"/>
      <c r="QFW3" s="28"/>
      <c r="QFX3" s="28"/>
      <c r="QFY3" s="28"/>
      <c r="QFZ3" s="28"/>
      <c r="QGA3" s="28"/>
      <c r="QGB3" s="28"/>
      <c r="QGC3" s="28"/>
      <c r="QGD3" s="28"/>
      <c r="QGE3" s="28"/>
      <c r="QGF3" s="28"/>
      <c r="QGG3" s="28"/>
      <c r="QGH3" s="28"/>
      <c r="QGI3" s="28"/>
      <c r="QGJ3" s="28"/>
      <c r="QGK3" s="28"/>
      <c r="QGL3" s="28"/>
      <c r="QGM3" s="28"/>
      <c r="QGN3" s="28"/>
      <c r="QGO3" s="28"/>
      <c r="QGP3" s="28"/>
      <c r="QGQ3" s="28"/>
      <c r="QGR3" s="28"/>
      <c r="QGS3" s="28"/>
      <c r="QGT3" s="28"/>
      <c r="QGU3" s="28"/>
      <c r="QGV3" s="28"/>
      <c r="QGW3" s="28"/>
      <c r="QGX3" s="28"/>
      <c r="QGY3" s="28"/>
      <c r="QGZ3" s="28"/>
      <c r="QHA3" s="28"/>
      <c r="QHB3" s="28"/>
      <c r="QHC3" s="28"/>
      <c r="QHD3" s="28"/>
      <c r="QHE3" s="28"/>
      <c r="QHF3" s="28"/>
      <c r="QHG3" s="28"/>
      <c r="QHH3" s="28"/>
      <c r="QHI3" s="28"/>
      <c r="QHJ3" s="28"/>
      <c r="QHK3" s="28"/>
      <c r="QHL3" s="28"/>
      <c r="QHM3" s="28"/>
      <c r="QHN3" s="28"/>
      <c r="QHO3" s="28"/>
      <c r="QHP3" s="28"/>
      <c r="QHQ3" s="28"/>
      <c r="QHR3" s="28"/>
      <c r="QHS3" s="28"/>
      <c r="QHT3" s="28"/>
      <c r="QHU3" s="28"/>
      <c r="QHV3" s="28"/>
      <c r="QHW3" s="28"/>
      <c r="QHX3" s="28"/>
      <c r="QHY3" s="28"/>
      <c r="QHZ3" s="28"/>
      <c r="QIA3" s="28"/>
      <c r="QIB3" s="28"/>
      <c r="QIC3" s="28"/>
      <c r="QID3" s="28"/>
      <c r="QIE3" s="28"/>
      <c r="QIF3" s="28"/>
      <c r="QIG3" s="28"/>
      <c r="QIH3" s="28"/>
      <c r="QII3" s="28"/>
      <c r="QIJ3" s="28"/>
      <c r="QIK3" s="28"/>
      <c r="QIL3" s="28"/>
      <c r="QIM3" s="28"/>
      <c r="QIN3" s="28"/>
      <c r="QIO3" s="28"/>
      <c r="QIP3" s="28"/>
      <c r="QIQ3" s="28"/>
      <c r="QIR3" s="28"/>
      <c r="QIS3" s="28"/>
      <c r="QIT3" s="28"/>
      <c r="QIU3" s="28"/>
      <c r="QIV3" s="28"/>
      <c r="QIW3" s="28"/>
      <c r="QIX3" s="28"/>
      <c r="QIY3" s="28"/>
      <c r="QIZ3" s="28"/>
      <c r="QJA3" s="28"/>
      <c r="QJB3" s="28"/>
      <c r="QJC3" s="28"/>
      <c r="QJD3" s="28"/>
      <c r="QJE3" s="28"/>
      <c r="QJF3" s="28"/>
      <c r="QJG3" s="28"/>
      <c r="QJH3" s="28"/>
      <c r="QJI3" s="28"/>
      <c r="QJJ3" s="28"/>
      <c r="QJK3" s="28"/>
      <c r="QJL3" s="28"/>
      <c r="QJM3" s="28"/>
      <c r="QJN3" s="28"/>
      <c r="QJO3" s="28"/>
      <c r="QJP3" s="28"/>
      <c r="QJQ3" s="28"/>
      <c r="QJR3" s="28"/>
      <c r="QJS3" s="28"/>
      <c r="QJT3" s="28"/>
      <c r="QJU3" s="28"/>
      <c r="QJV3" s="28"/>
      <c r="QJW3" s="28"/>
      <c r="QJX3" s="28"/>
      <c r="QJY3" s="28"/>
      <c r="QJZ3" s="28"/>
      <c r="QKA3" s="28"/>
      <c r="QKB3" s="28"/>
      <c r="QKC3" s="28"/>
      <c r="QKD3" s="28"/>
      <c r="QKE3" s="28"/>
      <c r="QKF3" s="28"/>
      <c r="QKG3" s="28"/>
      <c r="QKH3" s="28"/>
      <c r="QKI3" s="28"/>
      <c r="QKJ3" s="28"/>
      <c r="QKK3" s="28"/>
      <c r="QKL3" s="28"/>
      <c r="QKM3" s="28"/>
      <c r="QKN3" s="28"/>
      <c r="QKO3" s="28"/>
      <c r="QKP3" s="28"/>
      <c r="QKQ3" s="28"/>
      <c r="QKR3" s="28"/>
      <c r="QKS3" s="28"/>
      <c r="QKT3" s="28"/>
      <c r="QKU3" s="28"/>
      <c r="QKV3" s="28"/>
      <c r="QKW3" s="28"/>
      <c r="QKX3" s="28"/>
      <c r="QKY3" s="28"/>
      <c r="QKZ3" s="28"/>
      <c r="QLA3" s="28"/>
      <c r="QLB3" s="28"/>
      <c r="QLC3" s="28"/>
      <c r="QLD3" s="28"/>
      <c r="QLE3" s="28"/>
      <c r="QLF3" s="28"/>
      <c r="QLG3" s="28"/>
      <c r="QLH3" s="28"/>
      <c r="QLI3" s="28"/>
      <c r="QLJ3" s="28"/>
      <c r="QLK3" s="28"/>
      <c r="QLL3" s="28"/>
      <c r="QLM3" s="28"/>
      <c r="QLN3" s="28"/>
      <c r="QLO3" s="28"/>
      <c r="QLP3" s="28"/>
      <c r="QLQ3" s="28"/>
      <c r="QLR3" s="28"/>
      <c r="QLS3" s="28"/>
      <c r="QLT3" s="28"/>
      <c r="QLU3" s="28"/>
      <c r="QLV3" s="28"/>
      <c r="QLW3" s="28"/>
      <c r="QLX3" s="28"/>
      <c r="QLY3" s="28"/>
      <c r="QLZ3" s="28"/>
      <c r="QMA3" s="28"/>
      <c r="QMB3" s="28"/>
      <c r="QMC3" s="28"/>
      <c r="QMD3" s="28"/>
      <c r="QME3" s="28"/>
      <c r="QMF3" s="28"/>
      <c r="QMG3" s="28"/>
      <c r="QMH3" s="28"/>
      <c r="QMI3" s="28"/>
      <c r="QMJ3" s="28"/>
      <c r="QMK3" s="28"/>
      <c r="QML3" s="28"/>
      <c r="QMM3" s="28"/>
      <c r="QMN3" s="28"/>
      <c r="QMO3" s="28"/>
      <c r="QMP3" s="28"/>
      <c r="QMQ3" s="28"/>
      <c r="QMR3" s="28"/>
      <c r="QMS3" s="28"/>
      <c r="QMT3" s="28"/>
      <c r="QMU3" s="28"/>
      <c r="QMV3" s="28"/>
      <c r="QMW3" s="28"/>
      <c r="QMX3" s="28"/>
      <c r="QMY3" s="28"/>
      <c r="QMZ3" s="28"/>
      <c r="QNA3" s="28"/>
      <c r="QNB3" s="28"/>
      <c r="QNC3" s="28"/>
      <c r="QND3" s="28"/>
      <c r="QNE3" s="28"/>
      <c r="QNF3" s="28"/>
      <c r="QNG3" s="28"/>
      <c r="QNH3" s="28"/>
      <c r="QNI3" s="28"/>
      <c r="QNJ3" s="28"/>
      <c r="QNK3" s="28"/>
      <c r="QNL3" s="28"/>
      <c r="QNM3" s="28"/>
      <c r="QNN3" s="28"/>
      <c r="QNO3" s="28"/>
      <c r="QNP3" s="28"/>
      <c r="QNQ3" s="28"/>
      <c r="QNR3" s="28"/>
      <c r="QNS3" s="28"/>
      <c r="QNT3" s="28"/>
      <c r="QNU3" s="28"/>
      <c r="QNV3" s="28"/>
      <c r="QNW3" s="28"/>
      <c r="QNX3" s="28"/>
      <c r="QNY3" s="28"/>
      <c r="QNZ3" s="28"/>
      <c r="QOA3" s="28"/>
      <c r="QOB3" s="28"/>
      <c r="QOC3" s="28"/>
      <c r="QOD3" s="28"/>
      <c r="QOE3" s="28"/>
      <c r="QOF3" s="28"/>
      <c r="QOG3" s="28"/>
      <c r="QOH3" s="28"/>
      <c r="QOI3" s="28"/>
      <c r="QOJ3" s="28"/>
      <c r="QOK3" s="28"/>
      <c r="QOL3" s="28"/>
      <c r="QOM3" s="28"/>
      <c r="QON3" s="28"/>
      <c r="QOO3" s="28"/>
      <c r="QOP3" s="28"/>
      <c r="QOQ3" s="28"/>
      <c r="QOR3" s="28"/>
      <c r="QOS3" s="28"/>
      <c r="QOT3" s="28"/>
      <c r="QOU3" s="28"/>
      <c r="QOV3" s="28"/>
      <c r="QOW3" s="28"/>
      <c r="QOX3" s="28"/>
      <c r="QOY3" s="28"/>
      <c r="QOZ3" s="28"/>
      <c r="QPA3" s="28"/>
      <c r="QPB3" s="28"/>
      <c r="QPC3" s="28"/>
      <c r="QPD3" s="28"/>
      <c r="QPE3" s="28"/>
      <c r="QPF3" s="28"/>
      <c r="QPG3" s="28"/>
      <c r="QPH3" s="28"/>
      <c r="QPI3" s="28"/>
      <c r="QPJ3" s="28"/>
      <c r="QPK3" s="28"/>
      <c r="QPL3" s="28"/>
      <c r="QPM3" s="28"/>
      <c r="QPN3" s="28"/>
      <c r="QPO3" s="28"/>
      <c r="QPP3" s="28"/>
      <c r="QPQ3" s="28"/>
      <c r="QPR3" s="28"/>
      <c r="QPS3" s="28"/>
      <c r="QPT3" s="28"/>
      <c r="QPU3" s="28"/>
      <c r="QPV3" s="28"/>
      <c r="QPW3" s="28"/>
      <c r="QPX3" s="28"/>
      <c r="QPY3" s="28"/>
      <c r="QPZ3" s="28"/>
      <c r="QQA3" s="28"/>
      <c r="QQB3" s="28"/>
      <c r="QQC3" s="28"/>
      <c r="QQD3" s="28"/>
      <c r="QQE3" s="28"/>
      <c r="QQF3" s="28"/>
      <c r="QQG3" s="28"/>
      <c r="QQH3" s="28"/>
      <c r="QQI3" s="28"/>
      <c r="QQJ3" s="28"/>
      <c r="QQK3" s="28"/>
      <c r="QQL3" s="28"/>
      <c r="QQM3" s="28"/>
      <c r="QQN3" s="28"/>
      <c r="QQO3" s="28"/>
      <c r="QQP3" s="28"/>
      <c r="QQQ3" s="28"/>
      <c r="QQR3" s="28"/>
      <c r="QQS3" s="28"/>
      <c r="QQT3" s="28"/>
      <c r="QQU3" s="28"/>
      <c r="QQV3" s="28"/>
      <c r="QQW3" s="28"/>
      <c r="QQX3" s="28"/>
      <c r="QQY3" s="28"/>
      <c r="QQZ3" s="28"/>
      <c r="QRA3" s="28"/>
      <c r="QRB3" s="28"/>
      <c r="QRC3" s="28"/>
      <c r="QRD3" s="28"/>
      <c r="QRE3" s="28"/>
      <c r="QRF3" s="28"/>
      <c r="QRG3" s="28"/>
      <c r="QRH3" s="28"/>
      <c r="QRI3" s="28"/>
      <c r="QRJ3" s="28"/>
      <c r="QRK3" s="28"/>
      <c r="QRL3" s="28"/>
      <c r="QRM3" s="28"/>
      <c r="QRN3" s="28"/>
      <c r="QRO3" s="28"/>
      <c r="QRP3" s="28"/>
      <c r="QRQ3" s="28"/>
      <c r="QRR3" s="28"/>
      <c r="QRS3" s="28"/>
      <c r="QRT3" s="28"/>
      <c r="QRU3" s="28"/>
      <c r="QRV3" s="28"/>
      <c r="QRW3" s="28"/>
      <c r="QRX3" s="28"/>
      <c r="QRY3" s="28"/>
      <c r="QRZ3" s="28"/>
      <c r="QSA3" s="28"/>
      <c r="QSB3" s="28"/>
      <c r="QSC3" s="28"/>
      <c r="QSD3" s="28"/>
      <c r="QSE3" s="28"/>
      <c r="QSF3" s="28"/>
      <c r="QSG3" s="28"/>
      <c r="QSH3" s="28"/>
      <c r="QSI3" s="28"/>
      <c r="QSJ3" s="28"/>
      <c r="QSK3" s="28"/>
      <c r="QSL3" s="28"/>
      <c r="QSM3" s="28"/>
      <c r="QSN3" s="28"/>
      <c r="QSO3" s="28"/>
      <c r="QSP3" s="28"/>
      <c r="QSQ3" s="28"/>
      <c r="QSR3" s="28"/>
      <c r="QSS3" s="28"/>
      <c r="QST3" s="28"/>
      <c r="QSU3" s="28"/>
      <c r="QSV3" s="28"/>
      <c r="QSW3" s="28"/>
      <c r="QSX3" s="28"/>
      <c r="QSY3" s="28"/>
      <c r="QSZ3" s="28"/>
      <c r="QTA3" s="28"/>
      <c r="QTB3" s="28"/>
      <c r="QTC3" s="28"/>
      <c r="QTD3" s="28"/>
      <c r="QTE3" s="28"/>
      <c r="QTF3" s="28"/>
      <c r="QTG3" s="28"/>
      <c r="QTH3" s="28"/>
      <c r="QTI3" s="28"/>
      <c r="QTJ3" s="28"/>
      <c r="QTK3" s="28"/>
      <c r="QTL3" s="28"/>
      <c r="QTM3" s="28"/>
      <c r="QTN3" s="28"/>
      <c r="QTO3" s="28"/>
      <c r="QTP3" s="28"/>
      <c r="QTQ3" s="28"/>
      <c r="QTR3" s="28"/>
      <c r="QTS3" s="28"/>
      <c r="QTT3" s="28"/>
      <c r="QTU3" s="28"/>
      <c r="QTV3" s="28"/>
      <c r="QTW3" s="28"/>
      <c r="QTX3" s="28"/>
      <c r="QTY3" s="28"/>
      <c r="QTZ3" s="28"/>
      <c r="QUA3" s="28"/>
      <c r="QUB3" s="28"/>
      <c r="QUC3" s="28"/>
      <c r="QUD3" s="28"/>
      <c r="QUE3" s="28"/>
      <c r="QUF3" s="28"/>
      <c r="QUG3" s="28"/>
      <c r="QUH3" s="28"/>
      <c r="QUI3" s="28"/>
      <c r="QUJ3" s="28"/>
      <c r="QUK3" s="28"/>
      <c r="QUL3" s="28"/>
      <c r="QUM3" s="28"/>
      <c r="QUN3" s="28"/>
      <c r="QUO3" s="28"/>
      <c r="QUP3" s="28"/>
      <c r="QUQ3" s="28"/>
      <c r="QUR3" s="28"/>
      <c r="QUS3" s="28"/>
      <c r="QUT3" s="28"/>
      <c r="QUU3" s="28"/>
      <c r="QUV3" s="28"/>
      <c r="QUW3" s="28"/>
      <c r="QUX3" s="28"/>
      <c r="QUY3" s="28"/>
      <c r="QUZ3" s="28"/>
      <c r="QVA3" s="28"/>
      <c r="QVB3" s="28"/>
      <c r="QVC3" s="28"/>
      <c r="QVD3" s="28"/>
      <c r="QVE3" s="28"/>
      <c r="QVF3" s="28"/>
      <c r="QVG3" s="28"/>
      <c r="QVH3" s="28"/>
      <c r="QVI3" s="28"/>
      <c r="QVJ3" s="28"/>
      <c r="QVK3" s="28"/>
      <c r="QVL3" s="28"/>
      <c r="QVM3" s="28"/>
      <c r="QVN3" s="28"/>
      <c r="QVO3" s="28"/>
      <c r="QVP3" s="28"/>
      <c r="QVQ3" s="28"/>
      <c r="QVR3" s="28"/>
      <c r="QVS3" s="28"/>
      <c r="QVT3" s="28"/>
      <c r="QVU3" s="28"/>
      <c r="QVV3" s="28"/>
      <c r="QVW3" s="28"/>
      <c r="QVX3" s="28"/>
      <c r="QVY3" s="28"/>
      <c r="QVZ3" s="28"/>
      <c r="QWA3" s="28"/>
      <c r="QWB3" s="28"/>
      <c r="QWC3" s="28"/>
      <c r="QWD3" s="28"/>
      <c r="QWE3" s="28"/>
      <c r="QWF3" s="28"/>
      <c r="QWG3" s="28"/>
      <c r="QWH3" s="28"/>
      <c r="QWI3" s="28"/>
      <c r="QWJ3" s="28"/>
      <c r="QWK3" s="28"/>
      <c r="QWL3" s="28"/>
      <c r="QWM3" s="28"/>
      <c r="QWN3" s="28"/>
      <c r="QWO3" s="28"/>
      <c r="QWP3" s="28"/>
      <c r="QWQ3" s="28"/>
      <c r="QWR3" s="28"/>
      <c r="QWS3" s="28"/>
      <c r="QWT3" s="28"/>
      <c r="QWU3" s="28"/>
      <c r="QWV3" s="28"/>
      <c r="QWW3" s="28"/>
      <c r="QWX3" s="28"/>
      <c r="QWY3" s="28"/>
      <c r="QWZ3" s="28"/>
      <c r="QXA3" s="28"/>
      <c r="QXB3" s="28"/>
      <c r="QXC3" s="28"/>
      <c r="QXD3" s="28"/>
      <c r="QXE3" s="28"/>
      <c r="QXF3" s="28"/>
      <c r="QXG3" s="28"/>
      <c r="QXH3" s="28"/>
      <c r="QXI3" s="28"/>
      <c r="QXJ3" s="28"/>
      <c r="QXK3" s="28"/>
      <c r="QXL3" s="28"/>
      <c r="QXM3" s="28"/>
      <c r="QXN3" s="28"/>
      <c r="QXO3" s="28"/>
      <c r="QXP3" s="28"/>
      <c r="QXQ3" s="28"/>
      <c r="QXR3" s="28"/>
      <c r="QXS3" s="28"/>
      <c r="QXT3" s="28"/>
      <c r="QXU3" s="28"/>
      <c r="QXV3" s="28"/>
      <c r="QXW3" s="28"/>
      <c r="QXX3" s="28"/>
      <c r="QXY3" s="28"/>
      <c r="QXZ3" s="28"/>
      <c r="QYA3" s="28"/>
      <c r="QYB3" s="28"/>
      <c r="QYC3" s="28"/>
      <c r="QYD3" s="28"/>
      <c r="QYE3" s="28"/>
      <c r="QYF3" s="28"/>
      <c r="QYG3" s="28"/>
      <c r="QYH3" s="28"/>
      <c r="QYI3" s="28"/>
      <c r="QYJ3" s="28"/>
      <c r="QYK3" s="28"/>
      <c r="QYL3" s="28"/>
      <c r="QYM3" s="28"/>
      <c r="QYN3" s="28"/>
      <c r="QYO3" s="28"/>
      <c r="QYP3" s="28"/>
      <c r="QYQ3" s="28"/>
      <c r="QYR3" s="28"/>
      <c r="QYS3" s="28"/>
      <c r="QYT3" s="28"/>
      <c r="QYU3" s="28"/>
      <c r="QYV3" s="28"/>
      <c r="QYW3" s="28"/>
      <c r="QYX3" s="28"/>
      <c r="QYY3" s="28"/>
      <c r="QYZ3" s="28"/>
      <c r="QZA3" s="28"/>
      <c r="QZB3" s="28"/>
      <c r="QZC3" s="28"/>
      <c r="QZD3" s="28"/>
      <c r="QZE3" s="28"/>
      <c r="QZF3" s="28"/>
      <c r="QZG3" s="28"/>
      <c r="QZH3" s="28"/>
      <c r="QZI3" s="28"/>
      <c r="QZJ3" s="28"/>
      <c r="QZK3" s="28"/>
      <c r="QZL3" s="28"/>
      <c r="QZM3" s="28"/>
      <c r="QZN3" s="28"/>
      <c r="QZO3" s="28"/>
      <c r="QZP3" s="28"/>
      <c r="QZQ3" s="28"/>
      <c r="QZR3" s="28"/>
      <c r="QZS3" s="28"/>
      <c r="QZT3" s="28"/>
      <c r="QZU3" s="28"/>
      <c r="QZV3" s="28"/>
      <c r="QZW3" s="28"/>
      <c r="QZX3" s="28"/>
      <c r="QZY3" s="28"/>
      <c r="QZZ3" s="28"/>
      <c r="RAA3" s="28"/>
      <c r="RAB3" s="28"/>
      <c r="RAC3" s="28"/>
      <c r="RAD3" s="28"/>
      <c r="RAE3" s="28"/>
      <c r="RAF3" s="28"/>
      <c r="RAG3" s="28"/>
      <c r="RAH3" s="28"/>
      <c r="RAI3" s="28"/>
      <c r="RAJ3" s="28"/>
      <c r="RAK3" s="28"/>
      <c r="RAL3" s="28"/>
      <c r="RAM3" s="28"/>
      <c r="RAN3" s="28"/>
      <c r="RAO3" s="28"/>
      <c r="RAP3" s="28"/>
      <c r="RAQ3" s="28"/>
      <c r="RAR3" s="28"/>
      <c r="RAS3" s="28"/>
      <c r="RAT3" s="28"/>
      <c r="RAU3" s="28"/>
      <c r="RAV3" s="28"/>
      <c r="RAW3" s="28"/>
      <c r="RAX3" s="28"/>
      <c r="RAY3" s="28"/>
      <c r="RAZ3" s="28"/>
      <c r="RBA3" s="28"/>
      <c r="RBB3" s="28"/>
      <c r="RBC3" s="28"/>
      <c r="RBD3" s="28"/>
      <c r="RBE3" s="28"/>
      <c r="RBF3" s="28"/>
      <c r="RBG3" s="28"/>
      <c r="RBH3" s="28"/>
      <c r="RBI3" s="28"/>
      <c r="RBJ3" s="28"/>
      <c r="RBK3" s="28"/>
      <c r="RBL3" s="28"/>
      <c r="RBM3" s="28"/>
      <c r="RBN3" s="28"/>
      <c r="RBO3" s="28"/>
      <c r="RBP3" s="28"/>
      <c r="RBQ3" s="28"/>
      <c r="RBR3" s="28"/>
      <c r="RBS3" s="28"/>
      <c r="RBT3" s="28"/>
      <c r="RBU3" s="28"/>
      <c r="RBV3" s="28"/>
      <c r="RBW3" s="28"/>
      <c r="RBX3" s="28"/>
      <c r="RBY3" s="28"/>
      <c r="RBZ3" s="28"/>
      <c r="RCA3" s="28"/>
      <c r="RCB3" s="28"/>
      <c r="RCC3" s="28"/>
      <c r="RCD3" s="28"/>
      <c r="RCE3" s="28"/>
      <c r="RCF3" s="28"/>
      <c r="RCG3" s="28"/>
      <c r="RCH3" s="28"/>
      <c r="RCI3" s="28"/>
      <c r="RCJ3" s="28"/>
      <c r="RCK3" s="28"/>
      <c r="RCL3" s="28"/>
      <c r="RCM3" s="28"/>
      <c r="RCN3" s="28"/>
      <c r="RCO3" s="28"/>
      <c r="RCP3" s="28"/>
      <c r="RCQ3" s="28"/>
      <c r="RCR3" s="28"/>
      <c r="RCS3" s="28"/>
      <c r="RCT3" s="28"/>
      <c r="RCU3" s="28"/>
      <c r="RCV3" s="28"/>
      <c r="RCW3" s="28"/>
      <c r="RCX3" s="28"/>
      <c r="RCY3" s="28"/>
      <c r="RCZ3" s="28"/>
      <c r="RDA3" s="28"/>
      <c r="RDB3" s="28"/>
      <c r="RDC3" s="28"/>
      <c r="RDD3" s="28"/>
      <c r="RDE3" s="28"/>
      <c r="RDF3" s="28"/>
      <c r="RDG3" s="28"/>
      <c r="RDH3" s="28"/>
      <c r="RDI3" s="28"/>
      <c r="RDJ3" s="28"/>
      <c r="RDK3" s="28"/>
      <c r="RDL3" s="28"/>
      <c r="RDM3" s="28"/>
      <c r="RDN3" s="28"/>
      <c r="RDO3" s="28"/>
      <c r="RDP3" s="28"/>
      <c r="RDQ3" s="28"/>
      <c r="RDR3" s="28"/>
      <c r="RDS3" s="28"/>
      <c r="RDT3" s="28"/>
      <c r="RDU3" s="28"/>
      <c r="RDV3" s="28"/>
      <c r="RDW3" s="28"/>
      <c r="RDX3" s="28"/>
      <c r="RDY3" s="28"/>
      <c r="RDZ3" s="28"/>
      <c r="REA3" s="28"/>
      <c r="REB3" s="28"/>
      <c r="REC3" s="28"/>
      <c r="RED3" s="28"/>
      <c r="REE3" s="28"/>
      <c r="REF3" s="28"/>
      <c r="REG3" s="28"/>
      <c r="REH3" s="28"/>
      <c r="REI3" s="28"/>
      <c r="REJ3" s="28"/>
      <c r="REK3" s="28"/>
      <c r="REL3" s="28"/>
      <c r="REM3" s="28"/>
      <c r="REN3" s="28"/>
      <c r="REO3" s="28"/>
      <c r="REP3" s="28"/>
      <c r="REQ3" s="28"/>
      <c r="RER3" s="28"/>
      <c r="RES3" s="28"/>
      <c r="RET3" s="28"/>
      <c r="REU3" s="28"/>
      <c r="REV3" s="28"/>
      <c r="REW3" s="28"/>
      <c r="REX3" s="28"/>
      <c r="REY3" s="28"/>
      <c r="REZ3" s="28"/>
      <c r="RFA3" s="28"/>
      <c r="RFB3" s="28"/>
      <c r="RFC3" s="28"/>
      <c r="RFD3" s="28"/>
      <c r="RFE3" s="28"/>
      <c r="RFF3" s="28"/>
      <c r="RFG3" s="28"/>
      <c r="RFH3" s="28"/>
      <c r="RFI3" s="28"/>
      <c r="RFJ3" s="28"/>
      <c r="RFK3" s="28"/>
      <c r="RFL3" s="28"/>
      <c r="RFM3" s="28"/>
      <c r="RFN3" s="28"/>
      <c r="RFO3" s="28"/>
      <c r="RFP3" s="28"/>
      <c r="RFQ3" s="28"/>
      <c r="RFR3" s="28"/>
      <c r="RFS3" s="28"/>
      <c r="RFT3" s="28"/>
      <c r="RFU3" s="28"/>
      <c r="RFV3" s="28"/>
      <c r="RFW3" s="28"/>
      <c r="RFX3" s="28"/>
      <c r="RFY3" s="28"/>
      <c r="RFZ3" s="28"/>
      <c r="RGA3" s="28"/>
      <c r="RGB3" s="28"/>
      <c r="RGC3" s="28"/>
      <c r="RGD3" s="28"/>
      <c r="RGE3" s="28"/>
      <c r="RGF3" s="28"/>
      <c r="RGG3" s="28"/>
      <c r="RGH3" s="28"/>
      <c r="RGI3" s="28"/>
      <c r="RGJ3" s="28"/>
      <c r="RGK3" s="28"/>
      <c r="RGL3" s="28"/>
      <c r="RGM3" s="28"/>
      <c r="RGN3" s="28"/>
      <c r="RGO3" s="28"/>
      <c r="RGP3" s="28"/>
      <c r="RGQ3" s="28"/>
      <c r="RGR3" s="28"/>
      <c r="RGS3" s="28"/>
      <c r="RGT3" s="28"/>
      <c r="RGU3" s="28"/>
      <c r="RGV3" s="28"/>
      <c r="RGW3" s="28"/>
      <c r="RGX3" s="28"/>
      <c r="RGY3" s="28"/>
      <c r="RGZ3" s="28"/>
      <c r="RHA3" s="28"/>
      <c r="RHB3" s="28"/>
      <c r="RHC3" s="28"/>
      <c r="RHD3" s="28"/>
      <c r="RHE3" s="28"/>
      <c r="RHF3" s="28"/>
      <c r="RHG3" s="28"/>
      <c r="RHH3" s="28"/>
      <c r="RHI3" s="28"/>
      <c r="RHJ3" s="28"/>
      <c r="RHK3" s="28"/>
      <c r="RHL3" s="28"/>
      <c r="RHM3" s="28"/>
      <c r="RHN3" s="28"/>
      <c r="RHO3" s="28"/>
      <c r="RHP3" s="28"/>
      <c r="RHQ3" s="28"/>
      <c r="RHR3" s="28"/>
      <c r="RHS3" s="28"/>
      <c r="RHT3" s="28"/>
      <c r="RHU3" s="28"/>
      <c r="RHV3" s="28"/>
      <c r="RHW3" s="28"/>
      <c r="RHX3" s="28"/>
      <c r="RHY3" s="28"/>
      <c r="RHZ3" s="28"/>
      <c r="RIA3" s="28"/>
      <c r="RIB3" s="28"/>
      <c r="RIC3" s="28"/>
      <c r="RID3" s="28"/>
      <c r="RIE3" s="28"/>
      <c r="RIF3" s="28"/>
      <c r="RIG3" s="28"/>
      <c r="RIH3" s="28"/>
      <c r="RII3" s="28"/>
      <c r="RIJ3" s="28"/>
      <c r="RIK3" s="28"/>
      <c r="RIL3" s="28"/>
      <c r="RIM3" s="28"/>
      <c r="RIN3" s="28"/>
      <c r="RIO3" s="28"/>
      <c r="RIP3" s="28"/>
      <c r="RIQ3" s="28"/>
      <c r="RIR3" s="28"/>
      <c r="RIS3" s="28"/>
      <c r="RIT3" s="28"/>
      <c r="RIU3" s="28"/>
      <c r="RIV3" s="28"/>
      <c r="RIW3" s="28"/>
      <c r="RIX3" s="28"/>
      <c r="RIY3" s="28"/>
      <c r="RIZ3" s="28"/>
      <c r="RJA3" s="28"/>
      <c r="RJB3" s="28"/>
      <c r="RJC3" s="28"/>
      <c r="RJD3" s="28"/>
      <c r="RJE3" s="28"/>
      <c r="RJF3" s="28"/>
      <c r="RJG3" s="28"/>
      <c r="RJH3" s="28"/>
      <c r="RJI3" s="28"/>
      <c r="RJJ3" s="28"/>
      <c r="RJK3" s="28"/>
      <c r="RJL3" s="28"/>
      <c r="RJM3" s="28"/>
      <c r="RJN3" s="28"/>
      <c r="RJO3" s="28"/>
      <c r="RJP3" s="28"/>
      <c r="RJQ3" s="28"/>
      <c r="RJR3" s="28"/>
      <c r="RJS3" s="28"/>
      <c r="RJT3" s="28"/>
      <c r="RJU3" s="28"/>
      <c r="RJV3" s="28"/>
      <c r="RJW3" s="28"/>
      <c r="RJX3" s="28"/>
      <c r="RJY3" s="28"/>
      <c r="RJZ3" s="28"/>
      <c r="RKA3" s="28"/>
      <c r="RKB3" s="28"/>
      <c r="RKC3" s="28"/>
      <c r="RKD3" s="28"/>
      <c r="RKE3" s="28"/>
      <c r="RKF3" s="28"/>
      <c r="RKG3" s="28"/>
      <c r="RKH3" s="28"/>
      <c r="RKI3" s="28"/>
      <c r="RKJ3" s="28"/>
      <c r="RKK3" s="28"/>
      <c r="RKL3" s="28"/>
      <c r="RKM3" s="28"/>
      <c r="RKN3" s="28"/>
      <c r="RKO3" s="28"/>
      <c r="RKP3" s="28"/>
      <c r="RKQ3" s="28"/>
      <c r="RKR3" s="28"/>
      <c r="RKS3" s="28"/>
      <c r="RKT3" s="28"/>
      <c r="RKU3" s="28"/>
      <c r="RKV3" s="28"/>
      <c r="RKW3" s="28"/>
      <c r="RKX3" s="28"/>
      <c r="RKY3" s="28"/>
      <c r="RKZ3" s="28"/>
      <c r="RLA3" s="28"/>
      <c r="RLB3" s="28"/>
      <c r="RLC3" s="28"/>
      <c r="RLD3" s="28"/>
      <c r="RLE3" s="28"/>
      <c r="RLF3" s="28"/>
      <c r="RLG3" s="28"/>
      <c r="RLH3" s="28"/>
      <c r="RLI3" s="28"/>
      <c r="RLJ3" s="28"/>
      <c r="RLK3" s="28"/>
      <c r="RLL3" s="28"/>
      <c r="RLM3" s="28"/>
      <c r="RLN3" s="28"/>
      <c r="RLO3" s="28"/>
      <c r="RLP3" s="28"/>
      <c r="RLQ3" s="28"/>
      <c r="RLR3" s="28"/>
      <c r="RLS3" s="28"/>
      <c r="RLT3" s="28"/>
      <c r="RLU3" s="28"/>
      <c r="RLV3" s="28"/>
      <c r="RLW3" s="28"/>
      <c r="RLX3" s="28"/>
      <c r="RLY3" s="28"/>
      <c r="RLZ3" s="28"/>
      <c r="RMA3" s="28"/>
      <c r="RMB3" s="28"/>
      <c r="RMC3" s="28"/>
      <c r="RMD3" s="28"/>
      <c r="RME3" s="28"/>
      <c r="RMF3" s="28"/>
      <c r="RMG3" s="28"/>
      <c r="RMH3" s="28"/>
      <c r="RMI3" s="28"/>
      <c r="RMJ3" s="28"/>
      <c r="RMK3" s="28"/>
      <c r="RML3" s="28"/>
      <c r="RMM3" s="28"/>
      <c r="RMN3" s="28"/>
      <c r="RMO3" s="28"/>
      <c r="RMP3" s="28"/>
      <c r="RMQ3" s="28"/>
      <c r="RMR3" s="28"/>
      <c r="RMS3" s="28"/>
      <c r="RMT3" s="28"/>
      <c r="RMU3" s="28"/>
      <c r="RMV3" s="28"/>
      <c r="RMW3" s="28"/>
      <c r="RMX3" s="28"/>
      <c r="RMY3" s="28"/>
      <c r="RMZ3" s="28"/>
      <c r="RNA3" s="28"/>
      <c r="RNB3" s="28"/>
      <c r="RNC3" s="28"/>
      <c r="RND3" s="28"/>
      <c r="RNE3" s="28"/>
      <c r="RNF3" s="28"/>
      <c r="RNG3" s="28"/>
      <c r="RNH3" s="28"/>
      <c r="RNI3" s="28"/>
      <c r="RNJ3" s="28"/>
      <c r="RNK3" s="28"/>
      <c r="RNL3" s="28"/>
      <c r="RNM3" s="28"/>
      <c r="RNN3" s="28"/>
      <c r="RNO3" s="28"/>
      <c r="RNP3" s="28"/>
      <c r="RNQ3" s="28"/>
      <c r="RNR3" s="28"/>
      <c r="RNS3" s="28"/>
      <c r="RNT3" s="28"/>
      <c r="RNU3" s="28"/>
      <c r="RNV3" s="28"/>
      <c r="RNW3" s="28"/>
      <c r="RNX3" s="28"/>
      <c r="RNY3" s="28"/>
      <c r="RNZ3" s="28"/>
      <c r="ROA3" s="28"/>
      <c r="ROB3" s="28"/>
      <c r="ROC3" s="28"/>
      <c r="ROD3" s="28"/>
      <c r="ROE3" s="28"/>
      <c r="ROF3" s="28"/>
      <c r="ROG3" s="28"/>
      <c r="ROH3" s="28"/>
      <c r="ROI3" s="28"/>
      <c r="ROJ3" s="28"/>
      <c r="ROK3" s="28"/>
      <c r="ROL3" s="28"/>
      <c r="ROM3" s="28"/>
      <c r="RON3" s="28"/>
      <c r="ROO3" s="28"/>
      <c r="ROP3" s="28"/>
      <c r="ROQ3" s="28"/>
      <c r="ROR3" s="28"/>
      <c r="ROS3" s="28"/>
      <c r="ROT3" s="28"/>
      <c r="ROU3" s="28"/>
      <c r="ROV3" s="28"/>
      <c r="ROW3" s="28"/>
      <c r="ROX3" s="28"/>
      <c r="ROY3" s="28"/>
      <c r="ROZ3" s="28"/>
      <c r="RPA3" s="28"/>
      <c r="RPB3" s="28"/>
      <c r="RPC3" s="28"/>
      <c r="RPD3" s="28"/>
      <c r="RPE3" s="28"/>
      <c r="RPF3" s="28"/>
      <c r="RPG3" s="28"/>
      <c r="RPH3" s="28"/>
      <c r="RPI3" s="28"/>
      <c r="RPJ3" s="28"/>
      <c r="RPK3" s="28"/>
      <c r="RPL3" s="28"/>
      <c r="RPM3" s="28"/>
      <c r="RPN3" s="28"/>
      <c r="RPO3" s="28"/>
      <c r="RPP3" s="28"/>
      <c r="RPQ3" s="28"/>
      <c r="RPR3" s="28"/>
      <c r="RPS3" s="28"/>
      <c r="RPT3" s="28"/>
      <c r="RPU3" s="28"/>
      <c r="RPV3" s="28"/>
      <c r="RPW3" s="28"/>
      <c r="RPX3" s="28"/>
      <c r="RPY3" s="28"/>
      <c r="RPZ3" s="28"/>
      <c r="RQA3" s="28"/>
      <c r="RQB3" s="28"/>
      <c r="RQC3" s="28"/>
      <c r="RQD3" s="28"/>
      <c r="RQE3" s="28"/>
      <c r="RQF3" s="28"/>
      <c r="RQG3" s="28"/>
      <c r="RQH3" s="28"/>
      <c r="RQI3" s="28"/>
      <c r="RQJ3" s="28"/>
      <c r="RQK3" s="28"/>
      <c r="RQL3" s="28"/>
      <c r="RQM3" s="28"/>
      <c r="RQN3" s="28"/>
      <c r="RQO3" s="28"/>
      <c r="RQP3" s="28"/>
      <c r="RQQ3" s="28"/>
      <c r="RQR3" s="28"/>
      <c r="RQS3" s="28"/>
      <c r="RQT3" s="28"/>
      <c r="RQU3" s="28"/>
      <c r="RQV3" s="28"/>
      <c r="RQW3" s="28"/>
      <c r="RQX3" s="28"/>
      <c r="RQY3" s="28"/>
      <c r="RQZ3" s="28"/>
      <c r="RRA3" s="28"/>
      <c r="RRB3" s="28"/>
      <c r="RRC3" s="28"/>
      <c r="RRD3" s="28"/>
      <c r="RRE3" s="28"/>
      <c r="RRF3" s="28"/>
      <c r="RRG3" s="28"/>
      <c r="RRH3" s="28"/>
      <c r="RRI3" s="28"/>
      <c r="RRJ3" s="28"/>
      <c r="RRK3" s="28"/>
      <c r="RRL3" s="28"/>
      <c r="RRM3" s="28"/>
      <c r="RRN3" s="28"/>
      <c r="RRO3" s="28"/>
      <c r="RRP3" s="28"/>
      <c r="RRQ3" s="28"/>
      <c r="RRR3" s="28"/>
      <c r="RRS3" s="28"/>
      <c r="RRT3" s="28"/>
      <c r="RRU3" s="28"/>
      <c r="RRV3" s="28"/>
      <c r="RRW3" s="28"/>
      <c r="RRX3" s="28"/>
      <c r="RRY3" s="28"/>
      <c r="RRZ3" s="28"/>
      <c r="RSA3" s="28"/>
      <c r="RSB3" s="28"/>
      <c r="RSC3" s="28"/>
      <c r="RSD3" s="28"/>
      <c r="RSE3" s="28"/>
      <c r="RSF3" s="28"/>
      <c r="RSG3" s="28"/>
      <c r="RSH3" s="28"/>
      <c r="RSI3" s="28"/>
      <c r="RSJ3" s="28"/>
      <c r="RSK3" s="28"/>
      <c r="RSL3" s="28"/>
      <c r="RSM3" s="28"/>
      <c r="RSN3" s="28"/>
      <c r="RSO3" s="28"/>
      <c r="RSP3" s="28"/>
      <c r="RSQ3" s="28"/>
      <c r="RSR3" s="28"/>
      <c r="RSS3" s="28"/>
      <c r="RST3" s="28"/>
      <c r="RSU3" s="28"/>
      <c r="RSV3" s="28"/>
      <c r="RSW3" s="28"/>
      <c r="RSX3" s="28"/>
      <c r="RSY3" s="28"/>
      <c r="RSZ3" s="28"/>
      <c r="RTA3" s="28"/>
      <c r="RTB3" s="28"/>
      <c r="RTC3" s="28"/>
      <c r="RTD3" s="28"/>
      <c r="RTE3" s="28"/>
      <c r="RTF3" s="28"/>
      <c r="RTG3" s="28"/>
      <c r="RTH3" s="28"/>
      <c r="RTI3" s="28"/>
      <c r="RTJ3" s="28"/>
      <c r="RTK3" s="28"/>
      <c r="RTL3" s="28"/>
      <c r="RTM3" s="28"/>
      <c r="RTN3" s="28"/>
      <c r="RTO3" s="28"/>
      <c r="RTP3" s="28"/>
      <c r="RTQ3" s="28"/>
      <c r="RTR3" s="28"/>
      <c r="RTS3" s="28"/>
      <c r="RTT3" s="28"/>
      <c r="RTU3" s="28"/>
      <c r="RTV3" s="28"/>
      <c r="RTW3" s="28"/>
      <c r="RTX3" s="28"/>
      <c r="RTY3" s="28"/>
      <c r="RTZ3" s="28"/>
      <c r="RUA3" s="28"/>
      <c r="RUB3" s="28"/>
      <c r="RUC3" s="28"/>
      <c r="RUD3" s="28"/>
      <c r="RUE3" s="28"/>
      <c r="RUF3" s="28"/>
      <c r="RUG3" s="28"/>
      <c r="RUH3" s="28"/>
      <c r="RUI3" s="28"/>
      <c r="RUJ3" s="28"/>
      <c r="RUK3" s="28"/>
      <c r="RUL3" s="28"/>
      <c r="RUM3" s="28"/>
      <c r="RUN3" s="28"/>
      <c r="RUO3" s="28"/>
      <c r="RUP3" s="28"/>
      <c r="RUQ3" s="28"/>
      <c r="RUR3" s="28"/>
      <c r="RUS3" s="28"/>
      <c r="RUT3" s="28"/>
      <c r="RUU3" s="28"/>
      <c r="RUV3" s="28"/>
      <c r="RUW3" s="28"/>
      <c r="RUX3" s="28"/>
      <c r="RUY3" s="28"/>
      <c r="RUZ3" s="28"/>
      <c r="RVA3" s="28"/>
      <c r="RVB3" s="28"/>
      <c r="RVC3" s="28"/>
      <c r="RVD3" s="28"/>
      <c r="RVE3" s="28"/>
      <c r="RVF3" s="28"/>
      <c r="RVG3" s="28"/>
      <c r="RVH3" s="28"/>
      <c r="RVI3" s="28"/>
      <c r="RVJ3" s="28"/>
      <c r="RVK3" s="28"/>
      <c r="RVL3" s="28"/>
      <c r="RVM3" s="28"/>
      <c r="RVN3" s="28"/>
      <c r="RVO3" s="28"/>
      <c r="RVP3" s="28"/>
      <c r="RVQ3" s="28"/>
      <c r="RVR3" s="28"/>
      <c r="RVS3" s="28"/>
      <c r="RVT3" s="28"/>
      <c r="RVU3" s="28"/>
      <c r="RVV3" s="28"/>
      <c r="RVW3" s="28"/>
      <c r="RVX3" s="28"/>
      <c r="RVY3" s="28"/>
      <c r="RVZ3" s="28"/>
      <c r="RWA3" s="28"/>
      <c r="RWB3" s="28"/>
      <c r="RWC3" s="28"/>
      <c r="RWD3" s="28"/>
      <c r="RWE3" s="28"/>
      <c r="RWF3" s="28"/>
      <c r="RWG3" s="28"/>
      <c r="RWH3" s="28"/>
      <c r="RWI3" s="28"/>
      <c r="RWJ3" s="28"/>
      <c r="RWK3" s="28"/>
      <c r="RWL3" s="28"/>
      <c r="RWM3" s="28"/>
      <c r="RWN3" s="28"/>
      <c r="RWO3" s="28"/>
      <c r="RWP3" s="28"/>
      <c r="RWQ3" s="28"/>
      <c r="RWR3" s="28"/>
      <c r="RWS3" s="28"/>
      <c r="RWT3" s="28"/>
      <c r="RWU3" s="28"/>
      <c r="RWV3" s="28"/>
      <c r="RWW3" s="28"/>
      <c r="RWX3" s="28"/>
      <c r="RWY3" s="28"/>
      <c r="RWZ3" s="28"/>
      <c r="RXA3" s="28"/>
      <c r="RXB3" s="28"/>
      <c r="RXC3" s="28"/>
      <c r="RXD3" s="28"/>
      <c r="RXE3" s="28"/>
      <c r="RXF3" s="28"/>
      <c r="RXG3" s="28"/>
      <c r="RXH3" s="28"/>
      <c r="RXI3" s="28"/>
      <c r="RXJ3" s="28"/>
      <c r="RXK3" s="28"/>
      <c r="RXL3" s="28"/>
      <c r="RXM3" s="28"/>
      <c r="RXN3" s="28"/>
      <c r="RXO3" s="28"/>
      <c r="RXP3" s="28"/>
      <c r="RXQ3" s="28"/>
      <c r="RXR3" s="28"/>
      <c r="RXS3" s="28"/>
      <c r="RXT3" s="28"/>
      <c r="RXU3" s="28"/>
      <c r="RXV3" s="28"/>
      <c r="RXW3" s="28"/>
      <c r="RXX3" s="28"/>
      <c r="RXY3" s="28"/>
      <c r="RXZ3" s="28"/>
      <c r="RYA3" s="28"/>
      <c r="RYB3" s="28"/>
      <c r="RYC3" s="28"/>
      <c r="RYD3" s="28"/>
      <c r="RYE3" s="28"/>
      <c r="RYF3" s="28"/>
      <c r="RYG3" s="28"/>
      <c r="RYH3" s="28"/>
      <c r="RYI3" s="28"/>
      <c r="RYJ3" s="28"/>
      <c r="RYK3" s="28"/>
      <c r="RYL3" s="28"/>
      <c r="RYM3" s="28"/>
      <c r="RYN3" s="28"/>
      <c r="RYO3" s="28"/>
      <c r="RYP3" s="28"/>
      <c r="RYQ3" s="28"/>
      <c r="RYR3" s="28"/>
      <c r="RYS3" s="28"/>
      <c r="RYT3" s="28"/>
      <c r="RYU3" s="28"/>
      <c r="RYV3" s="28"/>
      <c r="RYW3" s="28"/>
      <c r="RYX3" s="28"/>
      <c r="RYY3" s="28"/>
      <c r="RYZ3" s="28"/>
      <c r="RZA3" s="28"/>
      <c r="RZB3" s="28"/>
      <c r="RZC3" s="28"/>
      <c r="RZD3" s="28"/>
      <c r="RZE3" s="28"/>
      <c r="RZF3" s="28"/>
      <c r="RZG3" s="28"/>
      <c r="RZH3" s="28"/>
      <c r="RZI3" s="28"/>
      <c r="RZJ3" s="28"/>
      <c r="RZK3" s="28"/>
      <c r="RZL3" s="28"/>
      <c r="RZM3" s="28"/>
      <c r="RZN3" s="28"/>
      <c r="RZO3" s="28"/>
      <c r="RZP3" s="28"/>
      <c r="RZQ3" s="28"/>
      <c r="RZR3" s="28"/>
      <c r="RZS3" s="28"/>
      <c r="RZT3" s="28"/>
      <c r="RZU3" s="28"/>
      <c r="RZV3" s="28"/>
      <c r="RZW3" s="28"/>
      <c r="RZX3" s="28"/>
      <c r="RZY3" s="28"/>
      <c r="RZZ3" s="28"/>
      <c r="SAA3" s="28"/>
      <c r="SAB3" s="28"/>
      <c r="SAC3" s="28"/>
      <c r="SAD3" s="28"/>
      <c r="SAE3" s="28"/>
      <c r="SAF3" s="28"/>
      <c r="SAG3" s="28"/>
      <c r="SAH3" s="28"/>
      <c r="SAI3" s="28"/>
      <c r="SAJ3" s="28"/>
      <c r="SAK3" s="28"/>
      <c r="SAL3" s="28"/>
      <c r="SAM3" s="28"/>
      <c r="SAN3" s="28"/>
      <c r="SAO3" s="28"/>
      <c r="SAP3" s="28"/>
      <c r="SAQ3" s="28"/>
      <c r="SAR3" s="28"/>
      <c r="SAS3" s="28"/>
      <c r="SAT3" s="28"/>
      <c r="SAU3" s="28"/>
      <c r="SAV3" s="28"/>
      <c r="SAW3" s="28"/>
      <c r="SAX3" s="28"/>
      <c r="SAY3" s="28"/>
      <c r="SAZ3" s="28"/>
      <c r="SBA3" s="28"/>
      <c r="SBB3" s="28"/>
      <c r="SBC3" s="28"/>
      <c r="SBD3" s="28"/>
      <c r="SBE3" s="28"/>
      <c r="SBF3" s="28"/>
      <c r="SBG3" s="28"/>
      <c r="SBH3" s="28"/>
      <c r="SBI3" s="28"/>
      <c r="SBJ3" s="28"/>
      <c r="SBK3" s="28"/>
      <c r="SBL3" s="28"/>
      <c r="SBM3" s="28"/>
      <c r="SBN3" s="28"/>
      <c r="SBO3" s="28"/>
      <c r="SBP3" s="28"/>
      <c r="SBQ3" s="28"/>
      <c r="SBR3" s="28"/>
      <c r="SBS3" s="28"/>
      <c r="SBT3" s="28"/>
      <c r="SBU3" s="28"/>
      <c r="SBV3" s="28"/>
      <c r="SBW3" s="28"/>
      <c r="SBX3" s="28"/>
      <c r="SBY3" s="28"/>
      <c r="SBZ3" s="28"/>
      <c r="SCA3" s="28"/>
      <c r="SCB3" s="28"/>
      <c r="SCC3" s="28"/>
      <c r="SCD3" s="28"/>
      <c r="SCE3" s="28"/>
      <c r="SCF3" s="28"/>
      <c r="SCG3" s="28"/>
      <c r="SCH3" s="28"/>
      <c r="SCI3" s="28"/>
      <c r="SCJ3" s="28"/>
      <c r="SCK3" s="28"/>
      <c r="SCL3" s="28"/>
      <c r="SCM3" s="28"/>
      <c r="SCN3" s="28"/>
      <c r="SCO3" s="28"/>
      <c r="SCP3" s="28"/>
      <c r="SCQ3" s="28"/>
      <c r="SCR3" s="28"/>
      <c r="SCS3" s="28"/>
      <c r="SCT3" s="28"/>
      <c r="SCU3" s="28"/>
      <c r="SCV3" s="28"/>
      <c r="SCW3" s="28"/>
      <c r="SCX3" s="28"/>
      <c r="SCY3" s="28"/>
      <c r="SCZ3" s="28"/>
      <c r="SDA3" s="28"/>
      <c r="SDB3" s="28"/>
      <c r="SDC3" s="28"/>
      <c r="SDD3" s="28"/>
      <c r="SDE3" s="28"/>
      <c r="SDF3" s="28"/>
      <c r="SDG3" s="28"/>
      <c r="SDH3" s="28"/>
      <c r="SDI3" s="28"/>
      <c r="SDJ3" s="28"/>
      <c r="SDK3" s="28"/>
      <c r="SDL3" s="28"/>
      <c r="SDM3" s="28"/>
      <c r="SDN3" s="28"/>
      <c r="SDO3" s="28"/>
      <c r="SDP3" s="28"/>
      <c r="SDQ3" s="28"/>
      <c r="SDR3" s="28"/>
      <c r="SDS3" s="28"/>
      <c r="SDT3" s="28"/>
      <c r="SDU3" s="28"/>
      <c r="SDV3" s="28"/>
      <c r="SDW3" s="28"/>
      <c r="SDX3" s="28"/>
      <c r="SDY3" s="28"/>
      <c r="SDZ3" s="28"/>
      <c r="SEA3" s="28"/>
      <c r="SEB3" s="28"/>
      <c r="SEC3" s="28"/>
      <c r="SED3" s="28"/>
      <c r="SEE3" s="28"/>
      <c r="SEF3" s="28"/>
      <c r="SEG3" s="28"/>
      <c r="SEH3" s="28"/>
      <c r="SEI3" s="28"/>
      <c r="SEJ3" s="28"/>
      <c r="SEK3" s="28"/>
      <c r="SEL3" s="28"/>
      <c r="SEM3" s="28"/>
      <c r="SEN3" s="28"/>
      <c r="SEO3" s="28"/>
      <c r="SEP3" s="28"/>
      <c r="SEQ3" s="28"/>
      <c r="SER3" s="28"/>
      <c r="SES3" s="28"/>
      <c r="SET3" s="28"/>
      <c r="SEU3" s="28"/>
      <c r="SEV3" s="28"/>
      <c r="SEW3" s="28"/>
      <c r="SEX3" s="28"/>
      <c r="SEY3" s="28"/>
      <c r="SEZ3" s="28"/>
      <c r="SFA3" s="28"/>
      <c r="SFB3" s="28"/>
      <c r="SFC3" s="28"/>
      <c r="SFD3" s="28"/>
      <c r="SFE3" s="28"/>
      <c r="SFF3" s="28"/>
      <c r="SFG3" s="28"/>
      <c r="SFH3" s="28"/>
      <c r="SFI3" s="28"/>
      <c r="SFJ3" s="28"/>
      <c r="SFK3" s="28"/>
      <c r="SFL3" s="28"/>
      <c r="SFM3" s="28"/>
      <c r="SFN3" s="28"/>
      <c r="SFO3" s="28"/>
      <c r="SFP3" s="28"/>
      <c r="SFQ3" s="28"/>
      <c r="SFR3" s="28"/>
      <c r="SFS3" s="28"/>
      <c r="SFT3" s="28"/>
      <c r="SFU3" s="28"/>
      <c r="SFV3" s="28"/>
      <c r="SFW3" s="28"/>
      <c r="SFX3" s="28"/>
      <c r="SFY3" s="28"/>
      <c r="SFZ3" s="28"/>
      <c r="SGA3" s="28"/>
      <c r="SGB3" s="28"/>
      <c r="SGC3" s="28"/>
      <c r="SGD3" s="28"/>
      <c r="SGE3" s="28"/>
      <c r="SGF3" s="28"/>
      <c r="SGG3" s="28"/>
      <c r="SGH3" s="28"/>
      <c r="SGI3" s="28"/>
      <c r="SGJ3" s="28"/>
      <c r="SGK3" s="28"/>
      <c r="SGL3" s="28"/>
      <c r="SGM3" s="28"/>
      <c r="SGN3" s="28"/>
      <c r="SGO3" s="28"/>
      <c r="SGP3" s="28"/>
      <c r="SGQ3" s="28"/>
      <c r="SGR3" s="28"/>
      <c r="SGS3" s="28"/>
      <c r="SGT3" s="28"/>
      <c r="SGU3" s="28"/>
      <c r="SGV3" s="28"/>
      <c r="SGW3" s="28"/>
      <c r="SGX3" s="28"/>
      <c r="SGY3" s="28"/>
      <c r="SGZ3" s="28"/>
      <c r="SHA3" s="28"/>
      <c r="SHB3" s="28"/>
      <c r="SHC3" s="28"/>
      <c r="SHD3" s="28"/>
      <c r="SHE3" s="28"/>
      <c r="SHF3" s="28"/>
      <c r="SHG3" s="28"/>
      <c r="SHH3" s="28"/>
      <c r="SHI3" s="28"/>
      <c r="SHJ3" s="28"/>
      <c r="SHK3" s="28"/>
      <c r="SHL3" s="28"/>
      <c r="SHM3" s="28"/>
      <c r="SHN3" s="28"/>
      <c r="SHO3" s="28"/>
      <c r="SHP3" s="28"/>
      <c r="SHQ3" s="28"/>
      <c r="SHR3" s="28"/>
      <c r="SHS3" s="28"/>
      <c r="SHT3" s="28"/>
      <c r="SHU3" s="28"/>
      <c r="SHV3" s="28"/>
      <c r="SHW3" s="28"/>
      <c r="SHX3" s="28"/>
      <c r="SHY3" s="28"/>
      <c r="SHZ3" s="28"/>
      <c r="SIA3" s="28"/>
      <c r="SIB3" s="28"/>
      <c r="SIC3" s="28"/>
      <c r="SID3" s="28"/>
      <c r="SIE3" s="28"/>
      <c r="SIF3" s="28"/>
      <c r="SIG3" s="28"/>
      <c r="SIH3" s="28"/>
      <c r="SII3" s="28"/>
      <c r="SIJ3" s="28"/>
      <c r="SIK3" s="28"/>
      <c r="SIL3" s="28"/>
      <c r="SIM3" s="28"/>
      <c r="SIN3" s="28"/>
      <c r="SIO3" s="28"/>
      <c r="SIP3" s="28"/>
      <c r="SIQ3" s="28"/>
      <c r="SIR3" s="28"/>
      <c r="SIS3" s="28"/>
      <c r="SIT3" s="28"/>
      <c r="SIU3" s="28"/>
      <c r="SIV3" s="28"/>
      <c r="SIW3" s="28"/>
      <c r="SIX3" s="28"/>
      <c r="SIY3" s="28"/>
      <c r="SIZ3" s="28"/>
      <c r="SJA3" s="28"/>
      <c r="SJB3" s="28"/>
      <c r="SJC3" s="28"/>
      <c r="SJD3" s="28"/>
      <c r="SJE3" s="28"/>
      <c r="SJF3" s="28"/>
      <c r="SJG3" s="28"/>
      <c r="SJH3" s="28"/>
      <c r="SJI3" s="28"/>
      <c r="SJJ3" s="28"/>
      <c r="SJK3" s="28"/>
      <c r="SJL3" s="28"/>
      <c r="SJM3" s="28"/>
      <c r="SJN3" s="28"/>
      <c r="SJO3" s="28"/>
      <c r="SJP3" s="28"/>
      <c r="SJQ3" s="28"/>
      <c r="SJR3" s="28"/>
      <c r="SJS3" s="28"/>
      <c r="SJT3" s="28"/>
      <c r="SJU3" s="28"/>
      <c r="SJV3" s="28"/>
      <c r="SJW3" s="28"/>
      <c r="SJX3" s="28"/>
      <c r="SJY3" s="28"/>
      <c r="SJZ3" s="28"/>
      <c r="SKA3" s="28"/>
      <c r="SKB3" s="28"/>
      <c r="SKC3" s="28"/>
      <c r="SKD3" s="28"/>
      <c r="SKE3" s="28"/>
      <c r="SKF3" s="28"/>
      <c r="SKG3" s="28"/>
      <c r="SKH3" s="28"/>
      <c r="SKI3" s="28"/>
      <c r="SKJ3" s="28"/>
      <c r="SKK3" s="28"/>
      <c r="SKL3" s="28"/>
      <c r="SKM3" s="28"/>
      <c r="SKN3" s="28"/>
      <c r="SKO3" s="28"/>
      <c r="SKP3" s="28"/>
      <c r="SKQ3" s="28"/>
      <c r="SKR3" s="28"/>
      <c r="SKS3" s="28"/>
      <c r="SKT3" s="28"/>
      <c r="SKU3" s="28"/>
      <c r="SKV3" s="28"/>
      <c r="SKW3" s="28"/>
      <c r="SKX3" s="28"/>
      <c r="SKY3" s="28"/>
      <c r="SKZ3" s="28"/>
      <c r="SLA3" s="28"/>
      <c r="SLB3" s="28"/>
      <c r="SLC3" s="28"/>
      <c r="SLD3" s="28"/>
      <c r="SLE3" s="28"/>
      <c r="SLF3" s="28"/>
      <c r="SLG3" s="28"/>
      <c r="SLH3" s="28"/>
      <c r="SLI3" s="28"/>
      <c r="SLJ3" s="28"/>
      <c r="SLK3" s="28"/>
      <c r="SLL3" s="28"/>
      <c r="SLM3" s="28"/>
      <c r="SLN3" s="28"/>
      <c r="SLO3" s="28"/>
      <c r="SLP3" s="28"/>
      <c r="SLQ3" s="28"/>
      <c r="SLR3" s="28"/>
      <c r="SLS3" s="28"/>
      <c r="SLT3" s="28"/>
      <c r="SLU3" s="28"/>
      <c r="SLV3" s="28"/>
      <c r="SLW3" s="28"/>
      <c r="SLX3" s="28"/>
      <c r="SLY3" s="28"/>
      <c r="SLZ3" s="28"/>
      <c r="SMA3" s="28"/>
      <c r="SMB3" s="28"/>
      <c r="SMC3" s="28"/>
      <c r="SMD3" s="28"/>
      <c r="SME3" s="28"/>
      <c r="SMF3" s="28"/>
      <c r="SMG3" s="28"/>
      <c r="SMH3" s="28"/>
      <c r="SMI3" s="28"/>
      <c r="SMJ3" s="28"/>
      <c r="SMK3" s="28"/>
      <c r="SML3" s="28"/>
      <c r="SMM3" s="28"/>
      <c r="SMN3" s="28"/>
      <c r="SMO3" s="28"/>
      <c r="SMP3" s="28"/>
      <c r="SMQ3" s="28"/>
      <c r="SMR3" s="28"/>
      <c r="SMS3" s="28"/>
      <c r="SMT3" s="28"/>
      <c r="SMU3" s="28"/>
      <c r="SMV3" s="28"/>
      <c r="SMW3" s="28"/>
      <c r="SMX3" s="28"/>
      <c r="SMY3" s="28"/>
      <c r="SMZ3" s="28"/>
      <c r="SNA3" s="28"/>
      <c r="SNB3" s="28"/>
      <c r="SNC3" s="28"/>
      <c r="SND3" s="28"/>
      <c r="SNE3" s="28"/>
      <c r="SNF3" s="28"/>
      <c r="SNG3" s="28"/>
      <c r="SNH3" s="28"/>
      <c r="SNI3" s="28"/>
      <c r="SNJ3" s="28"/>
      <c r="SNK3" s="28"/>
      <c r="SNL3" s="28"/>
      <c r="SNM3" s="28"/>
      <c r="SNN3" s="28"/>
      <c r="SNO3" s="28"/>
      <c r="SNP3" s="28"/>
      <c r="SNQ3" s="28"/>
      <c r="SNR3" s="28"/>
      <c r="SNS3" s="28"/>
      <c r="SNT3" s="28"/>
      <c r="SNU3" s="28"/>
      <c r="SNV3" s="28"/>
      <c r="SNW3" s="28"/>
      <c r="SNX3" s="28"/>
      <c r="SNY3" s="28"/>
      <c r="SNZ3" s="28"/>
      <c r="SOA3" s="28"/>
      <c r="SOB3" s="28"/>
      <c r="SOC3" s="28"/>
      <c r="SOD3" s="28"/>
      <c r="SOE3" s="28"/>
      <c r="SOF3" s="28"/>
      <c r="SOG3" s="28"/>
      <c r="SOH3" s="28"/>
      <c r="SOI3" s="28"/>
      <c r="SOJ3" s="28"/>
      <c r="SOK3" s="28"/>
      <c r="SOL3" s="28"/>
      <c r="SOM3" s="28"/>
      <c r="SON3" s="28"/>
      <c r="SOO3" s="28"/>
      <c r="SOP3" s="28"/>
      <c r="SOQ3" s="28"/>
      <c r="SOR3" s="28"/>
      <c r="SOS3" s="28"/>
      <c r="SOT3" s="28"/>
      <c r="SOU3" s="28"/>
      <c r="SOV3" s="28"/>
      <c r="SOW3" s="28"/>
      <c r="SOX3" s="28"/>
      <c r="SOY3" s="28"/>
      <c r="SOZ3" s="28"/>
      <c r="SPA3" s="28"/>
      <c r="SPB3" s="28"/>
      <c r="SPC3" s="28"/>
      <c r="SPD3" s="28"/>
      <c r="SPE3" s="28"/>
      <c r="SPF3" s="28"/>
      <c r="SPG3" s="28"/>
      <c r="SPH3" s="28"/>
      <c r="SPI3" s="28"/>
      <c r="SPJ3" s="28"/>
      <c r="SPK3" s="28"/>
      <c r="SPL3" s="28"/>
      <c r="SPM3" s="28"/>
      <c r="SPN3" s="28"/>
      <c r="SPO3" s="28"/>
      <c r="SPP3" s="28"/>
      <c r="SPQ3" s="28"/>
      <c r="SPR3" s="28"/>
      <c r="SPS3" s="28"/>
      <c r="SPT3" s="28"/>
      <c r="SPU3" s="28"/>
      <c r="SPV3" s="28"/>
      <c r="SPW3" s="28"/>
      <c r="SPX3" s="28"/>
      <c r="SPY3" s="28"/>
      <c r="SPZ3" s="28"/>
      <c r="SQA3" s="28"/>
      <c r="SQB3" s="28"/>
      <c r="SQC3" s="28"/>
      <c r="SQD3" s="28"/>
      <c r="SQE3" s="28"/>
      <c r="SQF3" s="28"/>
      <c r="SQG3" s="28"/>
      <c r="SQH3" s="28"/>
      <c r="SQI3" s="28"/>
      <c r="SQJ3" s="28"/>
      <c r="SQK3" s="28"/>
      <c r="SQL3" s="28"/>
      <c r="SQM3" s="28"/>
      <c r="SQN3" s="28"/>
      <c r="SQO3" s="28"/>
      <c r="SQP3" s="28"/>
      <c r="SQQ3" s="28"/>
      <c r="SQR3" s="28"/>
      <c r="SQS3" s="28"/>
      <c r="SQT3" s="28"/>
      <c r="SQU3" s="28"/>
      <c r="SQV3" s="28"/>
      <c r="SQW3" s="28"/>
      <c r="SQX3" s="28"/>
      <c r="SQY3" s="28"/>
      <c r="SQZ3" s="28"/>
      <c r="SRA3" s="28"/>
      <c r="SRB3" s="28"/>
      <c r="SRC3" s="28"/>
      <c r="SRD3" s="28"/>
      <c r="SRE3" s="28"/>
      <c r="SRF3" s="28"/>
      <c r="SRG3" s="28"/>
      <c r="SRH3" s="28"/>
      <c r="SRI3" s="28"/>
      <c r="SRJ3" s="28"/>
      <c r="SRK3" s="28"/>
      <c r="SRL3" s="28"/>
      <c r="SRM3" s="28"/>
      <c r="SRN3" s="28"/>
      <c r="SRO3" s="28"/>
      <c r="SRP3" s="28"/>
      <c r="SRQ3" s="28"/>
      <c r="SRR3" s="28"/>
      <c r="SRS3" s="28"/>
      <c r="SRT3" s="28"/>
      <c r="SRU3" s="28"/>
      <c r="SRV3" s="28"/>
      <c r="SRW3" s="28"/>
      <c r="SRX3" s="28"/>
      <c r="SRY3" s="28"/>
      <c r="SRZ3" s="28"/>
      <c r="SSA3" s="28"/>
      <c r="SSB3" s="28"/>
      <c r="SSC3" s="28"/>
      <c r="SSD3" s="28"/>
      <c r="SSE3" s="28"/>
      <c r="SSF3" s="28"/>
      <c r="SSG3" s="28"/>
      <c r="SSH3" s="28"/>
      <c r="SSI3" s="28"/>
      <c r="SSJ3" s="28"/>
      <c r="SSK3" s="28"/>
      <c r="SSL3" s="28"/>
      <c r="SSM3" s="28"/>
      <c r="SSN3" s="28"/>
      <c r="SSO3" s="28"/>
      <c r="SSP3" s="28"/>
      <c r="SSQ3" s="28"/>
      <c r="SSR3" s="28"/>
      <c r="SSS3" s="28"/>
      <c r="SST3" s="28"/>
      <c r="SSU3" s="28"/>
      <c r="SSV3" s="28"/>
      <c r="SSW3" s="28"/>
      <c r="SSX3" s="28"/>
      <c r="SSY3" s="28"/>
      <c r="SSZ3" s="28"/>
      <c r="STA3" s="28"/>
      <c r="STB3" s="28"/>
      <c r="STC3" s="28"/>
      <c r="STD3" s="28"/>
      <c r="STE3" s="28"/>
      <c r="STF3" s="28"/>
      <c r="STG3" s="28"/>
      <c r="STH3" s="28"/>
      <c r="STI3" s="28"/>
      <c r="STJ3" s="28"/>
      <c r="STK3" s="28"/>
      <c r="STL3" s="28"/>
      <c r="STM3" s="28"/>
      <c r="STN3" s="28"/>
      <c r="STO3" s="28"/>
      <c r="STP3" s="28"/>
      <c r="STQ3" s="28"/>
      <c r="STR3" s="28"/>
      <c r="STS3" s="28"/>
      <c r="STT3" s="28"/>
      <c r="STU3" s="28"/>
      <c r="STV3" s="28"/>
      <c r="STW3" s="28"/>
      <c r="STX3" s="28"/>
      <c r="STY3" s="28"/>
      <c r="STZ3" s="28"/>
      <c r="SUA3" s="28"/>
      <c r="SUB3" s="28"/>
      <c r="SUC3" s="28"/>
      <c r="SUD3" s="28"/>
      <c r="SUE3" s="28"/>
      <c r="SUF3" s="28"/>
      <c r="SUG3" s="28"/>
      <c r="SUH3" s="28"/>
      <c r="SUI3" s="28"/>
      <c r="SUJ3" s="28"/>
      <c r="SUK3" s="28"/>
      <c r="SUL3" s="28"/>
      <c r="SUM3" s="28"/>
      <c r="SUN3" s="28"/>
      <c r="SUO3" s="28"/>
      <c r="SUP3" s="28"/>
      <c r="SUQ3" s="28"/>
      <c r="SUR3" s="28"/>
      <c r="SUS3" s="28"/>
      <c r="SUT3" s="28"/>
      <c r="SUU3" s="28"/>
      <c r="SUV3" s="28"/>
      <c r="SUW3" s="28"/>
      <c r="SUX3" s="28"/>
      <c r="SUY3" s="28"/>
      <c r="SUZ3" s="28"/>
      <c r="SVA3" s="28"/>
      <c r="SVB3" s="28"/>
      <c r="SVC3" s="28"/>
      <c r="SVD3" s="28"/>
      <c r="SVE3" s="28"/>
      <c r="SVF3" s="28"/>
      <c r="SVG3" s="28"/>
      <c r="SVH3" s="28"/>
      <c r="SVI3" s="28"/>
      <c r="SVJ3" s="28"/>
      <c r="SVK3" s="28"/>
      <c r="SVL3" s="28"/>
      <c r="SVM3" s="28"/>
      <c r="SVN3" s="28"/>
      <c r="SVO3" s="28"/>
      <c r="SVP3" s="28"/>
      <c r="SVQ3" s="28"/>
      <c r="SVR3" s="28"/>
      <c r="SVS3" s="28"/>
      <c r="SVT3" s="28"/>
      <c r="SVU3" s="28"/>
      <c r="SVV3" s="28"/>
      <c r="SVW3" s="28"/>
      <c r="SVX3" s="28"/>
      <c r="SVY3" s="28"/>
      <c r="SVZ3" s="28"/>
      <c r="SWA3" s="28"/>
      <c r="SWB3" s="28"/>
      <c r="SWC3" s="28"/>
      <c r="SWD3" s="28"/>
      <c r="SWE3" s="28"/>
      <c r="SWF3" s="28"/>
      <c r="SWG3" s="28"/>
      <c r="SWH3" s="28"/>
      <c r="SWI3" s="28"/>
      <c r="SWJ3" s="28"/>
      <c r="SWK3" s="28"/>
      <c r="SWL3" s="28"/>
      <c r="SWM3" s="28"/>
      <c r="SWN3" s="28"/>
      <c r="SWO3" s="28"/>
      <c r="SWP3" s="28"/>
      <c r="SWQ3" s="28"/>
      <c r="SWR3" s="28"/>
      <c r="SWS3" s="28"/>
      <c r="SWT3" s="28"/>
      <c r="SWU3" s="28"/>
      <c r="SWV3" s="28"/>
      <c r="SWW3" s="28"/>
      <c r="SWX3" s="28"/>
      <c r="SWY3" s="28"/>
      <c r="SWZ3" s="28"/>
      <c r="SXA3" s="28"/>
      <c r="SXB3" s="28"/>
      <c r="SXC3" s="28"/>
      <c r="SXD3" s="28"/>
      <c r="SXE3" s="28"/>
      <c r="SXF3" s="28"/>
      <c r="SXG3" s="28"/>
      <c r="SXH3" s="28"/>
      <c r="SXI3" s="28"/>
      <c r="SXJ3" s="28"/>
      <c r="SXK3" s="28"/>
      <c r="SXL3" s="28"/>
      <c r="SXM3" s="28"/>
      <c r="SXN3" s="28"/>
      <c r="SXO3" s="28"/>
      <c r="SXP3" s="28"/>
      <c r="SXQ3" s="28"/>
      <c r="SXR3" s="28"/>
      <c r="SXS3" s="28"/>
      <c r="SXT3" s="28"/>
      <c r="SXU3" s="28"/>
      <c r="SXV3" s="28"/>
      <c r="SXW3" s="28"/>
      <c r="SXX3" s="28"/>
      <c r="SXY3" s="28"/>
      <c r="SXZ3" s="28"/>
      <c r="SYA3" s="28"/>
      <c r="SYB3" s="28"/>
      <c r="SYC3" s="28"/>
      <c r="SYD3" s="28"/>
      <c r="SYE3" s="28"/>
      <c r="SYF3" s="28"/>
      <c r="SYG3" s="28"/>
      <c r="SYH3" s="28"/>
      <c r="SYI3" s="28"/>
      <c r="SYJ3" s="28"/>
      <c r="SYK3" s="28"/>
      <c r="SYL3" s="28"/>
      <c r="SYM3" s="28"/>
      <c r="SYN3" s="28"/>
      <c r="SYO3" s="28"/>
      <c r="SYP3" s="28"/>
      <c r="SYQ3" s="28"/>
      <c r="SYR3" s="28"/>
      <c r="SYS3" s="28"/>
      <c r="SYT3" s="28"/>
      <c r="SYU3" s="28"/>
      <c r="SYV3" s="28"/>
      <c r="SYW3" s="28"/>
      <c r="SYX3" s="28"/>
      <c r="SYY3" s="28"/>
      <c r="SYZ3" s="28"/>
      <c r="SZA3" s="28"/>
      <c r="SZB3" s="28"/>
      <c r="SZC3" s="28"/>
      <c r="SZD3" s="28"/>
      <c r="SZE3" s="28"/>
      <c r="SZF3" s="28"/>
      <c r="SZG3" s="28"/>
      <c r="SZH3" s="28"/>
      <c r="SZI3" s="28"/>
      <c r="SZJ3" s="28"/>
      <c r="SZK3" s="28"/>
      <c r="SZL3" s="28"/>
      <c r="SZM3" s="28"/>
      <c r="SZN3" s="28"/>
      <c r="SZO3" s="28"/>
      <c r="SZP3" s="28"/>
      <c r="SZQ3" s="28"/>
      <c r="SZR3" s="28"/>
      <c r="SZS3" s="28"/>
      <c r="SZT3" s="28"/>
      <c r="SZU3" s="28"/>
      <c r="SZV3" s="28"/>
      <c r="SZW3" s="28"/>
      <c r="SZX3" s="28"/>
      <c r="SZY3" s="28"/>
      <c r="SZZ3" s="28"/>
      <c r="TAA3" s="28"/>
      <c r="TAB3" s="28"/>
      <c r="TAC3" s="28"/>
      <c r="TAD3" s="28"/>
      <c r="TAE3" s="28"/>
      <c r="TAF3" s="28"/>
      <c r="TAG3" s="28"/>
      <c r="TAH3" s="28"/>
      <c r="TAI3" s="28"/>
      <c r="TAJ3" s="28"/>
      <c r="TAK3" s="28"/>
      <c r="TAL3" s="28"/>
      <c r="TAM3" s="28"/>
      <c r="TAN3" s="28"/>
      <c r="TAO3" s="28"/>
      <c r="TAP3" s="28"/>
      <c r="TAQ3" s="28"/>
      <c r="TAR3" s="28"/>
      <c r="TAS3" s="28"/>
      <c r="TAT3" s="28"/>
      <c r="TAU3" s="28"/>
      <c r="TAV3" s="28"/>
      <c r="TAW3" s="28"/>
      <c r="TAX3" s="28"/>
      <c r="TAY3" s="28"/>
      <c r="TAZ3" s="28"/>
      <c r="TBA3" s="28"/>
      <c r="TBB3" s="28"/>
      <c r="TBC3" s="28"/>
      <c r="TBD3" s="28"/>
      <c r="TBE3" s="28"/>
      <c r="TBF3" s="28"/>
      <c r="TBG3" s="28"/>
      <c r="TBH3" s="28"/>
      <c r="TBI3" s="28"/>
      <c r="TBJ3" s="28"/>
      <c r="TBK3" s="28"/>
      <c r="TBL3" s="28"/>
      <c r="TBM3" s="28"/>
      <c r="TBN3" s="28"/>
      <c r="TBO3" s="28"/>
      <c r="TBP3" s="28"/>
      <c r="TBQ3" s="28"/>
      <c r="TBR3" s="28"/>
      <c r="TBS3" s="28"/>
      <c r="TBT3" s="28"/>
      <c r="TBU3" s="28"/>
      <c r="TBV3" s="28"/>
      <c r="TBW3" s="28"/>
      <c r="TBX3" s="28"/>
      <c r="TBY3" s="28"/>
      <c r="TBZ3" s="28"/>
      <c r="TCA3" s="28"/>
      <c r="TCB3" s="28"/>
      <c r="TCC3" s="28"/>
      <c r="TCD3" s="28"/>
      <c r="TCE3" s="28"/>
      <c r="TCF3" s="28"/>
      <c r="TCG3" s="28"/>
      <c r="TCH3" s="28"/>
      <c r="TCI3" s="28"/>
      <c r="TCJ3" s="28"/>
      <c r="TCK3" s="28"/>
      <c r="TCL3" s="28"/>
      <c r="TCM3" s="28"/>
      <c r="TCN3" s="28"/>
      <c r="TCO3" s="28"/>
      <c r="TCP3" s="28"/>
      <c r="TCQ3" s="28"/>
      <c r="TCR3" s="28"/>
      <c r="TCS3" s="28"/>
      <c r="TCT3" s="28"/>
      <c r="TCU3" s="28"/>
      <c r="TCV3" s="28"/>
      <c r="TCW3" s="28"/>
      <c r="TCX3" s="28"/>
      <c r="TCY3" s="28"/>
      <c r="TCZ3" s="28"/>
      <c r="TDA3" s="28"/>
      <c r="TDB3" s="28"/>
      <c r="TDC3" s="28"/>
      <c r="TDD3" s="28"/>
      <c r="TDE3" s="28"/>
      <c r="TDF3" s="28"/>
      <c r="TDG3" s="28"/>
      <c r="TDH3" s="28"/>
      <c r="TDI3" s="28"/>
      <c r="TDJ3" s="28"/>
      <c r="TDK3" s="28"/>
      <c r="TDL3" s="28"/>
      <c r="TDM3" s="28"/>
      <c r="TDN3" s="28"/>
      <c r="TDO3" s="28"/>
      <c r="TDP3" s="28"/>
      <c r="TDQ3" s="28"/>
      <c r="TDR3" s="28"/>
      <c r="TDS3" s="28"/>
      <c r="TDT3" s="28"/>
      <c r="TDU3" s="28"/>
      <c r="TDV3" s="28"/>
      <c r="TDW3" s="28"/>
      <c r="TDX3" s="28"/>
      <c r="TDY3" s="28"/>
      <c r="TDZ3" s="28"/>
      <c r="TEA3" s="28"/>
      <c r="TEB3" s="28"/>
      <c r="TEC3" s="28"/>
      <c r="TED3" s="28"/>
      <c r="TEE3" s="28"/>
      <c r="TEF3" s="28"/>
      <c r="TEG3" s="28"/>
      <c r="TEH3" s="28"/>
      <c r="TEI3" s="28"/>
      <c r="TEJ3" s="28"/>
      <c r="TEK3" s="28"/>
      <c r="TEL3" s="28"/>
      <c r="TEM3" s="28"/>
      <c r="TEN3" s="28"/>
      <c r="TEO3" s="28"/>
      <c r="TEP3" s="28"/>
      <c r="TEQ3" s="28"/>
      <c r="TER3" s="28"/>
      <c r="TES3" s="28"/>
      <c r="TET3" s="28"/>
      <c r="TEU3" s="28"/>
      <c r="TEV3" s="28"/>
      <c r="TEW3" s="28"/>
      <c r="TEX3" s="28"/>
      <c r="TEY3" s="28"/>
      <c r="TEZ3" s="28"/>
      <c r="TFA3" s="28"/>
      <c r="TFB3" s="28"/>
      <c r="TFC3" s="28"/>
      <c r="TFD3" s="28"/>
      <c r="TFE3" s="28"/>
      <c r="TFF3" s="28"/>
      <c r="TFG3" s="28"/>
      <c r="TFH3" s="28"/>
      <c r="TFI3" s="28"/>
      <c r="TFJ3" s="28"/>
      <c r="TFK3" s="28"/>
      <c r="TFL3" s="28"/>
      <c r="TFM3" s="28"/>
      <c r="TFN3" s="28"/>
      <c r="TFO3" s="28"/>
      <c r="TFP3" s="28"/>
      <c r="TFQ3" s="28"/>
      <c r="TFR3" s="28"/>
      <c r="TFS3" s="28"/>
      <c r="TFT3" s="28"/>
      <c r="TFU3" s="28"/>
      <c r="TFV3" s="28"/>
      <c r="TFW3" s="28"/>
      <c r="TFX3" s="28"/>
      <c r="TFY3" s="28"/>
      <c r="TFZ3" s="28"/>
      <c r="TGA3" s="28"/>
      <c r="TGB3" s="28"/>
      <c r="TGC3" s="28"/>
      <c r="TGD3" s="28"/>
      <c r="TGE3" s="28"/>
      <c r="TGF3" s="28"/>
      <c r="TGG3" s="28"/>
      <c r="TGH3" s="28"/>
      <c r="TGI3" s="28"/>
      <c r="TGJ3" s="28"/>
      <c r="TGK3" s="28"/>
      <c r="TGL3" s="28"/>
      <c r="TGM3" s="28"/>
      <c r="TGN3" s="28"/>
      <c r="TGO3" s="28"/>
      <c r="TGP3" s="28"/>
      <c r="TGQ3" s="28"/>
      <c r="TGR3" s="28"/>
      <c r="TGS3" s="28"/>
      <c r="TGT3" s="28"/>
      <c r="TGU3" s="28"/>
      <c r="TGV3" s="28"/>
      <c r="TGW3" s="28"/>
      <c r="TGX3" s="28"/>
      <c r="TGY3" s="28"/>
      <c r="TGZ3" s="28"/>
      <c r="THA3" s="28"/>
      <c r="THB3" s="28"/>
      <c r="THC3" s="28"/>
      <c r="THD3" s="28"/>
      <c r="THE3" s="28"/>
      <c r="THF3" s="28"/>
      <c r="THG3" s="28"/>
      <c r="THH3" s="28"/>
      <c r="THI3" s="28"/>
      <c r="THJ3" s="28"/>
      <c r="THK3" s="28"/>
      <c r="THL3" s="28"/>
      <c r="THM3" s="28"/>
      <c r="THN3" s="28"/>
      <c r="THO3" s="28"/>
      <c r="THP3" s="28"/>
      <c r="THQ3" s="28"/>
      <c r="THR3" s="28"/>
      <c r="THS3" s="28"/>
      <c r="THT3" s="28"/>
      <c r="THU3" s="28"/>
      <c r="THV3" s="28"/>
      <c r="THW3" s="28"/>
      <c r="THX3" s="28"/>
      <c r="THY3" s="28"/>
      <c r="THZ3" s="28"/>
      <c r="TIA3" s="28"/>
      <c r="TIB3" s="28"/>
      <c r="TIC3" s="28"/>
      <c r="TID3" s="28"/>
      <c r="TIE3" s="28"/>
      <c r="TIF3" s="28"/>
      <c r="TIG3" s="28"/>
      <c r="TIH3" s="28"/>
      <c r="TII3" s="28"/>
      <c r="TIJ3" s="28"/>
      <c r="TIK3" s="28"/>
      <c r="TIL3" s="28"/>
      <c r="TIM3" s="28"/>
      <c r="TIN3" s="28"/>
      <c r="TIO3" s="28"/>
      <c r="TIP3" s="28"/>
      <c r="TIQ3" s="28"/>
      <c r="TIR3" s="28"/>
      <c r="TIS3" s="28"/>
      <c r="TIT3" s="28"/>
      <c r="TIU3" s="28"/>
      <c r="TIV3" s="28"/>
      <c r="TIW3" s="28"/>
      <c r="TIX3" s="28"/>
      <c r="TIY3" s="28"/>
      <c r="TIZ3" s="28"/>
      <c r="TJA3" s="28"/>
      <c r="TJB3" s="28"/>
      <c r="TJC3" s="28"/>
      <c r="TJD3" s="28"/>
      <c r="TJE3" s="28"/>
      <c r="TJF3" s="28"/>
      <c r="TJG3" s="28"/>
      <c r="TJH3" s="28"/>
      <c r="TJI3" s="28"/>
      <c r="TJJ3" s="28"/>
      <c r="TJK3" s="28"/>
      <c r="TJL3" s="28"/>
      <c r="TJM3" s="28"/>
      <c r="TJN3" s="28"/>
      <c r="TJO3" s="28"/>
      <c r="TJP3" s="28"/>
      <c r="TJQ3" s="28"/>
      <c r="TJR3" s="28"/>
      <c r="TJS3" s="28"/>
      <c r="TJT3" s="28"/>
      <c r="TJU3" s="28"/>
      <c r="TJV3" s="28"/>
      <c r="TJW3" s="28"/>
      <c r="TJX3" s="28"/>
      <c r="TJY3" s="28"/>
      <c r="TJZ3" s="28"/>
      <c r="TKA3" s="28"/>
      <c r="TKB3" s="28"/>
      <c r="TKC3" s="28"/>
      <c r="TKD3" s="28"/>
      <c r="TKE3" s="28"/>
      <c r="TKF3" s="28"/>
      <c r="TKG3" s="28"/>
      <c r="TKH3" s="28"/>
      <c r="TKI3" s="28"/>
      <c r="TKJ3" s="28"/>
      <c r="TKK3" s="28"/>
      <c r="TKL3" s="28"/>
      <c r="TKM3" s="28"/>
      <c r="TKN3" s="28"/>
      <c r="TKO3" s="28"/>
      <c r="TKP3" s="28"/>
      <c r="TKQ3" s="28"/>
      <c r="TKR3" s="28"/>
      <c r="TKS3" s="28"/>
      <c r="TKT3" s="28"/>
      <c r="TKU3" s="28"/>
      <c r="TKV3" s="28"/>
      <c r="TKW3" s="28"/>
      <c r="TKX3" s="28"/>
      <c r="TKY3" s="28"/>
      <c r="TKZ3" s="28"/>
      <c r="TLA3" s="28"/>
      <c r="TLB3" s="28"/>
      <c r="TLC3" s="28"/>
      <c r="TLD3" s="28"/>
      <c r="TLE3" s="28"/>
      <c r="TLF3" s="28"/>
      <c r="TLG3" s="28"/>
      <c r="TLH3" s="28"/>
      <c r="TLI3" s="28"/>
      <c r="TLJ3" s="28"/>
      <c r="TLK3" s="28"/>
      <c r="TLL3" s="28"/>
      <c r="TLM3" s="28"/>
      <c r="TLN3" s="28"/>
      <c r="TLO3" s="28"/>
      <c r="TLP3" s="28"/>
      <c r="TLQ3" s="28"/>
      <c r="TLR3" s="28"/>
      <c r="TLS3" s="28"/>
      <c r="TLT3" s="28"/>
      <c r="TLU3" s="28"/>
      <c r="TLV3" s="28"/>
      <c r="TLW3" s="28"/>
      <c r="TLX3" s="28"/>
      <c r="TLY3" s="28"/>
      <c r="TLZ3" s="28"/>
      <c r="TMA3" s="28"/>
      <c r="TMB3" s="28"/>
      <c r="TMC3" s="28"/>
      <c r="TMD3" s="28"/>
      <c r="TME3" s="28"/>
      <c r="TMF3" s="28"/>
      <c r="TMG3" s="28"/>
      <c r="TMH3" s="28"/>
      <c r="TMI3" s="28"/>
      <c r="TMJ3" s="28"/>
      <c r="TMK3" s="28"/>
      <c r="TML3" s="28"/>
      <c r="TMM3" s="28"/>
      <c r="TMN3" s="28"/>
      <c r="TMO3" s="28"/>
      <c r="TMP3" s="28"/>
      <c r="TMQ3" s="28"/>
      <c r="TMR3" s="28"/>
      <c r="TMS3" s="28"/>
      <c r="TMT3" s="28"/>
      <c r="TMU3" s="28"/>
      <c r="TMV3" s="28"/>
      <c r="TMW3" s="28"/>
      <c r="TMX3" s="28"/>
      <c r="TMY3" s="28"/>
      <c r="TMZ3" s="28"/>
      <c r="TNA3" s="28"/>
      <c r="TNB3" s="28"/>
      <c r="TNC3" s="28"/>
      <c r="TND3" s="28"/>
      <c r="TNE3" s="28"/>
      <c r="TNF3" s="28"/>
      <c r="TNG3" s="28"/>
      <c r="TNH3" s="28"/>
      <c r="TNI3" s="28"/>
      <c r="TNJ3" s="28"/>
      <c r="TNK3" s="28"/>
      <c r="TNL3" s="28"/>
      <c r="TNM3" s="28"/>
      <c r="TNN3" s="28"/>
      <c r="TNO3" s="28"/>
      <c r="TNP3" s="28"/>
      <c r="TNQ3" s="28"/>
      <c r="TNR3" s="28"/>
      <c r="TNS3" s="28"/>
      <c r="TNT3" s="28"/>
      <c r="TNU3" s="28"/>
      <c r="TNV3" s="28"/>
      <c r="TNW3" s="28"/>
      <c r="TNX3" s="28"/>
      <c r="TNY3" s="28"/>
      <c r="TNZ3" s="28"/>
      <c r="TOA3" s="28"/>
      <c r="TOB3" s="28"/>
      <c r="TOC3" s="28"/>
      <c r="TOD3" s="28"/>
      <c r="TOE3" s="28"/>
      <c r="TOF3" s="28"/>
      <c r="TOG3" s="28"/>
      <c r="TOH3" s="28"/>
      <c r="TOI3" s="28"/>
      <c r="TOJ3" s="28"/>
      <c r="TOK3" s="28"/>
      <c r="TOL3" s="28"/>
      <c r="TOM3" s="28"/>
      <c r="TON3" s="28"/>
      <c r="TOO3" s="28"/>
      <c r="TOP3" s="28"/>
      <c r="TOQ3" s="28"/>
      <c r="TOR3" s="28"/>
      <c r="TOS3" s="28"/>
      <c r="TOT3" s="28"/>
      <c r="TOU3" s="28"/>
      <c r="TOV3" s="28"/>
      <c r="TOW3" s="28"/>
      <c r="TOX3" s="28"/>
      <c r="TOY3" s="28"/>
      <c r="TOZ3" s="28"/>
      <c r="TPA3" s="28"/>
      <c r="TPB3" s="28"/>
      <c r="TPC3" s="28"/>
      <c r="TPD3" s="28"/>
      <c r="TPE3" s="28"/>
      <c r="TPF3" s="28"/>
      <c r="TPG3" s="28"/>
      <c r="TPH3" s="28"/>
      <c r="TPI3" s="28"/>
      <c r="TPJ3" s="28"/>
      <c r="TPK3" s="28"/>
      <c r="TPL3" s="28"/>
      <c r="TPM3" s="28"/>
      <c r="TPN3" s="28"/>
      <c r="TPO3" s="28"/>
      <c r="TPP3" s="28"/>
      <c r="TPQ3" s="28"/>
      <c r="TPR3" s="28"/>
      <c r="TPS3" s="28"/>
      <c r="TPT3" s="28"/>
      <c r="TPU3" s="28"/>
      <c r="TPV3" s="28"/>
      <c r="TPW3" s="28"/>
      <c r="TPX3" s="28"/>
      <c r="TPY3" s="28"/>
      <c r="TPZ3" s="28"/>
      <c r="TQA3" s="28"/>
      <c r="TQB3" s="28"/>
      <c r="TQC3" s="28"/>
      <c r="TQD3" s="28"/>
      <c r="TQE3" s="28"/>
      <c r="TQF3" s="28"/>
      <c r="TQG3" s="28"/>
      <c r="TQH3" s="28"/>
      <c r="TQI3" s="28"/>
      <c r="TQJ3" s="28"/>
      <c r="TQK3" s="28"/>
      <c r="TQL3" s="28"/>
      <c r="TQM3" s="28"/>
      <c r="TQN3" s="28"/>
      <c r="TQO3" s="28"/>
      <c r="TQP3" s="28"/>
      <c r="TQQ3" s="28"/>
      <c r="TQR3" s="28"/>
      <c r="TQS3" s="28"/>
      <c r="TQT3" s="28"/>
      <c r="TQU3" s="28"/>
      <c r="TQV3" s="28"/>
      <c r="TQW3" s="28"/>
      <c r="TQX3" s="28"/>
      <c r="TQY3" s="28"/>
      <c r="TQZ3" s="28"/>
      <c r="TRA3" s="28"/>
      <c r="TRB3" s="28"/>
      <c r="TRC3" s="28"/>
      <c r="TRD3" s="28"/>
      <c r="TRE3" s="28"/>
      <c r="TRF3" s="28"/>
      <c r="TRG3" s="28"/>
      <c r="TRH3" s="28"/>
      <c r="TRI3" s="28"/>
      <c r="TRJ3" s="28"/>
      <c r="TRK3" s="28"/>
      <c r="TRL3" s="28"/>
      <c r="TRM3" s="28"/>
      <c r="TRN3" s="28"/>
      <c r="TRO3" s="28"/>
      <c r="TRP3" s="28"/>
      <c r="TRQ3" s="28"/>
      <c r="TRR3" s="28"/>
      <c r="TRS3" s="28"/>
      <c r="TRT3" s="28"/>
      <c r="TRU3" s="28"/>
      <c r="TRV3" s="28"/>
      <c r="TRW3" s="28"/>
      <c r="TRX3" s="28"/>
      <c r="TRY3" s="28"/>
      <c r="TRZ3" s="28"/>
      <c r="TSA3" s="28"/>
      <c r="TSB3" s="28"/>
      <c r="TSC3" s="28"/>
      <c r="TSD3" s="28"/>
      <c r="TSE3" s="28"/>
      <c r="TSF3" s="28"/>
      <c r="TSG3" s="28"/>
      <c r="TSH3" s="28"/>
      <c r="TSI3" s="28"/>
      <c r="TSJ3" s="28"/>
      <c r="TSK3" s="28"/>
      <c r="TSL3" s="28"/>
      <c r="TSM3" s="28"/>
      <c r="TSN3" s="28"/>
      <c r="TSO3" s="28"/>
      <c r="TSP3" s="28"/>
      <c r="TSQ3" s="28"/>
      <c r="TSR3" s="28"/>
      <c r="TSS3" s="28"/>
      <c r="TST3" s="28"/>
      <c r="TSU3" s="28"/>
      <c r="TSV3" s="28"/>
      <c r="TSW3" s="28"/>
      <c r="TSX3" s="28"/>
      <c r="TSY3" s="28"/>
      <c r="TSZ3" s="28"/>
      <c r="TTA3" s="28"/>
      <c r="TTB3" s="28"/>
      <c r="TTC3" s="28"/>
      <c r="TTD3" s="28"/>
      <c r="TTE3" s="28"/>
      <c r="TTF3" s="28"/>
      <c r="TTG3" s="28"/>
      <c r="TTH3" s="28"/>
      <c r="TTI3" s="28"/>
      <c r="TTJ3" s="28"/>
      <c r="TTK3" s="28"/>
      <c r="TTL3" s="28"/>
      <c r="TTM3" s="28"/>
      <c r="TTN3" s="28"/>
      <c r="TTO3" s="28"/>
      <c r="TTP3" s="28"/>
      <c r="TTQ3" s="28"/>
      <c r="TTR3" s="28"/>
      <c r="TTS3" s="28"/>
      <c r="TTT3" s="28"/>
      <c r="TTU3" s="28"/>
      <c r="TTV3" s="28"/>
      <c r="TTW3" s="28"/>
      <c r="TTX3" s="28"/>
      <c r="TTY3" s="28"/>
      <c r="TTZ3" s="28"/>
      <c r="TUA3" s="28"/>
      <c r="TUB3" s="28"/>
      <c r="TUC3" s="28"/>
      <c r="TUD3" s="28"/>
      <c r="TUE3" s="28"/>
      <c r="TUF3" s="28"/>
      <c r="TUG3" s="28"/>
      <c r="TUH3" s="28"/>
      <c r="TUI3" s="28"/>
      <c r="TUJ3" s="28"/>
      <c r="TUK3" s="28"/>
      <c r="TUL3" s="28"/>
      <c r="TUM3" s="28"/>
      <c r="TUN3" s="28"/>
      <c r="TUO3" s="28"/>
      <c r="TUP3" s="28"/>
      <c r="TUQ3" s="28"/>
      <c r="TUR3" s="28"/>
      <c r="TUS3" s="28"/>
      <c r="TUT3" s="28"/>
      <c r="TUU3" s="28"/>
      <c r="TUV3" s="28"/>
      <c r="TUW3" s="28"/>
      <c r="TUX3" s="28"/>
      <c r="TUY3" s="28"/>
      <c r="TUZ3" s="28"/>
      <c r="TVA3" s="28"/>
      <c r="TVB3" s="28"/>
      <c r="TVC3" s="28"/>
      <c r="TVD3" s="28"/>
      <c r="TVE3" s="28"/>
      <c r="TVF3" s="28"/>
      <c r="TVG3" s="28"/>
      <c r="TVH3" s="28"/>
      <c r="TVI3" s="28"/>
      <c r="TVJ3" s="28"/>
      <c r="TVK3" s="28"/>
      <c r="TVL3" s="28"/>
      <c r="TVM3" s="28"/>
      <c r="TVN3" s="28"/>
      <c r="TVO3" s="28"/>
      <c r="TVP3" s="28"/>
      <c r="TVQ3" s="28"/>
      <c r="TVR3" s="28"/>
      <c r="TVS3" s="28"/>
      <c r="TVT3" s="28"/>
      <c r="TVU3" s="28"/>
      <c r="TVV3" s="28"/>
      <c r="TVW3" s="28"/>
      <c r="TVX3" s="28"/>
      <c r="TVY3" s="28"/>
      <c r="TVZ3" s="28"/>
      <c r="TWA3" s="28"/>
      <c r="TWB3" s="28"/>
      <c r="TWC3" s="28"/>
      <c r="TWD3" s="28"/>
      <c r="TWE3" s="28"/>
      <c r="TWF3" s="28"/>
      <c r="TWG3" s="28"/>
      <c r="TWH3" s="28"/>
      <c r="TWI3" s="28"/>
      <c r="TWJ3" s="28"/>
      <c r="TWK3" s="28"/>
      <c r="TWL3" s="28"/>
      <c r="TWM3" s="28"/>
      <c r="TWN3" s="28"/>
      <c r="TWO3" s="28"/>
      <c r="TWP3" s="28"/>
      <c r="TWQ3" s="28"/>
      <c r="TWR3" s="28"/>
      <c r="TWS3" s="28"/>
      <c r="TWT3" s="28"/>
      <c r="TWU3" s="28"/>
      <c r="TWV3" s="28"/>
      <c r="TWW3" s="28"/>
      <c r="TWX3" s="28"/>
      <c r="TWY3" s="28"/>
      <c r="TWZ3" s="28"/>
      <c r="TXA3" s="28"/>
      <c r="TXB3" s="28"/>
      <c r="TXC3" s="28"/>
      <c r="TXD3" s="28"/>
      <c r="TXE3" s="28"/>
      <c r="TXF3" s="28"/>
      <c r="TXG3" s="28"/>
      <c r="TXH3" s="28"/>
      <c r="TXI3" s="28"/>
      <c r="TXJ3" s="28"/>
      <c r="TXK3" s="28"/>
      <c r="TXL3" s="28"/>
      <c r="TXM3" s="28"/>
      <c r="TXN3" s="28"/>
      <c r="TXO3" s="28"/>
      <c r="TXP3" s="28"/>
      <c r="TXQ3" s="28"/>
      <c r="TXR3" s="28"/>
      <c r="TXS3" s="28"/>
      <c r="TXT3" s="28"/>
      <c r="TXU3" s="28"/>
      <c r="TXV3" s="28"/>
      <c r="TXW3" s="28"/>
      <c r="TXX3" s="28"/>
      <c r="TXY3" s="28"/>
      <c r="TXZ3" s="28"/>
      <c r="TYA3" s="28"/>
      <c r="TYB3" s="28"/>
      <c r="TYC3" s="28"/>
      <c r="TYD3" s="28"/>
      <c r="TYE3" s="28"/>
      <c r="TYF3" s="28"/>
      <c r="TYG3" s="28"/>
      <c r="TYH3" s="28"/>
      <c r="TYI3" s="28"/>
      <c r="TYJ3" s="28"/>
      <c r="TYK3" s="28"/>
      <c r="TYL3" s="28"/>
      <c r="TYM3" s="28"/>
      <c r="TYN3" s="28"/>
      <c r="TYO3" s="28"/>
      <c r="TYP3" s="28"/>
      <c r="TYQ3" s="28"/>
      <c r="TYR3" s="28"/>
      <c r="TYS3" s="28"/>
      <c r="TYT3" s="28"/>
      <c r="TYU3" s="28"/>
      <c r="TYV3" s="28"/>
      <c r="TYW3" s="28"/>
      <c r="TYX3" s="28"/>
      <c r="TYY3" s="28"/>
      <c r="TYZ3" s="28"/>
      <c r="TZA3" s="28"/>
      <c r="TZB3" s="28"/>
      <c r="TZC3" s="28"/>
      <c r="TZD3" s="28"/>
      <c r="TZE3" s="28"/>
      <c r="TZF3" s="28"/>
      <c r="TZG3" s="28"/>
      <c r="TZH3" s="28"/>
      <c r="TZI3" s="28"/>
      <c r="TZJ3" s="28"/>
      <c r="TZK3" s="28"/>
      <c r="TZL3" s="28"/>
      <c r="TZM3" s="28"/>
      <c r="TZN3" s="28"/>
      <c r="TZO3" s="28"/>
      <c r="TZP3" s="28"/>
      <c r="TZQ3" s="28"/>
      <c r="TZR3" s="28"/>
      <c r="TZS3" s="28"/>
      <c r="TZT3" s="28"/>
      <c r="TZU3" s="28"/>
      <c r="TZV3" s="28"/>
      <c r="TZW3" s="28"/>
      <c r="TZX3" s="28"/>
      <c r="TZY3" s="28"/>
      <c r="TZZ3" s="28"/>
      <c r="UAA3" s="28"/>
      <c r="UAB3" s="28"/>
      <c r="UAC3" s="28"/>
      <c r="UAD3" s="28"/>
      <c r="UAE3" s="28"/>
      <c r="UAF3" s="28"/>
      <c r="UAG3" s="28"/>
      <c r="UAH3" s="28"/>
      <c r="UAI3" s="28"/>
      <c r="UAJ3" s="28"/>
      <c r="UAK3" s="28"/>
      <c r="UAL3" s="28"/>
      <c r="UAM3" s="28"/>
      <c r="UAN3" s="28"/>
      <c r="UAO3" s="28"/>
      <c r="UAP3" s="28"/>
      <c r="UAQ3" s="28"/>
      <c r="UAR3" s="28"/>
      <c r="UAS3" s="28"/>
      <c r="UAT3" s="28"/>
      <c r="UAU3" s="28"/>
      <c r="UAV3" s="28"/>
      <c r="UAW3" s="28"/>
      <c r="UAX3" s="28"/>
      <c r="UAY3" s="28"/>
      <c r="UAZ3" s="28"/>
      <c r="UBA3" s="28"/>
      <c r="UBB3" s="28"/>
      <c r="UBC3" s="28"/>
      <c r="UBD3" s="28"/>
      <c r="UBE3" s="28"/>
      <c r="UBF3" s="28"/>
      <c r="UBG3" s="28"/>
      <c r="UBH3" s="28"/>
      <c r="UBI3" s="28"/>
      <c r="UBJ3" s="28"/>
      <c r="UBK3" s="28"/>
      <c r="UBL3" s="28"/>
      <c r="UBM3" s="28"/>
      <c r="UBN3" s="28"/>
      <c r="UBO3" s="28"/>
      <c r="UBP3" s="28"/>
      <c r="UBQ3" s="28"/>
      <c r="UBR3" s="28"/>
      <c r="UBS3" s="28"/>
      <c r="UBT3" s="28"/>
      <c r="UBU3" s="28"/>
      <c r="UBV3" s="28"/>
      <c r="UBW3" s="28"/>
      <c r="UBX3" s="28"/>
      <c r="UBY3" s="28"/>
      <c r="UBZ3" s="28"/>
      <c r="UCA3" s="28"/>
      <c r="UCB3" s="28"/>
      <c r="UCC3" s="28"/>
      <c r="UCD3" s="28"/>
      <c r="UCE3" s="28"/>
      <c r="UCF3" s="28"/>
      <c r="UCG3" s="28"/>
      <c r="UCH3" s="28"/>
      <c r="UCI3" s="28"/>
      <c r="UCJ3" s="28"/>
      <c r="UCK3" s="28"/>
      <c r="UCL3" s="28"/>
      <c r="UCM3" s="28"/>
      <c r="UCN3" s="28"/>
      <c r="UCO3" s="28"/>
      <c r="UCP3" s="28"/>
      <c r="UCQ3" s="28"/>
      <c r="UCR3" s="28"/>
      <c r="UCS3" s="28"/>
      <c r="UCT3" s="28"/>
      <c r="UCU3" s="28"/>
      <c r="UCV3" s="28"/>
      <c r="UCW3" s="28"/>
      <c r="UCX3" s="28"/>
      <c r="UCY3" s="28"/>
      <c r="UCZ3" s="28"/>
      <c r="UDA3" s="28"/>
      <c r="UDB3" s="28"/>
      <c r="UDC3" s="28"/>
      <c r="UDD3" s="28"/>
      <c r="UDE3" s="28"/>
      <c r="UDF3" s="28"/>
      <c r="UDG3" s="28"/>
      <c r="UDH3" s="28"/>
      <c r="UDI3" s="28"/>
      <c r="UDJ3" s="28"/>
      <c r="UDK3" s="28"/>
      <c r="UDL3" s="28"/>
      <c r="UDM3" s="28"/>
      <c r="UDN3" s="28"/>
      <c r="UDO3" s="28"/>
      <c r="UDP3" s="28"/>
      <c r="UDQ3" s="28"/>
      <c r="UDR3" s="28"/>
      <c r="UDS3" s="28"/>
      <c r="UDT3" s="28"/>
      <c r="UDU3" s="28"/>
      <c r="UDV3" s="28"/>
      <c r="UDW3" s="28"/>
      <c r="UDX3" s="28"/>
      <c r="UDY3" s="28"/>
      <c r="UDZ3" s="28"/>
      <c r="UEA3" s="28"/>
      <c r="UEB3" s="28"/>
      <c r="UEC3" s="28"/>
      <c r="UED3" s="28"/>
      <c r="UEE3" s="28"/>
      <c r="UEF3" s="28"/>
      <c r="UEG3" s="28"/>
      <c r="UEH3" s="28"/>
      <c r="UEI3" s="28"/>
      <c r="UEJ3" s="28"/>
      <c r="UEK3" s="28"/>
      <c r="UEL3" s="28"/>
      <c r="UEM3" s="28"/>
      <c r="UEN3" s="28"/>
      <c r="UEO3" s="28"/>
      <c r="UEP3" s="28"/>
      <c r="UEQ3" s="28"/>
      <c r="UER3" s="28"/>
      <c r="UES3" s="28"/>
      <c r="UET3" s="28"/>
      <c r="UEU3" s="28"/>
      <c r="UEV3" s="28"/>
      <c r="UEW3" s="28"/>
      <c r="UEX3" s="28"/>
      <c r="UEY3" s="28"/>
      <c r="UEZ3" s="28"/>
      <c r="UFA3" s="28"/>
      <c r="UFB3" s="28"/>
      <c r="UFC3" s="28"/>
      <c r="UFD3" s="28"/>
      <c r="UFE3" s="28"/>
      <c r="UFF3" s="28"/>
      <c r="UFG3" s="28"/>
      <c r="UFH3" s="28"/>
      <c r="UFI3" s="28"/>
      <c r="UFJ3" s="28"/>
      <c r="UFK3" s="28"/>
      <c r="UFL3" s="28"/>
      <c r="UFM3" s="28"/>
      <c r="UFN3" s="28"/>
      <c r="UFO3" s="28"/>
      <c r="UFP3" s="28"/>
      <c r="UFQ3" s="28"/>
      <c r="UFR3" s="28"/>
      <c r="UFS3" s="28"/>
      <c r="UFT3" s="28"/>
      <c r="UFU3" s="28"/>
      <c r="UFV3" s="28"/>
      <c r="UFW3" s="28"/>
      <c r="UFX3" s="28"/>
      <c r="UFY3" s="28"/>
      <c r="UFZ3" s="28"/>
      <c r="UGA3" s="28"/>
      <c r="UGB3" s="28"/>
      <c r="UGC3" s="28"/>
      <c r="UGD3" s="28"/>
      <c r="UGE3" s="28"/>
      <c r="UGF3" s="28"/>
      <c r="UGG3" s="28"/>
      <c r="UGH3" s="28"/>
      <c r="UGI3" s="28"/>
      <c r="UGJ3" s="28"/>
      <c r="UGK3" s="28"/>
      <c r="UGL3" s="28"/>
      <c r="UGM3" s="28"/>
      <c r="UGN3" s="28"/>
      <c r="UGO3" s="28"/>
      <c r="UGP3" s="28"/>
      <c r="UGQ3" s="28"/>
      <c r="UGR3" s="28"/>
      <c r="UGS3" s="28"/>
      <c r="UGT3" s="28"/>
      <c r="UGU3" s="28"/>
      <c r="UGV3" s="28"/>
      <c r="UGW3" s="28"/>
      <c r="UGX3" s="28"/>
      <c r="UGY3" s="28"/>
      <c r="UGZ3" s="28"/>
      <c r="UHA3" s="28"/>
      <c r="UHB3" s="28"/>
      <c r="UHC3" s="28"/>
      <c r="UHD3" s="28"/>
      <c r="UHE3" s="28"/>
      <c r="UHF3" s="28"/>
      <c r="UHG3" s="28"/>
      <c r="UHH3" s="28"/>
      <c r="UHI3" s="28"/>
      <c r="UHJ3" s="28"/>
      <c r="UHK3" s="28"/>
      <c r="UHL3" s="28"/>
      <c r="UHM3" s="28"/>
      <c r="UHN3" s="28"/>
      <c r="UHO3" s="28"/>
      <c r="UHP3" s="28"/>
      <c r="UHQ3" s="28"/>
      <c r="UHR3" s="28"/>
      <c r="UHS3" s="28"/>
      <c r="UHT3" s="28"/>
      <c r="UHU3" s="28"/>
      <c r="UHV3" s="28"/>
      <c r="UHW3" s="28"/>
      <c r="UHX3" s="28"/>
      <c r="UHY3" s="28"/>
      <c r="UHZ3" s="28"/>
      <c r="UIA3" s="28"/>
      <c r="UIB3" s="28"/>
      <c r="UIC3" s="28"/>
      <c r="UID3" s="28"/>
      <c r="UIE3" s="28"/>
      <c r="UIF3" s="28"/>
      <c r="UIG3" s="28"/>
      <c r="UIH3" s="28"/>
      <c r="UII3" s="28"/>
      <c r="UIJ3" s="28"/>
      <c r="UIK3" s="28"/>
      <c r="UIL3" s="28"/>
      <c r="UIM3" s="28"/>
      <c r="UIN3" s="28"/>
      <c r="UIO3" s="28"/>
      <c r="UIP3" s="28"/>
      <c r="UIQ3" s="28"/>
      <c r="UIR3" s="28"/>
      <c r="UIS3" s="28"/>
      <c r="UIT3" s="28"/>
      <c r="UIU3" s="28"/>
      <c r="UIV3" s="28"/>
      <c r="UIW3" s="28"/>
      <c r="UIX3" s="28"/>
      <c r="UIY3" s="28"/>
      <c r="UIZ3" s="28"/>
      <c r="UJA3" s="28"/>
      <c r="UJB3" s="28"/>
      <c r="UJC3" s="28"/>
      <c r="UJD3" s="28"/>
      <c r="UJE3" s="28"/>
      <c r="UJF3" s="28"/>
      <c r="UJG3" s="28"/>
      <c r="UJH3" s="28"/>
      <c r="UJI3" s="28"/>
      <c r="UJJ3" s="28"/>
      <c r="UJK3" s="28"/>
      <c r="UJL3" s="28"/>
      <c r="UJM3" s="28"/>
      <c r="UJN3" s="28"/>
      <c r="UJO3" s="28"/>
      <c r="UJP3" s="28"/>
      <c r="UJQ3" s="28"/>
      <c r="UJR3" s="28"/>
      <c r="UJS3" s="28"/>
      <c r="UJT3" s="28"/>
      <c r="UJU3" s="28"/>
      <c r="UJV3" s="28"/>
      <c r="UJW3" s="28"/>
      <c r="UJX3" s="28"/>
      <c r="UJY3" s="28"/>
      <c r="UJZ3" s="28"/>
      <c r="UKA3" s="28"/>
      <c r="UKB3" s="28"/>
      <c r="UKC3" s="28"/>
      <c r="UKD3" s="28"/>
      <c r="UKE3" s="28"/>
      <c r="UKF3" s="28"/>
      <c r="UKG3" s="28"/>
      <c r="UKH3" s="28"/>
      <c r="UKI3" s="28"/>
      <c r="UKJ3" s="28"/>
      <c r="UKK3" s="28"/>
      <c r="UKL3" s="28"/>
      <c r="UKM3" s="28"/>
      <c r="UKN3" s="28"/>
      <c r="UKO3" s="28"/>
      <c r="UKP3" s="28"/>
      <c r="UKQ3" s="28"/>
      <c r="UKR3" s="28"/>
      <c r="UKS3" s="28"/>
      <c r="UKT3" s="28"/>
      <c r="UKU3" s="28"/>
      <c r="UKV3" s="28"/>
      <c r="UKW3" s="28"/>
      <c r="UKX3" s="28"/>
      <c r="UKY3" s="28"/>
      <c r="UKZ3" s="28"/>
      <c r="ULA3" s="28"/>
      <c r="ULB3" s="28"/>
      <c r="ULC3" s="28"/>
      <c r="ULD3" s="28"/>
      <c r="ULE3" s="28"/>
      <c r="ULF3" s="28"/>
      <c r="ULG3" s="28"/>
      <c r="ULH3" s="28"/>
      <c r="ULI3" s="28"/>
      <c r="ULJ3" s="28"/>
      <c r="ULK3" s="28"/>
      <c r="ULL3" s="28"/>
      <c r="ULM3" s="28"/>
      <c r="ULN3" s="28"/>
      <c r="ULO3" s="28"/>
      <c r="ULP3" s="28"/>
      <c r="ULQ3" s="28"/>
      <c r="ULR3" s="28"/>
      <c r="ULS3" s="28"/>
      <c r="ULT3" s="28"/>
      <c r="ULU3" s="28"/>
      <c r="ULV3" s="28"/>
      <c r="ULW3" s="28"/>
      <c r="ULX3" s="28"/>
      <c r="ULY3" s="28"/>
      <c r="ULZ3" s="28"/>
      <c r="UMA3" s="28"/>
      <c r="UMB3" s="28"/>
      <c r="UMC3" s="28"/>
      <c r="UMD3" s="28"/>
      <c r="UME3" s="28"/>
      <c r="UMF3" s="28"/>
      <c r="UMG3" s="28"/>
      <c r="UMH3" s="28"/>
      <c r="UMI3" s="28"/>
      <c r="UMJ3" s="28"/>
      <c r="UMK3" s="28"/>
      <c r="UML3" s="28"/>
      <c r="UMM3" s="28"/>
      <c r="UMN3" s="28"/>
      <c r="UMO3" s="28"/>
      <c r="UMP3" s="28"/>
      <c r="UMQ3" s="28"/>
      <c r="UMR3" s="28"/>
      <c r="UMS3" s="28"/>
      <c r="UMT3" s="28"/>
      <c r="UMU3" s="28"/>
      <c r="UMV3" s="28"/>
      <c r="UMW3" s="28"/>
      <c r="UMX3" s="28"/>
      <c r="UMY3" s="28"/>
      <c r="UMZ3" s="28"/>
      <c r="UNA3" s="28"/>
      <c r="UNB3" s="28"/>
      <c r="UNC3" s="28"/>
      <c r="UND3" s="28"/>
      <c r="UNE3" s="28"/>
      <c r="UNF3" s="28"/>
      <c r="UNG3" s="28"/>
      <c r="UNH3" s="28"/>
      <c r="UNI3" s="28"/>
      <c r="UNJ3" s="28"/>
      <c r="UNK3" s="28"/>
      <c r="UNL3" s="28"/>
      <c r="UNM3" s="28"/>
      <c r="UNN3" s="28"/>
      <c r="UNO3" s="28"/>
      <c r="UNP3" s="28"/>
      <c r="UNQ3" s="28"/>
      <c r="UNR3" s="28"/>
      <c r="UNS3" s="28"/>
      <c r="UNT3" s="28"/>
      <c r="UNU3" s="28"/>
      <c r="UNV3" s="28"/>
      <c r="UNW3" s="28"/>
      <c r="UNX3" s="28"/>
      <c r="UNY3" s="28"/>
      <c r="UNZ3" s="28"/>
      <c r="UOA3" s="28"/>
      <c r="UOB3" s="28"/>
      <c r="UOC3" s="28"/>
      <c r="UOD3" s="28"/>
      <c r="UOE3" s="28"/>
      <c r="UOF3" s="28"/>
      <c r="UOG3" s="28"/>
      <c r="UOH3" s="28"/>
      <c r="UOI3" s="28"/>
      <c r="UOJ3" s="28"/>
      <c r="UOK3" s="28"/>
      <c r="UOL3" s="28"/>
      <c r="UOM3" s="28"/>
      <c r="UON3" s="28"/>
      <c r="UOO3" s="28"/>
      <c r="UOP3" s="28"/>
      <c r="UOQ3" s="28"/>
      <c r="UOR3" s="28"/>
      <c r="UOS3" s="28"/>
      <c r="UOT3" s="28"/>
      <c r="UOU3" s="28"/>
      <c r="UOV3" s="28"/>
      <c r="UOW3" s="28"/>
      <c r="UOX3" s="28"/>
      <c r="UOY3" s="28"/>
      <c r="UOZ3" s="28"/>
      <c r="UPA3" s="28"/>
      <c r="UPB3" s="28"/>
      <c r="UPC3" s="28"/>
      <c r="UPD3" s="28"/>
      <c r="UPE3" s="28"/>
      <c r="UPF3" s="28"/>
      <c r="UPG3" s="28"/>
      <c r="UPH3" s="28"/>
      <c r="UPI3" s="28"/>
      <c r="UPJ3" s="28"/>
      <c r="UPK3" s="28"/>
      <c r="UPL3" s="28"/>
      <c r="UPM3" s="28"/>
      <c r="UPN3" s="28"/>
      <c r="UPO3" s="28"/>
      <c r="UPP3" s="28"/>
      <c r="UPQ3" s="28"/>
      <c r="UPR3" s="28"/>
      <c r="UPS3" s="28"/>
      <c r="UPT3" s="28"/>
      <c r="UPU3" s="28"/>
      <c r="UPV3" s="28"/>
      <c r="UPW3" s="28"/>
      <c r="UPX3" s="28"/>
      <c r="UPY3" s="28"/>
      <c r="UPZ3" s="28"/>
      <c r="UQA3" s="28"/>
      <c r="UQB3" s="28"/>
      <c r="UQC3" s="28"/>
      <c r="UQD3" s="28"/>
      <c r="UQE3" s="28"/>
      <c r="UQF3" s="28"/>
      <c r="UQG3" s="28"/>
      <c r="UQH3" s="28"/>
      <c r="UQI3" s="28"/>
      <c r="UQJ3" s="28"/>
      <c r="UQK3" s="28"/>
      <c r="UQL3" s="28"/>
      <c r="UQM3" s="28"/>
      <c r="UQN3" s="28"/>
      <c r="UQO3" s="28"/>
      <c r="UQP3" s="28"/>
      <c r="UQQ3" s="28"/>
      <c r="UQR3" s="28"/>
      <c r="UQS3" s="28"/>
      <c r="UQT3" s="28"/>
      <c r="UQU3" s="28"/>
      <c r="UQV3" s="28"/>
      <c r="UQW3" s="28"/>
      <c r="UQX3" s="28"/>
      <c r="UQY3" s="28"/>
      <c r="UQZ3" s="28"/>
      <c r="URA3" s="28"/>
      <c r="URB3" s="28"/>
      <c r="URC3" s="28"/>
      <c r="URD3" s="28"/>
      <c r="URE3" s="28"/>
      <c r="URF3" s="28"/>
      <c r="URG3" s="28"/>
      <c r="URH3" s="28"/>
      <c r="URI3" s="28"/>
      <c r="URJ3" s="28"/>
      <c r="URK3" s="28"/>
      <c r="URL3" s="28"/>
      <c r="URM3" s="28"/>
      <c r="URN3" s="28"/>
      <c r="URO3" s="28"/>
      <c r="URP3" s="28"/>
      <c r="URQ3" s="28"/>
      <c r="URR3" s="28"/>
      <c r="URS3" s="28"/>
      <c r="URT3" s="28"/>
      <c r="URU3" s="28"/>
      <c r="URV3" s="28"/>
      <c r="URW3" s="28"/>
      <c r="URX3" s="28"/>
      <c r="URY3" s="28"/>
      <c r="URZ3" s="28"/>
      <c r="USA3" s="28"/>
      <c r="USB3" s="28"/>
      <c r="USC3" s="28"/>
      <c r="USD3" s="28"/>
      <c r="USE3" s="28"/>
      <c r="USF3" s="28"/>
      <c r="USG3" s="28"/>
      <c r="USH3" s="28"/>
      <c r="USI3" s="28"/>
      <c r="USJ3" s="28"/>
      <c r="USK3" s="28"/>
      <c r="USL3" s="28"/>
      <c r="USM3" s="28"/>
      <c r="USN3" s="28"/>
      <c r="USO3" s="28"/>
      <c r="USP3" s="28"/>
      <c r="USQ3" s="28"/>
      <c r="USR3" s="28"/>
      <c r="USS3" s="28"/>
      <c r="UST3" s="28"/>
      <c r="USU3" s="28"/>
      <c r="USV3" s="28"/>
      <c r="USW3" s="28"/>
      <c r="USX3" s="28"/>
      <c r="USY3" s="28"/>
      <c r="USZ3" s="28"/>
      <c r="UTA3" s="28"/>
      <c r="UTB3" s="28"/>
      <c r="UTC3" s="28"/>
      <c r="UTD3" s="28"/>
      <c r="UTE3" s="28"/>
      <c r="UTF3" s="28"/>
      <c r="UTG3" s="28"/>
      <c r="UTH3" s="28"/>
      <c r="UTI3" s="28"/>
      <c r="UTJ3" s="28"/>
      <c r="UTK3" s="28"/>
      <c r="UTL3" s="28"/>
      <c r="UTM3" s="28"/>
      <c r="UTN3" s="28"/>
      <c r="UTO3" s="28"/>
      <c r="UTP3" s="28"/>
      <c r="UTQ3" s="28"/>
      <c r="UTR3" s="28"/>
      <c r="UTS3" s="28"/>
      <c r="UTT3" s="28"/>
      <c r="UTU3" s="28"/>
      <c r="UTV3" s="28"/>
      <c r="UTW3" s="28"/>
      <c r="UTX3" s="28"/>
      <c r="UTY3" s="28"/>
      <c r="UTZ3" s="28"/>
      <c r="UUA3" s="28"/>
      <c r="UUB3" s="28"/>
      <c r="UUC3" s="28"/>
      <c r="UUD3" s="28"/>
      <c r="UUE3" s="28"/>
      <c r="UUF3" s="28"/>
      <c r="UUG3" s="28"/>
      <c r="UUH3" s="28"/>
      <c r="UUI3" s="28"/>
      <c r="UUJ3" s="28"/>
      <c r="UUK3" s="28"/>
      <c r="UUL3" s="28"/>
      <c r="UUM3" s="28"/>
      <c r="UUN3" s="28"/>
      <c r="UUO3" s="28"/>
      <c r="UUP3" s="28"/>
      <c r="UUQ3" s="28"/>
      <c r="UUR3" s="28"/>
      <c r="UUS3" s="28"/>
      <c r="UUT3" s="28"/>
      <c r="UUU3" s="28"/>
      <c r="UUV3" s="28"/>
      <c r="UUW3" s="28"/>
      <c r="UUX3" s="28"/>
      <c r="UUY3" s="28"/>
      <c r="UUZ3" s="28"/>
      <c r="UVA3" s="28"/>
      <c r="UVB3" s="28"/>
      <c r="UVC3" s="28"/>
      <c r="UVD3" s="28"/>
      <c r="UVE3" s="28"/>
      <c r="UVF3" s="28"/>
      <c r="UVG3" s="28"/>
      <c r="UVH3" s="28"/>
      <c r="UVI3" s="28"/>
      <c r="UVJ3" s="28"/>
      <c r="UVK3" s="28"/>
      <c r="UVL3" s="28"/>
      <c r="UVM3" s="28"/>
      <c r="UVN3" s="28"/>
      <c r="UVO3" s="28"/>
      <c r="UVP3" s="28"/>
      <c r="UVQ3" s="28"/>
      <c r="UVR3" s="28"/>
      <c r="UVS3" s="28"/>
      <c r="UVT3" s="28"/>
      <c r="UVU3" s="28"/>
      <c r="UVV3" s="28"/>
      <c r="UVW3" s="28"/>
      <c r="UVX3" s="28"/>
      <c r="UVY3" s="28"/>
      <c r="UVZ3" s="28"/>
      <c r="UWA3" s="28"/>
      <c r="UWB3" s="28"/>
      <c r="UWC3" s="28"/>
      <c r="UWD3" s="28"/>
      <c r="UWE3" s="28"/>
      <c r="UWF3" s="28"/>
      <c r="UWG3" s="28"/>
      <c r="UWH3" s="28"/>
      <c r="UWI3" s="28"/>
      <c r="UWJ3" s="28"/>
      <c r="UWK3" s="28"/>
      <c r="UWL3" s="28"/>
      <c r="UWM3" s="28"/>
      <c r="UWN3" s="28"/>
      <c r="UWO3" s="28"/>
      <c r="UWP3" s="28"/>
      <c r="UWQ3" s="28"/>
      <c r="UWR3" s="28"/>
      <c r="UWS3" s="28"/>
      <c r="UWT3" s="28"/>
      <c r="UWU3" s="28"/>
      <c r="UWV3" s="28"/>
      <c r="UWW3" s="28"/>
      <c r="UWX3" s="28"/>
      <c r="UWY3" s="28"/>
      <c r="UWZ3" s="28"/>
      <c r="UXA3" s="28"/>
      <c r="UXB3" s="28"/>
      <c r="UXC3" s="28"/>
      <c r="UXD3" s="28"/>
      <c r="UXE3" s="28"/>
      <c r="UXF3" s="28"/>
      <c r="UXG3" s="28"/>
      <c r="UXH3" s="28"/>
      <c r="UXI3" s="28"/>
      <c r="UXJ3" s="28"/>
      <c r="UXK3" s="28"/>
      <c r="UXL3" s="28"/>
      <c r="UXM3" s="28"/>
      <c r="UXN3" s="28"/>
      <c r="UXO3" s="28"/>
      <c r="UXP3" s="28"/>
      <c r="UXQ3" s="28"/>
      <c r="UXR3" s="28"/>
      <c r="UXS3" s="28"/>
      <c r="UXT3" s="28"/>
      <c r="UXU3" s="28"/>
      <c r="UXV3" s="28"/>
      <c r="UXW3" s="28"/>
      <c r="UXX3" s="28"/>
      <c r="UXY3" s="28"/>
      <c r="UXZ3" s="28"/>
      <c r="UYA3" s="28"/>
      <c r="UYB3" s="28"/>
      <c r="UYC3" s="28"/>
      <c r="UYD3" s="28"/>
      <c r="UYE3" s="28"/>
      <c r="UYF3" s="28"/>
      <c r="UYG3" s="28"/>
      <c r="UYH3" s="28"/>
      <c r="UYI3" s="28"/>
      <c r="UYJ3" s="28"/>
      <c r="UYK3" s="28"/>
      <c r="UYL3" s="28"/>
      <c r="UYM3" s="28"/>
      <c r="UYN3" s="28"/>
      <c r="UYO3" s="28"/>
      <c r="UYP3" s="28"/>
      <c r="UYQ3" s="28"/>
      <c r="UYR3" s="28"/>
      <c r="UYS3" s="28"/>
      <c r="UYT3" s="28"/>
      <c r="UYU3" s="28"/>
      <c r="UYV3" s="28"/>
      <c r="UYW3" s="28"/>
      <c r="UYX3" s="28"/>
      <c r="UYY3" s="28"/>
      <c r="UYZ3" s="28"/>
      <c r="UZA3" s="28"/>
      <c r="UZB3" s="28"/>
      <c r="UZC3" s="28"/>
      <c r="UZD3" s="28"/>
      <c r="UZE3" s="28"/>
      <c r="UZF3" s="28"/>
      <c r="UZG3" s="28"/>
      <c r="UZH3" s="28"/>
      <c r="UZI3" s="28"/>
      <c r="UZJ3" s="28"/>
      <c r="UZK3" s="28"/>
      <c r="UZL3" s="28"/>
      <c r="UZM3" s="28"/>
      <c r="UZN3" s="28"/>
      <c r="UZO3" s="28"/>
      <c r="UZP3" s="28"/>
      <c r="UZQ3" s="28"/>
      <c r="UZR3" s="28"/>
      <c r="UZS3" s="28"/>
      <c r="UZT3" s="28"/>
      <c r="UZU3" s="28"/>
      <c r="UZV3" s="28"/>
      <c r="UZW3" s="28"/>
      <c r="UZX3" s="28"/>
      <c r="UZY3" s="28"/>
      <c r="UZZ3" s="28"/>
      <c r="VAA3" s="28"/>
      <c r="VAB3" s="28"/>
      <c r="VAC3" s="28"/>
      <c r="VAD3" s="28"/>
      <c r="VAE3" s="28"/>
      <c r="VAF3" s="28"/>
      <c r="VAG3" s="28"/>
      <c r="VAH3" s="28"/>
      <c r="VAI3" s="28"/>
      <c r="VAJ3" s="28"/>
      <c r="VAK3" s="28"/>
      <c r="VAL3" s="28"/>
      <c r="VAM3" s="28"/>
      <c r="VAN3" s="28"/>
      <c r="VAO3" s="28"/>
      <c r="VAP3" s="28"/>
      <c r="VAQ3" s="28"/>
      <c r="VAR3" s="28"/>
      <c r="VAS3" s="28"/>
      <c r="VAT3" s="28"/>
      <c r="VAU3" s="28"/>
      <c r="VAV3" s="28"/>
      <c r="VAW3" s="28"/>
      <c r="VAX3" s="28"/>
      <c r="VAY3" s="28"/>
      <c r="VAZ3" s="28"/>
      <c r="VBA3" s="28"/>
      <c r="VBB3" s="28"/>
      <c r="VBC3" s="28"/>
      <c r="VBD3" s="28"/>
      <c r="VBE3" s="28"/>
      <c r="VBF3" s="28"/>
      <c r="VBG3" s="28"/>
      <c r="VBH3" s="28"/>
      <c r="VBI3" s="28"/>
      <c r="VBJ3" s="28"/>
      <c r="VBK3" s="28"/>
      <c r="VBL3" s="28"/>
      <c r="VBM3" s="28"/>
      <c r="VBN3" s="28"/>
      <c r="VBO3" s="28"/>
      <c r="VBP3" s="28"/>
      <c r="VBQ3" s="28"/>
      <c r="VBR3" s="28"/>
      <c r="VBS3" s="28"/>
      <c r="VBT3" s="28"/>
      <c r="VBU3" s="28"/>
      <c r="VBV3" s="28"/>
      <c r="VBW3" s="28"/>
      <c r="VBX3" s="28"/>
      <c r="VBY3" s="28"/>
      <c r="VBZ3" s="28"/>
      <c r="VCA3" s="28"/>
      <c r="VCB3" s="28"/>
      <c r="VCC3" s="28"/>
      <c r="VCD3" s="28"/>
      <c r="VCE3" s="28"/>
      <c r="VCF3" s="28"/>
      <c r="VCG3" s="28"/>
      <c r="VCH3" s="28"/>
      <c r="VCI3" s="28"/>
      <c r="VCJ3" s="28"/>
      <c r="VCK3" s="28"/>
      <c r="VCL3" s="28"/>
      <c r="VCM3" s="28"/>
      <c r="VCN3" s="28"/>
      <c r="VCO3" s="28"/>
      <c r="VCP3" s="28"/>
      <c r="VCQ3" s="28"/>
      <c r="VCR3" s="28"/>
      <c r="VCS3" s="28"/>
      <c r="VCT3" s="28"/>
      <c r="VCU3" s="28"/>
      <c r="VCV3" s="28"/>
      <c r="VCW3" s="28"/>
      <c r="VCX3" s="28"/>
      <c r="VCY3" s="28"/>
      <c r="VCZ3" s="28"/>
      <c r="VDA3" s="28"/>
      <c r="VDB3" s="28"/>
      <c r="VDC3" s="28"/>
      <c r="VDD3" s="28"/>
      <c r="VDE3" s="28"/>
      <c r="VDF3" s="28"/>
      <c r="VDG3" s="28"/>
      <c r="VDH3" s="28"/>
      <c r="VDI3" s="28"/>
      <c r="VDJ3" s="28"/>
      <c r="VDK3" s="28"/>
      <c r="VDL3" s="28"/>
      <c r="VDM3" s="28"/>
      <c r="VDN3" s="28"/>
      <c r="VDO3" s="28"/>
      <c r="VDP3" s="28"/>
      <c r="VDQ3" s="28"/>
      <c r="VDR3" s="28"/>
      <c r="VDS3" s="28"/>
      <c r="VDT3" s="28"/>
      <c r="VDU3" s="28"/>
      <c r="VDV3" s="28"/>
      <c r="VDW3" s="28"/>
      <c r="VDX3" s="28"/>
      <c r="VDY3" s="28"/>
      <c r="VDZ3" s="28"/>
      <c r="VEA3" s="28"/>
      <c r="VEB3" s="28"/>
      <c r="VEC3" s="28"/>
      <c r="VED3" s="28"/>
      <c r="VEE3" s="28"/>
      <c r="VEF3" s="28"/>
      <c r="VEG3" s="28"/>
      <c r="VEH3" s="28"/>
      <c r="VEI3" s="28"/>
      <c r="VEJ3" s="28"/>
      <c r="VEK3" s="28"/>
      <c r="VEL3" s="28"/>
      <c r="VEM3" s="28"/>
      <c r="VEN3" s="28"/>
      <c r="VEO3" s="28"/>
      <c r="VEP3" s="28"/>
      <c r="VEQ3" s="28"/>
      <c r="VER3" s="28"/>
      <c r="VES3" s="28"/>
      <c r="VET3" s="28"/>
      <c r="VEU3" s="28"/>
      <c r="VEV3" s="28"/>
      <c r="VEW3" s="28"/>
      <c r="VEX3" s="28"/>
      <c r="VEY3" s="28"/>
      <c r="VEZ3" s="28"/>
      <c r="VFA3" s="28"/>
      <c r="VFB3" s="28"/>
      <c r="VFC3" s="28"/>
      <c r="VFD3" s="28"/>
      <c r="VFE3" s="28"/>
      <c r="VFF3" s="28"/>
      <c r="VFG3" s="28"/>
      <c r="VFH3" s="28"/>
      <c r="VFI3" s="28"/>
      <c r="VFJ3" s="28"/>
      <c r="VFK3" s="28"/>
      <c r="VFL3" s="28"/>
      <c r="VFM3" s="28"/>
      <c r="VFN3" s="28"/>
      <c r="VFO3" s="28"/>
      <c r="VFP3" s="28"/>
      <c r="VFQ3" s="28"/>
      <c r="VFR3" s="28"/>
      <c r="VFS3" s="28"/>
      <c r="VFT3" s="28"/>
      <c r="VFU3" s="28"/>
      <c r="VFV3" s="28"/>
      <c r="VFW3" s="28"/>
      <c r="VFX3" s="28"/>
      <c r="VFY3" s="28"/>
      <c r="VFZ3" s="28"/>
      <c r="VGA3" s="28"/>
      <c r="VGB3" s="28"/>
      <c r="VGC3" s="28"/>
      <c r="VGD3" s="28"/>
      <c r="VGE3" s="28"/>
      <c r="VGF3" s="28"/>
      <c r="VGG3" s="28"/>
      <c r="VGH3" s="28"/>
      <c r="VGI3" s="28"/>
      <c r="VGJ3" s="28"/>
      <c r="VGK3" s="28"/>
      <c r="VGL3" s="28"/>
      <c r="VGM3" s="28"/>
      <c r="VGN3" s="28"/>
      <c r="VGO3" s="28"/>
      <c r="VGP3" s="28"/>
      <c r="VGQ3" s="28"/>
      <c r="VGR3" s="28"/>
      <c r="VGS3" s="28"/>
      <c r="VGT3" s="28"/>
      <c r="VGU3" s="28"/>
      <c r="VGV3" s="28"/>
      <c r="VGW3" s="28"/>
      <c r="VGX3" s="28"/>
      <c r="VGY3" s="28"/>
      <c r="VGZ3" s="28"/>
      <c r="VHA3" s="28"/>
      <c r="VHB3" s="28"/>
      <c r="VHC3" s="28"/>
      <c r="VHD3" s="28"/>
      <c r="VHE3" s="28"/>
      <c r="VHF3" s="28"/>
      <c r="VHG3" s="28"/>
      <c r="VHH3" s="28"/>
      <c r="VHI3" s="28"/>
      <c r="VHJ3" s="28"/>
      <c r="VHK3" s="28"/>
      <c r="VHL3" s="28"/>
      <c r="VHM3" s="28"/>
      <c r="VHN3" s="28"/>
      <c r="VHO3" s="28"/>
      <c r="VHP3" s="28"/>
      <c r="VHQ3" s="28"/>
      <c r="VHR3" s="28"/>
      <c r="VHS3" s="28"/>
      <c r="VHT3" s="28"/>
      <c r="VHU3" s="28"/>
      <c r="VHV3" s="28"/>
      <c r="VHW3" s="28"/>
      <c r="VHX3" s="28"/>
      <c r="VHY3" s="28"/>
      <c r="VHZ3" s="28"/>
      <c r="VIA3" s="28"/>
      <c r="VIB3" s="28"/>
      <c r="VIC3" s="28"/>
      <c r="VID3" s="28"/>
      <c r="VIE3" s="28"/>
      <c r="VIF3" s="28"/>
      <c r="VIG3" s="28"/>
      <c r="VIH3" s="28"/>
      <c r="VII3" s="28"/>
      <c r="VIJ3" s="28"/>
      <c r="VIK3" s="28"/>
      <c r="VIL3" s="28"/>
      <c r="VIM3" s="28"/>
      <c r="VIN3" s="28"/>
      <c r="VIO3" s="28"/>
      <c r="VIP3" s="28"/>
      <c r="VIQ3" s="28"/>
      <c r="VIR3" s="28"/>
      <c r="VIS3" s="28"/>
      <c r="VIT3" s="28"/>
      <c r="VIU3" s="28"/>
      <c r="VIV3" s="28"/>
      <c r="VIW3" s="28"/>
      <c r="VIX3" s="28"/>
      <c r="VIY3" s="28"/>
      <c r="VIZ3" s="28"/>
      <c r="VJA3" s="28"/>
      <c r="VJB3" s="28"/>
      <c r="VJC3" s="28"/>
      <c r="VJD3" s="28"/>
      <c r="VJE3" s="28"/>
      <c r="VJF3" s="28"/>
      <c r="VJG3" s="28"/>
      <c r="VJH3" s="28"/>
      <c r="VJI3" s="28"/>
      <c r="VJJ3" s="28"/>
      <c r="VJK3" s="28"/>
      <c r="VJL3" s="28"/>
      <c r="VJM3" s="28"/>
      <c r="VJN3" s="28"/>
      <c r="VJO3" s="28"/>
      <c r="VJP3" s="28"/>
      <c r="VJQ3" s="28"/>
      <c r="VJR3" s="28"/>
      <c r="VJS3" s="28"/>
      <c r="VJT3" s="28"/>
      <c r="VJU3" s="28"/>
      <c r="VJV3" s="28"/>
      <c r="VJW3" s="28"/>
      <c r="VJX3" s="28"/>
      <c r="VJY3" s="28"/>
      <c r="VJZ3" s="28"/>
      <c r="VKA3" s="28"/>
      <c r="VKB3" s="28"/>
      <c r="VKC3" s="28"/>
      <c r="VKD3" s="28"/>
      <c r="VKE3" s="28"/>
      <c r="VKF3" s="28"/>
      <c r="VKG3" s="28"/>
      <c r="VKH3" s="28"/>
      <c r="VKI3" s="28"/>
      <c r="VKJ3" s="28"/>
      <c r="VKK3" s="28"/>
      <c r="VKL3" s="28"/>
      <c r="VKM3" s="28"/>
      <c r="VKN3" s="28"/>
      <c r="VKO3" s="28"/>
      <c r="VKP3" s="28"/>
      <c r="VKQ3" s="28"/>
      <c r="VKR3" s="28"/>
      <c r="VKS3" s="28"/>
      <c r="VKT3" s="28"/>
      <c r="VKU3" s="28"/>
      <c r="VKV3" s="28"/>
      <c r="VKW3" s="28"/>
      <c r="VKX3" s="28"/>
      <c r="VKY3" s="28"/>
      <c r="VKZ3" s="28"/>
      <c r="VLA3" s="28"/>
      <c r="VLB3" s="28"/>
      <c r="VLC3" s="28"/>
      <c r="VLD3" s="28"/>
      <c r="VLE3" s="28"/>
      <c r="VLF3" s="28"/>
      <c r="VLG3" s="28"/>
      <c r="VLH3" s="28"/>
      <c r="VLI3" s="28"/>
      <c r="VLJ3" s="28"/>
      <c r="VLK3" s="28"/>
      <c r="VLL3" s="28"/>
      <c r="VLM3" s="28"/>
      <c r="VLN3" s="28"/>
      <c r="VLO3" s="28"/>
      <c r="VLP3" s="28"/>
      <c r="VLQ3" s="28"/>
      <c r="VLR3" s="28"/>
      <c r="VLS3" s="28"/>
      <c r="VLT3" s="28"/>
      <c r="VLU3" s="28"/>
      <c r="VLV3" s="28"/>
      <c r="VLW3" s="28"/>
      <c r="VLX3" s="28"/>
      <c r="VLY3" s="28"/>
      <c r="VLZ3" s="28"/>
      <c r="VMA3" s="28"/>
      <c r="VMB3" s="28"/>
      <c r="VMC3" s="28"/>
      <c r="VMD3" s="28"/>
      <c r="VME3" s="28"/>
      <c r="VMF3" s="28"/>
      <c r="VMG3" s="28"/>
      <c r="VMH3" s="28"/>
      <c r="VMI3" s="28"/>
      <c r="VMJ3" s="28"/>
      <c r="VMK3" s="28"/>
      <c r="VML3" s="28"/>
      <c r="VMM3" s="28"/>
      <c r="VMN3" s="28"/>
      <c r="VMO3" s="28"/>
      <c r="VMP3" s="28"/>
      <c r="VMQ3" s="28"/>
      <c r="VMR3" s="28"/>
      <c r="VMS3" s="28"/>
      <c r="VMT3" s="28"/>
      <c r="VMU3" s="28"/>
      <c r="VMV3" s="28"/>
      <c r="VMW3" s="28"/>
      <c r="VMX3" s="28"/>
      <c r="VMY3" s="28"/>
      <c r="VMZ3" s="28"/>
      <c r="VNA3" s="28"/>
      <c r="VNB3" s="28"/>
      <c r="VNC3" s="28"/>
      <c r="VND3" s="28"/>
      <c r="VNE3" s="28"/>
      <c r="VNF3" s="28"/>
      <c r="VNG3" s="28"/>
      <c r="VNH3" s="28"/>
      <c r="VNI3" s="28"/>
      <c r="VNJ3" s="28"/>
      <c r="VNK3" s="28"/>
      <c r="VNL3" s="28"/>
      <c r="VNM3" s="28"/>
      <c r="VNN3" s="28"/>
      <c r="VNO3" s="28"/>
      <c r="VNP3" s="28"/>
      <c r="VNQ3" s="28"/>
      <c r="VNR3" s="28"/>
      <c r="VNS3" s="28"/>
      <c r="VNT3" s="28"/>
      <c r="VNU3" s="28"/>
      <c r="VNV3" s="28"/>
      <c r="VNW3" s="28"/>
      <c r="VNX3" s="28"/>
      <c r="VNY3" s="28"/>
      <c r="VNZ3" s="28"/>
      <c r="VOA3" s="28"/>
      <c r="VOB3" s="28"/>
      <c r="VOC3" s="28"/>
      <c r="VOD3" s="28"/>
      <c r="VOE3" s="28"/>
      <c r="VOF3" s="28"/>
      <c r="VOG3" s="28"/>
      <c r="VOH3" s="28"/>
      <c r="VOI3" s="28"/>
      <c r="VOJ3" s="28"/>
      <c r="VOK3" s="28"/>
      <c r="VOL3" s="28"/>
      <c r="VOM3" s="28"/>
      <c r="VON3" s="28"/>
      <c r="VOO3" s="28"/>
      <c r="VOP3" s="28"/>
      <c r="VOQ3" s="28"/>
      <c r="VOR3" s="28"/>
      <c r="VOS3" s="28"/>
      <c r="VOT3" s="28"/>
      <c r="VOU3" s="28"/>
      <c r="VOV3" s="28"/>
      <c r="VOW3" s="28"/>
      <c r="VOX3" s="28"/>
      <c r="VOY3" s="28"/>
      <c r="VOZ3" s="28"/>
      <c r="VPA3" s="28"/>
      <c r="VPB3" s="28"/>
      <c r="VPC3" s="28"/>
      <c r="VPD3" s="28"/>
      <c r="VPE3" s="28"/>
      <c r="VPF3" s="28"/>
      <c r="VPG3" s="28"/>
      <c r="VPH3" s="28"/>
      <c r="VPI3" s="28"/>
      <c r="VPJ3" s="28"/>
      <c r="VPK3" s="28"/>
      <c r="VPL3" s="28"/>
      <c r="VPM3" s="28"/>
      <c r="VPN3" s="28"/>
      <c r="VPO3" s="28"/>
      <c r="VPP3" s="28"/>
      <c r="VPQ3" s="28"/>
      <c r="VPR3" s="28"/>
      <c r="VPS3" s="28"/>
      <c r="VPT3" s="28"/>
      <c r="VPU3" s="28"/>
      <c r="VPV3" s="28"/>
      <c r="VPW3" s="28"/>
      <c r="VPX3" s="28"/>
      <c r="VPY3" s="28"/>
      <c r="VPZ3" s="28"/>
      <c r="VQA3" s="28"/>
      <c r="VQB3" s="28"/>
      <c r="VQC3" s="28"/>
      <c r="VQD3" s="28"/>
      <c r="VQE3" s="28"/>
      <c r="VQF3" s="28"/>
      <c r="VQG3" s="28"/>
      <c r="VQH3" s="28"/>
      <c r="VQI3" s="28"/>
      <c r="VQJ3" s="28"/>
      <c r="VQK3" s="28"/>
      <c r="VQL3" s="28"/>
      <c r="VQM3" s="28"/>
      <c r="VQN3" s="28"/>
      <c r="VQO3" s="28"/>
      <c r="VQP3" s="28"/>
      <c r="VQQ3" s="28"/>
      <c r="VQR3" s="28"/>
      <c r="VQS3" s="28"/>
      <c r="VQT3" s="28"/>
      <c r="VQU3" s="28"/>
      <c r="VQV3" s="28"/>
      <c r="VQW3" s="28"/>
      <c r="VQX3" s="28"/>
      <c r="VQY3" s="28"/>
      <c r="VQZ3" s="28"/>
      <c r="VRA3" s="28"/>
      <c r="VRB3" s="28"/>
      <c r="VRC3" s="28"/>
      <c r="VRD3" s="28"/>
      <c r="VRE3" s="28"/>
      <c r="VRF3" s="28"/>
      <c r="VRG3" s="28"/>
      <c r="VRH3" s="28"/>
      <c r="VRI3" s="28"/>
      <c r="VRJ3" s="28"/>
      <c r="VRK3" s="28"/>
      <c r="VRL3" s="28"/>
      <c r="VRM3" s="28"/>
      <c r="VRN3" s="28"/>
      <c r="VRO3" s="28"/>
      <c r="VRP3" s="28"/>
      <c r="VRQ3" s="28"/>
      <c r="VRR3" s="28"/>
      <c r="VRS3" s="28"/>
      <c r="VRT3" s="28"/>
      <c r="VRU3" s="28"/>
      <c r="VRV3" s="28"/>
      <c r="VRW3" s="28"/>
      <c r="VRX3" s="28"/>
      <c r="VRY3" s="28"/>
      <c r="VRZ3" s="28"/>
      <c r="VSA3" s="28"/>
      <c r="VSB3" s="28"/>
      <c r="VSC3" s="28"/>
      <c r="VSD3" s="28"/>
      <c r="VSE3" s="28"/>
      <c r="VSF3" s="28"/>
      <c r="VSG3" s="28"/>
      <c r="VSH3" s="28"/>
      <c r="VSI3" s="28"/>
      <c r="VSJ3" s="28"/>
      <c r="VSK3" s="28"/>
      <c r="VSL3" s="28"/>
      <c r="VSM3" s="28"/>
      <c r="VSN3" s="28"/>
      <c r="VSO3" s="28"/>
      <c r="VSP3" s="28"/>
      <c r="VSQ3" s="28"/>
      <c r="VSR3" s="28"/>
      <c r="VSS3" s="28"/>
      <c r="VST3" s="28"/>
      <c r="VSU3" s="28"/>
      <c r="VSV3" s="28"/>
      <c r="VSW3" s="28"/>
      <c r="VSX3" s="28"/>
      <c r="VSY3" s="28"/>
      <c r="VSZ3" s="28"/>
      <c r="VTA3" s="28"/>
      <c r="VTB3" s="28"/>
      <c r="VTC3" s="28"/>
      <c r="VTD3" s="28"/>
      <c r="VTE3" s="28"/>
      <c r="VTF3" s="28"/>
      <c r="VTG3" s="28"/>
      <c r="VTH3" s="28"/>
      <c r="VTI3" s="28"/>
      <c r="VTJ3" s="28"/>
      <c r="VTK3" s="28"/>
      <c r="VTL3" s="28"/>
      <c r="VTM3" s="28"/>
      <c r="VTN3" s="28"/>
      <c r="VTO3" s="28"/>
      <c r="VTP3" s="28"/>
      <c r="VTQ3" s="28"/>
      <c r="VTR3" s="28"/>
      <c r="VTS3" s="28"/>
      <c r="VTT3" s="28"/>
      <c r="VTU3" s="28"/>
      <c r="VTV3" s="28"/>
      <c r="VTW3" s="28"/>
      <c r="VTX3" s="28"/>
      <c r="VTY3" s="28"/>
      <c r="VTZ3" s="28"/>
      <c r="VUA3" s="28"/>
      <c r="VUB3" s="28"/>
      <c r="VUC3" s="28"/>
      <c r="VUD3" s="28"/>
      <c r="VUE3" s="28"/>
      <c r="VUF3" s="28"/>
      <c r="VUG3" s="28"/>
      <c r="VUH3" s="28"/>
      <c r="VUI3" s="28"/>
      <c r="VUJ3" s="28"/>
      <c r="VUK3" s="28"/>
      <c r="VUL3" s="28"/>
      <c r="VUM3" s="28"/>
      <c r="VUN3" s="28"/>
      <c r="VUO3" s="28"/>
      <c r="VUP3" s="28"/>
      <c r="VUQ3" s="28"/>
      <c r="VUR3" s="28"/>
      <c r="VUS3" s="28"/>
      <c r="VUT3" s="28"/>
      <c r="VUU3" s="28"/>
      <c r="VUV3" s="28"/>
      <c r="VUW3" s="28"/>
      <c r="VUX3" s="28"/>
      <c r="VUY3" s="28"/>
      <c r="VUZ3" s="28"/>
      <c r="VVA3" s="28"/>
      <c r="VVB3" s="28"/>
      <c r="VVC3" s="28"/>
      <c r="VVD3" s="28"/>
      <c r="VVE3" s="28"/>
      <c r="VVF3" s="28"/>
      <c r="VVG3" s="28"/>
      <c r="VVH3" s="28"/>
      <c r="VVI3" s="28"/>
      <c r="VVJ3" s="28"/>
      <c r="VVK3" s="28"/>
      <c r="VVL3" s="28"/>
      <c r="VVM3" s="28"/>
      <c r="VVN3" s="28"/>
      <c r="VVO3" s="28"/>
      <c r="VVP3" s="28"/>
      <c r="VVQ3" s="28"/>
      <c r="VVR3" s="28"/>
      <c r="VVS3" s="28"/>
      <c r="VVT3" s="28"/>
      <c r="VVU3" s="28"/>
      <c r="VVV3" s="28"/>
      <c r="VVW3" s="28"/>
      <c r="VVX3" s="28"/>
      <c r="VVY3" s="28"/>
      <c r="VVZ3" s="28"/>
      <c r="VWA3" s="28"/>
      <c r="VWB3" s="28"/>
      <c r="VWC3" s="28"/>
      <c r="VWD3" s="28"/>
      <c r="VWE3" s="28"/>
      <c r="VWF3" s="28"/>
      <c r="VWG3" s="28"/>
      <c r="VWH3" s="28"/>
      <c r="VWI3" s="28"/>
      <c r="VWJ3" s="28"/>
      <c r="VWK3" s="28"/>
      <c r="VWL3" s="28"/>
      <c r="VWM3" s="28"/>
      <c r="VWN3" s="28"/>
      <c r="VWO3" s="28"/>
      <c r="VWP3" s="28"/>
      <c r="VWQ3" s="28"/>
      <c r="VWR3" s="28"/>
      <c r="VWS3" s="28"/>
      <c r="VWT3" s="28"/>
      <c r="VWU3" s="28"/>
      <c r="VWV3" s="28"/>
      <c r="VWW3" s="28"/>
      <c r="VWX3" s="28"/>
      <c r="VWY3" s="28"/>
      <c r="VWZ3" s="28"/>
      <c r="VXA3" s="28"/>
      <c r="VXB3" s="28"/>
      <c r="VXC3" s="28"/>
      <c r="VXD3" s="28"/>
      <c r="VXE3" s="28"/>
      <c r="VXF3" s="28"/>
      <c r="VXG3" s="28"/>
      <c r="VXH3" s="28"/>
      <c r="VXI3" s="28"/>
      <c r="VXJ3" s="28"/>
      <c r="VXK3" s="28"/>
      <c r="VXL3" s="28"/>
      <c r="VXM3" s="28"/>
      <c r="VXN3" s="28"/>
      <c r="VXO3" s="28"/>
      <c r="VXP3" s="28"/>
      <c r="VXQ3" s="28"/>
      <c r="VXR3" s="28"/>
      <c r="VXS3" s="28"/>
      <c r="VXT3" s="28"/>
      <c r="VXU3" s="28"/>
      <c r="VXV3" s="28"/>
      <c r="VXW3" s="28"/>
      <c r="VXX3" s="28"/>
      <c r="VXY3" s="28"/>
      <c r="VXZ3" s="28"/>
      <c r="VYA3" s="28"/>
      <c r="VYB3" s="28"/>
      <c r="VYC3" s="28"/>
      <c r="VYD3" s="28"/>
      <c r="VYE3" s="28"/>
      <c r="VYF3" s="28"/>
      <c r="VYG3" s="28"/>
      <c r="VYH3" s="28"/>
      <c r="VYI3" s="28"/>
      <c r="VYJ3" s="28"/>
      <c r="VYK3" s="28"/>
      <c r="VYL3" s="28"/>
      <c r="VYM3" s="28"/>
      <c r="VYN3" s="28"/>
      <c r="VYO3" s="28"/>
      <c r="VYP3" s="28"/>
      <c r="VYQ3" s="28"/>
      <c r="VYR3" s="28"/>
      <c r="VYS3" s="28"/>
      <c r="VYT3" s="28"/>
      <c r="VYU3" s="28"/>
      <c r="VYV3" s="28"/>
      <c r="VYW3" s="28"/>
      <c r="VYX3" s="28"/>
      <c r="VYY3" s="28"/>
      <c r="VYZ3" s="28"/>
      <c r="VZA3" s="28"/>
      <c r="VZB3" s="28"/>
      <c r="VZC3" s="28"/>
      <c r="VZD3" s="28"/>
      <c r="VZE3" s="28"/>
      <c r="VZF3" s="28"/>
      <c r="VZG3" s="28"/>
      <c r="VZH3" s="28"/>
      <c r="VZI3" s="28"/>
      <c r="VZJ3" s="28"/>
      <c r="VZK3" s="28"/>
      <c r="VZL3" s="28"/>
      <c r="VZM3" s="28"/>
      <c r="VZN3" s="28"/>
      <c r="VZO3" s="28"/>
      <c r="VZP3" s="28"/>
      <c r="VZQ3" s="28"/>
      <c r="VZR3" s="28"/>
      <c r="VZS3" s="28"/>
      <c r="VZT3" s="28"/>
      <c r="VZU3" s="28"/>
      <c r="VZV3" s="28"/>
      <c r="VZW3" s="28"/>
      <c r="VZX3" s="28"/>
      <c r="VZY3" s="28"/>
      <c r="VZZ3" s="28"/>
      <c r="WAA3" s="28"/>
      <c r="WAB3" s="28"/>
      <c r="WAC3" s="28"/>
      <c r="WAD3" s="28"/>
      <c r="WAE3" s="28"/>
      <c r="WAF3" s="28"/>
      <c r="WAG3" s="28"/>
      <c r="WAH3" s="28"/>
      <c r="WAI3" s="28"/>
      <c r="WAJ3" s="28"/>
      <c r="WAK3" s="28"/>
      <c r="WAL3" s="28"/>
      <c r="WAM3" s="28"/>
      <c r="WAN3" s="28"/>
      <c r="WAO3" s="28"/>
      <c r="WAP3" s="28"/>
      <c r="WAQ3" s="28"/>
      <c r="WAR3" s="28"/>
      <c r="WAS3" s="28"/>
      <c r="WAT3" s="28"/>
      <c r="WAU3" s="28"/>
      <c r="WAV3" s="28"/>
      <c r="WAW3" s="28"/>
      <c r="WAX3" s="28"/>
      <c r="WAY3" s="28"/>
      <c r="WAZ3" s="28"/>
      <c r="WBA3" s="28"/>
      <c r="WBB3" s="28"/>
      <c r="WBC3" s="28"/>
      <c r="WBD3" s="28"/>
      <c r="WBE3" s="28"/>
      <c r="WBF3" s="28"/>
      <c r="WBG3" s="28"/>
      <c r="WBH3" s="28"/>
      <c r="WBI3" s="28"/>
      <c r="WBJ3" s="28"/>
      <c r="WBK3" s="28"/>
      <c r="WBL3" s="28"/>
      <c r="WBM3" s="28"/>
      <c r="WBN3" s="28"/>
      <c r="WBO3" s="28"/>
      <c r="WBP3" s="28"/>
      <c r="WBQ3" s="28"/>
      <c r="WBR3" s="28"/>
      <c r="WBS3" s="28"/>
      <c r="WBT3" s="28"/>
      <c r="WBU3" s="28"/>
      <c r="WBV3" s="28"/>
      <c r="WBW3" s="28"/>
      <c r="WBX3" s="28"/>
      <c r="WBY3" s="28"/>
      <c r="WBZ3" s="28"/>
      <c r="WCA3" s="28"/>
      <c r="WCB3" s="28"/>
      <c r="WCC3" s="28"/>
      <c r="WCD3" s="28"/>
      <c r="WCE3" s="28"/>
      <c r="WCF3" s="28"/>
      <c r="WCG3" s="28"/>
      <c r="WCH3" s="28"/>
      <c r="WCI3" s="28"/>
      <c r="WCJ3" s="28"/>
      <c r="WCK3" s="28"/>
      <c r="WCL3" s="28"/>
      <c r="WCM3" s="28"/>
      <c r="WCN3" s="28"/>
      <c r="WCO3" s="28"/>
      <c r="WCP3" s="28"/>
      <c r="WCQ3" s="28"/>
      <c r="WCR3" s="28"/>
      <c r="WCS3" s="28"/>
      <c r="WCT3" s="28"/>
      <c r="WCU3" s="28"/>
      <c r="WCV3" s="28"/>
      <c r="WCW3" s="28"/>
      <c r="WCX3" s="28"/>
      <c r="WCY3" s="28"/>
      <c r="WCZ3" s="28"/>
      <c r="WDA3" s="28"/>
      <c r="WDB3" s="28"/>
      <c r="WDC3" s="28"/>
      <c r="WDD3" s="28"/>
      <c r="WDE3" s="28"/>
      <c r="WDF3" s="28"/>
      <c r="WDG3" s="28"/>
      <c r="WDH3" s="28"/>
      <c r="WDI3" s="28"/>
      <c r="WDJ3" s="28"/>
      <c r="WDK3" s="28"/>
      <c r="WDL3" s="28"/>
      <c r="WDM3" s="28"/>
      <c r="WDN3" s="28"/>
      <c r="WDO3" s="28"/>
      <c r="WDP3" s="28"/>
      <c r="WDQ3" s="28"/>
      <c r="WDR3" s="28"/>
      <c r="WDS3" s="28"/>
      <c r="WDT3" s="28"/>
      <c r="WDU3" s="28"/>
      <c r="WDV3" s="28"/>
      <c r="WDW3" s="28"/>
      <c r="WDX3" s="28"/>
      <c r="WDY3" s="28"/>
      <c r="WDZ3" s="28"/>
      <c r="WEA3" s="28"/>
      <c r="WEB3" s="28"/>
      <c r="WEC3" s="28"/>
      <c r="WED3" s="28"/>
      <c r="WEE3" s="28"/>
      <c r="WEF3" s="28"/>
      <c r="WEG3" s="28"/>
      <c r="WEH3" s="28"/>
      <c r="WEI3" s="28"/>
      <c r="WEJ3" s="28"/>
      <c r="WEK3" s="28"/>
      <c r="WEL3" s="28"/>
      <c r="WEM3" s="28"/>
      <c r="WEN3" s="28"/>
      <c r="WEO3" s="28"/>
      <c r="WEP3" s="28"/>
      <c r="WEQ3" s="28"/>
      <c r="WER3" s="28"/>
      <c r="WES3" s="28"/>
      <c r="WET3" s="28"/>
      <c r="WEU3" s="28"/>
      <c r="WEV3" s="28"/>
      <c r="WEW3" s="28"/>
      <c r="WEX3" s="28"/>
      <c r="WEY3" s="28"/>
      <c r="WEZ3" s="28"/>
      <c r="WFA3" s="28"/>
      <c r="WFB3" s="28"/>
      <c r="WFC3" s="28"/>
      <c r="WFD3" s="28"/>
      <c r="WFE3" s="28"/>
      <c r="WFF3" s="28"/>
      <c r="WFG3" s="28"/>
      <c r="WFH3" s="28"/>
      <c r="WFI3" s="28"/>
      <c r="WFJ3" s="28"/>
      <c r="WFK3" s="28"/>
      <c r="WFL3" s="28"/>
      <c r="WFM3" s="28"/>
      <c r="WFN3" s="28"/>
      <c r="WFO3" s="28"/>
      <c r="WFP3" s="28"/>
      <c r="WFQ3" s="28"/>
      <c r="WFR3" s="28"/>
      <c r="WFS3" s="28"/>
      <c r="WFT3" s="28"/>
      <c r="WFU3" s="28"/>
      <c r="WFV3" s="28"/>
      <c r="WFW3" s="28"/>
      <c r="WFX3" s="28"/>
      <c r="WFY3" s="28"/>
      <c r="WFZ3" s="28"/>
      <c r="WGA3" s="28"/>
      <c r="WGB3" s="28"/>
      <c r="WGC3" s="28"/>
      <c r="WGD3" s="28"/>
      <c r="WGE3" s="28"/>
      <c r="WGF3" s="28"/>
      <c r="WGG3" s="28"/>
      <c r="WGH3" s="28"/>
      <c r="WGI3" s="28"/>
      <c r="WGJ3" s="28"/>
      <c r="WGK3" s="28"/>
      <c r="WGL3" s="28"/>
      <c r="WGM3" s="28"/>
      <c r="WGN3" s="28"/>
      <c r="WGO3" s="28"/>
      <c r="WGP3" s="28"/>
      <c r="WGQ3" s="28"/>
      <c r="WGR3" s="28"/>
      <c r="WGS3" s="28"/>
      <c r="WGT3" s="28"/>
      <c r="WGU3" s="28"/>
      <c r="WGV3" s="28"/>
      <c r="WGW3" s="28"/>
      <c r="WGX3" s="28"/>
      <c r="WGY3" s="28"/>
      <c r="WGZ3" s="28"/>
      <c r="WHA3" s="28"/>
      <c r="WHB3" s="28"/>
      <c r="WHC3" s="28"/>
      <c r="WHD3" s="28"/>
      <c r="WHE3" s="28"/>
      <c r="WHF3" s="28"/>
      <c r="WHG3" s="28"/>
      <c r="WHH3" s="28"/>
      <c r="WHI3" s="28"/>
      <c r="WHJ3" s="28"/>
      <c r="WHK3" s="28"/>
      <c r="WHL3" s="28"/>
      <c r="WHM3" s="28"/>
      <c r="WHN3" s="28"/>
      <c r="WHO3" s="28"/>
      <c r="WHP3" s="28"/>
      <c r="WHQ3" s="28"/>
      <c r="WHR3" s="28"/>
      <c r="WHS3" s="28"/>
      <c r="WHT3" s="28"/>
      <c r="WHU3" s="28"/>
      <c r="WHV3" s="28"/>
      <c r="WHW3" s="28"/>
      <c r="WHX3" s="28"/>
      <c r="WHY3" s="28"/>
      <c r="WHZ3" s="28"/>
      <c r="WIA3" s="28"/>
      <c r="WIB3" s="28"/>
      <c r="WIC3" s="28"/>
      <c r="WID3" s="28"/>
      <c r="WIE3" s="28"/>
      <c r="WIF3" s="28"/>
      <c r="WIG3" s="28"/>
      <c r="WIH3" s="28"/>
      <c r="WII3" s="28"/>
      <c r="WIJ3" s="28"/>
      <c r="WIK3" s="28"/>
      <c r="WIL3" s="28"/>
      <c r="WIM3" s="28"/>
      <c r="WIN3" s="28"/>
      <c r="WIO3" s="28"/>
      <c r="WIP3" s="28"/>
      <c r="WIQ3" s="28"/>
      <c r="WIR3" s="28"/>
      <c r="WIS3" s="28"/>
      <c r="WIT3" s="28"/>
      <c r="WIU3" s="28"/>
      <c r="WIV3" s="28"/>
      <c r="WIW3" s="28"/>
      <c r="WIX3" s="28"/>
      <c r="WIY3" s="28"/>
      <c r="WIZ3" s="28"/>
      <c r="WJA3" s="28"/>
      <c r="WJB3" s="28"/>
      <c r="WJC3" s="28"/>
      <c r="WJD3" s="28"/>
      <c r="WJE3" s="28"/>
      <c r="WJF3" s="28"/>
      <c r="WJG3" s="28"/>
      <c r="WJH3" s="28"/>
      <c r="WJI3" s="28"/>
      <c r="WJJ3" s="28"/>
      <c r="WJK3" s="28"/>
      <c r="WJL3" s="28"/>
      <c r="WJM3" s="28"/>
      <c r="WJN3" s="28"/>
      <c r="WJO3" s="28"/>
      <c r="WJP3" s="28"/>
      <c r="WJQ3" s="28"/>
      <c r="WJR3" s="28"/>
      <c r="WJS3" s="28"/>
      <c r="WJT3" s="28"/>
      <c r="WJU3" s="28"/>
      <c r="WJV3" s="28"/>
      <c r="WJW3" s="28"/>
      <c r="WJX3" s="28"/>
      <c r="WJY3" s="28"/>
      <c r="WJZ3" s="28"/>
      <c r="WKA3" s="28"/>
      <c r="WKB3" s="28"/>
      <c r="WKC3" s="28"/>
      <c r="WKD3" s="28"/>
      <c r="WKE3" s="28"/>
      <c r="WKF3" s="28"/>
      <c r="WKG3" s="28"/>
      <c r="WKH3" s="28"/>
      <c r="WKI3" s="28"/>
      <c r="WKJ3" s="28"/>
      <c r="WKK3" s="28"/>
      <c r="WKL3" s="28"/>
      <c r="WKM3" s="28"/>
      <c r="WKN3" s="28"/>
      <c r="WKO3" s="28"/>
      <c r="WKP3" s="28"/>
      <c r="WKQ3" s="28"/>
      <c r="WKR3" s="28"/>
      <c r="WKS3" s="28"/>
      <c r="WKT3" s="28"/>
      <c r="WKU3" s="28"/>
      <c r="WKV3" s="28"/>
      <c r="WKW3" s="28"/>
      <c r="WKX3" s="28"/>
      <c r="WKY3" s="28"/>
      <c r="WKZ3" s="28"/>
      <c r="WLA3" s="28"/>
      <c r="WLB3" s="28"/>
      <c r="WLC3" s="28"/>
      <c r="WLD3" s="28"/>
      <c r="WLE3" s="28"/>
      <c r="WLF3" s="28"/>
      <c r="WLG3" s="28"/>
      <c r="WLH3" s="28"/>
      <c r="WLI3" s="28"/>
      <c r="WLJ3" s="28"/>
      <c r="WLK3" s="28"/>
      <c r="WLL3" s="28"/>
      <c r="WLM3" s="28"/>
      <c r="WLN3" s="28"/>
      <c r="WLO3" s="28"/>
      <c r="WLP3" s="28"/>
      <c r="WLQ3" s="28"/>
      <c r="WLR3" s="28"/>
      <c r="WLS3" s="28"/>
      <c r="WLT3" s="28"/>
      <c r="WLU3" s="28"/>
      <c r="WLV3" s="28"/>
      <c r="WLW3" s="28"/>
      <c r="WLX3" s="28"/>
      <c r="WLY3" s="28"/>
      <c r="WLZ3" s="28"/>
      <c r="WMA3" s="28"/>
      <c r="WMB3" s="28"/>
      <c r="WMC3" s="28"/>
      <c r="WMD3" s="28"/>
      <c r="WME3" s="28"/>
      <c r="WMF3" s="28"/>
      <c r="WMG3" s="28"/>
      <c r="WMH3" s="28"/>
      <c r="WMI3" s="28"/>
      <c r="WMJ3" s="28"/>
      <c r="WMK3" s="28"/>
      <c r="WML3" s="28"/>
      <c r="WMM3" s="28"/>
      <c r="WMN3" s="28"/>
      <c r="WMO3" s="28"/>
      <c r="WMP3" s="28"/>
      <c r="WMQ3" s="28"/>
      <c r="WMR3" s="28"/>
      <c r="WMS3" s="28"/>
      <c r="WMT3" s="28"/>
      <c r="WMU3" s="28"/>
      <c r="WMV3" s="28"/>
      <c r="WMW3" s="28"/>
      <c r="WMX3" s="28"/>
      <c r="WMY3" s="28"/>
      <c r="WMZ3" s="28"/>
      <c r="WNA3" s="28"/>
      <c r="WNB3" s="28"/>
      <c r="WNC3" s="28"/>
      <c r="WND3" s="28"/>
      <c r="WNE3" s="28"/>
      <c r="WNF3" s="28"/>
      <c r="WNG3" s="28"/>
      <c r="WNH3" s="28"/>
      <c r="WNI3" s="28"/>
      <c r="WNJ3" s="28"/>
      <c r="WNK3" s="28"/>
      <c r="WNL3" s="28"/>
      <c r="WNM3" s="28"/>
      <c r="WNN3" s="28"/>
      <c r="WNO3" s="28"/>
      <c r="WNP3" s="28"/>
      <c r="WNQ3" s="28"/>
      <c r="WNR3" s="28"/>
      <c r="WNS3" s="28"/>
      <c r="WNT3" s="28"/>
      <c r="WNU3" s="28"/>
      <c r="WNV3" s="28"/>
      <c r="WNW3" s="28"/>
      <c r="WNX3" s="28"/>
      <c r="WNY3" s="28"/>
      <c r="WNZ3" s="28"/>
      <c r="WOA3" s="28"/>
      <c r="WOB3" s="28"/>
      <c r="WOC3" s="28"/>
      <c r="WOD3" s="28"/>
      <c r="WOE3" s="28"/>
      <c r="WOF3" s="28"/>
      <c r="WOG3" s="28"/>
      <c r="WOH3" s="28"/>
      <c r="WOI3" s="28"/>
      <c r="WOJ3" s="28"/>
      <c r="WOK3" s="28"/>
      <c r="WOL3" s="28"/>
      <c r="WOM3" s="28"/>
      <c r="WON3" s="28"/>
      <c r="WOO3" s="28"/>
      <c r="WOP3" s="28"/>
      <c r="WOQ3" s="28"/>
      <c r="WOR3" s="28"/>
      <c r="WOS3" s="28"/>
      <c r="WOT3" s="28"/>
      <c r="WOU3" s="28"/>
      <c r="WOV3" s="28"/>
      <c r="WOW3" s="28"/>
      <c r="WOX3" s="28"/>
      <c r="WOY3" s="28"/>
      <c r="WOZ3" s="28"/>
      <c r="WPA3" s="28"/>
      <c r="WPB3" s="28"/>
      <c r="WPC3" s="28"/>
      <c r="WPD3" s="28"/>
      <c r="WPE3" s="28"/>
      <c r="WPF3" s="28"/>
      <c r="WPG3" s="28"/>
      <c r="WPH3" s="28"/>
      <c r="WPI3" s="28"/>
      <c r="WPJ3" s="28"/>
      <c r="WPK3" s="28"/>
      <c r="WPL3" s="28"/>
      <c r="WPM3" s="28"/>
      <c r="WPN3" s="28"/>
      <c r="WPO3" s="28"/>
      <c r="WPP3" s="28"/>
      <c r="WPQ3" s="28"/>
      <c r="WPR3" s="28"/>
      <c r="WPS3" s="28"/>
      <c r="WPT3" s="28"/>
      <c r="WPU3" s="28"/>
      <c r="WPV3" s="28"/>
      <c r="WPW3" s="28"/>
      <c r="WPX3" s="28"/>
      <c r="WPY3" s="28"/>
      <c r="WPZ3" s="28"/>
      <c r="WQA3" s="28"/>
      <c r="WQB3" s="28"/>
      <c r="WQC3" s="28"/>
      <c r="WQD3" s="28"/>
      <c r="WQE3" s="28"/>
      <c r="WQF3" s="28"/>
      <c r="WQG3" s="28"/>
      <c r="WQH3" s="28"/>
      <c r="WQI3" s="28"/>
      <c r="WQJ3" s="28"/>
      <c r="WQK3" s="28"/>
      <c r="WQL3" s="28"/>
      <c r="WQM3" s="28"/>
      <c r="WQN3" s="28"/>
      <c r="WQO3" s="28"/>
      <c r="WQP3" s="28"/>
      <c r="WQQ3" s="28"/>
      <c r="WQR3" s="28"/>
      <c r="WQS3" s="28"/>
      <c r="WQT3" s="28"/>
      <c r="WQU3" s="28"/>
      <c r="WQV3" s="28"/>
      <c r="WQW3" s="28"/>
      <c r="WQX3" s="28"/>
      <c r="WQY3" s="28"/>
      <c r="WQZ3" s="28"/>
      <c r="WRA3" s="28"/>
      <c r="WRB3" s="28"/>
      <c r="WRC3" s="28"/>
      <c r="WRD3" s="28"/>
      <c r="WRE3" s="28"/>
      <c r="WRF3" s="28"/>
      <c r="WRG3" s="28"/>
      <c r="WRH3" s="28"/>
      <c r="WRI3" s="28"/>
      <c r="WRJ3" s="28"/>
      <c r="WRK3" s="28"/>
      <c r="WRL3" s="28"/>
      <c r="WRM3" s="28"/>
      <c r="WRN3" s="28"/>
      <c r="WRO3" s="28"/>
      <c r="WRP3" s="28"/>
      <c r="WRQ3" s="28"/>
      <c r="WRR3" s="28"/>
      <c r="WRS3" s="28"/>
      <c r="WRT3" s="28"/>
      <c r="WRU3" s="28"/>
      <c r="WRV3" s="28"/>
      <c r="WRW3" s="28"/>
      <c r="WRX3" s="28"/>
      <c r="WRY3" s="28"/>
      <c r="WRZ3" s="28"/>
      <c r="WSA3" s="28"/>
      <c r="WSB3" s="28"/>
      <c r="WSC3" s="28"/>
      <c r="WSD3" s="28"/>
      <c r="WSE3" s="28"/>
      <c r="WSF3" s="28"/>
      <c r="WSG3" s="28"/>
      <c r="WSH3" s="28"/>
      <c r="WSI3" s="28"/>
      <c r="WSJ3" s="28"/>
      <c r="WSK3" s="28"/>
      <c r="WSL3" s="28"/>
      <c r="WSM3" s="28"/>
      <c r="WSN3" s="28"/>
      <c r="WSO3" s="28"/>
      <c r="WSP3" s="28"/>
      <c r="WSQ3" s="28"/>
      <c r="WSR3" s="28"/>
      <c r="WSS3" s="28"/>
      <c r="WST3" s="28"/>
      <c r="WSU3" s="28"/>
      <c r="WSV3" s="28"/>
      <c r="WSW3" s="28"/>
      <c r="WSX3" s="28"/>
      <c r="WSY3" s="28"/>
      <c r="WSZ3" s="28"/>
      <c r="WTA3" s="28"/>
      <c r="WTB3" s="28"/>
      <c r="WTC3" s="28"/>
      <c r="WTD3" s="28"/>
      <c r="WTE3" s="28"/>
      <c r="WTF3" s="28"/>
      <c r="WTG3" s="28"/>
      <c r="WTH3" s="28"/>
      <c r="WTI3" s="28"/>
      <c r="WTJ3" s="28"/>
      <c r="WTK3" s="28"/>
      <c r="WTL3" s="28"/>
      <c r="WTM3" s="28"/>
      <c r="WTN3" s="28"/>
      <c r="WTO3" s="28"/>
      <c r="WTP3" s="28"/>
      <c r="WTQ3" s="28"/>
      <c r="WTR3" s="28"/>
      <c r="WTS3" s="28"/>
      <c r="WTT3" s="28"/>
      <c r="WTU3" s="28"/>
      <c r="WTV3" s="28"/>
      <c r="WTW3" s="28"/>
      <c r="WTX3" s="28"/>
      <c r="WTY3" s="28"/>
      <c r="WTZ3" s="28"/>
      <c r="WUA3" s="28"/>
      <c r="WUB3" s="28"/>
      <c r="WUC3" s="28"/>
      <c r="WUD3" s="28"/>
      <c r="WUE3" s="28"/>
      <c r="WUF3" s="28"/>
      <c r="WUG3" s="28"/>
      <c r="WUH3" s="28"/>
      <c r="WUI3" s="28"/>
      <c r="WUJ3" s="28"/>
      <c r="WUK3" s="28"/>
      <c r="WUL3" s="28"/>
      <c r="WUM3" s="28"/>
      <c r="WUN3" s="28"/>
      <c r="WUO3" s="28"/>
      <c r="WUP3" s="28"/>
      <c r="WUQ3" s="28"/>
      <c r="WUR3" s="28"/>
      <c r="WUS3" s="28"/>
      <c r="WUT3" s="28"/>
      <c r="WUU3" s="28"/>
      <c r="WUV3" s="28"/>
      <c r="WUW3" s="28"/>
      <c r="WUX3" s="28"/>
      <c r="WUY3" s="28"/>
      <c r="WUZ3" s="28"/>
      <c r="WVA3" s="28"/>
      <c r="WVB3" s="28"/>
      <c r="WVC3" s="28"/>
      <c r="WVD3" s="28"/>
      <c r="WVE3" s="28"/>
      <c r="WVF3" s="28"/>
      <c r="WVG3" s="28"/>
      <c r="WVH3" s="28"/>
      <c r="WVI3" s="28"/>
      <c r="WVJ3" s="28"/>
      <c r="WVK3" s="28"/>
      <c r="WVL3" s="28"/>
      <c r="WVM3" s="28"/>
      <c r="WVN3" s="28"/>
      <c r="WVO3" s="28"/>
      <c r="WVP3" s="28"/>
      <c r="WVQ3" s="28"/>
      <c r="WVR3" s="28"/>
      <c r="WVS3" s="28"/>
      <c r="WVT3" s="28"/>
      <c r="WVU3" s="28"/>
      <c r="WVV3" s="28"/>
      <c r="WVW3" s="28"/>
      <c r="WVX3" s="28"/>
      <c r="WVY3" s="28"/>
      <c r="WVZ3" s="28"/>
      <c r="WWA3" s="28"/>
      <c r="WWB3" s="28"/>
      <c r="WWC3" s="28"/>
      <c r="WWD3" s="28"/>
      <c r="WWE3" s="28"/>
      <c r="WWF3" s="28"/>
      <c r="WWG3" s="28"/>
      <c r="WWH3" s="28"/>
      <c r="WWI3" s="28"/>
      <c r="WWJ3" s="28"/>
      <c r="WWK3" s="28"/>
      <c r="WWL3" s="28"/>
      <c r="WWM3" s="28"/>
      <c r="WWN3" s="28"/>
      <c r="WWO3" s="28"/>
      <c r="WWP3" s="28"/>
      <c r="WWQ3" s="28"/>
      <c r="WWR3" s="28"/>
      <c r="WWS3" s="28"/>
      <c r="WWT3" s="28"/>
      <c r="WWU3" s="28"/>
      <c r="WWV3" s="28"/>
      <c r="WWW3" s="28"/>
      <c r="WWX3" s="28"/>
      <c r="WWY3" s="28"/>
      <c r="WWZ3" s="28"/>
      <c r="WXA3" s="28"/>
      <c r="WXB3" s="28"/>
      <c r="WXC3" s="28"/>
      <c r="WXD3" s="28"/>
      <c r="WXE3" s="28"/>
      <c r="WXF3" s="28"/>
      <c r="WXG3" s="28"/>
      <c r="WXH3" s="28"/>
      <c r="WXI3" s="28"/>
      <c r="WXJ3" s="28"/>
      <c r="WXK3" s="28"/>
      <c r="WXL3" s="28"/>
      <c r="WXM3" s="28"/>
      <c r="WXN3" s="28"/>
      <c r="WXO3" s="28"/>
      <c r="WXP3" s="28"/>
      <c r="WXQ3" s="28"/>
      <c r="WXR3" s="28"/>
      <c r="WXS3" s="28"/>
      <c r="WXT3" s="28"/>
      <c r="WXU3" s="28"/>
      <c r="WXV3" s="28"/>
      <c r="WXW3" s="28"/>
      <c r="WXX3" s="28"/>
      <c r="WXY3" s="28"/>
      <c r="WXZ3" s="28"/>
      <c r="WYA3" s="28"/>
      <c r="WYB3" s="28"/>
      <c r="WYC3" s="28"/>
      <c r="WYD3" s="28"/>
      <c r="WYE3" s="28"/>
      <c r="WYF3" s="28"/>
      <c r="WYG3" s="28"/>
      <c r="WYH3" s="28"/>
      <c r="WYI3" s="28"/>
      <c r="WYJ3" s="28"/>
      <c r="WYK3" s="28"/>
      <c r="WYL3" s="28"/>
      <c r="WYM3" s="28"/>
      <c r="WYN3" s="28"/>
      <c r="WYO3" s="28"/>
      <c r="WYP3" s="28"/>
      <c r="WYQ3" s="28"/>
      <c r="WYR3" s="28"/>
      <c r="WYS3" s="28"/>
      <c r="WYT3" s="28"/>
      <c r="WYU3" s="28"/>
      <c r="WYV3" s="28"/>
      <c r="WYW3" s="28"/>
      <c r="WYX3" s="28"/>
      <c r="WYY3" s="28"/>
      <c r="WYZ3" s="28"/>
      <c r="WZA3" s="28"/>
      <c r="WZB3" s="28"/>
      <c r="WZC3" s="28"/>
      <c r="WZD3" s="28"/>
      <c r="WZE3" s="28"/>
      <c r="WZF3" s="28"/>
      <c r="WZG3" s="28"/>
      <c r="WZH3" s="28"/>
      <c r="WZI3" s="28"/>
      <c r="WZJ3" s="28"/>
      <c r="WZK3" s="28"/>
      <c r="WZL3" s="28"/>
      <c r="WZM3" s="28"/>
      <c r="WZN3" s="28"/>
      <c r="WZO3" s="28"/>
      <c r="WZP3" s="28"/>
      <c r="WZQ3" s="28"/>
      <c r="WZR3" s="28"/>
      <c r="WZS3" s="28"/>
      <c r="WZT3" s="28"/>
      <c r="WZU3" s="28"/>
      <c r="WZV3" s="28"/>
      <c r="WZW3" s="28"/>
      <c r="WZX3" s="28"/>
      <c r="WZY3" s="28"/>
      <c r="WZZ3" s="28"/>
      <c r="XAA3" s="28"/>
      <c r="XAB3" s="28"/>
      <c r="XAC3" s="28"/>
      <c r="XAD3" s="28"/>
      <c r="XAE3" s="28"/>
      <c r="XAF3" s="28"/>
      <c r="XAG3" s="28"/>
      <c r="XAH3" s="28"/>
      <c r="XAI3" s="28"/>
      <c r="XAJ3" s="28"/>
      <c r="XAK3" s="28"/>
      <c r="XAL3" s="28"/>
      <c r="XAM3" s="28"/>
      <c r="XAN3" s="28"/>
      <c r="XAO3" s="28"/>
      <c r="XAP3" s="28"/>
      <c r="XAQ3" s="28"/>
      <c r="XAR3" s="28"/>
      <c r="XAS3" s="28"/>
      <c r="XAT3" s="28"/>
      <c r="XAU3" s="28"/>
      <c r="XAV3" s="28"/>
      <c r="XAW3" s="28"/>
      <c r="XAX3" s="28"/>
      <c r="XAY3" s="28"/>
      <c r="XAZ3" s="28"/>
      <c r="XBA3" s="28"/>
      <c r="XBB3" s="28"/>
      <c r="XBC3" s="28"/>
      <c r="XBD3" s="28"/>
      <c r="XBE3" s="28"/>
      <c r="XBF3" s="28"/>
      <c r="XBG3" s="28"/>
      <c r="XBH3" s="28"/>
      <c r="XBI3" s="28"/>
      <c r="XBJ3" s="28"/>
      <c r="XBK3" s="28"/>
      <c r="XBL3" s="28"/>
      <c r="XBM3" s="28"/>
      <c r="XBN3" s="28"/>
      <c r="XBO3" s="28"/>
      <c r="XBP3" s="28"/>
      <c r="XBQ3" s="28"/>
      <c r="XBR3" s="28"/>
      <c r="XBS3" s="28"/>
      <c r="XBT3" s="28"/>
      <c r="XBU3" s="28"/>
      <c r="XBV3" s="28"/>
      <c r="XBW3" s="28"/>
      <c r="XBX3" s="28"/>
      <c r="XBY3" s="28"/>
      <c r="XBZ3" s="28"/>
      <c r="XCA3" s="28"/>
      <c r="XCB3" s="28"/>
      <c r="XCC3" s="28"/>
      <c r="XCD3" s="28"/>
      <c r="XCE3" s="28"/>
      <c r="XCF3" s="28"/>
      <c r="XCG3" s="28"/>
      <c r="XCH3" s="28"/>
      <c r="XCI3" s="28"/>
      <c r="XCJ3" s="28"/>
      <c r="XCK3" s="28"/>
      <c r="XCL3" s="28"/>
      <c r="XCM3" s="28"/>
      <c r="XCN3" s="28"/>
      <c r="XCO3" s="28"/>
      <c r="XCP3" s="28"/>
      <c r="XCQ3" s="28"/>
      <c r="XCR3" s="28"/>
      <c r="XCS3" s="28"/>
      <c r="XCT3" s="28"/>
      <c r="XCU3" s="28"/>
      <c r="XCV3" s="28"/>
      <c r="XCW3" s="28"/>
      <c r="XCX3" s="28"/>
      <c r="XCY3" s="28"/>
      <c r="XCZ3" s="28"/>
      <c r="XDA3" s="28"/>
      <c r="XDB3" s="28"/>
      <c r="XDC3" s="28"/>
      <c r="XDD3" s="28"/>
      <c r="XDE3" s="28"/>
      <c r="XDF3" s="28"/>
      <c r="XDG3" s="28"/>
      <c r="XDH3" s="28"/>
      <c r="XDI3" s="28"/>
      <c r="XDJ3" s="28"/>
      <c r="XDK3" s="28"/>
      <c r="XDL3" s="28"/>
      <c r="XDM3" s="28"/>
      <c r="XDN3" s="28"/>
      <c r="XDO3" s="28"/>
      <c r="XDP3" s="28"/>
      <c r="XDQ3" s="28"/>
      <c r="XDR3" s="28"/>
      <c r="XDS3" s="28"/>
      <c r="XDT3" s="28"/>
      <c r="XDU3" s="28"/>
      <c r="XDV3" s="28"/>
      <c r="XDW3" s="28"/>
      <c r="XDX3" s="28"/>
      <c r="XDY3" s="28"/>
      <c r="XDZ3" s="28"/>
      <c r="XEA3" s="28"/>
      <c r="XEB3" s="28"/>
      <c r="XEC3" s="28"/>
      <c r="XED3" s="28"/>
      <c r="XEE3" s="28"/>
      <c r="XEF3" s="28"/>
      <c r="XEG3" s="28"/>
      <c r="XEH3" s="28"/>
      <c r="XEI3" s="28"/>
      <c r="XEJ3" s="28"/>
      <c r="XEK3" s="28"/>
      <c r="XEL3" s="28"/>
      <c r="XEM3" s="28"/>
      <c r="XEN3" s="28"/>
      <c r="XEO3" s="28"/>
      <c r="XEP3" s="28"/>
      <c r="XEQ3" s="28"/>
      <c r="XER3" s="28"/>
      <c r="XES3" s="28"/>
      <c r="XET3" s="28"/>
      <c r="XEU3" s="28"/>
      <c r="XEV3" s="28"/>
      <c r="XEW3" s="28"/>
      <c r="XEX3" s="28"/>
      <c r="XEY3" s="28"/>
      <c r="XEZ3" s="28"/>
      <c r="XFA3" s="28"/>
      <c r="XFB3" s="28"/>
    </row>
    <row r="4" spans="1:16382" ht="15.75" x14ac:dyDescent="0.25">
      <c r="B4" s="163"/>
      <c r="C4" s="47"/>
      <c r="D4" s="48">
        <v>11</v>
      </c>
      <c r="E4" s="48">
        <v>12</v>
      </c>
      <c r="F4" s="48">
        <v>13</v>
      </c>
      <c r="G4" s="48">
        <v>14</v>
      </c>
      <c r="H4" s="48">
        <v>15</v>
      </c>
      <c r="I4" s="48">
        <v>16</v>
      </c>
      <c r="J4" s="48">
        <v>17</v>
      </c>
      <c r="K4" s="48">
        <v>18</v>
      </c>
      <c r="L4" s="48">
        <v>19</v>
      </c>
      <c r="M4" s="48">
        <v>20</v>
      </c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  <c r="NK4" s="28"/>
      <c r="NL4" s="28"/>
      <c r="NM4" s="28"/>
      <c r="NN4" s="28"/>
      <c r="NO4" s="28"/>
      <c r="NP4" s="28"/>
      <c r="NQ4" s="28"/>
      <c r="NR4" s="28"/>
      <c r="NS4" s="28"/>
      <c r="NT4" s="28"/>
      <c r="NU4" s="28"/>
      <c r="NV4" s="28"/>
      <c r="NW4" s="28"/>
      <c r="NX4" s="28"/>
      <c r="NY4" s="28"/>
      <c r="NZ4" s="28"/>
      <c r="OA4" s="28"/>
      <c r="OB4" s="28"/>
      <c r="OC4" s="28"/>
      <c r="OD4" s="28"/>
      <c r="OE4" s="28"/>
      <c r="OF4" s="28"/>
      <c r="OG4" s="28"/>
      <c r="OH4" s="28"/>
      <c r="OI4" s="28"/>
      <c r="OJ4" s="28"/>
      <c r="OK4" s="28"/>
      <c r="OL4" s="28"/>
      <c r="OM4" s="28"/>
      <c r="ON4" s="28"/>
      <c r="OO4" s="28"/>
      <c r="OP4" s="28"/>
      <c r="OQ4" s="28"/>
      <c r="OR4" s="28"/>
      <c r="OS4" s="28"/>
      <c r="OT4" s="28"/>
      <c r="OU4" s="28"/>
      <c r="OV4" s="28"/>
      <c r="OW4" s="28"/>
      <c r="OX4" s="28"/>
      <c r="OY4" s="28"/>
      <c r="OZ4" s="28"/>
      <c r="PA4" s="28"/>
      <c r="PB4" s="28"/>
      <c r="PC4" s="28"/>
      <c r="PD4" s="28"/>
      <c r="PE4" s="28"/>
      <c r="PF4" s="28"/>
      <c r="PG4" s="28"/>
      <c r="PH4" s="28"/>
      <c r="PI4" s="28"/>
      <c r="PJ4" s="28"/>
      <c r="PK4" s="28"/>
      <c r="PL4" s="28"/>
      <c r="PM4" s="28"/>
      <c r="PN4" s="28"/>
      <c r="PO4" s="28"/>
      <c r="PP4" s="28"/>
      <c r="PQ4" s="28"/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  <c r="QE4" s="28"/>
      <c r="QF4" s="28"/>
      <c r="QG4" s="28"/>
      <c r="QH4" s="28"/>
      <c r="QI4" s="28"/>
      <c r="QJ4" s="28"/>
      <c r="QK4" s="28"/>
      <c r="QL4" s="28"/>
      <c r="QM4" s="28"/>
      <c r="QN4" s="28"/>
      <c r="QO4" s="28"/>
      <c r="QP4" s="28"/>
      <c r="QQ4" s="28"/>
      <c r="QR4" s="28"/>
      <c r="QS4" s="28"/>
      <c r="QT4" s="28"/>
      <c r="QU4" s="28"/>
      <c r="QV4" s="28"/>
      <c r="QW4" s="28"/>
      <c r="QX4" s="28"/>
      <c r="QY4" s="28"/>
      <c r="QZ4" s="28"/>
      <c r="RA4" s="28"/>
      <c r="RB4" s="28"/>
      <c r="RC4" s="28"/>
      <c r="RD4" s="28"/>
      <c r="RE4" s="28"/>
      <c r="RF4" s="28"/>
      <c r="RG4" s="28"/>
      <c r="RH4" s="28"/>
      <c r="RI4" s="28"/>
      <c r="RJ4" s="28"/>
      <c r="RK4" s="28"/>
      <c r="RL4" s="28"/>
      <c r="RM4" s="28"/>
      <c r="RN4" s="28"/>
      <c r="RO4" s="28"/>
      <c r="RP4" s="28"/>
      <c r="RQ4" s="28"/>
      <c r="RR4" s="28"/>
      <c r="RS4" s="28"/>
      <c r="RT4" s="28"/>
      <c r="RU4" s="28"/>
      <c r="RV4" s="28"/>
      <c r="RW4" s="28"/>
      <c r="RX4" s="28"/>
      <c r="RY4" s="28"/>
      <c r="RZ4" s="28"/>
      <c r="SA4" s="28"/>
      <c r="SB4" s="28"/>
      <c r="SC4" s="28"/>
      <c r="SD4" s="28"/>
      <c r="SE4" s="28"/>
      <c r="SF4" s="28"/>
      <c r="SG4" s="28"/>
      <c r="SH4" s="28"/>
      <c r="SI4" s="28"/>
      <c r="SJ4" s="28"/>
      <c r="SK4" s="28"/>
      <c r="SL4" s="28"/>
      <c r="SM4" s="28"/>
      <c r="SN4" s="28"/>
      <c r="SO4" s="28"/>
      <c r="SP4" s="28"/>
      <c r="SQ4" s="28"/>
      <c r="SR4" s="28"/>
      <c r="SS4" s="28"/>
      <c r="ST4" s="28"/>
      <c r="SU4" s="28"/>
      <c r="SV4" s="28"/>
      <c r="SW4" s="28"/>
      <c r="SX4" s="28"/>
      <c r="SY4" s="28"/>
      <c r="SZ4" s="28"/>
      <c r="TA4" s="28"/>
      <c r="TB4" s="28"/>
      <c r="TC4" s="28"/>
      <c r="TD4" s="28"/>
      <c r="TE4" s="28"/>
      <c r="TF4" s="28"/>
      <c r="TG4" s="28"/>
      <c r="TH4" s="28"/>
      <c r="TI4" s="28"/>
      <c r="TJ4" s="28"/>
      <c r="TK4" s="28"/>
      <c r="TL4" s="28"/>
      <c r="TM4" s="28"/>
      <c r="TN4" s="28"/>
      <c r="TO4" s="28"/>
      <c r="TP4" s="28"/>
      <c r="TQ4" s="28"/>
      <c r="TR4" s="28"/>
      <c r="TS4" s="28"/>
      <c r="TT4" s="28"/>
      <c r="TU4" s="28"/>
      <c r="TV4" s="28"/>
      <c r="TW4" s="28"/>
      <c r="TX4" s="28"/>
      <c r="TY4" s="28"/>
      <c r="TZ4" s="28"/>
      <c r="UA4" s="28"/>
      <c r="UB4" s="28"/>
      <c r="UC4" s="28"/>
      <c r="UD4" s="28"/>
      <c r="UE4" s="28"/>
      <c r="UF4" s="28"/>
      <c r="UG4" s="28"/>
      <c r="UH4" s="28"/>
      <c r="UI4" s="28"/>
      <c r="UJ4" s="28"/>
      <c r="UK4" s="28"/>
      <c r="UL4" s="28"/>
      <c r="UM4" s="28"/>
      <c r="UN4" s="28"/>
      <c r="UO4" s="28"/>
      <c r="UP4" s="28"/>
      <c r="UQ4" s="28"/>
      <c r="UR4" s="28"/>
      <c r="US4" s="28"/>
      <c r="UT4" s="28"/>
      <c r="UU4" s="28"/>
      <c r="UV4" s="28"/>
      <c r="UW4" s="28"/>
      <c r="UX4" s="28"/>
      <c r="UY4" s="28"/>
      <c r="UZ4" s="28"/>
      <c r="VA4" s="28"/>
      <c r="VB4" s="28"/>
      <c r="VC4" s="28"/>
      <c r="VD4" s="28"/>
      <c r="VE4" s="28"/>
      <c r="VF4" s="28"/>
      <c r="VG4" s="28"/>
      <c r="VH4" s="28"/>
      <c r="VI4" s="28"/>
      <c r="VJ4" s="28"/>
      <c r="VK4" s="28"/>
      <c r="VL4" s="28"/>
      <c r="VM4" s="28"/>
      <c r="VN4" s="28"/>
      <c r="VO4" s="28"/>
      <c r="VP4" s="28"/>
      <c r="VQ4" s="28"/>
      <c r="VR4" s="28"/>
      <c r="VS4" s="28"/>
      <c r="VT4" s="28"/>
      <c r="VU4" s="28"/>
      <c r="VV4" s="28"/>
      <c r="VW4" s="28"/>
      <c r="VX4" s="28"/>
      <c r="VY4" s="28"/>
      <c r="VZ4" s="28"/>
      <c r="WA4" s="28"/>
      <c r="WB4" s="28"/>
      <c r="WC4" s="28"/>
      <c r="WD4" s="28"/>
      <c r="WE4" s="28"/>
      <c r="WF4" s="28"/>
      <c r="WG4" s="28"/>
      <c r="WH4" s="28"/>
      <c r="WI4" s="28"/>
      <c r="WJ4" s="28"/>
      <c r="WK4" s="28"/>
      <c r="WL4" s="28"/>
      <c r="WM4" s="28"/>
      <c r="WN4" s="28"/>
      <c r="WO4" s="28"/>
      <c r="WP4" s="28"/>
      <c r="WQ4" s="28"/>
      <c r="WR4" s="28"/>
      <c r="WS4" s="28"/>
      <c r="WT4" s="28"/>
      <c r="WU4" s="28"/>
      <c r="WV4" s="28"/>
      <c r="WW4" s="28"/>
      <c r="WX4" s="28"/>
      <c r="WY4" s="28"/>
      <c r="WZ4" s="28"/>
      <c r="XA4" s="28"/>
      <c r="XB4" s="28"/>
      <c r="XC4" s="28"/>
      <c r="XD4" s="28"/>
      <c r="XE4" s="28"/>
      <c r="XF4" s="28"/>
      <c r="XG4" s="28"/>
      <c r="XH4" s="28"/>
      <c r="XI4" s="28"/>
      <c r="XJ4" s="28"/>
      <c r="XK4" s="28"/>
      <c r="XL4" s="28"/>
      <c r="XM4" s="28"/>
      <c r="XN4" s="28"/>
      <c r="XO4" s="28"/>
      <c r="XP4" s="28"/>
      <c r="XQ4" s="28"/>
      <c r="XR4" s="28"/>
      <c r="XS4" s="28"/>
      <c r="XT4" s="28"/>
      <c r="XU4" s="28"/>
      <c r="XV4" s="28"/>
      <c r="XW4" s="28"/>
      <c r="XX4" s="28"/>
      <c r="XY4" s="28"/>
      <c r="XZ4" s="28"/>
      <c r="YA4" s="28"/>
      <c r="YB4" s="28"/>
      <c r="YC4" s="28"/>
      <c r="YD4" s="28"/>
      <c r="YE4" s="28"/>
      <c r="YF4" s="28"/>
      <c r="YG4" s="28"/>
      <c r="YH4" s="28"/>
      <c r="YI4" s="28"/>
      <c r="YJ4" s="28"/>
      <c r="YK4" s="28"/>
      <c r="YL4" s="28"/>
      <c r="YM4" s="28"/>
      <c r="YN4" s="28"/>
      <c r="YO4" s="28"/>
      <c r="YP4" s="28"/>
      <c r="YQ4" s="28"/>
      <c r="YR4" s="28"/>
      <c r="YS4" s="28"/>
      <c r="YT4" s="28"/>
      <c r="YU4" s="28"/>
      <c r="YV4" s="28"/>
      <c r="YW4" s="28"/>
      <c r="YX4" s="28"/>
      <c r="YY4" s="28"/>
      <c r="YZ4" s="28"/>
      <c r="ZA4" s="28"/>
      <c r="ZB4" s="28"/>
      <c r="ZC4" s="28"/>
      <c r="ZD4" s="28"/>
      <c r="ZE4" s="28"/>
      <c r="ZF4" s="28"/>
      <c r="ZG4" s="28"/>
      <c r="ZH4" s="28"/>
      <c r="ZI4" s="28"/>
      <c r="ZJ4" s="28"/>
      <c r="ZK4" s="28"/>
      <c r="ZL4" s="28"/>
      <c r="ZM4" s="28"/>
      <c r="ZN4" s="28"/>
      <c r="ZO4" s="28"/>
      <c r="ZP4" s="28"/>
      <c r="ZQ4" s="28"/>
      <c r="ZR4" s="28"/>
      <c r="ZS4" s="28"/>
      <c r="ZT4" s="28"/>
      <c r="ZU4" s="28"/>
      <c r="ZV4" s="28"/>
      <c r="ZW4" s="28"/>
      <c r="ZX4" s="28"/>
      <c r="ZY4" s="28"/>
      <c r="ZZ4" s="28"/>
      <c r="AAA4" s="28"/>
      <c r="AAB4" s="28"/>
      <c r="AAC4" s="28"/>
      <c r="AAD4" s="28"/>
      <c r="AAE4" s="28"/>
      <c r="AAF4" s="28"/>
      <c r="AAG4" s="28"/>
      <c r="AAH4" s="28"/>
      <c r="AAI4" s="28"/>
      <c r="AAJ4" s="28"/>
      <c r="AAK4" s="28"/>
      <c r="AAL4" s="28"/>
      <c r="AAM4" s="28"/>
      <c r="AAN4" s="28"/>
      <c r="AAO4" s="28"/>
      <c r="AAP4" s="28"/>
      <c r="AAQ4" s="28"/>
      <c r="AAR4" s="28"/>
      <c r="AAS4" s="28"/>
      <c r="AAT4" s="28"/>
      <c r="AAU4" s="28"/>
      <c r="AAV4" s="28"/>
      <c r="AAW4" s="28"/>
      <c r="AAX4" s="28"/>
      <c r="AAY4" s="28"/>
      <c r="AAZ4" s="28"/>
      <c r="ABA4" s="28"/>
      <c r="ABB4" s="28"/>
      <c r="ABC4" s="28"/>
      <c r="ABD4" s="28"/>
      <c r="ABE4" s="28"/>
      <c r="ABF4" s="28"/>
      <c r="ABG4" s="28"/>
      <c r="ABH4" s="28"/>
      <c r="ABI4" s="28"/>
      <c r="ABJ4" s="28"/>
      <c r="ABK4" s="28"/>
      <c r="ABL4" s="28"/>
      <c r="ABM4" s="28"/>
      <c r="ABN4" s="28"/>
      <c r="ABO4" s="28"/>
      <c r="ABP4" s="28"/>
      <c r="ABQ4" s="28"/>
      <c r="ABR4" s="28"/>
      <c r="ABS4" s="28"/>
      <c r="ABT4" s="28"/>
      <c r="ABU4" s="28"/>
      <c r="ABV4" s="28"/>
      <c r="ABW4" s="28"/>
      <c r="ABX4" s="28"/>
      <c r="ABY4" s="28"/>
      <c r="ABZ4" s="28"/>
      <c r="ACA4" s="28"/>
      <c r="ACB4" s="28"/>
      <c r="ACC4" s="28"/>
      <c r="ACD4" s="28"/>
      <c r="ACE4" s="28"/>
      <c r="ACF4" s="28"/>
      <c r="ACG4" s="28"/>
      <c r="ACH4" s="28"/>
      <c r="ACI4" s="28"/>
      <c r="ACJ4" s="28"/>
      <c r="ACK4" s="28"/>
      <c r="ACL4" s="28"/>
      <c r="ACM4" s="28"/>
      <c r="ACN4" s="28"/>
      <c r="ACO4" s="28"/>
      <c r="ACP4" s="28"/>
      <c r="ACQ4" s="28"/>
      <c r="ACR4" s="28"/>
      <c r="ACS4" s="28"/>
      <c r="ACT4" s="28"/>
      <c r="ACU4" s="28"/>
      <c r="ACV4" s="28"/>
      <c r="ACW4" s="28"/>
      <c r="ACX4" s="28"/>
      <c r="ACY4" s="28"/>
      <c r="ACZ4" s="28"/>
      <c r="ADA4" s="28"/>
      <c r="ADB4" s="28"/>
      <c r="ADC4" s="28"/>
      <c r="ADD4" s="28"/>
      <c r="ADE4" s="28"/>
      <c r="ADF4" s="28"/>
      <c r="ADG4" s="28"/>
      <c r="ADH4" s="28"/>
      <c r="ADI4" s="28"/>
      <c r="ADJ4" s="28"/>
      <c r="ADK4" s="28"/>
      <c r="ADL4" s="28"/>
      <c r="ADM4" s="28"/>
      <c r="ADN4" s="28"/>
      <c r="ADO4" s="28"/>
      <c r="ADP4" s="28"/>
      <c r="ADQ4" s="28"/>
      <c r="ADR4" s="28"/>
      <c r="ADS4" s="28"/>
      <c r="ADT4" s="28"/>
      <c r="ADU4" s="28"/>
      <c r="ADV4" s="28"/>
      <c r="ADW4" s="28"/>
      <c r="ADX4" s="28"/>
      <c r="ADY4" s="28"/>
      <c r="ADZ4" s="28"/>
      <c r="AEA4" s="28"/>
      <c r="AEB4" s="28"/>
      <c r="AEC4" s="28"/>
      <c r="AED4" s="28"/>
      <c r="AEE4" s="28"/>
      <c r="AEF4" s="28"/>
      <c r="AEG4" s="28"/>
      <c r="AEH4" s="28"/>
      <c r="AEI4" s="28"/>
      <c r="AEJ4" s="28"/>
      <c r="AEK4" s="28"/>
      <c r="AEL4" s="28"/>
      <c r="AEM4" s="28"/>
      <c r="AEN4" s="28"/>
      <c r="AEO4" s="28"/>
      <c r="AEP4" s="28"/>
      <c r="AEQ4" s="28"/>
      <c r="AER4" s="28"/>
      <c r="AES4" s="28"/>
      <c r="AET4" s="28"/>
      <c r="AEU4" s="28"/>
      <c r="AEV4" s="28"/>
      <c r="AEW4" s="28"/>
      <c r="AEX4" s="28"/>
      <c r="AEY4" s="28"/>
      <c r="AEZ4" s="28"/>
      <c r="AFA4" s="28"/>
      <c r="AFB4" s="28"/>
      <c r="AFC4" s="28"/>
      <c r="AFD4" s="28"/>
      <c r="AFE4" s="28"/>
      <c r="AFF4" s="28"/>
      <c r="AFG4" s="28"/>
      <c r="AFH4" s="28"/>
      <c r="AFI4" s="28"/>
      <c r="AFJ4" s="28"/>
      <c r="AFK4" s="28"/>
      <c r="AFL4" s="28"/>
      <c r="AFM4" s="28"/>
      <c r="AFN4" s="28"/>
      <c r="AFO4" s="28"/>
      <c r="AFP4" s="28"/>
      <c r="AFQ4" s="28"/>
      <c r="AFR4" s="28"/>
      <c r="AFS4" s="28"/>
      <c r="AFT4" s="28"/>
      <c r="AFU4" s="28"/>
      <c r="AFV4" s="28"/>
      <c r="AFW4" s="28"/>
      <c r="AFX4" s="28"/>
      <c r="AFY4" s="28"/>
      <c r="AFZ4" s="28"/>
      <c r="AGA4" s="28"/>
      <c r="AGB4" s="28"/>
      <c r="AGC4" s="28"/>
      <c r="AGD4" s="28"/>
      <c r="AGE4" s="28"/>
      <c r="AGF4" s="28"/>
      <c r="AGG4" s="28"/>
      <c r="AGH4" s="28"/>
      <c r="AGI4" s="28"/>
      <c r="AGJ4" s="28"/>
      <c r="AGK4" s="28"/>
      <c r="AGL4" s="28"/>
      <c r="AGM4" s="28"/>
      <c r="AGN4" s="28"/>
      <c r="AGO4" s="28"/>
      <c r="AGP4" s="28"/>
      <c r="AGQ4" s="28"/>
      <c r="AGR4" s="28"/>
      <c r="AGS4" s="28"/>
      <c r="AGT4" s="28"/>
      <c r="AGU4" s="28"/>
      <c r="AGV4" s="28"/>
      <c r="AGW4" s="28"/>
      <c r="AGX4" s="28"/>
      <c r="AGY4" s="28"/>
      <c r="AGZ4" s="28"/>
      <c r="AHA4" s="28"/>
      <c r="AHB4" s="28"/>
      <c r="AHC4" s="28"/>
      <c r="AHD4" s="28"/>
      <c r="AHE4" s="28"/>
      <c r="AHF4" s="28"/>
      <c r="AHG4" s="28"/>
      <c r="AHH4" s="28"/>
      <c r="AHI4" s="28"/>
      <c r="AHJ4" s="28"/>
      <c r="AHK4" s="28"/>
      <c r="AHL4" s="28"/>
      <c r="AHM4" s="28"/>
      <c r="AHN4" s="28"/>
      <c r="AHO4" s="28"/>
      <c r="AHP4" s="28"/>
      <c r="AHQ4" s="28"/>
      <c r="AHR4" s="28"/>
      <c r="AHS4" s="28"/>
      <c r="AHT4" s="28"/>
      <c r="AHU4" s="28"/>
      <c r="AHV4" s="28"/>
      <c r="AHW4" s="28"/>
      <c r="AHX4" s="28"/>
      <c r="AHY4" s="28"/>
      <c r="AHZ4" s="28"/>
      <c r="AIA4" s="28"/>
      <c r="AIB4" s="28"/>
      <c r="AIC4" s="28"/>
      <c r="AID4" s="28"/>
      <c r="AIE4" s="28"/>
      <c r="AIF4" s="28"/>
      <c r="AIG4" s="28"/>
      <c r="AIH4" s="28"/>
      <c r="AII4" s="28"/>
      <c r="AIJ4" s="28"/>
      <c r="AIK4" s="28"/>
      <c r="AIL4" s="28"/>
      <c r="AIM4" s="28"/>
      <c r="AIN4" s="28"/>
      <c r="AIO4" s="28"/>
      <c r="AIP4" s="28"/>
      <c r="AIQ4" s="28"/>
      <c r="AIR4" s="28"/>
      <c r="AIS4" s="28"/>
      <c r="AIT4" s="28"/>
      <c r="AIU4" s="28"/>
      <c r="AIV4" s="28"/>
      <c r="AIW4" s="28"/>
      <c r="AIX4" s="28"/>
      <c r="AIY4" s="28"/>
      <c r="AIZ4" s="28"/>
      <c r="AJA4" s="28"/>
      <c r="AJB4" s="28"/>
      <c r="AJC4" s="28"/>
      <c r="AJD4" s="28"/>
      <c r="AJE4" s="28"/>
      <c r="AJF4" s="28"/>
      <c r="AJG4" s="28"/>
      <c r="AJH4" s="28"/>
      <c r="AJI4" s="28"/>
      <c r="AJJ4" s="28"/>
      <c r="AJK4" s="28"/>
      <c r="AJL4" s="28"/>
      <c r="AJM4" s="28"/>
      <c r="AJN4" s="28"/>
      <c r="AJO4" s="28"/>
      <c r="AJP4" s="28"/>
      <c r="AJQ4" s="28"/>
      <c r="AJR4" s="28"/>
      <c r="AJS4" s="28"/>
      <c r="AJT4" s="28"/>
      <c r="AJU4" s="28"/>
      <c r="AJV4" s="28"/>
      <c r="AJW4" s="28"/>
      <c r="AJX4" s="28"/>
      <c r="AJY4" s="28"/>
      <c r="AJZ4" s="28"/>
      <c r="AKA4" s="28"/>
      <c r="AKB4" s="28"/>
      <c r="AKC4" s="28"/>
      <c r="AKD4" s="28"/>
      <c r="AKE4" s="28"/>
      <c r="AKF4" s="28"/>
      <c r="AKG4" s="28"/>
      <c r="AKH4" s="28"/>
      <c r="AKI4" s="28"/>
      <c r="AKJ4" s="28"/>
      <c r="AKK4" s="28"/>
      <c r="AKL4" s="28"/>
      <c r="AKM4" s="28"/>
      <c r="AKN4" s="28"/>
      <c r="AKO4" s="28"/>
      <c r="AKP4" s="28"/>
      <c r="AKQ4" s="28"/>
      <c r="AKR4" s="28"/>
      <c r="AKS4" s="28"/>
      <c r="AKT4" s="28"/>
      <c r="AKU4" s="28"/>
      <c r="AKV4" s="28"/>
      <c r="AKW4" s="28"/>
      <c r="AKX4" s="28"/>
      <c r="AKY4" s="28"/>
      <c r="AKZ4" s="28"/>
      <c r="ALA4" s="28"/>
      <c r="ALB4" s="28"/>
      <c r="ALC4" s="28"/>
      <c r="ALD4" s="28"/>
      <c r="ALE4" s="28"/>
      <c r="ALF4" s="28"/>
      <c r="ALG4" s="28"/>
      <c r="ALH4" s="28"/>
      <c r="ALI4" s="28"/>
      <c r="ALJ4" s="28"/>
      <c r="ALK4" s="28"/>
      <c r="ALL4" s="28"/>
      <c r="ALM4" s="28"/>
      <c r="ALN4" s="28"/>
      <c r="ALO4" s="28"/>
      <c r="ALP4" s="28"/>
      <c r="ALQ4" s="28"/>
      <c r="ALR4" s="28"/>
      <c r="ALS4" s="28"/>
      <c r="ALT4" s="28"/>
      <c r="ALU4" s="28"/>
      <c r="ALV4" s="28"/>
      <c r="ALW4" s="28"/>
      <c r="ALX4" s="28"/>
      <c r="ALY4" s="28"/>
      <c r="ALZ4" s="28"/>
      <c r="AMA4" s="28"/>
      <c r="AMB4" s="28"/>
      <c r="AMC4" s="28"/>
      <c r="AMD4" s="28"/>
      <c r="AME4" s="28"/>
      <c r="AMF4" s="28"/>
      <c r="AMG4" s="28"/>
      <c r="AMH4" s="28"/>
      <c r="AMI4" s="28"/>
      <c r="AMJ4" s="28"/>
      <c r="AMK4" s="28"/>
      <c r="AML4" s="28"/>
      <c r="AMM4" s="28"/>
      <c r="AMN4" s="28"/>
      <c r="AMO4" s="28"/>
      <c r="AMP4" s="28"/>
      <c r="AMQ4" s="28"/>
      <c r="AMR4" s="28"/>
      <c r="AMS4" s="28"/>
      <c r="AMT4" s="28"/>
      <c r="AMU4" s="28"/>
      <c r="AMV4" s="28"/>
      <c r="AMW4" s="28"/>
      <c r="AMX4" s="28"/>
      <c r="AMY4" s="28"/>
      <c r="AMZ4" s="28"/>
      <c r="ANA4" s="28"/>
      <c r="ANB4" s="28"/>
      <c r="ANC4" s="28"/>
      <c r="AND4" s="28"/>
      <c r="ANE4" s="28"/>
      <c r="ANF4" s="28"/>
      <c r="ANG4" s="28"/>
      <c r="ANH4" s="28"/>
      <c r="ANI4" s="28"/>
      <c r="ANJ4" s="28"/>
      <c r="ANK4" s="28"/>
      <c r="ANL4" s="28"/>
      <c r="ANM4" s="28"/>
      <c r="ANN4" s="28"/>
      <c r="ANO4" s="28"/>
      <c r="ANP4" s="28"/>
      <c r="ANQ4" s="28"/>
      <c r="ANR4" s="28"/>
      <c r="ANS4" s="28"/>
      <c r="ANT4" s="28"/>
      <c r="ANU4" s="28"/>
      <c r="ANV4" s="28"/>
      <c r="ANW4" s="28"/>
      <c r="ANX4" s="28"/>
      <c r="ANY4" s="28"/>
      <c r="ANZ4" s="28"/>
      <c r="AOA4" s="28"/>
      <c r="AOB4" s="28"/>
      <c r="AOC4" s="28"/>
      <c r="AOD4" s="28"/>
      <c r="AOE4" s="28"/>
      <c r="AOF4" s="28"/>
      <c r="AOG4" s="28"/>
      <c r="AOH4" s="28"/>
      <c r="AOI4" s="28"/>
      <c r="AOJ4" s="28"/>
      <c r="AOK4" s="28"/>
      <c r="AOL4" s="28"/>
      <c r="AOM4" s="28"/>
      <c r="AON4" s="28"/>
      <c r="AOO4" s="28"/>
      <c r="AOP4" s="28"/>
      <c r="AOQ4" s="28"/>
      <c r="AOR4" s="28"/>
      <c r="AOS4" s="28"/>
      <c r="AOT4" s="28"/>
      <c r="AOU4" s="28"/>
      <c r="AOV4" s="28"/>
      <c r="AOW4" s="28"/>
      <c r="AOX4" s="28"/>
      <c r="AOY4" s="28"/>
      <c r="AOZ4" s="28"/>
      <c r="APA4" s="28"/>
      <c r="APB4" s="28"/>
      <c r="APC4" s="28"/>
      <c r="APD4" s="28"/>
      <c r="APE4" s="28"/>
      <c r="APF4" s="28"/>
      <c r="APG4" s="28"/>
      <c r="APH4" s="28"/>
      <c r="API4" s="28"/>
      <c r="APJ4" s="28"/>
      <c r="APK4" s="28"/>
      <c r="APL4" s="28"/>
      <c r="APM4" s="28"/>
      <c r="APN4" s="28"/>
      <c r="APO4" s="28"/>
      <c r="APP4" s="28"/>
      <c r="APQ4" s="28"/>
      <c r="APR4" s="28"/>
      <c r="APS4" s="28"/>
      <c r="APT4" s="28"/>
      <c r="APU4" s="28"/>
      <c r="APV4" s="28"/>
      <c r="APW4" s="28"/>
      <c r="APX4" s="28"/>
      <c r="APY4" s="28"/>
      <c r="APZ4" s="28"/>
      <c r="AQA4" s="28"/>
      <c r="AQB4" s="28"/>
      <c r="AQC4" s="28"/>
      <c r="AQD4" s="28"/>
      <c r="AQE4" s="28"/>
      <c r="AQF4" s="28"/>
      <c r="AQG4" s="28"/>
      <c r="AQH4" s="28"/>
      <c r="AQI4" s="28"/>
      <c r="AQJ4" s="28"/>
      <c r="AQK4" s="28"/>
      <c r="AQL4" s="28"/>
      <c r="AQM4" s="28"/>
      <c r="AQN4" s="28"/>
      <c r="AQO4" s="28"/>
      <c r="AQP4" s="28"/>
      <c r="AQQ4" s="28"/>
      <c r="AQR4" s="28"/>
      <c r="AQS4" s="28"/>
      <c r="AQT4" s="28"/>
      <c r="AQU4" s="28"/>
      <c r="AQV4" s="28"/>
      <c r="AQW4" s="28"/>
      <c r="AQX4" s="28"/>
      <c r="AQY4" s="28"/>
      <c r="AQZ4" s="28"/>
      <c r="ARA4" s="28"/>
      <c r="ARB4" s="28"/>
      <c r="ARC4" s="28"/>
      <c r="ARD4" s="28"/>
      <c r="ARE4" s="28"/>
      <c r="ARF4" s="28"/>
      <c r="ARG4" s="28"/>
      <c r="ARH4" s="28"/>
      <c r="ARI4" s="28"/>
      <c r="ARJ4" s="28"/>
      <c r="ARK4" s="28"/>
      <c r="ARL4" s="28"/>
      <c r="ARM4" s="28"/>
      <c r="ARN4" s="28"/>
      <c r="ARO4" s="28"/>
      <c r="ARP4" s="28"/>
      <c r="ARQ4" s="28"/>
      <c r="ARR4" s="28"/>
      <c r="ARS4" s="28"/>
      <c r="ART4" s="28"/>
      <c r="ARU4" s="28"/>
      <c r="ARV4" s="28"/>
      <c r="ARW4" s="28"/>
      <c r="ARX4" s="28"/>
      <c r="ARY4" s="28"/>
      <c r="ARZ4" s="28"/>
      <c r="ASA4" s="28"/>
      <c r="ASB4" s="28"/>
      <c r="ASC4" s="28"/>
      <c r="ASD4" s="28"/>
      <c r="ASE4" s="28"/>
      <c r="ASF4" s="28"/>
      <c r="ASG4" s="28"/>
      <c r="ASH4" s="28"/>
      <c r="ASI4" s="28"/>
      <c r="ASJ4" s="28"/>
      <c r="ASK4" s="28"/>
      <c r="ASL4" s="28"/>
      <c r="ASM4" s="28"/>
      <c r="ASN4" s="28"/>
      <c r="ASO4" s="28"/>
      <c r="ASP4" s="28"/>
      <c r="ASQ4" s="28"/>
      <c r="ASR4" s="28"/>
      <c r="ASS4" s="28"/>
      <c r="AST4" s="28"/>
      <c r="ASU4" s="28"/>
      <c r="ASV4" s="28"/>
      <c r="ASW4" s="28"/>
      <c r="ASX4" s="28"/>
      <c r="ASY4" s="28"/>
      <c r="ASZ4" s="28"/>
      <c r="ATA4" s="28"/>
      <c r="ATB4" s="28"/>
      <c r="ATC4" s="28"/>
      <c r="ATD4" s="28"/>
      <c r="ATE4" s="28"/>
      <c r="ATF4" s="28"/>
      <c r="ATG4" s="28"/>
      <c r="ATH4" s="28"/>
      <c r="ATI4" s="28"/>
      <c r="ATJ4" s="28"/>
      <c r="ATK4" s="28"/>
      <c r="ATL4" s="28"/>
      <c r="ATM4" s="28"/>
      <c r="ATN4" s="28"/>
      <c r="ATO4" s="28"/>
      <c r="ATP4" s="28"/>
      <c r="ATQ4" s="28"/>
      <c r="ATR4" s="28"/>
      <c r="ATS4" s="28"/>
      <c r="ATT4" s="28"/>
      <c r="ATU4" s="28"/>
      <c r="ATV4" s="28"/>
      <c r="ATW4" s="28"/>
      <c r="ATX4" s="28"/>
      <c r="ATY4" s="28"/>
      <c r="ATZ4" s="28"/>
      <c r="AUA4" s="28"/>
      <c r="AUB4" s="28"/>
      <c r="AUC4" s="28"/>
      <c r="AUD4" s="28"/>
      <c r="AUE4" s="28"/>
      <c r="AUF4" s="28"/>
      <c r="AUG4" s="28"/>
      <c r="AUH4" s="28"/>
      <c r="AUI4" s="28"/>
      <c r="AUJ4" s="28"/>
      <c r="AUK4" s="28"/>
      <c r="AUL4" s="28"/>
      <c r="AUM4" s="28"/>
      <c r="AUN4" s="28"/>
      <c r="AUO4" s="28"/>
      <c r="AUP4" s="28"/>
      <c r="AUQ4" s="28"/>
      <c r="AUR4" s="28"/>
      <c r="AUS4" s="28"/>
      <c r="AUT4" s="28"/>
      <c r="AUU4" s="28"/>
      <c r="AUV4" s="28"/>
      <c r="AUW4" s="28"/>
      <c r="AUX4" s="28"/>
      <c r="AUY4" s="28"/>
      <c r="AUZ4" s="28"/>
      <c r="AVA4" s="28"/>
      <c r="AVB4" s="28"/>
      <c r="AVC4" s="28"/>
      <c r="AVD4" s="28"/>
      <c r="AVE4" s="28"/>
      <c r="AVF4" s="28"/>
      <c r="AVG4" s="28"/>
      <c r="AVH4" s="28"/>
      <c r="AVI4" s="28"/>
      <c r="AVJ4" s="28"/>
      <c r="AVK4" s="28"/>
      <c r="AVL4" s="28"/>
      <c r="AVM4" s="28"/>
      <c r="AVN4" s="28"/>
      <c r="AVO4" s="28"/>
      <c r="AVP4" s="28"/>
      <c r="AVQ4" s="28"/>
      <c r="AVR4" s="28"/>
      <c r="AVS4" s="28"/>
      <c r="AVT4" s="28"/>
      <c r="AVU4" s="28"/>
      <c r="AVV4" s="28"/>
      <c r="AVW4" s="28"/>
      <c r="AVX4" s="28"/>
      <c r="AVY4" s="28"/>
      <c r="AVZ4" s="28"/>
      <c r="AWA4" s="28"/>
      <c r="AWB4" s="28"/>
      <c r="AWC4" s="28"/>
      <c r="AWD4" s="28"/>
      <c r="AWE4" s="28"/>
      <c r="AWF4" s="28"/>
      <c r="AWG4" s="28"/>
      <c r="AWH4" s="28"/>
      <c r="AWI4" s="28"/>
      <c r="AWJ4" s="28"/>
      <c r="AWK4" s="28"/>
      <c r="AWL4" s="28"/>
      <c r="AWM4" s="28"/>
      <c r="AWN4" s="28"/>
      <c r="AWO4" s="28"/>
      <c r="AWP4" s="28"/>
      <c r="AWQ4" s="28"/>
      <c r="AWR4" s="28"/>
      <c r="AWS4" s="28"/>
      <c r="AWT4" s="28"/>
      <c r="AWU4" s="28"/>
      <c r="AWV4" s="28"/>
      <c r="AWW4" s="28"/>
      <c r="AWX4" s="28"/>
      <c r="AWY4" s="28"/>
      <c r="AWZ4" s="28"/>
      <c r="AXA4" s="28"/>
      <c r="AXB4" s="28"/>
      <c r="AXC4" s="28"/>
      <c r="AXD4" s="28"/>
      <c r="AXE4" s="28"/>
      <c r="AXF4" s="28"/>
      <c r="AXG4" s="28"/>
      <c r="AXH4" s="28"/>
      <c r="AXI4" s="28"/>
      <c r="AXJ4" s="28"/>
      <c r="AXK4" s="28"/>
      <c r="AXL4" s="28"/>
      <c r="AXM4" s="28"/>
      <c r="AXN4" s="28"/>
      <c r="AXO4" s="28"/>
      <c r="AXP4" s="28"/>
      <c r="AXQ4" s="28"/>
      <c r="AXR4" s="28"/>
      <c r="AXS4" s="28"/>
      <c r="AXT4" s="28"/>
      <c r="AXU4" s="28"/>
      <c r="AXV4" s="28"/>
      <c r="AXW4" s="28"/>
      <c r="AXX4" s="28"/>
      <c r="AXY4" s="28"/>
      <c r="AXZ4" s="28"/>
      <c r="AYA4" s="28"/>
      <c r="AYB4" s="28"/>
      <c r="AYC4" s="28"/>
      <c r="AYD4" s="28"/>
      <c r="AYE4" s="28"/>
      <c r="AYF4" s="28"/>
      <c r="AYG4" s="28"/>
      <c r="AYH4" s="28"/>
      <c r="AYI4" s="28"/>
      <c r="AYJ4" s="28"/>
      <c r="AYK4" s="28"/>
      <c r="AYL4" s="28"/>
      <c r="AYM4" s="28"/>
      <c r="AYN4" s="28"/>
      <c r="AYO4" s="28"/>
      <c r="AYP4" s="28"/>
      <c r="AYQ4" s="28"/>
      <c r="AYR4" s="28"/>
      <c r="AYS4" s="28"/>
      <c r="AYT4" s="28"/>
      <c r="AYU4" s="28"/>
      <c r="AYV4" s="28"/>
      <c r="AYW4" s="28"/>
      <c r="AYX4" s="28"/>
      <c r="AYY4" s="28"/>
      <c r="AYZ4" s="28"/>
      <c r="AZA4" s="28"/>
      <c r="AZB4" s="28"/>
      <c r="AZC4" s="28"/>
      <c r="AZD4" s="28"/>
      <c r="AZE4" s="28"/>
      <c r="AZF4" s="28"/>
      <c r="AZG4" s="28"/>
      <c r="AZH4" s="28"/>
      <c r="AZI4" s="28"/>
      <c r="AZJ4" s="28"/>
      <c r="AZK4" s="28"/>
      <c r="AZL4" s="28"/>
      <c r="AZM4" s="28"/>
      <c r="AZN4" s="28"/>
      <c r="AZO4" s="28"/>
      <c r="AZP4" s="28"/>
      <c r="AZQ4" s="28"/>
      <c r="AZR4" s="28"/>
      <c r="AZS4" s="28"/>
      <c r="AZT4" s="28"/>
      <c r="AZU4" s="28"/>
      <c r="AZV4" s="28"/>
      <c r="AZW4" s="28"/>
      <c r="AZX4" s="28"/>
      <c r="AZY4" s="28"/>
      <c r="AZZ4" s="28"/>
      <c r="BAA4" s="28"/>
      <c r="BAB4" s="28"/>
      <c r="BAC4" s="28"/>
      <c r="BAD4" s="28"/>
      <c r="BAE4" s="28"/>
      <c r="BAF4" s="28"/>
      <c r="BAG4" s="28"/>
      <c r="BAH4" s="28"/>
      <c r="BAI4" s="28"/>
      <c r="BAJ4" s="28"/>
      <c r="BAK4" s="28"/>
      <c r="BAL4" s="28"/>
      <c r="BAM4" s="28"/>
      <c r="BAN4" s="28"/>
      <c r="BAO4" s="28"/>
      <c r="BAP4" s="28"/>
      <c r="BAQ4" s="28"/>
      <c r="BAR4" s="28"/>
      <c r="BAS4" s="28"/>
      <c r="BAT4" s="28"/>
      <c r="BAU4" s="28"/>
      <c r="BAV4" s="28"/>
      <c r="BAW4" s="28"/>
      <c r="BAX4" s="28"/>
      <c r="BAY4" s="28"/>
      <c r="BAZ4" s="28"/>
      <c r="BBA4" s="28"/>
      <c r="BBB4" s="28"/>
      <c r="BBC4" s="28"/>
      <c r="BBD4" s="28"/>
      <c r="BBE4" s="28"/>
      <c r="BBF4" s="28"/>
      <c r="BBG4" s="28"/>
      <c r="BBH4" s="28"/>
      <c r="BBI4" s="28"/>
      <c r="BBJ4" s="28"/>
      <c r="BBK4" s="28"/>
      <c r="BBL4" s="28"/>
      <c r="BBM4" s="28"/>
      <c r="BBN4" s="28"/>
      <c r="BBO4" s="28"/>
      <c r="BBP4" s="28"/>
      <c r="BBQ4" s="28"/>
      <c r="BBR4" s="28"/>
      <c r="BBS4" s="28"/>
      <c r="BBT4" s="28"/>
      <c r="BBU4" s="28"/>
      <c r="BBV4" s="28"/>
      <c r="BBW4" s="28"/>
      <c r="BBX4" s="28"/>
      <c r="BBY4" s="28"/>
      <c r="BBZ4" s="28"/>
      <c r="BCA4" s="28"/>
      <c r="BCB4" s="28"/>
      <c r="BCC4" s="28"/>
      <c r="BCD4" s="28"/>
      <c r="BCE4" s="28"/>
      <c r="BCF4" s="28"/>
      <c r="BCG4" s="28"/>
      <c r="BCH4" s="28"/>
      <c r="BCI4" s="28"/>
      <c r="BCJ4" s="28"/>
      <c r="BCK4" s="28"/>
      <c r="BCL4" s="28"/>
      <c r="BCM4" s="28"/>
      <c r="BCN4" s="28"/>
      <c r="BCO4" s="28"/>
      <c r="BCP4" s="28"/>
      <c r="BCQ4" s="28"/>
      <c r="BCR4" s="28"/>
      <c r="BCS4" s="28"/>
      <c r="BCT4" s="28"/>
      <c r="BCU4" s="28"/>
      <c r="BCV4" s="28"/>
      <c r="BCW4" s="28"/>
      <c r="BCX4" s="28"/>
      <c r="BCY4" s="28"/>
      <c r="BCZ4" s="28"/>
      <c r="BDA4" s="28"/>
      <c r="BDB4" s="28"/>
      <c r="BDC4" s="28"/>
      <c r="BDD4" s="28"/>
      <c r="BDE4" s="28"/>
      <c r="BDF4" s="28"/>
      <c r="BDG4" s="28"/>
      <c r="BDH4" s="28"/>
      <c r="BDI4" s="28"/>
      <c r="BDJ4" s="28"/>
      <c r="BDK4" s="28"/>
      <c r="BDL4" s="28"/>
      <c r="BDM4" s="28"/>
      <c r="BDN4" s="28"/>
      <c r="BDO4" s="28"/>
      <c r="BDP4" s="28"/>
      <c r="BDQ4" s="28"/>
      <c r="BDR4" s="28"/>
      <c r="BDS4" s="28"/>
      <c r="BDT4" s="28"/>
      <c r="BDU4" s="28"/>
      <c r="BDV4" s="28"/>
      <c r="BDW4" s="28"/>
      <c r="BDX4" s="28"/>
      <c r="BDY4" s="28"/>
      <c r="BDZ4" s="28"/>
      <c r="BEA4" s="28"/>
      <c r="BEB4" s="28"/>
      <c r="BEC4" s="28"/>
      <c r="BED4" s="28"/>
      <c r="BEE4" s="28"/>
      <c r="BEF4" s="28"/>
      <c r="BEG4" s="28"/>
      <c r="BEH4" s="28"/>
      <c r="BEI4" s="28"/>
      <c r="BEJ4" s="28"/>
      <c r="BEK4" s="28"/>
      <c r="BEL4" s="28"/>
      <c r="BEM4" s="28"/>
      <c r="BEN4" s="28"/>
      <c r="BEO4" s="28"/>
      <c r="BEP4" s="28"/>
      <c r="BEQ4" s="28"/>
      <c r="BER4" s="28"/>
      <c r="BES4" s="28"/>
      <c r="BET4" s="28"/>
      <c r="BEU4" s="28"/>
      <c r="BEV4" s="28"/>
      <c r="BEW4" s="28"/>
      <c r="BEX4" s="28"/>
      <c r="BEY4" s="28"/>
      <c r="BEZ4" s="28"/>
      <c r="BFA4" s="28"/>
      <c r="BFB4" s="28"/>
      <c r="BFC4" s="28"/>
      <c r="BFD4" s="28"/>
      <c r="BFE4" s="28"/>
      <c r="BFF4" s="28"/>
      <c r="BFG4" s="28"/>
      <c r="BFH4" s="28"/>
      <c r="BFI4" s="28"/>
      <c r="BFJ4" s="28"/>
      <c r="BFK4" s="28"/>
      <c r="BFL4" s="28"/>
      <c r="BFM4" s="28"/>
      <c r="BFN4" s="28"/>
      <c r="BFO4" s="28"/>
      <c r="BFP4" s="28"/>
      <c r="BFQ4" s="28"/>
      <c r="BFR4" s="28"/>
      <c r="BFS4" s="28"/>
      <c r="BFT4" s="28"/>
      <c r="BFU4" s="28"/>
      <c r="BFV4" s="28"/>
      <c r="BFW4" s="28"/>
      <c r="BFX4" s="28"/>
      <c r="BFY4" s="28"/>
      <c r="BFZ4" s="28"/>
      <c r="BGA4" s="28"/>
      <c r="BGB4" s="28"/>
      <c r="BGC4" s="28"/>
      <c r="BGD4" s="28"/>
      <c r="BGE4" s="28"/>
      <c r="BGF4" s="28"/>
      <c r="BGG4" s="28"/>
      <c r="BGH4" s="28"/>
      <c r="BGI4" s="28"/>
      <c r="BGJ4" s="28"/>
      <c r="BGK4" s="28"/>
      <c r="BGL4" s="28"/>
      <c r="BGM4" s="28"/>
      <c r="BGN4" s="28"/>
      <c r="BGO4" s="28"/>
      <c r="BGP4" s="28"/>
      <c r="BGQ4" s="28"/>
      <c r="BGR4" s="28"/>
      <c r="BGS4" s="28"/>
      <c r="BGT4" s="28"/>
      <c r="BGU4" s="28"/>
      <c r="BGV4" s="28"/>
      <c r="BGW4" s="28"/>
      <c r="BGX4" s="28"/>
      <c r="BGY4" s="28"/>
      <c r="BGZ4" s="28"/>
      <c r="BHA4" s="28"/>
      <c r="BHB4" s="28"/>
      <c r="BHC4" s="28"/>
      <c r="BHD4" s="28"/>
      <c r="BHE4" s="28"/>
      <c r="BHF4" s="28"/>
      <c r="BHG4" s="28"/>
      <c r="BHH4" s="28"/>
      <c r="BHI4" s="28"/>
      <c r="BHJ4" s="28"/>
      <c r="BHK4" s="28"/>
      <c r="BHL4" s="28"/>
      <c r="BHM4" s="28"/>
      <c r="BHN4" s="28"/>
      <c r="BHO4" s="28"/>
      <c r="BHP4" s="28"/>
      <c r="BHQ4" s="28"/>
      <c r="BHR4" s="28"/>
      <c r="BHS4" s="28"/>
      <c r="BHT4" s="28"/>
      <c r="BHU4" s="28"/>
      <c r="BHV4" s="28"/>
      <c r="BHW4" s="28"/>
      <c r="BHX4" s="28"/>
      <c r="BHY4" s="28"/>
      <c r="BHZ4" s="28"/>
      <c r="BIA4" s="28"/>
      <c r="BIB4" s="28"/>
      <c r="BIC4" s="28"/>
      <c r="BID4" s="28"/>
      <c r="BIE4" s="28"/>
      <c r="BIF4" s="28"/>
      <c r="BIG4" s="28"/>
      <c r="BIH4" s="28"/>
      <c r="BII4" s="28"/>
      <c r="BIJ4" s="28"/>
      <c r="BIK4" s="28"/>
      <c r="BIL4" s="28"/>
      <c r="BIM4" s="28"/>
      <c r="BIN4" s="28"/>
      <c r="BIO4" s="28"/>
      <c r="BIP4" s="28"/>
      <c r="BIQ4" s="28"/>
      <c r="BIR4" s="28"/>
      <c r="BIS4" s="28"/>
      <c r="BIT4" s="28"/>
      <c r="BIU4" s="28"/>
      <c r="BIV4" s="28"/>
      <c r="BIW4" s="28"/>
      <c r="BIX4" s="28"/>
      <c r="BIY4" s="28"/>
      <c r="BIZ4" s="28"/>
      <c r="BJA4" s="28"/>
      <c r="BJB4" s="28"/>
      <c r="BJC4" s="28"/>
      <c r="BJD4" s="28"/>
      <c r="BJE4" s="28"/>
      <c r="BJF4" s="28"/>
      <c r="BJG4" s="28"/>
      <c r="BJH4" s="28"/>
      <c r="BJI4" s="28"/>
      <c r="BJJ4" s="28"/>
      <c r="BJK4" s="28"/>
      <c r="BJL4" s="28"/>
      <c r="BJM4" s="28"/>
      <c r="BJN4" s="28"/>
      <c r="BJO4" s="28"/>
      <c r="BJP4" s="28"/>
      <c r="BJQ4" s="28"/>
      <c r="BJR4" s="28"/>
      <c r="BJS4" s="28"/>
      <c r="BJT4" s="28"/>
      <c r="BJU4" s="28"/>
      <c r="BJV4" s="28"/>
      <c r="BJW4" s="28"/>
      <c r="BJX4" s="28"/>
      <c r="BJY4" s="28"/>
      <c r="BJZ4" s="28"/>
      <c r="BKA4" s="28"/>
      <c r="BKB4" s="28"/>
      <c r="BKC4" s="28"/>
      <c r="BKD4" s="28"/>
      <c r="BKE4" s="28"/>
      <c r="BKF4" s="28"/>
      <c r="BKG4" s="28"/>
      <c r="BKH4" s="28"/>
      <c r="BKI4" s="28"/>
      <c r="BKJ4" s="28"/>
      <c r="BKK4" s="28"/>
      <c r="BKL4" s="28"/>
      <c r="BKM4" s="28"/>
      <c r="BKN4" s="28"/>
      <c r="BKO4" s="28"/>
      <c r="BKP4" s="28"/>
      <c r="BKQ4" s="28"/>
      <c r="BKR4" s="28"/>
      <c r="BKS4" s="28"/>
      <c r="BKT4" s="28"/>
      <c r="BKU4" s="28"/>
      <c r="BKV4" s="28"/>
      <c r="BKW4" s="28"/>
      <c r="BKX4" s="28"/>
      <c r="BKY4" s="28"/>
      <c r="BKZ4" s="28"/>
      <c r="BLA4" s="28"/>
      <c r="BLB4" s="28"/>
      <c r="BLC4" s="28"/>
      <c r="BLD4" s="28"/>
      <c r="BLE4" s="28"/>
      <c r="BLF4" s="28"/>
      <c r="BLG4" s="28"/>
      <c r="BLH4" s="28"/>
      <c r="BLI4" s="28"/>
      <c r="BLJ4" s="28"/>
      <c r="BLK4" s="28"/>
      <c r="BLL4" s="28"/>
      <c r="BLM4" s="28"/>
      <c r="BLN4" s="28"/>
      <c r="BLO4" s="28"/>
      <c r="BLP4" s="28"/>
      <c r="BLQ4" s="28"/>
      <c r="BLR4" s="28"/>
      <c r="BLS4" s="28"/>
      <c r="BLT4" s="28"/>
      <c r="BLU4" s="28"/>
      <c r="BLV4" s="28"/>
      <c r="BLW4" s="28"/>
      <c r="BLX4" s="28"/>
      <c r="BLY4" s="28"/>
      <c r="BLZ4" s="28"/>
      <c r="BMA4" s="28"/>
      <c r="BMB4" s="28"/>
      <c r="BMC4" s="28"/>
      <c r="BMD4" s="28"/>
      <c r="BME4" s="28"/>
      <c r="BMF4" s="28"/>
      <c r="BMG4" s="28"/>
      <c r="BMH4" s="28"/>
      <c r="BMI4" s="28"/>
      <c r="BMJ4" s="28"/>
      <c r="BMK4" s="28"/>
      <c r="BML4" s="28"/>
      <c r="BMM4" s="28"/>
      <c r="BMN4" s="28"/>
      <c r="BMO4" s="28"/>
      <c r="BMP4" s="28"/>
      <c r="BMQ4" s="28"/>
      <c r="BMR4" s="28"/>
      <c r="BMS4" s="28"/>
      <c r="BMT4" s="28"/>
      <c r="BMU4" s="28"/>
      <c r="BMV4" s="28"/>
      <c r="BMW4" s="28"/>
      <c r="BMX4" s="28"/>
      <c r="BMY4" s="28"/>
      <c r="BMZ4" s="28"/>
      <c r="BNA4" s="28"/>
      <c r="BNB4" s="28"/>
      <c r="BNC4" s="28"/>
      <c r="BND4" s="28"/>
      <c r="BNE4" s="28"/>
      <c r="BNF4" s="28"/>
      <c r="BNG4" s="28"/>
      <c r="BNH4" s="28"/>
      <c r="BNI4" s="28"/>
      <c r="BNJ4" s="28"/>
      <c r="BNK4" s="28"/>
      <c r="BNL4" s="28"/>
      <c r="BNM4" s="28"/>
      <c r="BNN4" s="28"/>
      <c r="BNO4" s="28"/>
      <c r="BNP4" s="28"/>
      <c r="BNQ4" s="28"/>
      <c r="BNR4" s="28"/>
      <c r="BNS4" s="28"/>
      <c r="BNT4" s="28"/>
      <c r="BNU4" s="28"/>
      <c r="BNV4" s="28"/>
      <c r="BNW4" s="28"/>
      <c r="BNX4" s="28"/>
      <c r="BNY4" s="28"/>
      <c r="BNZ4" s="28"/>
      <c r="BOA4" s="28"/>
      <c r="BOB4" s="28"/>
      <c r="BOC4" s="28"/>
      <c r="BOD4" s="28"/>
      <c r="BOE4" s="28"/>
      <c r="BOF4" s="28"/>
      <c r="BOG4" s="28"/>
      <c r="BOH4" s="28"/>
      <c r="BOI4" s="28"/>
      <c r="BOJ4" s="28"/>
      <c r="BOK4" s="28"/>
      <c r="BOL4" s="28"/>
      <c r="BOM4" s="28"/>
      <c r="BON4" s="28"/>
      <c r="BOO4" s="28"/>
      <c r="BOP4" s="28"/>
      <c r="BOQ4" s="28"/>
      <c r="BOR4" s="28"/>
      <c r="BOS4" s="28"/>
      <c r="BOT4" s="28"/>
      <c r="BOU4" s="28"/>
      <c r="BOV4" s="28"/>
      <c r="BOW4" s="28"/>
      <c r="BOX4" s="28"/>
      <c r="BOY4" s="28"/>
      <c r="BOZ4" s="28"/>
      <c r="BPA4" s="28"/>
      <c r="BPB4" s="28"/>
      <c r="BPC4" s="28"/>
      <c r="BPD4" s="28"/>
      <c r="BPE4" s="28"/>
      <c r="BPF4" s="28"/>
      <c r="BPG4" s="28"/>
      <c r="BPH4" s="28"/>
      <c r="BPI4" s="28"/>
      <c r="BPJ4" s="28"/>
      <c r="BPK4" s="28"/>
      <c r="BPL4" s="28"/>
      <c r="BPM4" s="28"/>
      <c r="BPN4" s="28"/>
      <c r="BPO4" s="28"/>
      <c r="BPP4" s="28"/>
      <c r="BPQ4" s="28"/>
      <c r="BPR4" s="28"/>
      <c r="BPS4" s="28"/>
      <c r="BPT4" s="28"/>
      <c r="BPU4" s="28"/>
      <c r="BPV4" s="28"/>
      <c r="BPW4" s="28"/>
      <c r="BPX4" s="28"/>
      <c r="BPY4" s="28"/>
      <c r="BPZ4" s="28"/>
      <c r="BQA4" s="28"/>
      <c r="BQB4" s="28"/>
      <c r="BQC4" s="28"/>
      <c r="BQD4" s="28"/>
      <c r="BQE4" s="28"/>
      <c r="BQF4" s="28"/>
      <c r="BQG4" s="28"/>
      <c r="BQH4" s="28"/>
      <c r="BQI4" s="28"/>
      <c r="BQJ4" s="28"/>
      <c r="BQK4" s="28"/>
      <c r="BQL4" s="28"/>
      <c r="BQM4" s="28"/>
      <c r="BQN4" s="28"/>
      <c r="BQO4" s="28"/>
      <c r="BQP4" s="28"/>
      <c r="BQQ4" s="28"/>
      <c r="BQR4" s="28"/>
      <c r="BQS4" s="28"/>
      <c r="BQT4" s="28"/>
      <c r="BQU4" s="28"/>
      <c r="BQV4" s="28"/>
      <c r="BQW4" s="28"/>
      <c r="BQX4" s="28"/>
      <c r="BQY4" s="28"/>
      <c r="BQZ4" s="28"/>
      <c r="BRA4" s="28"/>
      <c r="BRB4" s="28"/>
      <c r="BRC4" s="28"/>
      <c r="BRD4" s="28"/>
      <c r="BRE4" s="28"/>
      <c r="BRF4" s="28"/>
      <c r="BRG4" s="28"/>
      <c r="BRH4" s="28"/>
      <c r="BRI4" s="28"/>
      <c r="BRJ4" s="28"/>
      <c r="BRK4" s="28"/>
      <c r="BRL4" s="28"/>
      <c r="BRM4" s="28"/>
      <c r="BRN4" s="28"/>
      <c r="BRO4" s="28"/>
      <c r="BRP4" s="28"/>
      <c r="BRQ4" s="28"/>
      <c r="BRR4" s="28"/>
      <c r="BRS4" s="28"/>
      <c r="BRT4" s="28"/>
      <c r="BRU4" s="28"/>
      <c r="BRV4" s="28"/>
      <c r="BRW4" s="28"/>
      <c r="BRX4" s="28"/>
      <c r="BRY4" s="28"/>
      <c r="BRZ4" s="28"/>
      <c r="BSA4" s="28"/>
      <c r="BSB4" s="28"/>
      <c r="BSC4" s="28"/>
      <c r="BSD4" s="28"/>
      <c r="BSE4" s="28"/>
      <c r="BSF4" s="28"/>
      <c r="BSG4" s="28"/>
      <c r="BSH4" s="28"/>
      <c r="BSI4" s="28"/>
      <c r="BSJ4" s="28"/>
      <c r="BSK4" s="28"/>
      <c r="BSL4" s="28"/>
      <c r="BSM4" s="28"/>
      <c r="BSN4" s="28"/>
      <c r="BSO4" s="28"/>
      <c r="BSP4" s="28"/>
      <c r="BSQ4" s="28"/>
      <c r="BSR4" s="28"/>
      <c r="BSS4" s="28"/>
      <c r="BST4" s="28"/>
      <c r="BSU4" s="28"/>
      <c r="BSV4" s="28"/>
      <c r="BSW4" s="28"/>
      <c r="BSX4" s="28"/>
      <c r="BSY4" s="28"/>
      <c r="BSZ4" s="28"/>
      <c r="BTA4" s="28"/>
      <c r="BTB4" s="28"/>
      <c r="BTC4" s="28"/>
      <c r="BTD4" s="28"/>
      <c r="BTE4" s="28"/>
      <c r="BTF4" s="28"/>
      <c r="BTG4" s="28"/>
      <c r="BTH4" s="28"/>
      <c r="BTI4" s="28"/>
      <c r="BTJ4" s="28"/>
      <c r="BTK4" s="28"/>
      <c r="BTL4" s="28"/>
      <c r="BTM4" s="28"/>
      <c r="BTN4" s="28"/>
      <c r="BTO4" s="28"/>
      <c r="BTP4" s="28"/>
      <c r="BTQ4" s="28"/>
      <c r="BTR4" s="28"/>
      <c r="BTS4" s="28"/>
      <c r="BTT4" s="28"/>
      <c r="BTU4" s="28"/>
      <c r="BTV4" s="28"/>
      <c r="BTW4" s="28"/>
      <c r="BTX4" s="28"/>
      <c r="BTY4" s="28"/>
      <c r="BTZ4" s="28"/>
      <c r="BUA4" s="28"/>
      <c r="BUB4" s="28"/>
      <c r="BUC4" s="28"/>
      <c r="BUD4" s="28"/>
      <c r="BUE4" s="28"/>
      <c r="BUF4" s="28"/>
      <c r="BUG4" s="28"/>
      <c r="BUH4" s="28"/>
      <c r="BUI4" s="28"/>
      <c r="BUJ4" s="28"/>
      <c r="BUK4" s="28"/>
      <c r="BUL4" s="28"/>
      <c r="BUM4" s="28"/>
      <c r="BUN4" s="28"/>
      <c r="BUO4" s="28"/>
      <c r="BUP4" s="28"/>
      <c r="BUQ4" s="28"/>
      <c r="BUR4" s="28"/>
      <c r="BUS4" s="28"/>
      <c r="BUT4" s="28"/>
      <c r="BUU4" s="28"/>
      <c r="BUV4" s="28"/>
      <c r="BUW4" s="28"/>
      <c r="BUX4" s="28"/>
      <c r="BUY4" s="28"/>
      <c r="BUZ4" s="28"/>
      <c r="BVA4" s="28"/>
      <c r="BVB4" s="28"/>
      <c r="BVC4" s="28"/>
      <c r="BVD4" s="28"/>
      <c r="BVE4" s="28"/>
      <c r="BVF4" s="28"/>
      <c r="BVG4" s="28"/>
      <c r="BVH4" s="28"/>
      <c r="BVI4" s="28"/>
      <c r="BVJ4" s="28"/>
      <c r="BVK4" s="28"/>
      <c r="BVL4" s="28"/>
      <c r="BVM4" s="28"/>
      <c r="BVN4" s="28"/>
      <c r="BVO4" s="28"/>
      <c r="BVP4" s="28"/>
      <c r="BVQ4" s="28"/>
      <c r="BVR4" s="28"/>
      <c r="BVS4" s="28"/>
      <c r="BVT4" s="28"/>
      <c r="BVU4" s="28"/>
      <c r="BVV4" s="28"/>
      <c r="BVW4" s="28"/>
      <c r="BVX4" s="28"/>
      <c r="BVY4" s="28"/>
      <c r="BVZ4" s="28"/>
      <c r="BWA4" s="28"/>
      <c r="BWB4" s="28"/>
      <c r="BWC4" s="28"/>
      <c r="BWD4" s="28"/>
      <c r="BWE4" s="28"/>
      <c r="BWF4" s="28"/>
      <c r="BWG4" s="28"/>
      <c r="BWH4" s="28"/>
      <c r="BWI4" s="28"/>
      <c r="BWJ4" s="28"/>
      <c r="BWK4" s="28"/>
      <c r="BWL4" s="28"/>
      <c r="BWM4" s="28"/>
      <c r="BWN4" s="28"/>
      <c r="BWO4" s="28"/>
      <c r="BWP4" s="28"/>
      <c r="BWQ4" s="28"/>
      <c r="BWR4" s="28"/>
      <c r="BWS4" s="28"/>
      <c r="BWT4" s="28"/>
      <c r="BWU4" s="28"/>
      <c r="BWV4" s="28"/>
      <c r="BWW4" s="28"/>
      <c r="BWX4" s="28"/>
      <c r="BWY4" s="28"/>
      <c r="BWZ4" s="28"/>
      <c r="BXA4" s="28"/>
      <c r="BXB4" s="28"/>
      <c r="BXC4" s="28"/>
      <c r="BXD4" s="28"/>
      <c r="BXE4" s="28"/>
      <c r="BXF4" s="28"/>
      <c r="BXG4" s="28"/>
      <c r="BXH4" s="28"/>
      <c r="BXI4" s="28"/>
      <c r="BXJ4" s="28"/>
      <c r="BXK4" s="28"/>
      <c r="BXL4" s="28"/>
      <c r="BXM4" s="28"/>
      <c r="BXN4" s="28"/>
      <c r="BXO4" s="28"/>
      <c r="BXP4" s="28"/>
      <c r="BXQ4" s="28"/>
      <c r="BXR4" s="28"/>
      <c r="BXS4" s="28"/>
      <c r="BXT4" s="28"/>
      <c r="BXU4" s="28"/>
      <c r="BXV4" s="28"/>
      <c r="BXW4" s="28"/>
      <c r="BXX4" s="28"/>
      <c r="BXY4" s="28"/>
      <c r="BXZ4" s="28"/>
      <c r="BYA4" s="28"/>
      <c r="BYB4" s="28"/>
      <c r="BYC4" s="28"/>
      <c r="BYD4" s="28"/>
      <c r="BYE4" s="28"/>
      <c r="BYF4" s="28"/>
      <c r="BYG4" s="28"/>
      <c r="BYH4" s="28"/>
      <c r="BYI4" s="28"/>
      <c r="BYJ4" s="28"/>
      <c r="BYK4" s="28"/>
      <c r="BYL4" s="28"/>
      <c r="BYM4" s="28"/>
      <c r="BYN4" s="28"/>
      <c r="BYO4" s="28"/>
      <c r="BYP4" s="28"/>
      <c r="BYQ4" s="28"/>
      <c r="BYR4" s="28"/>
      <c r="BYS4" s="28"/>
      <c r="BYT4" s="28"/>
      <c r="BYU4" s="28"/>
      <c r="BYV4" s="28"/>
      <c r="BYW4" s="28"/>
      <c r="BYX4" s="28"/>
      <c r="BYY4" s="28"/>
      <c r="BYZ4" s="28"/>
      <c r="BZA4" s="28"/>
      <c r="BZB4" s="28"/>
      <c r="BZC4" s="28"/>
      <c r="BZD4" s="28"/>
      <c r="BZE4" s="28"/>
      <c r="BZF4" s="28"/>
      <c r="BZG4" s="28"/>
      <c r="BZH4" s="28"/>
      <c r="BZI4" s="28"/>
      <c r="BZJ4" s="28"/>
      <c r="BZK4" s="28"/>
      <c r="BZL4" s="28"/>
      <c r="BZM4" s="28"/>
      <c r="BZN4" s="28"/>
      <c r="BZO4" s="28"/>
      <c r="BZP4" s="28"/>
      <c r="BZQ4" s="28"/>
      <c r="BZR4" s="28"/>
      <c r="BZS4" s="28"/>
      <c r="BZT4" s="28"/>
      <c r="BZU4" s="28"/>
      <c r="BZV4" s="28"/>
      <c r="BZW4" s="28"/>
      <c r="BZX4" s="28"/>
      <c r="BZY4" s="28"/>
      <c r="BZZ4" s="28"/>
      <c r="CAA4" s="28"/>
      <c r="CAB4" s="28"/>
      <c r="CAC4" s="28"/>
      <c r="CAD4" s="28"/>
      <c r="CAE4" s="28"/>
      <c r="CAF4" s="28"/>
      <c r="CAG4" s="28"/>
      <c r="CAH4" s="28"/>
      <c r="CAI4" s="28"/>
      <c r="CAJ4" s="28"/>
      <c r="CAK4" s="28"/>
      <c r="CAL4" s="28"/>
      <c r="CAM4" s="28"/>
      <c r="CAN4" s="28"/>
      <c r="CAO4" s="28"/>
      <c r="CAP4" s="28"/>
      <c r="CAQ4" s="28"/>
      <c r="CAR4" s="28"/>
      <c r="CAS4" s="28"/>
      <c r="CAT4" s="28"/>
      <c r="CAU4" s="28"/>
      <c r="CAV4" s="28"/>
      <c r="CAW4" s="28"/>
      <c r="CAX4" s="28"/>
      <c r="CAY4" s="28"/>
      <c r="CAZ4" s="28"/>
      <c r="CBA4" s="28"/>
      <c r="CBB4" s="28"/>
      <c r="CBC4" s="28"/>
      <c r="CBD4" s="28"/>
      <c r="CBE4" s="28"/>
      <c r="CBF4" s="28"/>
      <c r="CBG4" s="28"/>
      <c r="CBH4" s="28"/>
      <c r="CBI4" s="28"/>
      <c r="CBJ4" s="28"/>
      <c r="CBK4" s="28"/>
      <c r="CBL4" s="28"/>
      <c r="CBM4" s="28"/>
      <c r="CBN4" s="28"/>
      <c r="CBO4" s="28"/>
      <c r="CBP4" s="28"/>
      <c r="CBQ4" s="28"/>
      <c r="CBR4" s="28"/>
      <c r="CBS4" s="28"/>
      <c r="CBT4" s="28"/>
      <c r="CBU4" s="28"/>
      <c r="CBV4" s="28"/>
      <c r="CBW4" s="28"/>
      <c r="CBX4" s="28"/>
      <c r="CBY4" s="28"/>
      <c r="CBZ4" s="28"/>
      <c r="CCA4" s="28"/>
      <c r="CCB4" s="28"/>
      <c r="CCC4" s="28"/>
      <c r="CCD4" s="28"/>
      <c r="CCE4" s="28"/>
      <c r="CCF4" s="28"/>
      <c r="CCG4" s="28"/>
      <c r="CCH4" s="28"/>
      <c r="CCI4" s="28"/>
      <c r="CCJ4" s="28"/>
      <c r="CCK4" s="28"/>
      <c r="CCL4" s="28"/>
      <c r="CCM4" s="28"/>
      <c r="CCN4" s="28"/>
      <c r="CCO4" s="28"/>
      <c r="CCP4" s="28"/>
      <c r="CCQ4" s="28"/>
      <c r="CCR4" s="28"/>
      <c r="CCS4" s="28"/>
      <c r="CCT4" s="28"/>
      <c r="CCU4" s="28"/>
      <c r="CCV4" s="28"/>
      <c r="CCW4" s="28"/>
      <c r="CCX4" s="28"/>
      <c r="CCY4" s="28"/>
      <c r="CCZ4" s="28"/>
      <c r="CDA4" s="28"/>
      <c r="CDB4" s="28"/>
      <c r="CDC4" s="28"/>
      <c r="CDD4" s="28"/>
      <c r="CDE4" s="28"/>
      <c r="CDF4" s="28"/>
      <c r="CDG4" s="28"/>
      <c r="CDH4" s="28"/>
      <c r="CDI4" s="28"/>
      <c r="CDJ4" s="28"/>
      <c r="CDK4" s="28"/>
      <c r="CDL4" s="28"/>
      <c r="CDM4" s="28"/>
      <c r="CDN4" s="28"/>
      <c r="CDO4" s="28"/>
      <c r="CDP4" s="28"/>
      <c r="CDQ4" s="28"/>
      <c r="CDR4" s="28"/>
      <c r="CDS4" s="28"/>
      <c r="CDT4" s="28"/>
      <c r="CDU4" s="28"/>
      <c r="CDV4" s="28"/>
      <c r="CDW4" s="28"/>
      <c r="CDX4" s="28"/>
      <c r="CDY4" s="28"/>
      <c r="CDZ4" s="28"/>
      <c r="CEA4" s="28"/>
      <c r="CEB4" s="28"/>
      <c r="CEC4" s="28"/>
      <c r="CED4" s="28"/>
      <c r="CEE4" s="28"/>
      <c r="CEF4" s="28"/>
      <c r="CEG4" s="28"/>
      <c r="CEH4" s="28"/>
      <c r="CEI4" s="28"/>
      <c r="CEJ4" s="28"/>
      <c r="CEK4" s="28"/>
      <c r="CEL4" s="28"/>
      <c r="CEM4" s="28"/>
      <c r="CEN4" s="28"/>
      <c r="CEO4" s="28"/>
      <c r="CEP4" s="28"/>
      <c r="CEQ4" s="28"/>
      <c r="CER4" s="28"/>
      <c r="CES4" s="28"/>
      <c r="CET4" s="28"/>
      <c r="CEU4" s="28"/>
      <c r="CEV4" s="28"/>
      <c r="CEW4" s="28"/>
      <c r="CEX4" s="28"/>
      <c r="CEY4" s="28"/>
      <c r="CEZ4" s="28"/>
      <c r="CFA4" s="28"/>
      <c r="CFB4" s="28"/>
      <c r="CFC4" s="28"/>
      <c r="CFD4" s="28"/>
      <c r="CFE4" s="28"/>
      <c r="CFF4" s="28"/>
      <c r="CFG4" s="28"/>
      <c r="CFH4" s="28"/>
      <c r="CFI4" s="28"/>
      <c r="CFJ4" s="28"/>
      <c r="CFK4" s="28"/>
      <c r="CFL4" s="28"/>
      <c r="CFM4" s="28"/>
      <c r="CFN4" s="28"/>
      <c r="CFO4" s="28"/>
      <c r="CFP4" s="28"/>
      <c r="CFQ4" s="28"/>
      <c r="CFR4" s="28"/>
      <c r="CFS4" s="28"/>
      <c r="CFT4" s="28"/>
      <c r="CFU4" s="28"/>
      <c r="CFV4" s="28"/>
      <c r="CFW4" s="28"/>
      <c r="CFX4" s="28"/>
      <c r="CFY4" s="28"/>
      <c r="CFZ4" s="28"/>
      <c r="CGA4" s="28"/>
      <c r="CGB4" s="28"/>
      <c r="CGC4" s="28"/>
      <c r="CGD4" s="28"/>
      <c r="CGE4" s="28"/>
      <c r="CGF4" s="28"/>
      <c r="CGG4" s="28"/>
      <c r="CGH4" s="28"/>
      <c r="CGI4" s="28"/>
      <c r="CGJ4" s="28"/>
      <c r="CGK4" s="28"/>
      <c r="CGL4" s="28"/>
      <c r="CGM4" s="28"/>
      <c r="CGN4" s="28"/>
      <c r="CGO4" s="28"/>
      <c r="CGP4" s="28"/>
      <c r="CGQ4" s="28"/>
      <c r="CGR4" s="28"/>
      <c r="CGS4" s="28"/>
      <c r="CGT4" s="28"/>
      <c r="CGU4" s="28"/>
      <c r="CGV4" s="28"/>
      <c r="CGW4" s="28"/>
      <c r="CGX4" s="28"/>
      <c r="CGY4" s="28"/>
      <c r="CGZ4" s="28"/>
      <c r="CHA4" s="28"/>
      <c r="CHB4" s="28"/>
      <c r="CHC4" s="28"/>
      <c r="CHD4" s="28"/>
      <c r="CHE4" s="28"/>
      <c r="CHF4" s="28"/>
      <c r="CHG4" s="28"/>
      <c r="CHH4" s="28"/>
      <c r="CHI4" s="28"/>
      <c r="CHJ4" s="28"/>
      <c r="CHK4" s="28"/>
      <c r="CHL4" s="28"/>
      <c r="CHM4" s="28"/>
      <c r="CHN4" s="28"/>
      <c r="CHO4" s="28"/>
      <c r="CHP4" s="28"/>
      <c r="CHQ4" s="28"/>
      <c r="CHR4" s="28"/>
      <c r="CHS4" s="28"/>
      <c r="CHT4" s="28"/>
      <c r="CHU4" s="28"/>
      <c r="CHV4" s="28"/>
      <c r="CHW4" s="28"/>
      <c r="CHX4" s="28"/>
      <c r="CHY4" s="28"/>
      <c r="CHZ4" s="28"/>
      <c r="CIA4" s="28"/>
      <c r="CIB4" s="28"/>
      <c r="CIC4" s="28"/>
      <c r="CID4" s="28"/>
      <c r="CIE4" s="28"/>
      <c r="CIF4" s="28"/>
      <c r="CIG4" s="28"/>
      <c r="CIH4" s="28"/>
      <c r="CII4" s="28"/>
      <c r="CIJ4" s="28"/>
      <c r="CIK4" s="28"/>
      <c r="CIL4" s="28"/>
      <c r="CIM4" s="28"/>
      <c r="CIN4" s="28"/>
      <c r="CIO4" s="28"/>
      <c r="CIP4" s="28"/>
      <c r="CIQ4" s="28"/>
      <c r="CIR4" s="28"/>
      <c r="CIS4" s="28"/>
      <c r="CIT4" s="28"/>
      <c r="CIU4" s="28"/>
      <c r="CIV4" s="28"/>
      <c r="CIW4" s="28"/>
      <c r="CIX4" s="28"/>
      <c r="CIY4" s="28"/>
      <c r="CIZ4" s="28"/>
      <c r="CJA4" s="28"/>
      <c r="CJB4" s="28"/>
      <c r="CJC4" s="28"/>
      <c r="CJD4" s="28"/>
      <c r="CJE4" s="28"/>
      <c r="CJF4" s="28"/>
      <c r="CJG4" s="28"/>
      <c r="CJH4" s="28"/>
      <c r="CJI4" s="28"/>
      <c r="CJJ4" s="28"/>
      <c r="CJK4" s="28"/>
      <c r="CJL4" s="28"/>
      <c r="CJM4" s="28"/>
      <c r="CJN4" s="28"/>
      <c r="CJO4" s="28"/>
      <c r="CJP4" s="28"/>
      <c r="CJQ4" s="28"/>
      <c r="CJR4" s="28"/>
      <c r="CJS4" s="28"/>
      <c r="CJT4" s="28"/>
      <c r="CJU4" s="28"/>
      <c r="CJV4" s="28"/>
      <c r="CJW4" s="28"/>
      <c r="CJX4" s="28"/>
      <c r="CJY4" s="28"/>
      <c r="CJZ4" s="28"/>
      <c r="CKA4" s="28"/>
      <c r="CKB4" s="28"/>
      <c r="CKC4" s="28"/>
      <c r="CKD4" s="28"/>
      <c r="CKE4" s="28"/>
      <c r="CKF4" s="28"/>
      <c r="CKG4" s="28"/>
      <c r="CKH4" s="28"/>
      <c r="CKI4" s="28"/>
      <c r="CKJ4" s="28"/>
      <c r="CKK4" s="28"/>
      <c r="CKL4" s="28"/>
      <c r="CKM4" s="28"/>
      <c r="CKN4" s="28"/>
      <c r="CKO4" s="28"/>
      <c r="CKP4" s="28"/>
      <c r="CKQ4" s="28"/>
      <c r="CKR4" s="28"/>
      <c r="CKS4" s="28"/>
      <c r="CKT4" s="28"/>
      <c r="CKU4" s="28"/>
      <c r="CKV4" s="28"/>
      <c r="CKW4" s="28"/>
      <c r="CKX4" s="28"/>
      <c r="CKY4" s="28"/>
      <c r="CKZ4" s="28"/>
      <c r="CLA4" s="28"/>
      <c r="CLB4" s="28"/>
      <c r="CLC4" s="28"/>
      <c r="CLD4" s="28"/>
      <c r="CLE4" s="28"/>
      <c r="CLF4" s="28"/>
      <c r="CLG4" s="28"/>
      <c r="CLH4" s="28"/>
      <c r="CLI4" s="28"/>
      <c r="CLJ4" s="28"/>
      <c r="CLK4" s="28"/>
      <c r="CLL4" s="28"/>
      <c r="CLM4" s="28"/>
      <c r="CLN4" s="28"/>
      <c r="CLO4" s="28"/>
      <c r="CLP4" s="28"/>
      <c r="CLQ4" s="28"/>
      <c r="CLR4" s="28"/>
      <c r="CLS4" s="28"/>
      <c r="CLT4" s="28"/>
      <c r="CLU4" s="28"/>
      <c r="CLV4" s="28"/>
      <c r="CLW4" s="28"/>
      <c r="CLX4" s="28"/>
      <c r="CLY4" s="28"/>
      <c r="CLZ4" s="28"/>
      <c r="CMA4" s="28"/>
      <c r="CMB4" s="28"/>
      <c r="CMC4" s="28"/>
      <c r="CMD4" s="28"/>
      <c r="CME4" s="28"/>
      <c r="CMF4" s="28"/>
      <c r="CMG4" s="28"/>
      <c r="CMH4" s="28"/>
      <c r="CMI4" s="28"/>
      <c r="CMJ4" s="28"/>
      <c r="CMK4" s="28"/>
      <c r="CML4" s="28"/>
      <c r="CMM4" s="28"/>
      <c r="CMN4" s="28"/>
      <c r="CMO4" s="28"/>
      <c r="CMP4" s="28"/>
      <c r="CMQ4" s="28"/>
      <c r="CMR4" s="28"/>
      <c r="CMS4" s="28"/>
      <c r="CMT4" s="28"/>
      <c r="CMU4" s="28"/>
      <c r="CMV4" s="28"/>
      <c r="CMW4" s="28"/>
      <c r="CMX4" s="28"/>
      <c r="CMY4" s="28"/>
      <c r="CMZ4" s="28"/>
      <c r="CNA4" s="28"/>
      <c r="CNB4" s="28"/>
      <c r="CNC4" s="28"/>
      <c r="CND4" s="28"/>
      <c r="CNE4" s="28"/>
      <c r="CNF4" s="28"/>
      <c r="CNG4" s="28"/>
      <c r="CNH4" s="28"/>
      <c r="CNI4" s="28"/>
      <c r="CNJ4" s="28"/>
      <c r="CNK4" s="28"/>
      <c r="CNL4" s="28"/>
      <c r="CNM4" s="28"/>
      <c r="CNN4" s="28"/>
      <c r="CNO4" s="28"/>
      <c r="CNP4" s="28"/>
      <c r="CNQ4" s="28"/>
      <c r="CNR4" s="28"/>
      <c r="CNS4" s="28"/>
      <c r="CNT4" s="28"/>
      <c r="CNU4" s="28"/>
      <c r="CNV4" s="28"/>
      <c r="CNW4" s="28"/>
      <c r="CNX4" s="28"/>
      <c r="CNY4" s="28"/>
      <c r="CNZ4" s="28"/>
      <c r="COA4" s="28"/>
      <c r="COB4" s="28"/>
      <c r="COC4" s="28"/>
      <c r="COD4" s="28"/>
      <c r="COE4" s="28"/>
      <c r="COF4" s="28"/>
      <c r="COG4" s="28"/>
      <c r="COH4" s="28"/>
      <c r="COI4" s="28"/>
      <c r="COJ4" s="28"/>
      <c r="COK4" s="28"/>
      <c r="COL4" s="28"/>
      <c r="COM4" s="28"/>
      <c r="CON4" s="28"/>
      <c r="COO4" s="28"/>
      <c r="COP4" s="28"/>
      <c r="COQ4" s="28"/>
      <c r="COR4" s="28"/>
      <c r="COS4" s="28"/>
      <c r="COT4" s="28"/>
      <c r="COU4" s="28"/>
      <c r="COV4" s="28"/>
      <c r="COW4" s="28"/>
      <c r="COX4" s="28"/>
      <c r="COY4" s="28"/>
      <c r="COZ4" s="28"/>
      <c r="CPA4" s="28"/>
      <c r="CPB4" s="28"/>
      <c r="CPC4" s="28"/>
      <c r="CPD4" s="28"/>
      <c r="CPE4" s="28"/>
      <c r="CPF4" s="28"/>
      <c r="CPG4" s="28"/>
      <c r="CPH4" s="28"/>
      <c r="CPI4" s="28"/>
      <c r="CPJ4" s="28"/>
      <c r="CPK4" s="28"/>
      <c r="CPL4" s="28"/>
      <c r="CPM4" s="28"/>
      <c r="CPN4" s="28"/>
      <c r="CPO4" s="28"/>
      <c r="CPP4" s="28"/>
      <c r="CPQ4" s="28"/>
      <c r="CPR4" s="28"/>
      <c r="CPS4" s="28"/>
      <c r="CPT4" s="28"/>
      <c r="CPU4" s="28"/>
      <c r="CPV4" s="28"/>
      <c r="CPW4" s="28"/>
      <c r="CPX4" s="28"/>
      <c r="CPY4" s="28"/>
      <c r="CPZ4" s="28"/>
      <c r="CQA4" s="28"/>
      <c r="CQB4" s="28"/>
      <c r="CQC4" s="28"/>
      <c r="CQD4" s="28"/>
      <c r="CQE4" s="28"/>
      <c r="CQF4" s="28"/>
      <c r="CQG4" s="28"/>
      <c r="CQH4" s="28"/>
      <c r="CQI4" s="28"/>
      <c r="CQJ4" s="28"/>
      <c r="CQK4" s="28"/>
      <c r="CQL4" s="28"/>
      <c r="CQM4" s="28"/>
      <c r="CQN4" s="28"/>
      <c r="CQO4" s="28"/>
      <c r="CQP4" s="28"/>
      <c r="CQQ4" s="28"/>
      <c r="CQR4" s="28"/>
      <c r="CQS4" s="28"/>
      <c r="CQT4" s="28"/>
      <c r="CQU4" s="28"/>
      <c r="CQV4" s="28"/>
      <c r="CQW4" s="28"/>
      <c r="CQX4" s="28"/>
      <c r="CQY4" s="28"/>
      <c r="CQZ4" s="28"/>
      <c r="CRA4" s="28"/>
      <c r="CRB4" s="28"/>
      <c r="CRC4" s="28"/>
      <c r="CRD4" s="28"/>
      <c r="CRE4" s="28"/>
      <c r="CRF4" s="28"/>
      <c r="CRG4" s="28"/>
      <c r="CRH4" s="28"/>
      <c r="CRI4" s="28"/>
      <c r="CRJ4" s="28"/>
      <c r="CRK4" s="28"/>
      <c r="CRL4" s="28"/>
      <c r="CRM4" s="28"/>
      <c r="CRN4" s="28"/>
      <c r="CRO4" s="28"/>
      <c r="CRP4" s="28"/>
      <c r="CRQ4" s="28"/>
      <c r="CRR4" s="28"/>
      <c r="CRS4" s="28"/>
      <c r="CRT4" s="28"/>
      <c r="CRU4" s="28"/>
      <c r="CRV4" s="28"/>
      <c r="CRW4" s="28"/>
      <c r="CRX4" s="28"/>
      <c r="CRY4" s="28"/>
      <c r="CRZ4" s="28"/>
      <c r="CSA4" s="28"/>
      <c r="CSB4" s="28"/>
      <c r="CSC4" s="28"/>
      <c r="CSD4" s="28"/>
      <c r="CSE4" s="28"/>
      <c r="CSF4" s="28"/>
      <c r="CSG4" s="28"/>
      <c r="CSH4" s="28"/>
      <c r="CSI4" s="28"/>
      <c r="CSJ4" s="28"/>
      <c r="CSK4" s="28"/>
      <c r="CSL4" s="28"/>
      <c r="CSM4" s="28"/>
      <c r="CSN4" s="28"/>
      <c r="CSO4" s="28"/>
      <c r="CSP4" s="28"/>
      <c r="CSQ4" s="28"/>
      <c r="CSR4" s="28"/>
      <c r="CSS4" s="28"/>
      <c r="CST4" s="28"/>
      <c r="CSU4" s="28"/>
      <c r="CSV4" s="28"/>
      <c r="CSW4" s="28"/>
      <c r="CSX4" s="28"/>
      <c r="CSY4" s="28"/>
      <c r="CSZ4" s="28"/>
      <c r="CTA4" s="28"/>
      <c r="CTB4" s="28"/>
      <c r="CTC4" s="28"/>
      <c r="CTD4" s="28"/>
      <c r="CTE4" s="28"/>
      <c r="CTF4" s="28"/>
      <c r="CTG4" s="28"/>
      <c r="CTH4" s="28"/>
      <c r="CTI4" s="28"/>
      <c r="CTJ4" s="28"/>
      <c r="CTK4" s="28"/>
      <c r="CTL4" s="28"/>
      <c r="CTM4" s="28"/>
      <c r="CTN4" s="28"/>
      <c r="CTO4" s="28"/>
      <c r="CTP4" s="28"/>
      <c r="CTQ4" s="28"/>
      <c r="CTR4" s="28"/>
      <c r="CTS4" s="28"/>
      <c r="CTT4" s="28"/>
      <c r="CTU4" s="28"/>
      <c r="CTV4" s="28"/>
      <c r="CTW4" s="28"/>
      <c r="CTX4" s="28"/>
      <c r="CTY4" s="28"/>
      <c r="CTZ4" s="28"/>
      <c r="CUA4" s="28"/>
      <c r="CUB4" s="28"/>
      <c r="CUC4" s="28"/>
      <c r="CUD4" s="28"/>
      <c r="CUE4" s="28"/>
      <c r="CUF4" s="28"/>
      <c r="CUG4" s="28"/>
      <c r="CUH4" s="28"/>
      <c r="CUI4" s="28"/>
      <c r="CUJ4" s="28"/>
      <c r="CUK4" s="28"/>
      <c r="CUL4" s="28"/>
      <c r="CUM4" s="28"/>
      <c r="CUN4" s="28"/>
      <c r="CUO4" s="28"/>
      <c r="CUP4" s="28"/>
      <c r="CUQ4" s="28"/>
      <c r="CUR4" s="28"/>
      <c r="CUS4" s="28"/>
      <c r="CUT4" s="28"/>
      <c r="CUU4" s="28"/>
      <c r="CUV4" s="28"/>
      <c r="CUW4" s="28"/>
      <c r="CUX4" s="28"/>
      <c r="CUY4" s="28"/>
      <c r="CUZ4" s="28"/>
      <c r="CVA4" s="28"/>
      <c r="CVB4" s="28"/>
      <c r="CVC4" s="28"/>
      <c r="CVD4" s="28"/>
      <c r="CVE4" s="28"/>
      <c r="CVF4" s="28"/>
      <c r="CVG4" s="28"/>
      <c r="CVH4" s="28"/>
      <c r="CVI4" s="28"/>
      <c r="CVJ4" s="28"/>
      <c r="CVK4" s="28"/>
      <c r="CVL4" s="28"/>
      <c r="CVM4" s="28"/>
      <c r="CVN4" s="28"/>
      <c r="CVO4" s="28"/>
      <c r="CVP4" s="28"/>
      <c r="CVQ4" s="28"/>
      <c r="CVR4" s="28"/>
      <c r="CVS4" s="28"/>
      <c r="CVT4" s="28"/>
      <c r="CVU4" s="28"/>
      <c r="CVV4" s="28"/>
      <c r="CVW4" s="28"/>
      <c r="CVX4" s="28"/>
      <c r="CVY4" s="28"/>
      <c r="CVZ4" s="28"/>
      <c r="CWA4" s="28"/>
      <c r="CWB4" s="28"/>
      <c r="CWC4" s="28"/>
      <c r="CWD4" s="28"/>
      <c r="CWE4" s="28"/>
      <c r="CWF4" s="28"/>
      <c r="CWG4" s="28"/>
      <c r="CWH4" s="28"/>
      <c r="CWI4" s="28"/>
      <c r="CWJ4" s="28"/>
      <c r="CWK4" s="28"/>
      <c r="CWL4" s="28"/>
      <c r="CWM4" s="28"/>
      <c r="CWN4" s="28"/>
      <c r="CWO4" s="28"/>
      <c r="CWP4" s="28"/>
      <c r="CWQ4" s="28"/>
      <c r="CWR4" s="28"/>
      <c r="CWS4" s="28"/>
      <c r="CWT4" s="28"/>
      <c r="CWU4" s="28"/>
      <c r="CWV4" s="28"/>
      <c r="CWW4" s="28"/>
      <c r="CWX4" s="28"/>
      <c r="CWY4" s="28"/>
      <c r="CWZ4" s="28"/>
      <c r="CXA4" s="28"/>
      <c r="CXB4" s="28"/>
      <c r="CXC4" s="28"/>
      <c r="CXD4" s="28"/>
      <c r="CXE4" s="28"/>
      <c r="CXF4" s="28"/>
      <c r="CXG4" s="28"/>
      <c r="CXH4" s="28"/>
      <c r="CXI4" s="28"/>
      <c r="CXJ4" s="28"/>
      <c r="CXK4" s="28"/>
      <c r="CXL4" s="28"/>
      <c r="CXM4" s="28"/>
      <c r="CXN4" s="28"/>
      <c r="CXO4" s="28"/>
      <c r="CXP4" s="28"/>
      <c r="CXQ4" s="28"/>
      <c r="CXR4" s="28"/>
      <c r="CXS4" s="28"/>
      <c r="CXT4" s="28"/>
      <c r="CXU4" s="28"/>
      <c r="CXV4" s="28"/>
      <c r="CXW4" s="28"/>
      <c r="CXX4" s="28"/>
      <c r="CXY4" s="28"/>
      <c r="CXZ4" s="28"/>
      <c r="CYA4" s="28"/>
      <c r="CYB4" s="28"/>
      <c r="CYC4" s="28"/>
      <c r="CYD4" s="28"/>
      <c r="CYE4" s="28"/>
      <c r="CYF4" s="28"/>
      <c r="CYG4" s="28"/>
      <c r="CYH4" s="28"/>
      <c r="CYI4" s="28"/>
      <c r="CYJ4" s="28"/>
      <c r="CYK4" s="28"/>
      <c r="CYL4" s="28"/>
      <c r="CYM4" s="28"/>
      <c r="CYN4" s="28"/>
      <c r="CYO4" s="28"/>
      <c r="CYP4" s="28"/>
      <c r="CYQ4" s="28"/>
      <c r="CYR4" s="28"/>
      <c r="CYS4" s="28"/>
      <c r="CYT4" s="28"/>
      <c r="CYU4" s="28"/>
      <c r="CYV4" s="28"/>
      <c r="CYW4" s="28"/>
      <c r="CYX4" s="28"/>
      <c r="CYY4" s="28"/>
      <c r="CYZ4" s="28"/>
      <c r="CZA4" s="28"/>
      <c r="CZB4" s="28"/>
      <c r="CZC4" s="28"/>
      <c r="CZD4" s="28"/>
      <c r="CZE4" s="28"/>
      <c r="CZF4" s="28"/>
      <c r="CZG4" s="28"/>
      <c r="CZH4" s="28"/>
      <c r="CZI4" s="28"/>
      <c r="CZJ4" s="28"/>
      <c r="CZK4" s="28"/>
      <c r="CZL4" s="28"/>
      <c r="CZM4" s="28"/>
      <c r="CZN4" s="28"/>
      <c r="CZO4" s="28"/>
      <c r="CZP4" s="28"/>
      <c r="CZQ4" s="28"/>
      <c r="CZR4" s="28"/>
      <c r="CZS4" s="28"/>
      <c r="CZT4" s="28"/>
      <c r="CZU4" s="28"/>
      <c r="CZV4" s="28"/>
      <c r="CZW4" s="28"/>
      <c r="CZX4" s="28"/>
      <c r="CZY4" s="28"/>
      <c r="CZZ4" s="28"/>
      <c r="DAA4" s="28"/>
      <c r="DAB4" s="28"/>
      <c r="DAC4" s="28"/>
      <c r="DAD4" s="28"/>
      <c r="DAE4" s="28"/>
      <c r="DAF4" s="28"/>
      <c r="DAG4" s="28"/>
      <c r="DAH4" s="28"/>
      <c r="DAI4" s="28"/>
      <c r="DAJ4" s="28"/>
      <c r="DAK4" s="28"/>
      <c r="DAL4" s="28"/>
      <c r="DAM4" s="28"/>
      <c r="DAN4" s="28"/>
      <c r="DAO4" s="28"/>
      <c r="DAP4" s="28"/>
      <c r="DAQ4" s="28"/>
      <c r="DAR4" s="28"/>
      <c r="DAS4" s="28"/>
      <c r="DAT4" s="28"/>
      <c r="DAU4" s="28"/>
      <c r="DAV4" s="28"/>
      <c r="DAW4" s="28"/>
      <c r="DAX4" s="28"/>
      <c r="DAY4" s="28"/>
      <c r="DAZ4" s="28"/>
      <c r="DBA4" s="28"/>
      <c r="DBB4" s="28"/>
      <c r="DBC4" s="28"/>
      <c r="DBD4" s="28"/>
      <c r="DBE4" s="28"/>
      <c r="DBF4" s="28"/>
      <c r="DBG4" s="28"/>
      <c r="DBH4" s="28"/>
      <c r="DBI4" s="28"/>
      <c r="DBJ4" s="28"/>
      <c r="DBK4" s="28"/>
      <c r="DBL4" s="28"/>
      <c r="DBM4" s="28"/>
      <c r="DBN4" s="28"/>
      <c r="DBO4" s="28"/>
      <c r="DBP4" s="28"/>
      <c r="DBQ4" s="28"/>
      <c r="DBR4" s="28"/>
      <c r="DBS4" s="28"/>
      <c r="DBT4" s="28"/>
      <c r="DBU4" s="28"/>
      <c r="DBV4" s="28"/>
      <c r="DBW4" s="28"/>
      <c r="DBX4" s="28"/>
      <c r="DBY4" s="28"/>
      <c r="DBZ4" s="28"/>
      <c r="DCA4" s="28"/>
      <c r="DCB4" s="28"/>
      <c r="DCC4" s="28"/>
      <c r="DCD4" s="28"/>
      <c r="DCE4" s="28"/>
      <c r="DCF4" s="28"/>
      <c r="DCG4" s="28"/>
      <c r="DCH4" s="28"/>
      <c r="DCI4" s="28"/>
      <c r="DCJ4" s="28"/>
      <c r="DCK4" s="28"/>
      <c r="DCL4" s="28"/>
      <c r="DCM4" s="28"/>
      <c r="DCN4" s="28"/>
      <c r="DCO4" s="28"/>
      <c r="DCP4" s="28"/>
      <c r="DCQ4" s="28"/>
      <c r="DCR4" s="28"/>
      <c r="DCS4" s="28"/>
      <c r="DCT4" s="28"/>
      <c r="DCU4" s="28"/>
      <c r="DCV4" s="28"/>
      <c r="DCW4" s="28"/>
      <c r="DCX4" s="28"/>
      <c r="DCY4" s="28"/>
      <c r="DCZ4" s="28"/>
      <c r="DDA4" s="28"/>
      <c r="DDB4" s="28"/>
      <c r="DDC4" s="28"/>
      <c r="DDD4" s="28"/>
      <c r="DDE4" s="28"/>
      <c r="DDF4" s="28"/>
      <c r="DDG4" s="28"/>
      <c r="DDH4" s="28"/>
      <c r="DDI4" s="28"/>
      <c r="DDJ4" s="28"/>
      <c r="DDK4" s="28"/>
      <c r="DDL4" s="28"/>
      <c r="DDM4" s="28"/>
      <c r="DDN4" s="28"/>
      <c r="DDO4" s="28"/>
      <c r="DDP4" s="28"/>
      <c r="DDQ4" s="28"/>
      <c r="DDR4" s="28"/>
      <c r="DDS4" s="28"/>
      <c r="DDT4" s="28"/>
      <c r="DDU4" s="28"/>
      <c r="DDV4" s="28"/>
      <c r="DDW4" s="28"/>
      <c r="DDX4" s="28"/>
      <c r="DDY4" s="28"/>
      <c r="DDZ4" s="28"/>
      <c r="DEA4" s="28"/>
      <c r="DEB4" s="28"/>
      <c r="DEC4" s="28"/>
      <c r="DED4" s="28"/>
      <c r="DEE4" s="28"/>
      <c r="DEF4" s="28"/>
      <c r="DEG4" s="28"/>
      <c r="DEH4" s="28"/>
      <c r="DEI4" s="28"/>
      <c r="DEJ4" s="28"/>
      <c r="DEK4" s="28"/>
      <c r="DEL4" s="28"/>
      <c r="DEM4" s="28"/>
      <c r="DEN4" s="28"/>
      <c r="DEO4" s="28"/>
      <c r="DEP4" s="28"/>
      <c r="DEQ4" s="28"/>
      <c r="DER4" s="28"/>
      <c r="DES4" s="28"/>
      <c r="DET4" s="28"/>
      <c r="DEU4" s="28"/>
      <c r="DEV4" s="28"/>
      <c r="DEW4" s="28"/>
      <c r="DEX4" s="28"/>
      <c r="DEY4" s="28"/>
      <c r="DEZ4" s="28"/>
      <c r="DFA4" s="28"/>
      <c r="DFB4" s="28"/>
      <c r="DFC4" s="28"/>
      <c r="DFD4" s="28"/>
      <c r="DFE4" s="28"/>
      <c r="DFF4" s="28"/>
      <c r="DFG4" s="28"/>
      <c r="DFH4" s="28"/>
      <c r="DFI4" s="28"/>
      <c r="DFJ4" s="28"/>
      <c r="DFK4" s="28"/>
      <c r="DFL4" s="28"/>
      <c r="DFM4" s="28"/>
      <c r="DFN4" s="28"/>
      <c r="DFO4" s="28"/>
      <c r="DFP4" s="28"/>
      <c r="DFQ4" s="28"/>
      <c r="DFR4" s="28"/>
      <c r="DFS4" s="28"/>
      <c r="DFT4" s="28"/>
      <c r="DFU4" s="28"/>
      <c r="DFV4" s="28"/>
      <c r="DFW4" s="28"/>
      <c r="DFX4" s="28"/>
      <c r="DFY4" s="28"/>
      <c r="DFZ4" s="28"/>
      <c r="DGA4" s="28"/>
      <c r="DGB4" s="28"/>
      <c r="DGC4" s="28"/>
      <c r="DGD4" s="28"/>
      <c r="DGE4" s="28"/>
      <c r="DGF4" s="28"/>
      <c r="DGG4" s="28"/>
      <c r="DGH4" s="28"/>
      <c r="DGI4" s="28"/>
      <c r="DGJ4" s="28"/>
      <c r="DGK4" s="28"/>
      <c r="DGL4" s="28"/>
      <c r="DGM4" s="28"/>
      <c r="DGN4" s="28"/>
      <c r="DGO4" s="28"/>
      <c r="DGP4" s="28"/>
      <c r="DGQ4" s="28"/>
      <c r="DGR4" s="28"/>
      <c r="DGS4" s="28"/>
      <c r="DGT4" s="28"/>
      <c r="DGU4" s="28"/>
      <c r="DGV4" s="28"/>
      <c r="DGW4" s="28"/>
      <c r="DGX4" s="28"/>
      <c r="DGY4" s="28"/>
      <c r="DGZ4" s="28"/>
      <c r="DHA4" s="28"/>
      <c r="DHB4" s="28"/>
      <c r="DHC4" s="28"/>
      <c r="DHD4" s="28"/>
      <c r="DHE4" s="28"/>
      <c r="DHF4" s="28"/>
      <c r="DHG4" s="28"/>
      <c r="DHH4" s="28"/>
      <c r="DHI4" s="28"/>
      <c r="DHJ4" s="28"/>
      <c r="DHK4" s="28"/>
      <c r="DHL4" s="28"/>
      <c r="DHM4" s="28"/>
      <c r="DHN4" s="28"/>
      <c r="DHO4" s="28"/>
      <c r="DHP4" s="28"/>
      <c r="DHQ4" s="28"/>
      <c r="DHR4" s="28"/>
      <c r="DHS4" s="28"/>
      <c r="DHT4" s="28"/>
      <c r="DHU4" s="28"/>
      <c r="DHV4" s="28"/>
      <c r="DHW4" s="28"/>
      <c r="DHX4" s="28"/>
      <c r="DHY4" s="28"/>
      <c r="DHZ4" s="28"/>
      <c r="DIA4" s="28"/>
      <c r="DIB4" s="28"/>
      <c r="DIC4" s="28"/>
      <c r="DID4" s="28"/>
      <c r="DIE4" s="28"/>
      <c r="DIF4" s="28"/>
      <c r="DIG4" s="28"/>
      <c r="DIH4" s="28"/>
      <c r="DII4" s="28"/>
      <c r="DIJ4" s="28"/>
      <c r="DIK4" s="28"/>
      <c r="DIL4" s="28"/>
      <c r="DIM4" s="28"/>
      <c r="DIN4" s="28"/>
      <c r="DIO4" s="28"/>
      <c r="DIP4" s="28"/>
      <c r="DIQ4" s="28"/>
      <c r="DIR4" s="28"/>
      <c r="DIS4" s="28"/>
      <c r="DIT4" s="28"/>
      <c r="DIU4" s="28"/>
      <c r="DIV4" s="28"/>
      <c r="DIW4" s="28"/>
      <c r="DIX4" s="28"/>
      <c r="DIY4" s="28"/>
      <c r="DIZ4" s="28"/>
      <c r="DJA4" s="28"/>
      <c r="DJB4" s="28"/>
      <c r="DJC4" s="28"/>
      <c r="DJD4" s="28"/>
      <c r="DJE4" s="28"/>
      <c r="DJF4" s="28"/>
      <c r="DJG4" s="28"/>
      <c r="DJH4" s="28"/>
      <c r="DJI4" s="28"/>
      <c r="DJJ4" s="28"/>
      <c r="DJK4" s="28"/>
      <c r="DJL4" s="28"/>
      <c r="DJM4" s="28"/>
      <c r="DJN4" s="28"/>
      <c r="DJO4" s="28"/>
      <c r="DJP4" s="28"/>
      <c r="DJQ4" s="28"/>
      <c r="DJR4" s="28"/>
      <c r="DJS4" s="28"/>
      <c r="DJT4" s="28"/>
      <c r="DJU4" s="28"/>
      <c r="DJV4" s="28"/>
      <c r="DJW4" s="28"/>
      <c r="DJX4" s="28"/>
      <c r="DJY4" s="28"/>
      <c r="DJZ4" s="28"/>
      <c r="DKA4" s="28"/>
      <c r="DKB4" s="28"/>
      <c r="DKC4" s="28"/>
      <c r="DKD4" s="28"/>
      <c r="DKE4" s="28"/>
      <c r="DKF4" s="28"/>
      <c r="DKG4" s="28"/>
      <c r="DKH4" s="28"/>
      <c r="DKI4" s="28"/>
      <c r="DKJ4" s="28"/>
      <c r="DKK4" s="28"/>
      <c r="DKL4" s="28"/>
      <c r="DKM4" s="28"/>
      <c r="DKN4" s="28"/>
      <c r="DKO4" s="28"/>
      <c r="DKP4" s="28"/>
      <c r="DKQ4" s="28"/>
      <c r="DKR4" s="28"/>
      <c r="DKS4" s="28"/>
      <c r="DKT4" s="28"/>
      <c r="DKU4" s="28"/>
      <c r="DKV4" s="28"/>
      <c r="DKW4" s="28"/>
      <c r="DKX4" s="28"/>
      <c r="DKY4" s="28"/>
      <c r="DKZ4" s="28"/>
      <c r="DLA4" s="28"/>
      <c r="DLB4" s="28"/>
      <c r="DLC4" s="28"/>
      <c r="DLD4" s="28"/>
      <c r="DLE4" s="28"/>
      <c r="DLF4" s="28"/>
      <c r="DLG4" s="28"/>
      <c r="DLH4" s="28"/>
      <c r="DLI4" s="28"/>
      <c r="DLJ4" s="28"/>
      <c r="DLK4" s="28"/>
      <c r="DLL4" s="28"/>
      <c r="DLM4" s="28"/>
      <c r="DLN4" s="28"/>
      <c r="DLO4" s="28"/>
      <c r="DLP4" s="28"/>
      <c r="DLQ4" s="28"/>
      <c r="DLR4" s="28"/>
      <c r="DLS4" s="28"/>
      <c r="DLT4" s="28"/>
      <c r="DLU4" s="28"/>
      <c r="DLV4" s="28"/>
      <c r="DLW4" s="28"/>
      <c r="DLX4" s="28"/>
      <c r="DLY4" s="28"/>
      <c r="DLZ4" s="28"/>
      <c r="DMA4" s="28"/>
      <c r="DMB4" s="28"/>
      <c r="DMC4" s="28"/>
      <c r="DMD4" s="28"/>
      <c r="DME4" s="28"/>
      <c r="DMF4" s="28"/>
      <c r="DMG4" s="28"/>
      <c r="DMH4" s="28"/>
      <c r="DMI4" s="28"/>
      <c r="DMJ4" s="28"/>
      <c r="DMK4" s="28"/>
      <c r="DML4" s="28"/>
      <c r="DMM4" s="28"/>
      <c r="DMN4" s="28"/>
      <c r="DMO4" s="28"/>
      <c r="DMP4" s="28"/>
      <c r="DMQ4" s="28"/>
      <c r="DMR4" s="28"/>
      <c r="DMS4" s="28"/>
      <c r="DMT4" s="28"/>
      <c r="DMU4" s="28"/>
      <c r="DMV4" s="28"/>
      <c r="DMW4" s="28"/>
      <c r="DMX4" s="28"/>
      <c r="DMY4" s="28"/>
      <c r="DMZ4" s="28"/>
      <c r="DNA4" s="28"/>
      <c r="DNB4" s="28"/>
      <c r="DNC4" s="28"/>
      <c r="DND4" s="28"/>
      <c r="DNE4" s="28"/>
      <c r="DNF4" s="28"/>
      <c r="DNG4" s="28"/>
      <c r="DNH4" s="28"/>
      <c r="DNI4" s="28"/>
      <c r="DNJ4" s="28"/>
      <c r="DNK4" s="28"/>
      <c r="DNL4" s="28"/>
      <c r="DNM4" s="28"/>
      <c r="DNN4" s="28"/>
      <c r="DNO4" s="28"/>
      <c r="DNP4" s="28"/>
      <c r="DNQ4" s="28"/>
      <c r="DNR4" s="28"/>
      <c r="DNS4" s="28"/>
      <c r="DNT4" s="28"/>
      <c r="DNU4" s="28"/>
      <c r="DNV4" s="28"/>
      <c r="DNW4" s="28"/>
      <c r="DNX4" s="28"/>
      <c r="DNY4" s="28"/>
      <c r="DNZ4" s="28"/>
      <c r="DOA4" s="28"/>
      <c r="DOB4" s="28"/>
      <c r="DOC4" s="28"/>
      <c r="DOD4" s="28"/>
      <c r="DOE4" s="28"/>
      <c r="DOF4" s="28"/>
      <c r="DOG4" s="28"/>
      <c r="DOH4" s="28"/>
      <c r="DOI4" s="28"/>
      <c r="DOJ4" s="28"/>
      <c r="DOK4" s="28"/>
      <c r="DOL4" s="28"/>
      <c r="DOM4" s="28"/>
      <c r="DON4" s="28"/>
      <c r="DOO4" s="28"/>
      <c r="DOP4" s="28"/>
      <c r="DOQ4" s="28"/>
      <c r="DOR4" s="28"/>
      <c r="DOS4" s="28"/>
      <c r="DOT4" s="28"/>
      <c r="DOU4" s="28"/>
      <c r="DOV4" s="28"/>
      <c r="DOW4" s="28"/>
      <c r="DOX4" s="28"/>
      <c r="DOY4" s="28"/>
      <c r="DOZ4" s="28"/>
      <c r="DPA4" s="28"/>
      <c r="DPB4" s="28"/>
      <c r="DPC4" s="28"/>
      <c r="DPD4" s="28"/>
      <c r="DPE4" s="28"/>
      <c r="DPF4" s="28"/>
      <c r="DPG4" s="28"/>
      <c r="DPH4" s="28"/>
      <c r="DPI4" s="28"/>
      <c r="DPJ4" s="28"/>
      <c r="DPK4" s="28"/>
      <c r="DPL4" s="28"/>
      <c r="DPM4" s="28"/>
      <c r="DPN4" s="28"/>
      <c r="DPO4" s="28"/>
      <c r="DPP4" s="28"/>
      <c r="DPQ4" s="28"/>
      <c r="DPR4" s="28"/>
      <c r="DPS4" s="28"/>
      <c r="DPT4" s="28"/>
      <c r="DPU4" s="28"/>
      <c r="DPV4" s="28"/>
      <c r="DPW4" s="28"/>
      <c r="DPX4" s="28"/>
      <c r="DPY4" s="28"/>
      <c r="DPZ4" s="28"/>
      <c r="DQA4" s="28"/>
      <c r="DQB4" s="28"/>
      <c r="DQC4" s="28"/>
      <c r="DQD4" s="28"/>
      <c r="DQE4" s="28"/>
      <c r="DQF4" s="28"/>
      <c r="DQG4" s="28"/>
      <c r="DQH4" s="28"/>
      <c r="DQI4" s="28"/>
      <c r="DQJ4" s="28"/>
      <c r="DQK4" s="28"/>
      <c r="DQL4" s="28"/>
      <c r="DQM4" s="28"/>
      <c r="DQN4" s="28"/>
      <c r="DQO4" s="28"/>
      <c r="DQP4" s="28"/>
      <c r="DQQ4" s="28"/>
      <c r="DQR4" s="28"/>
      <c r="DQS4" s="28"/>
      <c r="DQT4" s="28"/>
      <c r="DQU4" s="28"/>
      <c r="DQV4" s="28"/>
      <c r="DQW4" s="28"/>
      <c r="DQX4" s="28"/>
      <c r="DQY4" s="28"/>
      <c r="DQZ4" s="28"/>
      <c r="DRA4" s="28"/>
      <c r="DRB4" s="28"/>
      <c r="DRC4" s="28"/>
      <c r="DRD4" s="28"/>
      <c r="DRE4" s="28"/>
      <c r="DRF4" s="28"/>
      <c r="DRG4" s="28"/>
      <c r="DRH4" s="28"/>
      <c r="DRI4" s="28"/>
      <c r="DRJ4" s="28"/>
      <c r="DRK4" s="28"/>
      <c r="DRL4" s="28"/>
      <c r="DRM4" s="28"/>
      <c r="DRN4" s="28"/>
      <c r="DRO4" s="28"/>
      <c r="DRP4" s="28"/>
      <c r="DRQ4" s="28"/>
      <c r="DRR4" s="28"/>
      <c r="DRS4" s="28"/>
      <c r="DRT4" s="28"/>
      <c r="DRU4" s="28"/>
      <c r="DRV4" s="28"/>
      <c r="DRW4" s="28"/>
      <c r="DRX4" s="28"/>
      <c r="DRY4" s="28"/>
      <c r="DRZ4" s="28"/>
      <c r="DSA4" s="28"/>
      <c r="DSB4" s="28"/>
      <c r="DSC4" s="28"/>
      <c r="DSD4" s="28"/>
      <c r="DSE4" s="28"/>
      <c r="DSF4" s="28"/>
      <c r="DSG4" s="28"/>
      <c r="DSH4" s="28"/>
      <c r="DSI4" s="28"/>
      <c r="DSJ4" s="28"/>
      <c r="DSK4" s="28"/>
      <c r="DSL4" s="28"/>
      <c r="DSM4" s="28"/>
      <c r="DSN4" s="28"/>
      <c r="DSO4" s="28"/>
      <c r="DSP4" s="28"/>
      <c r="DSQ4" s="28"/>
      <c r="DSR4" s="28"/>
      <c r="DSS4" s="28"/>
      <c r="DST4" s="28"/>
      <c r="DSU4" s="28"/>
      <c r="DSV4" s="28"/>
      <c r="DSW4" s="28"/>
      <c r="DSX4" s="28"/>
      <c r="DSY4" s="28"/>
      <c r="DSZ4" s="28"/>
      <c r="DTA4" s="28"/>
      <c r="DTB4" s="28"/>
      <c r="DTC4" s="28"/>
      <c r="DTD4" s="28"/>
      <c r="DTE4" s="28"/>
      <c r="DTF4" s="28"/>
      <c r="DTG4" s="28"/>
      <c r="DTH4" s="28"/>
      <c r="DTI4" s="28"/>
      <c r="DTJ4" s="28"/>
      <c r="DTK4" s="28"/>
      <c r="DTL4" s="28"/>
      <c r="DTM4" s="28"/>
      <c r="DTN4" s="28"/>
      <c r="DTO4" s="28"/>
      <c r="DTP4" s="28"/>
      <c r="DTQ4" s="28"/>
      <c r="DTR4" s="28"/>
      <c r="DTS4" s="28"/>
      <c r="DTT4" s="28"/>
      <c r="DTU4" s="28"/>
      <c r="DTV4" s="28"/>
      <c r="DTW4" s="28"/>
      <c r="DTX4" s="28"/>
      <c r="DTY4" s="28"/>
      <c r="DTZ4" s="28"/>
      <c r="DUA4" s="28"/>
      <c r="DUB4" s="28"/>
      <c r="DUC4" s="28"/>
      <c r="DUD4" s="28"/>
      <c r="DUE4" s="28"/>
      <c r="DUF4" s="28"/>
      <c r="DUG4" s="28"/>
      <c r="DUH4" s="28"/>
      <c r="DUI4" s="28"/>
      <c r="DUJ4" s="28"/>
      <c r="DUK4" s="28"/>
      <c r="DUL4" s="28"/>
      <c r="DUM4" s="28"/>
      <c r="DUN4" s="28"/>
      <c r="DUO4" s="28"/>
      <c r="DUP4" s="28"/>
      <c r="DUQ4" s="28"/>
      <c r="DUR4" s="28"/>
      <c r="DUS4" s="28"/>
      <c r="DUT4" s="28"/>
      <c r="DUU4" s="28"/>
      <c r="DUV4" s="28"/>
      <c r="DUW4" s="28"/>
      <c r="DUX4" s="28"/>
      <c r="DUY4" s="28"/>
      <c r="DUZ4" s="28"/>
      <c r="DVA4" s="28"/>
      <c r="DVB4" s="28"/>
      <c r="DVC4" s="28"/>
      <c r="DVD4" s="28"/>
      <c r="DVE4" s="28"/>
      <c r="DVF4" s="28"/>
      <c r="DVG4" s="28"/>
      <c r="DVH4" s="28"/>
      <c r="DVI4" s="28"/>
      <c r="DVJ4" s="28"/>
      <c r="DVK4" s="28"/>
      <c r="DVL4" s="28"/>
      <c r="DVM4" s="28"/>
      <c r="DVN4" s="28"/>
      <c r="DVO4" s="28"/>
      <c r="DVP4" s="28"/>
      <c r="DVQ4" s="28"/>
      <c r="DVR4" s="28"/>
      <c r="DVS4" s="28"/>
      <c r="DVT4" s="28"/>
      <c r="DVU4" s="28"/>
      <c r="DVV4" s="28"/>
      <c r="DVW4" s="28"/>
      <c r="DVX4" s="28"/>
      <c r="DVY4" s="28"/>
      <c r="DVZ4" s="28"/>
      <c r="DWA4" s="28"/>
      <c r="DWB4" s="28"/>
      <c r="DWC4" s="28"/>
      <c r="DWD4" s="28"/>
      <c r="DWE4" s="28"/>
      <c r="DWF4" s="28"/>
      <c r="DWG4" s="28"/>
      <c r="DWH4" s="28"/>
      <c r="DWI4" s="28"/>
      <c r="DWJ4" s="28"/>
      <c r="DWK4" s="28"/>
      <c r="DWL4" s="28"/>
      <c r="DWM4" s="28"/>
      <c r="DWN4" s="28"/>
      <c r="DWO4" s="28"/>
      <c r="DWP4" s="28"/>
      <c r="DWQ4" s="28"/>
      <c r="DWR4" s="28"/>
      <c r="DWS4" s="28"/>
      <c r="DWT4" s="28"/>
      <c r="DWU4" s="28"/>
      <c r="DWV4" s="28"/>
      <c r="DWW4" s="28"/>
      <c r="DWX4" s="28"/>
      <c r="DWY4" s="28"/>
      <c r="DWZ4" s="28"/>
      <c r="DXA4" s="28"/>
      <c r="DXB4" s="28"/>
      <c r="DXC4" s="28"/>
      <c r="DXD4" s="28"/>
      <c r="DXE4" s="28"/>
      <c r="DXF4" s="28"/>
      <c r="DXG4" s="28"/>
      <c r="DXH4" s="28"/>
      <c r="DXI4" s="28"/>
      <c r="DXJ4" s="28"/>
      <c r="DXK4" s="28"/>
      <c r="DXL4" s="28"/>
      <c r="DXM4" s="28"/>
      <c r="DXN4" s="28"/>
      <c r="DXO4" s="28"/>
      <c r="DXP4" s="28"/>
      <c r="DXQ4" s="28"/>
      <c r="DXR4" s="28"/>
      <c r="DXS4" s="28"/>
      <c r="DXT4" s="28"/>
      <c r="DXU4" s="28"/>
      <c r="DXV4" s="28"/>
      <c r="DXW4" s="28"/>
      <c r="DXX4" s="28"/>
      <c r="DXY4" s="28"/>
      <c r="DXZ4" s="28"/>
      <c r="DYA4" s="28"/>
      <c r="DYB4" s="28"/>
      <c r="DYC4" s="28"/>
      <c r="DYD4" s="28"/>
      <c r="DYE4" s="28"/>
      <c r="DYF4" s="28"/>
      <c r="DYG4" s="28"/>
      <c r="DYH4" s="28"/>
      <c r="DYI4" s="28"/>
      <c r="DYJ4" s="28"/>
      <c r="DYK4" s="28"/>
      <c r="DYL4" s="28"/>
      <c r="DYM4" s="28"/>
      <c r="DYN4" s="28"/>
      <c r="DYO4" s="28"/>
      <c r="DYP4" s="28"/>
      <c r="DYQ4" s="28"/>
      <c r="DYR4" s="28"/>
      <c r="DYS4" s="28"/>
      <c r="DYT4" s="28"/>
      <c r="DYU4" s="28"/>
      <c r="DYV4" s="28"/>
      <c r="DYW4" s="28"/>
      <c r="DYX4" s="28"/>
      <c r="DYY4" s="28"/>
      <c r="DYZ4" s="28"/>
      <c r="DZA4" s="28"/>
      <c r="DZB4" s="28"/>
      <c r="DZC4" s="28"/>
      <c r="DZD4" s="28"/>
      <c r="DZE4" s="28"/>
      <c r="DZF4" s="28"/>
      <c r="DZG4" s="28"/>
      <c r="DZH4" s="28"/>
      <c r="DZI4" s="28"/>
      <c r="DZJ4" s="28"/>
      <c r="DZK4" s="28"/>
      <c r="DZL4" s="28"/>
      <c r="DZM4" s="28"/>
      <c r="DZN4" s="28"/>
      <c r="DZO4" s="28"/>
      <c r="DZP4" s="28"/>
      <c r="DZQ4" s="28"/>
      <c r="DZR4" s="28"/>
      <c r="DZS4" s="28"/>
      <c r="DZT4" s="28"/>
      <c r="DZU4" s="28"/>
      <c r="DZV4" s="28"/>
      <c r="DZW4" s="28"/>
      <c r="DZX4" s="28"/>
      <c r="DZY4" s="28"/>
      <c r="DZZ4" s="28"/>
      <c r="EAA4" s="28"/>
      <c r="EAB4" s="28"/>
      <c r="EAC4" s="28"/>
      <c r="EAD4" s="28"/>
      <c r="EAE4" s="28"/>
      <c r="EAF4" s="28"/>
      <c r="EAG4" s="28"/>
      <c r="EAH4" s="28"/>
      <c r="EAI4" s="28"/>
      <c r="EAJ4" s="28"/>
      <c r="EAK4" s="28"/>
      <c r="EAL4" s="28"/>
      <c r="EAM4" s="28"/>
      <c r="EAN4" s="28"/>
      <c r="EAO4" s="28"/>
      <c r="EAP4" s="28"/>
      <c r="EAQ4" s="28"/>
      <c r="EAR4" s="28"/>
      <c r="EAS4" s="28"/>
      <c r="EAT4" s="28"/>
      <c r="EAU4" s="28"/>
      <c r="EAV4" s="28"/>
      <c r="EAW4" s="28"/>
      <c r="EAX4" s="28"/>
      <c r="EAY4" s="28"/>
      <c r="EAZ4" s="28"/>
      <c r="EBA4" s="28"/>
      <c r="EBB4" s="28"/>
      <c r="EBC4" s="28"/>
      <c r="EBD4" s="28"/>
      <c r="EBE4" s="28"/>
      <c r="EBF4" s="28"/>
      <c r="EBG4" s="28"/>
      <c r="EBH4" s="28"/>
      <c r="EBI4" s="28"/>
      <c r="EBJ4" s="28"/>
      <c r="EBK4" s="28"/>
      <c r="EBL4" s="28"/>
      <c r="EBM4" s="28"/>
      <c r="EBN4" s="28"/>
      <c r="EBO4" s="28"/>
      <c r="EBP4" s="28"/>
      <c r="EBQ4" s="28"/>
      <c r="EBR4" s="28"/>
      <c r="EBS4" s="28"/>
      <c r="EBT4" s="28"/>
      <c r="EBU4" s="28"/>
      <c r="EBV4" s="28"/>
      <c r="EBW4" s="28"/>
      <c r="EBX4" s="28"/>
      <c r="EBY4" s="28"/>
      <c r="EBZ4" s="28"/>
      <c r="ECA4" s="28"/>
      <c r="ECB4" s="28"/>
      <c r="ECC4" s="28"/>
      <c r="ECD4" s="28"/>
      <c r="ECE4" s="28"/>
      <c r="ECF4" s="28"/>
      <c r="ECG4" s="28"/>
      <c r="ECH4" s="28"/>
      <c r="ECI4" s="28"/>
      <c r="ECJ4" s="28"/>
      <c r="ECK4" s="28"/>
      <c r="ECL4" s="28"/>
      <c r="ECM4" s="28"/>
      <c r="ECN4" s="28"/>
      <c r="ECO4" s="28"/>
      <c r="ECP4" s="28"/>
      <c r="ECQ4" s="28"/>
      <c r="ECR4" s="28"/>
      <c r="ECS4" s="28"/>
      <c r="ECT4" s="28"/>
      <c r="ECU4" s="28"/>
      <c r="ECV4" s="28"/>
      <c r="ECW4" s="28"/>
      <c r="ECX4" s="28"/>
      <c r="ECY4" s="28"/>
      <c r="ECZ4" s="28"/>
      <c r="EDA4" s="28"/>
      <c r="EDB4" s="28"/>
      <c r="EDC4" s="28"/>
      <c r="EDD4" s="28"/>
      <c r="EDE4" s="28"/>
      <c r="EDF4" s="28"/>
      <c r="EDG4" s="28"/>
      <c r="EDH4" s="28"/>
      <c r="EDI4" s="28"/>
      <c r="EDJ4" s="28"/>
      <c r="EDK4" s="28"/>
      <c r="EDL4" s="28"/>
      <c r="EDM4" s="28"/>
      <c r="EDN4" s="28"/>
      <c r="EDO4" s="28"/>
      <c r="EDP4" s="28"/>
      <c r="EDQ4" s="28"/>
      <c r="EDR4" s="28"/>
      <c r="EDS4" s="28"/>
      <c r="EDT4" s="28"/>
      <c r="EDU4" s="28"/>
      <c r="EDV4" s="28"/>
      <c r="EDW4" s="28"/>
      <c r="EDX4" s="28"/>
      <c r="EDY4" s="28"/>
      <c r="EDZ4" s="28"/>
      <c r="EEA4" s="28"/>
      <c r="EEB4" s="28"/>
      <c r="EEC4" s="28"/>
      <c r="EED4" s="28"/>
      <c r="EEE4" s="28"/>
      <c r="EEF4" s="28"/>
      <c r="EEG4" s="28"/>
      <c r="EEH4" s="28"/>
      <c r="EEI4" s="28"/>
      <c r="EEJ4" s="28"/>
      <c r="EEK4" s="28"/>
      <c r="EEL4" s="28"/>
      <c r="EEM4" s="28"/>
      <c r="EEN4" s="28"/>
      <c r="EEO4" s="28"/>
      <c r="EEP4" s="28"/>
      <c r="EEQ4" s="28"/>
      <c r="EER4" s="28"/>
      <c r="EES4" s="28"/>
      <c r="EET4" s="28"/>
      <c r="EEU4" s="28"/>
      <c r="EEV4" s="28"/>
      <c r="EEW4" s="28"/>
      <c r="EEX4" s="28"/>
      <c r="EEY4" s="28"/>
      <c r="EEZ4" s="28"/>
      <c r="EFA4" s="28"/>
      <c r="EFB4" s="28"/>
      <c r="EFC4" s="28"/>
      <c r="EFD4" s="28"/>
      <c r="EFE4" s="28"/>
      <c r="EFF4" s="28"/>
      <c r="EFG4" s="28"/>
      <c r="EFH4" s="28"/>
      <c r="EFI4" s="28"/>
      <c r="EFJ4" s="28"/>
      <c r="EFK4" s="28"/>
      <c r="EFL4" s="28"/>
      <c r="EFM4" s="28"/>
      <c r="EFN4" s="28"/>
      <c r="EFO4" s="28"/>
      <c r="EFP4" s="28"/>
      <c r="EFQ4" s="28"/>
      <c r="EFR4" s="28"/>
      <c r="EFS4" s="28"/>
      <c r="EFT4" s="28"/>
      <c r="EFU4" s="28"/>
      <c r="EFV4" s="28"/>
      <c r="EFW4" s="28"/>
      <c r="EFX4" s="28"/>
      <c r="EFY4" s="28"/>
      <c r="EFZ4" s="28"/>
      <c r="EGA4" s="28"/>
      <c r="EGB4" s="28"/>
      <c r="EGC4" s="28"/>
      <c r="EGD4" s="28"/>
      <c r="EGE4" s="28"/>
      <c r="EGF4" s="28"/>
      <c r="EGG4" s="28"/>
      <c r="EGH4" s="28"/>
      <c r="EGI4" s="28"/>
      <c r="EGJ4" s="28"/>
      <c r="EGK4" s="28"/>
      <c r="EGL4" s="28"/>
      <c r="EGM4" s="28"/>
      <c r="EGN4" s="28"/>
      <c r="EGO4" s="28"/>
      <c r="EGP4" s="28"/>
      <c r="EGQ4" s="28"/>
      <c r="EGR4" s="28"/>
      <c r="EGS4" s="28"/>
      <c r="EGT4" s="28"/>
      <c r="EGU4" s="28"/>
      <c r="EGV4" s="28"/>
      <c r="EGW4" s="28"/>
      <c r="EGX4" s="28"/>
      <c r="EGY4" s="28"/>
      <c r="EGZ4" s="28"/>
      <c r="EHA4" s="28"/>
      <c r="EHB4" s="28"/>
      <c r="EHC4" s="28"/>
      <c r="EHD4" s="28"/>
      <c r="EHE4" s="28"/>
      <c r="EHF4" s="28"/>
      <c r="EHG4" s="28"/>
      <c r="EHH4" s="28"/>
      <c r="EHI4" s="28"/>
      <c r="EHJ4" s="28"/>
      <c r="EHK4" s="28"/>
      <c r="EHL4" s="28"/>
      <c r="EHM4" s="28"/>
      <c r="EHN4" s="28"/>
      <c r="EHO4" s="28"/>
      <c r="EHP4" s="28"/>
      <c r="EHQ4" s="28"/>
      <c r="EHR4" s="28"/>
      <c r="EHS4" s="28"/>
      <c r="EHT4" s="28"/>
      <c r="EHU4" s="28"/>
      <c r="EHV4" s="28"/>
      <c r="EHW4" s="28"/>
      <c r="EHX4" s="28"/>
      <c r="EHY4" s="28"/>
      <c r="EHZ4" s="28"/>
      <c r="EIA4" s="28"/>
      <c r="EIB4" s="28"/>
      <c r="EIC4" s="28"/>
      <c r="EID4" s="28"/>
      <c r="EIE4" s="28"/>
      <c r="EIF4" s="28"/>
      <c r="EIG4" s="28"/>
      <c r="EIH4" s="28"/>
      <c r="EII4" s="28"/>
      <c r="EIJ4" s="28"/>
      <c r="EIK4" s="28"/>
      <c r="EIL4" s="28"/>
      <c r="EIM4" s="28"/>
      <c r="EIN4" s="28"/>
      <c r="EIO4" s="28"/>
      <c r="EIP4" s="28"/>
      <c r="EIQ4" s="28"/>
      <c r="EIR4" s="28"/>
      <c r="EIS4" s="28"/>
      <c r="EIT4" s="28"/>
      <c r="EIU4" s="28"/>
      <c r="EIV4" s="28"/>
      <c r="EIW4" s="28"/>
      <c r="EIX4" s="28"/>
      <c r="EIY4" s="28"/>
      <c r="EIZ4" s="28"/>
      <c r="EJA4" s="28"/>
      <c r="EJB4" s="28"/>
      <c r="EJC4" s="28"/>
      <c r="EJD4" s="28"/>
      <c r="EJE4" s="28"/>
      <c r="EJF4" s="28"/>
      <c r="EJG4" s="28"/>
      <c r="EJH4" s="28"/>
      <c r="EJI4" s="28"/>
      <c r="EJJ4" s="28"/>
      <c r="EJK4" s="28"/>
      <c r="EJL4" s="28"/>
      <c r="EJM4" s="28"/>
      <c r="EJN4" s="28"/>
      <c r="EJO4" s="28"/>
      <c r="EJP4" s="28"/>
      <c r="EJQ4" s="28"/>
      <c r="EJR4" s="28"/>
      <c r="EJS4" s="28"/>
      <c r="EJT4" s="28"/>
      <c r="EJU4" s="28"/>
      <c r="EJV4" s="28"/>
      <c r="EJW4" s="28"/>
      <c r="EJX4" s="28"/>
      <c r="EJY4" s="28"/>
      <c r="EJZ4" s="28"/>
      <c r="EKA4" s="28"/>
      <c r="EKB4" s="28"/>
      <c r="EKC4" s="28"/>
      <c r="EKD4" s="28"/>
      <c r="EKE4" s="28"/>
      <c r="EKF4" s="28"/>
      <c r="EKG4" s="28"/>
      <c r="EKH4" s="28"/>
      <c r="EKI4" s="28"/>
      <c r="EKJ4" s="28"/>
      <c r="EKK4" s="28"/>
      <c r="EKL4" s="28"/>
      <c r="EKM4" s="28"/>
      <c r="EKN4" s="28"/>
      <c r="EKO4" s="28"/>
      <c r="EKP4" s="28"/>
      <c r="EKQ4" s="28"/>
      <c r="EKR4" s="28"/>
      <c r="EKS4" s="28"/>
      <c r="EKT4" s="28"/>
      <c r="EKU4" s="28"/>
      <c r="EKV4" s="28"/>
      <c r="EKW4" s="28"/>
      <c r="EKX4" s="28"/>
      <c r="EKY4" s="28"/>
      <c r="EKZ4" s="28"/>
      <c r="ELA4" s="28"/>
      <c r="ELB4" s="28"/>
      <c r="ELC4" s="28"/>
      <c r="ELD4" s="28"/>
      <c r="ELE4" s="28"/>
      <c r="ELF4" s="28"/>
      <c r="ELG4" s="28"/>
      <c r="ELH4" s="28"/>
      <c r="ELI4" s="28"/>
      <c r="ELJ4" s="28"/>
      <c r="ELK4" s="28"/>
      <c r="ELL4" s="28"/>
      <c r="ELM4" s="28"/>
      <c r="ELN4" s="28"/>
      <c r="ELO4" s="28"/>
      <c r="ELP4" s="28"/>
      <c r="ELQ4" s="28"/>
      <c r="ELR4" s="28"/>
      <c r="ELS4" s="28"/>
      <c r="ELT4" s="28"/>
      <c r="ELU4" s="28"/>
      <c r="ELV4" s="28"/>
      <c r="ELW4" s="28"/>
      <c r="ELX4" s="28"/>
      <c r="ELY4" s="28"/>
      <c r="ELZ4" s="28"/>
      <c r="EMA4" s="28"/>
      <c r="EMB4" s="28"/>
      <c r="EMC4" s="28"/>
      <c r="EMD4" s="28"/>
      <c r="EME4" s="28"/>
      <c r="EMF4" s="28"/>
      <c r="EMG4" s="28"/>
      <c r="EMH4" s="28"/>
      <c r="EMI4" s="28"/>
      <c r="EMJ4" s="28"/>
      <c r="EMK4" s="28"/>
      <c r="EML4" s="28"/>
      <c r="EMM4" s="28"/>
      <c r="EMN4" s="28"/>
      <c r="EMO4" s="28"/>
      <c r="EMP4" s="28"/>
      <c r="EMQ4" s="28"/>
      <c r="EMR4" s="28"/>
      <c r="EMS4" s="28"/>
      <c r="EMT4" s="28"/>
      <c r="EMU4" s="28"/>
      <c r="EMV4" s="28"/>
      <c r="EMW4" s="28"/>
      <c r="EMX4" s="28"/>
      <c r="EMY4" s="28"/>
      <c r="EMZ4" s="28"/>
      <c r="ENA4" s="28"/>
      <c r="ENB4" s="28"/>
      <c r="ENC4" s="28"/>
      <c r="END4" s="28"/>
      <c r="ENE4" s="28"/>
      <c r="ENF4" s="28"/>
      <c r="ENG4" s="28"/>
      <c r="ENH4" s="28"/>
      <c r="ENI4" s="28"/>
      <c r="ENJ4" s="28"/>
      <c r="ENK4" s="28"/>
      <c r="ENL4" s="28"/>
      <c r="ENM4" s="28"/>
      <c r="ENN4" s="28"/>
      <c r="ENO4" s="28"/>
      <c r="ENP4" s="28"/>
      <c r="ENQ4" s="28"/>
      <c r="ENR4" s="28"/>
      <c r="ENS4" s="28"/>
      <c r="ENT4" s="28"/>
      <c r="ENU4" s="28"/>
      <c r="ENV4" s="28"/>
      <c r="ENW4" s="28"/>
      <c r="ENX4" s="28"/>
      <c r="ENY4" s="28"/>
      <c r="ENZ4" s="28"/>
      <c r="EOA4" s="28"/>
      <c r="EOB4" s="28"/>
      <c r="EOC4" s="28"/>
      <c r="EOD4" s="28"/>
      <c r="EOE4" s="28"/>
      <c r="EOF4" s="28"/>
      <c r="EOG4" s="28"/>
      <c r="EOH4" s="28"/>
      <c r="EOI4" s="28"/>
      <c r="EOJ4" s="28"/>
      <c r="EOK4" s="28"/>
      <c r="EOL4" s="28"/>
      <c r="EOM4" s="28"/>
      <c r="EON4" s="28"/>
      <c r="EOO4" s="28"/>
      <c r="EOP4" s="28"/>
      <c r="EOQ4" s="28"/>
      <c r="EOR4" s="28"/>
      <c r="EOS4" s="28"/>
      <c r="EOT4" s="28"/>
      <c r="EOU4" s="28"/>
      <c r="EOV4" s="28"/>
      <c r="EOW4" s="28"/>
      <c r="EOX4" s="28"/>
      <c r="EOY4" s="28"/>
      <c r="EOZ4" s="28"/>
      <c r="EPA4" s="28"/>
      <c r="EPB4" s="28"/>
      <c r="EPC4" s="28"/>
      <c r="EPD4" s="28"/>
      <c r="EPE4" s="28"/>
      <c r="EPF4" s="28"/>
      <c r="EPG4" s="28"/>
      <c r="EPH4" s="28"/>
      <c r="EPI4" s="28"/>
      <c r="EPJ4" s="28"/>
      <c r="EPK4" s="28"/>
      <c r="EPL4" s="28"/>
      <c r="EPM4" s="28"/>
      <c r="EPN4" s="28"/>
      <c r="EPO4" s="28"/>
      <c r="EPP4" s="28"/>
      <c r="EPQ4" s="28"/>
      <c r="EPR4" s="28"/>
      <c r="EPS4" s="28"/>
      <c r="EPT4" s="28"/>
      <c r="EPU4" s="28"/>
      <c r="EPV4" s="28"/>
      <c r="EPW4" s="28"/>
      <c r="EPX4" s="28"/>
      <c r="EPY4" s="28"/>
      <c r="EPZ4" s="28"/>
      <c r="EQA4" s="28"/>
      <c r="EQB4" s="28"/>
      <c r="EQC4" s="28"/>
      <c r="EQD4" s="28"/>
      <c r="EQE4" s="28"/>
      <c r="EQF4" s="28"/>
      <c r="EQG4" s="28"/>
      <c r="EQH4" s="28"/>
      <c r="EQI4" s="28"/>
      <c r="EQJ4" s="28"/>
      <c r="EQK4" s="28"/>
      <c r="EQL4" s="28"/>
      <c r="EQM4" s="28"/>
      <c r="EQN4" s="28"/>
      <c r="EQO4" s="28"/>
      <c r="EQP4" s="28"/>
      <c r="EQQ4" s="28"/>
      <c r="EQR4" s="28"/>
      <c r="EQS4" s="28"/>
      <c r="EQT4" s="28"/>
      <c r="EQU4" s="28"/>
      <c r="EQV4" s="28"/>
      <c r="EQW4" s="28"/>
      <c r="EQX4" s="28"/>
      <c r="EQY4" s="28"/>
      <c r="EQZ4" s="28"/>
      <c r="ERA4" s="28"/>
      <c r="ERB4" s="28"/>
      <c r="ERC4" s="28"/>
      <c r="ERD4" s="28"/>
      <c r="ERE4" s="28"/>
      <c r="ERF4" s="28"/>
      <c r="ERG4" s="28"/>
      <c r="ERH4" s="28"/>
      <c r="ERI4" s="28"/>
      <c r="ERJ4" s="28"/>
      <c r="ERK4" s="28"/>
      <c r="ERL4" s="28"/>
      <c r="ERM4" s="28"/>
      <c r="ERN4" s="28"/>
      <c r="ERO4" s="28"/>
      <c r="ERP4" s="28"/>
      <c r="ERQ4" s="28"/>
      <c r="ERR4" s="28"/>
      <c r="ERS4" s="28"/>
      <c r="ERT4" s="28"/>
      <c r="ERU4" s="28"/>
      <c r="ERV4" s="28"/>
      <c r="ERW4" s="28"/>
      <c r="ERX4" s="28"/>
      <c r="ERY4" s="28"/>
      <c r="ERZ4" s="28"/>
      <c r="ESA4" s="28"/>
      <c r="ESB4" s="28"/>
      <c r="ESC4" s="28"/>
      <c r="ESD4" s="28"/>
      <c r="ESE4" s="28"/>
      <c r="ESF4" s="28"/>
      <c r="ESG4" s="28"/>
      <c r="ESH4" s="28"/>
      <c r="ESI4" s="28"/>
      <c r="ESJ4" s="28"/>
      <c r="ESK4" s="28"/>
      <c r="ESL4" s="28"/>
      <c r="ESM4" s="28"/>
      <c r="ESN4" s="28"/>
      <c r="ESO4" s="28"/>
      <c r="ESP4" s="28"/>
      <c r="ESQ4" s="28"/>
      <c r="ESR4" s="28"/>
      <c r="ESS4" s="28"/>
      <c r="EST4" s="28"/>
      <c r="ESU4" s="28"/>
      <c r="ESV4" s="28"/>
      <c r="ESW4" s="28"/>
      <c r="ESX4" s="28"/>
      <c r="ESY4" s="28"/>
      <c r="ESZ4" s="28"/>
      <c r="ETA4" s="28"/>
      <c r="ETB4" s="28"/>
      <c r="ETC4" s="28"/>
      <c r="ETD4" s="28"/>
      <c r="ETE4" s="28"/>
      <c r="ETF4" s="28"/>
      <c r="ETG4" s="28"/>
      <c r="ETH4" s="28"/>
      <c r="ETI4" s="28"/>
      <c r="ETJ4" s="28"/>
      <c r="ETK4" s="28"/>
      <c r="ETL4" s="28"/>
      <c r="ETM4" s="28"/>
      <c r="ETN4" s="28"/>
      <c r="ETO4" s="28"/>
      <c r="ETP4" s="28"/>
      <c r="ETQ4" s="28"/>
      <c r="ETR4" s="28"/>
      <c r="ETS4" s="28"/>
      <c r="ETT4" s="28"/>
      <c r="ETU4" s="28"/>
      <c r="ETV4" s="28"/>
      <c r="ETW4" s="28"/>
      <c r="ETX4" s="28"/>
      <c r="ETY4" s="28"/>
      <c r="ETZ4" s="28"/>
      <c r="EUA4" s="28"/>
      <c r="EUB4" s="28"/>
      <c r="EUC4" s="28"/>
      <c r="EUD4" s="28"/>
      <c r="EUE4" s="28"/>
      <c r="EUF4" s="28"/>
      <c r="EUG4" s="28"/>
      <c r="EUH4" s="28"/>
      <c r="EUI4" s="28"/>
      <c r="EUJ4" s="28"/>
      <c r="EUK4" s="28"/>
      <c r="EUL4" s="28"/>
      <c r="EUM4" s="28"/>
      <c r="EUN4" s="28"/>
      <c r="EUO4" s="28"/>
      <c r="EUP4" s="28"/>
      <c r="EUQ4" s="28"/>
      <c r="EUR4" s="28"/>
      <c r="EUS4" s="28"/>
      <c r="EUT4" s="28"/>
      <c r="EUU4" s="28"/>
      <c r="EUV4" s="28"/>
      <c r="EUW4" s="28"/>
      <c r="EUX4" s="28"/>
      <c r="EUY4" s="28"/>
      <c r="EUZ4" s="28"/>
      <c r="EVA4" s="28"/>
      <c r="EVB4" s="28"/>
      <c r="EVC4" s="28"/>
      <c r="EVD4" s="28"/>
      <c r="EVE4" s="28"/>
      <c r="EVF4" s="28"/>
      <c r="EVG4" s="28"/>
      <c r="EVH4" s="28"/>
      <c r="EVI4" s="28"/>
      <c r="EVJ4" s="28"/>
      <c r="EVK4" s="28"/>
      <c r="EVL4" s="28"/>
      <c r="EVM4" s="28"/>
      <c r="EVN4" s="28"/>
      <c r="EVO4" s="28"/>
      <c r="EVP4" s="28"/>
      <c r="EVQ4" s="28"/>
      <c r="EVR4" s="28"/>
      <c r="EVS4" s="28"/>
      <c r="EVT4" s="28"/>
      <c r="EVU4" s="28"/>
      <c r="EVV4" s="28"/>
      <c r="EVW4" s="28"/>
      <c r="EVX4" s="28"/>
      <c r="EVY4" s="28"/>
      <c r="EVZ4" s="28"/>
      <c r="EWA4" s="28"/>
      <c r="EWB4" s="28"/>
      <c r="EWC4" s="28"/>
      <c r="EWD4" s="28"/>
      <c r="EWE4" s="28"/>
      <c r="EWF4" s="28"/>
      <c r="EWG4" s="28"/>
      <c r="EWH4" s="28"/>
      <c r="EWI4" s="28"/>
      <c r="EWJ4" s="28"/>
      <c r="EWK4" s="28"/>
      <c r="EWL4" s="28"/>
      <c r="EWM4" s="28"/>
      <c r="EWN4" s="28"/>
      <c r="EWO4" s="28"/>
      <c r="EWP4" s="28"/>
      <c r="EWQ4" s="28"/>
      <c r="EWR4" s="28"/>
      <c r="EWS4" s="28"/>
      <c r="EWT4" s="28"/>
      <c r="EWU4" s="28"/>
      <c r="EWV4" s="28"/>
      <c r="EWW4" s="28"/>
      <c r="EWX4" s="28"/>
      <c r="EWY4" s="28"/>
      <c r="EWZ4" s="28"/>
      <c r="EXA4" s="28"/>
      <c r="EXB4" s="28"/>
      <c r="EXC4" s="28"/>
      <c r="EXD4" s="28"/>
      <c r="EXE4" s="28"/>
      <c r="EXF4" s="28"/>
      <c r="EXG4" s="28"/>
      <c r="EXH4" s="28"/>
      <c r="EXI4" s="28"/>
      <c r="EXJ4" s="28"/>
      <c r="EXK4" s="28"/>
      <c r="EXL4" s="28"/>
      <c r="EXM4" s="28"/>
      <c r="EXN4" s="28"/>
      <c r="EXO4" s="28"/>
      <c r="EXP4" s="28"/>
      <c r="EXQ4" s="28"/>
      <c r="EXR4" s="28"/>
      <c r="EXS4" s="28"/>
      <c r="EXT4" s="28"/>
      <c r="EXU4" s="28"/>
      <c r="EXV4" s="28"/>
      <c r="EXW4" s="28"/>
      <c r="EXX4" s="28"/>
      <c r="EXY4" s="28"/>
      <c r="EXZ4" s="28"/>
      <c r="EYA4" s="28"/>
      <c r="EYB4" s="28"/>
      <c r="EYC4" s="28"/>
      <c r="EYD4" s="28"/>
      <c r="EYE4" s="28"/>
      <c r="EYF4" s="28"/>
      <c r="EYG4" s="28"/>
      <c r="EYH4" s="28"/>
      <c r="EYI4" s="28"/>
      <c r="EYJ4" s="28"/>
      <c r="EYK4" s="28"/>
      <c r="EYL4" s="28"/>
      <c r="EYM4" s="28"/>
      <c r="EYN4" s="28"/>
      <c r="EYO4" s="28"/>
      <c r="EYP4" s="28"/>
      <c r="EYQ4" s="28"/>
      <c r="EYR4" s="28"/>
      <c r="EYS4" s="28"/>
      <c r="EYT4" s="28"/>
      <c r="EYU4" s="28"/>
      <c r="EYV4" s="28"/>
      <c r="EYW4" s="28"/>
      <c r="EYX4" s="28"/>
      <c r="EYY4" s="28"/>
      <c r="EYZ4" s="28"/>
      <c r="EZA4" s="28"/>
      <c r="EZB4" s="28"/>
      <c r="EZC4" s="28"/>
      <c r="EZD4" s="28"/>
      <c r="EZE4" s="28"/>
      <c r="EZF4" s="28"/>
      <c r="EZG4" s="28"/>
      <c r="EZH4" s="28"/>
      <c r="EZI4" s="28"/>
      <c r="EZJ4" s="28"/>
      <c r="EZK4" s="28"/>
      <c r="EZL4" s="28"/>
      <c r="EZM4" s="28"/>
      <c r="EZN4" s="28"/>
      <c r="EZO4" s="28"/>
      <c r="EZP4" s="28"/>
      <c r="EZQ4" s="28"/>
      <c r="EZR4" s="28"/>
      <c r="EZS4" s="28"/>
      <c r="EZT4" s="28"/>
      <c r="EZU4" s="28"/>
      <c r="EZV4" s="28"/>
      <c r="EZW4" s="28"/>
      <c r="EZX4" s="28"/>
      <c r="EZY4" s="28"/>
      <c r="EZZ4" s="28"/>
      <c r="FAA4" s="28"/>
      <c r="FAB4" s="28"/>
      <c r="FAC4" s="28"/>
      <c r="FAD4" s="28"/>
      <c r="FAE4" s="28"/>
      <c r="FAF4" s="28"/>
      <c r="FAG4" s="28"/>
      <c r="FAH4" s="28"/>
      <c r="FAI4" s="28"/>
      <c r="FAJ4" s="28"/>
      <c r="FAK4" s="28"/>
      <c r="FAL4" s="28"/>
      <c r="FAM4" s="28"/>
      <c r="FAN4" s="28"/>
      <c r="FAO4" s="28"/>
      <c r="FAP4" s="28"/>
      <c r="FAQ4" s="28"/>
      <c r="FAR4" s="28"/>
      <c r="FAS4" s="28"/>
      <c r="FAT4" s="28"/>
      <c r="FAU4" s="28"/>
      <c r="FAV4" s="28"/>
      <c r="FAW4" s="28"/>
      <c r="FAX4" s="28"/>
      <c r="FAY4" s="28"/>
      <c r="FAZ4" s="28"/>
      <c r="FBA4" s="28"/>
      <c r="FBB4" s="28"/>
      <c r="FBC4" s="28"/>
      <c r="FBD4" s="28"/>
      <c r="FBE4" s="28"/>
      <c r="FBF4" s="28"/>
      <c r="FBG4" s="28"/>
      <c r="FBH4" s="28"/>
      <c r="FBI4" s="28"/>
      <c r="FBJ4" s="28"/>
      <c r="FBK4" s="28"/>
      <c r="FBL4" s="28"/>
      <c r="FBM4" s="28"/>
      <c r="FBN4" s="28"/>
      <c r="FBO4" s="28"/>
      <c r="FBP4" s="28"/>
      <c r="FBQ4" s="28"/>
      <c r="FBR4" s="28"/>
      <c r="FBS4" s="28"/>
      <c r="FBT4" s="28"/>
      <c r="FBU4" s="28"/>
      <c r="FBV4" s="28"/>
      <c r="FBW4" s="28"/>
      <c r="FBX4" s="28"/>
      <c r="FBY4" s="28"/>
      <c r="FBZ4" s="28"/>
      <c r="FCA4" s="28"/>
      <c r="FCB4" s="28"/>
      <c r="FCC4" s="28"/>
      <c r="FCD4" s="28"/>
      <c r="FCE4" s="28"/>
      <c r="FCF4" s="28"/>
      <c r="FCG4" s="28"/>
      <c r="FCH4" s="28"/>
      <c r="FCI4" s="28"/>
      <c r="FCJ4" s="28"/>
      <c r="FCK4" s="28"/>
      <c r="FCL4" s="28"/>
      <c r="FCM4" s="28"/>
      <c r="FCN4" s="28"/>
      <c r="FCO4" s="28"/>
      <c r="FCP4" s="28"/>
      <c r="FCQ4" s="28"/>
      <c r="FCR4" s="28"/>
      <c r="FCS4" s="28"/>
      <c r="FCT4" s="28"/>
      <c r="FCU4" s="28"/>
      <c r="FCV4" s="28"/>
      <c r="FCW4" s="28"/>
      <c r="FCX4" s="28"/>
      <c r="FCY4" s="28"/>
      <c r="FCZ4" s="28"/>
      <c r="FDA4" s="28"/>
      <c r="FDB4" s="28"/>
      <c r="FDC4" s="28"/>
      <c r="FDD4" s="28"/>
      <c r="FDE4" s="28"/>
      <c r="FDF4" s="28"/>
      <c r="FDG4" s="28"/>
      <c r="FDH4" s="28"/>
      <c r="FDI4" s="28"/>
      <c r="FDJ4" s="28"/>
      <c r="FDK4" s="28"/>
      <c r="FDL4" s="28"/>
      <c r="FDM4" s="28"/>
      <c r="FDN4" s="28"/>
      <c r="FDO4" s="28"/>
      <c r="FDP4" s="28"/>
      <c r="FDQ4" s="28"/>
      <c r="FDR4" s="28"/>
      <c r="FDS4" s="28"/>
      <c r="FDT4" s="28"/>
      <c r="FDU4" s="28"/>
      <c r="FDV4" s="28"/>
      <c r="FDW4" s="28"/>
      <c r="FDX4" s="28"/>
      <c r="FDY4" s="28"/>
      <c r="FDZ4" s="28"/>
      <c r="FEA4" s="28"/>
      <c r="FEB4" s="28"/>
      <c r="FEC4" s="28"/>
      <c r="FED4" s="28"/>
      <c r="FEE4" s="28"/>
      <c r="FEF4" s="28"/>
      <c r="FEG4" s="28"/>
      <c r="FEH4" s="28"/>
      <c r="FEI4" s="28"/>
      <c r="FEJ4" s="28"/>
      <c r="FEK4" s="28"/>
      <c r="FEL4" s="28"/>
      <c r="FEM4" s="28"/>
      <c r="FEN4" s="28"/>
      <c r="FEO4" s="28"/>
      <c r="FEP4" s="28"/>
      <c r="FEQ4" s="28"/>
      <c r="FER4" s="28"/>
      <c r="FES4" s="28"/>
      <c r="FET4" s="28"/>
      <c r="FEU4" s="28"/>
      <c r="FEV4" s="28"/>
      <c r="FEW4" s="28"/>
      <c r="FEX4" s="28"/>
      <c r="FEY4" s="28"/>
      <c r="FEZ4" s="28"/>
      <c r="FFA4" s="28"/>
      <c r="FFB4" s="28"/>
      <c r="FFC4" s="28"/>
      <c r="FFD4" s="28"/>
      <c r="FFE4" s="28"/>
      <c r="FFF4" s="28"/>
      <c r="FFG4" s="28"/>
      <c r="FFH4" s="28"/>
      <c r="FFI4" s="28"/>
      <c r="FFJ4" s="28"/>
      <c r="FFK4" s="28"/>
      <c r="FFL4" s="28"/>
      <c r="FFM4" s="28"/>
      <c r="FFN4" s="28"/>
      <c r="FFO4" s="28"/>
      <c r="FFP4" s="28"/>
      <c r="FFQ4" s="28"/>
      <c r="FFR4" s="28"/>
      <c r="FFS4" s="28"/>
      <c r="FFT4" s="28"/>
      <c r="FFU4" s="28"/>
      <c r="FFV4" s="28"/>
      <c r="FFW4" s="28"/>
      <c r="FFX4" s="28"/>
      <c r="FFY4" s="28"/>
      <c r="FFZ4" s="28"/>
      <c r="FGA4" s="28"/>
      <c r="FGB4" s="28"/>
      <c r="FGC4" s="28"/>
      <c r="FGD4" s="28"/>
      <c r="FGE4" s="28"/>
      <c r="FGF4" s="28"/>
      <c r="FGG4" s="28"/>
      <c r="FGH4" s="28"/>
      <c r="FGI4" s="28"/>
      <c r="FGJ4" s="28"/>
      <c r="FGK4" s="28"/>
      <c r="FGL4" s="28"/>
      <c r="FGM4" s="28"/>
      <c r="FGN4" s="28"/>
      <c r="FGO4" s="28"/>
      <c r="FGP4" s="28"/>
      <c r="FGQ4" s="28"/>
      <c r="FGR4" s="28"/>
      <c r="FGS4" s="28"/>
      <c r="FGT4" s="28"/>
      <c r="FGU4" s="28"/>
      <c r="FGV4" s="28"/>
      <c r="FGW4" s="28"/>
      <c r="FGX4" s="28"/>
      <c r="FGY4" s="28"/>
      <c r="FGZ4" s="28"/>
      <c r="FHA4" s="28"/>
      <c r="FHB4" s="28"/>
      <c r="FHC4" s="28"/>
      <c r="FHD4" s="28"/>
      <c r="FHE4" s="28"/>
      <c r="FHF4" s="28"/>
      <c r="FHG4" s="28"/>
      <c r="FHH4" s="28"/>
      <c r="FHI4" s="28"/>
      <c r="FHJ4" s="28"/>
      <c r="FHK4" s="28"/>
      <c r="FHL4" s="28"/>
      <c r="FHM4" s="28"/>
      <c r="FHN4" s="28"/>
      <c r="FHO4" s="28"/>
      <c r="FHP4" s="28"/>
      <c r="FHQ4" s="28"/>
      <c r="FHR4" s="28"/>
      <c r="FHS4" s="28"/>
      <c r="FHT4" s="28"/>
      <c r="FHU4" s="28"/>
      <c r="FHV4" s="28"/>
      <c r="FHW4" s="28"/>
      <c r="FHX4" s="28"/>
      <c r="FHY4" s="28"/>
      <c r="FHZ4" s="28"/>
      <c r="FIA4" s="28"/>
      <c r="FIB4" s="28"/>
      <c r="FIC4" s="28"/>
      <c r="FID4" s="28"/>
      <c r="FIE4" s="28"/>
      <c r="FIF4" s="28"/>
      <c r="FIG4" s="28"/>
      <c r="FIH4" s="28"/>
      <c r="FII4" s="28"/>
      <c r="FIJ4" s="28"/>
      <c r="FIK4" s="28"/>
      <c r="FIL4" s="28"/>
      <c r="FIM4" s="28"/>
      <c r="FIN4" s="28"/>
      <c r="FIO4" s="28"/>
      <c r="FIP4" s="28"/>
      <c r="FIQ4" s="28"/>
      <c r="FIR4" s="28"/>
      <c r="FIS4" s="28"/>
      <c r="FIT4" s="28"/>
      <c r="FIU4" s="28"/>
      <c r="FIV4" s="28"/>
      <c r="FIW4" s="28"/>
      <c r="FIX4" s="28"/>
      <c r="FIY4" s="28"/>
      <c r="FIZ4" s="28"/>
      <c r="FJA4" s="28"/>
      <c r="FJB4" s="28"/>
      <c r="FJC4" s="28"/>
      <c r="FJD4" s="28"/>
      <c r="FJE4" s="28"/>
      <c r="FJF4" s="28"/>
      <c r="FJG4" s="28"/>
      <c r="FJH4" s="28"/>
      <c r="FJI4" s="28"/>
      <c r="FJJ4" s="28"/>
      <c r="FJK4" s="28"/>
      <c r="FJL4" s="28"/>
      <c r="FJM4" s="28"/>
      <c r="FJN4" s="28"/>
      <c r="FJO4" s="28"/>
      <c r="FJP4" s="28"/>
      <c r="FJQ4" s="28"/>
      <c r="FJR4" s="28"/>
      <c r="FJS4" s="28"/>
      <c r="FJT4" s="28"/>
      <c r="FJU4" s="28"/>
      <c r="FJV4" s="28"/>
      <c r="FJW4" s="28"/>
      <c r="FJX4" s="28"/>
      <c r="FJY4" s="28"/>
      <c r="FJZ4" s="28"/>
      <c r="FKA4" s="28"/>
      <c r="FKB4" s="28"/>
      <c r="FKC4" s="28"/>
      <c r="FKD4" s="28"/>
      <c r="FKE4" s="28"/>
      <c r="FKF4" s="28"/>
      <c r="FKG4" s="28"/>
      <c r="FKH4" s="28"/>
      <c r="FKI4" s="28"/>
      <c r="FKJ4" s="28"/>
      <c r="FKK4" s="28"/>
      <c r="FKL4" s="28"/>
      <c r="FKM4" s="28"/>
      <c r="FKN4" s="28"/>
      <c r="FKO4" s="28"/>
      <c r="FKP4" s="28"/>
      <c r="FKQ4" s="28"/>
      <c r="FKR4" s="28"/>
      <c r="FKS4" s="28"/>
      <c r="FKT4" s="28"/>
      <c r="FKU4" s="28"/>
      <c r="FKV4" s="28"/>
      <c r="FKW4" s="28"/>
      <c r="FKX4" s="28"/>
      <c r="FKY4" s="28"/>
      <c r="FKZ4" s="28"/>
      <c r="FLA4" s="28"/>
      <c r="FLB4" s="28"/>
      <c r="FLC4" s="28"/>
      <c r="FLD4" s="28"/>
      <c r="FLE4" s="28"/>
      <c r="FLF4" s="28"/>
      <c r="FLG4" s="28"/>
      <c r="FLH4" s="28"/>
      <c r="FLI4" s="28"/>
      <c r="FLJ4" s="28"/>
      <c r="FLK4" s="28"/>
      <c r="FLL4" s="28"/>
      <c r="FLM4" s="28"/>
      <c r="FLN4" s="28"/>
      <c r="FLO4" s="28"/>
      <c r="FLP4" s="28"/>
      <c r="FLQ4" s="28"/>
      <c r="FLR4" s="28"/>
      <c r="FLS4" s="28"/>
      <c r="FLT4" s="28"/>
      <c r="FLU4" s="28"/>
      <c r="FLV4" s="28"/>
      <c r="FLW4" s="28"/>
      <c r="FLX4" s="28"/>
      <c r="FLY4" s="28"/>
      <c r="FLZ4" s="28"/>
      <c r="FMA4" s="28"/>
      <c r="FMB4" s="28"/>
      <c r="FMC4" s="28"/>
      <c r="FMD4" s="28"/>
      <c r="FME4" s="28"/>
      <c r="FMF4" s="28"/>
      <c r="FMG4" s="28"/>
      <c r="FMH4" s="28"/>
      <c r="FMI4" s="28"/>
      <c r="FMJ4" s="28"/>
      <c r="FMK4" s="28"/>
      <c r="FML4" s="28"/>
      <c r="FMM4" s="28"/>
      <c r="FMN4" s="28"/>
      <c r="FMO4" s="28"/>
      <c r="FMP4" s="28"/>
      <c r="FMQ4" s="28"/>
      <c r="FMR4" s="28"/>
      <c r="FMS4" s="28"/>
      <c r="FMT4" s="28"/>
      <c r="FMU4" s="28"/>
      <c r="FMV4" s="28"/>
      <c r="FMW4" s="28"/>
      <c r="FMX4" s="28"/>
      <c r="FMY4" s="28"/>
      <c r="FMZ4" s="28"/>
      <c r="FNA4" s="28"/>
      <c r="FNB4" s="28"/>
      <c r="FNC4" s="28"/>
      <c r="FND4" s="28"/>
      <c r="FNE4" s="28"/>
      <c r="FNF4" s="28"/>
      <c r="FNG4" s="28"/>
      <c r="FNH4" s="28"/>
      <c r="FNI4" s="28"/>
      <c r="FNJ4" s="28"/>
      <c r="FNK4" s="28"/>
      <c r="FNL4" s="28"/>
      <c r="FNM4" s="28"/>
      <c r="FNN4" s="28"/>
      <c r="FNO4" s="28"/>
      <c r="FNP4" s="28"/>
      <c r="FNQ4" s="28"/>
      <c r="FNR4" s="28"/>
      <c r="FNS4" s="28"/>
      <c r="FNT4" s="28"/>
      <c r="FNU4" s="28"/>
      <c r="FNV4" s="28"/>
      <c r="FNW4" s="28"/>
      <c r="FNX4" s="28"/>
      <c r="FNY4" s="28"/>
      <c r="FNZ4" s="28"/>
      <c r="FOA4" s="28"/>
      <c r="FOB4" s="28"/>
      <c r="FOC4" s="28"/>
      <c r="FOD4" s="28"/>
      <c r="FOE4" s="28"/>
      <c r="FOF4" s="28"/>
      <c r="FOG4" s="28"/>
      <c r="FOH4" s="28"/>
      <c r="FOI4" s="28"/>
      <c r="FOJ4" s="28"/>
      <c r="FOK4" s="28"/>
      <c r="FOL4" s="28"/>
      <c r="FOM4" s="28"/>
      <c r="FON4" s="28"/>
      <c r="FOO4" s="28"/>
      <c r="FOP4" s="28"/>
      <c r="FOQ4" s="28"/>
      <c r="FOR4" s="28"/>
      <c r="FOS4" s="28"/>
      <c r="FOT4" s="28"/>
      <c r="FOU4" s="28"/>
      <c r="FOV4" s="28"/>
      <c r="FOW4" s="28"/>
      <c r="FOX4" s="28"/>
      <c r="FOY4" s="28"/>
      <c r="FOZ4" s="28"/>
      <c r="FPA4" s="28"/>
      <c r="FPB4" s="28"/>
      <c r="FPC4" s="28"/>
      <c r="FPD4" s="28"/>
      <c r="FPE4" s="28"/>
      <c r="FPF4" s="28"/>
      <c r="FPG4" s="28"/>
      <c r="FPH4" s="28"/>
      <c r="FPI4" s="28"/>
      <c r="FPJ4" s="28"/>
      <c r="FPK4" s="28"/>
      <c r="FPL4" s="28"/>
      <c r="FPM4" s="28"/>
      <c r="FPN4" s="28"/>
      <c r="FPO4" s="28"/>
      <c r="FPP4" s="28"/>
      <c r="FPQ4" s="28"/>
      <c r="FPR4" s="28"/>
      <c r="FPS4" s="28"/>
      <c r="FPT4" s="28"/>
      <c r="FPU4" s="28"/>
      <c r="FPV4" s="28"/>
      <c r="FPW4" s="28"/>
      <c r="FPX4" s="28"/>
      <c r="FPY4" s="28"/>
      <c r="FPZ4" s="28"/>
      <c r="FQA4" s="28"/>
      <c r="FQB4" s="28"/>
      <c r="FQC4" s="28"/>
      <c r="FQD4" s="28"/>
      <c r="FQE4" s="28"/>
      <c r="FQF4" s="28"/>
      <c r="FQG4" s="28"/>
      <c r="FQH4" s="28"/>
      <c r="FQI4" s="28"/>
      <c r="FQJ4" s="28"/>
      <c r="FQK4" s="28"/>
      <c r="FQL4" s="28"/>
      <c r="FQM4" s="28"/>
      <c r="FQN4" s="28"/>
      <c r="FQO4" s="28"/>
      <c r="FQP4" s="28"/>
      <c r="FQQ4" s="28"/>
      <c r="FQR4" s="28"/>
      <c r="FQS4" s="28"/>
      <c r="FQT4" s="28"/>
      <c r="FQU4" s="28"/>
      <c r="FQV4" s="28"/>
      <c r="FQW4" s="28"/>
      <c r="FQX4" s="28"/>
      <c r="FQY4" s="28"/>
      <c r="FQZ4" s="28"/>
      <c r="FRA4" s="28"/>
      <c r="FRB4" s="28"/>
      <c r="FRC4" s="28"/>
      <c r="FRD4" s="28"/>
      <c r="FRE4" s="28"/>
      <c r="FRF4" s="28"/>
      <c r="FRG4" s="28"/>
      <c r="FRH4" s="28"/>
      <c r="FRI4" s="28"/>
      <c r="FRJ4" s="28"/>
      <c r="FRK4" s="28"/>
      <c r="FRL4" s="28"/>
      <c r="FRM4" s="28"/>
      <c r="FRN4" s="28"/>
      <c r="FRO4" s="28"/>
      <c r="FRP4" s="28"/>
      <c r="FRQ4" s="28"/>
      <c r="FRR4" s="28"/>
      <c r="FRS4" s="28"/>
      <c r="FRT4" s="28"/>
      <c r="FRU4" s="28"/>
      <c r="FRV4" s="28"/>
      <c r="FRW4" s="28"/>
      <c r="FRX4" s="28"/>
      <c r="FRY4" s="28"/>
      <c r="FRZ4" s="28"/>
      <c r="FSA4" s="28"/>
      <c r="FSB4" s="28"/>
      <c r="FSC4" s="28"/>
      <c r="FSD4" s="28"/>
      <c r="FSE4" s="28"/>
      <c r="FSF4" s="28"/>
      <c r="FSG4" s="28"/>
      <c r="FSH4" s="28"/>
      <c r="FSI4" s="28"/>
      <c r="FSJ4" s="28"/>
      <c r="FSK4" s="28"/>
      <c r="FSL4" s="28"/>
      <c r="FSM4" s="28"/>
      <c r="FSN4" s="28"/>
      <c r="FSO4" s="28"/>
      <c r="FSP4" s="28"/>
      <c r="FSQ4" s="28"/>
      <c r="FSR4" s="28"/>
      <c r="FSS4" s="28"/>
      <c r="FST4" s="28"/>
      <c r="FSU4" s="28"/>
      <c r="FSV4" s="28"/>
      <c r="FSW4" s="28"/>
      <c r="FSX4" s="28"/>
      <c r="FSY4" s="28"/>
      <c r="FSZ4" s="28"/>
      <c r="FTA4" s="28"/>
      <c r="FTB4" s="28"/>
      <c r="FTC4" s="28"/>
      <c r="FTD4" s="28"/>
      <c r="FTE4" s="28"/>
      <c r="FTF4" s="28"/>
      <c r="FTG4" s="28"/>
      <c r="FTH4" s="28"/>
      <c r="FTI4" s="28"/>
      <c r="FTJ4" s="28"/>
      <c r="FTK4" s="28"/>
      <c r="FTL4" s="28"/>
      <c r="FTM4" s="28"/>
      <c r="FTN4" s="28"/>
      <c r="FTO4" s="28"/>
      <c r="FTP4" s="28"/>
      <c r="FTQ4" s="28"/>
      <c r="FTR4" s="28"/>
      <c r="FTS4" s="28"/>
      <c r="FTT4" s="28"/>
      <c r="FTU4" s="28"/>
      <c r="FTV4" s="28"/>
      <c r="FTW4" s="28"/>
      <c r="FTX4" s="28"/>
      <c r="FTY4" s="28"/>
      <c r="FTZ4" s="28"/>
      <c r="FUA4" s="28"/>
      <c r="FUB4" s="28"/>
      <c r="FUC4" s="28"/>
      <c r="FUD4" s="28"/>
      <c r="FUE4" s="28"/>
      <c r="FUF4" s="28"/>
      <c r="FUG4" s="28"/>
      <c r="FUH4" s="28"/>
      <c r="FUI4" s="28"/>
      <c r="FUJ4" s="28"/>
      <c r="FUK4" s="28"/>
      <c r="FUL4" s="28"/>
      <c r="FUM4" s="28"/>
      <c r="FUN4" s="28"/>
      <c r="FUO4" s="28"/>
      <c r="FUP4" s="28"/>
      <c r="FUQ4" s="28"/>
      <c r="FUR4" s="28"/>
      <c r="FUS4" s="28"/>
      <c r="FUT4" s="28"/>
      <c r="FUU4" s="28"/>
      <c r="FUV4" s="28"/>
      <c r="FUW4" s="28"/>
      <c r="FUX4" s="28"/>
      <c r="FUY4" s="28"/>
      <c r="FUZ4" s="28"/>
      <c r="FVA4" s="28"/>
      <c r="FVB4" s="28"/>
      <c r="FVC4" s="28"/>
      <c r="FVD4" s="28"/>
      <c r="FVE4" s="28"/>
      <c r="FVF4" s="28"/>
      <c r="FVG4" s="28"/>
      <c r="FVH4" s="28"/>
      <c r="FVI4" s="28"/>
      <c r="FVJ4" s="28"/>
      <c r="FVK4" s="28"/>
      <c r="FVL4" s="28"/>
      <c r="FVM4" s="28"/>
      <c r="FVN4" s="28"/>
      <c r="FVO4" s="28"/>
      <c r="FVP4" s="28"/>
      <c r="FVQ4" s="28"/>
      <c r="FVR4" s="28"/>
      <c r="FVS4" s="28"/>
      <c r="FVT4" s="28"/>
      <c r="FVU4" s="28"/>
      <c r="FVV4" s="28"/>
      <c r="FVW4" s="28"/>
      <c r="FVX4" s="28"/>
      <c r="FVY4" s="28"/>
      <c r="FVZ4" s="28"/>
      <c r="FWA4" s="28"/>
      <c r="FWB4" s="28"/>
      <c r="FWC4" s="28"/>
      <c r="FWD4" s="28"/>
      <c r="FWE4" s="28"/>
      <c r="FWF4" s="28"/>
      <c r="FWG4" s="28"/>
      <c r="FWH4" s="28"/>
      <c r="FWI4" s="28"/>
      <c r="FWJ4" s="28"/>
      <c r="FWK4" s="28"/>
      <c r="FWL4" s="28"/>
      <c r="FWM4" s="28"/>
      <c r="FWN4" s="28"/>
      <c r="FWO4" s="28"/>
      <c r="FWP4" s="28"/>
      <c r="FWQ4" s="28"/>
      <c r="FWR4" s="28"/>
      <c r="FWS4" s="28"/>
      <c r="FWT4" s="28"/>
      <c r="FWU4" s="28"/>
      <c r="FWV4" s="28"/>
      <c r="FWW4" s="28"/>
      <c r="FWX4" s="28"/>
      <c r="FWY4" s="28"/>
      <c r="FWZ4" s="28"/>
      <c r="FXA4" s="28"/>
      <c r="FXB4" s="28"/>
      <c r="FXC4" s="28"/>
      <c r="FXD4" s="28"/>
      <c r="FXE4" s="28"/>
      <c r="FXF4" s="28"/>
      <c r="FXG4" s="28"/>
      <c r="FXH4" s="28"/>
      <c r="FXI4" s="28"/>
      <c r="FXJ4" s="28"/>
      <c r="FXK4" s="28"/>
      <c r="FXL4" s="28"/>
      <c r="FXM4" s="28"/>
      <c r="FXN4" s="28"/>
      <c r="FXO4" s="28"/>
      <c r="FXP4" s="28"/>
      <c r="FXQ4" s="28"/>
      <c r="FXR4" s="28"/>
      <c r="FXS4" s="28"/>
      <c r="FXT4" s="28"/>
      <c r="FXU4" s="28"/>
      <c r="FXV4" s="28"/>
      <c r="FXW4" s="28"/>
      <c r="FXX4" s="28"/>
      <c r="FXY4" s="28"/>
      <c r="FXZ4" s="28"/>
      <c r="FYA4" s="28"/>
      <c r="FYB4" s="28"/>
      <c r="FYC4" s="28"/>
      <c r="FYD4" s="28"/>
      <c r="FYE4" s="28"/>
      <c r="FYF4" s="28"/>
      <c r="FYG4" s="28"/>
      <c r="FYH4" s="28"/>
      <c r="FYI4" s="28"/>
      <c r="FYJ4" s="28"/>
      <c r="FYK4" s="28"/>
      <c r="FYL4" s="28"/>
      <c r="FYM4" s="28"/>
      <c r="FYN4" s="28"/>
      <c r="FYO4" s="28"/>
      <c r="FYP4" s="28"/>
      <c r="FYQ4" s="28"/>
      <c r="FYR4" s="28"/>
      <c r="FYS4" s="28"/>
      <c r="FYT4" s="28"/>
      <c r="FYU4" s="28"/>
      <c r="FYV4" s="28"/>
      <c r="FYW4" s="28"/>
      <c r="FYX4" s="28"/>
      <c r="FYY4" s="28"/>
      <c r="FYZ4" s="28"/>
      <c r="FZA4" s="28"/>
      <c r="FZB4" s="28"/>
      <c r="FZC4" s="28"/>
      <c r="FZD4" s="28"/>
      <c r="FZE4" s="28"/>
      <c r="FZF4" s="28"/>
      <c r="FZG4" s="28"/>
      <c r="FZH4" s="28"/>
      <c r="FZI4" s="28"/>
      <c r="FZJ4" s="28"/>
      <c r="FZK4" s="28"/>
      <c r="FZL4" s="28"/>
      <c r="FZM4" s="28"/>
      <c r="FZN4" s="28"/>
      <c r="FZO4" s="28"/>
      <c r="FZP4" s="28"/>
      <c r="FZQ4" s="28"/>
      <c r="FZR4" s="28"/>
      <c r="FZS4" s="28"/>
      <c r="FZT4" s="28"/>
      <c r="FZU4" s="28"/>
      <c r="FZV4" s="28"/>
      <c r="FZW4" s="28"/>
      <c r="FZX4" s="28"/>
      <c r="FZY4" s="28"/>
      <c r="FZZ4" s="28"/>
      <c r="GAA4" s="28"/>
      <c r="GAB4" s="28"/>
      <c r="GAC4" s="28"/>
      <c r="GAD4" s="28"/>
      <c r="GAE4" s="28"/>
      <c r="GAF4" s="28"/>
      <c r="GAG4" s="28"/>
      <c r="GAH4" s="28"/>
      <c r="GAI4" s="28"/>
      <c r="GAJ4" s="28"/>
      <c r="GAK4" s="28"/>
      <c r="GAL4" s="28"/>
      <c r="GAM4" s="28"/>
      <c r="GAN4" s="28"/>
      <c r="GAO4" s="28"/>
      <c r="GAP4" s="28"/>
      <c r="GAQ4" s="28"/>
      <c r="GAR4" s="28"/>
      <c r="GAS4" s="28"/>
      <c r="GAT4" s="28"/>
      <c r="GAU4" s="28"/>
      <c r="GAV4" s="28"/>
      <c r="GAW4" s="28"/>
      <c r="GAX4" s="28"/>
      <c r="GAY4" s="28"/>
      <c r="GAZ4" s="28"/>
      <c r="GBA4" s="28"/>
      <c r="GBB4" s="28"/>
      <c r="GBC4" s="28"/>
      <c r="GBD4" s="28"/>
      <c r="GBE4" s="28"/>
      <c r="GBF4" s="28"/>
      <c r="GBG4" s="28"/>
      <c r="GBH4" s="28"/>
      <c r="GBI4" s="28"/>
      <c r="GBJ4" s="28"/>
      <c r="GBK4" s="28"/>
      <c r="GBL4" s="28"/>
      <c r="GBM4" s="28"/>
      <c r="GBN4" s="28"/>
      <c r="GBO4" s="28"/>
      <c r="GBP4" s="28"/>
      <c r="GBQ4" s="28"/>
      <c r="GBR4" s="28"/>
      <c r="GBS4" s="28"/>
      <c r="GBT4" s="28"/>
      <c r="GBU4" s="28"/>
      <c r="GBV4" s="28"/>
      <c r="GBW4" s="28"/>
      <c r="GBX4" s="28"/>
      <c r="GBY4" s="28"/>
      <c r="GBZ4" s="28"/>
      <c r="GCA4" s="28"/>
      <c r="GCB4" s="28"/>
      <c r="GCC4" s="28"/>
      <c r="GCD4" s="28"/>
      <c r="GCE4" s="28"/>
      <c r="GCF4" s="28"/>
      <c r="GCG4" s="28"/>
      <c r="GCH4" s="28"/>
      <c r="GCI4" s="28"/>
      <c r="GCJ4" s="28"/>
      <c r="GCK4" s="28"/>
      <c r="GCL4" s="28"/>
      <c r="GCM4" s="28"/>
      <c r="GCN4" s="28"/>
      <c r="GCO4" s="28"/>
      <c r="GCP4" s="28"/>
      <c r="GCQ4" s="28"/>
      <c r="GCR4" s="28"/>
      <c r="GCS4" s="28"/>
      <c r="GCT4" s="28"/>
      <c r="GCU4" s="28"/>
      <c r="GCV4" s="28"/>
      <c r="GCW4" s="28"/>
      <c r="GCX4" s="28"/>
      <c r="GCY4" s="28"/>
      <c r="GCZ4" s="28"/>
      <c r="GDA4" s="28"/>
      <c r="GDB4" s="28"/>
      <c r="GDC4" s="28"/>
      <c r="GDD4" s="28"/>
      <c r="GDE4" s="28"/>
      <c r="GDF4" s="28"/>
      <c r="GDG4" s="28"/>
      <c r="GDH4" s="28"/>
      <c r="GDI4" s="28"/>
      <c r="GDJ4" s="28"/>
      <c r="GDK4" s="28"/>
      <c r="GDL4" s="28"/>
      <c r="GDM4" s="28"/>
      <c r="GDN4" s="28"/>
      <c r="GDO4" s="28"/>
      <c r="GDP4" s="28"/>
      <c r="GDQ4" s="28"/>
      <c r="GDR4" s="28"/>
      <c r="GDS4" s="28"/>
      <c r="GDT4" s="28"/>
      <c r="GDU4" s="28"/>
      <c r="GDV4" s="28"/>
      <c r="GDW4" s="28"/>
      <c r="GDX4" s="28"/>
      <c r="GDY4" s="28"/>
      <c r="GDZ4" s="28"/>
      <c r="GEA4" s="28"/>
      <c r="GEB4" s="28"/>
      <c r="GEC4" s="28"/>
      <c r="GED4" s="28"/>
      <c r="GEE4" s="28"/>
      <c r="GEF4" s="28"/>
      <c r="GEG4" s="28"/>
      <c r="GEH4" s="28"/>
      <c r="GEI4" s="28"/>
      <c r="GEJ4" s="28"/>
      <c r="GEK4" s="28"/>
      <c r="GEL4" s="28"/>
      <c r="GEM4" s="28"/>
      <c r="GEN4" s="28"/>
      <c r="GEO4" s="28"/>
      <c r="GEP4" s="28"/>
      <c r="GEQ4" s="28"/>
      <c r="GER4" s="28"/>
      <c r="GES4" s="28"/>
      <c r="GET4" s="28"/>
      <c r="GEU4" s="28"/>
      <c r="GEV4" s="28"/>
      <c r="GEW4" s="28"/>
      <c r="GEX4" s="28"/>
      <c r="GEY4" s="28"/>
      <c r="GEZ4" s="28"/>
      <c r="GFA4" s="28"/>
      <c r="GFB4" s="28"/>
      <c r="GFC4" s="28"/>
      <c r="GFD4" s="28"/>
      <c r="GFE4" s="28"/>
      <c r="GFF4" s="28"/>
      <c r="GFG4" s="28"/>
      <c r="GFH4" s="28"/>
      <c r="GFI4" s="28"/>
      <c r="GFJ4" s="28"/>
      <c r="GFK4" s="28"/>
      <c r="GFL4" s="28"/>
      <c r="GFM4" s="28"/>
      <c r="GFN4" s="28"/>
      <c r="GFO4" s="28"/>
      <c r="GFP4" s="28"/>
      <c r="GFQ4" s="28"/>
      <c r="GFR4" s="28"/>
      <c r="GFS4" s="28"/>
      <c r="GFT4" s="28"/>
      <c r="GFU4" s="28"/>
      <c r="GFV4" s="28"/>
      <c r="GFW4" s="28"/>
      <c r="GFX4" s="28"/>
      <c r="GFY4" s="28"/>
      <c r="GFZ4" s="28"/>
      <c r="GGA4" s="28"/>
      <c r="GGB4" s="28"/>
      <c r="GGC4" s="28"/>
      <c r="GGD4" s="28"/>
      <c r="GGE4" s="28"/>
      <c r="GGF4" s="28"/>
      <c r="GGG4" s="28"/>
      <c r="GGH4" s="28"/>
      <c r="GGI4" s="28"/>
      <c r="GGJ4" s="28"/>
      <c r="GGK4" s="28"/>
      <c r="GGL4" s="28"/>
      <c r="GGM4" s="28"/>
      <c r="GGN4" s="28"/>
      <c r="GGO4" s="28"/>
      <c r="GGP4" s="28"/>
      <c r="GGQ4" s="28"/>
      <c r="GGR4" s="28"/>
      <c r="GGS4" s="28"/>
      <c r="GGT4" s="28"/>
      <c r="GGU4" s="28"/>
      <c r="GGV4" s="28"/>
      <c r="GGW4" s="28"/>
      <c r="GGX4" s="28"/>
      <c r="GGY4" s="28"/>
      <c r="GGZ4" s="28"/>
      <c r="GHA4" s="28"/>
      <c r="GHB4" s="28"/>
      <c r="GHC4" s="28"/>
      <c r="GHD4" s="28"/>
      <c r="GHE4" s="28"/>
      <c r="GHF4" s="28"/>
      <c r="GHG4" s="28"/>
      <c r="GHH4" s="28"/>
      <c r="GHI4" s="28"/>
      <c r="GHJ4" s="28"/>
      <c r="GHK4" s="28"/>
      <c r="GHL4" s="28"/>
      <c r="GHM4" s="28"/>
      <c r="GHN4" s="28"/>
      <c r="GHO4" s="28"/>
      <c r="GHP4" s="28"/>
      <c r="GHQ4" s="28"/>
      <c r="GHR4" s="28"/>
      <c r="GHS4" s="28"/>
      <c r="GHT4" s="28"/>
      <c r="GHU4" s="28"/>
      <c r="GHV4" s="28"/>
      <c r="GHW4" s="28"/>
      <c r="GHX4" s="28"/>
      <c r="GHY4" s="28"/>
      <c r="GHZ4" s="28"/>
      <c r="GIA4" s="28"/>
      <c r="GIB4" s="28"/>
      <c r="GIC4" s="28"/>
      <c r="GID4" s="28"/>
      <c r="GIE4" s="28"/>
      <c r="GIF4" s="28"/>
      <c r="GIG4" s="28"/>
      <c r="GIH4" s="28"/>
      <c r="GII4" s="28"/>
      <c r="GIJ4" s="28"/>
      <c r="GIK4" s="28"/>
      <c r="GIL4" s="28"/>
      <c r="GIM4" s="28"/>
      <c r="GIN4" s="28"/>
      <c r="GIO4" s="28"/>
      <c r="GIP4" s="28"/>
      <c r="GIQ4" s="28"/>
      <c r="GIR4" s="28"/>
      <c r="GIS4" s="28"/>
      <c r="GIT4" s="28"/>
      <c r="GIU4" s="28"/>
      <c r="GIV4" s="28"/>
      <c r="GIW4" s="28"/>
      <c r="GIX4" s="28"/>
      <c r="GIY4" s="28"/>
      <c r="GIZ4" s="28"/>
      <c r="GJA4" s="28"/>
      <c r="GJB4" s="28"/>
      <c r="GJC4" s="28"/>
      <c r="GJD4" s="28"/>
      <c r="GJE4" s="28"/>
      <c r="GJF4" s="28"/>
      <c r="GJG4" s="28"/>
      <c r="GJH4" s="28"/>
      <c r="GJI4" s="28"/>
      <c r="GJJ4" s="28"/>
      <c r="GJK4" s="28"/>
      <c r="GJL4" s="28"/>
      <c r="GJM4" s="28"/>
      <c r="GJN4" s="28"/>
      <c r="GJO4" s="28"/>
      <c r="GJP4" s="28"/>
      <c r="GJQ4" s="28"/>
      <c r="GJR4" s="28"/>
      <c r="GJS4" s="28"/>
      <c r="GJT4" s="28"/>
      <c r="GJU4" s="28"/>
      <c r="GJV4" s="28"/>
      <c r="GJW4" s="28"/>
      <c r="GJX4" s="28"/>
      <c r="GJY4" s="28"/>
      <c r="GJZ4" s="28"/>
      <c r="GKA4" s="28"/>
      <c r="GKB4" s="28"/>
      <c r="GKC4" s="28"/>
      <c r="GKD4" s="28"/>
      <c r="GKE4" s="28"/>
      <c r="GKF4" s="28"/>
      <c r="GKG4" s="28"/>
      <c r="GKH4" s="28"/>
      <c r="GKI4" s="28"/>
      <c r="GKJ4" s="28"/>
      <c r="GKK4" s="28"/>
      <c r="GKL4" s="28"/>
      <c r="GKM4" s="28"/>
      <c r="GKN4" s="28"/>
      <c r="GKO4" s="28"/>
      <c r="GKP4" s="28"/>
      <c r="GKQ4" s="28"/>
      <c r="GKR4" s="28"/>
      <c r="GKS4" s="28"/>
      <c r="GKT4" s="28"/>
      <c r="GKU4" s="28"/>
      <c r="GKV4" s="28"/>
      <c r="GKW4" s="28"/>
      <c r="GKX4" s="28"/>
      <c r="GKY4" s="28"/>
      <c r="GKZ4" s="28"/>
      <c r="GLA4" s="28"/>
      <c r="GLB4" s="28"/>
      <c r="GLC4" s="28"/>
      <c r="GLD4" s="28"/>
      <c r="GLE4" s="28"/>
      <c r="GLF4" s="28"/>
      <c r="GLG4" s="28"/>
      <c r="GLH4" s="28"/>
      <c r="GLI4" s="28"/>
      <c r="GLJ4" s="28"/>
      <c r="GLK4" s="28"/>
      <c r="GLL4" s="28"/>
      <c r="GLM4" s="28"/>
      <c r="GLN4" s="28"/>
      <c r="GLO4" s="28"/>
      <c r="GLP4" s="28"/>
      <c r="GLQ4" s="28"/>
      <c r="GLR4" s="28"/>
      <c r="GLS4" s="28"/>
      <c r="GLT4" s="28"/>
      <c r="GLU4" s="28"/>
      <c r="GLV4" s="28"/>
      <c r="GLW4" s="28"/>
      <c r="GLX4" s="28"/>
      <c r="GLY4" s="28"/>
      <c r="GLZ4" s="28"/>
      <c r="GMA4" s="28"/>
      <c r="GMB4" s="28"/>
      <c r="GMC4" s="28"/>
      <c r="GMD4" s="28"/>
      <c r="GME4" s="28"/>
      <c r="GMF4" s="28"/>
      <c r="GMG4" s="28"/>
      <c r="GMH4" s="28"/>
      <c r="GMI4" s="28"/>
      <c r="GMJ4" s="28"/>
      <c r="GMK4" s="28"/>
      <c r="GML4" s="28"/>
      <c r="GMM4" s="28"/>
      <c r="GMN4" s="28"/>
      <c r="GMO4" s="28"/>
      <c r="GMP4" s="28"/>
      <c r="GMQ4" s="28"/>
      <c r="GMR4" s="28"/>
      <c r="GMS4" s="28"/>
      <c r="GMT4" s="28"/>
      <c r="GMU4" s="28"/>
      <c r="GMV4" s="28"/>
      <c r="GMW4" s="28"/>
      <c r="GMX4" s="28"/>
      <c r="GMY4" s="28"/>
      <c r="GMZ4" s="28"/>
      <c r="GNA4" s="28"/>
      <c r="GNB4" s="28"/>
      <c r="GNC4" s="28"/>
      <c r="GND4" s="28"/>
      <c r="GNE4" s="28"/>
      <c r="GNF4" s="28"/>
      <c r="GNG4" s="28"/>
      <c r="GNH4" s="28"/>
      <c r="GNI4" s="28"/>
      <c r="GNJ4" s="28"/>
      <c r="GNK4" s="28"/>
      <c r="GNL4" s="28"/>
      <c r="GNM4" s="28"/>
      <c r="GNN4" s="28"/>
      <c r="GNO4" s="28"/>
      <c r="GNP4" s="28"/>
      <c r="GNQ4" s="28"/>
      <c r="GNR4" s="28"/>
      <c r="GNS4" s="28"/>
      <c r="GNT4" s="28"/>
      <c r="GNU4" s="28"/>
      <c r="GNV4" s="28"/>
      <c r="GNW4" s="28"/>
      <c r="GNX4" s="28"/>
      <c r="GNY4" s="28"/>
      <c r="GNZ4" s="28"/>
      <c r="GOA4" s="28"/>
      <c r="GOB4" s="28"/>
      <c r="GOC4" s="28"/>
      <c r="GOD4" s="28"/>
      <c r="GOE4" s="28"/>
      <c r="GOF4" s="28"/>
      <c r="GOG4" s="28"/>
      <c r="GOH4" s="28"/>
      <c r="GOI4" s="28"/>
      <c r="GOJ4" s="28"/>
      <c r="GOK4" s="28"/>
      <c r="GOL4" s="28"/>
      <c r="GOM4" s="28"/>
      <c r="GON4" s="28"/>
      <c r="GOO4" s="28"/>
      <c r="GOP4" s="28"/>
      <c r="GOQ4" s="28"/>
      <c r="GOR4" s="28"/>
      <c r="GOS4" s="28"/>
      <c r="GOT4" s="28"/>
      <c r="GOU4" s="28"/>
      <c r="GOV4" s="28"/>
      <c r="GOW4" s="28"/>
      <c r="GOX4" s="28"/>
      <c r="GOY4" s="28"/>
      <c r="GOZ4" s="28"/>
      <c r="GPA4" s="28"/>
      <c r="GPB4" s="28"/>
      <c r="GPC4" s="28"/>
      <c r="GPD4" s="28"/>
      <c r="GPE4" s="28"/>
      <c r="GPF4" s="28"/>
      <c r="GPG4" s="28"/>
      <c r="GPH4" s="28"/>
      <c r="GPI4" s="28"/>
      <c r="GPJ4" s="28"/>
      <c r="GPK4" s="28"/>
      <c r="GPL4" s="28"/>
      <c r="GPM4" s="28"/>
      <c r="GPN4" s="28"/>
      <c r="GPO4" s="28"/>
      <c r="GPP4" s="28"/>
      <c r="GPQ4" s="28"/>
      <c r="GPR4" s="28"/>
      <c r="GPS4" s="28"/>
      <c r="GPT4" s="28"/>
      <c r="GPU4" s="28"/>
      <c r="GPV4" s="28"/>
      <c r="GPW4" s="28"/>
      <c r="GPX4" s="28"/>
      <c r="GPY4" s="28"/>
      <c r="GPZ4" s="28"/>
      <c r="GQA4" s="28"/>
      <c r="GQB4" s="28"/>
      <c r="GQC4" s="28"/>
      <c r="GQD4" s="28"/>
      <c r="GQE4" s="28"/>
      <c r="GQF4" s="28"/>
      <c r="GQG4" s="28"/>
      <c r="GQH4" s="28"/>
      <c r="GQI4" s="28"/>
      <c r="GQJ4" s="28"/>
      <c r="GQK4" s="28"/>
      <c r="GQL4" s="28"/>
      <c r="GQM4" s="28"/>
      <c r="GQN4" s="28"/>
      <c r="GQO4" s="28"/>
      <c r="GQP4" s="28"/>
      <c r="GQQ4" s="28"/>
      <c r="GQR4" s="28"/>
      <c r="GQS4" s="28"/>
      <c r="GQT4" s="28"/>
      <c r="GQU4" s="28"/>
      <c r="GQV4" s="28"/>
      <c r="GQW4" s="28"/>
      <c r="GQX4" s="28"/>
      <c r="GQY4" s="28"/>
      <c r="GQZ4" s="28"/>
      <c r="GRA4" s="28"/>
      <c r="GRB4" s="28"/>
      <c r="GRC4" s="28"/>
      <c r="GRD4" s="28"/>
      <c r="GRE4" s="28"/>
      <c r="GRF4" s="28"/>
      <c r="GRG4" s="28"/>
      <c r="GRH4" s="28"/>
      <c r="GRI4" s="28"/>
      <c r="GRJ4" s="28"/>
      <c r="GRK4" s="28"/>
      <c r="GRL4" s="28"/>
      <c r="GRM4" s="28"/>
      <c r="GRN4" s="28"/>
      <c r="GRO4" s="28"/>
      <c r="GRP4" s="28"/>
      <c r="GRQ4" s="28"/>
      <c r="GRR4" s="28"/>
      <c r="GRS4" s="28"/>
      <c r="GRT4" s="28"/>
      <c r="GRU4" s="28"/>
      <c r="GRV4" s="28"/>
      <c r="GRW4" s="28"/>
      <c r="GRX4" s="28"/>
      <c r="GRY4" s="28"/>
      <c r="GRZ4" s="28"/>
      <c r="GSA4" s="28"/>
      <c r="GSB4" s="28"/>
      <c r="GSC4" s="28"/>
      <c r="GSD4" s="28"/>
      <c r="GSE4" s="28"/>
      <c r="GSF4" s="28"/>
      <c r="GSG4" s="28"/>
      <c r="GSH4" s="28"/>
      <c r="GSI4" s="28"/>
      <c r="GSJ4" s="28"/>
      <c r="GSK4" s="28"/>
      <c r="GSL4" s="28"/>
      <c r="GSM4" s="28"/>
      <c r="GSN4" s="28"/>
      <c r="GSO4" s="28"/>
      <c r="GSP4" s="28"/>
      <c r="GSQ4" s="28"/>
      <c r="GSR4" s="28"/>
      <c r="GSS4" s="28"/>
      <c r="GST4" s="28"/>
      <c r="GSU4" s="28"/>
      <c r="GSV4" s="28"/>
      <c r="GSW4" s="28"/>
      <c r="GSX4" s="28"/>
      <c r="GSY4" s="28"/>
      <c r="GSZ4" s="28"/>
      <c r="GTA4" s="28"/>
      <c r="GTB4" s="28"/>
      <c r="GTC4" s="28"/>
      <c r="GTD4" s="28"/>
      <c r="GTE4" s="28"/>
      <c r="GTF4" s="28"/>
      <c r="GTG4" s="28"/>
      <c r="GTH4" s="28"/>
      <c r="GTI4" s="28"/>
      <c r="GTJ4" s="28"/>
      <c r="GTK4" s="28"/>
      <c r="GTL4" s="28"/>
      <c r="GTM4" s="28"/>
      <c r="GTN4" s="28"/>
      <c r="GTO4" s="28"/>
      <c r="GTP4" s="28"/>
      <c r="GTQ4" s="28"/>
      <c r="GTR4" s="28"/>
      <c r="GTS4" s="28"/>
      <c r="GTT4" s="28"/>
      <c r="GTU4" s="28"/>
      <c r="GTV4" s="28"/>
      <c r="GTW4" s="28"/>
      <c r="GTX4" s="28"/>
      <c r="GTY4" s="28"/>
      <c r="GTZ4" s="28"/>
      <c r="GUA4" s="28"/>
      <c r="GUB4" s="28"/>
      <c r="GUC4" s="28"/>
      <c r="GUD4" s="28"/>
      <c r="GUE4" s="28"/>
      <c r="GUF4" s="28"/>
      <c r="GUG4" s="28"/>
      <c r="GUH4" s="28"/>
      <c r="GUI4" s="28"/>
      <c r="GUJ4" s="28"/>
      <c r="GUK4" s="28"/>
      <c r="GUL4" s="28"/>
      <c r="GUM4" s="28"/>
      <c r="GUN4" s="28"/>
      <c r="GUO4" s="28"/>
      <c r="GUP4" s="28"/>
      <c r="GUQ4" s="28"/>
      <c r="GUR4" s="28"/>
      <c r="GUS4" s="28"/>
      <c r="GUT4" s="28"/>
      <c r="GUU4" s="28"/>
      <c r="GUV4" s="28"/>
      <c r="GUW4" s="28"/>
      <c r="GUX4" s="28"/>
      <c r="GUY4" s="28"/>
      <c r="GUZ4" s="28"/>
      <c r="GVA4" s="28"/>
      <c r="GVB4" s="28"/>
      <c r="GVC4" s="28"/>
      <c r="GVD4" s="28"/>
      <c r="GVE4" s="28"/>
      <c r="GVF4" s="28"/>
      <c r="GVG4" s="28"/>
      <c r="GVH4" s="28"/>
      <c r="GVI4" s="28"/>
      <c r="GVJ4" s="28"/>
      <c r="GVK4" s="28"/>
      <c r="GVL4" s="28"/>
      <c r="GVM4" s="28"/>
      <c r="GVN4" s="28"/>
      <c r="GVO4" s="28"/>
      <c r="GVP4" s="28"/>
      <c r="GVQ4" s="28"/>
      <c r="GVR4" s="28"/>
      <c r="GVS4" s="28"/>
      <c r="GVT4" s="28"/>
      <c r="GVU4" s="28"/>
      <c r="GVV4" s="28"/>
      <c r="GVW4" s="28"/>
      <c r="GVX4" s="28"/>
      <c r="GVY4" s="28"/>
      <c r="GVZ4" s="28"/>
      <c r="GWA4" s="28"/>
      <c r="GWB4" s="28"/>
      <c r="GWC4" s="28"/>
      <c r="GWD4" s="28"/>
      <c r="GWE4" s="28"/>
      <c r="GWF4" s="28"/>
      <c r="GWG4" s="28"/>
      <c r="GWH4" s="28"/>
      <c r="GWI4" s="28"/>
      <c r="GWJ4" s="28"/>
      <c r="GWK4" s="28"/>
      <c r="GWL4" s="28"/>
      <c r="GWM4" s="28"/>
      <c r="GWN4" s="28"/>
      <c r="GWO4" s="28"/>
      <c r="GWP4" s="28"/>
      <c r="GWQ4" s="28"/>
      <c r="GWR4" s="28"/>
      <c r="GWS4" s="28"/>
      <c r="GWT4" s="28"/>
      <c r="GWU4" s="28"/>
      <c r="GWV4" s="28"/>
      <c r="GWW4" s="28"/>
      <c r="GWX4" s="28"/>
      <c r="GWY4" s="28"/>
      <c r="GWZ4" s="28"/>
      <c r="GXA4" s="28"/>
      <c r="GXB4" s="28"/>
      <c r="GXC4" s="28"/>
      <c r="GXD4" s="28"/>
      <c r="GXE4" s="28"/>
      <c r="GXF4" s="28"/>
      <c r="GXG4" s="28"/>
      <c r="GXH4" s="28"/>
      <c r="GXI4" s="28"/>
      <c r="GXJ4" s="28"/>
      <c r="GXK4" s="28"/>
      <c r="GXL4" s="28"/>
      <c r="GXM4" s="28"/>
      <c r="GXN4" s="28"/>
      <c r="GXO4" s="28"/>
      <c r="GXP4" s="28"/>
      <c r="GXQ4" s="28"/>
      <c r="GXR4" s="28"/>
      <c r="GXS4" s="28"/>
      <c r="GXT4" s="28"/>
      <c r="GXU4" s="28"/>
      <c r="GXV4" s="28"/>
      <c r="GXW4" s="28"/>
      <c r="GXX4" s="28"/>
      <c r="GXY4" s="28"/>
      <c r="GXZ4" s="28"/>
      <c r="GYA4" s="28"/>
      <c r="GYB4" s="28"/>
      <c r="GYC4" s="28"/>
      <c r="GYD4" s="28"/>
      <c r="GYE4" s="28"/>
      <c r="GYF4" s="28"/>
      <c r="GYG4" s="28"/>
      <c r="GYH4" s="28"/>
      <c r="GYI4" s="28"/>
      <c r="GYJ4" s="28"/>
      <c r="GYK4" s="28"/>
      <c r="GYL4" s="28"/>
      <c r="GYM4" s="28"/>
      <c r="GYN4" s="28"/>
      <c r="GYO4" s="28"/>
      <c r="GYP4" s="28"/>
      <c r="GYQ4" s="28"/>
      <c r="GYR4" s="28"/>
      <c r="GYS4" s="28"/>
      <c r="GYT4" s="28"/>
      <c r="GYU4" s="28"/>
      <c r="GYV4" s="28"/>
      <c r="GYW4" s="28"/>
      <c r="GYX4" s="28"/>
      <c r="GYY4" s="28"/>
      <c r="GYZ4" s="28"/>
      <c r="GZA4" s="28"/>
      <c r="GZB4" s="28"/>
      <c r="GZC4" s="28"/>
      <c r="GZD4" s="28"/>
      <c r="GZE4" s="28"/>
      <c r="GZF4" s="28"/>
      <c r="GZG4" s="28"/>
      <c r="GZH4" s="28"/>
      <c r="GZI4" s="28"/>
      <c r="GZJ4" s="28"/>
      <c r="GZK4" s="28"/>
      <c r="GZL4" s="28"/>
      <c r="GZM4" s="28"/>
      <c r="GZN4" s="28"/>
      <c r="GZO4" s="28"/>
      <c r="GZP4" s="28"/>
      <c r="GZQ4" s="28"/>
      <c r="GZR4" s="28"/>
      <c r="GZS4" s="28"/>
      <c r="GZT4" s="28"/>
      <c r="GZU4" s="28"/>
      <c r="GZV4" s="28"/>
      <c r="GZW4" s="28"/>
      <c r="GZX4" s="28"/>
      <c r="GZY4" s="28"/>
      <c r="GZZ4" s="28"/>
      <c r="HAA4" s="28"/>
      <c r="HAB4" s="28"/>
      <c r="HAC4" s="28"/>
      <c r="HAD4" s="28"/>
      <c r="HAE4" s="28"/>
      <c r="HAF4" s="28"/>
      <c r="HAG4" s="28"/>
      <c r="HAH4" s="28"/>
      <c r="HAI4" s="28"/>
      <c r="HAJ4" s="28"/>
      <c r="HAK4" s="28"/>
      <c r="HAL4" s="28"/>
      <c r="HAM4" s="28"/>
      <c r="HAN4" s="28"/>
      <c r="HAO4" s="28"/>
      <c r="HAP4" s="28"/>
      <c r="HAQ4" s="28"/>
      <c r="HAR4" s="28"/>
      <c r="HAS4" s="28"/>
      <c r="HAT4" s="28"/>
      <c r="HAU4" s="28"/>
      <c r="HAV4" s="28"/>
      <c r="HAW4" s="28"/>
      <c r="HAX4" s="28"/>
      <c r="HAY4" s="28"/>
      <c r="HAZ4" s="28"/>
      <c r="HBA4" s="28"/>
      <c r="HBB4" s="28"/>
      <c r="HBC4" s="28"/>
      <c r="HBD4" s="28"/>
      <c r="HBE4" s="28"/>
      <c r="HBF4" s="28"/>
      <c r="HBG4" s="28"/>
      <c r="HBH4" s="28"/>
      <c r="HBI4" s="28"/>
      <c r="HBJ4" s="28"/>
      <c r="HBK4" s="28"/>
      <c r="HBL4" s="28"/>
      <c r="HBM4" s="28"/>
      <c r="HBN4" s="28"/>
      <c r="HBO4" s="28"/>
      <c r="HBP4" s="28"/>
      <c r="HBQ4" s="28"/>
      <c r="HBR4" s="28"/>
      <c r="HBS4" s="28"/>
      <c r="HBT4" s="28"/>
      <c r="HBU4" s="28"/>
      <c r="HBV4" s="28"/>
      <c r="HBW4" s="28"/>
      <c r="HBX4" s="28"/>
      <c r="HBY4" s="28"/>
      <c r="HBZ4" s="28"/>
      <c r="HCA4" s="28"/>
      <c r="HCB4" s="28"/>
      <c r="HCC4" s="28"/>
      <c r="HCD4" s="28"/>
      <c r="HCE4" s="28"/>
      <c r="HCF4" s="28"/>
      <c r="HCG4" s="28"/>
      <c r="HCH4" s="28"/>
      <c r="HCI4" s="28"/>
      <c r="HCJ4" s="28"/>
      <c r="HCK4" s="28"/>
      <c r="HCL4" s="28"/>
      <c r="HCM4" s="28"/>
      <c r="HCN4" s="28"/>
      <c r="HCO4" s="28"/>
      <c r="HCP4" s="28"/>
      <c r="HCQ4" s="28"/>
      <c r="HCR4" s="28"/>
      <c r="HCS4" s="28"/>
      <c r="HCT4" s="28"/>
      <c r="HCU4" s="28"/>
      <c r="HCV4" s="28"/>
      <c r="HCW4" s="28"/>
      <c r="HCX4" s="28"/>
      <c r="HCY4" s="28"/>
      <c r="HCZ4" s="28"/>
      <c r="HDA4" s="28"/>
      <c r="HDB4" s="28"/>
      <c r="HDC4" s="28"/>
      <c r="HDD4" s="28"/>
      <c r="HDE4" s="28"/>
      <c r="HDF4" s="28"/>
      <c r="HDG4" s="28"/>
      <c r="HDH4" s="28"/>
      <c r="HDI4" s="28"/>
      <c r="HDJ4" s="28"/>
      <c r="HDK4" s="28"/>
      <c r="HDL4" s="28"/>
      <c r="HDM4" s="28"/>
      <c r="HDN4" s="28"/>
      <c r="HDO4" s="28"/>
      <c r="HDP4" s="28"/>
      <c r="HDQ4" s="28"/>
      <c r="HDR4" s="28"/>
      <c r="HDS4" s="28"/>
      <c r="HDT4" s="28"/>
      <c r="HDU4" s="28"/>
      <c r="HDV4" s="28"/>
      <c r="HDW4" s="28"/>
      <c r="HDX4" s="28"/>
      <c r="HDY4" s="28"/>
      <c r="HDZ4" s="28"/>
      <c r="HEA4" s="28"/>
      <c r="HEB4" s="28"/>
      <c r="HEC4" s="28"/>
      <c r="HED4" s="28"/>
      <c r="HEE4" s="28"/>
      <c r="HEF4" s="28"/>
      <c r="HEG4" s="28"/>
      <c r="HEH4" s="28"/>
      <c r="HEI4" s="28"/>
      <c r="HEJ4" s="28"/>
      <c r="HEK4" s="28"/>
      <c r="HEL4" s="28"/>
      <c r="HEM4" s="28"/>
      <c r="HEN4" s="28"/>
      <c r="HEO4" s="28"/>
      <c r="HEP4" s="28"/>
      <c r="HEQ4" s="28"/>
      <c r="HER4" s="28"/>
      <c r="HES4" s="28"/>
      <c r="HET4" s="28"/>
      <c r="HEU4" s="28"/>
      <c r="HEV4" s="28"/>
      <c r="HEW4" s="28"/>
      <c r="HEX4" s="28"/>
      <c r="HEY4" s="28"/>
      <c r="HEZ4" s="28"/>
      <c r="HFA4" s="28"/>
      <c r="HFB4" s="28"/>
      <c r="HFC4" s="28"/>
      <c r="HFD4" s="28"/>
      <c r="HFE4" s="28"/>
      <c r="HFF4" s="28"/>
      <c r="HFG4" s="28"/>
      <c r="HFH4" s="28"/>
      <c r="HFI4" s="28"/>
      <c r="HFJ4" s="28"/>
      <c r="HFK4" s="28"/>
      <c r="HFL4" s="28"/>
      <c r="HFM4" s="28"/>
      <c r="HFN4" s="28"/>
      <c r="HFO4" s="28"/>
      <c r="HFP4" s="28"/>
      <c r="HFQ4" s="28"/>
      <c r="HFR4" s="28"/>
      <c r="HFS4" s="28"/>
      <c r="HFT4" s="28"/>
      <c r="HFU4" s="28"/>
      <c r="HFV4" s="28"/>
      <c r="HFW4" s="28"/>
      <c r="HFX4" s="28"/>
      <c r="HFY4" s="28"/>
      <c r="HFZ4" s="28"/>
      <c r="HGA4" s="28"/>
      <c r="HGB4" s="28"/>
      <c r="HGC4" s="28"/>
      <c r="HGD4" s="28"/>
      <c r="HGE4" s="28"/>
      <c r="HGF4" s="28"/>
      <c r="HGG4" s="28"/>
      <c r="HGH4" s="28"/>
      <c r="HGI4" s="28"/>
      <c r="HGJ4" s="28"/>
      <c r="HGK4" s="28"/>
      <c r="HGL4" s="28"/>
      <c r="HGM4" s="28"/>
      <c r="HGN4" s="28"/>
      <c r="HGO4" s="28"/>
      <c r="HGP4" s="28"/>
      <c r="HGQ4" s="28"/>
      <c r="HGR4" s="28"/>
      <c r="HGS4" s="28"/>
      <c r="HGT4" s="28"/>
      <c r="HGU4" s="28"/>
      <c r="HGV4" s="28"/>
      <c r="HGW4" s="28"/>
      <c r="HGX4" s="28"/>
      <c r="HGY4" s="28"/>
      <c r="HGZ4" s="28"/>
      <c r="HHA4" s="28"/>
      <c r="HHB4" s="28"/>
      <c r="HHC4" s="28"/>
      <c r="HHD4" s="28"/>
      <c r="HHE4" s="28"/>
      <c r="HHF4" s="28"/>
      <c r="HHG4" s="28"/>
      <c r="HHH4" s="28"/>
      <c r="HHI4" s="28"/>
      <c r="HHJ4" s="28"/>
      <c r="HHK4" s="28"/>
      <c r="HHL4" s="28"/>
      <c r="HHM4" s="28"/>
      <c r="HHN4" s="28"/>
      <c r="HHO4" s="28"/>
      <c r="HHP4" s="28"/>
      <c r="HHQ4" s="28"/>
      <c r="HHR4" s="28"/>
      <c r="HHS4" s="28"/>
      <c r="HHT4" s="28"/>
      <c r="HHU4" s="28"/>
      <c r="HHV4" s="28"/>
      <c r="HHW4" s="28"/>
      <c r="HHX4" s="28"/>
      <c r="HHY4" s="28"/>
      <c r="HHZ4" s="28"/>
      <c r="HIA4" s="28"/>
      <c r="HIB4" s="28"/>
      <c r="HIC4" s="28"/>
      <c r="HID4" s="28"/>
      <c r="HIE4" s="28"/>
      <c r="HIF4" s="28"/>
      <c r="HIG4" s="28"/>
      <c r="HIH4" s="28"/>
      <c r="HII4" s="28"/>
      <c r="HIJ4" s="28"/>
      <c r="HIK4" s="28"/>
      <c r="HIL4" s="28"/>
      <c r="HIM4" s="28"/>
      <c r="HIN4" s="28"/>
      <c r="HIO4" s="28"/>
      <c r="HIP4" s="28"/>
      <c r="HIQ4" s="28"/>
      <c r="HIR4" s="28"/>
      <c r="HIS4" s="28"/>
      <c r="HIT4" s="28"/>
      <c r="HIU4" s="28"/>
      <c r="HIV4" s="28"/>
      <c r="HIW4" s="28"/>
      <c r="HIX4" s="28"/>
      <c r="HIY4" s="28"/>
      <c r="HIZ4" s="28"/>
      <c r="HJA4" s="28"/>
      <c r="HJB4" s="28"/>
      <c r="HJC4" s="28"/>
      <c r="HJD4" s="28"/>
      <c r="HJE4" s="28"/>
      <c r="HJF4" s="28"/>
      <c r="HJG4" s="28"/>
      <c r="HJH4" s="28"/>
      <c r="HJI4" s="28"/>
      <c r="HJJ4" s="28"/>
      <c r="HJK4" s="28"/>
      <c r="HJL4" s="28"/>
      <c r="HJM4" s="28"/>
      <c r="HJN4" s="28"/>
      <c r="HJO4" s="28"/>
      <c r="HJP4" s="28"/>
      <c r="HJQ4" s="28"/>
      <c r="HJR4" s="28"/>
      <c r="HJS4" s="28"/>
      <c r="HJT4" s="28"/>
      <c r="HJU4" s="28"/>
      <c r="HJV4" s="28"/>
      <c r="HJW4" s="28"/>
      <c r="HJX4" s="28"/>
      <c r="HJY4" s="28"/>
      <c r="HJZ4" s="28"/>
      <c r="HKA4" s="28"/>
      <c r="HKB4" s="28"/>
      <c r="HKC4" s="28"/>
      <c r="HKD4" s="28"/>
      <c r="HKE4" s="28"/>
      <c r="HKF4" s="28"/>
      <c r="HKG4" s="28"/>
      <c r="HKH4" s="28"/>
      <c r="HKI4" s="28"/>
      <c r="HKJ4" s="28"/>
      <c r="HKK4" s="28"/>
      <c r="HKL4" s="28"/>
      <c r="HKM4" s="28"/>
      <c r="HKN4" s="28"/>
      <c r="HKO4" s="28"/>
      <c r="HKP4" s="28"/>
      <c r="HKQ4" s="28"/>
      <c r="HKR4" s="28"/>
      <c r="HKS4" s="28"/>
      <c r="HKT4" s="28"/>
      <c r="HKU4" s="28"/>
      <c r="HKV4" s="28"/>
      <c r="HKW4" s="28"/>
      <c r="HKX4" s="28"/>
      <c r="HKY4" s="28"/>
      <c r="HKZ4" s="28"/>
      <c r="HLA4" s="28"/>
      <c r="HLB4" s="28"/>
      <c r="HLC4" s="28"/>
      <c r="HLD4" s="28"/>
      <c r="HLE4" s="28"/>
      <c r="HLF4" s="28"/>
      <c r="HLG4" s="28"/>
      <c r="HLH4" s="28"/>
      <c r="HLI4" s="28"/>
      <c r="HLJ4" s="28"/>
      <c r="HLK4" s="28"/>
      <c r="HLL4" s="28"/>
      <c r="HLM4" s="28"/>
      <c r="HLN4" s="28"/>
      <c r="HLO4" s="28"/>
      <c r="HLP4" s="28"/>
      <c r="HLQ4" s="28"/>
      <c r="HLR4" s="28"/>
      <c r="HLS4" s="28"/>
      <c r="HLT4" s="28"/>
      <c r="HLU4" s="28"/>
      <c r="HLV4" s="28"/>
      <c r="HLW4" s="28"/>
      <c r="HLX4" s="28"/>
      <c r="HLY4" s="28"/>
      <c r="HLZ4" s="28"/>
      <c r="HMA4" s="28"/>
      <c r="HMB4" s="28"/>
      <c r="HMC4" s="28"/>
      <c r="HMD4" s="28"/>
      <c r="HME4" s="28"/>
      <c r="HMF4" s="28"/>
      <c r="HMG4" s="28"/>
      <c r="HMH4" s="28"/>
      <c r="HMI4" s="28"/>
      <c r="HMJ4" s="28"/>
      <c r="HMK4" s="28"/>
      <c r="HML4" s="28"/>
      <c r="HMM4" s="28"/>
      <c r="HMN4" s="28"/>
      <c r="HMO4" s="28"/>
      <c r="HMP4" s="28"/>
      <c r="HMQ4" s="28"/>
      <c r="HMR4" s="28"/>
      <c r="HMS4" s="28"/>
      <c r="HMT4" s="28"/>
      <c r="HMU4" s="28"/>
      <c r="HMV4" s="28"/>
      <c r="HMW4" s="28"/>
      <c r="HMX4" s="28"/>
      <c r="HMY4" s="28"/>
      <c r="HMZ4" s="28"/>
      <c r="HNA4" s="28"/>
      <c r="HNB4" s="28"/>
      <c r="HNC4" s="28"/>
      <c r="HND4" s="28"/>
      <c r="HNE4" s="28"/>
      <c r="HNF4" s="28"/>
      <c r="HNG4" s="28"/>
      <c r="HNH4" s="28"/>
      <c r="HNI4" s="28"/>
      <c r="HNJ4" s="28"/>
      <c r="HNK4" s="28"/>
      <c r="HNL4" s="28"/>
      <c r="HNM4" s="28"/>
      <c r="HNN4" s="28"/>
      <c r="HNO4" s="28"/>
      <c r="HNP4" s="28"/>
      <c r="HNQ4" s="28"/>
      <c r="HNR4" s="28"/>
      <c r="HNS4" s="28"/>
      <c r="HNT4" s="28"/>
      <c r="HNU4" s="28"/>
      <c r="HNV4" s="28"/>
      <c r="HNW4" s="28"/>
      <c r="HNX4" s="28"/>
      <c r="HNY4" s="28"/>
      <c r="HNZ4" s="28"/>
      <c r="HOA4" s="28"/>
      <c r="HOB4" s="28"/>
      <c r="HOC4" s="28"/>
      <c r="HOD4" s="28"/>
      <c r="HOE4" s="28"/>
      <c r="HOF4" s="28"/>
      <c r="HOG4" s="28"/>
      <c r="HOH4" s="28"/>
      <c r="HOI4" s="28"/>
      <c r="HOJ4" s="28"/>
      <c r="HOK4" s="28"/>
      <c r="HOL4" s="28"/>
      <c r="HOM4" s="28"/>
      <c r="HON4" s="28"/>
      <c r="HOO4" s="28"/>
      <c r="HOP4" s="28"/>
      <c r="HOQ4" s="28"/>
      <c r="HOR4" s="28"/>
      <c r="HOS4" s="28"/>
      <c r="HOT4" s="28"/>
      <c r="HOU4" s="28"/>
      <c r="HOV4" s="28"/>
      <c r="HOW4" s="28"/>
      <c r="HOX4" s="28"/>
      <c r="HOY4" s="28"/>
      <c r="HOZ4" s="28"/>
      <c r="HPA4" s="28"/>
      <c r="HPB4" s="28"/>
      <c r="HPC4" s="28"/>
      <c r="HPD4" s="28"/>
      <c r="HPE4" s="28"/>
      <c r="HPF4" s="28"/>
      <c r="HPG4" s="28"/>
      <c r="HPH4" s="28"/>
      <c r="HPI4" s="28"/>
      <c r="HPJ4" s="28"/>
      <c r="HPK4" s="28"/>
      <c r="HPL4" s="28"/>
      <c r="HPM4" s="28"/>
      <c r="HPN4" s="28"/>
      <c r="HPO4" s="28"/>
      <c r="HPP4" s="28"/>
      <c r="HPQ4" s="28"/>
      <c r="HPR4" s="28"/>
      <c r="HPS4" s="28"/>
      <c r="HPT4" s="28"/>
      <c r="HPU4" s="28"/>
      <c r="HPV4" s="28"/>
      <c r="HPW4" s="28"/>
      <c r="HPX4" s="28"/>
      <c r="HPY4" s="28"/>
      <c r="HPZ4" s="28"/>
      <c r="HQA4" s="28"/>
      <c r="HQB4" s="28"/>
      <c r="HQC4" s="28"/>
      <c r="HQD4" s="28"/>
      <c r="HQE4" s="28"/>
      <c r="HQF4" s="28"/>
      <c r="HQG4" s="28"/>
      <c r="HQH4" s="28"/>
      <c r="HQI4" s="28"/>
      <c r="HQJ4" s="28"/>
      <c r="HQK4" s="28"/>
      <c r="HQL4" s="28"/>
      <c r="HQM4" s="28"/>
      <c r="HQN4" s="28"/>
      <c r="HQO4" s="28"/>
      <c r="HQP4" s="28"/>
      <c r="HQQ4" s="28"/>
      <c r="HQR4" s="28"/>
      <c r="HQS4" s="28"/>
      <c r="HQT4" s="28"/>
      <c r="HQU4" s="28"/>
      <c r="HQV4" s="28"/>
      <c r="HQW4" s="28"/>
      <c r="HQX4" s="28"/>
      <c r="HQY4" s="28"/>
      <c r="HQZ4" s="28"/>
      <c r="HRA4" s="28"/>
      <c r="HRB4" s="28"/>
      <c r="HRC4" s="28"/>
      <c r="HRD4" s="28"/>
      <c r="HRE4" s="28"/>
      <c r="HRF4" s="28"/>
      <c r="HRG4" s="28"/>
      <c r="HRH4" s="28"/>
      <c r="HRI4" s="28"/>
      <c r="HRJ4" s="28"/>
      <c r="HRK4" s="28"/>
      <c r="HRL4" s="28"/>
      <c r="HRM4" s="28"/>
      <c r="HRN4" s="28"/>
      <c r="HRO4" s="28"/>
      <c r="HRP4" s="28"/>
      <c r="HRQ4" s="28"/>
      <c r="HRR4" s="28"/>
      <c r="HRS4" s="28"/>
      <c r="HRT4" s="28"/>
      <c r="HRU4" s="28"/>
      <c r="HRV4" s="28"/>
      <c r="HRW4" s="28"/>
      <c r="HRX4" s="28"/>
      <c r="HRY4" s="28"/>
      <c r="HRZ4" s="28"/>
      <c r="HSA4" s="28"/>
      <c r="HSB4" s="28"/>
      <c r="HSC4" s="28"/>
      <c r="HSD4" s="28"/>
      <c r="HSE4" s="28"/>
      <c r="HSF4" s="28"/>
      <c r="HSG4" s="28"/>
      <c r="HSH4" s="28"/>
      <c r="HSI4" s="28"/>
      <c r="HSJ4" s="28"/>
      <c r="HSK4" s="28"/>
      <c r="HSL4" s="28"/>
      <c r="HSM4" s="28"/>
      <c r="HSN4" s="28"/>
      <c r="HSO4" s="28"/>
      <c r="HSP4" s="28"/>
      <c r="HSQ4" s="28"/>
      <c r="HSR4" s="28"/>
      <c r="HSS4" s="28"/>
      <c r="HST4" s="28"/>
      <c r="HSU4" s="28"/>
      <c r="HSV4" s="28"/>
      <c r="HSW4" s="28"/>
      <c r="HSX4" s="28"/>
      <c r="HSY4" s="28"/>
      <c r="HSZ4" s="28"/>
      <c r="HTA4" s="28"/>
      <c r="HTB4" s="28"/>
      <c r="HTC4" s="28"/>
      <c r="HTD4" s="28"/>
      <c r="HTE4" s="28"/>
      <c r="HTF4" s="28"/>
      <c r="HTG4" s="28"/>
      <c r="HTH4" s="28"/>
      <c r="HTI4" s="28"/>
      <c r="HTJ4" s="28"/>
      <c r="HTK4" s="28"/>
      <c r="HTL4" s="28"/>
      <c r="HTM4" s="28"/>
      <c r="HTN4" s="28"/>
      <c r="HTO4" s="28"/>
      <c r="HTP4" s="28"/>
      <c r="HTQ4" s="28"/>
      <c r="HTR4" s="28"/>
      <c r="HTS4" s="28"/>
      <c r="HTT4" s="28"/>
      <c r="HTU4" s="28"/>
      <c r="HTV4" s="28"/>
      <c r="HTW4" s="28"/>
      <c r="HTX4" s="28"/>
      <c r="HTY4" s="28"/>
      <c r="HTZ4" s="28"/>
      <c r="HUA4" s="28"/>
      <c r="HUB4" s="28"/>
      <c r="HUC4" s="28"/>
      <c r="HUD4" s="28"/>
      <c r="HUE4" s="28"/>
      <c r="HUF4" s="28"/>
      <c r="HUG4" s="28"/>
      <c r="HUH4" s="28"/>
      <c r="HUI4" s="28"/>
      <c r="HUJ4" s="28"/>
      <c r="HUK4" s="28"/>
      <c r="HUL4" s="28"/>
      <c r="HUM4" s="28"/>
      <c r="HUN4" s="28"/>
      <c r="HUO4" s="28"/>
      <c r="HUP4" s="28"/>
      <c r="HUQ4" s="28"/>
      <c r="HUR4" s="28"/>
      <c r="HUS4" s="28"/>
      <c r="HUT4" s="28"/>
      <c r="HUU4" s="28"/>
      <c r="HUV4" s="28"/>
      <c r="HUW4" s="28"/>
      <c r="HUX4" s="28"/>
      <c r="HUY4" s="28"/>
      <c r="HUZ4" s="28"/>
      <c r="HVA4" s="28"/>
      <c r="HVB4" s="28"/>
      <c r="HVC4" s="28"/>
      <c r="HVD4" s="28"/>
      <c r="HVE4" s="28"/>
      <c r="HVF4" s="28"/>
      <c r="HVG4" s="28"/>
      <c r="HVH4" s="28"/>
      <c r="HVI4" s="28"/>
      <c r="HVJ4" s="28"/>
      <c r="HVK4" s="28"/>
      <c r="HVL4" s="28"/>
      <c r="HVM4" s="28"/>
      <c r="HVN4" s="28"/>
      <c r="HVO4" s="28"/>
      <c r="HVP4" s="28"/>
      <c r="HVQ4" s="28"/>
      <c r="HVR4" s="28"/>
      <c r="HVS4" s="28"/>
      <c r="HVT4" s="28"/>
      <c r="HVU4" s="28"/>
      <c r="HVV4" s="28"/>
      <c r="HVW4" s="28"/>
      <c r="HVX4" s="28"/>
      <c r="HVY4" s="28"/>
      <c r="HVZ4" s="28"/>
      <c r="HWA4" s="28"/>
      <c r="HWB4" s="28"/>
      <c r="HWC4" s="28"/>
      <c r="HWD4" s="28"/>
      <c r="HWE4" s="28"/>
      <c r="HWF4" s="28"/>
      <c r="HWG4" s="28"/>
      <c r="HWH4" s="28"/>
      <c r="HWI4" s="28"/>
      <c r="HWJ4" s="28"/>
      <c r="HWK4" s="28"/>
      <c r="HWL4" s="28"/>
      <c r="HWM4" s="28"/>
      <c r="HWN4" s="28"/>
      <c r="HWO4" s="28"/>
      <c r="HWP4" s="28"/>
      <c r="HWQ4" s="28"/>
      <c r="HWR4" s="28"/>
      <c r="HWS4" s="28"/>
      <c r="HWT4" s="28"/>
      <c r="HWU4" s="28"/>
      <c r="HWV4" s="28"/>
      <c r="HWW4" s="28"/>
      <c r="HWX4" s="28"/>
      <c r="HWY4" s="28"/>
      <c r="HWZ4" s="28"/>
      <c r="HXA4" s="28"/>
      <c r="HXB4" s="28"/>
      <c r="HXC4" s="28"/>
      <c r="HXD4" s="28"/>
      <c r="HXE4" s="28"/>
      <c r="HXF4" s="28"/>
      <c r="HXG4" s="28"/>
      <c r="HXH4" s="28"/>
      <c r="HXI4" s="28"/>
      <c r="HXJ4" s="28"/>
      <c r="HXK4" s="28"/>
      <c r="HXL4" s="28"/>
      <c r="HXM4" s="28"/>
      <c r="HXN4" s="28"/>
      <c r="HXO4" s="28"/>
      <c r="HXP4" s="28"/>
      <c r="HXQ4" s="28"/>
      <c r="HXR4" s="28"/>
      <c r="HXS4" s="28"/>
      <c r="HXT4" s="28"/>
      <c r="HXU4" s="28"/>
      <c r="HXV4" s="28"/>
      <c r="HXW4" s="28"/>
      <c r="HXX4" s="28"/>
      <c r="HXY4" s="28"/>
      <c r="HXZ4" s="28"/>
      <c r="HYA4" s="28"/>
      <c r="HYB4" s="28"/>
      <c r="HYC4" s="28"/>
      <c r="HYD4" s="28"/>
      <c r="HYE4" s="28"/>
      <c r="HYF4" s="28"/>
      <c r="HYG4" s="28"/>
      <c r="HYH4" s="28"/>
      <c r="HYI4" s="28"/>
      <c r="HYJ4" s="28"/>
      <c r="HYK4" s="28"/>
      <c r="HYL4" s="28"/>
      <c r="HYM4" s="28"/>
      <c r="HYN4" s="28"/>
      <c r="HYO4" s="28"/>
      <c r="HYP4" s="28"/>
      <c r="HYQ4" s="28"/>
      <c r="HYR4" s="28"/>
      <c r="HYS4" s="28"/>
      <c r="HYT4" s="28"/>
      <c r="HYU4" s="28"/>
      <c r="HYV4" s="28"/>
      <c r="HYW4" s="28"/>
      <c r="HYX4" s="28"/>
      <c r="HYY4" s="28"/>
      <c r="HYZ4" s="28"/>
      <c r="HZA4" s="28"/>
      <c r="HZB4" s="28"/>
      <c r="HZC4" s="28"/>
      <c r="HZD4" s="28"/>
      <c r="HZE4" s="28"/>
      <c r="HZF4" s="28"/>
      <c r="HZG4" s="28"/>
      <c r="HZH4" s="28"/>
      <c r="HZI4" s="28"/>
      <c r="HZJ4" s="28"/>
      <c r="HZK4" s="28"/>
      <c r="HZL4" s="28"/>
      <c r="HZM4" s="28"/>
      <c r="HZN4" s="28"/>
      <c r="HZO4" s="28"/>
      <c r="HZP4" s="28"/>
      <c r="HZQ4" s="28"/>
      <c r="HZR4" s="28"/>
      <c r="HZS4" s="28"/>
      <c r="HZT4" s="28"/>
      <c r="HZU4" s="28"/>
      <c r="HZV4" s="28"/>
      <c r="HZW4" s="28"/>
      <c r="HZX4" s="28"/>
      <c r="HZY4" s="28"/>
      <c r="HZZ4" s="28"/>
      <c r="IAA4" s="28"/>
      <c r="IAB4" s="28"/>
      <c r="IAC4" s="28"/>
      <c r="IAD4" s="28"/>
      <c r="IAE4" s="28"/>
      <c r="IAF4" s="28"/>
      <c r="IAG4" s="28"/>
      <c r="IAH4" s="28"/>
      <c r="IAI4" s="28"/>
      <c r="IAJ4" s="28"/>
      <c r="IAK4" s="28"/>
      <c r="IAL4" s="28"/>
      <c r="IAM4" s="28"/>
      <c r="IAN4" s="28"/>
      <c r="IAO4" s="28"/>
      <c r="IAP4" s="28"/>
      <c r="IAQ4" s="28"/>
      <c r="IAR4" s="28"/>
      <c r="IAS4" s="28"/>
      <c r="IAT4" s="28"/>
      <c r="IAU4" s="28"/>
      <c r="IAV4" s="28"/>
      <c r="IAW4" s="28"/>
      <c r="IAX4" s="28"/>
      <c r="IAY4" s="28"/>
      <c r="IAZ4" s="28"/>
      <c r="IBA4" s="28"/>
      <c r="IBB4" s="28"/>
      <c r="IBC4" s="28"/>
      <c r="IBD4" s="28"/>
      <c r="IBE4" s="28"/>
      <c r="IBF4" s="28"/>
      <c r="IBG4" s="28"/>
      <c r="IBH4" s="28"/>
      <c r="IBI4" s="28"/>
      <c r="IBJ4" s="28"/>
      <c r="IBK4" s="28"/>
      <c r="IBL4" s="28"/>
      <c r="IBM4" s="28"/>
      <c r="IBN4" s="28"/>
      <c r="IBO4" s="28"/>
      <c r="IBP4" s="28"/>
      <c r="IBQ4" s="28"/>
      <c r="IBR4" s="28"/>
      <c r="IBS4" s="28"/>
      <c r="IBT4" s="28"/>
      <c r="IBU4" s="28"/>
      <c r="IBV4" s="28"/>
      <c r="IBW4" s="28"/>
      <c r="IBX4" s="28"/>
      <c r="IBY4" s="28"/>
      <c r="IBZ4" s="28"/>
      <c r="ICA4" s="28"/>
      <c r="ICB4" s="28"/>
      <c r="ICC4" s="28"/>
      <c r="ICD4" s="28"/>
      <c r="ICE4" s="28"/>
      <c r="ICF4" s="28"/>
      <c r="ICG4" s="28"/>
      <c r="ICH4" s="28"/>
      <c r="ICI4" s="28"/>
      <c r="ICJ4" s="28"/>
      <c r="ICK4" s="28"/>
      <c r="ICL4" s="28"/>
      <c r="ICM4" s="28"/>
      <c r="ICN4" s="28"/>
      <c r="ICO4" s="28"/>
      <c r="ICP4" s="28"/>
      <c r="ICQ4" s="28"/>
      <c r="ICR4" s="28"/>
      <c r="ICS4" s="28"/>
      <c r="ICT4" s="28"/>
      <c r="ICU4" s="28"/>
      <c r="ICV4" s="28"/>
      <c r="ICW4" s="28"/>
      <c r="ICX4" s="28"/>
      <c r="ICY4" s="28"/>
      <c r="ICZ4" s="28"/>
      <c r="IDA4" s="28"/>
      <c r="IDB4" s="28"/>
      <c r="IDC4" s="28"/>
      <c r="IDD4" s="28"/>
      <c r="IDE4" s="28"/>
      <c r="IDF4" s="28"/>
      <c r="IDG4" s="28"/>
      <c r="IDH4" s="28"/>
      <c r="IDI4" s="28"/>
      <c r="IDJ4" s="28"/>
      <c r="IDK4" s="28"/>
      <c r="IDL4" s="28"/>
      <c r="IDM4" s="28"/>
      <c r="IDN4" s="28"/>
      <c r="IDO4" s="28"/>
      <c r="IDP4" s="28"/>
      <c r="IDQ4" s="28"/>
      <c r="IDR4" s="28"/>
      <c r="IDS4" s="28"/>
      <c r="IDT4" s="28"/>
      <c r="IDU4" s="28"/>
      <c r="IDV4" s="28"/>
      <c r="IDW4" s="28"/>
      <c r="IDX4" s="28"/>
      <c r="IDY4" s="28"/>
      <c r="IDZ4" s="28"/>
      <c r="IEA4" s="28"/>
      <c r="IEB4" s="28"/>
      <c r="IEC4" s="28"/>
      <c r="IED4" s="28"/>
      <c r="IEE4" s="28"/>
      <c r="IEF4" s="28"/>
      <c r="IEG4" s="28"/>
      <c r="IEH4" s="28"/>
      <c r="IEI4" s="28"/>
      <c r="IEJ4" s="28"/>
      <c r="IEK4" s="28"/>
      <c r="IEL4" s="28"/>
      <c r="IEM4" s="28"/>
      <c r="IEN4" s="28"/>
      <c r="IEO4" s="28"/>
      <c r="IEP4" s="28"/>
      <c r="IEQ4" s="28"/>
      <c r="IER4" s="28"/>
      <c r="IES4" s="28"/>
      <c r="IET4" s="28"/>
      <c r="IEU4" s="28"/>
      <c r="IEV4" s="28"/>
      <c r="IEW4" s="28"/>
      <c r="IEX4" s="28"/>
      <c r="IEY4" s="28"/>
      <c r="IEZ4" s="28"/>
      <c r="IFA4" s="28"/>
      <c r="IFB4" s="28"/>
      <c r="IFC4" s="28"/>
      <c r="IFD4" s="28"/>
      <c r="IFE4" s="28"/>
      <c r="IFF4" s="28"/>
      <c r="IFG4" s="28"/>
      <c r="IFH4" s="28"/>
      <c r="IFI4" s="28"/>
      <c r="IFJ4" s="28"/>
      <c r="IFK4" s="28"/>
      <c r="IFL4" s="28"/>
      <c r="IFM4" s="28"/>
      <c r="IFN4" s="28"/>
      <c r="IFO4" s="28"/>
      <c r="IFP4" s="28"/>
      <c r="IFQ4" s="28"/>
      <c r="IFR4" s="28"/>
      <c r="IFS4" s="28"/>
      <c r="IFT4" s="28"/>
      <c r="IFU4" s="28"/>
      <c r="IFV4" s="28"/>
      <c r="IFW4" s="28"/>
      <c r="IFX4" s="28"/>
      <c r="IFY4" s="28"/>
      <c r="IFZ4" s="28"/>
      <c r="IGA4" s="28"/>
      <c r="IGB4" s="28"/>
      <c r="IGC4" s="28"/>
      <c r="IGD4" s="28"/>
      <c r="IGE4" s="28"/>
      <c r="IGF4" s="28"/>
      <c r="IGG4" s="28"/>
      <c r="IGH4" s="28"/>
      <c r="IGI4" s="28"/>
      <c r="IGJ4" s="28"/>
      <c r="IGK4" s="28"/>
      <c r="IGL4" s="28"/>
      <c r="IGM4" s="28"/>
      <c r="IGN4" s="28"/>
      <c r="IGO4" s="28"/>
      <c r="IGP4" s="28"/>
      <c r="IGQ4" s="28"/>
      <c r="IGR4" s="28"/>
      <c r="IGS4" s="28"/>
      <c r="IGT4" s="28"/>
      <c r="IGU4" s="28"/>
      <c r="IGV4" s="28"/>
      <c r="IGW4" s="28"/>
      <c r="IGX4" s="28"/>
      <c r="IGY4" s="28"/>
      <c r="IGZ4" s="28"/>
      <c r="IHA4" s="28"/>
      <c r="IHB4" s="28"/>
      <c r="IHC4" s="28"/>
      <c r="IHD4" s="28"/>
      <c r="IHE4" s="28"/>
      <c r="IHF4" s="28"/>
      <c r="IHG4" s="28"/>
      <c r="IHH4" s="28"/>
      <c r="IHI4" s="28"/>
      <c r="IHJ4" s="28"/>
      <c r="IHK4" s="28"/>
      <c r="IHL4" s="28"/>
      <c r="IHM4" s="28"/>
      <c r="IHN4" s="28"/>
      <c r="IHO4" s="28"/>
      <c r="IHP4" s="28"/>
      <c r="IHQ4" s="28"/>
      <c r="IHR4" s="28"/>
      <c r="IHS4" s="28"/>
      <c r="IHT4" s="28"/>
      <c r="IHU4" s="28"/>
      <c r="IHV4" s="28"/>
      <c r="IHW4" s="28"/>
      <c r="IHX4" s="28"/>
      <c r="IHY4" s="28"/>
      <c r="IHZ4" s="28"/>
      <c r="IIA4" s="28"/>
      <c r="IIB4" s="28"/>
      <c r="IIC4" s="28"/>
      <c r="IID4" s="28"/>
      <c r="IIE4" s="28"/>
      <c r="IIF4" s="28"/>
      <c r="IIG4" s="28"/>
      <c r="IIH4" s="28"/>
      <c r="III4" s="28"/>
      <c r="IIJ4" s="28"/>
      <c r="IIK4" s="28"/>
      <c r="IIL4" s="28"/>
      <c r="IIM4" s="28"/>
      <c r="IIN4" s="28"/>
      <c r="IIO4" s="28"/>
      <c r="IIP4" s="28"/>
      <c r="IIQ4" s="28"/>
      <c r="IIR4" s="28"/>
      <c r="IIS4" s="28"/>
      <c r="IIT4" s="28"/>
      <c r="IIU4" s="28"/>
      <c r="IIV4" s="28"/>
      <c r="IIW4" s="28"/>
      <c r="IIX4" s="28"/>
      <c r="IIY4" s="28"/>
      <c r="IIZ4" s="28"/>
      <c r="IJA4" s="28"/>
      <c r="IJB4" s="28"/>
      <c r="IJC4" s="28"/>
      <c r="IJD4" s="28"/>
      <c r="IJE4" s="28"/>
      <c r="IJF4" s="28"/>
      <c r="IJG4" s="28"/>
      <c r="IJH4" s="28"/>
      <c r="IJI4" s="28"/>
      <c r="IJJ4" s="28"/>
      <c r="IJK4" s="28"/>
      <c r="IJL4" s="28"/>
      <c r="IJM4" s="28"/>
      <c r="IJN4" s="28"/>
      <c r="IJO4" s="28"/>
      <c r="IJP4" s="28"/>
      <c r="IJQ4" s="28"/>
      <c r="IJR4" s="28"/>
      <c r="IJS4" s="28"/>
      <c r="IJT4" s="28"/>
      <c r="IJU4" s="28"/>
      <c r="IJV4" s="28"/>
      <c r="IJW4" s="28"/>
      <c r="IJX4" s="28"/>
      <c r="IJY4" s="28"/>
      <c r="IJZ4" s="28"/>
      <c r="IKA4" s="28"/>
      <c r="IKB4" s="28"/>
      <c r="IKC4" s="28"/>
      <c r="IKD4" s="28"/>
      <c r="IKE4" s="28"/>
      <c r="IKF4" s="28"/>
      <c r="IKG4" s="28"/>
      <c r="IKH4" s="28"/>
      <c r="IKI4" s="28"/>
      <c r="IKJ4" s="28"/>
      <c r="IKK4" s="28"/>
      <c r="IKL4" s="28"/>
      <c r="IKM4" s="28"/>
      <c r="IKN4" s="28"/>
      <c r="IKO4" s="28"/>
      <c r="IKP4" s="28"/>
      <c r="IKQ4" s="28"/>
      <c r="IKR4" s="28"/>
      <c r="IKS4" s="28"/>
      <c r="IKT4" s="28"/>
      <c r="IKU4" s="28"/>
      <c r="IKV4" s="28"/>
      <c r="IKW4" s="28"/>
      <c r="IKX4" s="28"/>
      <c r="IKY4" s="28"/>
      <c r="IKZ4" s="28"/>
      <c r="ILA4" s="28"/>
      <c r="ILB4" s="28"/>
      <c r="ILC4" s="28"/>
      <c r="ILD4" s="28"/>
      <c r="ILE4" s="28"/>
      <c r="ILF4" s="28"/>
      <c r="ILG4" s="28"/>
      <c r="ILH4" s="28"/>
      <c r="ILI4" s="28"/>
      <c r="ILJ4" s="28"/>
      <c r="ILK4" s="28"/>
      <c r="ILL4" s="28"/>
      <c r="ILM4" s="28"/>
      <c r="ILN4" s="28"/>
      <c r="ILO4" s="28"/>
      <c r="ILP4" s="28"/>
      <c r="ILQ4" s="28"/>
      <c r="ILR4" s="28"/>
      <c r="ILS4" s="28"/>
      <c r="ILT4" s="28"/>
      <c r="ILU4" s="28"/>
      <c r="ILV4" s="28"/>
      <c r="ILW4" s="28"/>
      <c r="ILX4" s="28"/>
      <c r="ILY4" s="28"/>
      <c r="ILZ4" s="28"/>
      <c r="IMA4" s="28"/>
      <c r="IMB4" s="28"/>
      <c r="IMC4" s="28"/>
      <c r="IMD4" s="28"/>
      <c r="IME4" s="28"/>
      <c r="IMF4" s="28"/>
      <c r="IMG4" s="28"/>
      <c r="IMH4" s="28"/>
      <c r="IMI4" s="28"/>
      <c r="IMJ4" s="28"/>
      <c r="IMK4" s="28"/>
      <c r="IML4" s="28"/>
      <c r="IMM4" s="28"/>
      <c r="IMN4" s="28"/>
      <c r="IMO4" s="28"/>
      <c r="IMP4" s="28"/>
      <c r="IMQ4" s="28"/>
      <c r="IMR4" s="28"/>
      <c r="IMS4" s="28"/>
      <c r="IMT4" s="28"/>
      <c r="IMU4" s="28"/>
      <c r="IMV4" s="28"/>
      <c r="IMW4" s="28"/>
      <c r="IMX4" s="28"/>
      <c r="IMY4" s="28"/>
      <c r="IMZ4" s="28"/>
      <c r="INA4" s="28"/>
      <c r="INB4" s="28"/>
      <c r="INC4" s="28"/>
      <c r="IND4" s="28"/>
      <c r="INE4" s="28"/>
      <c r="INF4" s="28"/>
      <c r="ING4" s="28"/>
      <c r="INH4" s="28"/>
      <c r="INI4" s="28"/>
      <c r="INJ4" s="28"/>
      <c r="INK4" s="28"/>
      <c r="INL4" s="28"/>
      <c r="INM4" s="28"/>
      <c r="INN4" s="28"/>
      <c r="INO4" s="28"/>
      <c r="INP4" s="28"/>
      <c r="INQ4" s="28"/>
      <c r="INR4" s="28"/>
      <c r="INS4" s="28"/>
      <c r="INT4" s="28"/>
      <c r="INU4" s="28"/>
      <c r="INV4" s="28"/>
      <c r="INW4" s="28"/>
      <c r="INX4" s="28"/>
      <c r="INY4" s="28"/>
      <c r="INZ4" s="28"/>
      <c r="IOA4" s="28"/>
      <c r="IOB4" s="28"/>
      <c r="IOC4" s="28"/>
      <c r="IOD4" s="28"/>
      <c r="IOE4" s="28"/>
      <c r="IOF4" s="28"/>
      <c r="IOG4" s="28"/>
      <c r="IOH4" s="28"/>
      <c r="IOI4" s="28"/>
      <c r="IOJ4" s="28"/>
      <c r="IOK4" s="28"/>
      <c r="IOL4" s="28"/>
      <c r="IOM4" s="28"/>
      <c r="ION4" s="28"/>
      <c r="IOO4" s="28"/>
      <c r="IOP4" s="28"/>
      <c r="IOQ4" s="28"/>
      <c r="IOR4" s="28"/>
      <c r="IOS4" s="28"/>
      <c r="IOT4" s="28"/>
      <c r="IOU4" s="28"/>
      <c r="IOV4" s="28"/>
      <c r="IOW4" s="28"/>
      <c r="IOX4" s="28"/>
      <c r="IOY4" s="28"/>
      <c r="IOZ4" s="28"/>
      <c r="IPA4" s="28"/>
      <c r="IPB4" s="28"/>
      <c r="IPC4" s="28"/>
      <c r="IPD4" s="28"/>
      <c r="IPE4" s="28"/>
      <c r="IPF4" s="28"/>
      <c r="IPG4" s="28"/>
      <c r="IPH4" s="28"/>
      <c r="IPI4" s="28"/>
      <c r="IPJ4" s="28"/>
      <c r="IPK4" s="28"/>
      <c r="IPL4" s="28"/>
      <c r="IPM4" s="28"/>
      <c r="IPN4" s="28"/>
      <c r="IPO4" s="28"/>
      <c r="IPP4" s="28"/>
      <c r="IPQ4" s="28"/>
      <c r="IPR4" s="28"/>
      <c r="IPS4" s="28"/>
      <c r="IPT4" s="28"/>
      <c r="IPU4" s="28"/>
      <c r="IPV4" s="28"/>
      <c r="IPW4" s="28"/>
      <c r="IPX4" s="28"/>
      <c r="IPY4" s="28"/>
      <c r="IPZ4" s="28"/>
      <c r="IQA4" s="28"/>
      <c r="IQB4" s="28"/>
      <c r="IQC4" s="28"/>
      <c r="IQD4" s="28"/>
      <c r="IQE4" s="28"/>
      <c r="IQF4" s="28"/>
      <c r="IQG4" s="28"/>
      <c r="IQH4" s="28"/>
      <c r="IQI4" s="28"/>
      <c r="IQJ4" s="28"/>
      <c r="IQK4" s="28"/>
      <c r="IQL4" s="28"/>
      <c r="IQM4" s="28"/>
      <c r="IQN4" s="28"/>
      <c r="IQO4" s="28"/>
      <c r="IQP4" s="28"/>
      <c r="IQQ4" s="28"/>
      <c r="IQR4" s="28"/>
      <c r="IQS4" s="28"/>
      <c r="IQT4" s="28"/>
      <c r="IQU4" s="28"/>
      <c r="IQV4" s="28"/>
      <c r="IQW4" s="28"/>
      <c r="IQX4" s="28"/>
      <c r="IQY4" s="28"/>
      <c r="IQZ4" s="28"/>
      <c r="IRA4" s="28"/>
      <c r="IRB4" s="28"/>
      <c r="IRC4" s="28"/>
      <c r="IRD4" s="28"/>
      <c r="IRE4" s="28"/>
      <c r="IRF4" s="28"/>
      <c r="IRG4" s="28"/>
      <c r="IRH4" s="28"/>
      <c r="IRI4" s="28"/>
      <c r="IRJ4" s="28"/>
      <c r="IRK4" s="28"/>
      <c r="IRL4" s="28"/>
      <c r="IRM4" s="28"/>
      <c r="IRN4" s="28"/>
      <c r="IRO4" s="28"/>
      <c r="IRP4" s="28"/>
      <c r="IRQ4" s="28"/>
      <c r="IRR4" s="28"/>
      <c r="IRS4" s="28"/>
      <c r="IRT4" s="28"/>
      <c r="IRU4" s="28"/>
      <c r="IRV4" s="28"/>
      <c r="IRW4" s="28"/>
      <c r="IRX4" s="28"/>
      <c r="IRY4" s="28"/>
      <c r="IRZ4" s="28"/>
      <c r="ISA4" s="28"/>
      <c r="ISB4" s="28"/>
      <c r="ISC4" s="28"/>
      <c r="ISD4" s="28"/>
      <c r="ISE4" s="28"/>
      <c r="ISF4" s="28"/>
      <c r="ISG4" s="28"/>
      <c r="ISH4" s="28"/>
      <c r="ISI4" s="28"/>
      <c r="ISJ4" s="28"/>
      <c r="ISK4" s="28"/>
      <c r="ISL4" s="28"/>
      <c r="ISM4" s="28"/>
      <c r="ISN4" s="28"/>
      <c r="ISO4" s="28"/>
      <c r="ISP4" s="28"/>
      <c r="ISQ4" s="28"/>
      <c r="ISR4" s="28"/>
      <c r="ISS4" s="28"/>
      <c r="IST4" s="28"/>
      <c r="ISU4" s="28"/>
      <c r="ISV4" s="28"/>
      <c r="ISW4" s="28"/>
      <c r="ISX4" s="28"/>
      <c r="ISY4" s="28"/>
      <c r="ISZ4" s="28"/>
      <c r="ITA4" s="28"/>
      <c r="ITB4" s="28"/>
      <c r="ITC4" s="28"/>
      <c r="ITD4" s="28"/>
      <c r="ITE4" s="28"/>
      <c r="ITF4" s="28"/>
      <c r="ITG4" s="28"/>
      <c r="ITH4" s="28"/>
      <c r="ITI4" s="28"/>
      <c r="ITJ4" s="28"/>
      <c r="ITK4" s="28"/>
      <c r="ITL4" s="28"/>
      <c r="ITM4" s="28"/>
      <c r="ITN4" s="28"/>
      <c r="ITO4" s="28"/>
      <c r="ITP4" s="28"/>
      <c r="ITQ4" s="28"/>
      <c r="ITR4" s="28"/>
      <c r="ITS4" s="28"/>
      <c r="ITT4" s="28"/>
      <c r="ITU4" s="28"/>
      <c r="ITV4" s="28"/>
      <c r="ITW4" s="28"/>
      <c r="ITX4" s="28"/>
      <c r="ITY4" s="28"/>
      <c r="ITZ4" s="28"/>
      <c r="IUA4" s="28"/>
      <c r="IUB4" s="28"/>
      <c r="IUC4" s="28"/>
      <c r="IUD4" s="28"/>
      <c r="IUE4" s="28"/>
      <c r="IUF4" s="28"/>
      <c r="IUG4" s="28"/>
      <c r="IUH4" s="28"/>
      <c r="IUI4" s="28"/>
      <c r="IUJ4" s="28"/>
      <c r="IUK4" s="28"/>
      <c r="IUL4" s="28"/>
      <c r="IUM4" s="28"/>
      <c r="IUN4" s="28"/>
      <c r="IUO4" s="28"/>
      <c r="IUP4" s="28"/>
      <c r="IUQ4" s="28"/>
      <c r="IUR4" s="28"/>
      <c r="IUS4" s="28"/>
      <c r="IUT4" s="28"/>
      <c r="IUU4" s="28"/>
      <c r="IUV4" s="28"/>
      <c r="IUW4" s="28"/>
      <c r="IUX4" s="28"/>
      <c r="IUY4" s="28"/>
      <c r="IUZ4" s="28"/>
      <c r="IVA4" s="28"/>
      <c r="IVB4" s="28"/>
      <c r="IVC4" s="28"/>
      <c r="IVD4" s="28"/>
      <c r="IVE4" s="28"/>
      <c r="IVF4" s="28"/>
      <c r="IVG4" s="28"/>
      <c r="IVH4" s="28"/>
      <c r="IVI4" s="28"/>
      <c r="IVJ4" s="28"/>
      <c r="IVK4" s="28"/>
      <c r="IVL4" s="28"/>
      <c r="IVM4" s="28"/>
      <c r="IVN4" s="28"/>
      <c r="IVO4" s="28"/>
      <c r="IVP4" s="28"/>
      <c r="IVQ4" s="28"/>
      <c r="IVR4" s="28"/>
      <c r="IVS4" s="28"/>
      <c r="IVT4" s="28"/>
      <c r="IVU4" s="28"/>
      <c r="IVV4" s="28"/>
      <c r="IVW4" s="28"/>
      <c r="IVX4" s="28"/>
      <c r="IVY4" s="28"/>
      <c r="IVZ4" s="28"/>
      <c r="IWA4" s="28"/>
      <c r="IWB4" s="28"/>
      <c r="IWC4" s="28"/>
      <c r="IWD4" s="28"/>
      <c r="IWE4" s="28"/>
      <c r="IWF4" s="28"/>
      <c r="IWG4" s="28"/>
      <c r="IWH4" s="28"/>
      <c r="IWI4" s="28"/>
      <c r="IWJ4" s="28"/>
      <c r="IWK4" s="28"/>
      <c r="IWL4" s="28"/>
      <c r="IWM4" s="28"/>
      <c r="IWN4" s="28"/>
      <c r="IWO4" s="28"/>
      <c r="IWP4" s="28"/>
      <c r="IWQ4" s="28"/>
      <c r="IWR4" s="28"/>
      <c r="IWS4" s="28"/>
      <c r="IWT4" s="28"/>
      <c r="IWU4" s="28"/>
      <c r="IWV4" s="28"/>
      <c r="IWW4" s="28"/>
      <c r="IWX4" s="28"/>
      <c r="IWY4" s="28"/>
      <c r="IWZ4" s="28"/>
      <c r="IXA4" s="28"/>
      <c r="IXB4" s="28"/>
      <c r="IXC4" s="28"/>
      <c r="IXD4" s="28"/>
      <c r="IXE4" s="28"/>
      <c r="IXF4" s="28"/>
      <c r="IXG4" s="28"/>
      <c r="IXH4" s="28"/>
      <c r="IXI4" s="28"/>
      <c r="IXJ4" s="28"/>
      <c r="IXK4" s="28"/>
      <c r="IXL4" s="28"/>
      <c r="IXM4" s="28"/>
      <c r="IXN4" s="28"/>
      <c r="IXO4" s="28"/>
      <c r="IXP4" s="28"/>
      <c r="IXQ4" s="28"/>
      <c r="IXR4" s="28"/>
      <c r="IXS4" s="28"/>
      <c r="IXT4" s="28"/>
      <c r="IXU4" s="28"/>
      <c r="IXV4" s="28"/>
      <c r="IXW4" s="28"/>
      <c r="IXX4" s="28"/>
      <c r="IXY4" s="28"/>
      <c r="IXZ4" s="28"/>
      <c r="IYA4" s="28"/>
      <c r="IYB4" s="28"/>
      <c r="IYC4" s="28"/>
      <c r="IYD4" s="28"/>
      <c r="IYE4" s="28"/>
      <c r="IYF4" s="28"/>
      <c r="IYG4" s="28"/>
      <c r="IYH4" s="28"/>
      <c r="IYI4" s="28"/>
      <c r="IYJ4" s="28"/>
      <c r="IYK4" s="28"/>
      <c r="IYL4" s="28"/>
      <c r="IYM4" s="28"/>
      <c r="IYN4" s="28"/>
      <c r="IYO4" s="28"/>
      <c r="IYP4" s="28"/>
      <c r="IYQ4" s="28"/>
      <c r="IYR4" s="28"/>
      <c r="IYS4" s="28"/>
      <c r="IYT4" s="28"/>
      <c r="IYU4" s="28"/>
      <c r="IYV4" s="28"/>
      <c r="IYW4" s="28"/>
      <c r="IYX4" s="28"/>
      <c r="IYY4" s="28"/>
      <c r="IYZ4" s="28"/>
      <c r="IZA4" s="28"/>
      <c r="IZB4" s="28"/>
      <c r="IZC4" s="28"/>
      <c r="IZD4" s="28"/>
      <c r="IZE4" s="28"/>
      <c r="IZF4" s="28"/>
      <c r="IZG4" s="28"/>
      <c r="IZH4" s="28"/>
      <c r="IZI4" s="28"/>
      <c r="IZJ4" s="28"/>
      <c r="IZK4" s="28"/>
      <c r="IZL4" s="28"/>
      <c r="IZM4" s="28"/>
      <c r="IZN4" s="28"/>
      <c r="IZO4" s="28"/>
      <c r="IZP4" s="28"/>
      <c r="IZQ4" s="28"/>
      <c r="IZR4" s="28"/>
      <c r="IZS4" s="28"/>
      <c r="IZT4" s="28"/>
      <c r="IZU4" s="28"/>
      <c r="IZV4" s="28"/>
      <c r="IZW4" s="28"/>
      <c r="IZX4" s="28"/>
      <c r="IZY4" s="28"/>
      <c r="IZZ4" s="28"/>
      <c r="JAA4" s="28"/>
      <c r="JAB4" s="28"/>
      <c r="JAC4" s="28"/>
      <c r="JAD4" s="28"/>
      <c r="JAE4" s="28"/>
      <c r="JAF4" s="28"/>
      <c r="JAG4" s="28"/>
      <c r="JAH4" s="28"/>
      <c r="JAI4" s="28"/>
      <c r="JAJ4" s="28"/>
      <c r="JAK4" s="28"/>
      <c r="JAL4" s="28"/>
      <c r="JAM4" s="28"/>
      <c r="JAN4" s="28"/>
      <c r="JAO4" s="28"/>
      <c r="JAP4" s="28"/>
      <c r="JAQ4" s="28"/>
      <c r="JAR4" s="28"/>
      <c r="JAS4" s="28"/>
      <c r="JAT4" s="28"/>
      <c r="JAU4" s="28"/>
      <c r="JAV4" s="28"/>
      <c r="JAW4" s="28"/>
      <c r="JAX4" s="28"/>
      <c r="JAY4" s="28"/>
      <c r="JAZ4" s="28"/>
      <c r="JBA4" s="28"/>
      <c r="JBB4" s="28"/>
      <c r="JBC4" s="28"/>
      <c r="JBD4" s="28"/>
      <c r="JBE4" s="28"/>
      <c r="JBF4" s="28"/>
      <c r="JBG4" s="28"/>
      <c r="JBH4" s="28"/>
      <c r="JBI4" s="28"/>
      <c r="JBJ4" s="28"/>
      <c r="JBK4" s="28"/>
      <c r="JBL4" s="28"/>
      <c r="JBM4" s="28"/>
      <c r="JBN4" s="28"/>
      <c r="JBO4" s="28"/>
      <c r="JBP4" s="28"/>
      <c r="JBQ4" s="28"/>
      <c r="JBR4" s="28"/>
      <c r="JBS4" s="28"/>
      <c r="JBT4" s="28"/>
      <c r="JBU4" s="28"/>
      <c r="JBV4" s="28"/>
      <c r="JBW4" s="28"/>
      <c r="JBX4" s="28"/>
      <c r="JBY4" s="28"/>
      <c r="JBZ4" s="28"/>
      <c r="JCA4" s="28"/>
      <c r="JCB4" s="28"/>
      <c r="JCC4" s="28"/>
      <c r="JCD4" s="28"/>
      <c r="JCE4" s="28"/>
      <c r="JCF4" s="28"/>
      <c r="JCG4" s="28"/>
      <c r="JCH4" s="28"/>
      <c r="JCI4" s="28"/>
      <c r="JCJ4" s="28"/>
      <c r="JCK4" s="28"/>
      <c r="JCL4" s="28"/>
      <c r="JCM4" s="28"/>
      <c r="JCN4" s="28"/>
      <c r="JCO4" s="28"/>
      <c r="JCP4" s="28"/>
      <c r="JCQ4" s="28"/>
      <c r="JCR4" s="28"/>
      <c r="JCS4" s="28"/>
      <c r="JCT4" s="28"/>
      <c r="JCU4" s="28"/>
      <c r="JCV4" s="28"/>
      <c r="JCW4" s="28"/>
      <c r="JCX4" s="28"/>
      <c r="JCY4" s="28"/>
      <c r="JCZ4" s="28"/>
      <c r="JDA4" s="28"/>
      <c r="JDB4" s="28"/>
      <c r="JDC4" s="28"/>
      <c r="JDD4" s="28"/>
      <c r="JDE4" s="28"/>
      <c r="JDF4" s="28"/>
      <c r="JDG4" s="28"/>
      <c r="JDH4" s="28"/>
      <c r="JDI4" s="28"/>
      <c r="JDJ4" s="28"/>
      <c r="JDK4" s="28"/>
      <c r="JDL4" s="28"/>
      <c r="JDM4" s="28"/>
      <c r="JDN4" s="28"/>
      <c r="JDO4" s="28"/>
      <c r="JDP4" s="28"/>
      <c r="JDQ4" s="28"/>
      <c r="JDR4" s="28"/>
      <c r="JDS4" s="28"/>
      <c r="JDT4" s="28"/>
      <c r="JDU4" s="28"/>
      <c r="JDV4" s="28"/>
      <c r="JDW4" s="28"/>
      <c r="JDX4" s="28"/>
      <c r="JDY4" s="28"/>
      <c r="JDZ4" s="28"/>
      <c r="JEA4" s="28"/>
      <c r="JEB4" s="28"/>
      <c r="JEC4" s="28"/>
      <c r="JED4" s="28"/>
      <c r="JEE4" s="28"/>
      <c r="JEF4" s="28"/>
      <c r="JEG4" s="28"/>
      <c r="JEH4" s="28"/>
      <c r="JEI4" s="28"/>
      <c r="JEJ4" s="28"/>
      <c r="JEK4" s="28"/>
      <c r="JEL4" s="28"/>
      <c r="JEM4" s="28"/>
      <c r="JEN4" s="28"/>
      <c r="JEO4" s="28"/>
      <c r="JEP4" s="28"/>
      <c r="JEQ4" s="28"/>
      <c r="JER4" s="28"/>
      <c r="JES4" s="28"/>
      <c r="JET4" s="28"/>
      <c r="JEU4" s="28"/>
      <c r="JEV4" s="28"/>
      <c r="JEW4" s="28"/>
      <c r="JEX4" s="28"/>
      <c r="JEY4" s="28"/>
      <c r="JEZ4" s="28"/>
      <c r="JFA4" s="28"/>
      <c r="JFB4" s="28"/>
      <c r="JFC4" s="28"/>
      <c r="JFD4" s="28"/>
      <c r="JFE4" s="28"/>
      <c r="JFF4" s="28"/>
      <c r="JFG4" s="28"/>
      <c r="JFH4" s="28"/>
      <c r="JFI4" s="28"/>
      <c r="JFJ4" s="28"/>
      <c r="JFK4" s="28"/>
      <c r="JFL4" s="28"/>
      <c r="JFM4" s="28"/>
      <c r="JFN4" s="28"/>
      <c r="JFO4" s="28"/>
      <c r="JFP4" s="28"/>
      <c r="JFQ4" s="28"/>
      <c r="JFR4" s="28"/>
      <c r="JFS4" s="28"/>
      <c r="JFT4" s="28"/>
      <c r="JFU4" s="28"/>
      <c r="JFV4" s="28"/>
      <c r="JFW4" s="28"/>
      <c r="JFX4" s="28"/>
      <c r="JFY4" s="28"/>
      <c r="JFZ4" s="28"/>
      <c r="JGA4" s="28"/>
      <c r="JGB4" s="28"/>
      <c r="JGC4" s="28"/>
      <c r="JGD4" s="28"/>
      <c r="JGE4" s="28"/>
      <c r="JGF4" s="28"/>
      <c r="JGG4" s="28"/>
      <c r="JGH4" s="28"/>
      <c r="JGI4" s="28"/>
      <c r="JGJ4" s="28"/>
      <c r="JGK4" s="28"/>
      <c r="JGL4" s="28"/>
      <c r="JGM4" s="28"/>
      <c r="JGN4" s="28"/>
      <c r="JGO4" s="28"/>
      <c r="JGP4" s="28"/>
      <c r="JGQ4" s="28"/>
      <c r="JGR4" s="28"/>
      <c r="JGS4" s="28"/>
      <c r="JGT4" s="28"/>
      <c r="JGU4" s="28"/>
      <c r="JGV4" s="28"/>
      <c r="JGW4" s="28"/>
      <c r="JGX4" s="28"/>
      <c r="JGY4" s="28"/>
      <c r="JGZ4" s="28"/>
      <c r="JHA4" s="28"/>
      <c r="JHB4" s="28"/>
      <c r="JHC4" s="28"/>
      <c r="JHD4" s="28"/>
      <c r="JHE4" s="28"/>
      <c r="JHF4" s="28"/>
      <c r="JHG4" s="28"/>
      <c r="JHH4" s="28"/>
      <c r="JHI4" s="28"/>
      <c r="JHJ4" s="28"/>
      <c r="JHK4" s="28"/>
      <c r="JHL4" s="28"/>
      <c r="JHM4" s="28"/>
      <c r="JHN4" s="28"/>
      <c r="JHO4" s="28"/>
      <c r="JHP4" s="28"/>
      <c r="JHQ4" s="28"/>
      <c r="JHR4" s="28"/>
      <c r="JHS4" s="28"/>
      <c r="JHT4" s="28"/>
      <c r="JHU4" s="28"/>
      <c r="JHV4" s="28"/>
      <c r="JHW4" s="28"/>
      <c r="JHX4" s="28"/>
      <c r="JHY4" s="28"/>
      <c r="JHZ4" s="28"/>
      <c r="JIA4" s="28"/>
      <c r="JIB4" s="28"/>
      <c r="JIC4" s="28"/>
      <c r="JID4" s="28"/>
      <c r="JIE4" s="28"/>
      <c r="JIF4" s="28"/>
      <c r="JIG4" s="28"/>
      <c r="JIH4" s="28"/>
      <c r="JII4" s="28"/>
      <c r="JIJ4" s="28"/>
      <c r="JIK4" s="28"/>
      <c r="JIL4" s="28"/>
      <c r="JIM4" s="28"/>
      <c r="JIN4" s="28"/>
      <c r="JIO4" s="28"/>
      <c r="JIP4" s="28"/>
      <c r="JIQ4" s="28"/>
      <c r="JIR4" s="28"/>
      <c r="JIS4" s="28"/>
      <c r="JIT4" s="28"/>
      <c r="JIU4" s="28"/>
      <c r="JIV4" s="28"/>
      <c r="JIW4" s="28"/>
      <c r="JIX4" s="28"/>
      <c r="JIY4" s="28"/>
      <c r="JIZ4" s="28"/>
      <c r="JJA4" s="28"/>
      <c r="JJB4" s="28"/>
      <c r="JJC4" s="28"/>
      <c r="JJD4" s="28"/>
      <c r="JJE4" s="28"/>
      <c r="JJF4" s="28"/>
      <c r="JJG4" s="28"/>
      <c r="JJH4" s="28"/>
      <c r="JJI4" s="28"/>
      <c r="JJJ4" s="28"/>
      <c r="JJK4" s="28"/>
      <c r="JJL4" s="28"/>
      <c r="JJM4" s="28"/>
      <c r="JJN4" s="28"/>
      <c r="JJO4" s="28"/>
      <c r="JJP4" s="28"/>
      <c r="JJQ4" s="28"/>
      <c r="JJR4" s="28"/>
      <c r="JJS4" s="28"/>
      <c r="JJT4" s="28"/>
      <c r="JJU4" s="28"/>
      <c r="JJV4" s="28"/>
      <c r="JJW4" s="28"/>
      <c r="JJX4" s="28"/>
      <c r="JJY4" s="28"/>
      <c r="JJZ4" s="28"/>
      <c r="JKA4" s="28"/>
      <c r="JKB4" s="28"/>
      <c r="JKC4" s="28"/>
      <c r="JKD4" s="28"/>
      <c r="JKE4" s="28"/>
      <c r="JKF4" s="28"/>
      <c r="JKG4" s="28"/>
      <c r="JKH4" s="28"/>
      <c r="JKI4" s="28"/>
      <c r="JKJ4" s="28"/>
      <c r="JKK4" s="28"/>
      <c r="JKL4" s="28"/>
      <c r="JKM4" s="28"/>
      <c r="JKN4" s="28"/>
      <c r="JKO4" s="28"/>
      <c r="JKP4" s="28"/>
      <c r="JKQ4" s="28"/>
      <c r="JKR4" s="28"/>
      <c r="JKS4" s="28"/>
      <c r="JKT4" s="28"/>
      <c r="JKU4" s="28"/>
      <c r="JKV4" s="28"/>
      <c r="JKW4" s="28"/>
      <c r="JKX4" s="28"/>
      <c r="JKY4" s="28"/>
      <c r="JKZ4" s="28"/>
      <c r="JLA4" s="28"/>
      <c r="JLB4" s="28"/>
      <c r="JLC4" s="28"/>
      <c r="JLD4" s="28"/>
      <c r="JLE4" s="28"/>
      <c r="JLF4" s="28"/>
      <c r="JLG4" s="28"/>
      <c r="JLH4" s="28"/>
      <c r="JLI4" s="28"/>
      <c r="JLJ4" s="28"/>
      <c r="JLK4" s="28"/>
      <c r="JLL4" s="28"/>
      <c r="JLM4" s="28"/>
      <c r="JLN4" s="28"/>
      <c r="JLO4" s="28"/>
      <c r="JLP4" s="28"/>
      <c r="JLQ4" s="28"/>
      <c r="JLR4" s="28"/>
      <c r="JLS4" s="28"/>
      <c r="JLT4" s="28"/>
      <c r="JLU4" s="28"/>
      <c r="JLV4" s="28"/>
      <c r="JLW4" s="28"/>
      <c r="JLX4" s="28"/>
      <c r="JLY4" s="28"/>
      <c r="JLZ4" s="28"/>
      <c r="JMA4" s="28"/>
      <c r="JMB4" s="28"/>
      <c r="JMC4" s="28"/>
      <c r="JMD4" s="28"/>
      <c r="JME4" s="28"/>
      <c r="JMF4" s="28"/>
      <c r="JMG4" s="28"/>
      <c r="JMH4" s="28"/>
      <c r="JMI4" s="28"/>
      <c r="JMJ4" s="28"/>
      <c r="JMK4" s="28"/>
      <c r="JML4" s="28"/>
      <c r="JMM4" s="28"/>
      <c r="JMN4" s="28"/>
      <c r="JMO4" s="28"/>
      <c r="JMP4" s="28"/>
      <c r="JMQ4" s="28"/>
      <c r="JMR4" s="28"/>
      <c r="JMS4" s="28"/>
      <c r="JMT4" s="28"/>
      <c r="JMU4" s="28"/>
      <c r="JMV4" s="28"/>
      <c r="JMW4" s="28"/>
      <c r="JMX4" s="28"/>
      <c r="JMY4" s="28"/>
      <c r="JMZ4" s="28"/>
      <c r="JNA4" s="28"/>
      <c r="JNB4" s="28"/>
      <c r="JNC4" s="28"/>
      <c r="JND4" s="28"/>
      <c r="JNE4" s="28"/>
      <c r="JNF4" s="28"/>
      <c r="JNG4" s="28"/>
      <c r="JNH4" s="28"/>
      <c r="JNI4" s="28"/>
      <c r="JNJ4" s="28"/>
      <c r="JNK4" s="28"/>
      <c r="JNL4" s="28"/>
      <c r="JNM4" s="28"/>
      <c r="JNN4" s="28"/>
      <c r="JNO4" s="28"/>
      <c r="JNP4" s="28"/>
      <c r="JNQ4" s="28"/>
      <c r="JNR4" s="28"/>
      <c r="JNS4" s="28"/>
      <c r="JNT4" s="28"/>
      <c r="JNU4" s="28"/>
      <c r="JNV4" s="28"/>
      <c r="JNW4" s="28"/>
      <c r="JNX4" s="28"/>
      <c r="JNY4" s="28"/>
      <c r="JNZ4" s="28"/>
      <c r="JOA4" s="28"/>
      <c r="JOB4" s="28"/>
      <c r="JOC4" s="28"/>
      <c r="JOD4" s="28"/>
      <c r="JOE4" s="28"/>
      <c r="JOF4" s="28"/>
      <c r="JOG4" s="28"/>
      <c r="JOH4" s="28"/>
      <c r="JOI4" s="28"/>
      <c r="JOJ4" s="28"/>
      <c r="JOK4" s="28"/>
      <c r="JOL4" s="28"/>
      <c r="JOM4" s="28"/>
      <c r="JON4" s="28"/>
      <c r="JOO4" s="28"/>
      <c r="JOP4" s="28"/>
      <c r="JOQ4" s="28"/>
      <c r="JOR4" s="28"/>
      <c r="JOS4" s="28"/>
      <c r="JOT4" s="28"/>
      <c r="JOU4" s="28"/>
      <c r="JOV4" s="28"/>
      <c r="JOW4" s="28"/>
      <c r="JOX4" s="28"/>
      <c r="JOY4" s="28"/>
      <c r="JOZ4" s="28"/>
      <c r="JPA4" s="28"/>
      <c r="JPB4" s="28"/>
      <c r="JPC4" s="28"/>
      <c r="JPD4" s="28"/>
      <c r="JPE4" s="28"/>
      <c r="JPF4" s="28"/>
      <c r="JPG4" s="28"/>
      <c r="JPH4" s="28"/>
      <c r="JPI4" s="28"/>
      <c r="JPJ4" s="28"/>
      <c r="JPK4" s="28"/>
      <c r="JPL4" s="28"/>
      <c r="JPM4" s="28"/>
      <c r="JPN4" s="28"/>
      <c r="JPO4" s="28"/>
      <c r="JPP4" s="28"/>
      <c r="JPQ4" s="28"/>
      <c r="JPR4" s="28"/>
      <c r="JPS4" s="28"/>
      <c r="JPT4" s="28"/>
      <c r="JPU4" s="28"/>
      <c r="JPV4" s="28"/>
      <c r="JPW4" s="28"/>
      <c r="JPX4" s="28"/>
      <c r="JPY4" s="28"/>
      <c r="JPZ4" s="28"/>
      <c r="JQA4" s="28"/>
      <c r="JQB4" s="28"/>
      <c r="JQC4" s="28"/>
      <c r="JQD4" s="28"/>
      <c r="JQE4" s="28"/>
      <c r="JQF4" s="28"/>
      <c r="JQG4" s="28"/>
      <c r="JQH4" s="28"/>
      <c r="JQI4" s="28"/>
      <c r="JQJ4" s="28"/>
      <c r="JQK4" s="28"/>
      <c r="JQL4" s="28"/>
      <c r="JQM4" s="28"/>
      <c r="JQN4" s="28"/>
      <c r="JQO4" s="28"/>
      <c r="JQP4" s="28"/>
      <c r="JQQ4" s="28"/>
      <c r="JQR4" s="28"/>
      <c r="JQS4" s="28"/>
      <c r="JQT4" s="28"/>
      <c r="JQU4" s="28"/>
      <c r="JQV4" s="28"/>
      <c r="JQW4" s="28"/>
      <c r="JQX4" s="28"/>
      <c r="JQY4" s="28"/>
      <c r="JQZ4" s="28"/>
      <c r="JRA4" s="28"/>
      <c r="JRB4" s="28"/>
      <c r="JRC4" s="28"/>
      <c r="JRD4" s="28"/>
      <c r="JRE4" s="28"/>
      <c r="JRF4" s="28"/>
      <c r="JRG4" s="28"/>
      <c r="JRH4" s="28"/>
      <c r="JRI4" s="28"/>
      <c r="JRJ4" s="28"/>
      <c r="JRK4" s="28"/>
      <c r="JRL4" s="28"/>
      <c r="JRM4" s="28"/>
      <c r="JRN4" s="28"/>
      <c r="JRO4" s="28"/>
      <c r="JRP4" s="28"/>
      <c r="JRQ4" s="28"/>
      <c r="JRR4" s="28"/>
      <c r="JRS4" s="28"/>
      <c r="JRT4" s="28"/>
      <c r="JRU4" s="28"/>
      <c r="JRV4" s="28"/>
      <c r="JRW4" s="28"/>
      <c r="JRX4" s="28"/>
      <c r="JRY4" s="28"/>
      <c r="JRZ4" s="28"/>
      <c r="JSA4" s="28"/>
      <c r="JSB4" s="28"/>
      <c r="JSC4" s="28"/>
      <c r="JSD4" s="28"/>
      <c r="JSE4" s="28"/>
      <c r="JSF4" s="28"/>
      <c r="JSG4" s="28"/>
      <c r="JSH4" s="28"/>
      <c r="JSI4" s="28"/>
      <c r="JSJ4" s="28"/>
      <c r="JSK4" s="28"/>
      <c r="JSL4" s="28"/>
      <c r="JSM4" s="28"/>
      <c r="JSN4" s="28"/>
      <c r="JSO4" s="28"/>
      <c r="JSP4" s="28"/>
      <c r="JSQ4" s="28"/>
      <c r="JSR4" s="28"/>
      <c r="JSS4" s="28"/>
      <c r="JST4" s="28"/>
      <c r="JSU4" s="28"/>
      <c r="JSV4" s="28"/>
      <c r="JSW4" s="28"/>
      <c r="JSX4" s="28"/>
      <c r="JSY4" s="28"/>
      <c r="JSZ4" s="28"/>
      <c r="JTA4" s="28"/>
      <c r="JTB4" s="28"/>
      <c r="JTC4" s="28"/>
      <c r="JTD4" s="28"/>
      <c r="JTE4" s="28"/>
      <c r="JTF4" s="28"/>
      <c r="JTG4" s="28"/>
      <c r="JTH4" s="28"/>
      <c r="JTI4" s="28"/>
      <c r="JTJ4" s="28"/>
      <c r="JTK4" s="28"/>
      <c r="JTL4" s="28"/>
      <c r="JTM4" s="28"/>
      <c r="JTN4" s="28"/>
      <c r="JTO4" s="28"/>
      <c r="JTP4" s="28"/>
      <c r="JTQ4" s="28"/>
      <c r="JTR4" s="28"/>
      <c r="JTS4" s="28"/>
      <c r="JTT4" s="28"/>
      <c r="JTU4" s="28"/>
      <c r="JTV4" s="28"/>
      <c r="JTW4" s="28"/>
      <c r="JTX4" s="28"/>
      <c r="JTY4" s="28"/>
      <c r="JTZ4" s="28"/>
      <c r="JUA4" s="28"/>
      <c r="JUB4" s="28"/>
      <c r="JUC4" s="28"/>
      <c r="JUD4" s="28"/>
      <c r="JUE4" s="28"/>
      <c r="JUF4" s="28"/>
      <c r="JUG4" s="28"/>
      <c r="JUH4" s="28"/>
      <c r="JUI4" s="28"/>
      <c r="JUJ4" s="28"/>
      <c r="JUK4" s="28"/>
      <c r="JUL4" s="28"/>
      <c r="JUM4" s="28"/>
      <c r="JUN4" s="28"/>
      <c r="JUO4" s="28"/>
      <c r="JUP4" s="28"/>
      <c r="JUQ4" s="28"/>
      <c r="JUR4" s="28"/>
      <c r="JUS4" s="28"/>
      <c r="JUT4" s="28"/>
      <c r="JUU4" s="28"/>
      <c r="JUV4" s="28"/>
      <c r="JUW4" s="28"/>
      <c r="JUX4" s="28"/>
      <c r="JUY4" s="28"/>
      <c r="JUZ4" s="28"/>
      <c r="JVA4" s="28"/>
      <c r="JVB4" s="28"/>
      <c r="JVC4" s="28"/>
      <c r="JVD4" s="28"/>
      <c r="JVE4" s="28"/>
      <c r="JVF4" s="28"/>
      <c r="JVG4" s="28"/>
      <c r="JVH4" s="28"/>
      <c r="JVI4" s="28"/>
      <c r="JVJ4" s="28"/>
      <c r="JVK4" s="28"/>
      <c r="JVL4" s="28"/>
      <c r="JVM4" s="28"/>
      <c r="JVN4" s="28"/>
      <c r="JVO4" s="28"/>
      <c r="JVP4" s="28"/>
      <c r="JVQ4" s="28"/>
      <c r="JVR4" s="28"/>
      <c r="JVS4" s="28"/>
      <c r="JVT4" s="28"/>
      <c r="JVU4" s="28"/>
      <c r="JVV4" s="28"/>
      <c r="JVW4" s="28"/>
      <c r="JVX4" s="28"/>
      <c r="JVY4" s="28"/>
      <c r="JVZ4" s="28"/>
      <c r="JWA4" s="28"/>
      <c r="JWB4" s="28"/>
      <c r="JWC4" s="28"/>
      <c r="JWD4" s="28"/>
      <c r="JWE4" s="28"/>
      <c r="JWF4" s="28"/>
      <c r="JWG4" s="28"/>
      <c r="JWH4" s="28"/>
      <c r="JWI4" s="28"/>
      <c r="JWJ4" s="28"/>
      <c r="JWK4" s="28"/>
      <c r="JWL4" s="28"/>
      <c r="JWM4" s="28"/>
      <c r="JWN4" s="28"/>
      <c r="JWO4" s="28"/>
      <c r="JWP4" s="28"/>
      <c r="JWQ4" s="28"/>
      <c r="JWR4" s="28"/>
      <c r="JWS4" s="28"/>
      <c r="JWT4" s="28"/>
      <c r="JWU4" s="28"/>
      <c r="JWV4" s="28"/>
      <c r="JWW4" s="28"/>
      <c r="JWX4" s="28"/>
      <c r="JWY4" s="28"/>
      <c r="JWZ4" s="28"/>
      <c r="JXA4" s="28"/>
      <c r="JXB4" s="28"/>
      <c r="JXC4" s="28"/>
      <c r="JXD4" s="28"/>
      <c r="JXE4" s="28"/>
      <c r="JXF4" s="28"/>
      <c r="JXG4" s="28"/>
      <c r="JXH4" s="28"/>
      <c r="JXI4" s="28"/>
      <c r="JXJ4" s="28"/>
      <c r="JXK4" s="28"/>
      <c r="JXL4" s="28"/>
      <c r="JXM4" s="28"/>
      <c r="JXN4" s="28"/>
      <c r="JXO4" s="28"/>
      <c r="JXP4" s="28"/>
      <c r="JXQ4" s="28"/>
      <c r="JXR4" s="28"/>
      <c r="JXS4" s="28"/>
      <c r="JXT4" s="28"/>
      <c r="JXU4" s="28"/>
      <c r="JXV4" s="28"/>
      <c r="JXW4" s="28"/>
      <c r="JXX4" s="28"/>
      <c r="JXY4" s="28"/>
      <c r="JXZ4" s="28"/>
      <c r="JYA4" s="28"/>
      <c r="JYB4" s="28"/>
      <c r="JYC4" s="28"/>
      <c r="JYD4" s="28"/>
      <c r="JYE4" s="28"/>
      <c r="JYF4" s="28"/>
      <c r="JYG4" s="28"/>
      <c r="JYH4" s="28"/>
      <c r="JYI4" s="28"/>
      <c r="JYJ4" s="28"/>
      <c r="JYK4" s="28"/>
      <c r="JYL4" s="28"/>
      <c r="JYM4" s="28"/>
      <c r="JYN4" s="28"/>
      <c r="JYO4" s="28"/>
      <c r="JYP4" s="28"/>
      <c r="JYQ4" s="28"/>
      <c r="JYR4" s="28"/>
      <c r="JYS4" s="28"/>
      <c r="JYT4" s="28"/>
      <c r="JYU4" s="28"/>
      <c r="JYV4" s="28"/>
      <c r="JYW4" s="28"/>
      <c r="JYX4" s="28"/>
      <c r="JYY4" s="28"/>
      <c r="JYZ4" s="28"/>
      <c r="JZA4" s="28"/>
      <c r="JZB4" s="28"/>
      <c r="JZC4" s="28"/>
      <c r="JZD4" s="28"/>
      <c r="JZE4" s="28"/>
      <c r="JZF4" s="28"/>
      <c r="JZG4" s="28"/>
      <c r="JZH4" s="28"/>
      <c r="JZI4" s="28"/>
      <c r="JZJ4" s="28"/>
      <c r="JZK4" s="28"/>
      <c r="JZL4" s="28"/>
      <c r="JZM4" s="28"/>
      <c r="JZN4" s="28"/>
      <c r="JZO4" s="28"/>
      <c r="JZP4" s="28"/>
      <c r="JZQ4" s="28"/>
      <c r="JZR4" s="28"/>
      <c r="JZS4" s="28"/>
      <c r="JZT4" s="28"/>
      <c r="JZU4" s="28"/>
      <c r="JZV4" s="28"/>
      <c r="JZW4" s="28"/>
      <c r="JZX4" s="28"/>
      <c r="JZY4" s="28"/>
      <c r="JZZ4" s="28"/>
      <c r="KAA4" s="28"/>
      <c r="KAB4" s="28"/>
      <c r="KAC4" s="28"/>
      <c r="KAD4" s="28"/>
      <c r="KAE4" s="28"/>
      <c r="KAF4" s="28"/>
      <c r="KAG4" s="28"/>
      <c r="KAH4" s="28"/>
      <c r="KAI4" s="28"/>
      <c r="KAJ4" s="28"/>
      <c r="KAK4" s="28"/>
      <c r="KAL4" s="28"/>
      <c r="KAM4" s="28"/>
      <c r="KAN4" s="28"/>
      <c r="KAO4" s="28"/>
      <c r="KAP4" s="28"/>
      <c r="KAQ4" s="28"/>
      <c r="KAR4" s="28"/>
      <c r="KAS4" s="28"/>
      <c r="KAT4" s="28"/>
      <c r="KAU4" s="28"/>
      <c r="KAV4" s="28"/>
      <c r="KAW4" s="28"/>
      <c r="KAX4" s="28"/>
      <c r="KAY4" s="28"/>
      <c r="KAZ4" s="28"/>
      <c r="KBA4" s="28"/>
      <c r="KBB4" s="28"/>
      <c r="KBC4" s="28"/>
      <c r="KBD4" s="28"/>
      <c r="KBE4" s="28"/>
      <c r="KBF4" s="28"/>
      <c r="KBG4" s="28"/>
      <c r="KBH4" s="28"/>
      <c r="KBI4" s="28"/>
      <c r="KBJ4" s="28"/>
      <c r="KBK4" s="28"/>
      <c r="KBL4" s="28"/>
      <c r="KBM4" s="28"/>
      <c r="KBN4" s="28"/>
      <c r="KBO4" s="28"/>
      <c r="KBP4" s="28"/>
      <c r="KBQ4" s="28"/>
      <c r="KBR4" s="28"/>
      <c r="KBS4" s="28"/>
      <c r="KBT4" s="28"/>
      <c r="KBU4" s="28"/>
      <c r="KBV4" s="28"/>
      <c r="KBW4" s="28"/>
      <c r="KBX4" s="28"/>
      <c r="KBY4" s="28"/>
      <c r="KBZ4" s="28"/>
      <c r="KCA4" s="28"/>
      <c r="KCB4" s="28"/>
      <c r="KCC4" s="28"/>
      <c r="KCD4" s="28"/>
      <c r="KCE4" s="28"/>
      <c r="KCF4" s="28"/>
      <c r="KCG4" s="28"/>
      <c r="KCH4" s="28"/>
      <c r="KCI4" s="28"/>
      <c r="KCJ4" s="28"/>
      <c r="KCK4" s="28"/>
      <c r="KCL4" s="28"/>
      <c r="KCM4" s="28"/>
      <c r="KCN4" s="28"/>
      <c r="KCO4" s="28"/>
      <c r="KCP4" s="28"/>
      <c r="KCQ4" s="28"/>
      <c r="KCR4" s="28"/>
      <c r="KCS4" s="28"/>
      <c r="KCT4" s="28"/>
      <c r="KCU4" s="28"/>
      <c r="KCV4" s="28"/>
      <c r="KCW4" s="28"/>
      <c r="KCX4" s="28"/>
      <c r="KCY4" s="28"/>
      <c r="KCZ4" s="28"/>
      <c r="KDA4" s="28"/>
      <c r="KDB4" s="28"/>
      <c r="KDC4" s="28"/>
      <c r="KDD4" s="28"/>
      <c r="KDE4" s="28"/>
      <c r="KDF4" s="28"/>
      <c r="KDG4" s="28"/>
      <c r="KDH4" s="28"/>
      <c r="KDI4" s="28"/>
      <c r="KDJ4" s="28"/>
      <c r="KDK4" s="28"/>
      <c r="KDL4" s="28"/>
      <c r="KDM4" s="28"/>
      <c r="KDN4" s="28"/>
      <c r="KDO4" s="28"/>
      <c r="KDP4" s="28"/>
      <c r="KDQ4" s="28"/>
      <c r="KDR4" s="28"/>
      <c r="KDS4" s="28"/>
      <c r="KDT4" s="28"/>
      <c r="KDU4" s="28"/>
      <c r="KDV4" s="28"/>
      <c r="KDW4" s="28"/>
      <c r="KDX4" s="28"/>
      <c r="KDY4" s="28"/>
      <c r="KDZ4" s="28"/>
      <c r="KEA4" s="28"/>
      <c r="KEB4" s="28"/>
      <c r="KEC4" s="28"/>
      <c r="KED4" s="28"/>
      <c r="KEE4" s="28"/>
      <c r="KEF4" s="28"/>
      <c r="KEG4" s="28"/>
      <c r="KEH4" s="28"/>
      <c r="KEI4" s="28"/>
      <c r="KEJ4" s="28"/>
      <c r="KEK4" s="28"/>
      <c r="KEL4" s="28"/>
      <c r="KEM4" s="28"/>
      <c r="KEN4" s="28"/>
      <c r="KEO4" s="28"/>
      <c r="KEP4" s="28"/>
      <c r="KEQ4" s="28"/>
      <c r="KER4" s="28"/>
      <c r="KES4" s="28"/>
      <c r="KET4" s="28"/>
      <c r="KEU4" s="28"/>
      <c r="KEV4" s="28"/>
      <c r="KEW4" s="28"/>
      <c r="KEX4" s="28"/>
      <c r="KEY4" s="28"/>
      <c r="KEZ4" s="28"/>
      <c r="KFA4" s="28"/>
      <c r="KFB4" s="28"/>
      <c r="KFC4" s="28"/>
      <c r="KFD4" s="28"/>
      <c r="KFE4" s="28"/>
      <c r="KFF4" s="28"/>
      <c r="KFG4" s="28"/>
      <c r="KFH4" s="28"/>
      <c r="KFI4" s="28"/>
      <c r="KFJ4" s="28"/>
      <c r="KFK4" s="28"/>
      <c r="KFL4" s="28"/>
      <c r="KFM4" s="28"/>
      <c r="KFN4" s="28"/>
      <c r="KFO4" s="28"/>
      <c r="KFP4" s="28"/>
      <c r="KFQ4" s="28"/>
      <c r="KFR4" s="28"/>
      <c r="KFS4" s="28"/>
      <c r="KFT4" s="28"/>
      <c r="KFU4" s="28"/>
      <c r="KFV4" s="28"/>
      <c r="KFW4" s="28"/>
      <c r="KFX4" s="28"/>
      <c r="KFY4" s="28"/>
      <c r="KFZ4" s="28"/>
      <c r="KGA4" s="28"/>
      <c r="KGB4" s="28"/>
      <c r="KGC4" s="28"/>
      <c r="KGD4" s="28"/>
      <c r="KGE4" s="28"/>
      <c r="KGF4" s="28"/>
      <c r="KGG4" s="28"/>
      <c r="KGH4" s="28"/>
      <c r="KGI4" s="28"/>
      <c r="KGJ4" s="28"/>
      <c r="KGK4" s="28"/>
      <c r="KGL4" s="28"/>
      <c r="KGM4" s="28"/>
      <c r="KGN4" s="28"/>
      <c r="KGO4" s="28"/>
      <c r="KGP4" s="28"/>
      <c r="KGQ4" s="28"/>
      <c r="KGR4" s="28"/>
      <c r="KGS4" s="28"/>
      <c r="KGT4" s="28"/>
      <c r="KGU4" s="28"/>
      <c r="KGV4" s="28"/>
      <c r="KGW4" s="28"/>
      <c r="KGX4" s="28"/>
      <c r="KGY4" s="28"/>
      <c r="KGZ4" s="28"/>
      <c r="KHA4" s="28"/>
      <c r="KHB4" s="28"/>
      <c r="KHC4" s="28"/>
      <c r="KHD4" s="28"/>
      <c r="KHE4" s="28"/>
      <c r="KHF4" s="28"/>
      <c r="KHG4" s="28"/>
      <c r="KHH4" s="28"/>
      <c r="KHI4" s="28"/>
      <c r="KHJ4" s="28"/>
      <c r="KHK4" s="28"/>
      <c r="KHL4" s="28"/>
      <c r="KHM4" s="28"/>
      <c r="KHN4" s="28"/>
      <c r="KHO4" s="28"/>
      <c r="KHP4" s="28"/>
      <c r="KHQ4" s="28"/>
      <c r="KHR4" s="28"/>
      <c r="KHS4" s="28"/>
      <c r="KHT4" s="28"/>
      <c r="KHU4" s="28"/>
      <c r="KHV4" s="28"/>
      <c r="KHW4" s="28"/>
      <c r="KHX4" s="28"/>
      <c r="KHY4" s="28"/>
      <c r="KHZ4" s="28"/>
      <c r="KIA4" s="28"/>
      <c r="KIB4" s="28"/>
      <c r="KIC4" s="28"/>
      <c r="KID4" s="28"/>
      <c r="KIE4" s="28"/>
      <c r="KIF4" s="28"/>
      <c r="KIG4" s="28"/>
      <c r="KIH4" s="28"/>
      <c r="KII4" s="28"/>
      <c r="KIJ4" s="28"/>
      <c r="KIK4" s="28"/>
      <c r="KIL4" s="28"/>
      <c r="KIM4" s="28"/>
      <c r="KIN4" s="28"/>
      <c r="KIO4" s="28"/>
      <c r="KIP4" s="28"/>
      <c r="KIQ4" s="28"/>
      <c r="KIR4" s="28"/>
      <c r="KIS4" s="28"/>
      <c r="KIT4" s="28"/>
      <c r="KIU4" s="28"/>
      <c r="KIV4" s="28"/>
      <c r="KIW4" s="28"/>
      <c r="KIX4" s="28"/>
      <c r="KIY4" s="28"/>
      <c r="KIZ4" s="28"/>
      <c r="KJA4" s="28"/>
      <c r="KJB4" s="28"/>
      <c r="KJC4" s="28"/>
      <c r="KJD4" s="28"/>
      <c r="KJE4" s="28"/>
      <c r="KJF4" s="28"/>
      <c r="KJG4" s="28"/>
      <c r="KJH4" s="28"/>
      <c r="KJI4" s="28"/>
      <c r="KJJ4" s="28"/>
      <c r="KJK4" s="28"/>
      <c r="KJL4" s="28"/>
      <c r="KJM4" s="28"/>
      <c r="KJN4" s="28"/>
      <c r="KJO4" s="28"/>
      <c r="KJP4" s="28"/>
      <c r="KJQ4" s="28"/>
      <c r="KJR4" s="28"/>
      <c r="KJS4" s="28"/>
      <c r="KJT4" s="28"/>
      <c r="KJU4" s="28"/>
      <c r="KJV4" s="28"/>
      <c r="KJW4" s="28"/>
      <c r="KJX4" s="28"/>
      <c r="KJY4" s="28"/>
      <c r="KJZ4" s="28"/>
      <c r="KKA4" s="28"/>
      <c r="KKB4" s="28"/>
      <c r="KKC4" s="28"/>
      <c r="KKD4" s="28"/>
      <c r="KKE4" s="28"/>
      <c r="KKF4" s="28"/>
      <c r="KKG4" s="28"/>
      <c r="KKH4" s="28"/>
      <c r="KKI4" s="28"/>
      <c r="KKJ4" s="28"/>
      <c r="KKK4" s="28"/>
      <c r="KKL4" s="28"/>
      <c r="KKM4" s="28"/>
      <c r="KKN4" s="28"/>
      <c r="KKO4" s="28"/>
      <c r="KKP4" s="28"/>
      <c r="KKQ4" s="28"/>
      <c r="KKR4" s="28"/>
      <c r="KKS4" s="28"/>
      <c r="KKT4" s="28"/>
      <c r="KKU4" s="28"/>
      <c r="KKV4" s="28"/>
      <c r="KKW4" s="28"/>
      <c r="KKX4" s="28"/>
      <c r="KKY4" s="28"/>
      <c r="KKZ4" s="28"/>
      <c r="KLA4" s="28"/>
      <c r="KLB4" s="28"/>
      <c r="KLC4" s="28"/>
      <c r="KLD4" s="28"/>
      <c r="KLE4" s="28"/>
      <c r="KLF4" s="28"/>
      <c r="KLG4" s="28"/>
      <c r="KLH4" s="28"/>
      <c r="KLI4" s="28"/>
      <c r="KLJ4" s="28"/>
      <c r="KLK4" s="28"/>
      <c r="KLL4" s="28"/>
      <c r="KLM4" s="28"/>
      <c r="KLN4" s="28"/>
      <c r="KLO4" s="28"/>
      <c r="KLP4" s="28"/>
      <c r="KLQ4" s="28"/>
      <c r="KLR4" s="28"/>
      <c r="KLS4" s="28"/>
      <c r="KLT4" s="28"/>
      <c r="KLU4" s="28"/>
      <c r="KLV4" s="28"/>
      <c r="KLW4" s="28"/>
      <c r="KLX4" s="28"/>
      <c r="KLY4" s="28"/>
      <c r="KLZ4" s="28"/>
      <c r="KMA4" s="28"/>
      <c r="KMB4" s="28"/>
      <c r="KMC4" s="28"/>
      <c r="KMD4" s="28"/>
      <c r="KME4" s="28"/>
      <c r="KMF4" s="28"/>
      <c r="KMG4" s="28"/>
      <c r="KMH4" s="28"/>
      <c r="KMI4" s="28"/>
      <c r="KMJ4" s="28"/>
      <c r="KMK4" s="28"/>
      <c r="KML4" s="28"/>
      <c r="KMM4" s="28"/>
      <c r="KMN4" s="28"/>
      <c r="KMO4" s="28"/>
      <c r="KMP4" s="28"/>
      <c r="KMQ4" s="28"/>
      <c r="KMR4" s="28"/>
      <c r="KMS4" s="28"/>
      <c r="KMT4" s="28"/>
      <c r="KMU4" s="28"/>
      <c r="KMV4" s="28"/>
      <c r="KMW4" s="28"/>
      <c r="KMX4" s="28"/>
      <c r="KMY4" s="28"/>
      <c r="KMZ4" s="28"/>
      <c r="KNA4" s="28"/>
      <c r="KNB4" s="28"/>
      <c r="KNC4" s="28"/>
      <c r="KND4" s="28"/>
      <c r="KNE4" s="28"/>
      <c r="KNF4" s="28"/>
      <c r="KNG4" s="28"/>
      <c r="KNH4" s="28"/>
      <c r="KNI4" s="28"/>
      <c r="KNJ4" s="28"/>
      <c r="KNK4" s="28"/>
      <c r="KNL4" s="28"/>
      <c r="KNM4" s="28"/>
      <c r="KNN4" s="28"/>
      <c r="KNO4" s="28"/>
      <c r="KNP4" s="28"/>
      <c r="KNQ4" s="28"/>
      <c r="KNR4" s="28"/>
      <c r="KNS4" s="28"/>
      <c r="KNT4" s="28"/>
      <c r="KNU4" s="28"/>
      <c r="KNV4" s="28"/>
      <c r="KNW4" s="28"/>
      <c r="KNX4" s="28"/>
      <c r="KNY4" s="28"/>
      <c r="KNZ4" s="28"/>
      <c r="KOA4" s="28"/>
      <c r="KOB4" s="28"/>
      <c r="KOC4" s="28"/>
      <c r="KOD4" s="28"/>
      <c r="KOE4" s="28"/>
      <c r="KOF4" s="28"/>
      <c r="KOG4" s="28"/>
      <c r="KOH4" s="28"/>
      <c r="KOI4" s="28"/>
      <c r="KOJ4" s="28"/>
      <c r="KOK4" s="28"/>
      <c r="KOL4" s="28"/>
      <c r="KOM4" s="28"/>
      <c r="KON4" s="28"/>
      <c r="KOO4" s="28"/>
      <c r="KOP4" s="28"/>
      <c r="KOQ4" s="28"/>
      <c r="KOR4" s="28"/>
      <c r="KOS4" s="28"/>
      <c r="KOT4" s="28"/>
      <c r="KOU4" s="28"/>
      <c r="KOV4" s="28"/>
      <c r="KOW4" s="28"/>
      <c r="KOX4" s="28"/>
      <c r="KOY4" s="28"/>
      <c r="KOZ4" s="28"/>
      <c r="KPA4" s="28"/>
      <c r="KPB4" s="28"/>
      <c r="KPC4" s="28"/>
      <c r="KPD4" s="28"/>
      <c r="KPE4" s="28"/>
      <c r="KPF4" s="28"/>
      <c r="KPG4" s="28"/>
      <c r="KPH4" s="28"/>
      <c r="KPI4" s="28"/>
      <c r="KPJ4" s="28"/>
      <c r="KPK4" s="28"/>
      <c r="KPL4" s="28"/>
      <c r="KPM4" s="28"/>
      <c r="KPN4" s="28"/>
      <c r="KPO4" s="28"/>
      <c r="KPP4" s="28"/>
      <c r="KPQ4" s="28"/>
      <c r="KPR4" s="28"/>
      <c r="KPS4" s="28"/>
      <c r="KPT4" s="28"/>
      <c r="KPU4" s="28"/>
      <c r="KPV4" s="28"/>
      <c r="KPW4" s="28"/>
      <c r="KPX4" s="28"/>
      <c r="KPY4" s="28"/>
      <c r="KPZ4" s="28"/>
      <c r="KQA4" s="28"/>
      <c r="KQB4" s="28"/>
      <c r="KQC4" s="28"/>
      <c r="KQD4" s="28"/>
      <c r="KQE4" s="28"/>
      <c r="KQF4" s="28"/>
      <c r="KQG4" s="28"/>
      <c r="KQH4" s="28"/>
      <c r="KQI4" s="28"/>
      <c r="KQJ4" s="28"/>
      <c r="KQK4" s="28"/>
      <c r="KQL4" s="28"/>
      <c r="KQM4" s="28"/>
      <c r="KQN4" s="28"/>
      <c r="KQO4" s="28"/>
      <c r="KQP4" s="28"/>
      <c r="KQQ4" s="28"/>
      <c r="KQR4" s="28"/>
      <c r="KQS4" s="28"/>
      <c r="KQT4" s="28"/>
      <c r="KQU4" s="28"/>
      <c r="KQV4" s="28"/>
      <c r="KQW4" s="28"/>
      <c r="KQX4" s="28"/>
      <c r="KQY4" s="28"/>
      <c r="KQZ4" s="28"/>
      <c r="KRA4" s="28"/>
      <c r="KRB4" s="28"/>
      <c r="KRC4" s="28"/>
      <c r="KRD4" s="28"/>
      <c r="KRE4" s="28"/>
      <c r="KRF4" s="28"/>
      <c r="KRG4" s="28"/>
      <c r="KRH4" s="28"/>
      <c r="KRI4" s="28"/>
      <c r="KRJ4" s="28"/>
      <c r="KRK4" s="28"/>
      <c r="KRL4" s="28"/>
      <c r="KRM4" s="28"/>
      <c r="KRN4" s="28"/>
      <c r="KRO4" s="28"/>
      <c r="KRP4" s="28"/>
      <c r="KRQ4" s="28"/>
      <c r="KRR4" s="28"/>
      <c r="KRS4" s="28"/>
      <c r="KRT4" s="28"/>
      <c r="KRU4" s="28"/>
      <c r="KRV4" s="28"/>
      <c r="KRW4" s="28"/>
      <c r="KRX4" s="28"/>
      <c r="KRY4" s="28"/>
      <c r="KRZ4" s="28"/>
      <c r="KSA4" s="28"/>
      <c r="KSB4" s="28"/>
      <c r="KSC4" s="28"/>
      <c r="KSD4" s="28"/>
      <c r="KSE4" s="28"/>
      <c r="KSF4" s="28"/>
      <c r="KSG4" s="28"/>
      <c r="KSH4" s="28"/>
      <c r="KSI4" s="28"/>
      <c r="KSJ4" s="28"/>
      <c r="KSK4" s="28"/>
      <c r="KSL4" s="28"/>
      <c r="KSM4" s="28"/>
      <c r="KSN4" s="28"/>
      <c r="KSO4" s="28"/>
      <c r="KSP4" s="28"/>
      <c r="KSQ4" s="28"/>
      <c r="KSR4" s="28"/>
      <c r="KSS4" s="28"/>
      <c r="KST4" s="28"/>
      <c r="KSU4" s="28"/>
      <c r="KSV4" s="28"/>
      <c r="KSW4" s="28"/>
      <c r="KSX4" s="28"/>
      <c r="KSY4" s="28"/>
      <c r="KSZ4" s="28"/>
      <c r="KTA4" s="28"/>
      <c r="KTB4" s="28"/>
      <c r="KTC4" s="28"/>
      <c r="KTD4" s="28"/>
      <c r="KTE4" s="28"/>
      <c r="KTF4" s="28"/>
      <c r="KTG4" s="28"/>
      <c r="KTH4" s="28"/>
      <c r="KTI4" s="28"/>
      <c r="KTJ4" s="28"/>
      <c r="KTK4" s="28"/>
      <c r="KTL4" s="28"/>
      <c r="KTM4" s="28"/>
      <c r="KTN4" s="28"/>
      <c r="KTO4" s="28"/>
      <c r="KTP4" s="28"/>
      <c r="KTQ4" s="28"/>
      <c r="KTR4" s="28"/>
      <c r="KTS4" s="28"/>
      <c r="KTT4" s="28"/>
      <c r="KTU4" s="28"/>
      <c r="KTV4" s="28"/>
      <c r="KTW4" s="28"/>
      <c r="KTX4" s="28"/>
      <c r="KTY4" s="28"/>
      <c r="KTZ4" s="28"/>
      <c r="KUA4" s="28"/>
      <c r="KUB4" s="28"/>
      <c r="KUC4" s="28"/>
      <c r="KUD4" s="28"/>
      <c r="KUE4" s="28"/>
      <c r="KUF4" s="28"/>
      <c r="KUG4" s="28"/>
      <c r="KUH4" s="28"/>
      <c r="KUI4" s="28"/>
      <c r="KUJ4" s="28"/>
      <c r="KUK4" s="28"/>
      <c r="KUL4" s="28"/>
      <c r="KUM4" s="28"/>
      <c r="KUN4" s="28"/>
      <c r="KUO4" s="28"/>
      <c r="KUP4" s="28"/>
      <c r="KUQ4" s="28"/>
      <c r="KUR4" s="28"/>
      <c r="KUS4" s="28"/>
      <c r="KUT4" s="28"/>
      <c r="KUU4" s="28"/>
      <c r="KUV4" s="28"/>
      <c r="KUW4" s="28"/>
      <c r="KUX4" s="28"/>
      <c r="KUY4" s="28"/>
      <c r="KUZ4" s="28"/>
      <c r="KVA4" s="28"/>
      <c r="KVB4" s="28"/>
      <c r="KVC4" s="28"/>
      <c r="KVD4" s="28"/>
      <c r="KVE4" s="28"/>
      <c r="KVF4" s="28"/>
      <c r="KVG4" s="28"/>
      <c r="KVH4" s="28"/>
      <c r="KVI4" s="28"/>
      <c r="KVJ4" s="28"/>
      <c r="KVK4" s="28"/>
      <c r="KVL4" s="28"/>
      <c r="KVM4" s="28"/>
      <c r="KVN4" s="28"/>
      <c r="KVO4" s="28"/>
      <c r="KVP4" s="28"/>
      <c r="KVQ4" s="28"/>
      <c r="KVR4" s="28"/>
      <c r="KVS4" s="28"/>
      <c r="KVT4" s="28"/>
      <c r="KVU4" s="28"/>
      <c r="KVV4" s="28"/>
      <c r="KVW4" s="28"/>
      <c r="KVX4" s="28"/>
      <c r="KVY4" s="28"/>
      <c r="KVZ4" s="28"/>
      <c r="KWA4" s="28"/>
      <c r="KWB4" s="28"/>
      <c r="KWC4" s="28"/>
      <c r="KWD4" s="28"/>
      <c r="KWE4" s="28"/>
      <c r="KWF4" s="28"/>
      <c r="KWG4" s="28"/>
      <c r="KWH4" s="28"/>
      <c r="KWI4" s="28"/>
      <c r="KWJ4" s="28"/>
      <c r="KWK4" s="28"/>
      <c r="KWL4" s="28"/>
      <c r="KWM4" s="28"/>
      <c r="KWN4" s="28"/>
      <c r="KWO4" s="28"/>
      <c r="KWP4" s="28"/>
      <c r="KWQ4" s="28"/>
      <c r="KWR4" s="28"/>
      <c r="KWS4" s="28"/>
      <c r="KWT4" s="28"/>
      <c r="KWU4" s="28"/>
      <c r="KWV4" s="28"/>
      <c r="KWW4" s="28"/>
      <c r="KWX4" s="28"/>
      <c r="KWY4" s="28"/>
      <c r="KWZ4" s="28"/>
      <c r="KXA4" s="28"/>
      <c r="KXB4" s="28"/>
      <c r="KXC4" s="28"/>
      <c r="KXD4" s="28"/>
      <c r="KXE4" s="28"/>
      <c r="KXF4" s="28"/>
      <c r="KXG4" s="28"/>
      <c r="KXH4" s="28"/>
      <c r="KXI4" s="28"/>
      <c r="KXJ4" s="28"/>
      <c r="KXK4" s="28"/>
      <c r="KXL4" s="28"/>
      <c r="KXM4" s="28"/>
      <c r="KXN4" s="28"/>
      <c r="KXO4" s="28"/>
      <c r="KXP4" s="28"/>
      <c r="KXQ4" s="28"/>
      <c r="KXR4" s="28"/>
      <c r="KXS4" s="28"/>
      <c r="KXT4" s="28"/>
      <c r="KXU4" s="28"/>
      <c r="KXV4" s="28"/>
      <c r="KXW4" s="28"/>
      <c r="KXX4" s="28"/>
      <c r="KXY4" s="28"/>
      <c r="KXZ4" s="28"/>
      <c r="KYA4" s="28"/>
      <c r="KYB4" s="28"/>
      <c r="KYC4" s="28"/>
      <c r="KYD4" s="28"/>
      <c r="KYE4" s="28"/>
      <c r="KYF4" s="28"/>
      <c r="KYG4" s="28"/>
      <c r="KYH4" s="28"/>
      <c r="KYI4" s="28"/>
      <c r="KYJ4" s="28"/>
      <c r="KYK4" s="28"/>
      <c r="KYL4" s="28"/>
      <c r="KYM4" s="28"/>
      <c r="KYN4" s="28"/>
      <c r="KYO4" s="28"/>
      <c r="KYP4" s="28"/>
      <c r="KYQ4" s="28"/>
      <c r="KYR4" s="28"/>
      <c r="KYS4" s="28"/>
      <c r="KYT4" s="28"/>
      <c r="KYU4" s="28"/>
      <c r="KYV4" s="28"/>
      <c r="KYW4" s="28"/>
      <c r="KYX4" s="28"/>
      <c r="KYY4" s="28"/>
      <c r="KYZ4" s="28"/>
      <c r="KZA4" s="28"/>
      <c r="KZB4" s="28"/>
      <c r="KZC4" s="28"/>
      <c r="KZD4" s="28"/>
      <c r="KZE4" s="28"/>
      <c r="KZF4" s="28"/>
      <c r="KZG4" s="28"/>
      <c r="KZH4" s="28"/>
      <c r="KZI4" s="28"/>
      <c r="KZJ4" s="28"/>
      <c r="KZK4" s="28"/>
      <c r="KZL4" s="28"/>
      <c r="KZM4" s="28"/>
      <c r="KZN4" s="28"/>
      <c r="KZO4" s="28"/>
      <c r="KZP4" s="28"/>
      <c r="KZQ4" s="28"/>
      <c r="KZR4" s="28"/>
      <c r="KZS4" s="28"/>
      <c r="KZT4" s="28"/>
      <c r="KZU4" s="28"/>
      <c r="KZV4" s="28"/>
      <c r="KZW4" s="28"/>
      <c r="KZX4" s="28"/>
      <c r="KZY4" s="28"/>
      <c r="KZZ4" s="28"/>
      <c r="LAA4" s="28"/>
      <c r="LAB4" s="28"/>
      <c r="LAC4" s="28"/>
      <c r="LAD4" s="28"/>
      <c r="LAE4" s="28"/>
      <c r="LAF4" s="28"/>
      <c r="LAG4" s="28"/>
      <c r="LAH4" s="28"/>
      <c r="LAI4" s="28"/>
      <c r="LAJ4" s="28"/>
      <c r="LAK4" s="28"/>
      <c r="LAL4" s="28"/>
      <c r="LAM4" s="28"/>
      <c r="LAN4" s="28"/>
      <c r="LAO4" s="28"/>
      <c r="LAP4" s="28"/>
      <c r="LAQ4" s="28"/>
      <c r="LAR4" s="28"/>
      <c r="LAS4" s="28"/>
      <c r="LAT4" s="28"/>
      <c r="LAU4" s="28"/>
      <c r="LAV4" s="28"/>
      <c r="LAW4" s="28"/>
      <c r="LAX4" s="28"/>
      <c r="LAY4" s="28"/>
      <c r="LAZ4" s="28"/>
      <c r="LBA4" s="28"/>
      <c r="LBB4" s="28"/>
      <c r="LBC4" s="28"/>
      <c r="LBD4" s="28"/>
      <c r="LBE4" s="28"/>
      <c r="LBF4" s="28"/>
      <c r="LBG4" s="28"/>
      <c r="LBH4" s="28"/>
      <c r="LBI4" s="28"/>
      <c r="LBJ4" s="28"/>
      <c r="LBK4" s="28"/>
      <c r="LBL4" s="28"/>
      <c r="LBM4" s="28"/>
      <c r="LBN4" s="28"/>
      <c r="LBO4" s="28"/>
      <c r="LBP4" s="28"/>
      <c r="LBQ4" s="28"/>
      <c r="LBR4" s="28"/>
      <c r="LBS4" s="28"/>
      <c r="LBT4" s="28"/>
      <c r="LBU4" s="28"/>
      <c r="LBV4" s="28"/>
      <c r="LBW4" s="28"/>
      <c r="LBX4" s="28"/>
      <c r="LBY4" s="28"/>
      <c r="LBZ4" s="28"/>
      <c r="LCA4" s="28"/>
      <c r="LCB4" s="28"/>
      <c r="LCC4" s="28"/>
      <c r="LCD4" s="28"/>
      <c r="LCE4" s="28"/>
      <c r="LCF4" s="28"/>
      <c r="LCG4" s="28"/>
      <c r="LCH4" s="28"/>
      <c r="LCI4" s="28"/>
      <c r="LCJ4" s="28"/>
      <c r="LCK4" s="28"/>
      <c r="LCL4" s="28"/>
      <c r="LCM4" s="28"/>
      <c r="LCN4" s="28"/>
      <c r="LCO4" s="28"/>
      <c r="LCP4" s="28"/>
      <c r="LCQ4" s="28"/>
      <c r="LCR4" s="28"/>
      <c r="LCS4" s="28"/>
      <c r="LCT4" s="28"/>
      <c r="LCU4" s="28"/>
      <c r="LCV4" s="28"/>
      <c r="LCW4" s="28"/>
      <c r="LCX4" s="28"/>
      <c r="LCY4" s="28"/>
      <c r="LCZ4" s="28"/>
      <c r="LDA4" s="28"/>
      <c r="LDB4" s="28"/>
      <c r="LDC4" s="28"/>
      <c r="LDD4" s="28"/>
      <c r="LDE4" s="28"/>
      <c r="LDF4" s="28"/>
      <c r="LDG4" s="28"/>
      <c r="LDH4" s="28"/>
      <c r="LDI4" s="28"/>
      <c r="LDJ4" s="28"/>
      <c r="LDK4" s="28"/>
      <c r="LDL4" s="28"/>
      <c r="LDM4" s="28"/>
      <c r="LDN4" s="28"/>
      <c r="LDO4" s="28"/>
      <c r="LDP4" s="28"/>
      <c r="LDQ4" s="28"/>
      <c r="LDR4" s="28"/>
      <c r="LDS4" s="28"/>
      <c r="LDT4" s="28"/>
      <c r="LDU4" s="28"/>
      <c r="LDV4" s="28"/>
      <c r="LDW4" s="28"/>
      <c r="LDX4" s="28"/>
      <c r="LDY4" s="28"/>
      <c r="LDZ4" s="28"/>
      <c r="LEA4" s="28"/>
      <c r="LEB4" s="28"/>
      <c r="LEC4" s="28"/>
      <c r="LED4" s="28"/>
      <c r="LEE4" s="28"/>
      <c r="LEF4" s="28"/>
      <c r="LEG4" s="28"/>
      <c r="LEH4" s="28"/>
      <c r="LEI4" s="28"/>
      <c r="LEJ4" s="28"/>
      <c r="LEK4" s="28"/>
      <c r="LEL4" s="28"/>
      <c r="LEM4" s="28"/>
      <c r="LEN4" s="28"/>
      <c r="LEO4" s="28"/>
      <c r="LEP4" s="28"/>
      <c r="LEQ4" s="28"/>
      <c r="LER4" s="28"/>
      <c r="LES4" s="28"/>
      <c r="LET4" s="28"/>
      <c r="LEU4" s="28"/>
      <c r="LEV4" s="28"/>
      <c r="LEW4" s="28"/>
      <c r="LEX4" s="28"/>
      <c r="LEY4" s="28"/>
      <c r="LEZ4" s="28"/>
      <c r="LFA4" s="28"/>
      <c r="LFB4" s="28"/>
      <c r="LFC4" s="28"/>
      <c r="LFD4" s="28"/>
      <c r="LFE4" s="28"/>
      <c r="LFF4" s="28"/>
      <c r="LFG4" s="28"/>
      <c r="LFH4" s="28"/>
      <c r="LFI4" s="28"/>
      <c r="LFJ4" s="28"/>
      <c r="LFK4" s="28"/>
      <c r="LFL4" s="28"/>
      <c r="LFM4" s="28"/>
      <c r="LFN4" s="28"/>
      <c r="LFO4" s="28"/>
      <c r="LFP4" s="28"/>
      <c r="LFQ4" s="28"/>
      <c r="LFR4" s="28"/>
      <c r="LFS4" s="28"/>
      <c r="LFT4" s="28"/>
      <c r="LFU4" s="28"/>
      <c r="LFV4" s="28"/>
      <c r="LFW4" s="28"/>
      <c r="LFX4" s="28"/>
      <c r="LFY4" s="28"/>
      <c r="LFZ4" s="28"/>
      <c r="LGA4" s="28"/>
      <c r="LGB4" s="28"/>
      <c r="LGC4" s="28"/>
      <c r="LGD4" s="28"/>
      <c r="LGE4" s="28"/>
      <c r="LGF4" s="28"/>
      <c r="LGG4" s="28"/>
      <c r="LGH4" s="28"/>
      <c r="LGI4" s="28"/>
      <c r="LGJ4" s="28"/>
      <c r="LGK4" s="28"/>
      <c r="LGL4" s="28"/>
      <c r="LGM4" s="28"/>
      <c r="LGN4" s="28"/>
      <c r="LGO4" s="28"/>
      <c r="LGP4" s="28"/>
      <c r="LGQ4" s="28"/>
      <c r="LGR4" s="28"/>
      <c r="LGS4" s="28"/>
      <c r="LGT4" s="28"/>
      <c r="LGU4" s="28"/>
      <c r="LGV4" s="28"/>
      <c r="LGW4" s="28"/>
      <c r="LGX4" s="28"/>
      <c r="LGY4" s="28"/>
      <c r="LGZ4" s="28"/>
      <c r="LHA4" s="28"/>
      <c r="LHB4" s="28"/>
      <c r="LHC4" s="28"/>
      <c r="LHD4" s="28"/>
      <c r="LHE4" s="28"/>
      <c r="LHF4" s="28"/>
      <c r="LHG4" s="28"/>
      <c r="LHH4" s="28"/>
      <c r="LHI4" s="28"/>
      <c r="LHJ4" s="28"/>
      <c r="LHK4" s="28"/>
      <c r="LHL4" s="28"/>
      <c r="LHM4" s="28"/>
      <c r="LHN4" s="28"/>
      <c r="LHO4" s="28"/>
      <c r="LHP4" s="28"/>
      <c r="LHQ4" s="28"/>
      <c r="LHR4" s="28"/>
      <c r="LHS4" s="28"/>
      <c r="LHT4" s="28"/>
      <c r="LHU4" s="28"/>
      <c r="LHV4" s="28"/>
      <c r="LHW4" s="28"/>
      <c r="LHX4" s="28"/>
      <c r="LHY4" s="28"/>
      <c r="LHZ4" s="28"/>
      <c r="LIA4" s="28"/>
      <c r="LIB4" s="28"/>
      <c r="LIC4" s="28"/>
      <c r="LID4" s="28"/>
      <c r="LIE4" s="28"/>
      <c r="LIF4" s="28"/>
      <c r="LIG4" s="28"/>
      <c r="LIH4" s="28"/>
      <c r="LII4" s="28"/>
      <c r="LIJ4" s="28"/>
      <c r="LIK4" s="28"/>
      <c r="LIL4" s="28"/>
      <c r="LIM4" s="28"/>
      <c r="LIN4" s="28"/>
      <c r="LIO4" s="28"/>
      <c r="LIP4" s="28"/>
      <c r="LIQ4" s="28"/>
      <c r="LIR4" s="28"/>
      <c r="LIS4" s="28"/>
      <c r="LIT4" s="28"/>
      <c r="LIU4" s="28"/>
      <c r="LIV4" s="28"/>
      <c r="LIW4" s="28"/>
      <c r="LIX4" s="28"/>
      <c r="LIY4" s="28"/>
      <c r="LIZ4" s="28"/>
      <c r="LJA4" s="28"/>
      <c r="LJB4" s="28"/>
      <c r="LJC4" s="28"/>
      <c r="LJD4" s="28"/>
      <c r="LJE4" s="28"/>
      <c r="LJF4" s="28"/>
      <c r="LJG4" s="28"/>
      <c r="LJH4" s="28"/>
      <c r="LJI4" s="28"/>
      <c r="LJJ4" s="28"/>
      <c r="LJK4" s="28"/>
      <c r="LJL4" s="28"/>
      <c r="LJM4" s="28"/>
      <c r="LJN4" s="28"/>
      <c r="LJO4" s="28"/>
      <c r="LJP4" s="28"/>
      <c r="LJQ4" s="28"/>
      <c r="LJR4" s="28"/>
      <c r="LJS4" s="28"/>
      <c r="LJT4" s="28"/>
      <c r="LJU4" s="28"/>
      <c r="LJV4" s="28"/>
      <c r="LJW4" s="28"/>
      <c r="LJX4" s="28"/>
      <c r="LJY4" s="28"/>
      <c r="LJZ4" s="28"/>
      <c r="LKA4" s="28"/>
      <c r="LKB4" s="28"/>
      <c r="LKC4" s="28"/>
      <c r="LKD4" s="28"/>
      <c r="LKE4" s="28"/>
      <c r="LKF4" s="28"/>
      <c r="LKG4" s="28"/>
      <c r="LKH4" s="28"/>
      <c r="LKI4" s="28"/>
      <c r="LKJ4" s="28"/>
      <c r="LKK4" s="28"/>
      <c r="LKL4" s="28"/>
      <c r="LKM4" s="28"/>
      <c r="LKN4" s="28"/>
      <c r="LKO4" s="28"/>
      <c r="LKP4" s="28"/>
      <c r="LKQ4" s="28"/>
      <c r="LKR4" s="28"/>
      <c r="LKS4" s="28"/>
      <c r="LKT4" s="28"/>
      <c r="LKU4" s="28"/>
      <c r="LKV4" s="28"/>
      <c r="LKW4" s="28"/>
      <c r="LKX4" s="28"/>
      <c r="LKY4" s="28"/>
      <c r="LKZ4" s="28"/>
      <c r="LLA4" s="28"/>
      <c r="LLB4" s="28"/>
      <c r="LLC4" s="28"/>
      <c r="LLD4" s="28"/>
      <c r="LLE4" s="28"/>
      <c r="LLF4" s="28"/>
      <c r="LLG4" s="28"/>
      <c r="LLH4" s="28"/>
      <c r="LLI4" s="28"/>
      <c r="LLJ4" s="28"/>
      <c r="LLK4" s="28"/>
      <c r="LLL4" s="28"/>
      <c r="LLM4" s="28"/>
      <c r="LLN4" s="28"/>
      <c r="LLO4" s="28"/>
      <c r="LLP4" s="28"/>
      <c r="LLQ4" s="28"/>
      <c r="LLR4" s="28"/>
      <c r="LLS4" s="28"/>
      <c r="LLT4" s="28"/>
      <c r="LLU4" s="28"/>
      <c r="LLV4" s="28"/>
      <c r="LLW4" s="28"/>
      <c r="LLX4" s="28"/>
      <c r="LLY4" s="28"/>
      <c r="LLZ4" s="28"/>
      <c r="LMA4" s="28"/>
      <c r="LMB4" s="28"/>
      <c r="LMC4" s="28"/>
      <c r="LMD4" s="28"/>
      <c r="LME4" s="28"/>
      <c r="LMF4" s="28"/>
      <c r="LMG4" s="28"/>
      <c r="LMH4" s="28"/>
      <c r="LMI4" s="28"/>
      <c r="LMJ4" s="28"/>
      <c r="LMK4" s="28"/>
      <c r="LML4" s="28"/>
      <c r="LMM4" s="28"/>
      <c r="LMN4" s="28"/>
      <c r="LMO4" s="28"/>
      <c r="LMP4" s="28"/>
      <c r="LMQ4" s="28"/>
      <c r="LMR4" s="28"/>
      <c r="LMS4" s="28"/>
      <c r="LMT4" s="28"/>
      <c r="LMU4" s="28"/>
      <c r="LMV4" s="28"/>
      <c r="LMW4" s="28"/>
      <c r="LMX4" s="28"/>
      <c r="LMY4" s="28"/>
      <c r="LMZ4" s="28"/>
      <c r="LNA4" s="28"/>
      <c r="LNB4" s="28"/>
      <c r="LNC4" s="28"/>
      <c r="LND4" s="28"/>
      <c r="LNE4" s="28"/>
      <c r="LNF4" s="28"/>
      <c r="LNG4" s="28"/>
      <c r="LNH4" s="28"/>
      <c r="LNI4" s="28"/>
      <c r="LNJ4" s="28"/>
      <c r="LNK4" s="28"/>
      <c r="LNL4" s="28"/>
      <c r="LNM4" s="28"/>
      <c r="LNN4" s="28"/>
      <c r="LNO4" s="28"/>
      <c r="LNP4" s="28"/>
      <c r="LNQ4" s="28"/>
      <c r="LNR4" s="28"/>
      <c r="LNS4" s="28"/>
      <c r="LNT4" s="28"/>
      <c r="LNU4" s="28"/>
      <c r="LNV4" s="28"/>
      <c r="LNW4" s="28"/>
      <c r="LNX4" s="28"/>
      <c r="LNY4" s="28"/>
      <c r="LNZ4" s="28"/>
      <c r="LOA4" s="28"/>
      <c r="LOB4" s="28"/>
      <c r="LOC4" s="28"/>
      <c r="LOD4" s="28"/>
      <c r="LOE4" s="28"/>
      <c r="LOF4" s="28"/>
      <c r="LOG4" s="28"/>
      <c r="LOH4" s="28"/>
      <c r="LOI4" s="28"/>
      <c r="LOJ4" s="28"/>
      <c r="LOK4" s="28"/>
      <c r="LOL4" s="28"/>
      <c r="LOM4" s="28"/>
      <c r="LON4" s="28"/>
      <c r="LOO4" s="28"/>
      <c r="LOP4" s="28"/>
      <c r="LOQ4" s="28"/>
      <c r="LOR4" s="28"/>
      <c r="LOS4" s="28"/>
      <c r="LOT4" s="28"/>
      <c r="LOU4" s="28"/>
      <c r="LOV4" s="28"/>
      <c r="LOW4" s="28"/>
      <c r="LOX4" s="28"/>
      <c r="LOY4" s="28"/>
      <c r="LOZ4" s="28"/>
      <c r="LPA4" s="28"/>
      <c r="LPB4" s="28"/>
      <c r="LPC4" s="28"/>
      <c r="LPD4" s="28"/>
      <c r="LPE4" s="28"/>
      <c r="LPF4" s="28"/>
      <c r="LPG4" s="28"/>
      <c r="LPH4" s="28"/>
      <c r="LPI4" s="28"/>
      <c r="LPJ4" s="28"/>
      <c r="LPK4" s="28"/>
      <c r="LPL4" s="28"/>
      <c r="LPM4" s="28"/>
      <c r="LPN4" s="28"/>
      <c r="LPO4" s="28"/>
      <c r="LPP4" s="28"/>
      <c r="LPQ4" s="28"/>
      <c r="LPR4" s="28"/>
      <c r="LPS4" s="28"/>
      <c r="LPT4" s="28"/>
      <c r="LPU4" s="28"/>
      <c r="LPV4" s="28"/>
      <c r="LPW4" s="28"/>
      <c r="LPX4" s="28"/>
      <c r="LPY4" s="28"/>
      <c r="LPZ4" s="28"/>
      <c r="LQA4" s="28"/>
      <c r="LQB4" s="28"/>
      <c r="LQC4" s="28"/>
      <c r="LQD4" s="28"/>
      <c r="LQE4" s="28"/>
      <c r="LQF4" s="28"/>
      <c r="LQG4" s="28"/>
      <c r="LQH4" s="28"/>
      <c r="LQI4" s="28"/>
      <c r="LQJ4" s="28"/>
      <c r="LQK4" s="28"/>
      <c r="LQL4" s="28"/>
      <c r="LQM4" s="28"/>
      <c r="LQN4" s="28"/>
      <c r="LQO4" s="28"/>
      <c r="LQP4" s="28"/>
      <c r="LQQ4" s="28"/>
      <c r="LQR4" s="28"/>
      <c r="LQS4" s="28"/>
      <c r="LQT4" s="28"/>
      <c r="LQU4" s="28"/>
      <c r="LQV4" s="28"/>
      <c r="LQW4" s="28"/>
      <c r="LQX4" s="28"/>
      <c r="LQY4" s="28"/>
      <c r="LQZ4" s="28"/>
      <c r="LRA4" s="28"/>
      <c r="LRB4" s="28"/>
      <c r="LRC4" s="28"/>
      <c r="LRD4" s="28"/>
      <c r="LRE4" s="28"/>
      <c r="LRF4" s="28"/>
      <c r="LRG4" s="28"/>
      <c r="LRH4" s="28"/>
      <c r="LRI4" s="28"/>
      <c r="LRJ4" s="28"/>
      <c r="LRK4" s="28"/>
      <c r="LRL4" s="28"/>
      <c r="LRM4" s="28"/>
      <c r="LRN4" s="28"/>
      <c r="LRO4" s="28"/>
      <c r="LRP4" s="28"/>
      <c r="LRQ4" s="28"/>
      <c r="LRR4" s="28"/>
      <c r="LRS4" s="28"/>
      <c r="LRT4" s="28"/>
      <c r="LRU4" s="28"/>
      <c r="LRV4" s="28"/>
      <c r="LRW4" s="28"/>
      <c r="LRX4" s="28"/>
      <c r="LRY4" s="28"/>
      <c r="LRZ4" s="28"/>
      <c r="LSA4" s="28"/>
      <c r="LSB4" s="28"/>
      <c r="LSC4" s="28"/>
      <c r="LSD4" s="28"/>
      <c r="LSE4" s="28"/>
      <c r="LSF4" s="28"/>
      <c r="LSG4" s="28"/>
      <c r="LSH4" s="28"/>
      <c r="LSI4" s="28"/>
      <c r="LSJ4" s="28"/>
      <c r="LSK4" s="28"/>
      <c r="LSL4" s="28"/>
      <c r="LSM4" s="28"/>
      <c r="LSN4" s="28"/>
      <c r="LSO4" s="28"/>
      <c r="LSP4" s="28"/>
      <c r="LSQ4" s="28"/>
      <c r="LSR4" s="28"/>
      <c r="LSS4" s="28"/>
      <c r="LST4" s="28"/>
      <c r="LSU4" s="28"/>
      <c r="LSV4" s="28"/>
      <c r="LSW4" s="28"/>
      <c r="LSX4" s="28"/>
      <c r="LSY4" s="28"/>
      <c r="LSZ4" s="28"/>
      <c r="LTA4" s="28"/>
      <c r="LTB4" s="28"/>
      <c r="LTC4" s="28"/>
      <c r="LTD4" s="28"/>
      <c r="LTE4" s="28"/>
      <c r="LTF4" s="28"/>
      <c r="LTG4" s="28"/>
      <c r="LTH4" s="28"/>
      <c r="LTI4" s="28"/>
      <c r="LTJ4" s="28"/>
      <c r="LTK4" s="28"/>
      <c r="LTL4" s="28"/>
      <c r="LTM4" s="28"/>
      <c r="LTN4" s="28"/>
      <c r="LTO4" s="28"/>
      <c r="LTP4" s="28"/>
      <c r="LTQ4" s="28"/>
      <c r="LTR4" s="28"/>
      <c r="LTS4" s="28"/>
      <c r="LTT4" s="28"/>
      <c r="LTU4" s="28"/>
      <c r="LTV4" s="28"/>
      <c r="LTW4" s="28"/>
      <c r="LTX4" s="28"/>
      <c r="LTY4" s="28"/>
      <c r="LTZ4" s="28"/>
      <c r="LUA4" s="28"/>
      <c r="LUB4" s="28"/>
      <c r="LUC4" s="28"/>
      <c r="LUD4" s="28"/>
      <c r="LUE4" s="28"/>
      <c r="LUF4" s="28"/>
      <c r="LUG4" s="28"/>
      <c r="LUH4" s="28"/>
      <c r="LUI4" s="28"/>
      <c r="LUJ4" s="28"/>
      <c r="LUK4" s="28"/>
      <c r="LUL4" s="28"/>
      <c r="LUM4" s="28"/>
      <c r="LUN4" s="28"/>
      <c r="LUO4" s="28"/>
      <c r="LUP4" s="28"/>
      <c r="LUQ4" s="28"/>
      <c r="LUR4" s="28"/>
      <c r="LUS4" s="28"/>
      <c r="LUT4" s="28"/>
      <c r="LUU4" s="28"/>
      <c r="LUV4" s="28"/>
      <c r="LUW4" s="28"/>
      <c r="LUX4" s="28"/>
      <c r="LUY4" s="28"/>
      <c r="LUZ4" s="28"/>
      <c r="LVA4" s="28"/>
      <c r="LVB4" s="28"/>
      <c r="LVC4" s="28"/>
      <c r="LVD4" s="28"/>
      <c r="LVE4" s="28"/>
      <c r="LVF4" s="28"/>
      <c r="LVG4" s="28"/>
      <c r="LVH4" s="28"/>
      <c r="LVI4" s="28"/>
      <c r="LVJ4" s="28"/>
      <c r="LVK4" s="28"/>
      <c r="LVL4" s="28"/>
      <c r="LVM4" s="28"/>
      <c r="LVN4" s="28"/>
      <c r="LVO4" s="28"/>
      <c r="LVP4" s="28"/>
      <c r="LVQ4" s="28"/>
      <c r="LVR4" s="28"/>
      <c r="LVS4" s="28"/>
      <c r="LVT4" s="28"/>
      <c r="LVU4" s="28"/>
      <c r="LVV4" s="28"/>
      <c r="LVW4" s="28"/>
      <c r="LVX4" s="28"/>
      <c r="LVY4" s="28"/>
      <c r="LVZ4" s="28"/>
      <c r="LWA4" s="28"/>
      <c r="LWB4" s="28"/>
      <c r="LWC4" s="28"/>
      <c r="LWD4" s="28"/>
      <c r="LWE4" s="28"/>
      <c r="LWF4" s="28"/>
      <c r="LWG4" s="28"/>
      <c r="LWH4" s="28"/>
      <c r="LWI4" s="28"/>
      <c r="LWJ4" s="28"/>
      <c r="LWK4" s="28"/>
      <c r="LWL4" s="28"/>
      <c r="LWM4" s="28"/>
      <c r="LWN4" s="28"/>
      <c r="LWO4" s="28"/>
      <c r="LWP4" s="28"/>
      <c r="LWQ4" s="28"/>
      <c r="LWR4" s="28"/>
      <c r="LWS4" s="28"/>
      <c r="LWT4" s="28"/>
      <c r="LWU4" s="28"/>
      <c r="LWV4" s="28"/>
      <c r="LWW4" s="28"/>
      <c r="LWX4" s="28"/>
      <c r="LWY4" s="28"/>
      <c r="LWZ4" s="28"/>
      <c r="LXA4" s="28"/>
      <c r="LXB4" s="28"/>
      <c r="LXC4" s="28"/>
      <c r="LXD4" s="28"/>
      <c r="LXE4" s="28"/>
      <c r="LXF4" s="28"/>
      <c r="LXG4" s="28"/>
      <c r="LXH4" s="28"/>
      <c r="LXI4" s="28"/>
      <c r="LXJ4" s="28"/>
      <c r="LXK4" s="28"/>
      <c r="LXL4" s="28"/>
      <c r="LXM4" s="28"/>
      <c r="LXN4" s="28"/>
      <c r="LXO4" s="28"/>
      <c r="LXP4" s="28"/>
      <c r="LXQ4" s="28"/>
      <c r="LXR4" s="28"/>
      <c r="LXS4" s="28"/>
      <c r="LXT4" s="28"/>
      <c r="LXU4" s="28"/>
      <c r="LXV4" s="28"/>
      <c r="LXW4" s="28"/>
      <c r="LXX4" s="28"/>
      <c r="LXY4" s="28"/>
      <c r="LXZ4" s="28"/>
      <c r="LYA4" s="28"/>
      <c r="LYB4" s="28"/>
      <c r="LYC4" s="28"/>
      <c r="LYD4" s="28"/>
      <c r="LYE4" s="28"/>
      <c r="LYF4" s="28"/>
      <c r="LYG4" s="28"/>
      <c r="LYH4" s="28"/>
      <c r="LYI4" s="28"/>
      <c r="LYJ4" s="28"/>
      <c r="LYK4" s="28"/>
      <c r="LYL4" s="28"/>
      <c r="LYM4" s="28"/>
      <c r="LYN4" s="28"/>
      <c r="LYO4" s="28"/>
      <c r="LYP4" s="28"/>
      <c r="LYQ4" s="28"/>
      <c r="LYR4" s="28"/>
      <c r="LYS4" s="28"/>
      <c r="LYT4" s="28"/>
      <c r="LYU4" s="28"/>
      <c r="LYV4" s="28"/>
      <c r="LYW4" s="28"/>
      <c r="LYX4" s="28"/>
      <c r="LYY4" s="28"/>
      <c r="LYZ4" s="28"/>
      <c r="LZA4" s="28"/>
      <c r="LZB4" s="28"/>
      <c r="LZC4" s="28"/>
      <c r="LZD4" s="28"/>
      <c r="LZE4" s="28"/>
      <c r="LZF4" s="28"/>
      <c r="LZG4" s="28"/>
      <c r="LZH4" s="28"/>
      <c r="LZI4" s="28"/>
      <c r="LZJ4" s="28"/>
      <c r="LZK4" s="28"/>
      <c r="LZL4" s="28"/>
      <c r="LZM4" s="28"/>
      <c r="LZN4" s="28"/>
      <c r="LZO4" s="28"/>
      <c r="LZP4" s="28"/>
      <c r="LZQ4" s="28"/>
      <c r="LZR4" s="28"/>
      <c r="LZS4" s="28"/>
      <c r="LZT4" s="28"/>
      <c r="LZU4" s="28"/>
      <c r="LZV4" s="28"/>
      <c r="LZW4" s="28"/>
      <c r="LZX4" s="28"/>
      <c r="LZY4" s="28"/>
      <c r="LZZ4" s="28"/>
      <c r="MAA4" s="28"/>
      <c r="MAB4" s="28"/>
      <c r="MAC4" s="28"/>
      <c r="MAD4" s="28"/>
      <c r="MAE4" s="28"/>
      <c r="MAF4" s="28"/>
      <c r="MAG4" s="28"/>
      <c r="MAH4" s="28"/>
      <c r="MAI4" s="28"/>
      <c r="MAJ4" s="28"/>
      <c r="MAK4" s="28"/>
      <c r="MAL4" s="28"/>
      <c r="MAM4" s="28"/>
      <c r="MAN4" s="28"/>
      <c r="MAO4" s="28"/>
      <c r="MAP4" s="28"/>
      <c r="MAQ4" s="28"/>
      <c r="MAR4" s="28"/>
      <c r="MAS4" s="28"/>
      <c r="MAT4" s="28"/>
      <c r="MAU4" s="28"/>
      <c r="MAV4" s="28"/>
      <c r="MAW4" s="28"/>
      <c r="MAX4" s="28"/>
      <c r="MAY4" s="28"/>
      <c r="MAZ4" s="28"/>
      <c r="MBA4" s="28"/>
      <c r="MBB4" s="28"/>
      <c r="MBC4" s="28"/>
      <c r="MBD4" s="28"/>
      <c r="MBE4" s="28"/>
      <c r="MBF4" s="28"/>
      <c r="MBG4" s="28"/>
      <c r="MBH4" s="28"/>
      <c r="MBI4" s="28"/>
      <c r="MBJ4" s="28"/>
      <c r="MBK4" s="28"/>
      <c r="MBL4" s="28"/>
      <c r="MBM4" s="28"/>
      <c r="MBN4" s="28"/>
      <c r="MBO4" s="28"/>
      <c r="MBP4" s="28"/>
      <c r="MBQ4" s="28"/>
      <c r="MBR4" s="28"/>
      <c r="MBS4" s="28"/>
      <c r="MBT4" s="28"/>
      <c r="MBU4" s="28"/>
      <c r="MBV4" s="28"/>
      <c r="MBW4" s="28"/>
      <c r="MBX4" s="28"/>
      <c r="MBY4" s="28"/>
      <c r="MBZ4" s="28"/>
      <c r="MCA4" s="28"/>
      <c r="MCB4" s="28"/>
      <c r="MCC4" s="28"/>
      <c r="MCD4" s="28"/>
      <c r="MCE4" s="28"/>
      <c r="MCF4" s="28"/>
      <c r="MCG4" s="28"/>
      <c r="MCH4" s="28"/>
      <c r="MCI4" s="28"/>
      <c r="MCJ4" s="28"/>
      <c r="MCK4" s="28"/>
      <c r="MCL4" s="28"/>
      <c r="MCM4" s="28"/>
      <c r="MCN4" s="28"/>
      <c r="MCO4" s="28"/>
      <c r="MCP4" s="28"/>
      <c r="MCQ4" s="28"/>
      <c r="MCR4" s="28"/>
      <c r="MCS4" s="28"/>
      <c r="MCT4" s="28"/>
      <c r="MCU4" s="28"/>
      <c r="MCV4" s="28"/>
      <c r="MCW4" s="28"/>
      <c r="MCX4" s="28"/>
      <c r="MCY4" s="28"/>
      <c r="MCZ4" s="28"/>
      <c r="MDA4" s="28"/>
      <c r="MDB4" s="28"/>
      <c r="MDC4" s="28"/>
      <c r="MDD4" s="28"/>
      <c r="MDE4" s="28"/>
      <c r="MDF4" s="28"/>
      <c r="MDG4" s="28"/>
      <c r="MDH4" s="28"/>
      <c r="MDI4" s="28"/>
      <c r="MDJ4" s="28"/>
      <c r="MDK4" s="28"/>
      <c r="MDL4" s="28"/>
      <c r="MDM4" s="28"/>
      <c r="MDN4" s="28"/>
      <c r="MDO4" s="28"/>
      <c r="MDP4" s="28"/>
      <c r="MDQ4" s="28"/>
      <c r="MDR4" s="28"/>
      <c r="MDS4" s="28"/>
      <c r="MDT4" s="28"/>
      <c r="MDU4" s="28"/>
      <c r="MDV4" s="28"/>
      <c r="MDW4" s="28"/>
      <c r="MDX4" s="28"/>
      <c r="MDY4" s="28"/>
      <c r="MDZ4" s="28"/>
      <c r="MEA4" s="28"/>
      <c r="MEB4" s="28"/>
      <c r="MEC4" s="28"/>
      <c r="MED4" s="28"/>
      <c r="MEE4" s="28"/>
      <c r="MEF4" s="28"/>
      <c r="MEG4" s="28"/>
      <c r="MEH4" s="28"/>
      <c r="MEI4" s="28"/>
      <c r="MEJ4" s="28"/>
      <c r="MEK4" s="28"/>
      <c r="MEL4" s="28"/>
      <c r="MEM4" s="28"/>
      <c r="MEN4" s="28"/>
      <c r="MEO4" s="28"/>
      <c r="MEP4" s="28"/>
      <c r="MEQ4" s="28"/>
      <c r="MER4" s="28"/>
      <c r="MES4" s="28"/>
      <c r="MET4" s="28"/>
      <c r="MEU4" s="28"/>
      <c r="MEV4" s="28"/>
      <c r="MEW4" s="28"/>
      <c r="MEX4" s="28"/>
      <c r="MEY4" s="28"/>
      <c r="MEZ4" s="28"/>
      <c r="MFA4" s="28"/>
      <c r="MFB4" s="28"/>
      <c r="MFC4" s="28"/>
      <c r="MFD4" s="28"/>
      <c r="MFE4" s="28"/>
      <c r="MFF4" s="28"/>
      <c r="MFG4" s="28"/>
      <c r="MFH4" s="28"/>
      <c r="MFI4" s="28"/>
      <c r="MFJ4" s="28"/>
      <c r="MFK4" s="28"/>
      <c r="MFL4" s="28"/>
      <c r="MFM4" s="28"/>
      <c r="MFN4" s="28"/>
      <c r="MFO4" s="28"/>
      <c r="MFP4" s="28"/>
      <c r="MFQ4" s="28"/>
      <c r="MFR4" s="28"/>
      <c r="MFS4" s="28"/>
      <c r="MFT4" s="28"/>
      <c r="MFU4" s="28"/>
      <c r="MFV4" s="28"/>
      <c r="MFW4" s="28"/>
      <c r="MFX4" s="28"/>
      <c r="MFY4" s="28"/>
      <c r="MFZ4" s="28"/>
      <c r="MGA4" s="28"/>
      <c r="MGB4" s="28"/>
      <c r="MGC4" s="28"/>
      <c r="MGD4" s="28"/>
      <c r="MGE4" s="28"/>
      <c r="MGF4" s="28"/>
      <c r="MGG4" s="28"/>
      <c r="MGH4" s="28"/>
      <c r="MGI4" s="28"/>
      <c r="MGJ4" s="28"/>
      <c r="MGK4" s="28"/>
      <c r="MGL4" s="28"/>
      <c r="MGM4" s="28"/>
      <c r="MGN4" s="28"/>
      <c r="MGO4" s="28"/>
      <c r="MGP4" s="28"/>
      <c r="MGQ4" s="28"/>
      <c r="MGR4" s="28"/>
      <c r="MGS4" s="28"/>
      <c r="MGT4" s="28"/>
      <c r="MGU4" s="28"/>
      <c r="MGV4" s="28"/>
      <c r="MGW4" s="28"/>
      <c r="MGX4" s="28"/>
      <c r="MGY4" s="28"/>
      <c r="MGZ4" s="28"/>
      <c r="MHA4" s="28"/>
      <c r="MHB4" s="28"/>
      <c r="MHC4" s="28"/>
      <c r="MHD4" s="28"/>
      <c r="MHE4" s="28"/>
      <c r="MHF4" s="28"/>
      <c r="MHG4" s="28"/>
      <c r="MHH4" s="28"/>
      <c r="MHI4" s="28"/>
      <c r="MHJ4" s="28"/>
      <c r="MHK4" s="28"/>
      <c r="MHL4" s="28"/>
      <c r="MHM4" s="28"/>
      <c r="MHN4" s="28"/>
      <c r="MHO4" s="28"/>
      <c r="MHP4" s="28"/>
      <c r="MHQ4" s="28"/>
      <c r="MHR4" s="28"/>
      <c r="MHS4" s="28"/>
      <c r="MHT4" s="28"/>
      <c r="MHU4" s="28"/>
      <c r="MHV4" s="28"/>
      <c r="MHW4" s="28"/>
      <c r="MHX4" s="28"/>
      <c r="MHY4" s="28"/>
      <c r="MHZ4" s="28"/>
      <c r="MIA4" s="28"/>
      <c r="MIB4" s="28"/>
      <c r="MIC4" s="28"/>
      <c r="MID4" s="28"/>
      <c r="MIE4" s="28"/>
      <c r="MIF4" s="28"/>
      <c r="MIG4" s="28"/>
      <c r="MIH4" s="28"/>
      <c r="MII4" s="28"/>
      <c r="MIJ4" s="28"/>
      <c r="MIK4" s="28"/>
      <c r="MIL4" s="28"/>
      <c r="MIM4" s="28"/>
      <c r="MIN4" s="28"/>
      <c r="MIO4" s="28"/>
      <c r="MIP4" s="28"/>
      <c r="MIQ4" s="28"/>
      <c r="MIR4" s="28"/>
      <c r="MIS4" s="28"/>
      <c r="MIT4" s="28"/>
      <c r="MIU4" s="28"/>
      <c r="MIV4" s="28"/>
      <c r="MIW4" s="28"/>
      <c r="MIX4" s="28"/>
      <c r="MIY4" s="28"/>
      <c r="MIZ4" s="28"/>
      <c r="MJA4" s="28"/>
      <c r="MJB4" s="28"/>
      <c r="MJC4" s="28"/>
      <c r="MJD4" s="28"/>
      <c r="MJE4" s="28"/>
      <c r="MJF4" s="28"/>
      <c r="MJG4" s="28"/>
      <c r="MJH4" s="28"/>
      <c r="MJI4" s="28"/>
      <c r="MJJ4" s="28"/>
      <c r="MJK4" s="28"/>
      <c r="MJL4" s="28"/>
      <c r="MJM4" s="28"/>
      <c r="MJN4" s="28"/>
      <c r="MJO4" s="28"/>
      <c r="MJP4" s="28"/>
      <c r="MJQ4" s="28"/>
      <c r="MJR4" s="28"/>
      <c r="MJS4" s="28"/>
      <c r="MJT4" s="28"/>
      <c r="MJU4" s="28"/>
      <c r="MJV4" s="28"/>
      <c r="MJW4" s="28"/>
      <c r="MJX4" s="28"/>
      <c r="MJY4" s="28"/>
      <c r="MJZ4" s="28"/>
      <c r="MKA4" s="28"/>
      <c r="MKB4" s="28"/>
      <c r="MKC4" s="28"/>
      <c r="MKD4" s="28"/>
      <c r="MKE4" s="28"/>
      <c r="MKF4" s="28"/>
      <c r="MKG4" s="28"/>
      <c r="MKH4" s="28"/>
      <c r="MKI4" s="28"/>
      <c r="MKJ4" s="28"/>
      <c r="MKK4" s="28"/>
      <c r="MKL4" s="28"/>
      <c r="MKM4" s="28"/>
      <c r="MKN4" s="28"/>
      <c r="MKO4" s="28"/>
      <c r="MKP4" s="28"/>
      <c r="MKQ4" s="28"/>
      <c r="MKR4" s="28"/>
      <c r="MKS4" s="28"/>
      <c r="MKT4" s="28"/>
      <c r="MKU4" s="28"/>
      <c r="MKV4" s="28"/>
      <c r="MKW4" s="28"/>
      <c r="MKX4" s="28"/>
      <c r="MKY4" s="28"/>
      <c r="MKZ4" s="28"/>
      <c r="MLA4" s="28"/>
      <c r="MLB4" s="28"/>
      <c r="MLC4" s="28"/>
      <c r="MLD4" s="28"/>
      <c r="MLE4" s="28"/>
      <c r="MLF4" s="28"/>
      <c r="MLG4" s="28"/>
      <c r="MLH4" s="28"/>
      <c r="MLI4" s="28"/>
      <c r="MLJ4" s="28"/>
      <c r="MLK4" s="28"/>
      <c r="MLL4" s="28"/>
      <c r="MLM4" s="28"/>
      <c r="MLN4" s="28"/>
      <c r="MLO4" s="28"/>
      <c r="MLP4" s="28"/>
      <c r="MLQ4" s="28"/>
      <c r="MLR4" s="28"/>
      <c r="MLS4" s="28"/>
      <c r="MLT4" s="28"/>
      <c r="MLU4" s="28"/>
      <c r="MLV4" s="28"/>
      <c r="MLW4" s="28"/>
      <c r="MLX4" s="28"/>
      <c r="MLY4" s="28"/>
      <c r="MLZ4" s="28"/>
      <c r="MMA4" s="28"/>
      <c r="MMB4" s="28"/>
      <c r="MMC4" s="28"/>
      <c r="MMD4" s="28"/>
      <c r="MME4" s="28"/>
      <c r="MMF4" s="28"/>
      <c r="MMG4" s="28"/>
      <c r="MMH4" s="28"/>
      <c r="MMI4" s="28"/>
      <c r="MMJ4" s="28"/>
      <c r="MMK4" s="28"/>
      <c r="MML4" s="28"/>
      <c r="MMM4" s="28"/>
      <c r="MMN4" s="28"/>
      <c r="MMO4" s="28"/>
      <c r="MMP4" s="28"/>
      <c r="MMQ4" s="28"/>
      <c r="MMR4" s="28"/>
      <c r="MMS4" s="28"/>
      <c r="MMT4" s="28"/>
      <c r="MMU4" s="28"/>
      <c r="MMV4" s="28"/>
      <c r="MMW4" s="28"/>
      <c r="MMX4" s="28"/>
      <c r="MMY4" s="28"/>
      <c r="MMZ4" s="28"/>
      <c r="MNA4" s="28"/>
      <c r="MNB4" s="28"/>
      <c r="MNC4" s="28"/>
      <c r="MND4" s="28"/>
      <c r="MNE4" s="28"/>
      <c r="MNF4" s="28"/>
      <c r="MNG4" s="28"/>
      <c r="MNH4" s="28"/>
      <c r="MNI4" s="28"/>
      <c r="MNJ4" s="28"/>
      <c r="MNK4" s="28"/>
      <c r="MNL4" s="28"/>
      <c r="MNM4" s="28"/>
      <c r="MNN4" s="28"/>
      <c r="MNO4" s="28"/>
      <c r="MNP4" s="28"/>
      <c r="MNQ4" s="28"/>
      <c r="MNR4" s="28"/>
      <c r="MNS4" s="28"/>
      <c r="MNT4" s="28"/>
      <c r="MNU4" s="28"/>
      <c r="MNV4" s="28"/>
      <c r="MNW4" s="28"/>
      <c r="MNX4" s="28"/>
      <c r="MNY4" s="28"/>
      <c r="MNZ4" s="28"/>
      <c r="MOA4" s="28"/>
      <c r="MOB4" s="28"/>
      <c r="MOC4" s="28"/>
      <c r="MOD4" s="28"/>
      <c r="MOE4" s="28"/>
      <c r="MOF4" s="28"/>
      <c r="MOG4" s="28"/>
      <c r="MOH4" s="28"/>
      <c r="MOI4" s="28"/>
      <c r="MOJ4" s="28"/>
      <c r="MOK4" s="28"/>
      <c r="MOL4" s="28"/>
      <c r="MOM4" s="28"/>
      <c r="MON4" s="28"/>
      <c r="MOO4" s="28"/>
      <c r="MOP4" s="28"/>
      <c r="MOQ4" s="28"/>
      <c r="MOR4" s="28"/>
      <c r="MOS4" s="28"/>
      <c r="MOT4" s="28"/>
      <c r="MOU4" s="28"/>
      <c r="MOV4" s="28"/>
      <c r="MOW4" s="28"/>
      <c r="MOX4" s="28"/>
      <c r="MOY4" s="28"/>
      <c r="MOZ4" s="28"/>
      <c r="MPA4" s="28"/>
      <c r="MPB4" s="28"/>
      <c r="MPC4" s="28"/>
      <c r="MPD4" s="28"/>
      <c r="MPE4" s="28"/>
      <c r="MPF4" s="28"/>
      <c r="MPG4" s="28"/>
      <c r="MPH4" s="28"/>
      <c r="MPI4" s="28"/>
      <c r="MPJ4" s="28"/>
      <c r="MPK4" s="28"/>
      <c r="MPL4" s="28"/>
      <c r="MPM4" s="28"/>
      <c r="MPN4" s="28"/>
      <c r="MPO4" s="28"/>
      <c r="MPP4" s="28"/>
      <c r="MPQ4" s="28"/>
      <c r="MPR4" s="28"/>
      <c r="MPS4" s="28"/>
      <c r="MPT4" s="28"/>
      <c r="MPU4" s="28"/>
      <c r="MPV4" s="28"/>
      <c r="MPW4" s="28"/>
      <c r="MPX4" s="28"/>
      <c r="MPY4" s="28"/>
      <c r="MPZ4" s="28"/>
      <c r="MQA4" s="28"/>
      <c r="MQB4" s="28"/>
      <c r="MQC4" s="28"/>
      <c r="MQD4" s="28"/>
      <c r="MQE4" s="28"/>
      <c r="MQF4" s="28"/>
      <c r="MQG4" s="28"/>
      <c r="MQH4" s="28"/>
      <c r="MQI4" s="28"/>
      <c r="MQJ4" s="28"/>
      <c r="MQK4" s="28"/>
      <c r="MQL4" s="28"/>
      <c r="MQM4" s="28"/>
      <c r="MQN4" s="28"/>
      <c r="MQO4" s="28"/>
      <c r="MQP4" s="28"/>
      <c r="MQQ4" s="28"/>
      <c r="MQR4" s="28"/>
      <c r="MQS4" s="28"/>
      <c r="MQT4" s="28"/>
      <c r="MQU4" s="28"/>
      <c r="MQV4" s="28"/>
      <c r="MQW4" s="28"/>
      <c r="MQX4" s="28"/>
      <c r="MQY4" s="28"/>
      <c r="MQZ4" s="28"/>
      <c r="MRA4" s="28"/>
      <c r="MRB4" s="28"/>
      <c r="MRC4" s="28"/>
      <c r="MRD4" s="28"/>
      <c r="MRE4" s="28"/>
      <c r="MRF4" s="28"/>
      <c r="MRG4" s="28"/>
      <c r="MRH4" s="28"/>
      <c r="MRI4" s="28"/>
      <c r="MRJ4" s="28"/>
      <c r="MRK4" s="28"/>
      <c r="MRL4" s="28"/>
      <c r="MRM4" s="28"/>
      <c r="MRN4" s="28"/>
      <c r="MRO4" s="28"/>
      <c r="MRP4" s="28"/>
      <c r="MRQ4" s="28"/>
      <c r="MRR4" s="28"/>
      <c r="MRS4" s="28"/>
      <c r="MRT4" s="28"/>
      <c r="MRU4" s="28"/>
      <c r="MRV4" s="28"/>
      <c r="MRW4" s="28"/>
      <c r="MRX4" s="28"/>
      <c r="MRY4" s="28"/>
      <c r="MRZ4" s="28"/>
      <c r="MSA4" s="28"/>
      <c r="MSB4" s="28"/>
      <c r="MSC4" s="28"/>
      <c r="MSD4" s="28"/>
      <c r="MSE4" s="28"/>
      <c r="MSF4" s="28"/>
      <c r="MSG4" s="28"/>
      <c r="MSH4" s="28"/>
      <c r="MSI4" s="28"/>
      <c r="MSJ4" s="28"/>
      <c r="MSK4" s="28"/>
      <c r="MSL4" s="28"/>
      <c r="MSM4" s="28"/>
      <c r="MSN4" s="28"/>
      <c r="MSO4" s="28"/>
      <c r="MSP4" s="28"/>
      <c r="MSQ4" s="28"/>
      <c r="MSR4" s="28"/>
      <c r="MSS4" s="28"/>
      <c r="MST4" s="28"/>
      <c r="MSU4" s="28"/>
      <c r="MSV4" s="28"/>
      <c r="MSW4" s="28"/>
      <c r="MSX4" s="28"/>
      <c r="MSY4" s="28"/>
      <c r="MSZ4" s="28"/>
      <c r="MTA4" s="28"/>
      <c r="MTB4" s="28"/>
      <c r="MTC4" s="28"/>
      <c r="MTD4" s="28"/>
      <c r="MTE4" s="28"/>
      <c r="MTF4" s="28"/>
      <c r="MTG4" s="28"/>
      <c r="MTH4" s="28"/>
      <c r="MTI4" s="28"/>
      <c r="MTJ4" s="28"/>
      <c r="MTK4" s="28"/>
      <c r="MTL4" s="28"/>
      <c r="MTM4" s="28"/>
      <c r="MTN4" s="28"/>
      <c r="MTO4" s="28"/>
      <c r="MTP4" s="28"/>
      <c r="MTQ4" s="28"/>
      <c r="MTR4" s="28"/>
      <c r="MTS4" s="28"/>
      <c r="MTT4" s="28"/>
      <c r="MTU4" s="28"/>
      <c r="MTV4" s="28"/>
      <c r="MTW4" s="28"/>
      <c r="MTX4" s="28"/>
      <c r="MTY4" s="28"/>
      <c r="MTZ4" s="28"/>
      <c r="MUA4" s="28"/>
      <c r="MUB4" s="28"/>
      <c r="MUC4" s="28"/>
      <c r="MUD4" s="28"/>
      <c r="MUE4" s="28"/>
      <c r="MUF4" s="28"/>
      <c r="MUG4" s="28"/>
      <c r="MUH4" s="28"/>
      <c r="MUI4" s="28"/>
      <c r="MUJ4" s="28"/>
      <c r="MUK4" s="28"/>
      <c r="MUL4" s="28"/>
      <c r="MUM4" s="28"/>
      <c r="MUN4" s="28"/>
      <c r="MUO4" s="28"/>
      <c r="MUP4" s="28"/>
      <c r="MUQ4" s="28"/>
      <c r="MUR4" s="28"/>
      <c r="MUS4" s="28"/>
      <c r="MUT4" s="28"/>
      <c r="MUU4" s="28"/>
      <c r="MUV4" s="28"/>
      <c r="MUW4" s="28"/>
      <c r="MUX4" s="28"/>
      <c r="MUY4" s="28"/>
      <c r="MUZ4" s="28"/>
      <c r="MVA4" s="28"/>
      <c r="MVB4" s="28"/>
      <c r="MVC4" s="28"/>
      <c r="MVD4" s="28"/>
      <c r="MVE4" s="28"/>
      <c r="MVF4" s="28"/>
      <c r="MVG4" s="28"/>
      <c r="MVH4" s="28"/>
      <c r="MVI4" s="28"/>
      <c r="MVJ4" s="28"/>
      <c r="MVK4" s="28"/>
      <c r="MVL4" s="28"/>
      <c r="MVM4" s="28"/>
      <c r="MVN4" s="28"/>
      <c r="MVO4" s="28"/>
      <c r="MVP4" s="28"/>
      <c r="MVQ4" s="28"/>
      <c r="MVR4" s="28"/>
      <c r="MVS4" s="28"/>
      <c r="MVT4" s="28"/>
      <c r="MVU4" s="28"/>
      <c r="MVV4" s="28"/>
      <c r="MVW4" s="28"/>
      <c r="MVX4" s="28"/>
      <c r="MVY4" s="28"/>
      <c r="MVZ4" s="28"/>
      <c r="MWA4" s="28"/>
      <c r="MWB4" s="28"/>
      <c r="MWC4" s="28"/>
      <c r="MWD4" s="28"/>
      <c r="MWE4" s="28"/>
      <c r="MWF4" s="28"/>
      <c r="MWG4" s="28"/>
      <c r="MWH4" s="28"/>
      <c r="MWI4" s="28"/>
      <c r="MWJ4" s="28"/>
      <c r="MWK4" s="28"/>
      <c r="MWL4" s="28"/>
      <c r="MWM4" s="28"/>
      <c r="MWN4" s="28"/>
      <c r="MWO4" s="28"/>
      <c r="MWP4" s="28"/>
      <c r="MWQ4" s="28"/>
      <c r="MWR4" s="28"/>
      <c r="MWS4" s="28"/>
      <c r="MWT4" s="28"/>
      <c r="MWU4" s="28"/>
      <c r="MWV4" s="28"/>
      <c r="MWW4" s="28"/>
      <c r="MWX4" s="28"/>
      <c r="MWY4" s="28"/>
      <c r="MWZ4" s="28"/>
      <c r="MXA4" s="28"/>
      <c r="MXB4" s="28"/>
      <c r="MXC4" s="28"/>
      <c r="MXD4" s="28"/>
      <c r="MXE4" s="28"/>
      <c r="MXF4" s="28"/>
      <c r="MXG4" s="28"/>
      <c r="MXH4" s="28"/>
      <c r="MXI4" s="28"/>
      <c r="MXJ4" s="28"/>
      <c r="MXK4" s="28"/>
      <c r="MXL4" s="28"/>
      <c r="MXM4" s="28"/>
      <c r="MXN4" s="28"/>
      <c r="MXO4" s="28"/>
      <c r="MXP4" s="28"/>
      <c r="MXQ4" s="28"/>
      <c r="MXR4" s="28"/>
      <c r="MXS4" s="28"/>
      <c r="MXT4" s="28"/>
      <c r="MXU4" s="28"/>
      <c r="MXV4" s="28"/>
      <c r="MXW4" s="28"/>
      <c r="MXX4" s="28"/>
      <c r="MXY4" s="28"/>
      <c r="MXZ4" s="28"/>
      <c r="MYA4" s="28"/>
      <c r="MYB4" s="28"/>
      <c r="MYC4" s="28"/>
      <c r="MYD4" s="28"/>
      <c r="MYE4" s="28"/>
      <c r="MYF4" s="28"/>
      <c r="MYG4" s="28"/>
      <c r="MYH4" s="28"/>
      <c r="MYI4" s="28"/>
      <c r="MYJ4" s="28"/>
      <c r="MYK4" s="28"/>
      <c r="MYL4" s="28"/>
      <c r="MYM4" s="28"/>
      <c r="MYN4" s="28"/>
      <c r="MYO4" s="28"/>
      <c r="MYP4" s="28"/>
      <c r="MYQ4" s="28"/>
      <c r="MYR4" s="28"/>
      <c r="MYS4" s="28"/>
      <c r="MYT4" s="28"/>
      <c r="MYU4" s="28"/>
      <c r="MYV4" s="28"/>
      <c r="MYW4" s="28"/>
      <c r="MYX4" s="28"/>
      <c r="MYY4" s="28"/>
      <c r="MYZ4" s="28"/>
      <c r="MZA4" s="28"/>
      <c r="MZB4" s="28"/>
      <c r="MZC4" s="28"/>
      <c r="MZD4" s="28"/>
      <c r="MZE4" s="28"/>
      <c r="MZF4" s="28"/>
      <c r="MZG4" s="28"/>
      <c r="MZH4" s="28"/>
      <c r="MZI4" s="28"/>
      <c r="MZJ4" s="28"/>
      <c r="MZK4" s="28"/>
      <c r="MZL4" s="28"/>
      <c r="MZM4" s="28"/>
      <c r="MZN4" s="28"/>
      <c r="MZO4" s="28"/>
      <c r="MZP4" s="28"/>
      <c r="MZQ4" s="28"/>
      <c r="MZR4" s="28"/>
      <c r="MZS4" s="28"/>
      <c r="MZT4" s="28"/>
      <c r="MZU4" s="28"/>
      <c r="MZV4" s="28"/>
      <c r="MZW4" s="28"/>
      <c r="MZX4" s="28"/>
      <c r="MZY4" s="28"/>
      <c r="MZZ4" s="28"/>
      <c r="NAA4" s="28"/>
      <c r="NAB4" s="28"/>
      <c r="NAC4" s="28"/>
      <c r="NAD4" s="28"/>
      <c r="NAE4" s="28"/>
      <c r="NAF4" s="28"/>
      <c r="NAG4" s="28"/>
      <c r="NAH4" s="28"/>
      <c r="NAI4" s="28"/>
      <c r="NAJ4" s="28"/>
      <c r="NAK4" s="28"/>
      <c r="NAL4" s="28"/>
      <c r="NAM4" s="28"/>
      <c r="NAN4" s="28"/>
      <c r="NAO4" s="28"/>
      <c r="NAP4" s="28"/>
      <c r="NAQ4" s="28"/>
      <c r="NAR4" s="28"/>
      <c r="NAS4" s="28"/>
      <c r="NAT4" s="28"/>
      <c r="NAU4" s="28"/>
      <c r="NAV4" s="28"/>
      <c r="NAW4" s="28"/>
      <c r="NAX4" s="28"/>
      <c r="NAY4" s="28"/>
      <c r="NAZ4" s="28"/>
      <c r="NBA4" s="28"/>
      <c r="NBB4" s="28"/>
      <c r="NBC4" s="28"/>
      <c r="NBD4" s="28"/>
      <c r="NBE4" s="28"/>
      <c r="NBF4" s="28"/>
      <c r="NBG4" s="28"/>
      <c r="NBH4" s="28"/>
      <c r="NBI4" s="28"/>
      <c r="NBJ4" s="28"/>
      <c r="NBK4" s="28"/>
      <c r="NBL4" s="28"/>
      <c r="NBM4" s="28"/>
      <c r="NBN4" s="28"/>
      <c r="NBO4" s="28"/>
      <c r="NBP4" s="28"/>
      <c r="NBQ4" s="28"/>
      <c r="NBR4" s="28"/>
      <c r="NBS4" s="28"/>
      <c r="NBT4" s="28"/>
      <c r="NBU4" s="28"/>
      <c r="NBV4" s="28"/>
      <c r="NBW4" s="28"/>
      <c r="NBX4" s="28"/>
      <c r="NBY4" s="28"/>
      <c r="NBZ4" s="28"/>
      <c r="NCA4" s="28"/>
      <c r="NCB4" s="28"/>
      <c r="NCC4" s="28"/>
      <c r="NCD4" s="28"/>
      <c r="NCE4" s="28"/>
      <c r="NCF4" s="28"/>
      <c r="NCG4" s="28"/>
      <c r="NCH4" s="28"/>
      <c r="NCI4" s="28"/>
      <c r="NCJ4" s="28"/>
      <c r="NCK4" s="28"/>
      <c r="NCL4" s="28"/>
      <c r="NCM4" s="28"/>
      <c r="NCN4" s="28"/>
      <c r="NCO4" s="28"/>
      <c r="NCP4" s="28"/>
      <c r="NCQ4" s="28"/>
      <c r="NCR4" s="28"/>
      <c r="NCS4" s="28"/>
      <c r="NCT4" s="28"/>
      <c r="NCU4" s="28"/>
      <c r="NCV4" s="28"/>
      <c r="NCW4" s="28"/>
      <c r="NCX4" s="28"/>
      <c r="NCY4" s="28"/>
      <c r="NCZ4" s="28"/>
      <c r="NDA4" s="28"/>
      <c r="NDB4" s="28"/>
      <c r="NDC4" s="28"/>
      <c r="NDD4" s="28"/>
      <c r="NDE4" s="28"/>
      <c r="NDF4" s="28"/>
      <c r="NDG4" s="28"/>
      <c r="NDH4" s="28"/>
      <c r="NDI4" s="28"/>
      <c r="NDJ4" s="28"/>
      <c r="NDK4" s="28"/>
      <c r="NDL4" s="28"/>
      <c r="NDM4" s="28"/>
      <c r="NDN4" s="28"/>
      <c r="NDO4" s="28"/>
      <c r="NDP4" s="28"/>
      <c r="NDQ4" s="28"/>
      <c r="NDR4" s="28"/>
      <c r="NDS4" s="28"/>
      <c r="NDT4" s="28"/>
      <c r="NDU4" s="28"/>
      <c r="NDV4" s="28"/>
      <c r="NDW4" s="28"/>
      <c r="NDX4" s="28"/>
      <c r="NDY4" s="28"/>
      <c r="NDZ4" s="28"/>
      <c r="NEA4" s="28"/>
      <c r="NEB4" s="28"/>
      <c r="NEC4" s="28"/>
      <c r="NED4" s="28"/>
      <c r="NEE4" s="28"/>
      <c r="NEF4" s="28"/>
      <c r="NEG4" s="28"/>
      <c r="NEH4" s="28"/>
      <c r="NEI4" s="28"/>
      <c r="NEJ4" s="28"/>
      <c r="NEK4" s="28"/>
      <c r="NEL4" s="28"/>
      <c r="NEM4" s="28"/>
      <c r="NEN4" s="28"/>
      <c r="NEO4" s="28"/>
      <c r="NEP4" s="28"/>
      <c r="NEQ4" s="28"/>
      <c r="NER4" s="28"/>
      <c r="NES4" s="28"/>
      <c r="NET4" s="28"/>
      <c r="NEU4" s="28"/>
      <c r="NEV4" s="28"/>
      <c r="NEW4" s="28"/>
      <c r="NEX4" s="28"/>
      <c r="NEY4" s="28"/>
      <c r="NEZ4" s="28"/>
      <c r="NFA4" s="28"/>
      <c r="NFB4" s="28"/>
      <c r="NFC4" s="28"/>
      <c r="NFD4" s="28"/>
      <c r="NFE4" s="28"/>
      <c r="NFF4" s="28"/>
      <c r="NFG4" s="28"/>
      <c r="NFH4" s="28"/>
      <c r="NFI4" s="28"/>
      <c r="NFJ4" s="28"/>
      <c r="NFK4" s="28"/>
      <c r="NFL4" s="28"/>
      <c r="NFM4" s="28"/>
      <c r="NFN4" s="28"/>
      <c r="NFO4" s="28"/>
      <c r="NFP4" s="28"/>
      <c r="NFQ4" s="28"/>
      <c r="NFR4" s="28"/>
      <c r="NFS4" s="28"/>
      <c r="NFT4" s="28"/>
      <c r="NFU4" s="28"/>
      <c r="NFV4" s="28"/>
      <c r="NFW4" s="28"/>
      <c r="NFX4" s="28"/>
      <c r="NFY4" s="28"/>
      <c r="NFZ4" s="28"/>
      <c r="NGA4" s="28"/>
      <c r="NGB4" s="28"/>
      <c r="NGC4" s="28"/>
      <c r="NGD4" s="28"/>
      <c r="NGE4" s="28"/>
      <c r="NGF4" s="28"/>
      <c r="NGG4" s="28"/>
      <c r="NGH4" s="28"/>
      <c r="NGI4" s="28"/>
      <c r="NGJ4" s="28"/>
      <c r="NGK4" s="28"/>
      <c r="NGL4" s="28"/>
      <c r="NGM4" s="28"/>
      <c r="NGN4" s="28"/>
      <c r="NGO4" s="28"/>
      <c r="NGP4" s="28"/>
      <c r="NGQ4" s="28"/>
      <c r="NGR4" s="28"/>
      <c r="NGS4" s="28"/>
      <c r="NGT4" s="28"/>
      <c r="NGU4" s="28"/>
      <c r="NGV4" s="28"/>
      <c r="NGW4" s="28"/>
      <c r="NGX4" s="28"/>
      <c r="NGY4" s="28"/>
      <c r="NGZ4" s="28"/>
      <c r="NHA4" s="28"/>
      <c r="NHB4" s="28"/>
      <c r="NHC4" s="28"/>
      <c r="NHD4" s="28"/>
      <c r="NHE4" s="28"/>
      <c r="NHF4" s="28"/>
      <c r="NHG4" s="28"/>
      <c r="NHH4" s="28"/>
      <c r="NHI4" s="28"/>
      <c r="NHJ4" s="28"/>
      <c r="NHK4" s="28"/>
      <c r="NHL4" s="28"/>
      <c r="NHM4" s="28"/>
      <c r="NHN4" s="28"/>
      <c r="NHO4" s="28"/>
      <c r="NHP4" s="28"/>
      <c r="NHQ4" s="28"/>
      <c r="NHR4" s="28"/>
      <c r="NHS4" s="28"/>
      <c r="NHT4" s="28"/>
      <c r="NHU4" s="28"/>
      <c r="NHV4" s="28"/>
      <c r="NHW4" s="28"/>
      <c r="NHX4" s="28"/>
      <c r="NHY4" s="28"/>
      <c r="NHZ4" s="28"/>
      <c r="NIA4" s="28"/>
      <c r="NIB4" s="28"/>
      <c r="NIC4" s="28"/>
      <c r="NID4" s="28"/>
      <c r="NIE4" s="28"/>
      <c r="NIF4" s="28"/>
      <c r="NIG4" s="28"/>
      <c r="NIH4" s="28"/>
      <c r="NII4" s="28"/>
      <c r="NIJ4" s="28"/>
      <c r="NIK4" s="28"/>
      <c r="NIL4" s="28"/>
      <c r="NIM4" s="28"/>
      <c r="NIN4" s="28"/>
      <c r="NIO4" s="28"/>
      <c r="NIP4" s="28"/>
      <c r="NIQ4" s="28"/>
      <c r="NIR4" s="28"/>
      <c r="NIS4" s="28"/>
      <c r="NIT4" s="28"/>
      <c r="NIU4" s="28"/>
      <c r="NIV4" s="28"/>
      <c r="NIW4" s="28"/>
      <c r="NIX4" s="28"/>
      <c r="NIY4" s="28"/>
      <c r="NIZ4" s="28"/>
      <c r="NJA4" s="28"/>
      <c r="NJB4" s="28"/>
      <c r="NJC4" s="28"/>
      <c r="NJD4" s="28"/>
      <c r="NJE4" s="28"/>
      <c r="NJF4" s="28"/>
      <c r="NJG4" s="28"/>
      <c r="NJH4" s="28"/>
      <c r="NJI4" s="28"/>
      <c r="NJJ4" s="28"/>
      <c r="NJK4" s="28"/>
      <c r="NJL4" s="28"/>
      <c r="NJM4" s="28"/>
      <c r="NJN4" s="28"/>
      <c r="NJO4" s="28"/>
      <c r="NJP4" s="28"/>
      <c r="NJQ4" s="28"/>
      <c r="NJR4" s="28"/>
      <c r="NJS4" s="28"/>
      <c r="NJT4" s="28"/>
      <c r="NJU4" s="28"/>
      <c r="NJV4" s="28"/>
      <c r="NJW4" s="28"/>
      <c r="NJX4" s="28"/>
      <c r="NJY4" s="28"/>
      <c r="NJZ4" s="28"/>
      <c r="NKA4" s="28"/>
      <c r="NKB4" s="28"/>
      <c r="NKC4" s="28"/>
      <c r="NKD4" s="28"/>
      <c r="NKE4" s="28"/>
      <c r="NKF4" s="28"/>
      <c r="NKG4" s="28"/>
      <c r="NKH4" s="28"/>
      <c r="NKI4" s="28"/>
      <c r="NKJ4" s="28"/>
      <c r="NKK4" s="28"/>
      <c r="NKL4" s="28"/>
      <c r="NKM4" s="28"/>
      <c r="NKN4" s="28"/>
      <c r="NKO4" s="28"/>
      <c r="NKP4" s="28"/>
      <c r="NKQ4" s="28"/>
      <c r="NKR4" s="28"/>
      <c r="NKS4" s="28"/>
      <c r="NKT4" s="28"/>
      <c r="NKU4" s="28"/>
      <c r="NKV4" s="28"/>
      <c r="NKW4" s="28"/>
      <c r="NKX4" s="28"/>
      <c r="NKY4" s="28"/>
      <c r="NKZ4" s="28"/>
      <c r="NLA4" s="28"/>
      <c r="NLB4" s="28"/>
      <c r="NLC4" s="28"/>
      <c r="NLD4" s="28"/>
      <c r="NLE4" s="28"/>
      <c r="NLF4" s="28"/>
      <c r="NLG4" s="28"/>
      <c r="NLH4" s="28"/>
      <c r="NLI4" s="28"/>
      <c r="NLJ4" s="28"/>
      <c r="NLK4" s="28"/>
      <c r="NLL4" s="28"/>
      <c r="NLM4" s="28"/>
      <c r="NLN4" s="28"/>
      <c r="NLO4" s="28"/>
      <c r="NLP4" s="28"/>
      <c r="NLQ4" s="28"/>
      <c r="NLR4" s="28"/>
      <c r="NLS4" s="28"/>
      <c r="NLT4" s="28"/>
      <c r="NLU4" s="28"/>
      <c r="NLV4" s="28"/>
      <c r="NLW4" s="28"/>
      <c r="NLX4" s="28"/>
      <c r="NLY4" s="28"/>
      <c r="NLZ4" s="28"/>
      <c r="NMA4" s="28"/>
      <c r="NMB4" s="28"/>
      <c r="NMC4" s="28"/>
      <c r="NMD4" s="28"/>
      <c r="NME4" s="28"/>
      <c r="NMF4" s="28"/>
      <c r="NMG4" s="28"/>
      <c r="NMH4" s="28"/>
      <c r="NMI4" s="28"/>
      <c r="NMJ4" s="28"/>
      <c r="NMK4" s="28"/>
      <c r="NML4" s="28"/>
      <c r="NMM4" s="28"/>
      <c r="NMN4" s="28"/>
      <c r="NMO4" s="28"/>
      <c r="NMP4" s="28"/>
      <c r="NMQ4" s="28"/>
      <c r="NMR4" s="28"/>
      <c r="NMS4" s="28"/>
      <c r="NMT4" s="28"/>
      <c r="NMU4" s="28"/>
      <c r="NMV4" s="28"/>
      <c r="NMW4" s="28"/>
      <c r="NMX4" s="28"/>
      <c r="NMY4" s="28"/>
      <c r="NMZ4" s="28"/>
      <c r="NNA4" s="28"/>
      <c r="NNB4" s="28"/>
      <c r="NNC4" s="28"/>
      <c r="NND4" s="28"/>
      <c r="NNE4" s="28"/>
      <c r="NNF4" s="28"/>
      <c r="NNG4" s="28"/>
      <c r="NNH4" s="28"/>
      <c r="NNI4" s="28"/>
      <c r="NNJ4" s="28"/>
      <c r="NNK4" s="28"/>
      <c r="NNL4" s="28"/>
      <c r="NNM4" s="28"/>
      <c r="NNN4" s="28"/>
      <c r="NNO4" s="28"/>
      <c r="NNP4" s="28"/>
      <c r="NNQ4" s="28"/>
      <c r="NNR4" s="28"/>
      <c r="NNS4" s="28"/>
      <c r="NNT4" s="28"/>
      <c r="NNU4" s="28"/>
      <c r="NNV4" s="28"/>
      <c r="NNW4" s="28"/>
      <c r="NNX4" s="28"/>
      <c r="NNY4" s="28"/>
      <c r="NNZ4" s="28"/>
      <c r="NOA4" s="28"/>
      <c r="NOB4" s="28"/>
      <c r="NOC4" s="28"/>
      <c r="NOD4" s="28"/>
      <c r="NOE4" s="28"/>
      <c r="NOF4" s="28"/>
      <c r="NOG4" s="28"/>
      <c r="NOH4" s="28"/>
      <c r="NOI4" s="28"/>
      <c r="NOJ4" s="28"/>
      <c r="NOK4" s="28"/>
      <c r="NOL4" s="28"/>
      <c r="NOM4" s="28"/>
      <c r="NON4" s="28"/>
      <c r="NOO4" s="28"/>
      <c r="NOP4" s="28"/>
      <c r="NOQ4" s="28"/>
      <c r="NOR4" s="28"/>
      <c r="NOS4" s="28"/>
      <c r="NOT4" s="28"/>
      <c r="NOU4" s="28"/>
      <c r="NOV4" s="28"/>
      <c r="NOW4" s="28"/>
      <c r="NOX4" s="28"/>
      <c r="NOY4" s="28"/>
      <c r="NOZ4" s="28"/>
      <c r="NPA4" s="28"/>
      <c r="NPB4" s="28"/>
      <c r="NPC4" s="28"/>
      <c r="NPD4" s="28"/>
      <c r="NPE4" s="28"/>
      <c r="NPF4" s="28"/>
      <c r="NPG4" s="28"/>
      <c r="NPH4" s="28"/>
      <c r="NPI4" s="28"/>
      <c r="NPJ4" s="28"/>
      <c r="NPK4" s="28"/>
      <c r="NPL4" s="28"/>
      <c r="NPM4" s="28"/>
      <c r="NPN4" s="28"/>
      <c r="NPO4" s="28"/>
      <c r="NPP4" s="28"/>
      <c r="NPQ4" s="28"/>
      <c r="NPR4" s="28"/>
      <c r="NPS4" s="28"/>
      <c r="NPT4" s="28"/>
      <c r="NPU4" s="28"/>
      <c r="NPV4" s="28"/>
      <c r="NPW4" s="28"/>
      <c r="NPX4" s="28"/>
      <c r="NPY4" s="28"/>
      <c r="NPZ4" s="28"/>
      <c r="NQA4" s="28"/>
      <c r="NQB4" s="28"/>
      <c r="NQC4" s="28"/>
      <c r="NQD4" s="28"/>
      <c r="NQE4" s="28"/>
      <c r="NQF4" s="28"/>
      <c r="NQG4" s="28"/>
      <c r="NQH4" s="28"/>
      <c r="NQI4" s="28"/>
      <c r="NQJ4" s="28"/>
      <c r="NQK4" s="28"/>
      <c r="NQL4" s="28"/>
      <c r="NQM4" s="28"/>
      <c r="NQN4" s="28"/>
      <c r="NQO4" s="28"/>
      <c r="NQP4" s="28"/>
      <c r="NQQ4" s="28"/>
      <c r="NQR4" s="28"/>
      <c r="NQS4" s="28"/>
      <c r="NQT4" s="28"/>
      <c r="NQU4" s="28"/>
      <c r="NQV4" s="28"/>
      <c r="NQW4" s="28"/>
      <c r="NQX4" s="28"/>
      <c r="NQY4" s="28"/>
      <c r="NQZ4" s="28"/>
      <c r="NRA4" s="28"/>
      <c r="NRB4" s="28"/>
      <c r="NRC4" s="28"/>
      <c r="NRD4" s="28"/>
      <c r="NRE4" s="28"/>
      <c r="NRF4" s="28"/>
      <c r="NRG4" s="28"/>
      <c r="NRH4" s="28"/>
      <c r="NRI4" s="28"/>
      <c r="NRJ4" s="28"/>
      <c r="NRK4" s="28"/>
      <c r="NRL4" s="28"/>
      <c r="NRM4" s="28"/>
      <c r="NRN4" s="28"/>
      <c r="NRO4" s="28"/>
      <c r="NRP4" s="28"/>
      <c r="NRQ4" s="28"/>
      <c r="NRR4" s="28"/>
      <c r="NRS4" s="28"/>
      <c r="NRT4" s="28"/>
      <c r="NRU4" s="28"/>
      <c r="NRV4" s="28"/>
      <c r="NRW4" s="28"/>
      <c r="NRX4" s="28"/>
      <c r="NRY4" s="28"/>
      <c r="NRZ4" s="28"/>
      <c r="NSA4" s="28"/>
      <c r="NSB4" s="28"/>
      <c r="NSC4" s="28"/>
      <c r="NSD4" s="28"/>
      <c r="NSE4" s="28"/>
      <c r="NSF4" s="28"/>
      <c r="NSG4" s="28"/>
      <c r="NSH4" s="28"/>
      <c r="NSI4" s="28"/>
      <c r="NSJ4" s="28"/>
      <c r="NSK4" s="28"/>
      <c r="NSL4" s="28"/>
      <c r="NSM4" s="28"/>
      <c r="NSN4" s="28"/>
      <c r="NSO4" s="28"/>
      <c r="NSP4" s="28"/>
      <c r="NSQ4" s="28"/>
      <c r="NSR4" s="28"/>
      <c r="NSS4" s="28"/>
      <c r="NST4" s="28"/>
      <c r="NSU4" s="28"/>
      <c r="NSV4" s="28"/>
      <c r="NSW4" s="28"/>
      <c r="NSX4" s="28"/>
      <c r="NSY4" s="28"/>
      <c r="NSZ4" s="28"/>
      <c r="NTA4" s="28"/>
      <c r="NTB4" s="28"/>
      <c r="NTC4" s="28"/>
      <c r="NTD4" s="28"/>
      <c r="NTE4" s="28"/>
      <c r="NTF4" s="28"/>
      <c r="NTG4" s="28"/>
      <c r="NTH4" s="28"/>
      <c r="NTI4" s="28"/>
      <c r="NTJ4" s="28"/>
      <c r="NTK4" s="28"/>
      <c r="NTL4" s="28"/>
      <c r="NTM4" s="28"/>
      <c r="NTN4" s="28"/>
      <c r="NTO4" s="28"/>
      <c r="NTP4" s="28"/>
      <c r="NTQ4" s="28"/>
      <c r="NTR4" s="28"/>
      <c r="NTS4" s="28"/>
      <c r="NTT4" s="28"/>
      <c r="NTU4" s="28"/>
      <c r="NTV4" s="28"/>
      <c r="NTW4" s="28"/>
      <c r="NTX4" s="28"/>
      <c r="NTY4" s="28"/>
      <c r="NTZ4" s="28"/>
      <c r="NUA4" s="28"/>
      <c r="NUB4" s="28"/>
      <c r="NUC4" s="28"/>
      <c r="NUD4" s="28"/>
      <c r="NUE4" s="28"/>
      <c r="NUF4" s="28"/>
      <c r="NUG4" s="28"/>
      <c r="NUH4" s="28"/>
      <c r="NUI4" s="28"/>
      <c r="NUJ4" s="28"/>
      <c r="NUK4" s="28"/>
      <c r="NUL4" s="28"/>
      <c r="NUM4" s="28"/>
      <c r="NUN4" s="28"/>
      <c r="NUO4" s="28"/>
      <c r="NUP4" s="28"/>
      <c r="NUQ4" s="28"/>
      <c r="NUR4" s="28"/>
      <c r="NUS4" s="28"/>
      <c r="NUT4" s="28"/>
      <c r="NUU4" s="28"/>
      <c r="NUV4" s="28"/>
      <c r="NUW4" s="28"/>
      <c r="NUX4" s="28"/>
      <c r="NUY4" s="28"/>
      <c r="NUZ4" s="28"/>
      <c r="NVA4" s="28"/>
      <c r="NVB4" s="28"/>
      <c r="NVC4" s="28"/>
      <c r="NVD4" s="28"/>
      <c r="NVE4" s="28"/>
      <c r="NVF4" s="28"/>
      <c r="NVG4" s="28"/>
      <c r="NVH4" s="28"/>
      <c r="NVI4" s="28"/>
      <c r="NVJ4" s="28"/>
      <c r="NVK4" s="28"/>
      <c r="NVL4" s="28"/>
      <c r="NVM4" s="28"/>
      <c r="NVN4" s="28"/>
      <c r="NVO4" s="28"/>
      <c r="NVP4" s="28"/>
      <c r="NVQ4" s="28"/>
      <c r="NVR4" s="28"/>
      <c r="NVS4" s="28"/>
      <c r="NVT4" s="28"/>
      <c r="NVU4" s="28"/>
      <c r="NVV4" s="28"/>
      <c r="NVW4" s="28"/>
      <c r="NVX4" s="28"/>
      <c r="NVY4" s="28"/>
      <c r="NVZ4" s="28"/>
      <c r="NWA4" s="28"/>
      <c r="NWB4" s="28"/>
      <c r="NWC4" s="28"/>
      <c r="NWD4" s="28"/>
      <c r="NWE4" s="28"/>
      <c r="NWF4" s="28"/>
      <c r="NWG4" s="28"/>
      <c r="NWH4" s="28"/>
      <c r="NWI4" s="28"/>
      <c r="NWJ4" s="28"/>
      <c r="NWK4" s="28"/>
      <c r="NWL4" s="28"/>
      <c r="NWM4" s="28"/>
      <c r="NWN4" s="28"/>
      <c r="NWO4" s="28"/>
      <c r="NWP4" s="28"/>
      <c r="NWQ4" s="28"/>
      <c r="NWR4" s="28"/>
      <c r="NWS4" s="28"/>
      <c r="NWT4" s="28"/>
      <c r="NWU4" s="28"/>
      <c r="NWV4" s="28"/>
      <c r="NWW4" s="28"/>
      <c r="NWX4" s="28"/>
      <c r="NWY4" s="28"/>
      <c r="NWZ4" s="28"/>
      <c r="NXA4" s="28"/>
      <c r="NXB4" s="28"/>
      <c r="NXC4" s="28"/>
      <c r="NXD4" s="28"/>
      <c r="NXE4" s="28"/>
      <c r="NXF4" s="28"/>
      <c r="NXG4" s="28"/>
      <c r="NXH4" s="28"/>
      <c r="NXI4" s="28"/>
      <c r="NXJ4" s="28"/>
      <c r="NXK4" s="28"/>
      <c r="NXL4" s="28"/>
      <c r="NXM4" s="28"/>
      <c r="NXN4" s="28"/>
      <c r="NXO4" s="28"/>
      <c r="NXP4" s="28"/>
      <c r="NXQ4" s="28"/>
      <c r="NXR4" s="28"/>
      <c r="NXS4" s="28"/>
      <c r="NXT4" s="28"/>
      <c r="NXU4" s="28"/>
      <c r="NXV4" s="28"/>
      <c r="NXW4" s="28"/>
      <c r="NXX4" s="28"/>
      <c r="NXY4" s="28"/>
      <c r="NXZ4" s="28"/>
      <c r="NYA4" s="28"/>
      <c r="NYB4" s="28"/>
      <c r="NYC4" s="28"/>
      <c r="NYD4" s="28"/>
      <c r="NYE4" s="28"/>
      <c r="NYF4" s="28"/>
      <c r="NYG4" s="28"/>
      <c r="NYH4" s="28"/>
      <c r="NYI4" s="28"/>
      <c r="NYJ4" s="28"/>
      <c r="NYK4" s="28"/>
      <c r="NYL4" s="28"/>
      <c r="NYM4" s="28"/>
      <c r="NYN4" s="28"/>
      <c r="NYO4" s="28"/>
      <c r="NYP4" s="28"/>
      <c r="NYQ4" s="28"/>
      <c r="NYR4" s="28"/>
      <c r="NYS4" s="28"/>
      <c r="NYT4" s="28"/>
      <c r="NYU4" s="28"/>
      <c r="NYV4" s="28"/>
      <c r="NYW4" s="28"/>
      <c r="NYX4" s="28"/>
      <c r="NYY4" s="28"/>
      <c r="NYZ4" s="28"/>
      <c r="NZA4" s="28"/>
      <c r="NZB4" s="28"/>
      <c r="NZC4" s="28"/>
      <c r="NZD4" s="28"/>
      <c r="NZE4" s="28"/>
      <c r="NZF4" s="28"/>
      <c r="NZG4" s="28"/>
      <c r="NZH4" s="28"/>
      <c r="NZI4" s="28"/>
      <c r="NZJ4" s="28"/>
      <c r="NZK4" s="28"/>
      <c r="NZL4" s="28"/>
      <c r="NZM4" s="28"/>
      <c r="NZN4" s="28"/>
      <c r="NZO4" s="28"/>
      <c r="NZP4" s="28"/>
      <c r="NZQ4" s="28"/>
      <c r="NZR4" s="28"/>
      <c r="NZS4" s="28"/>
      <c r="NZT4" s="28"/>
      <c r="NZU4" s="28"/>
      <c r="NZV4" s="28"/>
      <c r="NZW4" s="28"/>
      <c r="NZX4" s="28"/>
      <c r="NZY4" s="28"/>
      <c r="NZZ4" s="28"/>
      <c r="OAA4" s="28"/>
      <c r="OAB4" s="28"/>
      <c r="OAC4" s="28"/>
      <c r="OAD4" s="28"/>
      <c r="OAE4" s="28"/>
      <c r="OAF4" s="28"/>
      <c r="OAG4" s="28"/>
      <c r="OAH4" s="28"/>
      <c r="OAI4" s="28"/>
      <c r="OAJ4" s="28"/>
      <c r="OAK4" s="28"/>
      <c r="OAL4" s="28"/>
      <c r="OAM4" s="28"/>
      <c r="OAN4" s="28"/>
      <c r="OAO4" s="28"/>
      <c r="OAP4" s="28"/>
      <c r="OAQ4" s="28"/>
      <c r="OAR4" s="28"/>
      <c r="OAS4" s="28"/>
      <c r="OAT4" s="28"/>
      <c r="OAU4" s="28"/>
      <c r="OAV4" s="28"/>
      <c r="OAW4" s="28"/>
      <c r="OAX4" s="28"/>
      <c r="OAY4" s="28"/>
      <c r="OAZ4" s="28"/>
      <c r="OBA4" s="28"/>
      <c r="OBB4" s="28"/>
      <c r="OBC4" s="28"/>
      <c r="OBD4" s="28"/>
      <c r="OBE4" s="28"/>
      <c r="OBF4" s="28"/>
      <c r="OBG4" s="28"/>
      <c r="OBH4" s="28"/>
      <c r="OBI4" s="28"/>
      <c r="OBJ4" s="28"/>
      <c r="OBK4" s="28"/>
      <c r="OBL4" s="28"/>
      <c r="OBM4" s="28"/>
      <c r="OBN4" s="28"/>
      <c r="OBO4" s="28"/>
      <c r="OBP4" s="28"/>
      <c r="OBQ4" s="28"/>
      <c r="OBR4" s="28"/>
      <c r="OBS4" s="28"/>
      <c r="OBT4" s="28"/>
      <c r="OBU4" s="28"/>
      <c r="OBV4" s="28"/>
      <c r="OBW4" s="28"/>
      <c r="OBX4" s="28"/>
      <c r="OBY4" s="28"/>
      <c r="OBZ4" s="28"/>
      <c r="OCA4" s="28"/>
      <c r="OCB4" s="28"/>
      <c r="OCC4" s="28"/>
      <c r="OCD4" s="28"/>
      <c r="OCE4" s="28"/>
      <c r="OCF4" s="28"/>
      <c r="OCG4" s="28"/>
      <c r="OCH4" s="28"/>
      <c r="OCI4" s="28"/>
      <c r="OCJ4" s="28"/>
      <c r="OCK4" s="28"/>
      <c r="OCL4" s="28"/>
      <c r="OCM4" s="28"/>
      <c r="OCN4" s="28"/>
      <c r="OCO4" s="28"/>
      <c r="OCP4" s="28"/>
      <c r="OCQ4" s="28"/>
      <c r="OCR4" s="28"/>
      <c r="OCS4" s="28"/>
      <c r="OCT4" s="28"/>
      <c r="OCU4" s="28"/>
      <c r="OCV4" s="28"/>
      <c r="OCW4" s="28"/>
      <c r="OCX4" s="28"/>
      <c r="OCY4" s="28"/>
      <c r="OCZ4" s="28"/>
      <c r="ODA4" s="28"/>
      <c r="ODB4" s="28"/>
      <c r="ODC4" s="28"/>
      <c r="ODD4" s="28"/>
      <c r="ODE4" s="28"/>
      <c r="ODF4" s="28"/>
      <c r="ODG4" s="28"/>
      <c r="ODH4" s="28"/>
      <c r="ODI4" s="28"/>
      <c r="ODJ4" s="28"/>
      <c r="ODK4" s="28"/>
      <c r="ODL4" s="28"/>
      <c r="ODM4" s="28"/>
      <c r="ODN4" s="28"/>
      <c r="ODO4" s="28"/>
      <c r="ODP4" s="28"/>
      <c r="ODQ4" s="28"/>
      <c r="ODR4" s="28"/>
      <c r="ODS4" s="28"/>
      <c r="ODT4" s="28"/>
      <c r="ODU4" s="28"/>
      <c r="ODV4" s="28"/>
      <c r="ODW4" s="28"/>
      <c r="ODX4" s="28"/>
      <c r="ODY4" s="28"/>
      <c r="ODZ4" s="28"/>
      <c r="OEA4" s="28"/>
      <c r="OEB4" s="28"/>
      <c r="OEC4" s="28"/>
      <c r="OED4" s="28"/>
      <c r="OEE4" s="28"/>
      <c r="OEF4" s="28"/>
      <c r="OEG4" s="28"/>
      <c r="OEH4" s="28"/>
      <c r="OEI4" s="28"/>
      <c r="OEJ4" s="28"/>
      <c r="OEK4" s="28"/>
      <c r="OEL4" s="28"/>
      <c r="OEM4" s="28"/>
      <c r="OEN4" s="28"/>
      <c r="OEO4" s="28"/>
      <c r="OEP4" s="28"/>
      <c r="OEQ4" s="28"/>
      <c r="OER4" s="28"/>
      <c r="OES4" s="28"/>
      <c r="OET4" s="28"/>
      <c r="OEU4" s="28"/>
      <c r="OEV4" s="28"/>
      <c r="OEW4" s="28"/>
      <c r="OEX4" s="28"/>
      <c r="OEY4" s="28"/>
      <c r="OEZ4" s="28"/>
      <c r="OFA4" s="28"/>
      <c r="OFB4" s="28"/>
      <c r="OFC4" s="28"/>
      <c r="OFD4" s="28"/>
      <c r="OFE4" s="28"/>
      <c r="OFF4" s="28"/>
      <c r="OFG4" s="28"/>
      <c r="OFH4" s="28"/>
      <c r="OFI4" s="28"/>
      <c r="OFJ4" s="28"/>
      <c r="OFK4" s="28"/>
      <c r="OFL4" s="28"/>
      <c r="OFM4" s="28"/>
      <c r="OFN4" s="28"/>
      <c r="OFO4" s="28"/>
      <c r="OFP4" s="28"/>
      <c r="OFQ4" s="28"/>
      <c r="OFR4" s="28"/>
      <c r="OFS4" s="28"/>
      <c r="OFT4" s="28"/>
      <c r="OFU4" s="28"/>
      <c r="OFV4" s="28"/>
      <c r="OFW4" s="28"/>
      <c r="OFX4" s="28"/>
      <c r="OFY4" s="28"/>
      <c r="OFZ4" s="28"/>
      <c r="OGA4" s="28"/>
      <c r="OGB4" s="28"/>
      <c r="OGC4" s="28"/>
      <c r="OGD4" s="28"/>
      <c r="OGE4" s="28"/>
      <c r="OGF4" s="28"/>
      <c r="OGG4" s="28"/>
      <c r="OGH4" s="28"/>
      <c r="OGI4" s="28"/>
      <c r="OGJ4" s="28"/>
      <c r="OGK4" s="28"/>
      <c r="OGL4" s="28"/>
      <c r="OGM4" s="28"/>
      <c r="OGN4" s="28"/>
      <c r="OGO4" s="28"/>
      <c r="OGP4" s="28"/>
      <c r="OGQ4" s="28"/>
      <c r="OGR4" s="28"/>
      <c r="OGS4" s="28"/>
      <c r="OGT4" s="28"/>
      <c r="OGU4" s="28"/>
      <c r="OGV4" s="28"/>
      <c r="OGW4" s="28"/>
      <c r="OGX4" s="28"/>
      <c r="OGY4" s="28"/>
      <c r="OGZ4" s="28"/>
      <c r="OHA4" s="28"/>
      <c r="OHB4" s="28"/>
      <c r="OHC4" s="28"/>
      <c r="OHD4" s="28"/>
      <c r="OHE4" s="28"/>
      <c r="OHF4" s="28"/>
      <c r="OHG4" s="28"/>
      <c r="OHH4" s="28"/>
      <c r="OHI4" s="28"/>
      <c r="OHJ4" s="28"/>
      <c r="OHK4" s="28"/>
      <c r="OHL4" s="28"/>
      <c r="OHM4" s="28"/>
      <c r="OHN4" s="28"/>
      <c r="OHO4" s="28"/>
      <c r="OHP4" s="28"/>
      <c r="OHQ4" s="28"/>
      <c r="OHR4" s="28"/>
      <c r="OHS4" s="28"/>
      <c r="OHT4" s="28"/>
      <c r="OHU4" s="28"/>
      <c r="OHV4" s="28"/>
      <c r="OHW4" s="28"/>
      <c r="OHX4" s="28"/>
      <c r="OHY4" s="28"/>
      <c r="OHZ4" s="28"/>
      <c r="OIA4" s="28"/>
      <c r="OIB4" s="28"/>
      <c r="OIC4" s="28"/>
      <c r="OID4" s="28"/>
      <c r="OIE4" s="28"/>
      <c r="OIF4" s="28"/>
      <c r="OIG4" s="28"/>
      <c r="OIH4" s="28"/>
      <c r="OII4" s="28"/>
      <c r="OIJ4" s="28"/>
      <c r="OIK4" s="28"/>
      <c r="OIL4" s="28"/>
      <c r="OIM4" s="28"/>
      <c r="OIN4" s="28"/>
      <c r="OIO4" s="28"/>
      <c r="OIP4" s="28"/>
      <c r="OIQ4" s="28"/>
      <c r="OIR4" s="28"/>
      <c r="OIS4" s="28"/>
      <c r="OIT4" s="28"/>
      <c r="OIU4" s="28"/>
      <c r="OIV4" s="28"/>
      <c r="OIW4" s="28"/>
      <c r="OIX4" s="28"/>
      <c r="OIY4" s="28"/>
      <c r="OIZ4" s="28"/>
      <c r="OJA4" s="28"/>
      <c r="OJB4" s="28"/>
      <c r="OJC4" s="28"/>
      <c r="OJD4" s="28"/>
      <c r="OJE4" s="28"/>
      <c r="OJF4" s="28"/>
      <c r="OJG4" s="28"/>
      <c r="OJH4" s="28"/>
      <c r="OJI4" s="28"/>
      <c r="OJJ4" s="28"/>
      <c r="OJK4" s="28"/>
      <c r="OJL4" s="28"/>
      <c r="OJM4" s="28"/>
      <c r="OJN4" s="28"/>
      <c r="OJO4" s="28"/>
      <c r="OJP4" s="28"/>
      <c r="OJQ4" s="28"/>
      <c r="OJR4" s="28"/>
      <c r="OJS4" s="28"/>
      <c r="OJT4" s="28"/>
      <c r="OJU4" s="28"/>
      <c r="OJV4" s="28"/>
      <c r="OJW4" s="28"/>
      <c r="OJX4" s="28"/>
      <c r="OJY4" s="28"/>
      <c r="OJZ4" s="28"/>
      <c r="OKA4" s="28"/>
      <c r="OKB4" s="28"/>
      <c r="OKC4" s="28"/>
      <c r="OKD4" s="28"/>
      <c r="OKE4" s="28"/>
      <c r="OKF4" s="28"/>
      <c r="OKG4" s="28"/>
      <c r="OKH4" s="28"/>
      <c r="OKI4" s="28"/>
      <c r="OKJ4" s="28"/>
      <c r="OKK4" s="28"/>
      <c r="OKL4" s="28"/>
      <c r="OKM4" s="28"/>
      <c r="OKN4" s="28"/>
      <c r="OKO4" s="28"/>
      <c r="OKP4" s="28"/>
      <c r="OKQ4" s="28"/>
      <c r="OKR4" s="28"/>
      <c r="OKS4" s="28"/>
      <c r="OKT4" s="28"/>
      <c r="OKU4" s="28"/>
      <c r="OKV4" s="28"/>
      <c r="OKW4" s="28"/>
      <c r="OKX4" s="28"/>
      <c r="OKY4" s="28"/>
      <c r="OKZ4" s="28"/>
      <c r="OLA4" s="28"/>
      <c r="OLB4" s="28"/>
      <c r="OLC4" s="28"/>
      <c r="OLD4" s="28"/>
      <c r="OLE4" s="28"/>
      <c r="OLF4" s="28"/>
      <c r="OLG4" s="28"/>
      <c r="OLH4" s="28"/>
      <c r="OLI4" s="28"/>
      <c r="OLJ4" s="28"/>
      <c r="OLK4" s="28"/>
      <c r="OLL4" s="28"/>
      <c r="OLM4" s="28"/>
      <c r="OLN4" s="28"/>
      <c r="OLO4" s="28"/>
      <c r="OLP4" s="28"/>
      <c r="OLQ4" s="28"/>
      <c r="OLR4" s="28"/>
      <c r="OLS4" s="28"/>
      <c r="OLT4" s="28"/>
      <c r="OLU4" s="28"/>
      <c r="OLV4" s="28"/>
      <c r="OLW4" s="28"/>
      <c r="OLX4" s="28"/>
      <c r="OLY4" s="28"/>
      <c r="OLZ4" s="28"/>
      <c r="OMA4" s="28"/>
      <c r="OMB4" s="28"/>
      <c r="OMC4" s="28"/>
      <c r="OMD4" s="28"/>
      <c r="OME4" s="28"/>
      <c r="OMF4" s="28"/>
      <c r="OMG4" s="28"/>
      <c r="OMH4" s="28"/>
      <c r="OMI4" s="28"/>
      <c r="OMJ4" s="28"/>
      <c r="OMK4" s="28"/>
      <c r="OML4" s="28"/>
      <c r="OMM4" s="28"/>
      <c r="OMN4" s="28"/>
      <c r="OMO4" s="28"/>
      <c r="OMP4" s="28"/>
      <c r="OMQ4" s="28"/>
      <c r="OMR4" s="28"/>
      <c r="OMS4" s="28"/>
      <c r="OMT4" s="28"/>
      <c r="OMU4" s="28"/>
      <c r="OMV4" s="28"/>
      <c r="OMW4" s="28"/>
      <c r="OMX4" s="28"/>
      <c r="OMY4" s="28"/>
      <c r="OMZ4" s="28"/>
      <c r="ONA4" s="28"/>
      <c r="ONB4" s="28"/>
      <c r="ONC4" s="28"/>
      <c r="OND4" s="28"/>
      <c r="ONE4" s="28"/>
      <c r="ONF4" s="28"/>
      <c r="ONG4" s="28"/>
      <c r="ONH4" s="28"/>
      <c r="ONI4" s="28"/>
      <c r="ONJ4" s="28"/>
      <c r="ONK4" s="28"/>
      <c r="ONL4" s="28"/>
      <c r="ONM4" s="28"/>
      <c r="ONN4" s="28"/>
      <c r="ONO4" s="28"/>
      <c r="ONP4" s="28"/>
      <c r="ONQ4" s="28"/>
      <c r="ONR4" s="28"/>
      <c r="ONS4" s="28"/>
      <c r="ONT4" s="28"/>
      <c r="ONU4" s="28"/>
      <c r="ONV4" s="28"/>
      <c r="ONW4" s="28"/>
      <c r="ONX4" s="28"/>
      <c r="ONY4" s="28"/>
      <c r="ONZ4" s="28"/>
      <c r="OOA4" s="28"/>
      <c r="OOB4" s="28"/>
      <c r="OOC4" s="28"/>
      <c r="OOD4" s="28"/>
      <c r="OOE4" s="28"/>
      <c r="OOF4" s="28"/>
      <c r="OOG4" s="28"/>
      <c r="OOH4" s="28"/>
      <c r="OOI4" s="28"/>
      <c r="OOJ4" s="28"/>
      <c r="OOK4" s="28"/>
      <c r="OOL4" s="28"/>
      <c r="OOM4" s="28"/>
      <c r="OON4" s="28"/>
      <c r="OOO4" s="28"/>
      <c r="OOP4" s="28"/>
      <c r="OOQ4" s="28"/>
      <c r="OOR4" s="28"/>
      <c r="OOS4" s="28"/>
      <c r="OOT4" s="28"/>
      <c r="OOU4" s="28"/>
      <c r="OOV4" s="28"/>
      <c r="OOW4" s="28"/>
      <c r="OOX4" s="28"/>
      <c r="OOY4" s="28"/>
      <c r="OOZ4" s="28"/>
      <c r="OPA4" s="28"/>
      <c r="OPB4" s="28"/>
      <c r="OPC4" s="28"/>
      <c r="OPD4" s="28"/>
      <c r="OPE4" s="28"/>
      <c r="OPF4" s="28"/>
      <c r="OPG4" s="28"/>
      <c r="OPH4" s="28"/>
      <c r="OPI4" s="28"/>
      <c r="OPJ4" s="28"/>
      <c r="OPK4" s="28"/>
      <c r="OPL4" s="28"/>
      <c r="OPM4" s="28"/>
      <c r="OPN4" s="28"/>
      <c r="OPO4" s="28"/>
      <c r="OPP4" s="28"/>
      <c r="OPQ4" s="28"/>
      <c r="OPR4" s="28"/>
      <c r="OPS4" s="28"/>
      <c r="OPT4" s="28"/>
      <c r="OPU4" s="28"/>
      <c r="OPV4" s="28"/>
      <c r="OPW4" s="28"/>
      <c r="OPX4" s="28"/>
      <c r="OPY4" s="28"/>
      <c r="OPZ4" s="28"/>
      <c r="OQA4" s="28"/>
      <c r="OQB4" s="28"/>
      <c r="OQC4" s="28"/>
      <c r="OQD4" s="28"/>
      <c r="OQE4" s="28"/>
      <c r="OQF4" s="28"/>
      <c r="OQG4" s="28"/>
      <c r="OQH4" s="28"/>
      <c r="OQI4" s="28"/>
      <c r="OQJ4" s="28"/>
      <c r="OQK4" s="28"/>
      <c r="OQL4" s="28"/>
      <c r="OQM4" s="28"/>
      <c r="OQN4" s="28"/>
      <c r="OQO4" s="28"/>
      <c r="OQP4" s="28"/>
      <c r="OQQ4" s="28"/>
      <c r="OQR4" s="28"/>
      <c r="OQS4" s="28"/>
      <c r="OQT4" s="28"/>
      <c r="OQU4" s="28"/>
      <c r="OQV4" s="28"/>
      <c r="OQW4" s="28"/>
      <c r="OQX4" s="28"/>
      <c r="OQY4" s="28"/>
      <c r="OQZ4" s="28"/>
      <c r="ORA4" s="28"/>
      <c r="ORB4" s="28"/>
      <c r="ORC4" s="28"/>
      <c r="ORD4" s="28"/>
      <c r="ORE4" s="28"/>
      <c r="ORF4" s="28"/>
      <c r="ORG4" s="28"/>
      <c r="ORH4" s="28"/>
      <c r="ORI4" s="28"/>
      <c r="ORJ4" s="28"/>
      <c r="ORK4" s="28"/>
      <c r="ORL4" s="28"/>
      <c r="ORM4" s="28"/>
      <c r="ORN4" s="28"/>
      <c r="ORO4" s="28"/>
      <c r="ORP4" s="28"/>
      <c r="ORQ4" s="28"/>
      <c r="ORR4" s="28"/>
      <c r="ORS4" s="28"/>
      <c r="ORT4" s="28"/>
      <c r="ORU4" s="28"/>
      <c r="ORV4" s="28"/>
      <c r="ORW4" s="28"/>
      <c r="ORX4" s="28"/>
      <c r="ORY4" s="28"/>
      <c r="ORZ4" s="28"/>
      <c r="OSA4" s="28"/>
      <c r="OSB4" s="28"/>
      <c r="OSC4" s="28"/>
      <c r="OSD4" s="28"/>
      <c r="OSE4" s="28"/>
      <c r="OSF4" s="28"/>
      <c r="OSG4" s="28"/>
      <c r="OSH4" s="28"/>
      <c r="OSI4" s="28"/>
      <c r="OSJ4" s="28"/>
      <c r="OSK4" s="28"/>
      <c r="OSL4" s="28"/>
      <c r="OSM4" s="28"/>
      <c r="OSN4" s="28"/>
      <c r="OSO4" s="28"/>
      <c r="OSP4" s="28"/>
      <c r="OSQ4" s="28"/>
      <c r="OSR4" s="28"/>
      <c r="OSS4" s="28"/>
      <c r="OST4" s="28"/>
      <c r="OSU4" s="28"/>
      <c r="OSV4" s="28"/>
      <c r="OSW4" s="28"/>
      <c r="OSX4" s="28"/>
      <c r="OSY4" s="28"/>
      <c r="OSZ4" s="28"/>
      <c r="OTA4" s="28"/>
      <c r="OTB4" s="28"/>
      <c r="OTC4" s="28"/>
      <c r="OTD4" s="28"/>
      <c r="OTE4" s="28"/>
      <c r="OTF4" s="28"/>
      <c r="OTG4" s="28"/>
      <c r="OTH4" s="28"/>
      <c r="OTI4" s="28"/>
      <c r="OTJ4" s="28"/>
      <c r="OTK4" s="28"/>
      <c r="OTL4" s="28"/>
      <c r="OTM4" s="28"/>
      <c r="OTN4" s="28"/>
      <c r="OTO4" s="28"/>
      <c r="OTP4" s="28"/>
      <c r="OTQ4" s="28"/>
      <c r="OTR4" s="28"/>
      <c r="OTS4" s="28"/>
      <c r="OTT4" s="28"/>
      <c r="OTU4" s="28"/>
      <c r="OTV4" s="28"/>
      <c r="OTW4" s="28"/>
      <c r="OTX4" s="28"/>
      <c r="OTY4" s="28"/>
      <c r="OTZ4" s="28"/>
      <c r="OUA4" s="28"/>
      <c r="OUB4" s="28"/>
      <c r="OUC4" s="28"/>
      <c r="OUD4" s="28"/>
      <c r="OUE4" s="28"/>
      <c r="OUF4" s="28"/>
      <c r="OUG4" s="28"/>
      <c r="OUH4" s="28"/>
      <c r="OUI4" s="28"/>
      <c r="OUJ4" s="28"/>
      <c r="OUK4" s="28"/>
      <c r="OUL4" s="28"/>
      <c r="OUM4" s="28"/>
      <c r="OUN4" s="28"/>
      <c r="OUO4" s="28"/>
      <c r="OUP4" s="28"/>
      <c r="OUQ4" s="28"/>
      <c r="OUR4" s="28"/>
      <c r="OUS4" s="28"/>
      <c r="OUT4" s="28"/>
      <c r="OUU4" s="28"/>
      <c r="OUV4" s="28"/>
      <c r="OUW4" s="28"/>
      <c r="OUX4" s="28"/>
      <c r="OUY4" s="28"/>
      <c r="OUZ4" s="28"/>
      <c r="OVA4" s="28"/>
      <c r="OVB4" s="28"/>
      <c r="OVC4" s="28"/>
      <c r="OVD4" s="28"/>
      <c r="OVE4" s="28"/>
      <c r="OVF4" s="28"/>
      <c r="OVG4" s="28"/>
      <c r="OVH4" s="28"/>
      <c r="OVI4" s="28"/>
      <c r="OVJ4" s="28"/>
      <c r="OVK4" s="28"/>
      <c r="OVL4" s="28"/>
      <c r="OVM4" s="28"/>
      <c r="OVN4" s="28"/>
      <c r="OVO4" s="28"/>
      <c r="OVP4" s="28"/>
      <c r="OVQ4" s="28"/>
      <c r="OVR4" s="28"/>
      <c r="OVS4" s="28"/>
      <c r="OVT4" s="28"/>
      <c r="OVU4" s="28"/>
      <c r="OVV4" s="28"/>
      <c r="OVW4" s="28"/>
      <c r="OVX4" s="28"/>
      <c r="OVY4" s="28"/>
      <c r="OVZ4" s="28"/>
      <c r="OWA4" s="28"/>
      <c r="OWB4" s="28"/>
      <c r="OWC4" s="28"/>
      <c r="OWD4" s="28"/>
      <c r="OWE4" s="28"/>
      <c r="OWF4" s="28"/>
      <c r="OWG4" s="28"/>
      <c r="OWH4" s="28"/>
      <c r="OWI4" s="28"/>
      <c r="OWJ4" s="28"/>
      <c r="OWK4" s="28"/>
      <c r="OWL4" s="28"/>
      <c r="OWM4" s="28"/>
      <c r="OWN4" s="28"/>
      <c r="OWO4" s="28"/>
      <c r="OWP4" s="28"/>
      <c r="OWQ4" s="28"/>
      <c r="OWR4" s="28"/>
      <c r="OWS4" s="28"/>
      <c r="OWT4" s="28"/>
      <c r="OWU4" s="28"/>
      <c r="OWV4" s="28"/>
      <c r="OWW4" s="28"/>
      <c r="OWX4" s="28"/>
      <c r="OWY4" s="28"/>
      <c r="OWZ4" s="28"/>
      <c r="OXA4" s="28"/>
      <c r="OXB4" s="28"/>
      <c r="OXC4" s="28"/>
      <c r="OXD4" s="28"/>
      <c r="OXE4" s="28"/>
      <c r="OXF4" s="28"/>
      <c r="OXG4" s="28"/>
      <c r="OXH4" s="28"/>
      <c r="OXI4" s="28"/>
      <c r="OXJ4" s="28"/>
      <c r="OXK4" s="28"/>
      <c r="OXL4" s="28"/>
      <c r="OXM4" s="28"/>
      <c r="OXN4" s="28"/>
      <c r="OXO4" s="28"/>
      <c r="OXP4" s="28"/>
      <c r="OXQ4" s="28"/>
      <c r="OXR4" s="28"/>
      <c r="OXS4" s="28"/>
      <c r="OXT4" s="28"/>
      <c r="OXU4" s="28"/>
      <c r="OXV4" s="28"/>
      <c r="OXW4" s="28"/>
      <c r="OXX4" s="28"/>
      <c r="OXY4" s="28"/>
      <c r="OXZ4" s="28"/>
      <c r="OYA4" s="28"/>
      <c r="OYB4" s="28"/>
      <c r="OYC4" s="28"/>
      <c r="OYD4" s="28"/>
      <c r="OYE4" s="28"/>
      <c r="OYF4" s="28"/>
      <c r="OYG4" s="28"/>
      <c r="OYH4" s="28"/>
      <c r="OYI4" s="28"/>
      <c r="OYJ4" s="28"/>
      <c r="OYK4" s="28"/>
      <c r="OYL4" s="28"/>
      <c r="OYM4" s="28"/>
      <c r="OYN4" s="28"/>
      <c r="OYO4" s="28"/>
      <c r="OYP4" s="28"/>
      <c r="OYQ4" s="28"/>
      <c r="OYR4" s="28"/>
      <c r="OYS4" s="28"/>
      <c r="OYT4" s="28"/>
      <c r="OYU4" s="28"/>
      <c r="OYV4" s="28"/>
      <c r="OYW4" s="28"/>
      <c r="OYX4" s="28"/>
      <c r="OYY4" s="28"/>
      <c r="OYZ4" s="28"/>
      <c r="OZA4" s="28"/>
      <c r="OZB4" s="28"/>
      <c r="OZC4" s="28"/>
      <c r="OZD4" s="28"/>
      <c r="OZE4" s="28"/>
      <c r="OZF4" s="28"/>
      <c r="OZG4" s="28"/>
      <c r="OZH4" s="28"/>
      <c r="OZI4" s="28"/>
      <c r="OZJ4" s="28"/>
      <c r="OZK4" s="28"/>
      <c r="OZL4" s="28"/>
      <c r="OZM4" s="28"/>
      <c r="OZN4" s="28"/>
      <c r="OZO4" s="28"/>
      <c r="OZP4" s="28"/>
      <c r="OZQ4" s="28"/>
      <c r="OZR4" s="28"/>
      <c r="OZS4" s="28"/>
      <c r="OZT4" s="28"/>
      <c r="OZU4" s="28"/>
      <c r="OZV4" s="28"/>
      <c r="OZW4" s="28"/>
      <c r="OZX4" s="28"/>
      <c r="OZY4" s="28"/>
      <c r="OZZ4" s="28"/>
      <c r="PAA4" s="28"/>
      <c r="PAB4" s="28"/>
      <c r="PAC4" s="28"/>
      <c r="PAD4" s="28"/>
      <c r="PAE4" s="28"/>
      <c r="PAF4" s="28"/>
      <c r="PAG4" s="28"/>
      <c r="PAH4" s="28"/>
      <c r="PAI4" s="28"/>
      <c r="PAJ4" s="28"/>
      <c r="PAK4" s="28"/>
      <c r="PAL4" s="28"/>
      <c r="PAM4" s="28"/>
      <c r="PAN4" s="28"/>
      <c r="PAO4" s="28"/>
      <c r="PAP4" s="28"/>
      <c r="PAQ4" s="28"/>
      <c r="PAR4" s="28"/>
      <c r="PAS4" s="28"/>
      <c r="PAT4" s="28"/>
      <c r="PAU4" s="28"/>
      <c r="PAV4" s="28"/>
      <c r="PAW4" s="28"/>
      <c r="PAX4" s="28"/>
      <c r="PAY4" s="28"/>
      <c r="PAZ4" s="28"/>
      <c r="PBA4" s="28"/>
      <c r="PBB4" s="28"/>
      <c r="PBC4" s="28"/>
      <c r="PBD4" s="28"/>
      <c r="PBE4" s="28"/>
      <c r="PBF4" s="28"/>
      <c r="PBG4" s="28"/>
      <c r="PBH4" s="28"/>
      <c r="PBI4" s="28"/>
      <c r="PBJ4" s="28"/>
      <c r="PBK4" s="28"/>
      <c r="PBL4" s="28"/>
      <c r="PBM4" s="28"/>
      <c r="PBN4" s="28"/>
      <c r="PBO4" s="28"/>
      <c r="PBP4" s="28"/>
      <c r="PBQ4" s="28"/>
      <c r="PBR4" s="28"/>
      <c r="PBS4" s="28"/>
      <c r="PBT4" s="28"/>
      <c r="PBU4" s="28"/>
      <c r="PBV4" s="28"/>
      <c r="PBW4" s="28"/>
      <c r="PBX4" s="28"/>
      <c r="PBY4" s="28"/>
      <c r="PBZ4" s="28"/>
      <c r="PCA4" s="28"/>
      <c r="PCB4" s="28"/>
      <c r="PCC4" s="28"/>
      <c r="PCD4" s="28"/>
      <c r="PCE4" s="28"/>
      <c r="PCF4" s="28"/>
      <c r="PCG4" s="28"/>
      <c r="PCH4" s="28"/>
      <c r="PCI4" s="28"/>
      <c r="PCJ4" s="28"/>
      <c r="PCK4" s="28"/>
      <c r="PCL4" s="28"/>
      <c r="PCM4" s="28"/>
      <c r="PCN4" s="28"/>
      <c r="PCO4" s="28"/>
      <c r="PCP4" s="28"/>
      <c r="PCQ4" s="28"/>
      <c r="PCR4" s="28"/>
      <c r="PCS4" s="28"/>
      <c r="PCT4" s="28"/>
      <c r="PCU4" s="28"/>
      <c r="PCV4" s="28"/>
      <c r="PCW4" s="28"/>
      <c r="PCX4" s="28"/>
      <c r="PCY4" s="28"/>
      <c r="PCZ4" s="28"/>
      <c r="PDA4" s="28"/>
      <c r="PDB4" s="28"/>
      <c r="PDC4" s="28"/>
      <c r="PDD4" s="28"/>
      <c r="PDE4" s="28"/>
      <c r="PDF4" s="28"/>
      <c r="PDG4" s="28"/>
      <c r="PDH4" s="28"/>
      <c r="PDI4" s="28"/>
      <c r="PDJ4" s="28"/>
      <c r="PDK4" s="28"/>
      <c r="PDL4" s="28"/>
      <c r="PDM4" s="28"/>
      <c r="PDN4" s="28"/>
      <c r="PDO4" s="28"/>
      <c r="PDP4" s="28"/>
      <c r="PDQ4" s="28"/>
      <c r="PDR4" s="28"/>
      <c r="PDS4" s="28"/>
      <c r="PDT4" s="28"/>
      <c r="PDU4" s="28"/>
      <c r="PDV4" s="28"/>
      <c r="PDW4" s="28"/>
      <c r="PDX4" s="28"/>
      <c r="PDY4" s="28"/>
      <c r="PDZ4" s="28"/>
      <c r="PEA4" s="28"/>
      <c r="PEB4" s="28"/>
      <c r="PEC4" s="28"/>
      <c r="PED4" s="28"/>
      <c r="PEE4" s="28"/>
      <c r="PEF4" s="28"/>
      <c r="PEG4" s="28"/>
      <c r="PEH4" s="28"/>
      <c r="PEI4" s="28"/>
      <c r="PEJ4" s="28"/>
      <c r="PEK4" s="28"/>
      <c r="PEL4" s="28"/>
      <c r="PEM4" s="28"/>
      <c r="PEN4" s="28"/>
      <c r="PEO4" s="28"/>
      <c r="PEP4" s="28"/>
      <c r="PEQ4" s="28"/>
      <c r="PER4" s="28"/>
      <c r="PES4" s="28"/>
      <c r="PET4" s="28"/>
      <c r="PEU4" s="28"/>
      <c r="PEV4" s="28"/>
      <c r="PEW4" s="28"/>
      <c r="PEX4" s="28"/>
      <c r="PEY4" s="28"/>
      <c r="PEZ4" s="28"/>
      <c r="PFA4" s="28"/>
      <c r="PFB4" s="28"/>
      <c r="PFC4" s="28"/>
      <c r="PFD4" s="28"/>
      <c r="PFE4" s="28"/>
      <c r="PFF4" s="28"/>
      <c r="PFG4" s="28"/>
      <c r="PFH4" s="28"/>
      <c r="PFI4" s="28"/>
      <c r="PFJ4" s="28"/>
      <c r="PFK4" s="28"/>
      <c r="PFL4" s="28"/>
      <c r="PFM4" s="28"/>
      <c r="PFN4" s="28"/>
      <c r="PFO4" s="28"/>
      <c r="PFP4" s="28"/>
      <c r="PFQ4" s="28"/>
      <c r="PFR4" s="28"/>
      <c r="PFS4" s="28"/>
      <c r="PFT4" s="28"/>
      <c r="PFU4" s="28"/>
      <c r="PFV4" s="28"/>
      <c r="PFW4" s="28"/>
      <c r="PFX4" s="28"/>
      <c r="PFY4" s="28"/>
      <c r="PFZ4" s="28"/>
      <c r="PGA4" s="28"/>
      <c r="PGB4" s="28"/>
      <c r="PGC4" s="28"/>
      <c r="PGD4" s="28"/>
      <c r="PGE4" s="28"/>
      <c r="PGF4" s="28"/>
      <c r="PGG4" s="28"/>
      <c r="PGH4" s="28"/>
      <c r="PGI4" s="28"/>
      <c r="PGJ4" s="28"/>
      <c r="PGK4" s="28"/>
      <c r="PGL4" s="28"/>
      <c r="PGM4" s="28"/>
      <c r="PGN4" s="28"/>
      <c r="PGO4" s="28"/>
      <c r="PGP4" s="28"/>
      <c r="PGQ4" s="28"/>
      <c r="PGR4" s="28"/>
      <c r="PGS4" s="28"/>
      <c r="PGT4" s="28"/>
      <c r="PGU4" s="28"/>
      <c r="PGV4" s="28"/>
      <c r="PGW4" s="28"/>
      <c r="PGX4" s="28"/>
      <c r="PGY4" s="28"/>
      <c r="PGZ4" s="28"/>
      <c r="PHA4" s="28"/>
      <c r="PHB4" s="28"/>
      <c r="PHC4" s="28"/>
      <c r="PHD4" s="28"/>
      <c r="PHE4" s="28"/>
      <c r="PHF4" s="28"/>
      <c r="PHG4" s="28"/>
      <c r="PHH4" s="28"/>
      <c r="PHI4" s="28"/>
      <c r="PHJ4" s="28"/>
      <c r="PHK4" s="28"/>
      <c r="PHL4" s="28"/>
      <c r="PHM4" s="28"/>
      <c r="PHN4" s="28"/>
      <c r="PHO4" s="28"/>
      <c r="PHP4" s="28"/>
      <c r="PHQ4" s="28"/>
      <c r="PHR4" s="28"/>
      <c r="PHS4" s="28"/>
      <c r="PHT4" s="28"/>
      <c r="PHU4" s="28"/>
      <c r="PHV4" s="28"/>
      <c r="PHW4" s="28"/>
      <c r="PHX4" s="28"/>
      <c r="PHY4" s="28"/>
      <c r="PHZ4" s="28"/>
      <c r="PIA4" s="28"/>
      <c r="PIB4" s="28"/>
      <c r="PIC4" s="28"/>
      <c r="PID4" s="28"/>
      <c r="PIE4" s="28"/>
      <c r="PIF4" s="28"/>
      <c r="PIG4" s="28"/>
      <c r="PIH4" s="28"/>
      <c r="PII4" s="28"/>
      <c r="PIJ4" s="28"/>
      <c r="PIK4" s="28"/>
      <c r="PIL4" s="28"/>
      <c r="PIM4" s="28"/>
      <c r="PIN4" s="28"/>
      <c r="PIO4" s="28"/>
      <c r="PIP4" s="28"/>
      <c r="PIQ4" s="28"/>
      <c r="PIR4" s="28"/>
      <c r="PIS4" s="28"/>
      <c r="PIT4" s="28"/>
      <c r="PIU4" s="28"/>
      <c r="PIV4" s="28"/>
      <c r="PIW4" s="28"/>
      <c r="PIX4" s="28"/>
      <c r="PIY4" s="28"/>
      <c r="PIZ4" s="28"/>
      <c r="PJA4" s="28"/>
      <c r="PJB4" s="28"/>
      <c r="PJC4" s="28"/>
      <c r="PJD4" s="28"/>
      <c r="PJE4" s="28"/>
      <c r="PJF4" s="28"/>
      <c r="PJG4" s="28"/>
      <c r="PJH4" s="28"/>
      <c r="PJI4" s="28"/>
      <c r="PJJ4" s="28"/>
      <c r="PJK4" s="28"/>
      <c r="PJL4" s="28"/>
      <c r="PJM4" s="28"/>
      <c r="PJN4" s="28"/>
      <c r="PJO4" s="28"/>
      <c r="PJP4" s="28"/>
      <c r="PJQ4" s="28"/>
      <c r="PJR4" s="28"/>
      <c r="PJS4" s="28"/>
      <c r="PJT4" s="28"/>
      <c r="PJU4" s="28"/>
      <c r="PJV4" s="28"/>
      <c r="PJW4" s="28"/>
      <c r="PJX4" s="28"/>
      <c r="PJY4" s="28"/>
      <c r="PJZ4" s="28"/>
      <c r="PKA4" s="28"/>
      <c r="PKB4" s="28"/>
      <c r="PKC4" s="28"/>
      <c r="PKD4" s="28"/>
      <c r="PKE4" s="28"/>
      <c r="PKF4" s="28"/>
      <c r="PKG4" s="28"/>
      <c r="PKH4" s="28"/>
      <c r="PKI4" s="28"/>
      <c r="PKJ4" s="28"/>
      <c r="PKK4" s="28"/>
      <c r="PKL4" s="28"/>
      <c r="PKM4" s="28"/>
      <c r="PKN4" s="28"/>
      <c r="PKO4" s="28"/>
      <c r="PKP4" s="28"/>
      <c r="PKQ4" s="28"/>
      <c r="PKR4" s="28"/>
      <c r="PKS4" s="28"/>
      <c r="PKT4" s="28"/>
      <c r="PKU4" s="28"/>
      <c r="PKV4" s="28"/>
      <c r="PKW4" s="28"/>
      <c r="PKX4" s="28"/>
      <c r="PKY4" s="28"/>
      <c r="PKZ4" s="28"/>
      <c r="PLA4" s="28"/>
      <c r="PLB4" s="28"/>
      <c r="PLC4" s="28"/>
      <c r="PLD4" s="28"/>
      <c r="PLE4" s="28"/>
      <c r="PLF4" s="28"/>
      <c r="PLG4" s="28"/>
      <c r="PLH4" s="28"/>
      <c r="PLI4" s="28"/>
      <c r="PLJ4" s="28"/>
      <c r="PLK4" s="28"/>
      <c r="PLL4" s="28"/>
      <c r="PLM4" s="28"/>
      <c r="PLN4" s="28"/>
      <c r="PLO4" s="28"/>
      <c r="PLP4" s="28"/>
      <c r="PLQ4" s="28"/>
      <c r="PLR4" s="28"/>
      <c r="PLS4" s="28"/>
      <c r="PLT4" s="28"/>
      <c r="PLU4" s="28"/>
      <c r="PLV4" s="28"/>
      <c r="PLW4" s="28"/>
      <c r="PLX4" s="28"/>
      <c r="PLY4" s="28"/>
      <c r="PLZ4" s="28"/>
      <c r="PMA4" s="28"/>
      <c r="PMB4" s="28"/>
      <c r="PMC4" s="28"/>
      <c r="PMD4" s="28"/>
      <c r="PME4" s="28"/>
      <c r="PMF4" s="28"/>
      <c r="PMG4" s="28"/>
      <c r="PMH4" s="28"/>
      <c r="PMI4" s="28"/>
      <c r="PMJ4" s="28"/>
      <c r="PMK4" s="28"/>
      <c r="PML4" s="28"/>
      <c r="PMM4" s="28"/>
      <c r="PMN4" s="28"/>
      <c r="PMO4" s="28"/>
      <c r="PMP4" s="28"/>
      <c r="PMQ4" s="28"/>
      <c r="PMR4" s="28"/>
      <c r="PMS4" s="28"/>
      <c r="PMT4" s="28"/>
      <c r="PMU4" s="28"/>
      <c r="PMV4" s="28"/>
      <c r="PMW4" s="28"/>
      <c r="PMX4" s="28"/>
      <c r="PMY4" s="28"/>
      <c r="PMZ4" s="28"/>
      <c r="PNA4" s="28"/>
      <c r="PNB4" s="28"/>
      <c r="PNC4" s="28"/>
      <c r="PND4" s="28"/>
      <c r="PNE4" s="28"/>
      <c r="PNF4" s="28"/>
      <c r="PNG4" s="28"/>
      <c r="PNH4" s="28"/>
      <c r="PNI4" s="28"/>
      <c r="PNJ4" s="28"/>
      <c r="PNK4" s="28"/>
      <c r="PNL4" s="28"/>
      <c r="PNM4" s="28"/>
      <c r="PNN4" s="28"/>
      <c r="PNO4" s="28"/>
      <c r="PNP4" s="28"/>
      <c r="PNQ4" s="28"/>
      <c r="PNR4" s="28"/>
      <c r="PNS4" s="28"/>
      <c r="PNT4" s="28"/>
      <c r="PNU4" s="28"/>
      <c r="PNV4" s="28"/>
      <c r="PNW4" s="28"/>
      <c r="PNX4" s="28"/>
      <c r="PNY4" s="28"/>
      <c r="PNZ4" s="28"/>
      <c r="POA4" s="28"/>
      <c r="POB4" s="28"/>
      <c r="POC4" s="28"/>
      <c r="POD4" s="28"/>
      <c r="POE4" s="28"/>
      <c r="POF4" s="28"/>
      <c r="POG4" s="28"/>
      <c r="POH4" s="28"/>
      <c r="POI4" s="28"/>
      <c r="POJ4" s="28"/>
      <c r="POK4" s="28"/>
      <c r="POL4" s="28"/>
      <c r="POM4" s="28"/>
      <c r="PON4" s="28"/>
      <c r="POO4" s="28"/>
      <c r="POP4" s="28"/>
      <c r="POQ4" s="28"/>
      <c r="POR4" s="28"/>
      <c r="POS4" s="28"/>
      <c r="POT4" s="28"/>
      <c r="POU4" s="28"/>
      <c r="POV4" s="28"/>
      <c r="POW4" s="28"/>
      <c r="POX4" s="28"/>
      <c r="POY4" s="28"/>
      <c r="POZ4" s="28"/>
      <c r="PPA4" s="28"/>
      <c r="PPB4" s="28"/>
      <c r="PPC4" s="28"/>
      <c r="PPD4" s="28"/>
      <c r="PPE4" s="28"/>
      <c r="PPF4" s="28"/>
      <c r="PPG4" s="28"/>
      <c r="PPH4" s="28"/>
      <c r="PPI4" s="28"/>
      <c r="PPJ4" s="28"/>
      <c r="PPK4" s="28"/>
      <c r="PPL4" s="28"/>
      <c r="PPM4" s="28"/>
      <c r="PPN4" s="28"/>
      <c r="PPO4" s="28"/>
      <c r="PPP4" s="28"/>
      <c r="PPQ4" s="28"/>
      <c r="PPR4" s="28"/>
      <c r="PPS4" s="28"/>
      <c r="PPT4" s="28"/>
      <c r="PPU4" s="28"/>
      <c r="PPV4" s="28"/>
      <c r="PPW4" s="28"/>
      <c r="PPX4" s="28"/>
      <c r="PPY4" s="28"/>
      <c r="PPZ4" s="28"/>
      <c r="PQA4" s="28"/>
      <c r="PQB4" s="28"/>
      <c r="PQC4" s="28"/>
      <c r="PQD4" s="28"/>
      <c r="PQE4" s="28"/>
      <c r="PQF4" s="28"/>
      <c r="PQG4" s="28"/>
      <c r="PQH4" s="28"/>
      <c r="PQI4" s="28"/>
      <c r="PQJ4" s="28"/>
      <c r="PQK4" s="28"/>
      <c r="PQL4" s="28"/>
      <c r="PQM4" s="28"/>
      <c r="PQN4" s="28"/>
      <c r="PQO4" s="28"/>
      <c r="PQP4" s="28"/>
      <c r="PQQ4" s="28"/>
      <c r="PQR4" s="28"/>
      <c r="PQS4" s="28"/>
      <c r="PQT4" s="28"/>
      <c r="PQU4" s="28"/>
      <c r="PQV4" s="28"/>
      <c r="PQW4" s="28"/>
      <c r="PQX4" s="28"/>
      <c r="PQY4" s="28"/>
      <c r="PQZ4" s="28"/>
      <c r="PRA4" s="28"/>
      <c r="PRB4" s="28"/>
      <c r="PRC4" s="28"/>
      <c r="PRD4" s="28"/>
      <c r="PRE4" s="28"/>
      <c r="PRF4" s="28"/>
      <c r="PRG4" s="28"/>
      <c r="PRH4" s="28"/>
      <c r="PRI4" s="28"/>
      <c r="PRJ4" s="28"/>
      <c r="PRK4" s="28"/>
      <c r="PRL4" s="28"/>
      <c r="PRM4" s="28"/>
      <c r="PRN4" s="28"/>
      <c r="PRO4" s="28"/>
      <c r="PRP4" s="28"/>
      <c r="PRQ4" s="28"/>
      <c r="PRR4" s="28"/>
      <c r="PRS4" s="28"/>
      <c r="PRT4" s="28"/>
      <c r="PRU4" s="28"/>
      <c r="PRV4" s="28"/>
      <c r="PRW4" s="28"/>
      <c r="PRX4" s="28"/>
      <c r="PRY4" s="28"/>
      <c r="PRZ4" s="28"/>
      <c r="PSA4" s="28"/>
      <c r="PSB4" s="28"/>
      <c r="PSC4" s="28"/>
      <c r="PSD4" s="28"/>
      <c r="PSE4" s="28"/>
      <c r="PSF4" s="28"/>
      <c r="PSG4" s="28"/>
      <c r="PSH4" s="28"/>
      <c r="PSI4" s="28"/>
      <c r="PSJ4" s="28"/>
      <c r="PSK4" s="28"/>
      <c r="PSL4" s="28"/>
      <c r="PSM4" s="28"/>
      <c r="PSN4" s="28"/>
      <c r="PSO4" s="28"/>
      <c r="PSP4" s="28"/>
      <c r="PSQ4" s="28"/>
      <c r="PSR4" s="28"/>
      <c r="PSS4" s="28"/>
      <c r="PST4" s="28"/>
      <c r="PSU4" s="28"/>
      <c r="PSV4" s="28"/>
      <c r="PSW4" s="28"/>
      <c r="PSX4" s="28"/>
      <c r="PSY4" s="28"/>
      <c r="PSZ4" s="28"/>
      <c r="PTA4" s="28"/>
      <c r="PTB4" s="28"/>
      <c r="PTC4" s="28"/>
      <c r="PTD4" s="28"/>
      <c r="PTE4" s="28"/>
      <c r="PTF4" s="28"/>
      <c r="PTG4" s="28"/>
      <c r="PTH4" s="28"/>
      <c r="PTI4" s="28"/>
      <c r="PTJ4" s="28"/>
      <c r="PTK4" s="28"/>
      <c r="PTL4" s="28"/>
      <c r="PTM4" s="28"/>
      <c r="PTN4" s="28"/>
      <c r="PTO4" s="28"/>
      <c r="PTP4" s="28"/>
      <c r="PTQ4" s="28"/>
      <c r="PTR4" s="28"/>
      <c r="PTS4" s="28"/>
      <c r="PTT4" s="28"/>
      <c r="PTU4" s="28"/>
      <c r="PTV4" s="28"/>
      <c r="PTW4" s="28"/>
      <c r="PTX4" s="28"/>
      <c r="PTY4" s="28"/>
      <c r="PTZ4" s="28"/>
      <c r="PUA4" s="28"/>
      <c r="PUB4" s="28"/>
      <c r="PUC4" s="28"/>
      <c r="PUD4" s="28"/>
      <c r="PUE4" s="28"/>
      <c r="PUF4" s="28"/>
      <c r="PUG4" s="28"/>
      <c r="PUH4" s="28"/>
      <c r="PUI4" s="28"/>
      <c r="PUJ4" s="28"/>
      <c r="PUK4" s="28"/>
      <c r="PUL4" s="28"/>
      <c r="PUM4" s="28"/>
      <c r="PUN4" s="28"/>
      <c r="PUO4" s="28"/>
      <c r="PUP4" s="28"/>
      <c r="PUQ4" s="28"/>
      <c r="PUR4" s="28"/>
      <c r="PUS4" s="28"/>
      <c r="PUT4" s="28"/>
      <c r="PUU4" s="28"/>
      <c r="PUV4" s="28"/>
      <c r="PUW4" s="28"/>
      <c r="PUX4" s="28"/>
      <c r="PUY4" s="28"/>
      <c r="PUZ4" s="28"/>
      <c r="PVA4" s="28"/>
      <c r="PVB4" s="28"/>
      <c r="PVC4" s="28"/>
      <c r="PVD4" s="28"/>
      <c r="PVE4" s="28"/>
      <c r="PVF4" s="28"/>
      <c r="PVG4" s="28"/>
      <c r="PVH4" s="28"/>
      <c r="PVI4" s="28"/>
      <c r="PVJ4" s="28"/>
      <c r="PVK4" s="28"/>
      <c r="PVL4" s="28"/>
      <c r="PVM4" s="28"/>
      <c r="PVN4" s="28"/>
      <c r="PVO4" s="28"/>
      <c r="PVP4" s="28"/>
      <c r="PVQ4" s="28"/>
      <c r="PVR4" s="28"/>
      <c r="PVS4" s="28"/>
      <c r="PVT4" s="28"/>
      <c r="PVU4" s="28"/>
      <c r="PVV4" s="28"/>
      <c r="PVW4" s="28"/>
      <c r="PVX4" s="28"/>
      <c r="PVY4" s="28"/>
      <c r="PVZ4" s="28"/>
      <c r="PWA4" s="28"/>
      <c r="PWB4" s="28"/>
      <c r="PWC4" s="28"/>
      <c r="PWD4" s="28"/>
      <c r="PWE4" s="28"/>
      <c r="PWF4" s="28"/>
      <c r="PWG4" s="28"/>
      <c r="PWH4" s="28"/>
      <c r="PWI4" s="28"/>
      <c r="PWJ4" s="28"/>
      <c r="PWK4" s="28"/>
      <c r="PWL4" s="28"/>
      <c r="PWM4" s="28"/>
      <c r="PWN4" s="28"/>
      <c r="PWO4" s="28"/>
      <c r="PWP4" s="28"/>
      <c r="PWQ4" s="28"/>
      <c r="PWR4" s="28"/>
      <c r="PWS4" s="28"/>
      <c r="PWT4" s="28"/>
      <c r="PWU4" s="28"/>
      <c r="PWV4" s="28"/>
      <c r="PWW4" s="28"/>
      <c r="PWX4" s="28"/>
      <c r="PWY4" s="28"/>
      <c r="PWZ4" s="28"/>
      <c r="PXA4" s="28"/>
      <c r="PXB4" s="28"/>
      <c r="PXC4" s="28"/>
      <c r="PXD4" s="28"/>
      <c r="PXE4" s="28"/>
      <c r="PXF4" s="28"/>
      <c r="PXG4" s="28"/>
      <c r="PXH4" s="28"/>
      <c r="PXI4" s="28"/>
      <c r="PXJ4" s="28"/>
      <c r="PXK4" s="28"/>
      <c r="PXL4" s="28"/>
      <c r="PXM4" s="28"/>
      <c r="PXN4" s="28"/>
      <c r="PXO4" s="28"/>
      <c r="PXP4" s="28"/>
      <c r="PXQ4" s="28"/>
      <c r="PXR4" s="28"/>
      <c r="PXS4" s="28"/>
      <c r="PXT4" s="28"/>
      <c r="PXU4" s="28"/>
      <c r="PXV4" s="28"/>
      <c r="PXW4" s="28"/>
      <c r="PXX4" s="28"/>
      <c r="PXY4" s="28"/>
      <c r="PXZ4" s="28"/>
      <c r="PYA4" s="28"/>
      <c r="PYB4" s="28"/>
      <c r="PYC4" s="28"/>
      <c r="PYD4" s="28"/>
      <c r="PYE4" s="28"/>
      <c r="PYF4" s="28"/>
      <c r="PYG4" s="28"/>
      <c r="PYH4" s="28"/>
      <c r="PYI4" s="28"/>
      <c r="PYJ4" s="28"/>
      <c r="PYK4" s="28"/>
      <c r="PYL4" s="28"/>
      <c r="PYM4" s="28"/>
      <c r="PYN4" s="28"/>
      <c r="PYO4" s="28"/>
      <c r="PYP4" s="28"/>
      <c r="PYQ4" s="28"/>
      <c r="PYR4" s="28"/>
      <c r="PYS4" s="28"/>
      <c r="PYT4" s="28"/>
      <c r="PYU4" s="28"/>
      <c r="PYV4" s="28"/>
      <c r="PYW4" s="28"/>
      <c r="PYX4" s="28"/>
      <c r="PYY4" s="28"/>
      <c r="PYZ4" s="28"/>
      <c r="PZA4" s="28"/>
      <c r="PZB4" s="28"/>
      <c r="PZC4" s="28"/>
      <c r="PZD4" s="28"/>
      <c r="PZE4" s="28"/>
      <c r="PZF4" s="28"/>
      <c r="PZG4" s="28"/>
      <c r="PZH4" s="28"/>
      <c r="PZI4" s="28"/>
      <c r="PZJ4" s="28"/>
      <c r="PZK4" s="28"/>
      <c r="PZL4" s="28"/>
      <c r="PZM4" s="28"/>
      <c r="PZN4" s="28"/>
      <c r="PZO4" s="28"/>
      <c r="PZP4" s="28"/>
      <c r="PZQ4" s="28"/>
      <c r="PZR4" s="28"/>
      <c r="PZS4" s="28"/>
      <c r="PZT4" s="28"/>
      <c r="PZU4" s="28"/>
      <c r="PZV4" s="28"/>
      <c r="PZW4" s="28"/>
      <c r="PZX4" s="28"/>
      <c r="PZY4" s="28"/>
      <c r="PZZ4" s="28"/>
      <c r="QAA4" s="28"/>
      <c r="QAB4" s="28"/>
      <c r="QAC4" s="28"/>
      <c r="QAD4" s="28"/>
      <c r="QAE4" s="28"/>
      <c r="QAF4" s="28"/>
      <c r="QAG4" s="28"/>
      <c r="QAH4" s="28"/>
      <c r="QAI4" s="28"/>
      <c r="QAJ4" s="28"/>
      <c r="QAK4" s="28"/>
      <c r="QAL4" s="28"/>
      <c r="QAM4" s="28"/>
      <c r="QAN4" s="28"/>
      <c r="QAO4" s="28"/>
      <c r="QAP4" s="28"/>
      <c r="QAQ4" s="28"/>
      <c r="QAR4" s="28"/>
      <c r="QAS4" s="28"/>
      <c r="QAT4" s="28"/>
      <c r="QAU4" s="28"/>
      <c r="QAV4" s="28"/>
      <c r="QAW4" s="28"/>
      <c r="QAX4" s="28"/>
      <c r="QAY4" s="28"/>
      <c r="QAZ4" s="28"/>
      <c r="QBA4" s="28"/>
      <c r="QBB4" s="28"/>
      <c r="QBC4" s="28"/>
      <c r="QBD4" s="28"/>
      <c r="QBE4" s="28"/>
      <c r="QBF4" s="28"/>
      <c r="QBG4" s="28"/>
      <c r="QBH4" s="28"/>
      <c r="QBI4" s="28"/>
      <c r="QBJ4" s="28"/>
      <c r="QBK4" s="28"/>
      <c r="QBL4" s="28"/>
      <c r="QBM4" s="28"/>
      <c r="QBN4" s="28"/>
      <c r="QBO4" s="28"/>
      <c r="QBP4" s="28"/>
      <c r="QBQ4" s="28"/>
      <c r="QBR4" s="28"/>
      <c r="QBS4" s="28"/>
      <c r="QBT4" s="28"/>
      <c r="QBU4" s="28"/>
      <c r="QBV4" s="28"/>
      <c r="QBW4" s="28"/>
      <c r="QBX4" s="28"/>
      <c r="QBY4" s="28"/>
      <c r="QBZ4" s="28"/>
      <c r="QCA4" s="28"/>
      <c r="QCB4" s="28"/>
      <c r="QCC4" s="28"/>
      <c r="QCD4" s="28"/>
      <c r="QCE4" s="28"/>
      <c r="QCF4" s="28"/>
      <c r="QCG4" s="28"/>
      <c r="QCH4" s="28"/>
      <c r="QCI4" s="28"/>
      <c r="QCJ4" s="28"/>
      <c r="QCK4" s="28"/>
      <c r="QCL4" s="28"/>
      <c r="QCM4" s="28"/>
      <c r="QCN4" s="28"/>
      <c r="QCO4" s="28"/>
      <c r="QCP4" s="28"/>
      <c r="QCQ4" s="28"/>
      <c r="QCR4" s="28"/>
      <c r="QCS4" s="28"/>
      <c r="QCT4" s="28"/>
      <c r="QCU4" s="28"/>
      <c r="QCV4" s="28"/>
      <c r="QCW4" s="28"/>
      <c r="QCX4" s="28"/>
      <c r="QCY4" s="28"/>
      <c r="QCZ4" s="28"/>
      <c r="QDA4" s="28"/>
      <c r="QDB4" s="28"/>
      <c r="QDC4" s="28"/>
      <c r="QDD4" s="28"/>
      <c r="QDE4" s="28"/>
      <c r="QDF4" s="28"/>
      <c r="QDG4" s="28"/>
      <c r="QDH4" s="28"/>
      <c r="QDI4" s="28"/>
      <c r="QDJ4" s="28"/>
      <c r="QDK4" s="28"/>
      <c r="QDL4" s="28"/>
      <c r="QDM4" s="28"/>
      <c r="QDN4" s="28"/>
      <c r="QDO4" s="28"/>
      <c r="QDP4" s="28"/>
      <c r="QDQ4" s="28"/>
      <c r="QDR4" s="28"/>
      <c r="QDS4" s="28"/>
      <c r="QDT4" s="28"/>
      <c r="QDU4" s="28"/>
      <c r="QDV4" s="28"/>
      <c r="QDW4" s="28"/>
      <c r="QDX4" s="28"/>
      <c r="QDY4" s="28"/>
      <c r="QDZ4" s="28"/>
      <c r="QEA4" s="28"/>
      <c r="QEB4" s="28"/>
      <c r="QEC4" s="28"/>
      <c r="QED4" s="28"/>
      <c r="QEE4" s="28"/>
      <c r="QEF4" s="28"/>
      <c r="QEG4" s="28"/>
      <c r="QEH4" s="28"/>
      <c r="QEI4" s="28"/>
      <c r="QEJ4" s="28"/>
      <c r="QEK4" s="28"/>
      <c r="QEL4" s="28"/>
      <c r="QEM4" s="28"/>
      <c r="QEN4" s="28"/>
      <c r="QEO4" s="28"/>
      <c r="QEP4" s="28"/>
      <c r="QEQ4" s="28"/>
      <c r="QER4" s="28"/>
      <c r="QES4" s="28"/>
      <c r="QET4" s="28"/>
      <c r="QEU4" s="28"/>
      <c r="QEV4" s="28"/>
      <c r="QEW4" s="28"/>
      <c r="QEX4" s="28"/>
      <c r="QEY4" s="28"/>
      <c r="QEZ4" s="28"/>
      <c r="QFA4" s="28"/>
      <c r="QFB4" s="28"/>
      <c r="QFC4" s="28"/>
      <c r="QFD4" s="28"/>
      <c r="QFE4" s="28"/>
      <c r="QFF4" s="28"/>
      <c r="QFG4" s="28"/>
      <c r="QFH4" s="28"/>
      <c r="QFI4" s="28"/>
      <c r="QFJ4" s="28"/>
      <c r="QFK4" s="28"/>
      <c r="QFL4" s="28"/>
      <c r="QFM4" s="28"/>
      <c r="QFN4" s="28"/>
      <c r="QFO4" s="28"/>
      <c r="QFP4" s="28"/>
      <c r="QFQ4" s="28"/>
      <c r="QFR4" s="28"/>
      <c r="QFS4" s="28"/>
      <c r="QFT4" s="28"/>
      <c r="QFU4" s="28"/>
      <c r="QFV4" s="28"/>
      <c r="QFW4" s="28"/>
      <c r="QFX4" s="28"/>
      <c r="QFY4" s="28"/>
      <c r="QFZ4" s="28"/>
      <c r="QGA4" s="28"/>
      <c r="QGB4" s="28"/>
      <c r="QGC4" s="28"/>
      <c r="QGD4" s="28"/>
      <c r="QGE4" s="28"/>
      <c r="QGF4" s="28"/>
      <c r="QGG4" s="28"/>
      <c r="QGH4" s="28"/>
      <c r="QGI4" s="28"/>
      <c r="QGJ4" s="28"/>
      <c r="QGK4" s="28"/>
      <c r="QGL4" s="28"/>
      <c r="QGM4" s="28"/>
      <c r="QGN4" s="28"/>
      <c r="QGO4" s="28"/>
      <c r="QGP4" s="28"/>
      <c r="QGQ4" s="28"/>
      <c r="QGR4" s="28"/>
      <c r="QGS4" s="28"/>
      <c r="QGT4" s="28"/>
      <c r="QGU4" s="28"/>
      <c r="QGV4" s="28"/>
      <c r="QGW4" s="28"/>
      <c r="QGX4" s="28"/>
      <c r="QGY4" s="28"/>
      <c r="QGZ4" s="28"/>
      <c r="QHA4" s="28"/>
      <c r="QHB4" s="28"/>
      <c r="QHC4" s="28"/>
      <c r="QHD4" s="28"/>
      <c r="QHE4" s="28"/>
      <c r="QHF4" s="28"/>
      <c r="QHG4" s="28"/>
      <c r="QHH4" s="28"/>
      <c r="QHI4" s="28"/>
      <c r="QHJ4" s="28"/>
      <c r="QHK4" s="28"/>
      <c r="QHL4" s="28"/>
      <c r="QHM4" s="28"/>
      <c r="QHN4" s="28"/>
      <c r="QHO4" s="28"/>
      <c r="QHP4" s="28"/>
      <c r="QHQ4" s="28"/>
      <c r="QHR4" s="28"/>
      <c r="QHS4" s="28"/>
      <c r="QHT4" s="28"/>
      <c r="QHU4" s="28"/>
      <c r="QHV4" s="28"/>
      <c r="QHW4" s="28"/>
      <c r="QHX4" s="28"/>
      <c r="QHY4" s="28"/>
      <c r="QHZ4" s="28"/>
      <c r="QIA4" s="28"/>
      <c r="QIB4" s="28"/>
      <c r="QIC4" s="28"/>
      <c r="QID4" s="28"/>
      <c r="QIE4" s="28"/>
      <c r="QIF4" s="28"/>
      <c r="QIG4" s="28"/>
      <c r="QIH4" s="28"/>
      <c r="QII4" s="28"/>
      <c r="QIJ4" s="28"/>
      <c r="QIK4" s="28"/>
      <c r="QIL4" s="28"/>
      <c r="QIM4" s="28"/>
      <c r="QIN4" s="28"/>
      <c r="QIO4" s="28"/>
      <c r="QIP4" s="28"/>
      <c r="QIQ4" s="28"/>
      <c r="QIR4" s="28"/>
      <c r="QIS4" s="28"/>
      <c r="QIT4" s="28"/>
      <c r="QIU4" s="28"/>
      <c r="QIV4" s="28"/>
      <c r="QIW4" s="28"/>
      <c r="QIX4" s="28"/>
      <c r="QIY4" s="28"/>
      <c r="QIZ4" s="28"/>
      <c r="QJA4" s="28"/>
      <c r="QJB4" s="28"/>
      <c r="QJC4" s="28"/>
      <c r="QJD4" s="28"/>
      <c r="QJE4" s="28"/>
      <c r="QJF4" s="28"/>
      <c r="QJG4" s="28"/>
      <c r="QJH4" s="28"/>
      <c r="QJI4" s="28"/>
      <c r="QJJ4" s="28"/>
      <c r="QJK4" s="28"/>
      <c r="QJL4" s="28"/>
      <c r="QJM4" s="28"/>
      <c r="QJN4" s="28"/>
      <c r="QJO4" s="28"/>
      <c r="QJP4" s="28"/>
      <c r="QJQ4" s="28"/>
      <c r="QJR4" s="28"/>
      <c r="QJS4" s="28"/>
      <c r="QJT4" s="28"/>
      <c r="QJU4" s="28"/>
      <c r="QJV4" s="28"/>
      <c r="QJW4" s="28"/>
      <c r="QJX4" s="28"/>
      <c r="QJY4" s="28"/>
      <c r="QJZ4" s="28"/>
      <c r="QKA4" s="28"/>
      <c r="QKB4" s="28"/>
      <c r="QKC4" s="28"/>
      <c r="QKD4" s="28"/>
      <c r="QKE4" s="28"/>
      <c r="QKF4" s="28"/>
      <c r="QKG4" s="28"/>
      <c r="QKH4" s="28"/>
      <c r="QKI4" s="28"/>
      <c r="QKJ4" s="28"/>
      <c r="QKK4" s="28"/>
      <c r="QKL4" s="28"/>
      <c r="QKM4" s="28"/>
      <c r="QKN4" s="28"/>
      <c r="QKO4" s="28"/>
      <c r="QKP4" s="28"/>
      <c r="QKQ4" s="28"/>
      <c r="QKR4" s="28"/>
      <c r="QKS4" s="28"/>
      <c r="QKT4" s="28"/>
      <c r="QKU4" s="28"/>
      <c r="QKV4" s="28"/>
      <c r="QKW4" s="28"/>
      <c r="QKX4" s="28"/>
      <c r="QKY4" s="28"/>
      <c r="QKZ4" s="28"/>
      <c r="QLA4" s="28"/>
      <c r="QLB4" s="28"/>
      <c r="QLC4" s="28"/>
      <c r="QLD4" s="28"/>
      <c r="QLE4" s="28"/>
      <c r="QLF4" s="28"/>
      <c r="QLG4" s="28"/>
      <c r="QLH4" s="28"/>
      <c r="QLI4" s="28"/>
      <c r="QLJ4" s="28"/>
      <c r="QLK4" s="28"/>
      <c r="QLL4" s="28"/>
      <c r="QLM4" s="28"/>
      <c r="QLN4" s="28"/>
      <c r="QLO4" s="28"/>
      <c r="QLP4" s="28"/>
      <c r="QLQ4" s="28"/>
      <c r="QLR4" s="28"/>
      <c r="QLS4" s="28"/>
      <c r="QLT4" s="28"/>
      <c r="QLU4" s="28"/>
      <c r="QLV4" s="28"/>
      <c r="QLW4" s="28"/>
      <c r="QLX4" s="28"/>
      <c r="QLY4" s="28"/>
      <c r="QLZ4" s="28"/>
      <c r="QMA4" s="28"/>
      <c r="QMB4" s="28"/>
      <c r="QMC4" s="28"/>
      <c r="QMD4" s="28"/>
      <c r="QME4" s="28"/>
      <c r="QMF4" s="28"/>
      <c r="QMG4" s="28"/>
      <c r="QMH4" s="28"/>
      <c r="QMI4" s="28"/>
      <c r="QMJ4" s="28"/>
      <c r="QMK4" s="28"/>
      <c r="QML4" s="28"/>
      <c r="QMM4" s="28"/>
      <c r="QMN4" s="28"/>
      <c r="QMO4" s="28"/>
      <c r="QMP4" s="28"/>
      <c r="QMQ4" s="28"/>
      <c r="QMR4" s="28"/>
      <c r="QMS4" s="28"/>
      <c r="QMT4" s="28"/>
      <c r="QMU4" s="28"/>
      <c r="QMV4" s="28"/>
      <c r="QMW4" s="28"/>
      <c r="QMX4" s="28"/>
      <c r="QMY4" s="28"/>
      <c r="QMZ4" s="28"/>
      <c r="QNA4" s="28"/>
      <c r="QNB4" s="28"/>
      <c r="QNC4" s="28"/>
      <c r="QND4" s="28"/>
      <c r="QNE4" s="28"/>
      <c r="QNF4" s="28"/>
      <c r="QNG4" s="28"/>
      <c r="QNH4" s="28"/>
      <c r="QNI4" s="28"/>
      <c r="QNJ4" s="28"/>
      <c r="QNK4" s="28"/>
      <c r="QNL4" s="28"/>
      <c r="QNM4" s="28"/>
      <c r="QNN4" s="28"/>
      <c r="QNO4" s="28"/>
      <c r="QNP4" s="28"/>
      <c r="QNQ4" s="28"/>
      <c r="QNR4" s="28"/>
      <c r="QNS4" s="28"/>
      <c r="QNT4" s="28"/>
      <c r="QNU4" s="28"/>
      <c r="QNV4" s="28"/>
      <c r="QNW4" s="28"/>
      <c r="QNX4" s="28"/>
      <c r="QNY4" s="28"/>
      <c r="QNZ4" s="28"/>
      <c r="QOA4" s="28"/>
      <c r="QOB4" s="28"/>
      <c r="QOC4" s="28"/>
      <c r="QOD4" s="28"/>
      <c r="QOE4" s="28"/>
      <c r="QOF4" s="28"/>
      <c r="QOG4" s="28"/>
      <c r="QOH4" s="28"/>
      <c r="QOI4" s="28"/>
      <c r="QOJ4" s="28"/>
      <c r="QOK4" s="28"/>
      <c r="QOL4" s="28"/>
      <c r="QOM4" s="28"/>
      <c r="QON4" s="28"/>
      <c r="QOO4" s="28"/>
      <c r="QOP4" s="28"/>
      <c r="QOQ4" s="28"/>
      <c r="QOR4" s="28"/>
      <c r="QOS4" s="28"/>
      <c r="QOT4" s="28"/>
      <c r="QOU4" s="28"/>
      <c r="QOV4" s="28"/>
      <c r="QOW4" s="28"/>
      <c r="QOX4" s="28"/>
      <c r="QOY4" s="28"/>
      <c r="QOZ4" s="28"/>
      <c r="QPA4" s="28"/>
      <c r="QPB4" s="28"/>
      <c r="QPC4" s="28"/>
      <c r="QPD4" s="28"/>
      <c r="QPE4" s="28"/>
      <c r="QPF4" s="28"/>
      <c r="QPG4" s="28"/>
      <c r="QPH4" s="28"/>
      <c r="QPI4" s="28"/>
      <c r="QPJ4" s="28"/>
      <c r="QPK4" s="28"/>
      <c r="QPL4" s="28"/>
      <c r="QPM4" s="28"/>
      <c r="QPN4" s="28"/>
      <c r="QPO4" s="28"/>
      <c r="QPP4" s="28"/>
      <c r="QPQ4" s="28"/>
      <c r="QPR4" s="28"/>
      <c r="QPS4" s="28"/>
      <c r="QPT4" s="28"/>
      <c r="QPU4" s="28"/>
      <c r="QPV4" s="28"/>
      <c r="QPW4" s="28"/>
      <c r="QPX4" s="28"/>
      <c r="QPY4" s="28"/>
      <c r="QPZ4" s="28"/>
      <c r="QQA4" s="28"/>
      <c r="QQB4" s="28"/>
      <c r="QQC4" s="28"/>
      <c r="QQD4" s="28"/>
      <c r="QQE4" s="28"/>
      <c r="QQF4" s="28"/>
      <c r="QQG4" s="28"/>
      <c r="QQH4" s="28"/>
      <c r="QQI4" s="28"/>
      <c r="QQJ4" s="28"/>
      <c r="QQK4" s="28"/>
      <c r="QQL4" s="28"/>
      <c r="QQM4" s="28"/>
      <c r="QQN4" s="28"/>
      <c r="QQO4" s="28"/>
      <c r="QQP4" s="28"/>
      <c r="QQQ4" s="28"/>
      <c r="QQR4" s="28"/>
      <c r="QQS4" s="28"/>
      <c r="QQT4" s="28"/>
      <c r="QQU4" s="28"/>
      <c r="QQV4" s="28"/>
      <c r="QQW4" s="28"/>
      <c r="QQX4" s="28"/>
      <c r="QQY4" s="28"/>
      <c r="QQZ4" s="28"/>
      <c r="QRA4" s="28"/>
      <c r="QRB4" s="28"/>
      <c r="QRC4" s="28"/>
      <c r="QRD4" s="28"/>
      <c r="QRE4" s="28"/>
      <c r="QRF4" s="28"/>
      <c r="QRG4" s="28"/>
      <c r="QRH4" s="28"/>
      <c r="QRI4" s="28"/>
      <c r="QRJ4" s="28"/>
      <c r="QRK4" s="28"/>
      <c r="QRL4" s="28"/>
      <c r="QRM4" s="28"/>
      <c r="QRN4" s="28"/>
      <c r="QRO4" s="28"/>
      <c r="QRP4" s="28"/>
      <c r="QRQ4" s="28"/>
      <c r="QRR4" s="28"/>
      <c r="QRS4" s="28"/>
      <c r="QRT4" s="28"/>
      <c r="QRU4" s="28"/>
      <c r="QRV4" s="28"/>
      <c r="QRW4" s="28"/>
      <c r="QRX4" s="28"/>
      <c r="QRY4" s="28"/>
      <c r="QRZ4" s="28"/>
      <c r="QSA4" s="28"/>
      <c r="QSB4" s="28"/>
      <c r="QSC4" s="28"/>
      <c r="QSD4" s="28"/>
      <c r="QSE4" s="28"/>
      <c r="QSF4" s="28"/>
      <c r="QSG4" s="28"/>
      <c r="QSH4" s="28"/>
      <c r="QSI4" s="28"/>
      <c r="QSJ4" s="28"/>
      <c r="QSK4" s="28"/>
      <c r="QSL4" s="28"/>
      <c r="QSM4" s="28"/>
      <c r="QSN4" s="28"/>
      <c r="QSO4" s="28"/>
      <c r="QSP4" s="28"/>
      <c r="QSQ4" s="28"/>
      <c r="QSR4" s="28"/>
      <c r="QSS4" s="28"/>
      <c r="QST4" s="28"/>
      <c r="QSU4" s="28"/>
      <c r="QSV4" s="28"/>
      <c r="QSW4" s="28"/>
      <c r="QSX4" s="28"/>
      <c r="QSY4" s="28"/>
      <c r="QSZ4" s="28"/>
      <c r="QTA4" s="28"/>
      <c r="QTB4" s="28"/>
      <c r="QTC4" s="28"/>
      <c r="QTD4" s="28"/>
      <c r="QTE4" s="28"/>
      <c r="QTF4" s="28"/>
      <c r="QTG4" s="28"/>
      <c r="QTH4" s="28"/>
      <c r="QTI4" s="28"/>
      <c r="QTJ4" s="28"/>
      <c r="QTK4" s="28"/>
      <c r="QTL4" s="28"/>
      <c r="QTM4" s="28"/>
      <c r="QTN4" s="28"/>
      <c r="QTO4" s="28"/>
      <c r="QTP4" s="28"/>
      <c r="QTQ4" s="28"/>
      <c r="QTR4" s="28"/>
      <c r="QTS4" s="28"/>
      <c r="QTT4" s="28"/>
      <c r="QTU4" s="28"/>
      <c r="QTV4" s="28"/>
      <c r="QTW4" s="28"/>
      <c r="QTX4" s="28"/>
      <c r="QTY4" s="28"/>
      <c r="QTZ4" s="28"/>
      <c r="QUA4" s="28"/>
      <c r="QUB4" s="28"/>
      <c r="QUC4" s="28"/>
      <c r="QUD4" s="28"/>
      <c r="QUE4" s="28"/>
      <c r="QUF4" s="28"/>
      <c r="QUG4" s="28"/>
      <c r="QUH4" s="28"/>
      <c r="QUI4" s="28"/>
      <c r="QUJ4" s="28"/>
      <c r="QUK4" s="28"/>
      <c r="QUL4" s="28"/>
      <c r="QUM4" s="28"/>
      <c r="QUN4" s="28"/>
      <c r="QUO4" s="28"/>
      <c r="QUP4" s="28"/>
      <c r="QUQ4" s="28"/>
      <c r="QUR4" s="28"/>
      <c r="QUS4" s="28"/>
      <c r="QUT4" s="28"/>
      <c r="QUU4" s="28"/>
      <c r="QUV4" s="28"/>
      <c r="QUW4" s="28"/>
      <c r="QUX4" s="28"/>
      <c r="QUY4" s="28"/>
      <c r="QUZ4" s="28"/>
      <c r="QVA4" s="28"/>
      <c r="QVB4" s="28"/>
      <c r="QVC4" s="28"/>
      <c r="QVD4" s="28"/>
      <c r="QVE4" s="28"/>
      <c r="QVF4" s="28"/>
      <c r="QVG4" s="28"/>
      <c r="QVH4" s="28"/>
      <c r="QVI4" s="28"/>
      <c r="QVJ4" s="28"/>
      <c r="QVK4" s="28"/>
      <c r="QVL4" s="28"/>
      <c r="QVM4" s="28"/>
      <c r="QVN4" s="28"/>
      <c r="QVO4" s="28"/>
      <c r="QVP4" s="28"/>
      <c r="QVQ4" s="28"/>
      <c r="QVR4" s="28"/>
      <c r="QVS4" s="28"/>
      <c r="QVT4" s="28"/>
      <c r="QVU4" s="28"/>
      <c r="QVV4" s="28"/>
      <c r="QVW4" s="28"/>
      <c r="QVX4" s="28"/>
      <c r="QVY4" s="28"/>
      <c r="QVZ4" s="28"/>
      <c r="QWA4" s="28"/>
      <c r="QWB4" s="28"/>
      <c r="QWC4" s="28"/>
      <c r="QWD4" s="28"/>
      <c r="QWE4" s="28"/>
      <c r="QWF4" s="28"/>
      <c r="QWG4" s="28"/>
      <c r="QWH4" s="28"/>
      <c r="QWI4" s="28"/>
      <c r="QWJ4" s="28"/>
      <c r="QWK4" s="28"/>
      <c r="QWL4" s="28"/>
      <c r="QWM4" s="28"/>
      <c r="QWN4" s="28"/>
      <c r="QWO4" s="28"/>
      <c r="QWP4" s="28"/>
      <c r="QWQ4" s="28"/>
      <c r="QWR4" s="28"/>
      <c r="QWS4" s="28"/>
      <c r="QWT4" s="28"/>
      <c r="QWU4" s="28"/>
      <c r="QWV4" s="28"/>
      <c r="QWW4" s="28"/>
      <c r="QWX4" s="28"/>
      <c r="QWY4" s="28"/>
      <c r="QWZ4" s="28"/>
      <c r="QXA4" s="28"/>
      <c r="QXB4" s="28"/>
      <c r="QXC4" s="28"/>
      <c r="QXD4" s="28"/>
      <c r="QXE4" s="28"/>
      <c r="QXF4" s="28"/>
      <c r="QXG4" s="28"/>
      <c r="QXH4" s="28"/>
      <c r="QXI4" s="28"/>
      <c r="QXJ4" s="28"/>
      <c r="QXK4" s="28"/>
      <c r="QXL4" s="28"/>
      <c r="QXM4" s="28"/>
      <c r="QXN4" s="28"/>
      <c r="QXO4" s="28"/>
      <c r="QXP4" s="28"/>
      <c r="QXQ4" s="28"/>
      <c r="QXR4" s="28"/>
      <c r="QXS4" s="28"/>
      <c r="QXT4" s="28"/>
      <c r="QXU4" s="28"/>
      <c r="QXV4" s="28"/>
      <c r="QXW4" s="28"/>
      <c r="QXX4" s="28"/>
      <c r="QXY4" s="28"/>
      <c r="QXZ4" s="28"/>
      <c r="QYA4" s="28"/>
      <c r="QYB4" s="28"/>
      <c r="QYC4" s="28"/>
      <c r="QYD4" s="28"/>
      <c r="QYE4" s="28"/>
      <c r="QYF4" s="28"/>
      <c r="QYG4" s="28"/>
      <c r="QYH4" s="28"/>
      <c r="QYI4" s="28"/>
      <c r="QYJ4" s="28"/>
      <c r="QYK4" s="28"/>
      <c r="QYL4" s="28"/>
      <c r="QYM4" s="28"/>
      <c r="QYN4" s="28"/>
      <c r="QYO4" s="28"/>
      <c r="QYP4" s="28"/>
      <c r="QYQ4" s="28"/>
      <c r="QYR4" s="28"/>
      <c r="QYS4" s="28"/>
      <c r="QYT4" s="28"/>
      <c r="QYU4" s="28"/>
      <c r="QYV4" s="28"/>
      <c r="QYW4" s="28"/>
      <c r="QYX4" s="28"/>
      <c r="QYY4" s="28"/>
      <c r="QYZ4" s="28"/>
      <c r="QZA4" s="28"/>
      <c r="QZB4" s="28"/>
      <c r="QZC4" s="28"/>
      <c r="QZD4" s="28"/>
      <c r="QZE4" s="28"/>
      <c r="QZF4" s="28"/>
      <c r="QZG4" s="28"/>
      <c r="QZH4" s="28"/>
      <c r="QZI4" s="28"/>
      <c r="QZJ4" s="28"/>
      <c r="QZK4" s="28"/>
      <c r="QZL4" s="28"/>
      <c r="QZM4" s="28"/>
      <c r="QZN4" s="28"/>
      <c r="QZO4" s="28"/>
      <c r="QZP4" s="28"/>
      <c r="QZQ4" s="28"/>
      <c r="QZR4" s="28"/>
      <c r="QZS4" s="28"/>
      <c r="QZT4" s="28"/>
      <c r="QZU4" s="28"/>
      <c r="QZV4" s="28"/>
      <c r="QZW4" s="28"/>
      <c r="QZX4" s="28"/>
      <c r="QZY4" s="28"/>
      <c r="QZZ4" s="28"/>
      <c r="RAA4" s="28"/>
      <c r="RAB4" s="28"/>
      <c r="RAC4" s="28"/>
      <c r="RAD4" s="28"/>
      <c r="RAE4" s="28"/>
      <c r="RAF4" s="28"/>
      <c r="RAG4" s="28"/>
      <c r="RAH4" s="28"/>
      <c r="RAI4" s="28"/>
      <c r="RAJ4" s="28"/>
      <c r="RAK4" s="28"/>
      <c r="RAL4" s="28"/>
      <c r="RAM4" s="28"/>
      <c r="RAN4" s="28"/>
      <c r="RAO4" s="28"/>
      <c r="RAP4" s="28"/>
      <c r="RAQ4" s="28"/>
      <c r="RAR4" s="28"/>
      <c r="RAS4" s="28"/>
      <c r="RAT4" s="28"/>
      <c r="RAU4" s="28"/>
      <c r="RAV4" s="28"/>
      <c r="RAW4" s="28"/>
      <c r="RAX4" s="28"/>
      <c r="RAY4" s="28"/>
      <c r="RAZ4" s="28"/>
      <c r="RBA4" s="28"/>
      <c r="RBB4" s="28"/>
      <c r="RBC4" s="28"/>
      <c r="RBD4" s="28"/>
      <c r="RBE4" s="28"/>
      <c r="RBF4" s="28"/>
      <c r="RBG4" s="28"/>
      <c r="RBH4" s="28"/>
      <c r="RBI4" s="28"/>
      <c r="RBJ4" s="28"/>
      <c r="RBK4" s="28"/>
      <c r="RBL4" s="28"/>
      <c r="RBM4" s="28"/>
      <c r="RBN4" s="28"/>
      <c r="RBO4" s="28"/>
      <c r="RBP4" s="28"/>
      <c r="RBQ4" s="28"/>
      <c r="RBR4" s="28"/>
      <c r="RBS4" s="28"/>
      <c r="RBT4" s="28"/>
      <c r="RBU4" s="28"/>
      <c r="RBV4" s="28"/>
      <c r="RBW4" s="28"/>
      <c r="RBX4" s="28"/>
      <c r="RBY4" s="28"/>
      <c r="RBZ4" s="28"/>
      <c r="RCA4" s="28"/>
      <c r="RCB4" s="28"/>
      <c r="RCC4" s="28"/>
      <c r="RCD4" s="28"/>
      <c r="RCE4" s="28"/>
      <c r="RCF4" s="28"/>
      <c r="RCG4" s="28"/>
      <c r="RCH4" s="28"/>
      <c r="RCI4" s="28"/>
      <c r="RCJ4" s="28"/>
      <c r="RCK4" s="28"/>
      <c r="RCL4" s="28"/>
      <c r="RCM4" s="28"/>
      <c r="RCN4" s="28"/>
      <c r="RCO4" s="28"/>
      <c r="RCP4" s="28"/>
      <c r="RCQ4" s="28"/>
      <c r="RCR4" s="28"/>
      <c r="RCS4" s="28"/>
      <c r="RCT4" s="28"/>
      <c r="RCU4" s="28"/>
      <c r="RCV4" s="28"/>
      <c r="RCW4" s="28"/>
      <c r="RCX4" s="28"/>
      <c r="RCY4" s="28"/>
      <c r="RCZ4" s="28"/>
      <c r="RDA4" s="28"/>
      <c r="RDB4" s="28"/>
      <c r="RDC4" s="28"/>
      <c r="RDD4" s="28"/>
      <c r="RDE4" s="28"/>
      <c r="RDF4" s="28"/>
      <c r="RDG4" s="28"/>
      <c r="RDH4" s="28"/>
      <c r="RDI4" s="28"/>
      <c r="RDJ4" s="28"/>
      <c r="RDK4" s="28"/>
      <c r="RDL4" s="28"/>
      <c r="RDM4" s="28"/>
      <c r="RDN4" s="28"/>
      <c r="RDO4" s="28"/>
      <c r="RDP4" s="28"/>
      <c r="RDQ4" s="28"/>
      <c r="RDR4" s="28"/>
      <c r="RDS4" s="28"/>
      <c r="RDT4" s="28"/>
      <c r="RDU4" s="28"/>
      <c r="RDV4" s="28"/>
      <c r="RDW4" s="28"/>
      <c r="RDX4" s="28"/>
      <c r="RDY4" s="28"/>
      <c r="RDZ4" s="28"/>
      <c r="REA4" s="28"/>
      <c r="REB4" s="28"/>
      <c r="REC4" s="28"/>
      <c r="RED4" s="28"/>
      <c r="REE4" s="28"/>
      <c r="REF4" s="28"/>
      <c r="REG4" s="28"/>
      <c r="REH4" s="28"/>
      <c r="REI4" s="28"/>
      <c r="REJ4" s="28"/>
      <c r="REK4" s="28"/>
      <c r="REL4" s="28"/>
      <c r="REM4" s="28"/>
      <c r="REN4" s="28"/>
      <c r="REO4" s="28"/>
      <c r="REP4" s="28"/>
      <c r="REQ4" s="28"/>
      <c r="RER4" s="28"/>
      <c r="RES4" s="28"/>
      <c r="RET4" s="28"/>
      <c r="REU4" s="28"/>
      <c r="REV4" s="28"/>
      <c r="REW4" s="28"/>
      <c r="REX4" s="28"/>
      <c r="REY4" s="28"/>
      <c r="REZ4" s="28"/>
      <c r="RFA4" s="28"/>
      <c r="RFB4" s="28"/>
      <c r="RFC4" s="28"/>
      <c r="RFD4" s="28"/>
      <c r="RFE4" s="28"/>
      <c r="RFF4" s="28"/>
      <c r="RFG4" s="28"/>
      <c r="RFH4" s="28"/>
      <c r="RFI4" s="28"/>
      <c r="RFJ4" s="28"/>
      <c r="RFK4" s="28"/>
      <c r="RFL4" s="28"/>
      <c r="RFM4" s="28"/>
      <c r="RFN4" s="28"/>
      <c r="RFO4" s="28"/>
      <c r="RFP4" s="28"/>
      <c r="RFQ4" s="28"/>
      <c r="RFR4" s="28"/>
      <c r="RFS4" s="28"/>
      <c r="RFT4" s="28"/>
      <c r="RFU4" s="28"/>
      <c r="RFV4" s="28"/>
      <c r="RFW4" s="28"/>
      <c r="RFX4" s="28"/>
      <c r="RFY4" s="28"/>
      <c r="RFZ4" s="28"/>
      <c r="RGA4" s="28"/>
      <c r="RGB4" s="28"/>
      <c r="RGC4" s="28"/>
      <c r="RGD4" s="28"/>
      <c r="RGE4" s="28"/>
      <c r="RGF4" s="28"/>
      <c r="RGG4" s="28"/>
      <c r="RGH4" s="28"/>
      <c r="RGI4" s="28"/>
      <c r="RGJ4" s="28"/>
      <c r="RGK4" s="28"/>
      <c r="RGL4" s="28"/>
      <c r="RGM4" s="28"/>
      <c r="RGN4" s="28"/>
      <c r="RGO4" s="28"/>
      <c r="RGP4" s="28"/>
      <c r="RGQ4" s="28"/>
      <c r="RGR4" s="28"/>
      <c r="RGS4" s="28"/>
      <c r="RGT4" s="28"/>
      <c r="RGU4" s="28"/>
      <c r="RGV4" s="28"/>
      <c r="RGW4" s="28"/>
      <c r="RGX4" s="28"/>
      <c r="RGY4" s="28"/>
      <c r="RGZ4" s="28"/>
      <c r="RHA4" s="28"/>
      <c r="RHB4" s="28"/>
      <c r="RHC4" s="28"/>
      <c r="RHD4" s="28"/>
      <c r="RHE4" s="28"/>
      <c r="RHF4" s="28"/>
      <c r="RHG4" s="28"/>
      <c r="RHH4" s="28"/>
      <c r="RHI4" s="28"/>
      <c r="RHJ4" s="28"/>
      <c r="RHK4" s="28"/>
      <c r="RHL4" s="28"/>
      <c r="RHM4" s="28"/>
      <c r="RHN4" s="28"/>
      <c r="RHO4" s="28"/>
      <c r="RHP4" s="28"/>
      <c r="RHQ4" s="28"/>
      <c r="RHR4" s="28"/>
      <c r="RHS4" s="28"/>
      <c r="RHT4" s="28"/>
      <c r="RHU4" s="28"/>
      <c r="RHV4" s="28"/>
      <c r="RHW4" s="28"/>
      <c r="RHX4" s="28"/>
      <c r="RHY4" s="28"/>
      <c r="RHZ4" s="28"/>
      <c r="RIA4" s="28"/>
      <c r="RIB4" s="28"/>
      <c r="RIC4" s="28"/>
      <c r="RID4" s="28"/>
      <c r="RIE4" s="28"/>
      <c r="RIF4" s="28"/>
      <c r="RIG4" s="28"/>
      <c r="RIH4" s="28"/>
      <c r="RII4" s="28"/>
      <c r="RIJ4" s="28"/>
      <c r="RIK4" s="28"/>
      <c r="RIL4" s="28"/>
      <c r="RIM4" s="28"/>
      <c r="RIN4" s="28"/>
      <c r="RIO4" s="28"/>
      <c r="RIP4" s="28"/>
      <c r="RIQ4" s="28"/>
      <c r="RIR4" s="28"/>
      <c r="RIS4" s="28"/>
      <c r="RIT4" s="28"/>
      <c r="RIU4" s="28"/>
      <c r="RIV4" s="28"/>
      <c r="RIW4" s="28"/>
      <c r="RIX4" s="28"/>
      <c r="RIY4" s="28"/>
      <c r="RIZ4" s="28"/>
      <c r="RJA4" s="28"/>
      <c r="RJB4" s="28"/>
      <c r="RJC4" s="28"/>
      <c r="RJD4" s="28"/>
      <c r="RJE4" s="28"/>
      <c r="RJF4" s="28"/>
      <c r="RJG4" s="28"/>
      <c r="RJH4" s="28"/>
      <c r="RJI4" s="28"/>
      <c r="RJJ4" s="28"/>
      <c r="RJK4" s="28"/>
      <c r="RJL4" s="28"/>
      <c r="RJM4" s="28"/>
      <c r="RJN4" s="28"/>
      <c r="RJO4" s="28"/>
      <c r="RJP4" s="28"/>
      <c r="RJQ4" s="28"/>
      <c r="RJR4" s="28"/>
      <c r="RJS4" s="28"/>
      <c r="RJT4" s="28"/>
      <c r="RJU4" s="28"/>
      <c r="RJV4" s="28"/>
      <c r="RJW4" s="28"/>
      <c r="RJX4" s="28"/>
      <c r="RJY4" s="28"/>
      <c r="RJZ4" s="28"/>
      <c r="RKA4" s="28"/>
      <c r="RKB4" s="28"/>
      <c r="RKC4" s="28"/>
      <c r="RKD4" s="28"/>
      <c r="RKE4" s="28"/>
      <c r="RKF4" s="28"/>
      <c r="RKG4" s="28"/>
      <c r="RKH4" s="28"/>
      <c r="RKI4" s="28"/>
      <c r="RKJ4" s="28"/>
      <c r="RKK4" s="28"/>
      <c r="RKL4" s="28"/>
      <c r="RKM4" s="28"/>
      <c r="RKN4" s="28"/>
      <c r="RKO4" s="28"/>
      <c r="RKP4" s="28"/>
      <c r="RKQ4" s="28"/>
      <c r="RKR4" s="28"/>
      <c r="RKS4" s="28"/>
      <c r="RKT4" s="28"/>
      <c r="RKU4" s="28"/>
      <c r="RKV4" s="28"/>
      <c r="RKW4" s="28"/>
      <c r="RKX4" s="28"/>
      <c r="RKY4" s="28"/>
      <c r="RKZ4" s="28"/>
      <c r="RLA4" s="28"/>
      <c r="RLB4" s="28"/>
      <c r="RLC4" s="28"/>
      <c r="RLD4" s="28"/>
      <c r="RLE4" s="28"/>
      <c r="RLF4" s="28"/>
      <c r="RLG4" s="28"/>
      <c r="RLH4" s="28"/>
      <c r="RLI4" s="28"/>
      <c r="RLJ4" s="28"/>
      <c r="RLK4" s="28"/>
      <c r="RLL4" s="28"/>
      <c r="RLM4" s="28"/>
      <c r="RLN4" s="28"/>
      <c r="RLO4" s="28"/>
      <c r="RLP4" s="28"/>
      <c r="RLQ4" s="28"/>
      <c r="RLR4" s="28"/>
      <c r="RLS4" s="28"/>
      <c r="RLT4" s="28"/>
      <c r="RLU4" s="28"/>
      <c r="RLV4" s="28"/>
      <c r="RLW4" s="28"/>
      <c r="RLX4" s="28"/>
      <c r="RLY4" s="28"/>
      <c r="RLZ4" s="28"/>
      <c r="RMA4" s="28"/>
      <c r="RMB4" s="28"/>
      <c r="RMC4" s="28"/>
      <c r="RMD4" s="28"/>
      <c r="RME4" s="28"/>
      <c r="RMF4" s="28"/>
      <c r="RMG4" s="28"/>
      <c r="RMH4" s="28"/>
      <c r="RMI4" s="28"/>
      <c r="RMJ4" s="28"/>
      <c r="RMK4" s="28"/>
      <c r="RML4" s="28"/>
      <c r="RMM4" s="28"/>
      <c r="RMN4" s="28"/>
      <c r="RMO4" s="28"/>
      <c r="RMP4" s="28"/>
      <c r="RMQ4" s="28"/>
      <c r="RMR4" s="28"/>
      <c r="RMS4" s="28"/>
      <c r="RMT4" s="28"/>
      <c r="RMU4" s="28"/>
      <c r="RMV4" s="28"/>
      <c r="RMW4" s="28"/>
      <c r="RMX4" s="28"/>
      <c r="RMY4" s="28"/>
      <c r="RMZ4" s="28"/>
      <c r="RNA4" s="28"/>
      <c r="RNB4" s="28"/>
      <c r="RNC4" s="28"/>
      <c r="RND4" s="28"/>
      <c r="RNE4" s="28"/>
      <c r="RNF4" s="28"/>
      <c r="RNG4" s="28"/>
      <c r="RNH4" s="28"/>
      <c r="RNI4" s="28"/>
      <c r="RNJ4" s="28"/>
      <c r="RNK4" s="28"/>
      <c r="RNL4" s="28"/>
      <c r="RNM4" s="28"/>
      <c r="RNN4" s="28"/>
      <c r="RNO4" s="28"/>
      <c r="RNP4" s="28"/>
      <c r="RNQ4" s="28"/>
      <c r="RNR4" s="28"/>
      <c r="RNS4" s="28"/>
      <c r="RNT4" s="28"/>
      <c r="RNU4" s="28"/>
      <c r="RNV4" s="28"/>
      <c r="RNW4" s="28"/>
      <c r="RNX4" s="28"/>
      <c r="RNY4" s="28"/>
      <c r="RNZ4" s="28"/>
      <c r="ROA4" s="28"/>
      <c r="ROB4" s="28"/>
      <c r="ROC4" s="28"/>
      <c r="ROD4" s="28"/>
      <c r="ROE4" s="28"/>
      <c r="ROF4" s="28"/>
      <c r="ROG4" s="28"/>
      <c r="ROH4" s="28"/>
      <c r="ROI4" s="28"/>
      <c r="ROJ4" s="28"/>
      <c r="ROK4" s="28"/>
      <c r="ROL4" s="28"/>
      <c r="ROM4" s="28"/>
      <c r="RON4" s="28"/>
      <c r="ROO4" s="28"/>
      <c r="ROP4" s="28"/>
      <c r="ROQ4" s="28"/>
      <c r="ROR4" s="28"/>
      <c r="ROS4" s="28"/>
      <c r="ROT4" s="28"/>
      <c r="ROU4" s="28"/>
      <c r="ROV4" s="28"/>
      <c r="ROW4" s="28"/>
      <c r="ROX4" s="28"/>
      <c r="ROY4" s="28"/>
      <c r="ROZ4" s="28"/>
      <c r="RPA4" s="28"/>
      <c r="RPB4" s="28"/>
      <c r="RPC4" s="28"/>
      <c r="RPD4" s="28"/>
      <c r="RPE4" s="28"/>
      <c r="RPF4" s="28"/>
      <c r="RPG4" s="28"/>
      <c r="RPH4" s="28"/>
      <c r="RPI4" s="28"/>
      <c r="RPJ4" s="28"/>
      <c r="RPK4" s="28"/>
      <c r="RPL4" s="28"/>
      <c r="RPM4" s="28"/>
      <c r="RPN4" s="28"/>
      <c r="RPO4" s="28"/>
      <c r="RPP4" s="28"/>
      <c r="RPQ4" s="28"/>
      <c r="RPR4" s="28"/>
      <c r="RPS4" s="28"/>
      <c r="RPT4" s="28"/>
      <c r="RPU4" s="28"/>
      <c r="RPV4" s="28"/>
      <c r="RPW4" s="28"/>
      <c r="RPX4" s="28"/>
      <c r="RPY4" s="28"/>
      <c r="RPZ4" s="28"/>
      <c r="RQA4" s="28"/>
      <c r="RQB4" s="28"/>
      <c r="RQC4" s="28"/>
      <c r="RQD4" s="28"/>
      <c r="RQE4" s="28"/>
      <c r="RQF4" s="28"/>
      <c r="RQG4" s="28"/>
      <c r="RQH4" s="28"/>
      <c r="RQI4" s="28"/>
      <c r="RQJ4" s="28"/>
      <c r="RQK4" s="28"/>
      <c r="RQL4" s="28"/>
      <c r="RQM4" s="28"/>
      <c r="RQN4" s="28"/>
      <c r="RQO4" s="28"/>
      <c r="RQP4" s="28"/>
      <c r="RQQ4" s="28"/>
      <c r="RQR4" s="28"/>
      <c r="RQS4" s="28"/>
      <c r="RQT4" s="28"/>
      <c r="RQU4" s="28"/>
      <c r="RQV4" s="28"/>
      <c r="RQW4" s="28"/>
      <c r="RQX4" s="28"/>
      <c r="RQY4" s="28"/>
      <c r="RQZ4" s="28"/>
      <c r="RRA4" s="28"/>
      <c r="RRB4" s="28"/>
      <c r="RRC4" s="28"/>
      <c r="RRD4" s="28"/>
      <c r="RRE4" s="28"/>
      <c r="RRF4" s="28"/>
      <c r="RRG4" s="28"/>
      <c r="RRH4" s="28"/>
      <c r="RRI4" s="28"/>
      <c r="RRJ4" s="28"/>
      <c r="RRK4" s="28"/>
      <c r="RRL4" s="28"/>
      <c r="RRM4" s="28"/>
      <c r="RRN4" s="28"/>
      <c r="RRO4" s="28"/>
      <c r="RRP4" s="28"/>
      <c r="RRQ4" s="28"/>
      <c r="RRR4" s="28"/>
      <c r="RRS4" s="28"/>
      <c r="RRT4" s="28"/>
      <c r="RRU4" s="28"/>
      <c r="RRV4" s="28"/>
      <c r="RRW4" s="28"/>
      <c r="RRX4" s="28"/>
      <c r="RRY4" s="28"/>
      <c r="RRZ4" s="28"/>
      <c r="RSA4" s="28"/>
      <c r="RSB4" s="28"/>
      <c r="RSC4" s="28"/>
      <c r="RSD4" s="28"/>
      <c r="RSE4" s="28"/>
      <c r="RSF4" s="28"/>
      <c r="RSG4" s="28"/>
      <c r="RSH4" s="28"/>
      <c r="RSI4" s="28"/>
      <c r="RSJ4" s="28"/>
      <c r="RSK4" s="28"/>
      <c r="RSL4" s="28"/>
      <c r="RSM4" s="28"/>
      <c r="RSN4" s="28"/>
      <c r="RSO4" s="28"/>
      <c r="RSP4" s="28"/>
      <c r="RSQ4" s="28"/>
      <c r="RSR4" s="28"/>
      <c r="RSS4" s="28"/>
      <c r="RST4" s="28"/>
      <c r="RSU4" s="28"/>
      <c r="RSV4" s="28"/>
      <c r="RSW4" s="28"/>
      <c r="RSX4" s="28"/>
      <c r="RSY4" s="28"/>
      <c r="RSZ4" s="28"/>
      <c r="RTA4" s="28"/>
      <c r="RTB4" s="28"/>
      <c r="RTC4" s="28"/>
      <c r="RTD4" s="28"/>
      <c r="RTE4" s="28"/>
      <c r="RTF4" s="28"/>
      <c r="RTG4" s="28"/>
      <c r="RTH4" s="28"/>
      <c r="RTI4" s="28"/>
      <c r="RTJ4" s="28"/>
      <c r="RTK4" s="28"/>
      <c r="RTL4" s="28"/>
      <c r="RTM4" s="28"/>
      <c r="RTN4" s="28"/>
      <c r="RTO4" s="28"/>
      <c r="RTP4" s="28"/>
      <c r="RTQ4" s="28"/>
      <c r="RTR4" s="28"/>
      <c r="RTS4" s="28"/>
      <c r="RTT4" s="28"/>
      <c r="RTU4" s="28"/>
      <c r="RTV4" s="28"/>
      <c r="RTW4" s="28"/>
      <c r="RTX4" s="28"/>
      <c r="RTY4" s="28"/>
      <c r="RTZ4" s="28"/>
      <c r="RUA4" s="28"/>
      <c r="RUB4" s="28"/>
      <c r="RUC4" s="28"/>
      <c r="RUD4" s="28"/>
      <c r="RUE4" s="28"/>
      <c r="RUF4" s="28"/>
      <c r="RUG4" s="28"/>
      <c r="RUH4" s="28"/>
      <c r="RUI4" s="28"/>
      <c r="RUJ4" s="28"/>
      <c r="RUK4" s="28"/>
      <c r="RUL4" s="28"/>
      <c r="RUM4" s="28"/>
      <c r="RUN4" s="28"/>
      <c r="RUO4" s="28"/>
      <c r="RUP4" s="28"/>
      <c r="RUQ4" s="28"/>
      <c r="RUR4" s="28"/>
      <c r="RUS4" s="28"/>
      <c r="RUT4" s="28"/>
      <c r="RUU4" s="28"/>
      <c r="RUV4" s="28"/>
      <c r="RUW4" s="28"/>
      <c r="RUX4" s="28"/>
      <c r="RUY4" s="28"/>
      <c r="RUZ4" s="28"/>
      <c r="RVA4" s="28"/>
      <c r="RVB4" s="28"/>
      <c r="RVC4" s="28"/>
      <c r="RVD4" s="28"/>
      <c r="RVE4" s="28"/>
      <c r="RVF4" s="28"/>
      <c r="RVG4" s="28"/>
      <c r="RVH4" s="28"/>
      <c r="RVI4" s="28"/>
      <c r="RVJ4" s="28"/>
      <c r="RVK4" s="28"/>
      <c r="RVL4" s="28"/>
      <c r="RVM4" s="28"/>
      <c r="RVN4" s="28"/>
      <c r="RVO4" s="28"/>
      <c r="RVP4" s="28"/>
      <c r="RVQ4" s="28"/>
      <c r="RVR4" s="28"/>
      <c r="RVS4" s="28"/>
      <c r="RVT4" s="28"/>
      <c r="RVU4" s="28"/>
      <c r="RVV4" s="28"/>
      <c r="RVW4" s="28"/>
      <c r="RVX4" s="28"/>
      <c r="RVY4" s="28"/>
      <c r="RVZ4" s="28"/>
      <c r="RWA4" s="28"/>
      <c r="RWB4" s="28"/>
      <c r="RWC4" s="28"/>
      <c r="RWD4" s="28"/>
      <c r="RWE4" s="28"/>
      <c r="RWF4" s="28"/>
      <c r="RWG4" s="28"/>
      <c r="RWH4" s="28"/>
      <c r="RWI4" s="28"/>
      <c r="RWJ4" s="28"/>
      <c r="RWK4" s="28"/>
      <c r="RWL4" s="28"/>
      <c r="RWM4" s="28"/>
      <c r="RWN4" s="28"/>
      <c r="RWO4" s="28"/>
      <c r="RWP4" s="28"/>
      <c r="RWQ4" s="28"/>
      <c r="RWR4" s="28"/>
      <c r="RWS4" s="28"/>
      <c r="RWT4" s="28"/>
      <c r="RWU4" s="28"/>
      <c r="RWV4" s="28"/>
      <c r="RWW4" s="28"/>
      <c r="RWX4" s="28"/>
      <c r="RWY4" s="28"/>
      <c r="RWZ4" s="28"/>
      <c r="RXA4" s="28"/>
      <c r="RXB4" s="28"/>
      <c r="RXC4" s="28"/>
      <c r="RXD4" s="28"/>
      <c r="RXE4" s="28"/>
      <c r="RXF4" s="28"/>
      <c r="RXG4" s="28"/>
      <c r="RXH4" s="28"/>
      <c r="RXI4" s="28"/>
      <c r="RXJ4" s="28"/>
      <c r="RXK4" s="28"/>
      <c r="RXL4" s="28"/>
      <c r="RXM4" s="28"/>
      <c r="RXN4" s="28"/>
      <c r="RXO4" s="28"/>
      <c r="RXP4" s="28"/>
      <c r="RXQ4" s="28"/>
      <c r="RXR4" s="28"/>
      <c r="RXS4" s="28"/>
      <c r="RXT4" s="28"/>
      <c r="RXU4" s="28"/>
      <c r="RXV4" s="28"/>
      <c r="RXW4" s="28"/>
      <c r="RXX4" s="28"/>
      <c r="RXY4" s="28"/>
      <c r="RXZ4" s="28"/>
      <c r="RYA4" s="28"/>
      <c r="RYB4" s="28"/>
      <c r="RYC4" s="28"/>
      <c r="RYD4" s="28"/>
      <c r="RYE4" s="28"/>
      <c r="RYF4" s="28"/>
      <c r="RYG4" s="28"/>
      <c r="RYH4" s="28"/>
      <c r="RYI4" s="28"/>
      <c r="RYJ4" s="28"/>
      <c r="RYK4" s="28"/>
      <c r="RYL4" s="28"/>
      <c r="RYM4" s="28"/>
      <c r="RYN4" s="28"/>
      <c r="RYO4" s="28"/>
      <c r="RYP4" s="28"/>
      <c r="RYQ4" s="28"/>
      <c r="RYR4" s="28"/>
      <c r="RYS4" s="28"/>
      <c r="RYT4" s="28"/>
      <c r="RYU4" s="28"/>
      <c r="RYV4" s="28"/>
      <c r="RYW4" s="28"/>
      <c r="RYX4" s="28"/>
      <c r="RYY4" s="28"/>
      <c r="RYZ4" s="28"/>
      <c r="RZA4" s="28"/>
      <c r="RZB4" s="28"/>
      <c r="RZC4" s="28"/>
      <c r="RZD4" s="28"/>
      <c r="RZE4" s="28"/>
      <c r="RZF4" s="28"/>
      <c r="RZG4" s="28"/>
      <c r="RZH4" s="28"/>
      <c r="RZI4" s="28"/>
      <c r="RZJ4" s="28"/>
      <c r="RZK4" s="28"/>
      <c r="RZL4" s="28"/>
      <c r="RZM4" s="28"/>
      <c r="RZN4" s="28"/>
      <c r="RZO4" s="28"/>
      <c r="RZP4" s="28"/>
      <c r="RZQ4" s="28"/>
      <c r="RZR4" s="28"/>
      <c r="RZS4" s="28"/>
      <c r="RZT4" s="28"/>
      <c r="RZU4" s="28"/>
      <c r="RZV4" s="28"/>
      <c r="RZW4" s="28"/>
      <c r="RZX4" s="28"/>
      <c r="RZY4" s="28"/>
      <c r="RZZ4" s="28"/>
      <c r="SAA4" s="28"/>
      <c r="SAB4" s="28"/>
      <c r="SAC4" s="28"/>
      <c r="SAD4" s="28"/>
      <c r="SAE4" s="28"/>
      <c r="SAF4" s="28"/>
      <c r="SAG4" s="28"/>
      <c r="SAH4" s="28"/>
      <c r="SAI4" s="28"/>
      <c r="SAJ4" s="28"/>
      <c r="SAK4" s="28"/>
      <c r="SAL4" s="28"/>
      <c r="SAM4" s="28"/>
      <c r="SAN4" s="28"/>
      <c r="SAO4" s="28"/>
      <c r="SAP4" s="28"/>
      <c r="SAQ4" s="28"/>
      <c r="SAR4" s="28"/>
      <c r="SAS4" s="28"/>
      <c r="SAT4" s="28"/>
      <c r="SAU4" s="28"/>
      <c r="SAV4" s="28"/>
      <c r="SAW4" s="28"/>
      <c r="SAX4" s="28"/>
      <c r="SAY4" s="28"/>
      <c r="SAZ4" s="28"/>
      <c r="SBA4" s="28"/>
      <c r="SBB4" s="28"/>
      <c r="SBC4" s="28"/>
      <c r="SBD4" s="28"/>
      <c r="SBE4" s="28"/>
      <c r="SBF4" s="28"/>
      <c r="SBG4" s="28"/>
      <c r="SBH4" s="28"/>
      <c r="SBI4" s="28"/>
      <c r="SBJ4" s="28"/>
      <c r="SBK4" s="28"/>
      <c r="SBL4" s="28"/>
      <c r="SBM4" s="28"/>
      <c r="SBN4" s="28"/>
      <c r="SBO4" s="28"/>
      <c r="SBP4" s="28"/>
      <c r="SBQ4" s="28"/>
      <c r="SBR4" s="28"/>
      <c r="SBS4" s="28"/>
      <c r="SBT4" s="28"/>
      <c r="SBU4" s="28"/>
      <c r="SBV4" s="28"/>
      <c r="SBW4" s="28"/>
      <c r="SBX4" s="28"/>
      <c r="SBY4" s="28"/>
      <c r="SBZ4" s="28"/>
      <c r="SCA4" s="28"/>
      <c r="SCB4" s="28"/>
      <c r="SCC4" s="28"/>
      <c r="SCD4" s="28"/>
      <c r="SCE4" s="28"/>
      <c r="SCF4" s="28"/>
      <c r="SCG4" s="28"/>
      <c r="SCH4" s="28"/>
      <c r="SCI4" s="28"/>
      <c r="SCJ4" s="28"/>
      <c r="SCK4" s="28"/>
      <c r="SCL4" s="28"/>
      <c r="SCM4" s="28"/>
      <c r="SCN4" s="28"/>
      <c r="SCO4" s="28"/>
      <c r="SCP4" s="28"/>
      <c r="SCQ4" s="28"/>
      <c r="SCR4" s="28"/>
      <c r="SCS4" s="28"/>
      <c r="SCT4" s="28"/>
      <c r="SCU4" s="28"/>
      <c r="SCV4" s="28"/>
      <c r="SCW4" s="28"/>
      <c r="SCX4" s="28"/>
      <c r="SCY4" s="28"/>
      <c r="SCZ4" s="28"/>
      <c r="SDA4" s="28"/>
      <c r="SDB4" s="28"/>
      <c r="SDC4" s="28"/>
      <c r="SDD4" s="28"/>
      <c r="SDE4" s="28"/>
      <c r="SDF4" s="28"/>
      <c r="SDG4" s="28"/>
      <c r="SDH4" s="28"/>
      <c r="SDI4" s="28"/>
      <c r="SDJ4" s="28"/>
      <c r="SDK4" s="28"/>
      <c r="SDL4" s="28"/>
      <c r="SDM4" s="28"/>
      <c r="SDN4" s="28"/>
      <c r="SDO4" s="28"/>
      <c r="SDP4" s="28"/>
      <c r="SDQ4" s="28"/>
      <c r="SDR4" s="28"/>
      <c r="SDS4" s="28"/>
      <c r="SDT4" s="28"/>
      <c r="SDU4" s="28"/>
      <c r="SDV4" s="28"/>
      <c r="SDW4" s="28"/>
      <c r="SDX4" s="28"/>
      <c r="SDY4" s="28"/>
      <c r="SDZ4" s="28"/>
      <c r="SEA4" s="28"/>
      <c r="SEB4" s="28"/>
      <c r="SEC4" s="28"/>
      <c r="SED4" s="28"/>
      <c r="SEE4" s="28"/>
      <c r="SEF4" s="28"/>
      <c r="SEG4" s="28"/>
      <c r="SEH4" s="28"/>
      <c r="SEI4" s="28"/>
      <c r="SEJ4" s="28"/>
      <c r="SEK4" s="28"/>
      <c r="SEL4" s="28"/>
      <c r="SEM4" s="28"/>
      <c r="SEN4" s="28"/>
      <c r="SEO4" s="28"/>
      <c r="SEP4" s="28"/>
      <c r="SEQ4" s="28"/>
      <c r="SER4" s="28"/>
      <c r="SES4" s="28"/>
      <c r="SET4" s="28"/>
      <c r="SEU4" s="28"/>
      <c r="SEV4" s="28"/>
      <c r="SEW4" s="28"/>
      <c r="SEX4" s="28"/>
      <c r="SEY4" s="28"/>
      <c r="SEZ4" s="28"/>
      <c r="SFA4" s="28"/>
      <c r="SFB4" s="28"/>
      <c r="SFC4" s="28"/>
      <c r="SFD4" s="28"/>
      <c r="SFE4" s="28"/>
      <c r="SFF4" s="28"/>
      <c r="SFG4" s="28"/>
      <c r="SFH4" s="28"/>
      <c r="SFI4" s="28"/>
      <c r="SFJ4" s="28"/>
      <c r="SFK4" s="28"/>
      <c r="SFL4" s="28"/>
      <c r="SFM4" s="28"/>
      <c r="SFN4" s="28"/>
      <c r="SFO4" s="28"/>
      <c r="SFP4" s="28"/>
      <c r="SFQ4" s="28"/>
      <c r="SFR4" s="28"/>
      <c r="SFS4" s="28"/>
      <c r="SFT4" s="28"/>
      <c r="SFU4" s="28"/>
      <c r="SFV4" s="28"/>
      <c r="SFW4" s="28"/>
      <c r="SFX4" s="28"/>
      <c r="SFY4" s="28"/>
      <c r="SFZ4" s="28"/>
      <c r="SGA4" s="28"/>
      <c r="SGB4" s="28"/>
      <c r="SGC4" s="28"/>
      <c r="SGD4" s="28"/>
      <c r="SGE4" s="28"/>
      <c r="SGF4" s="28"/>
      <c r="SGG4" s="28"/>
      <c r="SGH4" s="28"/>
      <c r="SGI4" s="28"/>
      <c r="SGJ4" s="28"/>
      <c r="SGK4" s="28"/>
      <c r="SGL4" s="28"/>
      <c r="SGM4" s="28"/>
      <c r="SGN4" s="28"/>
      <c r="SGO4" s="28"/>
      <c r="SGP4" s="28"/>
      <c r="SGQ4" s="28"/>
      <c r="SGR4" s="28"/>
      <c r="SGS4" s="28"/>
      <c r="SGT4" s="28"/>
      <c r="SGU4" s="28"/>
      <c r="SGV4" s="28"/>
      <c r="SGW4" s="28"/>
      <c r="SGX4" s="28"/>
      <c r="SGY4" s="28"/>
      <c r="SGZ4" s="28"/>
      <c r="SHA4" s="28"/>
      <c r="SHB4" s="28"/>
      <c r="SHC4" s="28"/>
      <c r="SHD4" s="28"/>
      <c r="SHE4" s="28"/>
      <c r="SHF4" s="28"/>
      <c r="SHG4" s="28"/>
      <c r="SHH4" s="28"/>
      <c r="SHI4" s="28"/>
      <c r="SHJ4" s="28"/>
      <c r="SHK4" s="28"/>
      <c r="SHL4" s="28"/>
      <c r="SHM4" s="28"/>
      <c r="SHN4" s="28"/>
      <c r="SHO4" s="28"/>
      <c r="SHP4" s="28"/>
      <c r="SHQ4" s="28"/>
      <c r="SHR4" s="28"/>
      <c r="SHS4" s="28"/>
      <c r="SHT4" s="28"/>
      <c r="SHU4" s="28"/>
      <c r="SHV4" s="28"/>
      <c r="SHW4" s="28"/>
      <c r="SHX4" s="28"/>
      <c r="SHY4" s="28"/>
      <c r="SHZ4" s="28"/>
      <c r="SIA4" s="28"/>
      <c r="SIB4" s="28"/>
      <c r="SIC4" s="28"/>
      <c r="SID4" s="28"/>
      <c r="SIE4" s="28"/>
      <c r="SIF4" s="28"/>
      <c r="SIG4" s="28"/>
      <c r="SIH4" s="28"/>
      <c r="SII4" s="28"/>
      <c r="SIJ4" s="28"/>
      <c r="SIK4" s="28"/>
      <c r="SIL4" s="28"/>
      <c r="SIM4" s="28"/>
      <c r="SIN4" s="28"/>
      <c r="SIO4" s="28"/>
      <c r="SIP4" s="28"/>
      <c r="SIQ4" s="28"/>
      <c r="SIR4" s="28"/>
      <c r="SIS4" s="28"/>
      <c r="SIT4" s="28"/>
      <c r="SIU4" s="28"/>
      <c r="SIV4" s="28"/>
      <c r="SIW4" s="28"/>
      <c r="SIX4" s="28"/>
      <c r="SIY4" s="28"/>
      <c r="SIZ4" s="28"/>
      <c r="SJA4" s="28"/>
      <c r="SJB4" s="28"/>
      <c r="SJC4" s="28"/>
      <c r="SJD4" s="28"/>
      <c r="SJE4" s="28"/>
      <c r="SJF4" s="28"/>
      <c r="SJG4" s="28"/>
      <c r="SJH4" s="28"/>
      <c r="SJI4" s="28"/>
      <c r="SJJ4" s="28"/>
      <c r="SJK4" s="28"/>
      <c r="SJL4" s="28"/>
      <c r="SJM4" s="28"/>
      <c r="SJN4" s="28"/>
      <c r="SJO4" s="28"/>
      <c r="SJP4" s="28"/>
      <c r="SJQ4" s="28"/>
      <c r="SJR4" s="28"/>
      <c r="SJS4" s="28"/>
      <c r="SJT4" s="28"/>
      <c r="SJU4" s="28"/>
      <c r="SJV4" s="28"/>
      <c r="SJW4" s="28"/>
      <c r="SJX4" s="28"/>
      <c r="SJY4" s="28"/>
      <c r="SJZ4" s="28"/>
      <c r="SKA4" s="28"/>
      <c r="SKB4" s="28"/>
      <c r="SKC4" s="28"/>
      <c r="SKD4" s="28"/>
      <c r="SKE4" s="28"/>
      <c r="SKF4" s="28"/>
      <c r="SKG4" s="28"/>
      <c r="SKH4" s="28"/>
      <c r="SKI4" s="28"/>
      <c r="SKJ4" s="28"/>
      <c r="SKK4" s="28"/>
      <c r="SKL4" s="28"/>
      <c r="SKM4" s="28"/>
      <c r="SKN4" s="28"/>
      <c r="SKO4" s="28"/>
      <c r="SKP4" s="28"/>
      <c r="SKQ4" s="28"/>
      <c r="SKR4" s="28"/>
      <c r="SKS4" s="28"/>
      <c r="SKT4" s="28"/>
      <c r="SKU4" s="28"/>
      <c r="SKV4" s="28"/>
      <c r="SKW4" s="28"/>
      <c r="SKX4" s="28"/>
      <c r="SKY4" s="28"/>
      <c r="SKZ4" s="28"/>
      <c r="SLA4" s="28"/>
      <c r="SLB4" s="28"/>
      <c r="SLC4" s="28"/>
      <c r="SLD4" s="28"/>
      <c r="SLE4" s="28"/>
      <c r="SLF4" s="28"/>
      <c r="SLG4" s="28"/>
      <c r="SLH4" s="28"/>
      <c r="SLI4" s="28"/>
      <c r="SLJ4" s="28"/>
      <c r="SLK4" s="28"/>
      <c r="SLL4" s="28"/>
      <c r="SLM4" s="28"/>
      <c r="SLN4" s="28"/>
      <c r="SLO4" s="28"/>
      <c r="SLP4" s="28"/>
      <c r="SLQ4" s="28"/>
      <c r="SLR4" s="28"/>
      <c r="SLS4" s="28"/>
      <c r="SLT4" s="28"/>
      <c r="SLU4" s="28"/>
      <c r="SLV4" s="28"/>
      <c r="SLW4" s="28"/>
      <c r="SLX4" s="28"/>
      <c r="SLY4" s="28"/>
      <c r="SLZ4" s="28"/>
      <c r="SMA4" s="28"/>
      <c r="SMB4" s="28"/>
      <c r="SMC4" s="28"/>
      <c r="SMD4" s="28"/>
      <c r="SME4" s="28"/>
      <c r="SMF4" s="28"/>
      <c r="SMG4" s="28"/>
      <c r="SMH4" s="28"/>
      <c r="SMI4" s="28"/>
      <c r="SMJ4" s="28"/>
      <c r="SMK4" s="28"/>
      <c r="SML4" s="28"/>
      <c r="SMM4" s="28"/>
      <c r="SMN4" s="28"/>
      <c r="SMO4" s="28"/>
      <c r="SMP4" s="28"/>
      <c r="SMQ4" s="28"/>
      <c r="SMR4" s="28"/>
      <c r="SMS4" s="28"/>
      <c r="SMT4" s="28"/>
      <c r="SMU4" s="28"/>
      <c r="SMV4" s="28"/>
      <c r="SMW4" s="28"/>
      <c r="SMX4" s="28"/>
      <c r="SMY4" s="28"/>
      <c r="SMZ4" s="28"/>
      <c r="SNA4" s="28"/>
      <c r="SNB4" s="28"/>
      <c r="SNC4" s="28"/>
      <c r="SND4" s="28"/>
      <c r="SNE4" s="28"/>
      <c r="SNF4" s="28"/>
      <c r="SNG4" s="28"/>
      <c r="SNH4" s="28"/>
      <c r="SNI4" s="28"/>
      <c r="SNJ4" s="28"/>
      <c r="SNK4" s="28"/>
      <c r="SNL4" s="28"/>
      <c r="SNM4" s="28"/>
      <c r="SNN4" s="28"/>
      <c r="SNO4" s="28"/>
      <c r="SNP4" s="28"/>
      <c r="SNQ4" s="28"/>
      <c r="SNR4" s="28"/>
      <c r="SNS4" s="28"/>
      <c r="SNT4" s="28"/>
      <c r="SNU4" s="28"/>
      <c r="SNV4" s="28"/>
      <c r="SNW4" s="28"/>
      <c r="SNX4" s="28"/>
      <c r="SNY4" s="28"/>
      <c r="SNZ4" s="28"/>
      <c r="SOA4" s="28"/>
      <c r="SOB4" s="28"/>
      <c r="SOC4" s="28"/>
      <c r="SOD4" s="28"/>
      <c r="SOE4" s="28"/>
      <c r="SOF4" s="28"/>
      <c r="SOG4" s="28"/>
      <c r="SOH4" s="28"/>
      <c r="SOI4" s="28"/>
      <c r="SOJ4" s="28"/>
      <c r="SOK4" s="28"/>
      <c r="SOL4" s="28"/>
      <c r="SOM4" s="28"/>
      <c r="SON4" s="28"/>
      <c r="SOO4" s="28"/>
      <c r="SOP4" s="28"/>
      <c r="SOQ4" s="28"/>
      <c r="SOR4" s="28"/>
      <c r="SOS4" s="28"/>
      <c r="SOT4" s="28"/>
      <c r="SOU4" s="28"/>
      <c r="SOV4" s="28"/>
      <c r="SOW4" s="28"/>
      <c r="SOX4" s="28"/>
      <c r="SOY4" s="28"/>
      <c r="SOZ4" s="28"/>
      <c r="SPA4" s="28"/>
      <c r="SPB4" s="28"/>
      <c r="SPC4" s="28"/>
      <c r="SPD4" s="28"/>
      <c r="SPE4" s="28"/>
      <c r="SPF4" s="28"/>
      <c r="SPG4" s="28"/>
      <c r="SPH4" s="28"/>
      <c r="SPI4" s="28"/>
      <c r="SPJ4" s="28"/>
      <c r="SPK4" s="28"/>
      <c r="SPL4" s="28"/>
      <c r="SPM4" s="28"/>
      <c r="SPN4" s="28"/>
      <c r="SPO4" s="28"/>
      <c r="SPP4" s="28"/>
      <c r="SPQ4" s="28"/>
      <c r="SPR4" s="28"/>
      <c r="SPS4" s="28"/>
      <c r="SPT4" s="28"/>
      <c r="SPU4" s="28"/>
      <c r="SPV4" s="28"/>
      <c r="SPW4" s="28"/>
      <c r="SPX4" s="28"/>
      <c r="SPY4" s="28"/>
      <c r="SPZ4" s="28"/>
      <c r="SQA4" s="28"/>
      <c r="SQB4" s="28"/>
      <c r="SQC4" s="28"/>
      <c r="SQD4" s="28"/>
      <c r="SQE4" s="28"/>
      <c r="SQF4" s="28"/>
      <c r="SQG4" s="28"/>
      <c r="SQH4" s="28"/>
      <c r="SQI4" s="28"/>
      <c r="SQJ4" s="28"/>
      <c r="SQK4" s="28"/>
      <c r="SQL4" s="28"/>
      <c r="SQM4" s="28"/>
      <c r="SQN4" s="28"/>
      <c r="SQO4" s="28"/>
      <c r="SQP4" s="28"/>
      <c r="SQQ4" s="28"/>
      <c r="SQR4" s="28"/>
      <c r="SQS4" s="28"/>
      <c r="SQT4" s="28"/>
      <c r="SQU4" s="28"/>
      <c r="SQV4" s="28"/>
      <c r="SQW4" s="28"/>
      <c r="SQX4" s="28"/>
      <c r="SQY4" s="28"/>
      <c r="SQZ4" s="28"/>
      <c r="SRA4" s="28"/>
      <c r="SRB4" s="28"/>
      <c r="SRC4" s="28"/>
      <c r="SRD4" s="28"/>
      <c r="SRE4" s="28"/>
      <c r="SRF4" s="28"/>
      <c r="SRG4" s="28"/>
      <c r="SRH4" s="28"/>
      <c r="SRI4" s="28"/>
      <c r="SRJ4" s="28"/>
      <c r="SRK4" s="28"/>
      <c r="SRL4" s="28"/>
      <c r="SRM4" s="28"/>
      <c r="SRN4" s="28"/>
      <c r="SRO4" s="28"/>
      <c r="SRP4" s="28"/>
      <c r="SRQ4" s="28"/>
      <c r="SRR4" s="28"/>
      <c r="SRS4" s="28"/>
      <c r="SRT4" s="28"/>
      <c r="SRU4" s="28"/>
      <c r="SRV4" s="28"/>
      <c r="SRW4" s="28"/>
      <c r="SRX4" s="28"/>
      <c r="SRY4" s="28"/>
      <c r="SRZ4" s="28"/>
      <c r="SSA4" s="28"/>
      <c r="SSB4" s="28"/>
      <c r="SSC4" s="28"/>
      <c r="SSD4" s="28"/>
      <c r="SSE4" s="28"/>
      <c r="SSF4" s="28"/>
      <c r="SSG4" s="28"/>
      <c r="SSH4" s="28"/>
      <c r="SSI4" s="28"/>
      <c r="SSJ4" s="28"/>
      <c r="SSK4" s="28"/>
      <c r="SSL4" s="28"/>
      <c r="SSM4" s="28"/>
      <c r="SSN4" s="28"/>
      <c r="SSO4" s="28"/>
      <c r="SSP4" s="28"/>
      <c r="SSQ4" s="28"/>
      <c r="SSR4" s="28"/>
      <c r="SSS4" s="28"/>
      <c r="SST4" s="28"/>
      <c r="SSU4" s="28"/>
      <c r="SSV4" s="28"/>
      <c r="SSW4" s="28"/>
      <c r="SSX4" s="28"/>
      <c r="SSY4" s="28"/>
      <c r="SSZ4" s="28"/>
      <c r="STA4" s="28"/>
      <c r="STB4" s="28"/>
      <c r="STC4" s="28"/>
      <c r="STD4" s="28"/>
      <c r="STE4" s="28"/>
      <c r="STF4" s="28"/>
      <c r="STG4" s="28"/>
      <c r="STH4" s="28"/>
      <c r="STI4" s="28"/>
      <c r="STJ4" s="28"/>
      <c r="STK4" s="28"/>
      <c r="STL4" s="28"/>
      <c r="STM4" s="28"/>
      <c r="STN4" s="28"/>
      <c r="STO4" s="28"/>
      <c r="STP4" s="28"/>
      <c r="STQ4" s="28"/>
      <c r="STR4" s="28"/>
      <c r="STS4" s="28"/>
      <c r="STT4" s="28"/>
      <c r="STU4" s="28"/>
      <c r="STV4" s="28"/>
      <c r="STW4" s="28"/>
      <c r="STX4" s="28"/>
      <c r="STY4" s="28"/>
      <c r="STZ4" s="28"/>
      <c r="SUA4" s="28"/>
      <c r="SUB4" s="28"/>
      <c r="SUC4" s="28"/>
      <c r="SUD4" s="28"/>
      <c r="SUE4" s="28"/>
      <c r="SUF4" s="28"/>
      <c r="SUG4" s="28"/>
      <c r="SUH4" s="28"/>
      <c r="SUI4" s="28"/>
      <c r="SUJ4" s="28"/>
      <c r="SUK4" s="28"/>
      <c r="SUL4" s="28"/>
      <c r="SUM4" s="28"/>
      <c r="SUN4" s="28"/>
      <c r="SUO4" s="28"/>
      <c r="SUP4" s="28"/>
      <c r="SUQ4" s="28"/>
      <c r="SUR4" s="28"/>
      <c r="SUS4" s="28"/>
      <c r="SUT4" s="28"/>
      <c r="SUU4" s="28"/>
      <c r="SUV4" s="28"/>
      <c r="SUW4" s="28"/>
      <c r="SUX4" s="28"/>
      <c r="SUY4" s="28"/>
      <c r="SUZ4" s="28"/>
      <c r="SVA4" s="28"/>
      <c r="SVB4" s="28"/>
      <c r="SVC4" s="28"/>
      <c r="SVD4" s="28"/>
      <c r="SVE4" s="28"/>
      <c r="SVF4" s="28"/>
      <c r="SVG4" s="28"/>
      <c r="SVH4" s="28"/>
      <c r="SVI4" s="28"/>
      <c r="SVJ4" s="28"/>
      <c r="SVK4" s="28"/>
      <c r="SVL4" s="28"/>
      <c r="SVM4" s="28"/>
      <c r="SVN4" s="28"/>
      <c r="SVO4" s="28"/>
      <c r="SVP4" s="28"/>
      <c r="SVQ4" s="28"/>
      <c r="SVR4" s="28"/>
      <c r="SVS4" s="28"/>
      <c r="SVT4" s="28"/>
      <c r="SVU4" s="28"/>
      <c r="SVV4" s="28"/>
      <c r="SVW4" s="28"/>
      <c r="SVX4" s="28"/>
      <c r="SVY4" s="28"/>
      <c r="SVZ4" s="28"/>
      <c r="SWA4" s="28"/>
      <c r="SWB4" s="28"/>
      <c r="SWC4" s="28"/>
      <c r="SWD4" s="28"/>
      <c r="SWE4" s="28"/>
      <c r="SWF4" s="28"/>
      <c r="SWG4" s="28"/>
      <c r="SWH4" s="28"/>
      <c r="SWI4" s="28"/>
      <c r="SWJ4" s="28"/>
      <c r="SWK4" s="28"/>
      <c r="SWL4" s="28"/>
      <c r="SWM4" s="28"/>
      <c r="SWN4" s="28"/>
      <c r="SWO4" s="28"/>
      <c r="SWP4" s="28"/>
      <c r="SWQ4" s="28"/>
      <c r="SWR4" s="28"/>
      <c r="SWS4" s="28"/>
      <c r="SWT4" s="28"/>
      <c r="SWU4" s="28"/>
      <c r="SWV4" s="28"/>
      <c r="SWW4" s="28"/>
      <c r="SWX4" s="28"/>
      <c r="SWY4" s="28"/>
      <c r="SWZ4" s="28"/>
      <c r="SXA4" s="28"/>
      <c r="SXB4" s="28"/>
      <c r="SXC4" s="28"/>
      <c r="SXD4" s="28"/>
      <c r="SXE4" s="28"/>
      <c r="SXF4" s="28"/>
      <c r="SXG4" s="28"/>
      <c r="SXH4" s="28"/>
      <c r="SXI4" s="28"/>
      <c r="SXJ4" s="28"/>
      <c r="SXK4" s="28"/>
      <c r="SXL4" s="28"/>
      <c r="SXM4" s="28"/>
      <c r="SXN4" s="28"/>
      <c r="SXO4" s="28"/>
      <c r="SXP4" s="28"/>
      <c r="SXQ4" s="28"/>
      <c r="SXR4" s="28"/>
      <c r="SXS4" s="28"/>
      <c r="SXT4" s="28"/>
      <c r="SXU4" s="28"/>
      <c r="SXV4" s="28"/>
      <c r="SXW4" s="28"/>
      <c r="SXX4" s="28"/>
      <c r="SXY4" s="28"/>
      <c r="SXZ4" s="28"/>
      <c r="SYA4" s="28"/>
      <c r="SYB4" s="28"/>
      <c r="SYC4" s="28"/>
      <c r="SYD4" s="28"/>
      <c r="SYE4" s="28"/>
      <c r="SYF4" s="28"/>
      <c r="SYG4" s="28"/>
      <c r="SYH4" s="28"/>
      <c r="SYI4" s="28"/>
      <c r="SYJ4" s="28"/>
      <c r="SYK4" s="28"/>
      <c r="SYL4" s="28"/>
      <c r="SYM4" s="28"/>
      <c r="SYN4" s="28"/>
      <c r="SYO4" s="28"/>
      <c r="SYP4" s="28"/>
      <c r="SYQ4" s="28"/>
      <c r="SYR4" s="28"/>
      <c r="SYS4" s="28"/>
      <c r="SYT4" s="28"/>
      <c r="SYU4" s="28"/>
      <c r="SYV4" s="28"/>
      <c r="SYW4" s="28"/>
      <c r="SYX4" s="28"/>
      <c r="SYY4" s="28"/>
      <c r="SYZ4" s="28"/>
      <c r="SZA4" s="28"/>
      <c r="SZB4" s="28"/>
      <c r="SZC4" s="28"/>
      <c r="SZD4" s="28"/>
      <c r="SZE4" s="28"/>
      <c r="SZF4" s="28"/>
      <c r="SZG4" s="28"/>
      <c r="SZH4" s="28"/>
      <c r="SZI4" s="28"/>
      <c r="SZJ4" s="28"/>
      <c r="SZK4" s="28"/>
      <c r="SZL4" s="28"/>
      <c r="SZM4" s="28"/>
      <c r="SZN4" s="28"/>
      <c r="SZO4" s="28"/>
      <c r="SZP4" s="28"/>
      <c r="SZQ4" s="28"/>
      <c r="SZR4" s="28"/>
      <c r="SZS4" s="28"/>
      <c r="SZT4" s="28"/>
      <c r="SZU4" s="28"/>
      <c r="SZV4" s="28"/>
      <c r="SZW4" s="28"/>
      <c r="SZX4" s="28"/>
      <c r="SZY4" s="28"/>
      <c r="SZZ4" s="28"/>
      <c r="TAA4" s="28"/>
      <c r="TAB4" s="28"/>
      <c r="TAC4" s="28"/>
      <c r="TAD4" s="28"/>
      <c r="TAE4" s="28"/>
      <c r="TAF4" s="28"/>
      <c r="TAG4" s="28"/>
      <c r="TAH4" s="28"/>
      <c r="TAI4" s="28"/>
      <c r="TAJ4" s="28"/>
      <c r="TAK4" s="28"/>
      <c r="TAL4" s="28"/>
      <c r="TAM4" s="28"/>
      <c r="TAN4" s="28"/>
      <c r="TAO4" s="28"/>
      <c r="TAP4" s="28"/>
      <c r="TAQ4" s="28"/>
      <c r="TAR4" s="28"/>
      <c r="TAS4" s="28"/>
      <c r="TAT4" s="28"/>
      <c r="TAU4" s="28"/>
      <c r="TAV4" s="28"/>
      <c r="TAW4" s="28"/>
      <c r="TAX4" s="28"/>
      <c r="TAY4" s="28"/>
      <c r="TAZ4" s="28"/>
      <c r="TBA4" s="28"/>
      <c r="TBB4" s="28"/>
      <c r="TBC4" s="28"/>
      <c r="TBD4" s="28"/>
      <c r="TBE4" s="28"/>
      <c r="TBF4" s="28"/>
      <c r="TBG4" s="28"/>
      <c r="TBH4" s="28"/>
      <c r="TBI4" s="28"/>
      <c r="TBJ4" s="28"/>
      <c r="TBK4" s="28"/>
      <c r="TBL4" s="28"/>
      <c r="TBM4" s="28"/>
      <c r="TBN4" s="28"/>
      <c r="TBO4" s="28"/>
      <c r="TBP4" s="28"/>
      <c r="TBQ4" s="28"/>
      <c r="TBR4" s="28"/>
      <c r="TBS4" s="28"/>
      <c r="TBT4" s="28"/>
      <c r="TBU4" s="28"/>
      <c r="TBV4" s="28"/>
      <c r="TBW4" s="28"/>
      <c r="TBX4" s="28"/>
      <c r="TBY4" s="28"/>
      <c r="TBZ4" s="28"/>
      <c r="TCA4" s="28"/>
      <c r="TCB4" s="28"/>
      <c r="TCC4" s="28"/>
      <c r="TCD4" s="28"/>
      <c r="TCE4" s="28"/>
      <c r="TCF4" s="28"/>
      <c r="TCG4" s="28"/>
      <c r="TCH4" s="28"/>
      <c r="TCI4" s="28"/>
      <c r="TCJ4" s="28"/>
      <c r="TCK4" s="28"/>
      <c r="TCL4" s="28"/>
      <c r="TCM4" s="28"/>
      <c r="TCN4" s="28"/>
      <c r="TCO4" s="28"/>
      <c r="TCP4" s="28"/>
      <c r="TCQ4" s="28"/>
      <c r="TCR4" s="28"/>
      <c r="TCS4" s="28"/>
      <c r="TCT4" s="28"/>
      <c r="TCU4" s="28"/>
      <c r="TCV4" s="28"/>
      <c r="TCW4" s="28"/>
      <c r="TCX4" s="28"/>
      <c r="TCY4" s="28"/>
      <c r="TCZ4" s="28"/>
      <c r="TDA4" s="28"/>
      <c r="TDB4" s="28"/>
      <c r="TDC4" s="28"/>
      <c r="TDD4" s="28"/>
      <c r="TDE4" s="28"/>
      <c r="TDF4" s="28"/>
      <c r="TDG4" s="28"/>
      <c r="TDH4" s="28"/>
      <c r="TDI4" s="28"/>
      <c r="TDJ4" s="28"/>
      <c r="TDK4" s="28"/>
      <c r="TDL4" s="28"/>
      <c r="TDM4" s="28"/>
      <c r="TDN4" s="28"/>
      <c r="TDO4" s="28"/>
      <c r="TDP4" s="28"/>
      <c r="TDQ4" s="28"/>
      <c r="TDR4" s="28"/>
      <c r="TDS4" s="28"/>
      <c r="TDT4" s="28"/>
      <c r="TDU4" s="28"/>
      <c r="TDV4" s="28"/>
      <c r="TDW4" s="28"/>
      <c r="TDX4" s="28"/>
      <c r="TDY4" s="28"/>
      <c r="TDZ4" s="28"/>
      <c r="TEA4" s="28"/>
      <c r="TEB4" s="28"/>
      <c r="TEC4" s="28"/>
      <c r="TED4" s="28"/>
      <c r="TEE4" s="28"/>
      <c r="TEF4" s="28"/>
      <c r="TEG4" s="28"/>
      <c r="TEH4" s="28"/>
      <c r="TEI4" s="28"/>
      <c r="TEJ4" s="28"/>
      <c r="TEK4" s="28"/>
      <c r="TEL4" s="28"/>
      <c r="TEM4" s="28"/>
      <c r="TEN4" s="28"/>
      <c r="TEO4" s="28"/>
      <c r="TEP4" s="28"/>
      <c r="TEQ4" s="28"/>
      <c r="TER4" s="28"/>
      <c r="TES4" s="28"/>
      <c r="TET4" s="28"/>
      <c r="TEU4" s="28"/>
      <c r="TEV4" s="28"/>
      <c r="TEW4" s="28"/>
      <c r="TEX4" s="28"/>
      <c r="TEY4" s="28"/>
      <c r="TEZ4" s="28"/>
      <c r="TFA4" s="28"/>
      <c r="TFB4" s="28"/>
      <c r="TFC4" s="28"/>
      <c r="TFD4" s="28"/>
      <c r="TFE4" s="28"/>
      <c r="TFF4" s="28"/>
      <c r="TFG4" s="28"/>
      <c r="TFH4" s="28"/>
      <c r="TFI4" s="28"/>
      <c r="TFJ4" s="28"/>
      <c r="TFK4" s="28"/>
      <c r="TFL4" s="28"/>
      <c r="TFM4" s="28"/>
      <c r="TFN4" s="28"/>
      <c r="TFO4" s="28"/>
      <c r="TFP4" s="28"/>
      <c r="TFQ4" s="28"/>
      <c r="TFR4" s="28"/>
      <c r="TFS4" s="28"/>
      <c r="TFT4" s="28"/>
      <c r="TFU4" s="28"/>
      <c r="TFV4" s="28"/>
      <c r="TFW4" s="28"/>
      <c r="TFX4" s="28"/>
      <c r="TFY4" s="28"/>
      <c r="TFZ4" s="28"/>
      <c r="TGA4" s="28"/>
      <c r="TGB4" s="28"/>
      <c r="TGC4" s="28"/>
      <c r="TGD4" s="28"/>
      <c r="TGE4" s="28"/>
      <c r="TGF4" s="28"/>
      <c r="TGG4" s="28"/>
      <c r="TGH4" s="28"/>
      <c r="TGI4" s="28"/>
      <c r="TGJ4" s="28"/>
      <c r="TGK4" s="28"/>
      <c r="TGL4" s="28"/>
      <c r="TGM4" s="28"/>
      <c r="TGN4" s="28"/>
      <c r="TGO4" s="28"/>
      <c r="TGP4" s="28"/>
      <c r="TGQ4" s="28"/>
      <c r="TGR4" s="28"/>
      <c r="TGS4" s="28"/>
      <c r="TGT4" s="28"/>
      <c r="TGU4" s="28"/>
      <c r="TGV4" s="28"/>
      <c r="TGW4" s="28"/>
      <c r="TGX4" s="28"/>
      <c r="TGY4" s="28"/>
      <c r="TGZ4" s="28"/>
      <c r="THA4" s="28"/>
      <c r="THB4" s="28"/>
      <c r="THC4" s="28"/>
      <c r="THD4" s="28"/>
      <c r="THE4" s="28"/>
      <c r="THF4" s="28"/>
      <c r="THG4" s="28"/>
      <c r="THH4" s="28"/>
      <c r="THI4" s="28"/>
      <c r="THJ4" s="28"/>
      <c r="THK4" s="28"/>
      <c r="THL4" s="28"/>
      <c r="THM4" s="28"/>
      <c r="THN4" s="28"/>
      <c r="THO4" s="28"/>
      <c r="THP4" s="28"/>
      <c r="THQ4" s="28"/>
      <c r="THR4" s="28"/>
      <c r="THS4" s="28"/>
      <c r="THT4" s="28"/>
      <c r="THU4" s="28"/>
      <c r="THV4" s="28"/>
      <c r="THW4" s="28"/>
      <c r="THX4" s="28"/>
      <c r="THY4" s="28"/>
      <c r="THZ4" s="28"/>
      <c r="TIA4" s="28"/>
      <c r="TIB4" s="28"/>
      <c r="TIC4" s="28"/>
      <c r="TID4" s="28"/>
      <c r="TIE4" s="28"/>
      <c r="TIF4" s="28"/>
      <c r="TIG4" s="28"/>
      <c r="TIH4" s="28"/>
      <c r="TII4" s="28"/>
      <c r="TIJ4" s="28"/>
      <c r="TIK4" s="28"/>
      <c r="TIL4" s="28"/>
      <c r="TIM4" s="28"/>
      <c r="TIN4" s="28"/>
      <c r="TIO4" s="28"/>
      <c r="TIP4" s="28"/>
      <c r="TIQ4" s="28"/>
      <c r="TIR4" s="28"/>
      <c r="TIS4" s="28"/>
      <c r="TIT4" s="28"/>
      <c r="TIU4" s="28"/>
      <c r="TIV4" s="28"/>
      <c r="TIW4" s="28"/>
      <c r="TIX4" s="28"/>
      <c r="TIY4" s="28"/>
      <c r="TIZ4" s="28"/>
      <c r="TJA4" s="28"/>
      <c r="TJB4" s="28"/>
      <c r="TJC4" s="28"/>
      <c r="TJD4" s="28"/>
      <c r="TJE4" s="28"/>
      <c r="TJF4" s="28"/>
      <c r="TJG4" s="28"/>
      <c r="TJH4" s="28"/>
      <c r="TJI4" s="28"/>
      <c r="TJJ4" s="28"/>
      <c r="TJK4" s="28"/>
      <c r="TJL4" s="28"/>
      <c r="TJM4" s="28"/>
      <c r="TJN4" s="28"/>
      <c r="TJO4" s="28"/>
      <c r="TJP4" s="28"/>
      <c r="TJQ4" s="28"/>
      <c r="TJR4" s="28"/>
      <c r="TJS4" s="28"/>
      <c r="TJT4" s="28"/>
      <c r="TJU4" s="28"/>
      <c r="TJV4" s="28"/>
      <c r="TJW4" s="28"/>
      <c r="TJX4" s="28"/>
      <c r="TJY4" s="28"/>
      <c r="TJZ4" s="28"/>
      <c r="TKA4" s="28"/>
      <c r="TKB4" s="28"/>
      <c r="TKC4" s="28"/>
      <c r="TKD4" s="28"/>
      <c r="TKE4" s="28"/>
      <c r="TKF4" s="28"/>
      <c r="TKG4" s="28"/>
      <c r="TKH4" s="28"/>
      <c r="TKI4" s="28"/>
      <c r="TKJ4" s="28"/>
      <c r="TKK4" s="28"/>
      <c r="TKL4" s="28"/>
      <c r="TKM4" s="28"/>
      <c r="TKN4" s="28"/>
      <c r="TKO4" s="28"/>
      <c r="TKP4" s="28"/>
      <c r="TKQ4" s="28"/>
      <c r="TKR4" s="28"/>
      <c r="TKS4" s="28"/>
      <c r="TKT4" s="28"/>
      <c r="TKU4" s="28"/>
      <c r="TKV4" s="28"/>
      <c r="TKW4" s="28"/>
      <c r="TKX4" s="28"/>
      <c r="TKY4" s="28"/>
      <c r="TKZ4" s="28"/>
      <c r="TLA4" s="28"/>
      <c r="TLB4" s="28"/>
      <c r="TLC4" s="28"/>
      <c r="TLD4" s="28"/>
      <c r="TLE4" s="28"/>
      <c r="TLF4" s="28"/>
      <c r="TLG4" s="28"/>
      <c r="TLH4" s="28"/>
      <c r="TLI4" s="28"/>
      <c r="TLJ4" s="28"/>
      <c r="TLK4" s="28"/>
      <c r="TLL4" s="28"/>
      <c r="TLM4" s="28"/>
      <c r="TLN4" s="28"/>
      <c r="TLO4" s="28"/>
      <c r="TLP4" s="28"/>
      <c r="TLQ4" s="28"/>
      <c r="TLR4" s="28"/>
      <c r="TLS4" s="28"/>
      <c r="TLT4" s="28"/>
      <c r="TLU4" s="28"/>
      <c r="TLV4" s="28"/>
      <c r="TLW4" s="28"/>
      <c r="TLX4" s="28"/>
      <c r="TLY4" s="28"/>
      <c r="TLZ4" s="28"/>
      <c r="TMA4" s="28"/>
      <c r="TMB4" s="28"/>
      <c r="TMC4" s="28"/>
      <c r="TMD4" s="28"/>
      <c r="TME4" s="28"/>
      <c r="TMF4" s="28"/>
      <c r="TMG4" s="28"/>
      <c r="TMH4" s="28"/>
      <c r="TMI4" s="28"/>
      <c r="TMJ4" s="28"/>
      <c r="TMK4" s="28"/>
      <c r="TML4" s="28"/>
      <c r="TMM4" s="28"/>
      <c r="TMN4" s="28"/>
      <c r="TMO4" s="28"/>
      <c r="TMP4" s="28"/>
      <c r="TMQ4" s="28"/>
      <c r="TMR4" s="28"/>
      <c r="TMS4" s="28"/>
      <c r="TMT4" s="28"/>
      <c r="TMU4" s="28"/>
      <c r="TMV4" s="28"/>
      <c r="TMW4" s="28"/>
      <c r="TMX4" s="28"/>
      <c r="TMY4" s="28"/>
      <c r="TMZ4" s="28"/>
      <c r="TNA4" s="28"/>
      <c r="TNB4" s="28"/>
      <c r="TNC4" s="28"/>
      <c r="TND4" s="28"/>
      <c r="TNE4" s="28"/>
      <c r="TNF4" s="28"/>
      <c r="TNG4" s="28"/>
      <c r="TNH4" s="28"/>
      <c r="TNI4" s="28"/>
      <c r="TNJ4" s="28"/>
      <c r="TNK4" s="28"/>
      <c r="TNL4" s="28"/>
      <c r="TNM4" s="28"/>
      <c r="TNN4" s="28"/>
      <c r="TNO4" s="28"/>
      <c r="TNP4" s="28"/>
      <c r="TNQ4" s="28"/>
      <c r="TNR4" s="28"/>
      <c r="TNS4" s="28"/>
      <c r="TNT4" s="28"/>
      <c r="TNU4" s="28"/>
      <c r="TNV4" s="28"/>
      <c r="TNW4" s="28"/>
      <c r="TNX4" s="28"/>
      <c r="TNY4" s="28"/>
      <c r="TNZ4" s="28"/>
      <c r="TOA4" s="28"/>
      <c r="TOB4" s="28"/>
      <c r="TOC4" s="28"/>
      <c r="TOD4" s="28"/>
      <c r="TOE4" s="28"/>
      <c r="TOF4" s="28"/>
      <c r="TOG4" s="28"/>
      <c r="TOH4" s="28"/>
      <c r="TOI4" s="28"/>
      <c r="TOJ4" s="28"/>
      <c r="TOK4" s="28"/>
      <c r="TOL4" s="28"/>
      <c r="TOM4" s="28"/>
      <c r="TON4" s="28"/>
      <c r="TOO4" s="28"/>
      <c r="TOP4" s="28"/>
      <c r="TOQ4" s="28"/>
      <c r="TOR4" s="28"/>
      <c r="TOS4" s="28"/>
      <c r="TOT4" s="28"/>
      <c r="TOU4" s="28"/>
      <c r="TOV4" s="28"/>
      <c r="TOW4" s="28"/>
      <c r="TOX4" s="28"/>
      <c r="TOY4" s="28"/>
      <c r="TOZ4" s="28"/>
      <c r="TPA4" s="28"/>
      <c r="TPB4" s="28"/>
      <c r="TPC4" s="28"/>
      <c r="TPD4" s="28"/>
      <c r="TPE4" s="28"/>
      <c r="TPF4" s="28"/>
      <c r="TPG4" s="28"/>
      <c r="TPH4" s="28"/>
      <c r="TPI4" s="28"/>
      <c r="TPJ4" s="28"/>
      <c r="TPK4" s="28"/>
      <c r="TPL4" s="28"/>
      <c r="TPM4" s="28"/>
      <c r="TPN4" s="28"/>
      <c r="TPO4" s="28"/>
      <c r="TPP4" s="28"/>
      <c r="TPQ4" s="28"/>
      <c r="TPR4" s="28"/>
      <c r="TPS4" s="28"/>
      <c r="TPT4" s="28"/>
      <c r="TPU4" s="28"/>
      <c r="TPV4" s="28"/>
      <c r="TPW4" s="28"/>
      <c r="TPX4" s="28"/>
      <c r="TPY4" s="28"/>
      <c r="TPZ4" s="28"/>
      <c r="TQA4" s="28"/>
      <c r="TQB4" s="28"/>
      <c r="TQC4" s="28"/>
      <c r="TQD4" s="28"/>
      <c r="TQE4" s="28"/>
      <c r="TQF4" s="28"/>
      <c r="TQG4" s="28"/>
      <c r="TQH4" s="28"/>
      <c r="TQI4" s="28"/>
      <c r="TQJ4" s="28"/>
      <c r="TQK4" s="28"/>
      <c r="TQL4" s="28"/>
      <c r="TQM4" s="28"/>
      <c r="TQN4" s="28"/>
      <c r="TQO4" s="28"/>
      <c r="TQP4" s="28"/>
      <c r="TQQ4" s="28"/>
      <c r="TQR4" s="28"/>
      <c r="TQS4" s="28"/>
      <c r="TQT4" s="28"/>
      <c r="TQU4" s="28"/>
      <c r="TQV4" s="28"/>
      <c r="TQW4" s="28"/>
      <c r="TQX4" s="28"/>
      <c r="TQY4" s="28"/>
      <c r="TQZ4" s="28"/>
      <c r="TRA4" s="28"/>
      <c r="TRB4" s="28"/>
      <c r="TRC4" s="28"/>
      <c r="TRD4" s="28"/>
      <c r="TRE4" s="28"/>
      <c r="TRF4" s="28"/>
      <c r="TRG4" s="28"/>
      <c r="TRH4" s="28"/>
      <c r="TRI4" s="28"/>
      <c r="TRJ4" s="28"/>
      <c r="TRK4" s="28"/>
      <c r="TRL4" s="28"/>
      <c r="TRM4" s="28"/>
      <c r="TRN4" s="28"/>
      <c r="TRO4" s="28"/>
      <c r="TRP4" s="28"/>
      <c r="TRQ4" s="28"/>
      <c r="TRR4" s="28"/>
      <c r="TRS4" s="28"/>
      <c r="TRT4" s="28"/>
      <c r="TRU4" s="28"/>
      <c r="TRV4" s="28"/>
      <c r="TRW4" s="28"/>
      <c r="TRX4" s="28"/>
      <c r="TRY4" s="28"/>
      <c r="TRZ4" s="28"/>
      <c r="TSA4" s="28"/>
      <c r="TSB4" s="28"/>
      <c r="TSC4" s="28"/>
      <c r="TSD4" s="28"/>
      <c r="TSE4" s="28"/>
      <c r="TSF4" s="28"/>
      <c r="TSG4" s="28"/>
      <c r="TSH4" s="28"/>
      <c r="TSI4" s="28"/>
      <c r="TSJ4" s="28"/>
      <c r="TSK4" s="28"/>
      <c r="TSL4" s="28"/>
      <c r="TSM4" s="28"/>
      <c r="TSN4" s="28"/>
      <c r="TSO4" s="28"/>
      <c r="TSP4" s="28"/>
      <c r="TSQ4" s="28"/>
      <c r="TSR4" s="28"/>
      <c r="TSS4" s="28"/>
      <c r="TST4" s="28"/>
      <c r="TSU4" s="28"/>
      <c r="TSV4" s="28"/>
      <c r="TSW4" s="28"/>
      <c r="TSX4" s="28"/>
      <c r="TSY4" s="28"/>
      <c r="TSZ4" s="28"/>
      <c r="TTA4" s="28"/>
      <c r="TTB4" s="28"/>
      <c r="TTC4" s="28"/>
      <c r="TTD4" s="28"/>
      <c r="TTE4" s="28"/>
      <c r="TTF4" s="28"/>
      <c r="TTG4" s="28"/>
      <c r="TTH4" s="28"/>
      <c r="TTI4" s="28"/>
      <c r="TTJ4" s="28"/>
      <c r="TTK4" s="28"/>
      <c r="TTL4" s="28"/>
      <c r="TTM4" s="28"/>
      <c r="TTN4" s="28"/>
      <c r="TTO4" s="28"/>
      <c r="TTP4" s="28"/>
      <c r="TTQ4" s="28"/>
      <c r="TTR4" s="28"/>
      <c r="TTS4" s="28"/>
      <c r="TTT4" s="28"/>
      <c r="TTU4" s="28"/>
      <c r="TTV4" s="28"/>
      <c r="TTW4" s="28"/>
      <c r="TTX4" s="28"/>
      <c r="TTY4" s="28"/>
      <c r="TTZ4" s="28"/>
      <c r="TUA4" s="28"/>
      <c r="TUB4" s="28"/>
      <c r="TUC4" s="28"/>
      <c r="TUD4" s="28"/>
      <c r="TUE4" s="28"/>
      <c r="TUF4" s="28"/>
      <c r="TUG4" s="28"/>
      <c r="TUH4" s="28"/>
      <c r="TUI4" s="28"/>
      <c r="TUJ4" s="28"/>
      <c r="TUK4" s="28"/>
      <c r="TUL4" s="28"/>
      <c r="TUM4" s="28"/>
      <c r="TUN4" s="28"/>
      <c r="TUO4" s="28"/>
      <c r="TUP4" s="28"/>
      <c r="TUQ4" s="28"/>
      <c r="TUR4" s="28"/>
      <c r="TUS4" s="28"/>
      <c r="TUT4" s="28"/>
      <c r="TUU4" s="28"/>
      <c r="TUV4" s="28"/>
      <c r="TUW4" s="28"/>
      <c r="TUX4" s="28"/>
      <c r="TUY4" s="28"/>
      <c r="TUZ4" s="28"/>
      <c r="TVA4" s="28"/>
      <c r="TVB4" s="28"/>
      <c r="TVC4" s="28"/>
      <c r="TVD4" s="28"/>
      <c r="TVE4" s="28"/>
      <c r="TVF4" s="28"/>
      <c r="TVG4" s="28"/>
      <c r="TVH4" s="28"/>
      <c r="TVI4" s="28"/>
      <c r="TVJ4" s="28"/>
      <c r="TVK4" s="28"/>
      <c r="TVL4" s="28"/>
      <c r="TVM4" s="28"/>
      <c r="TVN4" s="28"/>
      <c r="TVO4" s="28"/>
      <c r="TVP4" s="28"/>
      <c r="TVQ4" s="28"/>
      <c r="TVR4" s="28"/>
      <c r="TVS4" s="28"/>
      <c r="TVT4" s="28"/>
      <c r="TVU4" s="28"/>
      <c r="TVV4" s="28"/>
      <c r="TVW4" s="28"/>
      <c r="TVX4" s="28"/>
      <c r="TVY4" s="28"/>
      <c r="TVZ4" s="28"/>
      <c r="TWA4" s="28"/>
      <c r="TWB4" s="28"/>
      <c r="TWC4" s="28"/>
      <c r="TWD4" s="28"/>
      <c r="TWE4" s="28"/>
      <c r="TWF4" s="28"/>
      <c r="TWG4" s="28"/>
      <c r="TWH4" s="28"/>
      <c r="TWI4" s="28"/>
      <c r="TWJ4" s="28"/>
      <c r="TWK4" s="28"/>
      <c r="TWL4" s="28"/>
      <c r="TWM4" s="28"/>
      <c r="TWN4" s="28"/>
      <c r="TWO4" s="28"/>
      <c r="TWP4" s="28"/>
      <c r="TWQ4" s="28"/>
      <c r="TWR4" s="28"/>
      <c r="TWS4" s="28"/>
      <c r="TWT4" s="28"/>
      <c r="TWU4" s="28"/>
      <c r="TWV4" s="28"/>
      <c r="TWW4" s="28"/>
      <c r="TWX4" s="28"/>
      <c r="TWY4" s="28"/>
      <c r="TWZ4" s="28"/>
      <c r="TXA4" s="28"/>
      <c r="TXB4" s="28"/>
      <c r="TXC4" s="28"/>
      <c r="TXD4" s="28"/>
      <c r="TXE4" s="28"/>
      <c r="TXF4" s="28"/>
      <c r="TXG4" s="28"/>
      <c r="TXH4" s="28"/>
      <c r="TXI4" s="28"/>
      <c r="TXJ4" s="28"/>
      <c r="TXK4" s="28"/>
      <c r="TXL4" s="28"/>
      <c r="TXM4" s="28"/>
      <c r="TXN4" s="28"/>
      <c r="TXO4" s="28"/>
      <c r="TXP4" s="28"/>
      <c r="TXQ4" s="28"/>
      <c r="TXR4" s="28"/>
      <c r="TXS4" s="28"/>
      <c r="TXT4" s="28"/>
      <c r="TXU4" s="28"/>
      <c r="TXV4" s="28"/>
      <c r="TXW4" s="28"/>
      <c r="TXX4" s="28"/>
      <c r="TXY4" s="28"/>
      <c r="TXZ4" s="28"/>
      <c r="TYA4" s="28"/>
      <c r="TYB4" s="28"/>
      <c r="TYC4" s="28"/>
      <c r="TYD4" s="28"/>
      <c r="TYE4" s="28"/>
      <c r="TYF4" s="28"/>
      <c r="TYG4" s="28"/>
      <c r="TYH4" s="28"/>
      <c r="TYI4" s="28"/>
      <c r="TYJ4" s="28"/>
      <c r="TYK4" s="28"/>
      <c r="TYL4" s="28"/>
      <c r="TYM4" s="28"/>
      <c r="TYN4" s="28"/>
      <c r="TYO4" s="28"/>
      <c r="TYP4" s="28"/>
      <c r="TYQ4" s="28"/>
      <c r="TYR4" s="28"/>
      <c r="TYS4" s="28"/>
      <c r="TYT4" s="28"/>
      <c r="TYU4" s="28"/>
      <c r="TYV4" s="28"/>
      <c r="TYW4" s="28"/>
      <c r="TYX4" s="28"/>
      <c r="TYY4" s="28"/>
      <c r="TYZ4" s="28"/>
      <c r="TZA4" s="28"/>
      <c r="TZB4" s="28"/>
      <c r="TZC4" s="28"/>
      <c r="TZD4" s="28"/>
      <c r="TZE4" s="28"/>
      <c r="TZF4" s="28"/>
      <c r="TZG4" s="28"/>
      <c r="TZH4" s="28"/>
      <c r="TZI4" s="28"/>
      <c r="TZJ4" s="28"/>
      <c r="TZK4" s="28"/>
      <c r="TZL4" s="28"/>
      <c r="TZM4" s="28"/>
      <c r="TZN4" s="28"/>
      <c r="TZO4" s="28"/>
      <c r="TZP4" s="28"/>
      <c r="TZQ4" s="28"/>
      <c r="TZR4" s="28"/>
      <c r="TZS4" s="28"/>
      <c r="TZT4" s="28"/>
      <c r="TZU4" s="28"/>
      <c r="TZV4" s="28"/>
      <c r="TZW4" s="28"/>
      <c r="TZX4" s="28"/>
      <c r="TZY4" s="28"/>
      <c r="TZZ4" s="28"/>
      <c r="UAA4" s="28"/>
      <c r="UAB4" s="28"/>
      <c r="UAC4" s="28"/>
      <c r="UAD4" s="28"/>
      <c r="UAE4" s="28"/>
      <c r="UAF4" s="28"/>
      <c r="UAG4" s="28"/>
      <c r="UAH4" s="28"/>
      <c r="UAI4" s="28"/>
      <c r="UAJ4" s="28"/>
      <c r="UAK4" s="28"/>
      <c r="UAL4" s="28"/>
      <c r="UAM4" s="28"/>
      <c r="UAN4" s="28"/>
      <c r="UAO4" s="28"/>
      <c r="UAP4" s="28"/>
      <c r="UAQ4" s="28"/>
      <c r="UAR4" s="28"/>
      <c r="UAS4" s="28"/>
      <c r="UAT4" s="28"/>
      <c r="UAU4" s="28"/>
      <c r="UAV4" s="28"/>
      <c r="UAW4" s="28"/>
      <c r="UAX4" s="28"/>
      <c r="UAY4" s="28"/>
      <c r="UAZ4" s="28"/>
      <c r="UBA4" s="28"/>
      <c r="UBB4" s="28"/>
      <c r="UBC4" s="28"/>
      <c r="UBD4" s="28"/>
      <c r="UBE4" s="28"/>
      <c r="UBF4" s="28"/>
      <c r="UBG4" s="28"/>
      <c r="UBH4" s="28"/>
      <c r="UBI4" s="28"/>
      <c r="UBJ4" s="28"/>
      <c r="UBK4" s="28"/>
      <c r="UBL4" s="28"/>
      <c r="UBM4" s="28"/>
      <c r="UBN4" s="28"/>
      <c r="UBO4" s="28"/>
      <c r="UBP4" s="28"/>
      <c r="UBQ4" s="28"/>
      <c r="UBR4" s="28"/>
      <c r="UBS4" s="28"/>
      <c r="UBT4" s="28"/>
      <c r="UBU4" s="28"/>
      <c r="UBV4" s="28"/>
      <c r="UBW4" s="28"/>
      <c r="UBX4" s="28"/>
      <c r="UBY4" s="28"/>
      <c r="UBZ4" s="28"/>
      <c r="UCA4" s="28"/>
      <c r="UCB4" s="28"/>
      <c r="UCC4" s="28"/>
      <c r="UCD4" s="28"/>
      <c r="UCE4" s="28"/>
      <c r="UCF4" s="28"/>
      <c r="UCG4" s="28"/>
      <c r="UCH4" s="28"/>
      <c r="UCI4" s="28"/>
      <c r="UCJ4" s="28"/>
      <c r="UCK4" s="28"/>
      <c r="UCL4" s="28"/>
      <c r="UCM4" s="28"/>
      <c r="UCN4" s="28"/>
      <c r="UCO4" s="28"/>
      <c r="UCP4" s="28"/>
      <c r="UCQ4" s="28"/>
      <c r="UCR4" s="28"/>
      <c r="UCS4" s="28"/>
      <c r="UCT4" s="28"/>
      <c r="UCU4" s="28"/>
      <c r="UCV4" s="28"/>
      <c r="UCW4" s="28"/>
      <c r="UCX4" s="28"/>
      <c r="UCY4" s="28"/>
      <c r="UCZ4" s="28"/>
      <c r="UDA4" s="28"/>
      <c r="UDB4" s="28"/>
      <c r="UDC4" s="28"/>
      <c r="UDD4" s="28"/>
      <c r="UDE4" s="28"/>
      <c r="UDF4" s="28"/>
      <c r="UDG4" s="28"/>
      <c r="UDH4" s="28"/>
      <c r="UDI4" s="28"/>
      <c r="UDJ4" s="28"/>
      <c r="UDK4" s="28"/>
      <c r="UDL4" s="28"/>
      <c r="UDM4" s="28"/>
      <c r="UDN4" s="28"/>
      <c r="UDO4" s="28"/>
      <c r="UDP4" s="28"/>
      <c r="UDQ4" s="28"/>
      <c r="UDR4" s="28"/>
      <c r="UDS4" s="28"/>
      <c r="UDT4" s="28"/>
      <c r="UDU4" s="28"/>
      <c r="UDV4" s="28"/>
      <c r="UDW4" s="28"/>
      <c r="UDX4" s="28"/>
      <c r="UDY4" s="28"/>
      <c r="UDZ4" s="28"/>
      <c r="UEA4" s="28"/>
      <c r="UEB4" s="28"/>
      <c r="UEC4" s="28"/>
      <c r="UED4" s="28"/>
      <c r="UEE4" s="28"/>
      <c r="UEF4" s="28"/>
      <c r="UEG4" s="28"/>
      <c r="UEH4" s="28"/>
      <c r="UEI4" s="28"/>
      <c r="UEJ4" s="28"/>
      <c r="UEK4" s="28"/>
      <c r="UEL4" s="28"/>
      <c r="UEM4" s="28"/>
      <c r="UEN4" s="28"/>
      <c r="UEO4" s="28"/>
      <c r="UEP4" s="28"/>
      <c r="UEQ4" s="28"/>
      <c r="UER4" s="28"/>
      <c r="UES4" s="28"/>
      <c r="UET4" s="28"/>
      <c r="UEU4" s="28"/>
      <c r="UEV4" s="28"/>
      <c r="UEW4" s="28"/>
      <c r="UEX4" s="28"/>
      <c r="UEY4" s="28"/>
      <c r="UEZ4" s="28"/>
      <c r="UFA4" s="28"/>
      <c r="UFB4" s="28"/>
      <c r="UFC4" s="28"/>
      <c r="UFD4" s="28"/>
      <c r="UFE4" s="28"/>
      <c r="UFF4" s="28"/>
      <c r="UFG4" s="28"/>
      <c r="UFH4" s="28"/>
      <c r="UFI4" s="28"/>
      <c r="UFJ4" s="28"/>
      <c r="UFK4" s="28"/>
      <c r="UFL4" s="28"/>
      <c r="UFM4" s="28"/>
      <c r="UFN4" s="28"/>
      <c r="UFO4" s="28"/>
      <c r="UFP4" s="28"/>
      <c r="UFQ4" s="28"/>
      <c r="UFR4" s="28"/>
      <c r="UFS4" s="28"/>
      <c r="UFT4" s="28"/>
      <c r="UFU4" s="28"/>
      <c r="UFV4" s="28"/>
      <c r="UFW4" s="28"/>
      <c r="UFX4" s="28"/>
      <c r="UFY4" s="28"/>
      <c r="UFZ4" s="28"/>
      <c r="UGA4" s="28"/>
      <c r="UGB4" s="28"/>
      <c r="UGC4" s="28"/>
      <c r="UGD4" s="28"/>
      <c r="UGE4" s="28"/>
      <c r="UGF4" s="28"/>
      <c r="UGG4" s="28"/>
      <c r="UGH4" s="28"/>
      <c r="UGI4" s="28"/>
      <c r="UGJ4" s="28"/>
      <c r="UGK4" s="28"/>
      <c r="UGL4" s="28"/>
      <c r="UGM4" s="28"/>
      <c r="UGN4" s="28"/>
      <c r="UGO4" s="28"/>
      <c r="UGP4" s="28"/>
      <c r="UGQ4" s="28"/>
      <c r="UGR4" s="28"/>
      <c r="UGS4" s="28"/>
      <c r="UGT4" s="28"/>
      <c r="UGU4" s="28"/>
      <c r="UGV4" s="28"/>
      <c r="UGW4" s="28"/>
      <c r="UGX4" s="28"/>
      <c r="UGY4" s="28"/>
      <c r="UGZ4" s="28"/>
      <c r="UHA4" s="28"/>
      <c r="UHB4" s="28"/>
      <c r="UHC4" s="28"/>
      <c r="UHD4" s="28"/>
      <c r="UHE4" s="28"/>
      <c r="UHF4" s="28"/>
      <c r="UHG4" s="28"/>
      <c r="UHH4" s="28"/>
      <c r="UHI4" s="28"/>
      <c r="UHJ4" s="28"/>
      <c r="UHK4" s="28"/>
      <c r="UHL4" s="28"/>
      <c r="UHM4" s="28"/>
      <c r="UHN4" s="28"/>
      <c r="UHO4" s="28"/>
      <c r="UHP4" s="28"/>
      <c r="UHQ4" s="28"/>
      <c r="UHR4" s="28"/>
      <c r="UHS4" s="28"/>
      <c r="UHT4" s="28"/>
      <c r="UHU4" s="28"/>
      <c r="UHV4" s="28"/>
      <c r="UHW4" s="28"/>
      <c r="UHX4" s="28"/>
      <c r="UHY4" s="28"/>
      <c r="UHZ4" s="28"/>
      <c r="UIA4" s="28"/>
      <c r="UIB4" s="28"/>
      <c r="UIC4" s="28"/>
      <c r="UID4" s="28"/>
      <c r="UIE4" s="28"/>
      <c r="UIF4" s="28"/>
      <c r="UIG4" s="28"/>
      <c r="UIH4" s="28"/>
      <c r="UII4" s="28"/>
      <c r="UIJ4" s="28"/>
      <c r="UIK4" s="28"/>
      <c r="UIL4" s="28"/>
      <c r="UIM4" s="28"/>
      <c r="UIN4" s="28"/>
      <c r="UIO4" s="28"/>
      <c r="UIP4" s="28"/>
      <c r="UIQ4" s="28"/>
      <c r="UIR4" s="28"/>
      <c r="UIS4" s="28"/>
      <c r="UIT4" s="28"/>
      <c r="UIU4" s="28"/>
      <c r="UIV4" s="28"/>
      <c r="UIW4" s="28"/>
      <c r="UIX4" s="28"/>
      <c r="UIY4" s="28"/>
      <c r="UIZ4" s="28"/>
      <c r="UJA4" s="28"/>
      <c r="UJB4" s="28"/>
      <c r="UJC4" s="28"/>
      <c r="UJD4" s="28"/>
      <c r="UJE4" s="28"/>
      <c r="UJF4" s="28"/>
      <c r="UJG4" s="28"/>
      <c r="UJH4" s="28"/>
      <c r="UJI4" s="28"/>
      <c r="UJJ4" s="28"/>
      <c r="UJK4" s="28"/>
      <c r="UJL4" s="28"/>
      <c r="UJM4" s="28"/>
      <c r="UJN4" s="28"/>
      <c r="UJO4" s="28"/>
      <c r="UJP4" s="28"/>
      <c r="UJQ4" s="28"/>
      <c r="UJR4" s="28"/>
      <c r="UJS4" s="28"/>
      <c r="UJT4" s="28"/>
      <c r="UJU4" s="28"/>
      <c r="UJV4" s="28"/>
      <c r="UJW4" s="28"/>
      <c r="UJX4" s="28"/>
      <c r="UJY4" s="28"/>
      <c r="UJZ4" s="28"/>
      <c r="UKA4" s="28"/>
      <c r="UKB4" s="28"/>
      <c r="UKC4" s="28"/>
      <c r="UKD4" s="28"/>
      <c r="UKE4" s="28"/>
      <c r="UKF4" s="28"/>
      <c r="UKG4" s="28"/>
      <c r="UKH4" s="28"/>
      <c r="UKI4" s="28"/>
      <c r="UKJ4" s="28"/>
      <c r="UKK4" s="28"/>
      <c r="UKL4" s="28"/>
      <c r="UKM4" s="28"/>
      <c r="UKN4" s="28"/>
      <c r="UKO4" s="28"/>
      <c r="UKP4" s="28"/>
      <c r="UKQ4" s="28"/>
      <c r="UKR4" s="28"/>
      <c r="UKS4" s="28"/>
      <c r="UKT4" s="28"/>
      <c r="UKU4" s="28"/>
      <c r="UKV4" s="28"/>
      <c r="UKW4" s="28"/>
      <c r="UKX4" s="28"/>
      <c r="UKY4" s="28"/>
      <c r="UKZ4" s="28"/>
      <c r="ULA4" s="28"/>
      <c r="ULB4" s="28"/>
      <c r="ULC4" s="28"/>
      <c r="ULD4" s="28"/>
      <c r="ULE4" s="28"/>
      <c r="ULF4" s="28"/>
      <c r="ULG4" s="28"/>
      <c r="ULH4" s="28"/>
      <c r="ULI4" s="28"/>
      <c r="ULJ4" s="28"/>
      <c r="ULK4" s="28"/>
      <c r="ULL4" s="28"/>
      <c r="ULM4" s="28"/>
      <c r="ULN4" s="28"/>
      <c r="ULO4" s="28"/>
      <c r="ULP4" s="28"/>
      <c r="ULQ4" s="28"/>
      <c r="ULR4" s="28"/>
      <c r="ULS4" s="28"/>
      <c r="ULT4" s="28"/>
      <c r="ULU4" s="28"/>
      <c r="ULV4" s="28"/>
      <c r="ULW4" s="28"/>
      <c r="ULX4" s="28"/>
      <c r="ULY4" s="28"/>
      <c r="ULZ4" s="28"/>
      <c r="UMA4" s="28"/>
      <c r="UMB4" s="28"/>
      <c r="UMC4" s="28"/>
      <c r="UMD4" s="28"/>
      <c r="UME4" s="28"/>
      <c r="UMF4" s="28"/>
      <c r="UMG4" s="28"/>
      <c r="UMH4" s="28"/>
      <c r="UMI4" s="28"/>
      <c r="UMJ4" s="28"/>
      <c r="UMK4" s="28"/>
      <c r="UML4" s="28"/>
      <c r="UMM4" s="28"/>
      <c r="UMN4" s="28"/>
      <c r="UMO4" s="28"/>
      <c r="UMP4" s="28"/>
      <c r="UMQ4" s="28"/>
      <c r="UMR4" s="28"/>
      <c r="UMS4" s="28"/>
      <c r="UMT4" s="28"/>
      <c r="UMU4" s="28"/>
      <c r="UMV4" s="28"/>
      <c r="UMW4" s="28"/>
      <c r="UMX4" s="28"/>
      <c r="UMY4" s="28"/>
      <c r="UMZ4" s="28"/>
      <c r="UNA4" s="28"/>
      <c r="UNB4" s="28"/>
      <c r="UNC4" s="28"/>
      <c r="UND4" s="28"/>
      <c r="UNE4" s="28"/>
      <c r="UNF4" s="28"/>
      <c r="UNG4" s="28"/>
      <c r="UNH4" s="28"/>
      <c r="UNI4" s="28"/>
      <c r="UNJ4" s="28"/>
      <c r="UNK4" s="28"/>
      <c r="UNL4" s="28"/>
      <c r="UNM4" s="28"/>
      <c r="UNN4" s="28"/>
      <c r="UNO4" s="28"/>
      <c r="UNP4" s="28"/>
      <c r="UNQ4" s="28"/>
      <c r="UNR4" s="28"/>
      <c r="UNS4" s="28"/>
      <c r="UNT4" s="28"/>
      <c r="UNU4" s="28"/>
      <c r="UNV4" s="28"/>
      <c r="UNW4" s="28"/>
      <c r="UNX4" s="28"/>
      <c r="UNY4" s="28"/>
      <c r="UNZ4" s="28"/>
      <c r="UOA4" s="28"/>
      <c r="UOB4" s="28"/>
      <c r="UOC4" s="28"/>
      <c r="UOD4" s="28"/>
      <c r="UOE4" s="28"/>
      <c r="UOF4" s="28"/>
      <c r="UOG4" s="28"/>
      <c r="UOH4" s="28"/>
      <c r="UOI4" s="28"/>
      <c r="UOJ4" s="28"/>
      <c r="UOK4" s="28"/>
      <c r="UOL4" s="28"/>
      <c r="UOM4" s="28"/>
      <c r="UON4" s="28"/>
      <c r="UOO4" s="28"/>
      <c r="UOP4" s="28"/>
      <c r="UOQ4" s="28"/>
      <c r="UOR4" s="28"/>
      <c r="UOS4" s="28"/>
      <c r="UOT4" s="28"/>
      <c r="UOU4" s="28"/>
      <c r="UOV4" s="28"/>
      <c r="UOW4" s="28"/>
      <c r="UOX4" s="28"/>
      <c r="UOY4" s="28"/>
      <c r="UOZ4" s="28"/>
      <c r="UPA4" s="28"/>
      <c r="UPB4" s="28"/>
      <c r="UPC4" s="28"/>
      <c r="UPD4" s="28"/>
      <c r="UPE4" s="28"/>
      <c r="UPF4" s="28"/>
      <c r="UPG4" s="28"/>
      <c r="UPH4" s="28"/>
      <c r="UPI4" s="28"/>
      <c r="UPJ4" s="28"/>
      <c r="UPK4" s="28"/>
      <c r="UPL4" s="28"/>
      <c r="UPM4" s="28"/>
      <c r="UPN4" s="28"/>
      <c r="UPO4" s="28"/>
      <c r="UPP4" s="28"/>
      <c r="UPQ4" s="28"/>
      <c r="UPR4" s="28"/>
      <c r="UPS4" s="28"/>
      <c r="UPT4" s="28"/>
      <c r="UPU4" s="28"/>
      <c r="UPV4" s="28"/>
      <c r="UPW4" s="28"/>
      <c r="UPX4" s="28"/>
      <c r="UPY4" s="28"/>
      <c r="UPZ4" s="28"/>
      <c r="UQA4" s="28"/>
      <c r="UQB4" s="28"/>
      <c r="UQC4" s="28"/>
      <c r="UQD4" s="28"/>
      <c r="UQE4" s="28"/>
      <c r="UQF4" s="28"/>
      <c r="UQG4" s="28"/>
      <c r="UQH4" s="28"/>
      <c r="UQI4" s="28"/>
      <c r="UQJ4" s="28"/>
      <c r="UQK4" s="28"/>
      <c r="UQL4" s="28"/>
      <c r="UQM4" s="28"/>
      <c r="UQN4" s="28"/>
      <c r="UQO4" s="28"/>
      <c r="UQP4" s="28"/>
      <c r="UQQ4" s="28"/>
      <c r="UQR4" s="28"/>
      <c r="UQS4" s="28"/>
      <c r="UQT4" s="28"/>
      <c r="UQU4" s="28"/>
      <c r="UQV4" s="28"/>
      <c r="UQW4" s="28"/>
      <c r="UQX4" s="28"/>
      <c r="UQY4" s="28"/>
      <c r="UQZ4" s="28"/>
      <c r="URA4" s="28"/>
      <c r="URB4" s="28"/>
      <c r="URC4" s="28"/>
      <c r="URD4" s="28"/>
      <c r="URE4" s="28"/>
      <c r="URF4" s="28"/>
      <c r="URG4" s="28"/>
      <c r="URH4" s="28"/>
      <c r="URI4" s="28"/>
      <c r="URJ4" s="28"/>
      <c r="URK4" s="28"/>
      <c r="URL4" s="28"/>
      <c r="URM4" s="28"/>
      <c r="URN4" s="28"/>
      <c r="URO4" s="28"/>
      <c r="URP4" s="28"/>
      <c r="URQ4" s="28"/>
      <c r="URR4" s="28"/>
      <c r="URS4" s="28"/>
      <c r="URT4" s="28"/>
      <c r="URU4" s="28"/>
      <c r="URV4" s="28"/>
      <c r="URW4" s="28"/>
      <c r="URX4" s="28"/>
      <c r="URY4" s="28"/>
      <c r="URZ4" s="28"/>
      <c r="USA4" s="28"/>
      <c r="USB4" s="28"/>
      <c r="USC4" s="28"/>
      <c r="USD4" s="28"/>
      <c r="USE4" s="28"/>
      <c r="USF4" s="28"/>
      <c r="USG4" s="28"/>
      <c r="USH4" s="28"/>
      <c r="USI4" s="28"/>
      <c r="USJ4" s="28"/>
      <c r="USK4" s="28"/>
      <c r="USL4" s="28"/>
      <c r="USM4" s="28"/>
      <c r="USN4" s="28"/>
      <c r="USO4" s="28"/>
      <c r="USP4" s="28"/>
      <c r="USQ4" s="28"/>
      <c r="USR4" s="28"/>
      <c r="USS4" s="28"/>
      <c r="UST4" s="28"/>
      <c r="USU4" s="28"/>
      <c r="USV4" s="28"/>
      <c r="USW4" s="28"/>
      <c r="USX4" s="28"/>
      <c r="USY4" s="28"/>
      <c r="USZ4" s="28"/>
      <c r="UTA4" s="28"/>
      <c r="UTB4" s="28"/>
      <c r="UTC4" s="28"/>
      <c r="UTD4" s="28"/>
      <c r="UTE4" s="28"/>
      <c r="UTF4" s="28"/>
      <c r="UTG4" s="28"/>
      <c r="UTH4" s="28"/>
      <c r="UTI4" s="28"/>
      <c r="UTJ4" s="28"/>
      <c r="UTK4" s="28"/>
      <c r="UTL4" s="28"/>
      <c r="UTM4" s="28"/>
      <c r="UTN4" s="28"/>
      <c r="UTO4" s="28"/>
      <c r="UTP4" s="28"/>
      <c r="UTQ4" s="28"/>
      <c r="UTR4" s="28"/>
      <c r="UTS4" s="28"/>
      <c r="UTT4" s="28"/>
      <c r="UTU4" s="28"/>
      <c r="UTV4" s="28"/>
      <c r="UTW4" s="28"/>
      <c r="UTX4" s="28"/>
      <c r="UTY4" s="28"/>
      <c r="UTZ4" s="28"/>
      <c r="UUA4" s="28"/>
      <c r="UUB4" s="28"/>
      <c r="UUC4" s="28"/>
      <c r="UUD4" s="28"/>
      <c r="UUE4" s="28"/>
      <c r="UUF4" s="28"/>
      <c r="UUG4" s="28"/>
      <c r="UUH4" s="28"/>
      <c r="UUI4" s="28"/>
      <c r="UUJ4" s="28"/>
      <c r="UUK4" s="28"/>
      <c r="UUL4" s="28"/>
      <c r="UUM4" s="28"/>
      <c r="UUN4" s="28"/>
      <c r="UUO4" s="28"/>
      <c r="UUP4" s="28"/>
      <c r="UUQ4" s="28"/>
      <c r="UUR4" s="28"/>
      <c r="UUS4" s="28"/>
      <c r="UUT4" s="28"/>
      <c r="UUU4" s="28"/>
      <c r="UUV4" s="28"/>
      <c r="UUW4" s="28"/>
      <c r="UUX4" s="28"/>
      <c r="UUY4" s="28"/>
      <c r="UUZ4" s="28"/>
      <c r="UVA4" s="28"/>
      <c r="UVB4" s="28"/>
      <c r="UVC4" s="28"/>
      <c r="UVD4" s="28"/>
      <c r="UVE4" s="28"/>
      <c r="UVF4" s="28"/>
      <c r="UVG4" s="28"/>
      <c r="UVH4" s="28"/>
      <c r="UVI4" s="28"/>
      <c r="UVJ4" s="28"/>
      <c r="UVK4" s="28"/>
      <c r="UVL4" s="28"/>
      <c r="UVM4" s="28"/>
      <c r="UVN4" s="28"/>
      <c r="UVO4" s="28"/>
      <c r="UVP4" s="28"/>
      <c r="UVQ4" s="28"/>
      <c r="UVR4" s="28"/>
      <c r="UVS4" s="28"/>
      <c r="UVT4" s="28"/>
      <c r="UVU4" s="28"/>
      <c r="UVV4" s="28"/>
      <c r="UVW4" s="28"/>
      <c r="UVX4" s="28"/>
      <c r="UVY4" s="28"/>
      <c r="UVZ4" s="28"/>
      <c r="UWA4" s="28"/>
      <c r="UWB4" s="28"/>
      <c r="UWC4" s="28"/>
      <c r="UWD4" s="28"/>
      <c r="UWE4" s="28"/>
      <c r="UWF4" s="28"/>
      <c r="UWG4" s="28"/>
      <c r="UWH4" s="28"/>
      <c r="UWI4" s="28"/>
      <c r="UWJ4" s="28"/>
      <c r="UWK4" s="28"/>
      <c r="UWL4" s="28"/>
      <c r="UWM4" s="28"/>
      <c r="UWN4" s="28"/>
      <c r="UWO4" s="28"/>
      <c r="UWP4" s="28"/>
      <c r="UWQ4" s="28"/>
      <c r="UWR4" s="28"/>
      <c r="UWS4" s="28"/>
      <c r="UWT4" s="28"/>
      <c r="UWU4" s="28"/>
      <c r="UWV4" s="28"/>
      <c r="UWW4" s="28"/>
      <c r="UWX4" s="28"/>
      <c r="UWY4" s="28"/>
      <c r="UWZ4" s="28"/>
      <c r="UXA4" s="28"/>
      <c r="UXB4" s="28"/>
      <c r="UXC4" s="28"/>
      <c r="UXD4" s="28"/>
      <c r="UXE4" s="28"/>
      <c r="UXF4" s="28"/>
      <c r="UXG4" s="28"/>
      <c r="UXH4" s="28"/>
      <c r="UXI4" s="28"/>
      <c r="UXJ4" s="28"/>
      <c r="UXK4" s="28"/>
      <c r="UXL4" s="28"/>
      <c r="UXM4" s="28"/>
      <c r="UXN4" s="28"/>
      <c r="UXO4" s="28"/>
      <c r="UXP4" s="28"/>
      <c r="UXQ4" s="28"/>
      <c r="UXR4" s="28"/>
      <c r="UXS4" s="28"/>
      <c r="UXT4" s="28"/>
      <c r="UXU4" s="28"/>
      <c r="UXV4" s="28"/>
      <c r="UXW4" s="28"/>
      <c r="UXX4" s="28"/>
      <c r="UXY4" s="28"/>
      <c r="UXZ4" s="28"/>
      <c r="UYA4" s="28"/>
      <c r="UYB4" s="28"/>
      <c r="UYC4" s="28"/>
      <c r="UYD4" s="28"/>
      <c r="UYE4" s="28"/>
      <c r="UYF4" s="28"/>
      <c r="UYG4" s="28"/>
      <c r="UYH4" s="28"/>
      <c r="UYI4" s="28"/>
      <c r="UYJ4" s="28"/>
      <c r="UYK4" s="28"/>
      <c r="UYL4" s="28"/>
      <c r="UYM4" s="28"/>
      <c r="UYN4" s="28"/>
      <c r="UYO4" s="28"/>
      <c r="UYP4" s="28"/>
      <c r="UYQ4" s="28"/>
      <c r="UYR4" s="28"/>
      <c r="UYS4" s="28"/>
      <c r="UYT4" s="28"/>
      <c r="UYU4" s="28"/>
      <c r="UYV4" s="28"/>
      <c r="UYW4" s="28"/>
      <c r="UYX4" s="28"/>
      <c r="UYY4" s="28"/>
      <c r="UYZ4" s="28"/>
      <c r="UZA4" s="28"/>
      <c r="UZB4" s="28"/>
      <c r="UZC4" s="28"/>
      <c r="UZD4" s="28"/>
      <c r="UZE4" s="28"/>
      <c r="UZF4" s="28"/>
      <c r="UZG4" s="28"/>
      <c r="UZH4" s="28"/>
      <c r="UZI4" s="28"/>
      <c r="UZJ4" s="28"/>
      <c r="UZK4" s="28"/>
      <c r="UZL4" s="28"/>
      <c r="UZM4" s="28"/>
      <c r="UZN4" s="28"/>
      <c r="UZO4" s="28"/>
      <c r="UZP4" s="28"/>
      <c r="UZQ4" s="28"/>
      <c r="UZR4" s="28"/>
      <c r="UZS4" s="28"/>
      <c r="UZT4" s="28"/>
      <c r="UZU4" s="28"/>
      <c r="UZV4" s="28"/>
      <c r="UZW4" s="28"/>
      <c r="UZX4" s="28"/>
      <c r="UZY4" s="28"/>
      <c r="UZZ4" s="28"/>
      <c r="VAA4" s="28"/>
      <c r="VAB4" s="28"/>
      <c r="VAC4" s="28"/>
      <c r="VAD4" s="28"/>
      <c r="VAE4" s="28"/>
      <c r="VAF4" s="28"/>
      <c r="VAG4" s="28"/>
      <c r="VAH4" s="28"/>
      <c r="VAI4" s="28"/>
      <c r="VAJ4" s="28"/>
      <c r="VAK4" s="28"/>
      <c r="VAL4" s="28"/>
      <c r="VAM4" s="28"/>
      <c r="VAN4" s="28"/>
      <c r="VAO4" s="28"/>
      <c r="VAP4" s="28"/>
      <c r="VAQ4" s="28"/>
      <c r="VAR4" s="28"/>
      <c r="VAS4" s="28"/>
      <c r="VAT4" s="28"/>
      <c r="VAU4" s="28"/>
      <c r="VAV4" s="28"/>
      <c r="VAW4" s="28"/>
      <c r="VAX4" s="28"/>
      <c r="VAY4" s="28"/>
      <c r="VAZ4" s="28"/>
      <c r="VBA4" s="28"/>
      <c r="VBB4" s="28"/>
      <c r="VBC4" s="28"/>
      <c r="VBD4" s="28"/>
      <c r="VBE4" s="28"/>
      <c r="VBF4" s="28"/>
      <c r="VBG4" s="28"/>
      <c r="VBH4" s="28"/>
      <c r="VBI4" s="28"/>
      <c r="VBJ4" s="28"/>
      <c r="VBK4" s="28"/>
      <c r="VBL4" s="28"/>
      <c r="VBM4" s="28"/>
      <c r="VBN4" s="28"/>
      <c r="VBO4" s="28"/>
      <c r="VBP4" s="28"/>
      <c r="VBQ4" s="28"/>
      <c r="VBR4" s="28"/>
      <c r="VBS4" s="28"/>
      <c r="VBT4" s="28"/>
      <c r="VBU4" s="28"/>
      <c r="VBV4" s="28"/>
      <c r="VBW4" s="28"/>
      <c r="VBX4" s="28"/>
      <c r="VBY4" s="28"/>
      <c r="VBZ4" s="28"/>
      <c r="VCA4" s="28"/>
      <c r="VCB4" s="28"/>
      <c r="VCC4" s="28"/>
      <c r="VCD4" s="28"/>
      <c r="VCE4" s="28"/>
      <c r="VCF4" s="28"/>
      <c r="VCG4" s="28"/>
      <c r="VCH4" s="28"/>
      <c r="VCI4" s="28"/>
      <c r="VCJ4" s="28"/>
      <c r="VCK4" s="28"/>
      <c r="VCL4" s="28"/>
      <c r="VCM4" s="28"/>
      <c r="VCN4" s="28"/>
      <c r="VCO4" s="28"/>
      <c r="VCP4" s="28"/>
      <c r="VCQ4" s="28"/>
      <c r="VCR4" s="28"/>
      <c r="VCS4" s="28"/>
      <c r="VCT4" s="28"/>
      <c r="VCU4" s="28"/>
      <c r="VCV4" s="28"/>
      <c r="VCW4" s="28"/>
      <c r="VCX4" s="28"/>
      <c r="VCY4" s="28"/>
      <c r="VCZ4" s="28"/>
      <c r="VDA4" s="28"/>
      <c r="VDB4" s="28"/>
      <c r="VDC4" s="28"/>
      <c r="VDD4" s="28"/>
      <c r="VDE4" s="28"/>
      <c r="VDF4" s="28"/>
      <c r="VDG4" s="28"/>
      <c r="VDH4" s="28"/>
      <c r="VDI4" s="28"/>
      <c r="VDJ4" s="28"/>
      <c r="VDK4" s="28"/>
      <c r="VDL4" s="28"/>
      <c r="VDM4" s="28"/>
      <c r="VDN4" s="28"/>
      <c r="VDO4" s="28"/>
      <c r="VDP4" s="28"/>
      <c r="VDQ4" s="28"/>
      <c r="VDR4" s="28"/>
      <c r="VDS4" s="28"/>
      <c r="VDT4" s="28"/>
      <c r="VDU4" s="28"/>
      <c r="VDV4" s="28"/>
      <c r="VDW4" s="28"/>
      <c r="VDX4" s="28"/>
      <c r="VDY4" s="28"/>
      <c r="VDZ4" s="28"/>
      <c r="VEA4" s="28"/>
      <c r="VEB4" s="28"/>
      <c r="VEC4" s="28"/>
      <c r="VED4" s="28"/>
      <c r="VEE4" s="28"/>
      <c r="VEF4" s="28"/>
      <c r="VEG4" s="28"/>
      <c r="VEH4" s="28"/>
      <c r="VEI4" s="28"/>
      <c r="VEJ4" s="28"/>
      <c r="VEK4" s="28"/>
      <c r="VEL4" s="28"/>
      <c r="VEM4" s="28"/>
      <c r="VEN4" s="28"/>
      <c r="VEO4" s="28"/>
      <c r="VEP4" s="28"/>
      <c r="VEQ4" s="28"/>
      <c r="VER4" s="28"/>
      <c r="VES4" s="28"/>
      <c r="VET4" s="28"/>
      <c r="VEU4" s="28"/>
      <c r="VEV4" s="28"/>
      <c r="VEW4" s="28"/>
      <c r="VEX4" s="28"/>
      <c r="VEY4" s="28"/>
      <c r="VEZ4" s="28"/>
      <c r="VFA4" s="28"/>
      <c r="VFB4" s="28"/>
      <c r="VFC4" s="28"/>
      <c r="VFD4" s="28"/>
      <c r="VFE4" s="28"/>
      <c r="VFF4" s="28"/>
      <c r="VFG4" s="28"/>
      <c r="VFH4" s="28"/>
      <c r="VFI4" s="28"/>
      <c r="VFJ4" s="28"/>
      <c r="VFK4" s="28"/>
      <c r="VFL4" s="28"/>
      <c r="VFM4" s="28"/>
      <c r="VFN4" s="28"/>
      <c r="VFO4" s="28"/>
      <c r="VFP4" s="28"/>
      <c r="VFQ4" s="28"/>
      <c r="VFR4" s="28"/>
      <c r="VFS4" s="28"/>
      <c r="VFT4" s="28"/>
      <c r="VFU4" s="28"/>
      <c r="VFV4" s="28"/>
      <c r="VFW4" s="28"/>
      <c r="VFX4" s="28"/>
      <c r="VFY4" s="28"/>
      <c r="VFZ4" s="28"/>
      <c r="VGA4" s="28"/>
      <c r="VGB4" s="28"/>
      <c r="VGC4" s="28"/>
      <c r="VGD4" s="28"/>
      <c r="VGE4" s="28"/>
      <c r="VGF4" s="28"/>
      <c r="VGG4" s="28"/>
      <c r="VGH4" s="28"/>
      <c r="VGI4" s="28"/>
      <c r="VGJ4" s="28"/>
      <c r="VGK4" s="28"/>
      <c r="VGL4" s="28"/>
      <c r="VGM4" s="28"/>
      <c r="VGN4" s="28"/>
      <c r="VGO4" s="28"/>
      <c r="VGP4" s="28"/>
      <c r="VGQ4" s="28"/>
      <c r="VGR4" s="28"/>
      <c r="VGS4" s="28"/>
      <c r="VGT4" s="28"/>
      <c r="VGU4" s="28"/>
      <c r="VGV4" s="28"/>
      <c r="VGW4" s="28"/>
      <c r="VGX4" s="28"/>
      <c r="VGY4" s="28"/>
      <c r="VGZ4" s="28"/>
      <c r="VHA4" s="28"/>
      <c r="VHB4" s="28"/>
      <c r="VHC4" s="28"/>
      <c r="VHD4" s="28"/>
      <c r="VHE4" s="28"/>
      <c r="VHF4" s="28"/>
      <c r="VHG4" s="28"/>
      <c r="VHH4" s="28"/>
      <c r="VHI4" s="28"/>
      <c r="VHJ4" s="28"/>
      <c r="VHK4" s="28"/>
      <c r="VHL4" s="28"/>
      <c r="VHM4" s="28"/>
      <c r="VHN4" s="28"/>
      <c r="VHO4" s="28"/>
      <c r="VHP4" s="28"/>
      <c r="VHQ4" s="28"/>
      <c r="VHR4" s="28"/>
      <c r="VHS4" s="28"/>
      <c r="VHT4" s="28"/>
      <c r="VHU4" s="28"/>
      <c r="VHV4" s="28"/>
      <c r="VHW4" s="28"/>
      <c r="VHX4" s="28"/>
      <c r="VHY4" s="28"/>
      <c r="VHZ4" s="28"/>
      <c r="VIA4" s="28"/>
      <c r="VIB4" s="28"/>
      <c r="VIC4" s="28"/>
      <c r="VID4" s="28"/>
      <c r="VIE4" s="28"/>
      <c r="VIF4" s="28"/>
      <c r="VIG4" s="28"/>
      <c r="VIH4" s="28"/>
      <c r="VII4" s="28"/>
      <c r="VIJ4" s="28"/>
      <c r="VIK4" s="28"/>
      <c r="VIL4" s="28"/>
      <c r="VIM4" s="28"/>
      <c r="VIN4" s="28"/>
      <c r="VIO4" s="28"/>
      <c r="VIP4" s="28"/>
      <c r="VIQ4" s="28"/>
      <c r="VIR4" s="28"/>
      <c r="VIS4" s="28"/>
      <c r="VIT4" s="28"/>
      <c r="VIU4" s="28"/>
      <c r="VIV4" s="28"/>
      <c r="VIW4" s="28"/>
      <c r="VIX4" s="28"/>
      <c r="VIY4" s="28"/>
      <c r="VIZ4" s="28"/>
      <c r="VJA4" s="28"/>
      <c r="VJB4" s="28"/>
      <c r="VJC4" s="28"/>
      <c r="VJD4" s="28"/>
      <c r="VJE4" s="28"/>
      <c r="VJF4" s="28"/>
      <c r="VJG4" s="28"/>
      <c r="VJH4" s="28"/>
      <c r="VJI4" s="28"/>
      <c r="VJJ4" s="28"/>
      <c r="VJK4" s="28"/>
      <c r="VJL4" s="28"/>
      <c r="VJM4" s="28"/>
      <c r="VJN4" s="28"/>
      <c r="VJO4" s="28"/>
      <c r="VJP4" s="28"/>
      <c r="VJQ4" s="28"/>
      <c r="VJR4" s="28"/>
      <c r="VJS4" s="28"/>
      <c r="VJT4" s="28"/>
      <c r="VJU4" s="28"/>
      <c r="VJV4" s="28"/>
      <c r="VJW4" s="28"/>
      <c r="VJX4" s="28"/>
      <c r="VJY4" s="28"/>
      <c r="VJZ4" s="28"/>
      <c r="VKA4" s="28"/>
      <c r="VKB4" s="28"/>
      <c r="VKC4" s="28"/>
      <c r="VKD4" s="28"/>
      <c r="VKE4" s="28"/>
      <c r="VKF4" s="28"/>
      <c r="VKG4" s="28"/>
      <c r="VKH4" s="28"/>
      <c r="VKI4" s="28"/>
      <c r="VKJ4" s="28"/>
      <c r="VKK4" s="28"/>
      <c r="VKL4" s="28"/>
      <c r="VKM4" s="28"/>
      <c r="VKN4" s="28"/>
      <c r="VKO4" s="28"/>
      <c r="VKP4" s="28"/>
      <c r="VKQ4" s="28"/>
      <c r="VKR4" s="28"/>
      <c r="VKS4" s="28"/>
      <c r="VKT4" s="28"/>
      <c r="VKU4" s="28"/>
      <c r="VKV4" s="28"/>
      <c r="VKW4" s="28"/>
      <c r="VKX4" s="28"/>
      <c r="VKY4" s="28"/>
      <c r="VKZ4" s="28"/>
      <c r="VLA4" s="28"/>
      <c r="VLB4" s="28"/>
      <c r="VLC4" s="28"/>
      <c r="VLD4" s="28"/>
      <c r="VLE4" s="28"/>
      <c r="VLF4" s="28"/>
      <c r="VLG4" s="28"/>
      <c r="VLH4" s="28"/>
      <c r="VLI4" s="28"/>
      <c r="VLJ4" s="28"/>
      <c r="VLK4" s="28"/>
      <c r="VLL4" s="28"/>
      <c r="VLM4" s="28"/>
      <c r="VLN4" s="28"/>
      <c r="VLO4" s="28"/>
      <c r="VLP4" s="28"/>
      <c r="VLQ4" s="28"/>
      <c r="VLR4" s="28"/>
      <c r="VLS4" s="28"/>
      <c r="VLT4" s="28"/>
      <c r="VLU4" s="28"/>
      <c r="VLV4" s="28"/>
      <c r="VLW4" s="28"/>
      <c r="VLX4" s="28"/>
      <c r="VLY4" s="28"/>
      <c r="VLZ4" s="28"/>
      <c r="VMA4" s="28"/>
      <c r="VMB4" s="28"/>
      <c r="VMC4" s="28"/>
      <c r="VMD4" s="28"/>
      <c r="VME4" s="28"/>
      <c r="VMF4" s="28"/>
      <c r="VMG4" s="28"/>
      <c r="VMH4" s="28"/>
      <c r="VMI4" s="28"/>
      <c r="VMJ4" s="28"/>
      <c r="VMK4" s="28"/>
      <c r="VML4" s="28"/>
      <c r="VMM4" s="28"/>
      <c r="VMN4" s="28"/>
      <c r="VMO4" s="28"/>
      <c r="VMP4" s="28"/>
      <c r="VMQ4" s="28"/>
      <c r="VMR4" s="28"/>
      <c r="VMS4" s="28"/>
      <c r="VMT4" s="28"/>
      <c r="VMU4" s="28"/>
      <c r="VMV4" s="28"/>
      <c r="VMW4" s="28"/>
      <c r="VMX4" s="28"/>
      <c r="VMY4" s="28"/>
      <c r="VMZ4" s="28"/>
      <c r="VNA4" s="28"/>
      <c r="VNB4" s="28"/>
      <c r="VNC4" s="28"/>
      <c r="VND4" s="28"/>
      <c r="VNE4" s="28"/>
      <c r="VNF4" s="28"/>
      <c r="VNG4" s="28"/>
      <c r="VNH4" s="28"/>
      <c r="VNI4" s="28"/>
      <c r="VNJ4" s="28"/>
      <c r="VNK4" s="28"/>
      <c r="VNL4" s="28"/>
      <c r="VNM4" s="28"/>
      <c r="VNN4" s="28"/>
      <c r="VNO4" s="28"/>
      <c r="VNP4" s="28"/>
      <c r="VNQ4" s="28"/>
      <c r="VNR4" s="28"/>
      <c r="VNS4" s="28"/>
      <c r="VNT4" s="28"/>
      <c r="VNU4" s="28"/>
      <c r="VNV4" s="28"/>
      <c r="VNW4" s="28"/>
      <c r="VNX4" s="28"/>
      <c r="VNY4" s="28"/>
      <c r="VNZ4" s="28"/>
      <c r="VOA4" s="28"/>
      <c r="VOB4" s="28"/>
      <c r="VOC4" s="28"/>
      <c r="VOD4" s="28"/>
      <c r="VOE4" s="28"/>
      <c r="VOF4" s="28"/>
      <c r="VOG4" s="28"/>
      <c r="VOH4" s="28"/>
      <c r="VOI4" s="28"/>
      <c r="VOJ4" s="28"/>
      <c r="VOK4" s="28"/>
      <c r="VOL4" s="28"/>
      <c r="VOM4" s="28"/>
      <c r="VON4" s="28"/>
      <c r="VOO4" s="28"/>
      <c r="VOP4" s="28"/>
      <c r="VOQ4" s="28"/>
      <c r="VOR4" s="28"/>
      <c r="VOS4" s="28"/>
      <c r="VOT4" s="28"/>
      <c r="VOU4" s="28"/>
      <c r="VOV4" s="28"/>
      <c r="VOW4" s="28"/>
      <c r="VOX4" s="28"/>
      <c r="VOY4" s="28"/>
      <c r="VOZ4" s="28"/>
      <c r="VPA4" s="28"/>
      <c r="VPB4" s="28"/>
      <c r="VPC4" s="28"/>
      <c r="VPD4" s="28"/>
      <c r="VPE4" s="28"/>
      <c r="VPF4" s="28"/>
      <c r="VPG4" s="28"/>
      <c r="VPH4" s="28"/>
      <c r="VPI4" s="28"/>
      <c r="VPJ4" s="28"/>
      <c r="VPK4" s="28"/>
      <c r="VPL4" s="28"/>
      <c r="VPM4" s="28"/>
      <c r="VPN4" s="28"/>
      <c r="VPO4" s="28"/>
      <c r="VPP4" s="28"/>
      <c r="VPQ4" s="28"/>
      <c r="VPR4" s="28"/>
      <c r="VPS4" s="28"/>
      <c r="VPT4" s="28"/>
      <c r="VPU4" s="28"/>
      <c r="VPV4" s="28"/>
      <c r="VPW4" s="28"/>
      <c r="VPX4" s="28"/>
      <c r="VPY4" s="28"/>
      <c r="VPZ4" s="28"/>
      <c r="VQA4" s="28"/>
      <c r="VQB4" s="28"/>
      <c r="VQC4" s="28"/>
      <c r="VQD4" s="28"/>
      <c r="VQE4" s="28"/>
      <c r="VQF4" s="28"/>
      <c r="VQG4" s="28"/>
      <c r="VQH4" s="28"/>
      <c r="VQI4" s="28"/>
      <c r="VQJ4" s="28"/>
      <c r="VQK4" s="28"/>
      <c r="VQL4" s="28"/>
      <c r="VQM4" s="28"/>
      <c r="VQN4" s="28"/>
      <c r="VQO4" s="28"/>
      <c r="VQP4" s="28"/>
      <c r="VQQ4" s="28"/>
      <c r="VQR4" s="28"/>
      <c r="VQS4" s="28"/>
      <c r="VQT4" s="28"/>
      <c r="VQU4" s="28"/>
      <c r="VQV4" s="28"/>
      <c r="VQW4" s="28"/>
      <c r="VQX4" s="28"/>
      <c r="VQY4" s="28"/>
      <c r="VQZ4" s="28"/>
      <c r="VRA4" s="28"/>
      <c r="VRB4" s="28"/>
      <c r="VRC4" s="28"/>
      <c r="VRD4" s="28"/>
      <c r="VRE4" s="28"/>
      <c r="VRF4" s="28"/>
      <c r="VRG4" s="28"/>
      <c r="VRH4" s="28"/>
      <c r="VRI4" s="28"/>
      <c r="VRJ4" s="28"/>
      <c r="VRK4" s="28"/>
      <c r="VRL4" s="28"/>
      <c r="VRM4" s="28"/>
      <c r="VRN4" s="28"/>
      <c r="VRO4" s="28"/>
      <c r="VRP4" s="28"/>
      <c r="VRQ4" s="28"/>
      <c r="VRR4" s="28"/>
      <c r="VRS4" s="28"/>
      <c r="VRT4" s="28"/>
      <c r="VRU4" s="28"/>
      <c r="VRV4" s="28"/>
      <c r="VRW4" s="28"/>
      <c r="VRX4" s="28"/>
      <c r="VRY4" s="28"/>
      <c r="VRZ4" s="28"/>
      <c r="VSA4" s="28"/>
      <c r="VSB4" s="28"/>
      <c r="VSC4" s="28"/>
      <c r="VSD4" s="28"/>
      <c r="VSE4" s="28"/>
      <c r="VSF4" s="28"/>
      <c r="VSG4" s="28"/>
      <c r="VSH4" s="28"/>
      <c r="VSI4" s="28"/>
      <c r="VSJ4" s="28"/>
      <c r="VSK4" s="28"/>
      <c r="VSL4" s="28"/>
      <c r="VSM4" s="28"/>
      <c r="VSN4" s="28"/>
      <c r="VSO4" s="28"/>
      <c r="VSP4" s="28"/>
      <c r="VSQ4" s="28"/>
      <c r="VSR4" s="28"/>
      <c r="VSS4" s="28"/>
      <c r="VST4" s="28"/>
      <c r="VSU4" s="28"/>
      <c r="VSV4" s="28"/>
      <c r="VSW4" s="28"/>
      <c r="VSX4" s="28"/>
      <c r="VSY4" s="28"/>
      <c r="VSZ4" s="28"/>
      <c r="VTA4" s="28"/>
      <c r="VTB4" s="28"/>
      <c r="VTC4" s="28"/>
      <c r="VTD4" s="28"/>
      <c r="VTE4" s="28"/>
      <c r="VTF4" s="28"/>
      <c r="VTG4" s="28"/>
      <c r="VTH4" s="28"/>
      <c r="VTI4" s="28"/>
      <c r="VTJ4" s="28"/>
      <c r="VTK4" s="28"/>
      <c r="VTL4" s="28"/>
      <c r="VTM4" s="28"/>
      <c r="VTN4" s="28"/>
      <c r="VTO4" s="28"/>
      <c r="VTP4" s="28"/>
      <c r="VTQ4" s="28"/>
      <c r="VTR4" s="28"/>
      <c r="VTS4" s="28"/>
      <c r="VTT4" s="28"/>
      <c r="VTU4" s="28"/>
      <c r="VTV4" s="28"/>
      <c r="VTW4" s="28"/>
      <c r="VTX4" s="28"/>
      <c r="VTY4" s="28"/>
      <c r="VTZ4" s="28"/>
      <c r="VUA4" s="28"/>
      <c r="VUB4" s="28"/>
      <c r="VUC4" s="28"/>
      <c r="VUD4" s="28"/>
      <c r="VUE4" s="28"/>
      <c r="VUF4" s="28"/>
      <c r="VUG4" s="28"/>
      <c r="VUH4" s="28"/>
      <c r="VUI4" s="28"/>
      <c r="VUJ4" s="28"/>
      <c r="VUK4" s="28"/>
      <c r="VUL4" s="28"/>
      <c r="VUM4" s="28"/>
      <c r="VUN4" s="28"/>
      <c r="VUO4" s="28"/>
      <c r="VUP4" s="28"/>
      <c r="VUQ4" s="28"/>
      <c r="VUR4" s="28"/>
      <c r="VUS4" s="28"/>
      <c r="VUT4" s="28"/>
      <c r="VUU4" s="28"/>
      <c r="VUV4" s="28"/>
      <c r="VUW4" s="28"/>
      <c r="VUX4" s="28"/>
      <c r="VUY4" s="28"/>
      <c r="VUZ4" s="28"/>
      <c r="VVA4" s="28"/>
      <c r="VVB4" s="28"/>
      <c r="VVC4" s="28"/>
      <c r="VVD4" s="28"/>
      <c r="VVE4" s="28"/>
      <c r="VVF4" s="28"/>
      <c r="VVG4" s="28"/>
      <c r="VVH4" s="28"/>
      <c r="VVI4" s="28"/>
      <c r="VVJ4" s="28"/>
      <c r="VVK4" s="28"/>
      <c r="VVL4" s="28"/>
      <c r="VVM4" s="28"/>
      <c r="VVN4" s="28"/>
      <c r="VVO4" s="28"/>
      <c r="VVP4" s="28"/>
      <c r="VVQ4" s="28"/>
      <c r="VVR4" s="28"/>
      <c r="VVS4" s="28"/>
      <c r="VVT4" s="28"/>
      <c r="VVU4" s="28"/>
      <c r="VVV4" s="28"/>
      <c r="VVW4" s="28"/>
      <c r="VVX4" s="28"/>
      <c r="VVY4" s="28"/>
      <c r="VVZ4" s="28"/>
      <c r="VWA4" s="28"/>
      <c r="VWB4" s="28"/>
      <c r="VWC4" s="28"/>
      <c r="VWD4" s="28"/>
      <c r="VWE4" s="28"/>
      <c r="VWF4" s="28"/>
      <c r="VWG4" s="28"/>
      <c r="VWH4" s="28"/>
      <c r="VWI4" s="28"/>
      <c r="VWJ4" s="28"/>
      <c r="VWK4" s="28"/>
      <c r="VWL4" s="28"/>
      <c r="VWM4" s="28"/>
      <c r="VWN4" s="28"/>
      <c r="VWO4" s="28"/>
      <c r="VWP4" s="28"/>
      <c r="VWQ4" s="28"/>
      <c r="VWR4" s="28"/>
      <c r="VWS4" s="28"/>
      <c r="VWT4" s="28"/>
      <c r="VWU4" s="28"/>
      <c r="VWV4" s="28"/>
      <c r="VWW4" s="28"/>
      <c r="VWX4" s="28"/>
      <c r="VWY4" s="28"/>
      <c r="VWZ4" s="28"/>
      <c r="VXA4" s="28"/>
      <c r="VXB4" s="28"/>
      <c r="VXC4" s="28"/>
      <c r="VXD4" s="28"/>
      <c r="VXE4" s="28"/>
      <c r="VXF4" s="28"/>
      <c r="VXG4" s="28"/>
      <c r="VXH4" s="28"/>
      <c r="VXI4" s="28"/>
      <c r="VXJ4" s="28"/>
      <c r="VXK4" s="28"/>
      <c r="VXL4" s="28"/>
      <c r="VXM4" s="28"/>
      <c r="VXN4" s="28"/>
      <c r="VXO4" s="28"/>
      <c r="VXP4" s="28"/>
      <c r="VXQ4" s="28"/>
      <c r="VXR4" s="28"/>
      <c r="VXS4" s="28"/>
      <c r="VXT4" s="28"/>
      <c r="VXU4" s="28"/>
      <c r="VXV4" s="28"/>
      <c r="VXW4" s="28"/>
      <c r="VXX4" s="28"/>
      <c r="VXY4" s="28"/>
      <c r="VXZ4" s="28"/>
      <c r="VYA4" s="28"/>
      <c r="VYB4" s="28"/>
      <c r="VYC4" s="28"/>
      <c r="VYD4" s="28"/>
      <c r="VYE4" s="28"/>
      <c r="VYF4" s="28"/>
      <c r="VYG4" s="28"/>
      <c r="VYH4" s="28"/>
      <c r="VYI4" s="28"/>
      <c r="VYJ4" s="28"/>
      <c r="VYK4" s="28"/>
      <c r="VYL4" s="28"/>
      <c r="VYM4" s="28"/>
      <c r="VYN4" s="28"/>
      <c r="VYO4" s="28"/>
      <c r="VYP4" s="28"/>
      <c r="VYQ4" s="28"/>
      <c r="VYR4" s="28"/>
      <c r="VYS4" s="28"/>
      <c r="VYT4" s="28"/>
      <c r="VYU4" s="28"/>
      <c r="VYV4" s="28"/>
      <c r="VYW4" s="28"/>
      <c r="VYX4" s="28"/>
      <c r="VYY4" s="28"/>
      <c r="VYZ4" s="28"/>
      <c r="VZA4" s="28"/>
      <c r="VZB4" s="28"/>
      <c r="VZC4" s="28"/>
      <c r="VZD4" s="28"/>
      <c r="VZE4" s="28"/>
      <c r="VZF4" s="28"/>
      <c r="VZG4" s="28"/>
      <c r="VZH4" s="28"/>
      <c r="VZI4" s="28"/>
      <c r="VZJ4" s="28"/>
      <c r="VZK4" s="28"/>
      <c r="VZL4" s="28"/>
      <c r="VZM4" s="28"/>
      <c r="VZN4" s="28"/>
      <c r="VZO4" s="28"/>
      <c r="VZP4" s="28"/>
      <c r="VZQ4" s="28"/>
      <c r="VZR4" s="28"/>
      <c r="VZS4" s="28"/>
      <c r="VZT4" s="28"/>
      <c r="VZU4" s="28"/>
      <c r="VZV4" s="28"/>
      <c r="VZW4" s="28"/>
      <c r="VZX4" s="28"/>
      <c r="VZY4" s="28"/>
      <c r="VZZ4" s="28"/>
      <c r="WAA4" s="28"/>
      <c r="WAB4" s="28"/>
      <c r="WAC4" s="28"/>
      <c r="WAD4" s="28"/>
      <c r="WAE4" s="28"/>
      <c r="WAF4" s="28"/>
      <c r="WAG4" s="28"/>
      <c r="WAH4" s="28"/>
      <c r="WAI4" s="28"/>
      <c r="WAJ4" s="28"/>
      <c r="WAK4" s="28"/>
      <c r="WAL4" s="28"/>
      <c r="WAM4" s="28"/>
      <c r="WAN4" s="28"/>
      <c r="WAO4" s="28"/>
      <c r="WAP4" s="28"/>
      <c r="WAQ4" s="28"/>
      <c r="WAR4" s="28"/>
      <c r="WAS4" s="28"/>
      <c r="WAT4" s="28"/>
      <c r="WAU4" s="28"/>
      <c r="WAV4" s="28"/>
      <c r="WAW4" s="28"/>
      <c r="WAX4" s="28"/>
      <c r="WAY4" s="28"/>
      <c r="WAZ4" s="28"/>
      <c r="WBA4" s="28"/>
      <c r="WBB4" s="28"/>
      <c r="WBC4" s="28"/>
      <c r="WBD4" s="28"/>
      <c r="WBE4" s="28"/>
      <c r="WBF4" s="28"/>
      <c r="WBG4" s="28"/>
      <c r="WBH4" s="28"/>
      <c r="WBI4" s="28"/>
      <c r="WBJ4" s="28"/>
      <c r="WBK4" s="28"/>
      <c r="WBL4" s="28"/>
      <c r="WBM4" s="28"/>
      <c r="WBN4" s="28"/>
      <c r="WBO4" s="28"/>
      <c r="WBP4" s="28"/>
      <c r="WBQ4" s="28"/>
      <c r="WBR4" s="28"/>
      <c r="WBS4" s="28"/>
      <c r="WBT4" s="28"/>
      <c r="WBU4" s="28"/>
      <c r="WBV4" s="28"/>
      <c r="WBW4" s="28"/>
      <c r="WBX4" s="28"/>
      <c r="WBY4" s="28"/>
      <c r="WBZ4" s="28"/>
      <c r="WCA4" s="28"/>
      <c r="WCB4" s="28"/>
      <c r="WCC4" s="28"/>
      <c r="WCD4" s="28"/>
      <c r="WCE4" s="28"/>
      <c r="WCF4" s="28"/>
      <c r="WCG4" s="28"/>
      <c r="WCH4" s="28"/>
      <c r="WCI4" s="28"/>
      <c r="WCJ4" s="28"/>
      <c r="WCK4" s="28"/>
      <c r="WCL4" s="28"/>
      <c r="WCM4" s="28"/>
      <c r="WCN4" s="28"/>
      <c r="WCO4" s="28"/>
      <c r="WCP4" s="28"/>
      <c r="WCQ4" s="28"/>
      <c r="WCR4" s="28"/>
      <c r="WCS4" s="28"/>
      <c r="WCT4" s="28"/>
      <c r="WCU4" s="28"/>
      <c r="WCV4" s="28"/>
      <c r="WCW4" s="28"/>
      <c r="WCX4" s="28"/>
      <c r="WCY4" s="28"/>
      <c r="WCZ4" s="28"/>
      <c r="WDA4" s="28"/>
      <c r="WDB4" s="28"/>
      <c r="WDC4" s="28"/>
      <c r="WDD4" s="28"/>
      <c r="WDE4" s="28"/>
      <c r="WDF4" s="28"/>
      <c r="WDG4" s="28"/>
      <c r="WDH4" s="28"/>
      <c r="WDI4" s="28"/>
      <c r="WDJ4" s="28"/>
      <c r="WDK4" s="28"/>
      <c r="WDL4" s="28"/>
      <c r="WDM4" s="28"/>
      <c r="WDN4" s="28"/>
      <c r="WDO4" s="28"/>
      <c r="WDP4" s="28"/>
      <c r="WDQ4" s="28"/>
      <c r="WDR4" s="28"/>
      <c r="WDS4" s="28"/>
      <c r="WDT4" s="28"/>
      <c r="WDU4" s="28"/>
      <c r="WDV4" s="28"/>
      <c r="WDW4" s="28"/>
      <c r="WDX4" s="28"/>
      <c r="WDY4" s="28"/>
      <c r="WDZ4" s="28"/>
      <c r="WEA4" s="28"/>
      <c r="WEB4" s="28"/>
      <c r="WEC4" s="28"/>
      <c r="WED4" s="28"/>
      <c r="WEE4" s="28"/>
      <c r="WEF4" s="28"/>
      <c r="WEG4" s="28"/>
      <c r="WEH4" s="28"/>
      <c r="WEI4" s="28"/>
      <c r="WEJ4" s="28"/>
      <c r="WEK4" s="28"/>
      <c r="WEL4" s="28"/>
      <c r="WEM4" s="28"/>
      <c r="WEN4" s="28"/>
      <c r="WEO4" s="28"/>
      <c r="WEP4" s="28"/>
      <c r="WEQ4" s="28"/>
      <c r="WER4" s="28"/>
      <c r="WES4" s="28"/>
      <c r="WET4" s="28"/>
      <c r="WEU4" s="28"/>
      <c r="WEV4" s="28"/>
      <c r="WEW4" s="28"/>
      <c r="WEX4" s="28"/>
      <c r="WEY4" s="28"/>
      <c r="WEZ4" s="28"/>
      <c r="WFA4" s="28"/>
      <c r="WFB4" s="28"/>
      <c r="WFC4" s="28"/>
      <c r="WFD4" s="28"/>
      <c r="WFE4" s="28"/>
      <c r="WFF4" s="28"/>
      <c r="WFG4" s="28"/>
      <c r="WFH4" s="28"/>
      <c r="WFI4" s="28"/>
      <c r="WFJ4" s="28"/>
      <c r="WFK4" s="28"/>
      <c r="WFL4" s="28"/>
      <c r="WFM4" s="28"/>
      <c r="WFN4" s="28"/>
      <c r="WFO4" s="28"/>
      <c r="WFP4" s="28"/>
      <c r="WFQ4" s="28"/>
      <c r="WFR4" s="28"/>
      <c r="WFS4" s="28"/>
      <c r="WFT4" s="28"/>
      <c r="WFU4" s="28"/>
      <c r="WFV4" s="28"/>
      <c r="WFW4" s="28"/>
      <c r="WFX4" s="28"/>
      <c r="WFY4" s="28"/>
      <c r="WFZ4" s="28"/>
      <c r="WGA4" s="28"/>
      <c r="WGB4" s="28"/>
      <c r="WGC4" s="28"/>
      <c r="WGD4" s="28"/>
      <c r="WGE4" s="28"/>
      <c r="WGF4" s="28"/>
      <c r="WGG4" s="28"/>
      <c r="WGH4" s="28"/>
      <c r="WGI4" s="28"/>
      <c r="WGJ4" s="28"/>
      <c r="WGK4" s="28"/>
      <c r="WGL4" s="28"/>
      <c r="WGM4" s="28"/>
      <c r="WGN4" s="28"/>
      <c r="WGO4" s="28"/>
      <c r="WGP4" s="28"/>
      <c r="WGQ4" s="28"/>
      <c r="WGR4" s="28"/>
      <c r="WGS4" s="28"/>
      <c r="WGT4" s="28"/>
      <c r="WGU4" s="28"/>
      <c r="WGV4" s="28"/>
      <c r="WGW4" s="28"/>
      <c r="WGX4" s="28"/>
      <c r="WGY4" s="28"/>
      <c r="WGZ4" s="28"/>
      <c r="WHA4" s="28"/>
      <c r="WHB4" s="28"/>
      <c r="WHC4" s="28"/>
      <c r="WHD4" s="28"/>
      <c r="WHE4" s="28"/>
      <c r="WHF4" s="28"/>
      <c r="WHG4" s="28"/>
      <c r="WHH4" s="28"/>
      <c r="WHI4" s="28"/>
      <c r="WHJ4" s="28"/>
      <c r="WHK4" s="28"/>
      <c r="WHL4" s="28"/>
      <c r="WHM4" s="28"/>
      <c r="WHN4" s="28"/>
      <c r="WHO4" s="28"/>
      <c r="WHP4" s="28"/>
      <c r="WHQ4" s="28"/>
      <c r="WHR4" s="28"/>
      <c r="WHS4" s="28"/>
      <c r="WHT4" s="28"/>
      <c r="WHU4" s="28"/>
      <c r="WHV4" s="28"/>
      <c r="WHW4" s="28"/>
      <c r="WHX4" s="28"/>
      <c r="WHY4" s="28"/>
      <c r="WHZ4" s="28"/>
      <c r="WIA4" s="28"/>
      <c r="WIB4" s="28"/>
      <c r="WIC4" s="28"/>
      <c r="WID4" s="28"/>
      <c r="WIE4" s="28"/>
      <c r="WIF4" s="28"/>
      <c r="WIG4" s="28"/>
      <c r="WIH4" s="28"/>
      <c r="WII4" s="28"/>
      <c r="WIJ4" s="28"/>
      <c r="WIK4" s="28"/>
      <c r="WIL4" s="28"/>
      <c r="WIM4" s="28"/>
      <c r="WIN4" s="28"/>
      <c r="WIO4" s="28"/>
      <c r="WIP4" s="28"/>
      <c r="WIQ4" s="28"/>
      <c r="WIR4" s="28"/>
      <c r="WIS4" s="28"/>
      <c r="WIT4" s="28"/>
      <c r="WIU4" s="28"/>
      <c r="WIV4" s="28"/>
      <c r="WIW4" s="28"/>
      <c r="WIX4" s="28"/>
      <c r="WIY4" s="28"/>
      <c r="WIZ4" s="28"/>
      <c r="WJA4" s="28"/>
      <c r="WJB4" s="28"/>
      <c r="WJC4" s="28"/>
      <c r="WJD4" s="28"/>
      <c r="WJE4" s="28"/>
      <c r="WJF4" s="28"/>
      <c r="WJG4" s="28"/>
      <c r="WJH4" s="28"/>
      <c r="WJI4" s="28"/>
      <c r="WJJ4" s="28"/>
      <c r="WJK4" s="28"/>
      <c r="WJL4" s="28"/>
      <c r="WJM4" s="28"/>
      <c r="WJN4" s="28"/>
      <c r="WJO4" s="28"/>
      <c r="WJP4" s="28"/>
      <c r="WJQ4" s="28"/>
      <c r="WJR4" s="28"/>
      <c r="WJS4" s="28"/>
      <c r="WJT4" s="28"/>
      <c r="WJU4" s="28"/>
      <c r="WJV4" s="28"/>
      <c r="WJW4" s="28"/>
      <c r="WJX4" s="28"/>
      <c r="WJY4" s="28"/>
      <c r="WJZ4" s="28"/>
      <c r="WKA4" s="28"/>
      <c r="WKB4" s="28"/>
      <c r="WKC4" s="28"/>
      <c r="WKD4" s="28"/>
      <c r="WKE4" s="28"/>
      <c r="WKF4" s="28"/>
      <c r="WKG4" s="28"/>
      <c r="WKH4" s="28"/>
      <c r="WKI4" s="28"/>
      <c r="WKJ4" s="28"/>
      <c r="WKK4" s="28"/>
      <c r="WKL4" s="28"/>
      <c r="WKM4" s="28"/>
      <c r="WKN4" s="28"/>
      <c r="WKO4" s="28"/>
      <c r="WKP4" s="28"/>
      <c r="WKQ4" s="28"/>
      <c r="WKR4" s="28"/>
      <c r="WKS4" s="28"/>
      <c r="WKT4" s="28"/>
      <c r="WKU4" s="28"/>
      <c r="WKV4" s="28"/>
      <c r="WKW4" s="28"/>
      <c r="WKX4" s="28"/>
      <c r="WKY4" s="28"/>
      <c r="WKZ4" s="28"/>
      <c r="WLA4" s="28"/>
      <c r="WLB4" s="28"/>
      <c r="WLC4" s="28"/>
      <c r="WLD4" s="28"/>
      <c r="WLE4" s="28"/>
      <c r="WLF4" s="28"/>
      <c r="WLG4" s="28"/>
      <c r="WLH4" s="28"/>
      <c r="WLI4" s="28"/>
      <c r="WLJ4" s="28"/>
      <c r="WLK4" s="28"/>
      <c r="WLL4" s="28"/>
      <c r="WLM4" s="28"/>
      <c r="WLN4" s="28"/>
      <c r="WLO4" s="28"/>
      <c r="WLP4" s="28"/>
      <c r="WLQ4" s="28"/>
      <c r="WLR4" s="28"/>
      <c r="WLS4" s="28"/>
      <c r="WLT4" s="28"/>
      <c r="WLU4" s="28"/>
      <c r="WLV4" s="28"/>
      <c r="WLW4" s="28"/>
      <c r="WLX4" s="28"/>
      <c r="WLY4" s="28"/>
      <c r="WLZ4" s="28"/>
      <c r="WMA4" s="28"/>
      <c r="WMB4" s="28"/>
      <c r="WMC4" s="28"/>
      <c r="WMD4" s="28"/>
      <c r="WME4" s="28"/>
      <c r="WMF4" s="28"/>
      <c r="WMG4" s="28"/>
      <c r="WMH4" s="28"/>
      <c r="WMI4" s="28"/>
      <c r="WMJ4" s="28"/>
      <c r="WMK4" s="28"/>
      <c r="WML4" s="28"/>
      <c r="WMM4" s="28"/>
      <c r="WMN4" s="28"/>
      <c r="WMO4" s="28"/>
      <c r="WMP4" s="28"/>
      <c r="WMQ4" s="28"/>
      <c r="WMR4" s="28"/>
      <c r="WMS4" s="28"/>
      <c r="WMT4" s="28"/>
      <c r="WMU4" s="28"/>
      <c r="WMV4" s="28"/>
      <c r="WMW4" s="28"/>
      <c r="WMX4" s="28"/>
      <c r="WMY4" s="28"/>
      <c r="WMZ4" s="28"/>
      <c r="WNA4" s="28"/>
      <c r="WNB4" s="28"/>
      <c r="WNC4" s="28"/>
      <c r="WND4" s="28"/>
      <c r="WNE4" s="28"/>
      <c r="WNF4" s="28"/>
      <c r="WNG4" s="28"/>
      <c r="WNH4" s="28"/>
      <c r="WNI4" s="28"/>
      <c r="WNJ4" s="28"/>
      <c r="WNK4" s="28"/>
      <c r="WNL4" s="28"/>
      <c r="WNM4" s="28"/>
      <c r="WNN4" s="28"/>
      <c r="WNO4" s="28"/>
      <c r="WNP4" s="28"/>
      <c r="WNQ4" s="28"/>
      <c r="WNR4" s="28"/>
      <c r="WNS4" s="28"/>
      <c r="WNT4" s="28"/>
      <c r="WNU4" s="28"/>
      <c r="WNV4" s="28"/>
      <c r="WNW4" s="28"/>
      <c r="WNX4" s="28"/>
      <c r="WNY4" s="28"/>
      <c r="WNZ4" s="28"/>
      <c r="WOA4" s="28"/>
      <c r="WOB4" s="28"/>
      <c r="WOC4" s="28"/>
      <c r="WOD4" s="28"/>
      <c r="WOE4" s="28"/>
      <c r="WOF4" s="28"/>
      <c r="WOG4" s="28"/>
      <c r="WOH4" s="28"/>
      <c r="WOI4" s="28"/>
      <c r="WOJ4" s="28"/>
      <c r="WOK4" s="28"/>
      <c r="WOL4" s="28"/>
      <c r="WOM4" s="28"/>
      <c r="WON4" s="28"/>
      <c r="WOO4" s="28"/>
      <c r="WOP4" s="28"/>
      <c r="WOQ4" s="28"/>
      <c r="WOR4" s="28"/>
      <c r="WOS4" s="28"/>
      <c r="WOT4" s="28"/>
      <c r="WOU4" s="28"/>
      <c r="WOV4" s="28"/>
      <c r="WOW4" s="28"/>
      <c r="WOX4" s="28"/>
      <c r="WOY4" s="28"/>
      <c r="WOZ4" s="28"/>
      <c r="WPA4" s="28"/>
      <c r="WPB4" s="28"/>
      <c r="WPC4" s="28"/>
      <c r="WPD4" s="28"/>
      <c r="WPE4" s="28"/>
      <c r="WPF4" s="28"/>
      <c r="WPG4" s="28"/>
      <c r="WPH4" s="28"/>
      <c r="WPI4" s="28"/>
      <c r="WPJ4" s="28"/>
      <c r="WPK4" s="28"/>
      <c r="WPL4" s="28"/>
      <c r="WPM4" s="28"/>
      <c r="WPN4" s="28"/>
      <c r="WPO4" s="28"/>
      <c r="WPP4" s="28"/>
      <c r="WPQ4" s="28"/>
      <c r="WPR4" s="28"/>
      <c r="WPS4" s="28"/>
      <c r="WPT4" s="28"/>
      <c r="WPU4" s="28"/>
      <c r="WPV4" s="28"/>
      <c r="WPW4" s="28"/>
      <c r="WPX4" s="28"/>
      <c r="WPY4" s="28"/>
      <c r="WPZ4" s="28"/>
      <c r="WQA4" s="28"/>
      <c r="WQB4" s="28"/>
      <c r="WQC4" s="28"/>
      <c r="WQD4" s="28"/>
      <c r="WQE4" s="28"/>
      <c r="WQF4" s="28"/>
      <c r="WQG4" s="28"/>
      <c r="WQH4" s="28"/>
      <c r="WQI4" s="28"/>
      <c r="WQJ4" s="28"/>
      <c r="WQK4" s="28"/>
      <c r="WQL4" s="28"/>
      <c r="WQM4" s="28"/>
      <c r="WQN4" s="28"/>
      <c r="WQO4" s="28"/>
      <c r="WQP4" s="28"/>
      <c r="WQQ4" s="28"/>
      <c r="WQR4" s="28"/>
      <c r="WQS4" s="28"/>
      <c r="WQT4" s="28"/>
      <c r="WQU4" s="28"/>
      <c r="WQV4" s="28"/>
      <c r="WQW4" s="28"/>
      <c r="WQX4" s="28"/>
      <c r="WQY4" s="28"/>
      <c r="WQZ4" s="28"/>
      <c r="WRA4" s="28"/>
      <c r="WRB4" s="28"/>
      <c r="WRC4" s="28"/>
      <c r="WRD4" s="28"/>
      <c r="WRE4" s="28"/>
      <c r="WRF4" s="28"/>
      <c r="WRG4" s="28"/>
      <c r="WRH4" s="28"/>
      <c r="WRI4" s="28"/>
      <c r="WRJ4" s="28"/>
      <c r="WRK4" s="28"/>
      <c r="WRL4" s="28"/>
      <c r="WRM4" s="28"/>
      <c r="WRN4" s="28"/>
      <c r="WRO4" s="28"/>
      <c r="WRP4" s="28"/>
      <c r="WRQ4" s="28"/>
      <c r="WRR4" s="28"/>
      <c r="WRS4" s="28"/>
      <c r="WRT4" s="28"/>
      <c r="WRU4" s="28"/>
      <c r="WRV4" s="28"/>
      <c r="WRW4" s="28"/>
      <c r="WRX4" s="28"/>
      <c r="WRY4" s="28"/>
      <c r="WRZ4" s="28"/>
      <c r="WSA4" s="28"/>
      <c r="WSB4" s="28"/>
      <c r="WSC4" s="28"/>
      <c r="WSD4" s="28"/>
      <c r="WSE4" s="28"/>
      <c r="WSF4" s="28"/>
      <c r="WSG4" s="28"/>
      <c r="WSH4" s="28"/>
      <c r="WSI4" s="28"/>
      <c r="WSJ4" s="28"/>
      <c r="WSK4" s="28"/>
      <c r="WSL4" s="28"/>
      <c r="WSM4" s="28"/>
      <c r="WSN4" s="28"/>
      <c r="WSO4" s="28"/>
      <c r="WSP4" s="28"/>
      <c r="WSQ4" s="28"/>
      <c r="WSR4" s="28"/>
      <c r="WSS4" s="28"/>
      <c r="WST4" s="28"/>
      <c r="WSU4" s="28"/>
      <c r="WSV4" s="28"/>
      <c r="WSW4" s="28"/>
      <c r="WSX4" s="28"/>
      <c r="WSY4" s="28"/>
      <c r="WSZ4" s="28"/>
      <c r="WTA4" s="28"/>
      <c r="WTB4" s="28"/>
      <c r="WTC4" s="28"/>
      <c r="WTD4" s="28"/>
      <c r="WTE4" s="28"/>
      <c r="WTF4" s="28"/>
      <c r="WTG4" s="28"/>
      <c r="WTH4" s="28"/>
      <c r="WTI4" s="28"/>
      <c r="WTJ4" s="28"/>
      <c r="WTK4" s="28"/>
      <c r="WTL4" s="28"/>
      <c r="WTM4" s="28"/>
      <c r="WTN4" s="28"/>
      <c r="WTO4" s="28"/>
      <c r="WTP4" s="28"/>
      <c r="WTQ4" s="28"/>
      <c r="WTR4" s="28"/>
      <c r="WTS4" s="28"/>
      <c r="WTT4" s="28"/>
      <c r="WTU4" s="28"/>
      <c r="WTV4" s="28"/>
      <c r="WTW4" s="28"/>
      <c r="WTX4" s="28"/>
      <c r="WTY4" s="28"/>
      <c r="WTZ4" s="28"/>
      <c r="WUA4" s="28"/>
      <c r="WUB4" s="28"/>
      <c r="WUC4" s="28"/>
      <c r="WUD4" s="28"/>
      <c r="WUE4" s="28"/>
      <c r="WUF4" s="28"/>
      <c r="WUG4" s="28"/>
      <c r="WUH4" s="28"/>
      <c r="WUI4" s="28"/>
      <c r="WUJ4" s="28"/>
      <c r="WUK4" s="28"/>
      <c r="WUL4" s="28"/>
      <c r="WUM4" s="28"/>
      <c r="WUN4" s="28"/>
      <c r="WUO4" s="28"/>
      <c r="WUP4" s="28"/>
      <c r="WUQ4" s="28"/>
      <c r="WUR4" s="28"/>
      <c r="WUS4" s="28"/>
      <c r="WUT4" s="28"/>
      <c r="WUU4" s="28"/>
      <c r="WUV4" s="28"/>
      <c r="WUW4" s="28"/>
      <c r="WUX4" s="28"/>
      <c r="WUY4" s="28"/>
      <c r="WUZ4" s="28"/>
      <c r="WVA4" s="28"/>
      <c r="WVB4" s="28"/>
      <c r="WVC4" s="28"/>
      <c r="WVD4" s="28"/>
      <c r="WVE4" s="28"/>
      <c r="WVF4" s="28"/>
      <c r="WVG4" s="28"/>
      <c r="WVH4" s="28"/>
      <c r="WVI4" s="28"/>
      <c r="WVJ4" s="28"/>
      <c r="WVK4" s="28"/>
      <c r="WVL4" s="28"/>
      <c r="WVM4" s="28"/>
      <c r="WVN4" s="28"/>
      <c r="WVO4" s="28"/>
      <c r="WVP4" s="28"/>
      <c r="WVQ4" s="28"/>
      <c r="WVR4" s="28"/>
      <c r="WVS4" s="28"/>
      <c r="WVT4" s="28"/>
      <c r="WVU4" s="28"/>
      <c r="WVV4" s="28"/>
      <c r="WVW4" s="28"/>
      <c r="WVX4" s="28"/>
      <c r="WVY4" s="28"/>
      <c r="WVZ4" s="28"/>
      <c r="WWA4" s="28"/>
      <c r="WWB4" s="28"/>
      <c r="WWC4" s="28"/>
      <c r="WWD4" s="28"/>
      <c r="WWE4" s="28"/>
      <c r="WWF4" s="28"/>
      <c r="WWG4" s="28"/>
      <c r="WWH4" s="28"/>
      <c r="WWI4" s="28"/>
      <c r="WWJ4" s="28"/>
      <c r="WWK4" s="28"/>
      <c r="WWL4" s="28"/>
      <c r="WWM4" s="28"/>
      <c r="WWN4" s="28"/>
      <c r="WWO4" s="28"/>
      <c r="WWP4" s="28"/>
      <c r="WWQ4" s="28"/>
      <c r="WWR4" s="28"/>
      <c r="WWS4" s="28"/>
      <c r="WWT4" s="28"/>
      <c r="WWU4" s="28"/>
      <c r="WWV4" s="28"/>
      <c r="WWW4" s="28"/>
      <c r="WWX4" s="28"/>
      <c r="WWY4" s="28"/>
      <c r="WWZ4" s="28"/>
      <c r="WXA4" s="28"/>
      <c r="WXB4" s="28"/>
      <c r="WXC4" s="28"/>
      <c r="WXD4" s="28"/>
      <c r="WXE4" s="28"/>
      <c r="WXF4" s="28"/>
      <c r="WXG4" s="28"/>
      <c r="WXH4" s="28"/>
      <c r="WXI4" s="28"/>
      <c r="WXJ4" s="28"/>
      <c r="WXK4" s="28"/>
      <c r="WXL4" s="28"/>
      <c r="WXM4" s="28"/>
      <c r="WXN4" s="28"/>
      <c r="WXO4" s="28"/>
      <c r="WXP4" s="28"/>
      <c r="WXQ4" s="28"/>
      <c r="WXR4" s="28"/>
      <c r="WXS4" s="28"/>
      <c r="WXT4" s="28"/>
      <c r="WXU4" s="28"/>
      <c r="WXV4" s="28"/>
      <c r="WXW4" s="28"/>
      <c r="WXX4" s="28"/>
      <c r="WXY4" s="28"/>
      <c r="WXZ4" s="28"/>
      <c r="WYA4" s="28"/>
      <c r="WYB4" s="28"/>
      <c r="WYC4" s="28"/>
      <c r="WYD4" s="28"/>
      <c r="WYE4" s="28"/>
      <c r="WYF4" s="28"/>
      <c r="WYG4" s="28"/>
      <c r="WYH4" s="28"/>
      <c r="WYI4" s="28"/>
      <c r="WYJ4" s="28"/>
      <c r="WYK4" s="28"/>
      <c r="WYL4" s="28"/>
      <c r="WYM4" s="28"/>
      <c r="WYN4" s="28"/>
      <c r="WYO4" s="28"/>
      <c r="WYP4" s="28"/>
      <c r="WYQ4" s="28"/>
      <c r="WYR4" s="28"/>
      <c r="WYS4" s="28"/>
      <c r="WYT4" s="28"/>
      <c r="WYU4" s="28"/>
      <c r="WYV4" s="28"/>
      <c r="WYW4" s="28"/>
      <c r="WYX4" s="28"/>
      <c r="WYY4" s="28"/>
      <c r="WYZ4" s="28"/>
      <c r="WZA4" s="28"/>
      <c r="WZB4" s="28"/>
      <c r="WZC4" s="28"/>
      <c r="WZD4" s="28"/>
      <c r="WZE4" s="28"/>
      <c r="WZF4" s="28"/>
      <c r="WZG4" s="28"/>
      <c r="WZH4" s="28"/>
      <c r="WZI4" s="28"/>
      <c r="WZJ4" s="28"/>
      <c r="WZK4" s="28"/>
      <c r="WZL4" s="28"/>
      <c r="WZM4" s="28"/>
      <c r="WZN4" s="28"/>
      <c r="WZO4" s="28"/>
      <c r="WZP4" s="28"/>
      <c r="WZQ4" s="28"/>
      <c r="WZR4" s="28"/>
      <c r="WZS4" s="28"/>
      <c r="WZT4" s="28"/>
      <c r="WZU4" s="28"/>
      <c r="WZV4" s="28"/>
      <c r="WZW4" s="28"/>
      <c r="WZX4" s="28"/>
      <c r="WZY4" s="28"/>
      <c r="WZZ4" s="28"/>
      <c r="XAA4" s="28"/>
      <c r="XAB4" s="28"/>
      <c r="XAC4" s="28"/>
      <c r="XAD4" s="28"/>
      <c r="XAE4" s="28"/>
      <c r="XAF4" s="28"/>
      <c r="XAG4" s="28"/>
      <c r="XAH4" s="28"/>
      <c r="XAI4" s="28"/>
      <c r="XAJ4" s="28"/>
      <c r="XAK4" s="28"/>
      <c r="XAL4" s="28"/>
      <c r="XAM4" s="28"/>
      <c r="XAN4" s="28"/>
      <c r="XAO4" s="28"/>
      <c r="XAP4" s="28"/>
      <c r="XAQ4" s="28"/>
      <c r="XAR4" s="28"/>
      <c r="XAS4" s="28"/>
      <c r="XAT4" s="28"/>
      <c r="XAU4" s="28"/>
      <c r="XAV4" s="28"/>
      <c r="XAW4" s="28"/>
      <c r="XAX4" s="28"/>
      <c r="XAY4" s="28"/>
      <c r="XAZ4" s="28"/>
      <c r="XBA4" s="28"/>
      <c r="XBB4" s="28"/>
      <c r="XBC4" s="28"/>
      <c r="XBD4" s="28"/>
      <c r="XBE4" s="28"/>
      <c r="XBF4" s="28"/>
      <c r="XBG4" s="28"/>
      <c r="XBH4" s="28"/>
      <c r="XBI4" s="28"/>
      <c r="XBJ4" s="28"/>
      <c r="XBK4" s="28"/>
      <c r="XBL4" s="28"/>
      <c r="XBM4" s="28"/>
      <c r="XBN4" s="28"/>
      <c r="XBO4" s="28"/>
      <c r="XBP4" s="28"/>
      <c r="XBQ4" s="28"/>
      <c r="XBR4" s="28"/>
      <c r="XBS4" s="28"/>
      <c r="XBT4" s="28"/>
      <c r="XBU4" s="28"/>
      <c r="XBV4" s="28"/>
      <c r="XBW4" s="28"/>
      <c r="XBX4" s="28"/>
      <c r="XBY4" s="28"/>
      <c r="XBZ4" s="28"/>
      <c r="XCA4" s="28"/>
      <c r="XCB4" s="28"/>
      <c r="XCC4" s="28"/>
      <c r="XCD4" s="28"/>
      <c r="XCE4" s="28"/>
      <c r="XCF4" s="28"/>
      <c r="XCG4" s="28"/>
      <c r="XCH4" s="28"/>
      <c r="XCI4" s="28"/>
      <c r="XCJ4" s="28"/>
      <c r="XCK4" s="28"/>
      <c r="XCL4" s="28"/>
      <c r="XCM4" s="28"/>
      <c r="XCN4" s="28"/>
      <c r="XCO4" s="28"/>
      <c r="XCP4" s="28"/>
      <c r="XCQ4" s="28"/>
      <c r="XCR4" s="28"/>
      <c r="XCS4" s="28"/>
      <c r="XCT4" s="28"/>
      <c r="XCU4" s="28"/>
      <c r="XCV4" s="28"/>
      <c r="XCW4" s="28"/>
      <c r="XCX4" s="28"/>
      <c r="XCY4" s="28"/>
      <c r="XCZ4" s="28"/>
      <c r="XDA4" s="28"/>
      <c r="XDB4" s="28"/>
      <c r="XDC4" s="28"/>
      <c r="XDD4" s="28"/>
      <c r="XDE4" s="28"/>
      <c r="XDF4" s="28"/>
      <c r="XDG4" s="28"/>
      <c r="XDH4" s="28"/>
      <c r="XDI4" s="28"/>
      <c r="XDJ4" s="28"/>
      <c r="XDK4" s="28"/>
      <c r="XDL4" s="28"/>
      <c r="XDM4" s="28"/>
      <c r="XDN4" s="28"/>
      <c r="XDO4" s="28"/>
      <c r="XDP4" s="28"/>
      <c r="XDQ4" s="28"/>
      <c r="XDR4" s="28"/>
      <c r="XDS4" s="28"/>
      <c r="XDT4" s="28"/>
      <c r="XDU4" s="28"/>
      <c r="XDV4" s="28"/>
      <c r="XDW4" s="28"/>
      <c r="XDX4" s="28"/>
      <c r="XDY4" s="28"/>
      <c r="XDZ4" s="28"/>
      <c r="XEA4" s="28"/>
      <c r="XEB4" s="28"/>
      <c r="XEC4" s="28"/>
      <c r="XED4" s="28"/>
      <c r="XEE4" s="28"/>
      <c r="XEF4" s="28"/>
      <c r="XEG4" s="28"/>
      <c r="XEH4" s="28"/>
      <c r="XEI4" s="28"/>
      <c r="XEJ4" s="28"/>
      <c r="XEK4" s="28"/>
      <c r="XEL4" s="28"/>
      <c r="XEM4" s="28"/>
      <c r="XEN4" s="28"/>
      <c r="XEO4" s="28"/>
      <c r="XEP4" s="28"/>
      <c r="XEQ4" s="28"/>
      <c r="XER4" s="28"/>
      <c r="XES4" s="28"/>
      <c r="XET4" s="28"/>
      <c r="XEU4" s="28"/>
      <c r="XEV4" s="28"/>
      <c r="XEW4" s="28"/>
      <c r="XEX4" s="28"/>
      <c r="XEY4" s="28"/>
      <c r="XEZ4" s="28"/>
      <c r="XFA4" s="28"/>
      <c r="XFB4" s="28"/>
    </row>
    <row r="5" spans="1:16382" ht="16.5" thickBot="1" x14ac:dyDescent="0.3">
      <c r="B5" s="164">
        <f>SUM(D3:M3,D5:M5,D7:M7)</f>
        <v>568320.46</v>
      </c>
      <c r="C5" s="47"/>
      <c r="D5" s="22">
        <v>15288.11</v>
      </c>
      <c r="E5" s="22">
        <v>18426.180000000004</v>
      </c>
      <c r="F5" s="22">
        <v>15393.470000000001</v>
      </c>
      <c r="G5" s="22">
        <v>16585.95</v>
      </c>
      <c r="H5" s="22">
        <v>26763.34</v>
      </c>
      <c r="I5" s="22">
        <v>15789.64</v>
      </c>
      <c r="J5" s="22">
        <v>16847.53</v>
      </c>
      <c r="K5" s="22">
        <v>18530</v>
      </c>
      <c r="L5" s="22">
        <v>17482.370000000003</v>
      </c>
      <c r="M5" s="22">
        <v>16668.86</v>
      </c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  <c r="NK5" s="28"/>
      <c r="NL5" s="28"/>
      <c r="NM5" s="28"/>
      <c r="NN5" s="28"/>
      <c r="NO5" s="28"/>
      <c r="NP5" s="28"/>
      <c r="NQ5" s="28"/>
      <c r="NR5" s="28"/>
      <c r="NS5" s="28"/>
      <c r="NT5" s="28"/>
      <c r="NU5" s="28"/>
      <c r="NV5" s="28"/>
      <c r="NW5" s="28"/>
      <c r="NX5" s="28"/>
      <c r="NY5" s="28"/>
      <c r="NZ5" s="28"/>
      <c r="OA5" s="28"/>
      <c r="OB5" s="28"/>
      <c r="OC5" s="28"/>
      <c r="OD5" s="28"/>
      <c r="OE5" s="28"/>
      <c r="OF5" s="28"/>
      <c r="OG5" s="28"/>
      <c r="OH5" s="28"/>
      <c r="OI5" s="28"/>
      <c r="OJ5" s="28"/>
      <c r="OK5" s="28"/>
      <c r="OL5" s="28"/>
      <c r="OM5" s="28"/>
      <c r="ON5" s="28"/>
      <c r="OO5" s="28"/>
      <c r="OP5" s="28"/>
      <c r="OQ5" s="28"/>
      <c r="OR5" s="28"/>
      <c r="OS5" s="28"/>
      <c r="OT5" s="28"/>
      <c r="OU5" s="28"/>
      <c r="OV5" s="28"/>
      <c r="OW5" s="28"/>
      <c r="OX5" s="28"/>
      <c r="OY5" s="28"/>
      <c r="OZ5" s="28"/>
      <c r="PA5" s="28"/>
      <c r="PB5" s="28"/>
      <c r="PC5" s="28"/>
      <c r="PD5" s="28"/>
      <c r="PE5" s="28"/>
      <c r="PF5" s="28"/>
      <c r="PG5" s="28"/>
      <c r="PH5" s="28"/>
      <c r="PI5" s="28"/>
      <c r="PJ5" s="28"/>
      <c r="PK5" s="28"/>
      <c r="PL5" s="28"/>
      <c r="PM5" s="28"/>
      <c r="PN5" s="28"/>
      <c r="PO5" s="28"/>
      <c r="PP5" s="28"/>
      <c r="PQ5" s="28"/>
      <c r="PR5" s="28"/>
      <c r="PS5" s="28"/>
      <c r="PT5" s="28"/>
      <c r="PU5" s="28"/>
      <c r="PV5" s="28"/>
      <c r="PW5" s="28"/>
      <c r="PX5" s="28"/>
      <c r="PY5" s="28"/>
      <c r="PZ5" s="28"/>
      <c r="QA5" s="28"/>
      <c r="QB5" s="28"/>
      <c r="QC5" s="28"/>
      <c r="QD5" s="28"/>
      <c r="QE5" s="28"/>
      <c r="QF5" s="28"/>
      <c r="QG5" s="28"/>
      <c r="QH5" s="28"/>
      <c r="QI5" s="28"/>
      <c r="QJ5" s="28"/>
      <c r="QK5" s="28"/>
      <c r="QL5" s="28"/>
      <c r="QM5" s="28"/>
      <c r="QN5" s="28"/>
      <c r="QO5" s="28"/>
      <c r="QP5" s="28"/>
      <c r="QQ5" s="28"/>
      <c r="QR5" s="28"/>
      <c r="QS5" s="28"/>
      <c r="QT5" s="28"/>
      <c r="QU5" s="28"/>
      <c r="QV5" s="28"/>
      <c r="QW5" s="28"/>
      <c r="QX5" s="28"/>
      <c r="QY5" s="28"/>
      <c r="QZ5" s="28"/>
      <c r="RA5" s="28"/>
      <c r="RB5" s="28"/>
      <c r="RC5" s="28"/>
      <c r="RD5" s="28"/>
      <c r="RE5" s="28"/>
      <c r="RF5" s="28"/>
      <c r="RG5" s="28"/>
      <c r="RH5" s="28"/>
      <c r="RI5" s="28"/>
      <c r="RJ5" s="28"/>
      <c r="RK5" s="28"/>
      <c r="RL5" s="28"/>
      <c r="RM5" s="28"/>
      <c r="RN5" s="28"/>
      <c r="RO5" s="28"/>
      <c r="RP5" s="28"/>
      <c r="RQ5" s="28"/>
      <c r="RR5" s="28"/>
      <c r="RS5" s="28"/>
      <c r="RT5" s="28"/>
      <c r="RU5" s="28"/>
      <c r="RV5" s="28"/>
      <c r="RW5" s="28"/>
      <c r="RX5" s="28"/>
      <c r="RY5" s="28"/>
      <c r="RZ5" s="28"/>
      <c r="SA5" s="28"/>
      <c r="SB5" s="28"/>
      <c r="SC5" s="28"/>
      <c r="SD5" s="28"/>
      <c r="SE5" s="28"/>
      <c r="SF5" s="28"/>
      <c r="SG5" s="28"/>
      <c r="SH5" s="28"/>
      <c r="SI5" s="28"/>
      <c r="SJ5" s="28"/>
      <c r="SK5" s="28"/>
      <c r="SL5" s="28"/>
      <c r="SM5" s="28"/>
      <c r="SN5" s="28"/>
      <c r="SO5" s="28"/>
      <c r="SP5" s="28"/>
      <c r="SQ5" s="28"/>
      <c r="SR5" s="28"/>
      <c r="SS5" s="28"/>
      <c r="ST5" s="28"/>
      <c r="SU5" s="28"/>
      <c r="SV5" s="28"/>
      <c r="SW5" s="28"/>
      <c r="SX5" s="28"/>
      <c r="SY5" s="28"/>
      <c r="SZ5" s="28"/>
      <c r="TA5" s="28"/>
      <c r="TB5" s="28"/>
      <c r="TC5" s="28"/>
      <c r="TD5" s="28"/>
      <c r="TE5" s="28"/>
      <c r="TF5" s="28"/>
      <c r="TG5" s="28"/>
      <c r="TH5" s="28"/>
      <c r="TI5" s="28"/>
      <c r="TJ5" s="28"/>
      <c r="TK5" s="28"/>
      <c r="TL5" s="28"/>
      <c r="TM5" s="28"/>
      <c r="TN5" s="28"/>
      <c r="TO5" s="28"/>
      <c r="TP5" s="28"/>
      <c r="TQ5" s="28"/>
      <c r="TR5" s="28"/>
      <c r="TS5" s="28"/>
      <c r="TT5" s="28"/>
      <c r="TU5" s="28"/>
      <c r="TV5" s="28"/>
      <c r="TW5" s="28"/>
      <c r="TX5" s="28"/>
      <c r="TY5" s="28"/>
      <c r="TZ5" s="28"/>
      <c r="UA5" s="28"/>
      <c r="UB5" s="28"/>
      <c r="UC5" s="28"/>
      <c r="UD5" s="28"/>
      <c r="UE5" s="28"/>
      <c r="UF5" s="28"/>
      <c r="UG5" s="28"/>
      <c r="UH5" s="28"/>
      <c r="UI5" s="28"/>
      <c r="UJ5" s="28"/>
      <c r="UK5" s="28"/>
      <c r="UL5" s="28"/>
      <c r="UM5" s="28"/>
      <c r="UN5" s="28"/>
      <c r="UO5" s="28"/>
      <c r="UP5" s="28"/>
      <c r="UQ5" s="28"/>
      <c r="UR5" s="28"/>
      <c r="US5" s="28"/>
      <c r="UT5" s="28"/>
      <c r="UU5" s="28"/>
      <c r="UV5" s="28"/>
      <c r="UW5" s="28"/>
      <c r="UX5" s="28"/>
      <c r="UY5" s="28"/>
      <c r="UZ5" s="28"/>
      <c r="VA5" s="28"/>
      <c r="VB5" s="28"/>
      <c r="VC5" s="28"/>
      <c r="VD5" s="28"/>
      <c r="VE5" s="28"/>
      <c r="VF5" s="28"/>
      <c r="VG5" s="28"/>
      <c r="VH5" s="28"/>
      <c r="VI5" s="28"/>
      <c r="VJ5" s="28"/>
      <c r="VK5" s="28"/>
      <c r="VL5" s="28"/>
      <c r="VM5" s="28"/>
      <c r="VN5" s="28"/>
      <c r="VO5" s="28"/>
      <c r="VP5" s="28"/>
      <c r="VQ5" s="28"/>
      <c r="VR5" s="28"/>
      <c r="VS5" s="28"/>
      <c r="VT5" s="28"/>
      <c r="VU5" s="28"/>
      <c r="VV5" s="28"/>
      <c r="VW5" s="28"/>
      <c r="VX5" s="28"/>
      <c r="VY5" s="28"/>
      <c r="VZ5" s="28"/>
      <c r="WA5" s="28"/>
      <c r="WB5" s="28"/>
      <c r="WC5" s="28"/>
      <c r="WD5" s="28"/>
      <c r="WE5" s="28"/>
      <c r="WF5" s="28"/>
      <c r="WG5" s="28"/>
      <c r="WH5" s="28"/>
      <c r="WI5" s="28"/>
      <c r="WJ5" s="28"/>
      <c r="WK5" s="28"/>
      <c r="WL5" s="28"/>
      <c r="WM5" s="28"/>
      <c r="WN5" s="28"/>
      <c r="WO5" s="28"/>
      <c r="WP5" s="28"/>
      <c r="WQ5" s="28"/>
      <c r="WR5" s="28"/>
      <c r="WS5" s="28"/>
      <c r="WT5" s="28"/>
      <c r="WU5" s="28"/>
      <c r="WV5" s="28"/>
      <c r="WW5" s="28"/>
      <c r="WX5" s="28"/>
      <c r="WY5" s="28"/>
      <c r="WZ5" s="28"/>
      <c r="XA5" s="28"/>
      <c r="XB5" s="28"/>
      <c r="XC5" s="28"/>
      <c r="XD5" s="28"/>
      <c r="XE5" s="28"/>
      <c r="XF5" s="28"/>
      <c r="XG5" s="28"/>
      <c r="XH5" s="28"/>
      <c r="XI5" s="28"/>
      <c r="XJ5" s="28"/>
      <c r="XK5" s="28"/>
      <c r="XL5" s="28"/>
      <c r="XM5" s="28"/>
      <c r="XN5" s="28"/>
      <c r="XO5" s="28"/>
      <c r="XP5" s="28"/>
      <c r="XQ5" s="28"/>
      <c r="XR5" s="28"/>
      <c r="XS5" s="28"/>
      <c r="XT5" s="28"/>
      <c r="XU5" s="28"/>
      <c r="XV5" s="28"/>
      <c r="XW5" s="28"/>
      <c r="XX5" s="28"/>
      <c r="XY5" s="28"/>
      <c r="XZ5" s="28"/>
      <c r="YA5" s="28"/>
      <c r="YB5" s="28"/>
      <c r="YC5" s="28"/>
      <c r="YD5" s="28"/>
      <c r="YE5" s="28"/>
      <c r="YF5" s="28"/>
      <c r="YG5" s="28"/>
      <c r="YH5" s="28"/>
      <c r="YI5" s="28"/>
      <c r="YJ5" s="28"/>
      <c r="YK5" s="28"/>
      <c r="YL5" s="28"/>
      <c r="YM5" s="28"/>
      <c r="YN5" s="28"/>
      <c r="YO5" s="28"/>
      <c r="YP5" s="28"/>
      <c r="YQ5" s="28"/>
      <c r="YR5" s="28"/>
      <c r="YS5" s="28"/>
      <c r="YT5" s="28"/>
      <c r="YU5" s="28"/>
      <c r="YV5" s="28"/>
      <c r="YW5" s="28"/>
      <c r="YX5" s="28"/>
      <c r="YY5" s="28"/>
      <c r="YZ5" s="28"/>
      <c r="ZA5" s="28"/>
      <c r="ZB5" s="28"/>
      <c r="ZC5" s="28"/>
      <c r="ZD5" s="28"/>
      <c r="ZE5" s="28"/>
      <c r="ZF5" s="28"/>
      <c r="ZG5" s="28"/>
      <c r="ZH5" s="28"/>
      <c r="ZI5" s="28"/>
      <c r="ZJ5" s="28"/>
      <c r="ZK5" s="28"/>
      <c r="ZL5" s="28"/>
      <c r="ZM5" s="28"/>
      <c r="ZN5" s="28"/>
      <c r="ZO5" s="28"/>
      <c r="ZP5" s="28"/>
      <c r="ZQ5" s="28"/>
      <c r="ZR5" s="28"/>
      <c r="ZS5" s="28"/>
      <c r="ZT5" s="28"/>
      <c r="ZU5" s="28"/>
      <c r="ZV5" s="28"/>
      <c r="ZW5" s="28"/>
      <c r="ZX5" s="28"/>
      <c r="ZY5" s="28"/>
      <c r="ZZ5" s="28"/>
      <c r="AAA5" s="28"/>
      <c r="AAB5" s="28"/>
      <c r="AAC5" s="28"/>
      <c r="AAD5" s="28"/>
      <c r="AAE5" s="28"/>
      <c r="AAF5" s="28"/>
      <c r="AAG5" s="28"/>
      <c r="AAH5" s="28"/>
      <c r="AAI5" s="28"/>
      <c r="AAJ5" s="28"/>
      <c r="AAK5" s="28"/>
      <c r="AAL5" s="28"/>
      <c r="AAM5" s="28"/>
      <c r="AAN5" s="28"/>
      <c r="AAO5" s="28"/>
      <c r="AAP5" s="28"/>
      <c r="AAQ5" s="28"/>
      <c r="AAR5" s="28"/>
      <c r="AAS5" s="28"/>
      <c r="AAT5" s="28"/>
      <c r="AAU5" s="28"/>
      <c r="AAV5" s="28"/>
      <c r="AAW5" s="28"/>
      <c r="AAX5" s="28"/>
      <c r="AAY5" s="28"/>
      <c r="AAZ5" s="28"/>
      <c r="ABA5" s="28"/>
      <c r="ABB5" s="28"/>
      <c r="ABC5" s="28"/>
      <c r="ABD5" s="28"/>
      <c r="ABE5" s="28"/>
      <c r="ABF5" s="28"/>
      <c r="ABG5" s="28"/>
      <c r="ABH5" s="28"/>
      <c r="ABI5" s="28"/>
      <c r="ABJ5" s="28"/>
      <c r="ABK5" s="28"/>
      <c r="ABL5" s="28"/>
      <c r="ABM5" s="28"/>
      <c r="ABN5" s="28"/>
      <c r="ABO5" s="28"/>
      <c r="ABP5" s="28"/>
      <c r="ABQ5" s="28"/>
      <c r="ABR5" s="28"/>
      <c r="ABS5" s="28"/>
      <c r="ABT5" s="28"/>
      <c r="ABU5" s="28"/>
      <c r="ABV5" s="28"/>
      <c r="ABW5" s="28"/>
      <c r="ABX5" s="28"/>
      <c r="ABY5" s="28"/>
      <c r="ABZ5" s="28"/>
      <c r="ACA5" s="28"/>
      <c r="ACB5" s="28"/>
      <c r="ACC5" s="28"/>
      <c r="ACD5" s="28"/>
      <c r="ACE5" s="28"/>
      <c r="ACF5" s="28"/>
      <c r="ACG5" s="28"/>
      <c r="ACH5" s="28"/>
      <c r="ACI5" s="28"/>
      <c r="ACJ5" s="28"/>
      <c r="ACK5" s="28"/>
      <c r="ACL5" s="28"/>
      <c r="ACM5" s="28"/>
      <c r="ACN5" s="28"/>
      <c r="ACO5" s="28"/>
      <c r="ACP5" s="28"/>
      <c r="ACQ5" s="28"/>
      <c r="ACR5" s="28"/>
      <c r="ACS5" s="28"/>
      <c r="ACT5" s="28"/>
      <c r="ACU5" s="28"/>
      <c r="ACV5" s="28"/>
      <c r="ACW5" s="28"/>
      <c r="ACX5" s="28"/>
      <c r="ACY5" s="28"/>
      <c r="ACZ5" s="28"/>
      <c r="ADA5" s="28"/>
      <c r="ADB5" s="28"/>
      <c r="ADC5" s="28"/>
      <c r="ADD5" s="28"/>
      <c r="ADE5" s="28"/>
      <c r="ADF5" s="28"/>
      <c r="ADG5" s="28"/>
      <c r="ADH5" s="28"/>
      <c r="ADI5" s="28"/>
      <c r="ADJ5" s="28"/>
      <c r="ADK5" s="28"/>
      <c r="ADL5" s="28"/>
      <c r="ADM5" s="28"/>
      <c r="ADN5" s="28"/>
      <c r="ADO5" s="28"/>
      <c r="ADP5" s="28"/>
      <c r="ADQ5" s="28"/>
      <c r="ADR5" s="28"/>
      <c r="ADS5" s="28"/>
      <c r="ADT5" s="28"/>
      <c r="ADU5" s="28"/>
      <c r="ADV5" s="28"/>
      <c r="ADW5" s="28"/>
      <c r="ADX5" s="28"/>
      <c r="ADY5" s="28"/>
      <c r="ADZ5" s="28"/>
      <c r="AEA5" s="28"/>
      <c r="AEB5" s="28"/>
      <c r="AEC5" s="28"/>
      <c r="AED5" s="28"/>
      <c r="AEE5" s="28"/>
      <c r="AEF5" s="28"/>
      <c r="AEG5" s="28"/>
      <c r="AEH5" s="28"/>
      <c r="AEI5" s="28"/>
      <c r="AEJ5" s="28"/>
      <c r="AEK5" s="28"/>
      <c r="AEL5" s="28"/>
      <c r="AEM5" s="28"/>
      <c r="AEN5" s="28"/>
      <c r="AEO5" s="28"/>
      <c r="AEP5" s="28"/>
      <c r="AEQ5" s="28"/>
      <c r="AER5" s="28"/>
      <c r="AES5" s="28"/>
      <c r="AET5" s="28"/>
      <c r="AEU5" s="28"/>
      <c r="AEV5" s="28"/>
      <c r="AEW5" s="28"/>
      <c r="AEX5" s="28"/>
      <c r="AEY5" s="28"/>
      <c r="AEZ5" s="28"/>
      <c r="AFA5" s="28"/>
      <c r="AFB5" s="28"/>
      <c r="AFC5" s="28"/>
      <c r="AFD5" s="28"/>
      <c r="AFE5" s="28"/>
      <c r="AFF5" s="28"/>
      <c r="AFG5" s="28"/>
      <c r="AFH5" s="28"/>
      <c r="AFI5" s="28"/>
      <c r="AFJ5" s="28"/>
      <c r="AFK5" s="28"/>
      <c r="AFL5" s="28"/>
      <c r="AFM5" s="28"/>
      <c r="AFN5" s="28"/>
      <c r="AFO5" s="28"/>
      <c r="AFP5" s="28"/>
      <c r="AFQ5" s="28"/>
      <c r="AFR5" s="28"/>
      <c r="AFS5" s="28"/>
      <c r="AFT5" s="28"/>
      <c r="AFU5" s="28"/>
      <c r="AFV5" s="28"/>
      <c r="AFW5" s="28"/>
      <c r="AFX5" s="28"/>
      <c r="AFY5" s="28"/>
      <c r="AFZ5" s="28"/>
      <c r="AGA5" s="28"/>
      <c r="AGB5" s="28"/>
      <c r="AGC5" s="28"/>
      <c r="AGD5" s="28"/>
      <c r="AGE5" s="28"/>
      <c r="AGF5" s="28"/>
      <c r="AGG5" s="28"/>
      <c r="AGH5" s="28"/>
      <c r="AGI5" s="28"/>
      <c r="AGJ5" s="28"/>
      <c r="AGK5" s="28"/>
      <c r="AGL5" s="28"/>
      <c r="AGM5" s="28"/>
      <c r="AGN5" s="28"/>
      <c r="AGO5" s="28"/>
      <c r="AGP5" s="28"/>
      <c r="AGQ5" s="28"/>
      <c r="AGR5" s="28"/>
      <c r="AGS5" s="28"/>
      <c r="AGT5" s="28"/>
      <c r="AGU5" s="28"/>
      <c r="AGV5" s="28"/>
      <c r="AGW5" s="28"/>
      <c r="AGX5" s="28"/>
      <c r="AGY5" s="28"/>
      <c r="AGZ5" s="28"/>
      <c r="AHA5" s="28"/>
      <c r="AHB5" s="28"/>
      <c r="AHC5" s="28"/>
      <c r="AHD5" s="28"/>
      <c r="AHE5" s="28"/>
      <c r="AHF5" s="28"/>
      <c r="AHG5" s="28"/>
      <c r="AHH5" s="28"/>
      <c r="AHI5" s="28"/>
      <c r="AHJ5" s="28"/>
      <c r="AHK5" s="28"/>
      <c r="AHL5" s="28"/>
      <c r="AHM5" s="28"/>
      <c r="AHN5" s="28"/>
      <c r="AHO5" s="28"/>
      <c r="AHP5" s="28"/>
      <c r="AHQ5" s="28"/>
      <c r="AHR5" s="28"/>
      <c r="AHS5" s="28"/>
      <c r="AHT5" s="28"/>
      <c r="AHU5" s="28"/>
      <c r="AHV5" s="28"/>
      <c r="AHW5" s="28"/>
      <c r="AHX5" s="28"/>
      <c r="AHY5" s="28"/>
      <c r="AHZ5" s="28"/>
      <c r="AIA5" s="28"/>
      <c r="AIB5" s="28"/>
      <c r="AIC5" s="28"/>
      <c r="AID5" s="28"/>
      <c r="AIE5" s="28"/>
      <c r="AIF5" s="28"/>
      <c r="AIG5" s="28"/>
      <c r="AIH5" s="28"/>
      <c r="AII5" s="28"/>
      <c r="AIJ5" s="28"/>
      <c r="AIK5" s="28"/>
      <c r="AIL5" s="28"/>
      <c r="AIM5" s="28"/>
      <c r="AIN5" s="28"/>
      <c r="AIO5" s="28"/>
      <c r="AIP5" s="28"/>
      <c r="AIQ5" s="28"/>
      <c r="AIR5" s="28"/>
      <c r="AIS5" s="28"/>
      <c r="AIT5" s="28"/>
      <c r="AIU5" s="28"/>
      <c r="AIV5" s="28"/>
      <c r="AIW5" s="28"/>
      <c r="AIX5" s="28"/>
      <c r="AIY5" s="28"/>
      <c r="AIZ5" s="28"/>
      <c r="AJA5" s="28"/>
      <c r="AJB5" s="28"/>
      <c r="AJC5" s="28"/>
      <c r="AJD5" s="28"/>
      <c r="AJE5" s="28"/>
      <c r="AJF5" s="28"/>
      <c r="AJG5" s="28"/>
      <c r="AJH5" s="28"/>
      <c r="AJI5" s="28"/>
      <c r="AJJ5" s="28"/>
      <c r="AJK5" s="28"/>
      <c r="AJL5" s="28"/>
      <c r="AJM5" s="28"/>
      <c r="AJN5" s="28"/>
      <c r="AJO5" s="28"/>
      <c r="AJP5" s="28"/>
      <c r="AJQ5" s="28"/>
      <c r="AJR5" s="28"/>
      <c r="AJS5" s="28"/>
      <c r="AJT5" s="28"/>
      <c r="AJU5" s="28"/>
      <c r="AJV5" s="28"/>
      <c r="AJW5" s="28"/>
      <c r="AJX5" s="28"/>
      <c r="AJY5" s="28"/>
      <c r="AJZ5" s="28"/>
      <c r="AKA5" s="28"/>
      <c r="AKB5" s="28"/>
      <c r="AKC5" s="28"/>
      <c r="AKD5" s="28"/>
      <c r="AKE5" s="28"/>
      <c r="AKF5" s="28"/>
      <c r="AKG5" s="28"/>
      <c r="AKH5" s="28"/>
      <c r="AKI5" s="28"/>
      <c r="AKJ5" s="28"/>
      <c r="AKK5" s="28"/>
      <c r="AKL5" s="28"/>
      <c r="AKM5" s="28"/>
      <c r="AKN5" s="28"/>
      <c r="AKO5" s="28"/>
      <c r="AKP5" s="28"/>
      <c r="AKQ5" s="28"/>
      <c r="AKR5" s="28"/>
      <c r="AKS5" s="28"/>
      <c r="AKT5" s="28"/>
      <c r="AKU5" s="28"/>
      <c r="AKV5" s="28"/>
      <c r="AKW5" s="28"/>
      <c r="AKX5" s="28"/>
      <c r="AKY5" s="28"/>
      <c r="AKZ5" s="28"/>
      <c r="ALA5" s="28"/>
      <c r="ALB5" s="28"/>
      <c r="ALC5" s="28"/>
      <c r="ALD5" s="28"/>
      <c r="ALE5" s="28"/>
      <c r="ALF5" s="28"/>
      <c r="ALG5" s="28"/>
      <c r="ALH5" s="28"/>
      <c r="ALI5" s="28"/>
      <c r="ALJ5" s="28"/>
      <c r="ALK5" s="28"/>
      <c r="ALL5" s="28"/>
      <c r="ALM5" s="28"/>
      <c r="ALN5" s="28"/>
      <c r="ALO5" s="28"/>
      <c r="ALP5" s="28"/>
      <c r="ALQ5" s="28"/>
      <c r="ALR5" s="28"/>
      <c r="ALS5" s="28"/>
      <c r="ALT5" s="28"/>
      <c r="ALU5" s="28"/>
      <c r="ALV5" s="28"/>
      <c r="ALW5" s="28"/>
      <c r="ALX5" s="28"/>
      <c r="ALY5" s="28"/>
      <c r="ALZ5" s="28"/>
      <c r="AMA5" s="28"/>
      <c r="AMB5" s="28"/>
      <c r="AMC5" s="28"/>
      <c r="AMD5" s="28"/>
      <c r="AME5" s="28"/>
      <c r="AMF5" s="28"/>
      <c r="AMG5" s="28"/>
      <c r="AMH5" s="28"/>
      <c r="AMI5" s="28"/>
      <c r="AMJ5" s="28"/>
      <c r="AMK5" s="28"/>
      <c r="AML5" s="28"/>
      <c r="AMM5" s="28"/>
      <c r="AMN5" s="28"/>
      <c r="AMO5" s="28"/>
      <c r="AMP5" s="28"/>
      <c r="AMQ5" s="28"/>
      <c r="AMR5" s="28"/>
      <c r="AMS5" s="28"/>
      <c r="AMT5" s="28"/>
      <c r="AMU5" s="28"/>
      <c r="AMV5" s="28"/>
      <c r="AMW5" s="28"/>
      <c r="AMX5" s="28"/>
      <c r="AMY5" s="28"/>
      <c r="AMZ5" s="28"/>
      <c r="ANA5" s="28"/>
      <c r="ANB5" s="28"/>
      <c r="ANC5" s="28"/>
      <c r="AND5" s="28"/>
      <c r="ANE5" s="28"/>
      <c r="ANF5" s="28"/>
      <c r="ANG5" s="28"/>
      <c r="ANH5" s="28"/>
      <c r="ANI5" s="28"/>
      <c r="ANJ5" s="28"/>
      <c r="ANK5" s="28"/>
      <c r="ANL5" s="28"/>
      <c r="ANM5" s="28"/>
      <c r="ANN5" s="28"/>
      <c r="ANO5" s="28"/>
      <c r="ANP5" s="28"/>
      <c r="ANQ5" s="28"/>
      <c r="ANR5" s="28"/>
      <c r="ANS5" s="28"/>
      <c r="ANT5" s="28"/>
      <c r="ANU5" s="28"/>
      <c r="ANV5" s="28"/>
      <c r="ANW5" s="28"/>
      <c r="ANX5" s="28"/>
      <c r="ANY5" s="28"/>
      <c r="ANZ5" s="28"/>
      <c r="AOA5" s="28"/>
      <c r="AOB5" s="28"/>
      <c r="AOC5" s="28"/>
      <c r="AOD5" s="28"/>
      <c r="AOE5" s="28"/>
      <c r="AOF5" s="28"/>
      <c r="AOG5" s="28"/>
      <c r="AOH5" s="28"/>
      <c r="AOI5" s="28"/>
      <c r="AOJ5" s="28"/>
      <c r="AOK5" s="28"/>
      <c r="AOL5" s="28"/>
      <c r="AOM5" s="28"/>
      <c r="AON5" s="28"/>
      <c r="AOO5" s="28"/>
      <c r="AOP5" s="28"/>
      <c r="AOQ5" s="28"/>
      <c r="AOR5" s="28"/>
      <c r="AOS5" s="28"/>
      <c r="AOT5" s="28"/>
      <c r="AOU5" s="28"/>
      <c r="AOV5" s="28"/>
      <c r="AOW5" s="28"/>
      <c r="AOX5" s="28"/>
      <c r="AOY5" s="28"/>
      <c r="AOZ5" s="28"/>
      <c r="APA5" s="28"/>
      <c r="APB5" s="28"/>
      <c r="APC5" s="28"/>
      <c r="APD5" s="28"/>
      <c r="APE5" s="28"/>
      <c r="APF5" s="28"/>
      <c r="APG5" s="28"/>
      <c r="APH5" s="28"/>
      <c r="API5" s="28"/>
      <c r="APJ5" s="28"/>
      <c r="APK5" s="28"/>
      <c r="APL5" s="28"/>
      <c r="APM5" s="28"/>
      <c r="APN5" s="28"/>
      <c r="APO5" s="28"/>
      <c r="APP5" s="28"/>
      <c r="APQ5" s="28"/>
      <c r="APR5" s="28"/>
      <c r="APS5" s="28"/>
      <c r="APT5" s="28"/>
      <c r="APU5" s="28"/>
      <c r="APV5" s="28"/>
      <c r="APW5" s="28"/>
      <c r="APX5" s="28"/>
      <c r="APY5" s="28"/>
      <c r="APZ5" s="28"/>
      <c r="AQA5" s="28"/>
      <c r="AQB5" s="28"/>
      <c r="AQC5" s="28"/>
      <c r="AQD5" s="28"/>
      <c r="AQE5" s="28"/>
      <c r="AQF5" s="28"/>
      <c r="AQG5" s="28"/>
      <c r="AQH5" s="28"/>
      <c r="AQI5" s="28"/>
      <c r="AQJ5" s="28"/>
      <c r="AQK5" s="28"/>
      <c r="AQL5" s="28"/>
      <c r="AQM5" s="28"/>
      <c r="AQN5" s="28"/>
      <c r="AQO5" s="28"/>
      <c r="AQP5" s="28"/>
      <c r="AQQ5" s="28"/>
      <c r="AQR5" s="28"/>
      <c r="AQS5" s="28"/>
      <c r="AQT5" s="28"/>
      <c r="AQU5" s="28"/>
      <c r="AQV5" s="28"/>
      <c r="AQW5" s="28"/>
      <c r="AQX5" s="28"/>
      <c r="AQY5" s="28"/>
      <c r="AQZ5" s="28"/>
      <c r="ARA5" s="28"/>
      <c r="ARB5" s="28"/>
      <c r="ARC5" s="28"/>
      <c r="ARD5" s="28"/>
      <c r="ARE5" s="28"/>
      <c r="ARF5" s="28"/>
      <c r="ARG5" s="28"/>
      <c r="ARH5" s="28"/>
      <c r="ARI5" s="28"/>
      <c r="ARJ5" s="28"/>
      <c r="ARK5" s="28"/>
      <c r="ARL5" s="28"/>
      <c r="ARM5" s="28"/>
      <c r="ARN5" s="28"/>
      <c r="ARO5" s="28"/>
      <c r="ARP5" s="28"/>
      <c r="ARQ5" s="28"/>
      <c r="ARR5" s="28"/>
      <c r="ARS5" s="28"/>
      <c r="ART5" s="28"/>
      <c r="ARU5" s="28"/>
      <c r="ARV5" s="28"/>
      <c r="ARW5" s="28"/>
      <c r="ARX5" s="28"/>
      <c r="ARY5" s="28"/>
      <c r="ARZ5" s="28"/>
      <c r="ASA5" s="28"/>
      <c r="ASB5" s="28"/>
      <c r="ASC5" s="28"/>
      <c r="ASD5" s="28"/>
      <c r="ASE5" s="28"/>
      <c r="ASF5" s="28"/>
      <c r="ASG5" s="28"/>
      <c r="ASH5" s="28"/>
      <c r="ASI5" s="28"/>
      <c r="ASJ5" s="28"/>
      <c r="ASK5" s="28"/>
      <c r="ASL5" s="28"/>
      <c r="ASM5" s="28"/>
      <c r="ASN5" s="28"/>
      <c r="ASO5" s="28"/>
      <c r="ASP5" s="28"/>
      <c r="ASQ5" s="28"/>
      <c r="ASR5" s="28"/>
      <c r="ASS5" s="28"/>
      <c r="AST5" s="28"/>
      <c r="ASU5" s="28"/>
      <c r="ASV5" s="28"/>
      <c r="ASW5" s="28"/>
      <c r="ASX5" s="28"/>
      <c r="ASY5" s="28"/>
      <c r="ASZ5" s="28"/>
      <c r="ATA5" s="28"/>
      <c r="ATB5" s="28"/>
      <c r="ATC5" s="28"/>
      <c r="ATD5" s="28"/>
      <c r="ATE5" s="28"/>
      <c r="ATF5" s="28"/>
      <c r="ATG5" s="28"/>
      <c r="ATH5" s="28"/>
      <c r="ATI5" s="28"/>
      <c r="ATJ5" s="28"/>
      <c r="ATK5" s="28"/>
      <c r="ATL5" s="28"/>
      <c r="ATM5" s="28"/>
      <c r="ATN5" s="28"/>
      <c r="ATO5" s="28"/>
      <c r="ATP5" s="28"/>
      <c r="ATQ5" s="28"/>
      <c r="ATR5" s="28"/>
      <c r="ATS5" s="28"/>
      <c r="ATT5" s="28"/>
      <c r="ATU5" s="28"/>
      <c r="ATV5" s="28"/>
      <c r="ATW5" s="28"/>
      <c r="ATX5" s="28"/>
      <c r="ATY5" s="28"/>
      <c r="ATZ5" s="28"/>
      <c r="AUA5" s="28"/>
      <c r="AUB5" s="28"/>
      <c r="AUC5" s="28"/>
      <c r="AUD5" s="28"/>
      <c r="AUE5" s="28"/>
      <c r="AUF5" s="28"/>
      <c r="AUG5" s="28"/>
      <c r="AUH5" s="28"/>
      <c r="AUI5" s="28"/>
      <c r="AUJ5" s="28"/>
      <c r="AUK5" s="28"/>
      <c r="AUL5" s="28"/>
      <c r="AUM5" s="28"/>
      <c r="AUN5" s="28"/>
      <c r="AUO5" s="28"/>
      <c r="AUP5" s="28"/>
      <c r="AUQ5" s="28"/>
      <c r="AUR5" s="28"/>
      <c r="AUS5" s="28"/>
      <c r="AUT5" s="28"/>
      <c r="AUU5" s="28"/>
      <c r="AUV5" s="28"/>
      <c r="AUW5" s="28"/>
      <c r="AUX5" s="28"/>
      <c r="AUY5" s="28"/>
      <c r="AUZ5" s="28"/>
      <c r="AVA5" s="28"/>
      <c r="AVB5" s="28"/>
      <c r="AVC5" s="28"/>
      <c r="AVD5" s="28"/>
      <c r="AVE5" s="28"/>
      <c r="AVF5" s="28"/>
      <c r="AVG5" s="28"/>
      <c r="AVH5" s="28"/>
      <c r="AVI5" s="28"/>
      <c r="AVJ5" s="28"/>
      <c r="AVK5" s="28"/>
      <c r="AVL5" s="28"/>
      <c r="AVM5" s="28"/>
      <c r="AVN5" s="28"/>
      <c r="AVO5" s="28"/>
      <c r="AVP5" s="28"/>
      <c r="AVQ5" s="28"/>
      <c r="AVR5" s="28"/>
      <c r="AVS5" s="28"/>
      <c r="AVT5" s="28"/>
      <c r="AVU5" s="28"/>
      <c r="AVV5" s="28"/>
      <c r="AVW5" s="28"/>
      <c r="AVX5" s="28"/>
      <c r="AVY5" s="28"/>
      <c r="AVZ5" s="28"/>
      <c r="AWA5" s="28"/>
      <c r="AWB5" s="28"/>
      <c r="AWC5" s="28"/>
      <c r="AWD5" s="28"/>
      <c r="AWE5" s="28"/>
      <c r="AWF5" s="28"/>
      <c r="AWG5" s="28"/>
      <c r="AWH5" s="28"/>
      <c r="AWI5" s="28"/>
      <c r="AWJ5" s="28"/>
      <c r="AWK5" s="28"/>
      <c r="AWL5" s="28"/>
      <c r="AWM5" s="28"/>
      <c r="AWN5" s="28"/>
      <c r="AWO5" s="28"/>
      <c r="AWP5" s="28"/>
      <c r="AWQ5" s="28"/>
      <c r="AWR5" s="28"/>
      <c r="AWS5" s="28"/>
      <c r="AWT5" s="28"/>
      <c r="AWU5" s="28"/>
      <c r="AWV5" s="28"/>
      <c r="AWW5" s="28"/>
      <c r="AWX5" s="28"/>
      <c r="AWY5" s="28"/>
      <c r="AWZ5" s="28"/>
      <c r="AXA5" s="28"/>
      <c r="AXB5" s="28"/>
      <c r="AXC5" s="28"/>
      <c r="AXD5" s="28"/>
      <c r="AXE5" s="28"/>
      <c r="AXF5" s="28"/>
      <c r="AXG5" s="28"/>
      <c r="AXH5" s="28"/>
      <c r="AXI5" s="28"/>
      <c r="AXJ5" s="28"/>
      <c r="AXK5" s="28"/>
      <c r="AXL5" s="28"/>
      <c r="AXM5" s="28"/>
      <c r="AXN5" s="28"/>
      <c r="AXO5" s="28"/>
      <c r="AXP5" s="28"/>
      <c r="AXQ5" s="28"/>
      <c r="AXR5" s="28"/>
      <c r="AXS5" s="28"/>
      <c r="AXT5" s="28"/>
      <c r="AXU5" s="28"/>
      <c r="AXV5" s="28"/>
      <c r="AXW5" s="28"/>
      <c r="AXX5" s="28"/>
      <c r="AXY5" s="28"/>
      <c r="AXZ5" s="28"/>
      <c r="AYA5" s="28"/>
      <c r="AYB5" s="28"/>
      <c r="AYC5" s="28"/>
      <c r="AYD5" s="28"/>
      <c r="AYE5" s="28"/>
      <c r="AYF5" s="28"/>
      <c r="AYG5" s="28"/>
      <c r="AYH5" s="28"/>
      <c r="AYI5" s="28"/>
      <c r="AYJ5" s="28"/>
      <c r="AYK5" s="28"/>
      <c r="AYL5" s="28"/>
      <c r="AYM5" s="28"/>
      <c r="AYN5" s="28"/>
      <c r="AYO5" s="28"/>
      <c r="AYP5" s="28"/>
      <c r="AYQ5" s="28"/>
      <c r="AYR5" s="28"/>
      <c r="AYS5" s="28"/>
      <c r="AYT5" s="28"/>
      <c r="AYU5" s="28"/>
      <c r="AYV5" s="28"/>
      <c r="AYW5" s="28"/>
      <c r="AYX5" s="28"/>
      <c r="AYY5" s="28"/>
      <c r="AYZ5" s="28"/>
      <c r="AZA5" s="28"/>
      <c r="AZB5" s="28"/>
      <c r="AZC5" s="28"/>
      <c r="AZD5" s="28"/>
      <c r="AZE5" s="28"/>
      <c r="AZF5" s="28"/>
      <c r="AZG5" s="28"/>
      <c r="AZH5" s="28"/>
      <c r="AZI5" s="28"/>
      <c r="AZJ5" s="28"/>
      <c r="AZK5" s="28"/>
      <c r="AZL5" s="28"/>
      <c r="AZM5" s="28"/>
      <c r="AZN5" s="28"/>
      <c r="AZO5" s="28"/>
      <c r="AZP5" s="28"/>
      <c r="AZQ5" s="28"/>
      <c r="AZR5" s="28"/>
      <c r="AZS5" s="28"/>
      <c r="AZT5" s="28"/>
      <c r="AZU5" s="28"/>
      <c r="AZV5" s="28"/>
      <c r="AZW5" s="28"/>
      <c r="AZX5" s="28"/>
      <c r="AZY5" s="28"/>
      <c r="AZZ5" s="28"/>
      <c r="BAA5" s="28"/>
      <c r="BAB5" s="28"/>
      <c r="BAC5" s="28"/>
      <c r="BAD5" s="28"/>
      <c r="BAE5" s="28"/>
      <c r="BAF5" s="28"/>
      <c r="BAG5" s="28"/>
      <c r="BAH5" s="28"/>
      <c r="BAI5" s="28"/>
      <c r="BAJ5" s="28"/>
      <c r="BAK5" s="28"/>
      <c r="BAL5" s="28"/>
      <c r="BAM5" s="28"/>
      <c r="BAN5" s="28"/>
      <c r="BAO5" s="28"/>
      <c r="BAP5" s="28"/>
      <c r="BAQ5" s="28"/>
      <c r="BAR5" s="28"/>
      <c r="BAS5" s="28"/>
      <c r="BAT5" s="28"/>
      <c r="BAU5" s="28"/>
      <c r="BAV5" s="28"/>
      <c r="BAW5" s="28"/>
      <c r="BAX5" s="28"/>
      <c r="BAY5" s="28"/>
      <c r="BAZ5" s="28"/>
      <c r="BBA5" s="28"/>
      <c r="BBB5" s="28"/>
      <c r="BBC5" s="28"/>
      <c r="BBD5" s="28"/>
      <c r="BBE5" s="28"/>
      <c r="BBF5" s="28"/>
      <c r="BBG5" s="28"/>
      <c r="BBH5" s="28"/>
      <c r="BBI5" s="28"/>
      <c r="BBJ5" s="28"/>
      <c r="BBK5" s="28"/>
      <c r="BBL5" s="28"/>
      <c r="BBM5" s="28"/>
      <c r="BBN5" s="28"/>
      <c r="BBO5" s="28"/>
      <c r="BBP5" s="28"/>
      <c r="BBQ5" s="28"/>
      <c r="BBR5" s="28"/>
      <c r="BBS5" s="28"/>
      <c r="BBT5" s="28"/>
      <c r="BBU5" s="28"/>
      <c r="BBV5" s="28"/>
      <c r="BBW5" s="28"/>
      <c r="BBX5" s="28"/>
      <c r="BBY5" s="28"/>
      <c r="BBZ5" s="28"/>
      <c r="BCA5" s="28"/>
      <c r="BCB5" s="28"/>
      <c r="BCC5" s="28"/>
      <c r="BCD5" s="28"/>
      <c r="BCE5" s="28"/>
      <c r="BCF5" s="28"/>
      <c r="BCG5" s="28"/>
      <c r="BCH5" s="28"/>
      <c r="BCI5" s="28"/>
      <c r="BCJ5" s="28"/>
      <c r="BCK5" s="28"/>
      <c r="BCL5" s="28"/>
      <c r="BCM5" s="28"/>
      <c r="BCN5" s="28"/>
      <c r="BCO5" s="28"/>
      <c r="BCP5" s="28"/>
      <c r="BCQ5" s="28"/>
      <c r="BCR5" s="28"/>
      <c r="BCS5" s="28"/>
      <c r="BCT5" s="28"/>
      <c r="BCU5" s="28"/>
      <c r="BCV5" s="28"/>
      <c r="BCW5" s="28"/>
      <c r="BCX5" s="28"/>
      <c r="BCY5" s="28"/>
      <c r="BCZ5" s="28"/>
      <c r="BDA5" s="28"/>
      <c r="BDB5" s="28"/>
      <c r="BDC5" s="28"/>
      <c r="BDD5" s="28"/>
      <c r="BDE5" s="28"/>
      <c r="BDF5" s="28"/>
      <c r="BDG5" s="28"/>
      <c r="BDH5" s="28"/>
      <c r="BDI5" s="28"/>
      <c r="BDJ5" s="28"/>
      <c r="BDK5" s="28"/>
      <c r="BDL5" s="28"/>
      <c r="BDM5" s="28"/>
      <c r="BDN5" s="28"/>
      <c r="BDO5" s="28"/>
      <c r="BDP5" s="28"/>
      <c r="BDQ5" s="28"/>
      <c r="BDR5" s="28"/>
      <c r="BDS5" s="28"/>
      <c r="BDT5" s="28"/>
      <c r="BDU5" s="28"/>
      <c r="BDV5" s="28"/>
      <c r="BDW5" s="28"/>
      <c r="BDX5" s="28"/>
      <c r="BDY5" s="28"/>
      <c r="BDZ5" s="28"/>
      <c r="BEA5" s="28"/>
      <c r="BEB5" s="28"/>
      <c r="BEC5" s="28"/>
      <c r="BED5" s="28"/>
      <c r="BEE5" s="28"/>
      <c r="BEF5" s="28"/>
      <c r="BEG5" s="28"/>
      <c r="BEH5" s="28"/>
      <c r="BEI5" s="28"/>
      <c r="BEJ5" s="28"/>
      <c r="BEK5" s="28"/>
      <c r="BEL5" s="28"/>
      <c r="BEM5" s="28"/>
      <c r="BEN5" s="28"/>
      <c r="BEO5" s="28"/>
      <c r="BEP5" s="28"/>
      <c r="BEQ5" s="28"/>
      <c r="BER5" s="28"/>
      <c r="BES5" s="28"/>
      <c r="BET5" s="28"/>
      <c r="BEU5" s="28"/>
      <c r="BEV5" s="28"/>
      <c r="BEW5" s="28"/>
      <c r="BEX5" s="28"/>
      <c r="BEY5" s="28"/>
      <c r="BEZ5" s="28"/>
      <c r="BFA5" s="28"/>
      <c r="BFB5" s="28"/>
      <c r="BFC5" s="28"/>
      <c r="BFD5" s="28"/>
      <c r="BFE5" s="28"/>
      <c r="BFF5" s="28"/>
      <c r="BFG5" s="28"/>
      <c r="BFH5" s="28"/>
      <c r="BFI5" s="28"/>
      <c r="BFJ5" s="28"/>
      <c r="BFK5" s="28"/>
      <c r="BFL5" s="28"/>
      <c r="BFM5" s="28"/>
      <c r="BFN5" s="28"/>
      <c r="BFO5" s="28"/>
      <c r="BFP5" s="28"/>
      <c r="BFQ5" s="28"/>
      <c r="BFR5" s="28"/>
      <c r="BFS5" s="28"/>
      <c r="BFT5" s="28"/>
      <c r="BFU5" s="28"/>
      <c r="BFV5" s="28"/>
      <c r="BFW5" s="28"/>
      <c r="BFX5" s="28"/>
      <c r="BFY5" s="28"/>
      <c r="BFZ5" s="28"/>
      <c r="BGA5" s="28"/>
      <c r="BGB5" s="28"/>
      <c r="BGC5" s="28"/>
      <c r="BGD5" s="28"/>
      <c r="BGE5" s="28"/>
      <c r="BGF5" s="28"/>
      <c r="BGG5" s="28"/>
      <c r="BGH5" s="28"/>
      <c r="BGI5" s="28"/>
      <c r="BGJ5" s="28"/>
      <c r="BGK5" s="28"/>
      <c r="BGL5" s="28"/>
      <c r="BGM5" s="28"/>
      <c r="BGN5" s="28"/>
      <c r="BGO5" s="28"/>
      <c r="BGP5" s="28"/>
      <c r="BGQ5" s="28"/>
      <c r="BGR5" s="28"/>
      <c r="BGS5" s="28"/>
      <c r="BGT5" s="28"/>
      <c r="BGU5" s="28"/>
      <c r="BGV5" s="28"/>
      <c r="BGW5" s="28"/>
      <c r="BGX5" s="28"/>
      <c r="BGY5" s="28"/>
      <c r="BGZ5" s="28"/>
      <c r="BHA5" s="28"/>
      <c r="BHB5" s="28"/>
      <c r="BHC5" s="28"/>
      <c r="BHD5" s="28"/>
      <c r="BHE5" s="28"/>
      <c r="BHF5" s="28"/>
      <c r="BHG5" s="28"/>
      <c r="BHH5" s="28"/>
      <c r="BHI5" s="28"/>
      <c r="BHJ5" s="28"/>
      <c r="BHK5" s="28"/>
      <c r="BHL5" s="28"/>
      <c r="BHM5" s="28"/>
      <c r="BHN5" s="28"/>
      <c r="BHO5" s="28"/>
      <c r="BHP5" s="28"/>
      <c r="BHQ5" s="28"/>
      <c r="BHR5" s="28"/>
      <c r="BHS5" s="28"/>
      <c r="BHT5" s="28"/>
      <c r="BHU5" s="28"/>
      <c r="BHV5" s="28"/>
      <c r="BHW5" s="28"/>
      <c r="BHX5" s="28"/>
      <c r="BHY5" s="28"/>
      <c r="BHZ5" s="28"/>
      <c r="BIA5" s="28"/>
      <c r="BIB5" s="28"/>
      <c r="BIC5" s="28"/>
      <c r="BID5" s="28"/>
      <c r="BIE5" s="28"/>
      <c r="BIF5" s="28"/>
      <c r="BIG5" s="28"/>
      <c r="BIH5" s="28"/>
      <c r="BII5" s="28"/>
      <c r="BIJ5" s="28"/>
      <c r="BIK5" s="28"/>
      <c r="BIL5" s="28"/>
      <c r="BIM5" s="28"/>
      <c r="BIN5" s="28"/>
      <c r="BIO5" s="28"/>
      <c r="BIP5" s="28"/>
      <c r="BIQ5" s="28"/>
      <c r="BIR5" s="28"/>
      <c r="BIS5" s="28"/>
      <c r="BIT5" s="28"/>
      <c r="BIU5" s="28"/>
      <c r="BIV5" s="28"/>
      <c r="BIW5" s="28"/>
      <c r="BIX5" s="28"/>
      <c r="BIY5" s="28"/>
      <c r="BIZ5" s="28"/>
      <c r="BJA5" s="28"/>
      <c r="BJB5" s="28"/>
      <c r="BJC5" s="28"/>
      <c r="BJD5" s="28"/>
      <c r="BJE5" s="28"/>
      <c r="BJF5" s="28"/>
      <c r="BJG5" s="28"/>
      <c r="BJH5" s="28"/>
      <c r="BJI5" s="28"/>
      <c r="BJJ5" s="28"/>
      <c r="BJK5" s="28"/>
      <c r="BJL5" s="28"/>
      <c r="BJM5" s="28"/>
      <c r="BJN5" s="28"/>
      <c r="BJO5" s="28"/>
      <c r="BJP5" s="28"/>
      <c r="BJQ5" s="28"/>
      <c r="BJR5" s="28"/>
      <c r="BJS5" s="28"/>
      <c r="BJT5" s="28"/>
      <c r="BJU5" s="28"/>
      <c r="BJV5" s="28"/>
      <c r="BJW5" s="28"/>
      <c r="BJX5" s="28"/>
      <c r="BJY5" s="28"/>
      <c r="BJZ5" s="28"/>
      <c r="BKA5" s="28"/>
      <c r="BKB5" s="28"/>
      <c r="BKC5" s="28"/>
      <c r="BKD5" s="28"/>
      <c r="BKE5" s="28"/>
      <c r="BKF5" s="28"/>
      <c r="BKG5" s="28"/>
      <c r="BKH5" s="28"/>
      <c r="BKI5" s="28"/>
      <c r="BKJ5" s="28"/>
      <c r="BKK5" s="28"/>
      <c r="BKL5" s="28"/>
      <c r="BKM5" s="28"/>
      <c r="BKN5" s="28"/>
      <c r="BKO5" s="28"/>
      <c r="BKP5" s="28"/>
      <c r="BKQ5" s="28"/>
      <c r="BKR5" s="28"/>
      <c r="BKS5" s="28"/>
      <c r="BKT5" s="28"/>
      <c r="BKU5" s="28"/>
      <c r="BKV5" s="28"/>
      <c r="BKW5" s="28"/>
      <c r="BKX5" s="28"/>
      <c r="BKY5" s="28"/>
      <c r="BKZ5" s="28"/>
      <c r="BLA5" s="28"/>
      <c r="BLB5" s="28"/>
      <c r="BLC5" s="28"/>
      <c r="BLD5" s="28"/>
      <c r="BLE5" s="28"/>
      <c r="BLF5" s="28"/>
      <c r="BLG5" s="28"/>
      <c r="BLH5" s="28"/>
      <c r="BLI5" s="28"/>
      <c r="BLJ5" s="28"/>
      <c r="BLK5" s="28"/>
      <c r="BLL5" s="28"/>
      <c r="BLM5" s="28"/>
      <c r="BLN5" s="28"/>
      <c r="BLO5" s="28"/>
      <c r="BLP5" s="28"/>
      <c r="BLQ5" s="28"/>
      <c r="BLR5" s="28"/>
      <c r="BLS5" s="28"/>
      <c r="BLT5" s="28"/>
      <c r="BLU5" s="28"/>
      <c r="BLV5" s="28"/>
      <c r="BLW5" s="28"/>
      <c r="BLX5" s="28"/>
      <c r="BLY5" s="28"/>
      <c r="BLZ5" s="28"/>
      <c r="BMA5" s="28"/>
      <c r="BMB5" s="28"/>
      <c r="BMC5" s="28"/>
      <c r="BMD5" s="28"/>
      <c r="BME5" s="28"/>
      <c r="BMF5" s="28"/>
      <c r="BMG5" s="28"/>
      <c r="BMH5" s="28"/>
      <c r="BMI5" s="28"/>
      <c r="BMJ5" s="28"/>
      <c r="BMK5" s="28"/>
      <c r="BML5" s="28"/>
      <c r="BMM5" s="28"/>
      <c r="BMN5" s="28"/>
      <c r="BMO5" s="28"/>
      <c r="BMP5" s="28"/>
      <c r="BMQ5" s="28"/>
      <c r="BMR5" s="28"/>
      <c r="BMS5" s="28"/>
      <c r="BMT5" s="28"/>
      <c r="BMU5" s="28"/>
      <c r="BMV5" s="28"/>
      <c r="BMW5" s="28"/>
      <c r="BMX5" s="28"/>
      <c r="BMY5" s="28"/>
      <c r="BMZ5" s="28"/>
      <c r="BNA5" s="28"/>
      <c r="BNB5" s="28"/>
      <c r="BNC5" s="28"/>
      <c r="BND5" s="28"/>
      <c r="BNE5" s="28"/>
      <c r="BNF5" s="28"/>
      <c r="BNG5" s="28"/>
      <c r="BNH5" s="28"/>
      <c r="BNI5" s="28"/>
      <c r="BNJ5" s="28"/>
      <c r="BNK5" s="28"/>
      <c r="BNL5" s="28"/>
      <c r="BNM5" s="28"/>
      <c r="BNN5" s="28"/>
      <c r="BNO5" s="28"/>
      <c r="BNP5" s="28"/>
      <c r="BNQ5" s="28"/>
      <c r="BNR5" s="28"/>
      <c r="BNS5" s="28"/>
      <c r="BNT5" s="28"/>
      <c r="BNU5" s="28"/>
      <c r="BNV5" s="28"/>
      <c r="BNW5" s="28"/>
      <c r="BNX5" s="28"/>
      <c r="BNY5" s="28"/>
      <c r="BNZ5" s="28"/>
      <c r="BOA5" s="28"/>
      <c r="BOB5" s="28"/>
      <c r="BOC5" s="28"/>
      <c r="BOD5" s="28"/>
      <c r="BOE5" s="28"/>
      <c r="BOF5" s="28"/>
      <c r="BOG5" s="28"/>
      <c r="BOH5" s="28"/>
      <c r="BOI5" s="28"/>
      <c r="BOJ5" s="28"/>
      <c r="BOK5" s="28"/>
      <c r="BOL5" s="28"/>
      <c r="BOM5" s="28"/>
      <c r="BON5" s="28"/>
      <c r="BOO5" s="28"/>
      <c r="BOP5" s="28"/>
      <c r="BOQ5" s="28"/>
      <c r="BOR5" s="28"/>
      <c r="BOS5" s="28"/>
      <c r="BOT5" s="28"/>
      <c r="BOU5" s="28"/>
      <c r="BOV5" s="28"/>
      <c r="BOW5" s="28"/>
      <c r="BOX5" s="28"/>
      <c r="BOY5" s="28"/>
      <c r="BOZ5" s="28"/>
      <c r="BPA5" s="28"/>
      <c r="BPB5" s="28"/>
      <c r="BPC5" s="28"/>
      <c r="BPD5" s="28"/>
      <c r="BPE5" s="28"/>
      <c r="BPF5" s="28"/>
      <c r="BPG5" s="28"/>
      <c r="BPH5" s="28"/>
      <c r="BPI5" s="28"/>
      <c r="BPJ5" s="28"/>
      <c r="BPK5" s="28"/>
      <c r="BPL5" s="28"/>
      <c r="BPM5" s="28"/>
      <c r="BPN5" s="28"/>
      <c r="BPO5" s="28"/>
      <c r="BPP5" s="28"/>
      <c r="BPQ5" s="28"/>
      <c r="BPR5" s="28"/>
      <c r="BPS5" s="28"/>
      <c r="BPT5" s="28"/>
      <c r="BPU5" s="28"/>
      <c r="BPV5" s="28"/>
      <c r="BPW5" s="28"/>
      <c r="BPX5" s="28"/>
      <c r="BPY5" s="28"/>
      <c r="BPZ5" s="28"/>
      <c r="BQA5" s="28"/>
      <c r="BQB5" s="28"/>
      <c r="BQC5" s="28"/>
      <c r="BQD5" s="28"/>
      <c r="BQE5" s="28"/>
      <c r="BQF5" s="28"/>
      <c r="BQG5" s="28"/>
      <c r="BQH5" s="28"/>
      <c r="BQI5" s="28"/>
      <c r="BQJ5" s="28"/>
      <c r="BQK5" s="28"/>
      <c r="BQL5" s="28"/>
      <c r="BQM5" s="28"/>
      <c r="BQN5" s="28"/>
      <c r="BQO5" s="28"/>
      <c r="BQP5" s="28"/>
      <c r="BQQ5" s="28"/>
      <c r="BQR5" s="28"/>
      <c r="BQS5" s="28"/>
      <c r="BQT5" s="28"/>
      <c r="BQU5" s="28"/>
      <c r="BQV5" s="28"/>
      <c r="BQW5" s="28"/>
      <c r="BQX5" s="28"/>
      <c r="BQY5" s="28"/>
      <c r="BQZ5" s="28"/>
      <c r="BRA5" s="28"/>
      <c r="BRB5" s="28"/>
      <c r="BRC5" s="28"/>
      <c r="BRD5" s="28"/>
      <c r="BRE5" s="28"/>
      <c r="BRF5" s="28"/>
      <c r="BRG5" s="28"/>
      <c r="BRH5" s="28"/>
      <c r="BRI5" s="28"/>
      <c r="BRJ5" s="28"/>
      <c r="BRK5" s="28"/>
      <c r="BRL5" s="28"/>
      <c r="BRM5" s="28"/>
      <c r="BRN5" s="28"/>
      <c r="BRO5" s="28"/>
      <c r="BRP5" s="28"/>
      <c r="BRQ5" s="28"/>
      <c r="BRR5" s="28"/>
      <c r="BRS5" s="28"/>
      <c r="BRT5" s="28"/>
      <c r="BRU5" s="28"/>
      <c r="BRV5" s="28"/>
      <c r="BRW5" s="28"/>
      <c r="BRX5" s="28"/>
      <c r="BRY5" s="28"/>
      <c r="BRZ5" s="28"/>
      <c r="BSA5" s="28"/>
      <c r="BSB5" s="28"/>
      <c r="BSC5" s="28"/>
      <c r="BSD5" s="28"/>
      <c r="BSE5" s="28"/>
      <c r="BSF5" s="28"/>
      <c r="BSG5" s="28"/>
      <c r="BSH5" s="28"/>
      <c r="BSI5" s="28"/>
      <c r="BSJ5" s="28"/>
      <c r="BSK5" s="28"/>
      <c r="BSL5" s="28"/>
      <c r="BSM5" s="28"/>
      <c r="BSN5" s="28"/>
      <c r="BSO5" s="28"/>
      <c r="BSP5" s="28"/>
      <c r="BSQ5" s="28"/>
      <c r="BSR5" s="28"/>
      <c r="BSS5" s="28"/>
      <c r="BST5" s="28"/>
      <c r="BSU5" s="28"/>
      <c r="BSV5" s="28"/>
      <c r="BSW5" s="28"/>
      <c r="BSX5" s="28"/>
      <c r="BSY5" s="28"/>
      <c r="BSZ5" s="28"/>
      <c r="BTA5" s="28"/>
      <c r="BTB5" s="28"/>
      <c r="BTC5" s="28"/>
      <c r="BTD5" s="28"/>
      <c r="BTE5" s="28"/>
      <c r="BTF5" s="28"/>
      <c r="BTG5" s="28"/>
      <c r="BTH5" s="28"/>
      <c r="BTI5" s="28"/>
      <c r="BTJ5" s="28"/>
      <c r="BTK5" s="28"/>
      <c r="BTL5" s="28"/>
      <c r="BTM5" s="28"/>
      <c r="BTN5" s="28"/>
      <c r="BTO5" s="28"/>
      <c r="BTP5" s="28"/>
      <c r="BTQ5" s="28"/>
      <c r="BTR5" s="28"/>
      <c r="BTS5" s="28"/>
      <c r="BTT5" s="28"/>
      <c r="BTU5" s="28"/>
      <c r="BTV5" s="28"/>
      <c r="BTW5" s="28"/>
      <c r="BTX5" s="28"/>
      <c r="BTY5" s="28"/>
      <c r="BTZ5" s="28"/>
      <c r="BUA5" s="28"/>
      <c r="BUB5" s="28"/>
      <c r="BUC5" s="28"/>
      <c r="BUD5" s="28"/>
      <c r="BUE5" s="28"/>
      <c r="BUF5" s="28"/>
      <c r="BUG5" s="28"/>
      <c r="BUH5" s="28"/>
      <c r="BUI5" s="28"/>
      <c r="BUJ5" s="28"/>
      <c r="BUK5" s="28"/>
      <c r="BUL5" s="28"/>
      <c r="BUM5" s="28"/>
      <c r="BUN5" s="28"/>
      <c r="BUO5" s="28"/>
      <c r="BUP5" s="28"/>
      <c r="BUQ5" s="28"/>
      <c r="BUR5" s="28"/>
      <c r="BUS5" s="28"/>
      <c r="BUT5" s="28"/>
      <c r="BUU5" s="28"/>
      <c r="BUV5" s="28"/>
      <c r="BUW5" s="28"/>
      <c r="BUX5" s="28"/>
      <c r="BUY5" s="28"/>
      <c r="BUZ5" s="28"/>
      <c r="BVA5" s="28"/>
      <c r="BVB5" s="28"/>
      <c r="BVC5" s="28"/>
      <c r="BVD5" s="28"/>
      <c r="BVE5" s="28"/>
      <c r="BVF5" s="28"/>
      <c r="BVG5" s="28"/>
      <c r="BVH5" s="28"/>
      <c r="BVI5" s="28"/>
      <c r="BVJ5" s="28"/>
      <c r="BVK5" s="28"/>
      <c r="BVL5" s="28"/>
      <c r="BVM5" s="28"/>
      <c r="BVN5" s="28"/>
      <c r="BVO5" s="28"/>
      <c r="BVP5" s="28"/>
      <c r="BVQ5" s="28"/>
      <c r="BVR5" s="28"/>
      <c r="BVS5" s="28"/>
      <c r="BVT5" s="28"/>
      <c r="BVU5" s="28"/>
      <c r="BVV5" s="28"/>
      <c r="BVW5" s="28"/>
      <c r="BVX5" s="28"/>
      <c r="BVY5" s="28"/>
      <c r="BVZ5" s="28"/>
      <c r="BWA5" s="28"/>
      <c r="BWB5" s="28"/>
      <c r="BWC5" s="28"/>
      <c r="BWD5" s="28"/>
      <c r="BWE5" s="28"/>
      <c r="BWF5" s="28"/>
      <c r="BWG5" s="28"/>
      <c r="BWH5" s="28"/>
      <c r="BWI5" s="28"/>
      <c r="BWJ5" s="28"/>
      <c r="BWK5" s="28"/>
      <c r="BWL5" s="28"/>
      <c r="BWM5" s="28"/>
      <c r="BWN5" s="28"/>
      <c r="BWO5" s="28"/>
      <c r="BWP5" s="28"/>
      <c r="BWQ5" s="28"/>
      <c r="BWR5" s="28"/>
      <c r="BWS5" s="28"/>
      <c r="BWT5" s="28"/>
      <c r="BWU5" s="28"/>
      <c r="BWV5" s="28"/>
      <c r="BWW5" s="28"/>
      <c r="BWX5" s="28"/>
      <c r="BWY5" s="28"/>
      <c r="BWZ5" s="28"/>
      <c r="BXA5" s="28"/>
      <c r="BXB5" s="28"/>
      <c r="BXC5" s="28"/>
      <c r="BXD5" s="28"/>
      <c r="BXE5" s="28"/>
      <c r="BXF5" s="28"/>
      <c r="BXG5" s="28"/>
      <c r="BXH5" s="28"/>
      <c r="BXI5" s="28"/>
      <c r="BXJ5" s="28"/>
      <c r="BXK5" s="28"/>
      <c r="BXL5" s="28"/>
      <c r="BXM5" s="28"/>
      <c r="BXN5" s="28"/>
      <c r="BXO5" s="28"/>
      <c r="BXP5" s="28"/>
      <c r="BXQ5" s="28"/>
      <c r="BXR5" s="28"/>
      <c r="BXS5" s="28"/>
      <c r="BXT5" s="28"/>
      <c r="BXU5" s="28"/>
      <c r="BXV5" s="28"/>
      <c r="BXW5" s="28"/>
      <c r="BXX5" s="28"/>
      <c r="BXY5" s="28"/>
      <c r="BXZ5" s="28"/>
      <c r="BYA5" s="28"/>
      <c r="BYB5" s="28"/>
      <c r="BYC5" s="28"/>
      <c r="BYD5" s="28"/>
      <c r="BYE5" s="28"/>
      <c r="BYF5" s="28"/>
      <c r="BYG5" s="28"/>
      <c r="BYH5" s="28"/>
      <c r="BYI5" s="28"/>
      <c r="BYJ5" s="28"/>
      <c r="BYK5" s="28"/>
      <c r="BYL5" s="28"/>
      <c r="BYM5" s="28"/>
      <c r="BYN5" s="28"/>
      <c r="BYO5" s="28"/>
      <c r="BYP5" s="28"/>
      <c r="BYQ5" s="28"/>
      <c r="BYR5" s="28"/>
      <c r="BYS5" s="28"/>
      <c r="BYT5" s="28"/>
      <c r="BYU5" s="28"/>
      <c r="BYV5" s="28"/>
      <c r="BYW5" s="28"/>
      <c r="BYX5" s="28"/>
      <c r="BYY5" s="28"/>
      <c r="BYZ5" s="28"/>
      <c r="BZA5" s="28"/>
      <c r="BZB5" s="28"/>
      <c r="BZC5" s="28"/>
      <c r="BZD5" s="28"/>
      <c r="BZE5" s="28"/>
      <c r="BZF5" s="28"/>
      <c r="BZG5" s="28"/>
      <c r="BZH5" s="28"/>
      <c r="BZI5" s="28"/>
      <c r="BZJ5" s="28"/>
      <c r="BZK5" s="28"/>
      <c r="BZL5" s="28"/>
      <c r="BZM5" s="28"/>
      <c r="BZN5" s="28"/>
      <c r="BZO5" s="28"/>
      <c r="BZP5" s="28"/>
      <c r="BZQ5" s="28"/>
      <c r="BZR5" s="28"/>
      <c r="BZS5" s="28"/>
      <c r="BZT5" s="28"/>
      <c r="BZU5" s="28"/>
      <c r="BZV5" s="28"/>
      <c r="BZW5" s="28"/>
      <c r="BZX5" s="28"/>
      <c r="BZY5" s="28"/>
      <c r="BZZ5" s="28"/>
      <c r="CAA5" s="28"/>
      <c r="CAB5" s="28"/>
      <c r="CAC5" s="28"/>
      <c r="CAD5" s="28"/>
      <c r="CAE5" s="28"/>
      <c r="CAF5" s="28"/>
      <c r="CAG5" s="28"/>
      <c r="CAH5" s="28"/>
      <c r="CAI5" s="28"/>
      <c r="CAJ5" s="28"/>
      <c r="CAK5" s="28"/>
      <c r="CAL5" s="28"/>
      <c r="CAM5" s="28"/>
      <c r="CAN5" s="28"/>
      <c r="CAO5" s="28"/>
      <c r="CAP5" s="28"/>
      <c r="CAQ5" s="28"/>
      <c r="CAR5" s="28"/>
      <c r="CAS5" s="28"/>
      <c r="CAT5" s="28"/>
      <c r="CAU5" s="28"/>
      <c r="CAV5" s="28"/>
      <c r="CAW5" s="28"/>
      <c r="CAX5" s="28"/>
      <c r="CAY5" s="28"/>
      <c r="CAZ5" s="28"/>
      <c r="CBA5" s="28"/>
      <c r="CBB5" s="28"/>
      <c r="CBC5" s="28"/>
      <c r="CBD5" s="28"/>
      <c r="CBE5" s="28"/>
      <c r="CBF5" s="28"/>
      <c r="CBG5" s="28"/>
      <c r="CBH5" s="28"/>
      <c r="CBI5" s="28"/>
      <c r="CBJ5" s="28"/>
      <c r="CBK5" s="28"/>
      <c r="CBL5" s="28"/>
      <c r="CBM5" s="28"/>
      <c r="CBN5" s="28"/>
      <c r="CBO5" s="28"/>
      <c r="CBP5" s="28"/>
      <c r="CBQ5" s="28"/>
      <c r="CBR5" s="28"/>
      <c r="CBS5" s="28"/>
      <c r="CBT5" s="28"/>
      <c r="CBU5" s="28"/>
      <c r="CBV5" s="28"/>
      <c r="CBW5" s="28"/>
      <c r="CBX5" s="28"/>
      <c r="CBY5" s="28"/>
      <c r="CBZ5" s="28"/>
      <c r="CCA5" s="28"/>
      <c r="CCB5" s="28"/>
      <c r="CCC5" s="28"/>
      <c r="CCD5" s="28"/>
      <c r="CCE5" s="28"/>
      <c r="CCF5" s="28"/>
      <c r="CCG5" s="28"/>
      <c r="CCH5" s="28"/>
      <c r="CCI5" s="28"/>
      <c r="CCJ5" s="28"/>
      <c r="CCK5" s="28"/>
      <c r="CCL5" s="28"/>
      <c r="CCM5" s="28"/>
      <c r="CCN5" s="28"/>
      <c r="CCO5" s="28"/>
      <c r="CCP5" s="28"/>
      <c r="CCQ5" s="28"/>
      <c r="CCR5" s="28"/>
      <c r="CCS5" s="28"/>
      <c r="CCT5" s="28"/>
      <c r="CCU5" s="28"/>
      <c r="CCV5" s="28"/>
      <c r="CCW5" s="28"/>
      <c r="CCX5" s="28"/>
      <c r="CCY5" s="28"/>
      <c r="CCZ5" s="28"/>
      <c r="CDA5" s="28"/>
      <c r="CDB5" s="28"/>
      <c r="CDC5" s="28"/>
      <c r="CDD5" s="28"/>
      <c r="CDE5" s="28"/>
      <c r="CDF5" s="28"/>
      <c r="CDG5" s="28"/>
      <c r="CDH5" s="28"/>
      <c r="CDI5" s="28"/>
      <c r="CDJ5" s="28"/>
      <c r="CDK5" s="28"/>
      <c r="CDL5" s="28"/>
      <c r="CDM5" s="28"/>
      <c r="CDN5" s="28"/>
      <c r="CDO5" s="28"/>
      <c r="CDP5" s="28"/>
      <c r="CDQ5" s="28"/>
      <c r="CDR5" s="28"/>
      <c r="CDS5" s="28"/>
      <c r="CDT5" s="28"/>
      <c r="CDU5" s="28"/>
      <c r="CDV5" s="28"/>
      <c r="CDW5" s="28"/>
      <c r="CDX5" s="28"/>
      <c r="CDY5" s="28"/>
      <c r="CDZ5" s="28"/>
      <c r="CEA5" s="28"/>
      <c r="CEB5" s="28"/>
      <c r="CEC5" s="28"/>
      <c r="CED5" s="28"/>
      <c r="CEE5" s="28"/>
      <c r="CEF5" s="28"/>
      <c r="CEG5" s="28"/>
      <c r="CEH5" s="28"/>
      <c r="CEI5" s="28"/>
      <c r="CEJ5" s="28"/>
      <c r="CEK5" s="28"/>
      <c r="CEL5" s="28"/>
      <c r="CEM5" s="28"/>
      <c r="CEN5" s="28"/>
      <c r="CEO5" s="28"/>
      <c r="CEP5" s="28"/>
      <c r="CEQ5" s="28"/>
      <c r="CER5" s="28"/>
      <c r="CES5" s="28"/>
      <c r="CET5" s="28"/>
      <c r="CEU5" s="28"/>
      <c r="CEV5" s="28"/>
      <c r="CEW5" s="28"/>
      <c r="CEX5" s="28"/>
      <c r="CEY5" s="28"/>
      <c r="CEZ5" s="28"/>
      <c r="CFA5" s="28"/>
      <c r="CFB5" s="28"/>
      <c r="CFC5" s="28"/>
      <c r="CFD5" s="28"/>
      <c r="CFE5" s="28"/>
      <c r="CFF5" s="28"/>
      <c r="CFG5" s="28"/>
      <c r="CFH5" s="28"/>
      <c r="CFI5" s="28"/>
      <c r="CFJ5" s="28"/>
      <c r="CFK5" s="28"/>
      <c r="CFL5" s="28"/>
      <c r="CFM5" s="28"/>
      <c r="CFN5" s="28"/>
      <c r="CFO5" s="28"/>
      <c r="CFP5" s="28"/>
      <c r="CFQ5" s="28"/>
      <c r="CFR5" s="28"/>
      <c r="CFS5" s="28"/>
      <c r="CFT5" s="28"/>
      <c r="CFU5" s="28"/>
      <c r="CFV5" s="28"/>
      <c r="CFW5" s="28"/>
      <c r="CFX5" s="28"/>
      <c r="CFY5" s="28"/>
      <c r="CFZ5" s="28"/>
      <c r="CGA5" s="28"/>
      <c r="CGB5" s="28"/>
      <c r="CGC5" s="28"/>
      <c r="CGD5" s="28"/>
      <c r="CGE5" s="28"/>
      <c r="CGF5" s="28"/>
      <c r="CGG5" s="28"/>
      <c r="CGH5" s="28"/>
      <c r="CGI5" s="28"/>
      <c r="CGJ5" s="28"/>
      <c r="CGK5" s="28"/>
      <c r="CGL5" s="28"/>
      <c r="CGM5" s="28"/>
      <c r="CGN5" s="28"/>
      <c r="CGO5" s="28"/>
      <c r="CGP5" s="28"/>
      <c r="CGQ5" s="28"/>
      <c r="CGR5" s="28"/>
      <c r="CGS5" s="28"/>
      <c r="CGT5" s="28"/>
      <c r="CGU5" s="28"/>
      <c r="CGV5" s="28"/>
      <c r="CGW5" s="28"/>
      <c r="CGX5" s="28"/>
      <c r="CGY5" s="28"/>
      <c r="CGZ5" s="28"/>
      <c r="CHA5" s="28"/>
      <c r="CHB5" s="28"/>
      <c r="CHC5" s="28"/>
      <c r="CHD5" s="28"/>
      <c r="CHE5" s="28"/>
      <c r="CHF5" s="28"/>
      <c r="CHG5" s="28"/>
      <c r="CHH5" s="28"/>
      <c r="CHI5" s="28"/>
      <c r="CHJ5" s="28"/>
      <c r="CHK5" s="28"/>
      <c r="CHL5" s="28"/>
      <c r="CHM5" s="28"/>
      <c r="CHN5" s="28"/>
      <c r="CHO5" s="28"/>
      <c r="CHP5" s="28"/>
      <c r="CHQ5" s="28"/>
      <c r="CHR5" s="28"/>
      <c r="CHS5" s="28"/>
      <c r="CHT5" s="28"/>
      <c r="CHU5" s="28"/>
      <c r="CHV5" s="28"/>
      <c r="CHW5" s="28"/>
      <c r="CHX5" s="28"/>
      <c r="CHY5" s="28"/>
      <c r="CHZ5" s="28"/>
      <c r="CIA5" s="28"/>
      <c r="CIB5" s="28"/>
      <c r="CIC5" s="28"/>
      <c r="CID5" s="28"/>
      <c r="CIE5" s="28"/>
      <c r="CIF5" s="28"/>
      <c r="CIG5" s="28"/>
      <c r="CIH5" s="28"/>
      <c r="CII5" s="28"/>
      <c r="CIJ5" s="28"/>
      <c r="CIK5" s="28"/>
      <c r="CIL5" s="28"/>
      <c r="CIM5" s="28"/>
      <c r="CIN5" s="28"/>
      <c r="CIO5" s="28"/>
      <c r="CIP5" s="28"/>
      <c r="CIQ5" s="28"/>
      <c r="CIR5" s="28"/>
      <c r="CIS5" s="28"/>
      <c r="CIT5" s="28"/>
      <c r="CIU5" s="28"/>
      <c r="CIV5" s="28"/>
      <c r="CIW5" s="28"/>
      <c r="CIX5" s="28"/>
      <c r="CIY5" s="28"/>
      <c r="CIZ5" s="28"/>
      <c r="CJA5" s="28"/>
      <c r="CJB5" s="28"/>
      <c r="CJC5" s="28"/>
      <c r="CJD5" s="28"/>
      <c r="CJE5" s="28"/>
      <c r="CJF5" s="28"/>
      <c r="CJG5" s="28"/>
      <c r="CJH5" s="28"/>
      <c r="CJI5" s="28"/>
      <c r="CJJ5" s="28"/>
      <c r="CJK5" s="28"/>
      <c r="CJL5" s="28"/>
      <c r="CJM5" s="28"/>
      <c r="CJN5" s="28"/>
      <c r="CJO5" s="28"/>
      <c r="CJP5" s="28"/>
      <c r="CJQ5" s="28"/>
      <c r="CJR5" s="28"/>
      <c r="CJS5" s="28"/>
      <c r="CJT5" s="28"/>
      <c r="CJU5" s="28"/>
      <c r="CJV5" s="28"/>
      <c r="CJW5" s="28"/>
      <c r="CJX5" s="28"/>
      <c r="CJY5" s="28"/>
      <c r="CJZ5" s="28"/>
      <c r="CKA5" s="28"/>
      <c r="CKB5" s="28"/>
      <c r="CKC5" s="28"/>
      <c r="CKD5" s="28"/>
      <c r="CKE5" s="28"/>
      <c r="CKF5" s="28"/>
      <c r="CKG5" s="28"/>
      <c r="CKH5" s="28"/>
      <c r="CKI5" s="28"/>
      <c r="CKJ5" s="28"/>
      <c r="CKK5" s="28"/>
      <c r="CKL5" s="28"/>
      <c r="CKM5" s="28"/>
      <c r="CKN5" s="28"/>
      <c r="CKO5" s="28"/>
      <c r="CKP5" s="28"/>
      <c r="CKQ5" s="28"/>
      <c r="CKR5" s="28"/>
      <c r="CKS5" s="28"/>
      <c r="CKT5" s="28"/>
      <c r="CKU5" s="28"/>
      <c r="CKV5" s="28"/>
      <c r="CKW5" s="28"/>
      <c r="CKX5" s="28"/>
      <c r="CKY5" s="28"/>
      <c r="CKZ5" s="28"/>
      <c r="CLA5" s="28"/>
      <c r="CLB5" s="28"/>
      <c r="CLC5" s="28"/>
      <c r="CLD5" s="28"/>
      <c r="CLE5" s="28"/>
      <c r="CLF5" s="28"/>
      <c r="CLG5" s="28"/>
      <c r="CLH5" s="28"/>
      <c r="CLI5" s="28"/>
      <c r="CLJ5" s="28"/>
      <c r="CLK5" s="28"/>
      <c r="CLL5" s="28"/>
      <c r="CLM5" s="28"/>
      <c r="CLN5" s="28"/>
      <c r="CLO5" s="28"/>
      <c r="CLP5" s="28"/>
      <c r="CLQ5" s="28"/>
      <c r="CLR5" s="28"/>
      <c r="CLS5" s="28"/>
      <c r="CLT5" s="28"/>
      <c r="CLU5" s="28"/>
      <c r="CLV5" s="28"/>
      <c r="CLW5" s="28"/>
      <c r="CLX5" s="28"/>
      <c r="CLY5" s="28"/>
      <c r="CLZ5" s="28"/>
      <c r="CMA5" s="28"/>
      <c r="CMB5" s="28"/>
      <c r="CMC5" s="28"/>
      <c r="CMD5" s="28"/>
      <c r="CME5" s="28"/>
      <c r="CMF5" s="28"/>
      <c r="CMG5" s="28"/>
      <c r="CMH5" s="28"/>
      <c r="CMI5" s="28"/>
      <c r="CMJ5" s="28"/>
      <c r="CMK5" s="28"/>
      <c r="CML5" s="28"/>
      <c r="CMM5" s="28"/>
      <c r="CMN5" s="28"/>
      <c r="CMO5" s="28"/>
      <c r="CMP5" s="28"/>
      <c r="CMQ5" s="28"/>
      <c r="CMR5" s="28"/>
      <c r="CMS5" s="28"/>
      <c r="CMT5" s="28"/>
      <c r="CMU5" s="28"/>
      <c r="CMV5" s="28"/>
      <c r="CMW5" s="28"/>
      <c r="CMX5" s="28"/>
      <c r="CMY5" s="28"/>
      <c r="CMZ5" s="28"/>
      <c r="CNA5" s="28"/>
      <c r="CNB5" s="28"/>
      <c r="CNC5" s="28"/>
      <c r="CND5" s="28"/>
      <c r="CNE5" s="28"/>
      <c r="CNF5" s="28"/>
      <c r="CNG5" s="28"/>
      <c r="CNH5" s="28"/>
      <c r="CNI5" s="28"/>
      <c r="CNJ5" s="28"/>
      <c r="CNK5" s="28"/>
      <c r="CNL5" s="28"/>
      <c r="CNM5" s="28"/>
      <c r="CNN5" s="28"/>
      <c r="CNO5" s="28"/>
      <c r="CNP5" s="28"/>
      <c r="CNQ5" s="28"/>
      <c r="CNR5" s="28"/>
      <c r="CNS5" s="28"/>
      <c r="CNT5" s="28"/>
      <c r="CNU5" s="28"/>
      <c r="CNV5" s="28"/>
      <c r="CNW5" s="28"/>
      <c r="CNX5" s="28"/>
      <c r="CNY5" s="28"/>
      <c r="CNZ5" s="28"/>
      <c r="COA5" s="28"/>
      <c r="COB5" s="28"/>
      <c r="COC5" s="28"/>
      <c r="COD5" s="28"/>
      <c r="COE5" s="28"/>
      <c r="COF5" s="28"/>
      <c r="COG5" s="28"/>
      <c r="COH5" s="28"/>
      <c r="COI5" s="28"/>
      <c r="COJ5" s="28"/>
      <c r="COK5" s="28"/>
      <c r="COL5" s="28"/>
      <c r="COM5" s="28"/>
      <c r="CON5" s="28"/>
      <c r="COO5" s="28"/>
      <c r="COP5" s="28"/>
      <c r="COQ5" s="28"/>
      <c r="COR5" s="28"/>
      <c r="COS5" s="28"/>
      <c r="COT5" s="28"/>
      <c r="COU5" s="28"/>
      <c r="COV5" s="28"/>
      <c r="COW5" s="28"/>
      <c r="COX5" s="28"/>
      <c r="COY5" s="28"/>
      <c r="COZ5" s="28"/>
      <c r="CPA5" s="28"/>
      <c r="CPB5" s="28"/>
      <c r="CPC5" s="28"/>
      <c r="CPD5" s="28"/>
      <c r="CPE5" s="28"/>
      <c r="CPF5" s="28"/>
      <c r="CPG5" s="28"/>
      <c r="CPH5" s="28"/>
      <c r="CPI5" s="28"/>
      <c r="CPJ5" s="28"/>
      <c r="CPK5" s="28"/>
      <c r="CPL5" s="28"/>
      <c r="CPM5" s="28"/>
      <c r="CPN5" s="28"/>
      <c r="CPO5" s="28"/>
      <c r="CPP5" s="28"/>
      <c r="CPQ5" s="28"/>
      <c r="CPR5" s="28"/>
      <c r="CPS5" s="28"/>
      <c r="CPT5" s="28"/>
      <c r="CPU5" s="28"/>
      <c r="CPV5" s="28"/>
      <c r="CPW5" s="28"/>
      <c r="CPX5" s="28"/>
      <c r="CPY5" s="28"/>
      <c r="CPZ5" s="28"/>
      <c r="CQA5" s="28"/>
      <c r="CQB5" s="28"/>
      <c r="CQC5" s="28"/>
      <c r="CQD5" s="28"/>
      <c r="CQE5" s="28"/>
      <c r="CQF5" s="28"/>
      <c r="CQG5" s="28"/>
      <c r="CQH5" s="28"/>
      <c r="CQI5" s="28"/>
      <c r="CQJ5" s="28"/>
      <c r="CQK5" s="28"/>
      <c r="CQL5" s="28"/>
      <c r="CQM5" s="28"/>
      <c r="CQN5" s="28"/>
      <c r="CQO5" s="28"/>
      <c r="CQP5" s="28"/>
      <c r="CQQ5" s="28"/>
      <c r="CQR5" s="28"/>
      <c r="CQS5" s="28"/>
      <c r="CQT5" s="28"/>
      <c r="CQU5" s="28"/>
      <c r="CQV5" s="28"/>
      <c r="CQW5" s="28"/>
      <c r="CQX5" s="28"/>
      <c r="CQY5" s="28"/>
      <c r="CQZ5" s="28"/>
      <c r="CRA5" s="28"/>
      <c r="CRB5" s="28"/>
      <c r="CRC5" s="28"/>
      <c r="CRD5" s="28"/>
      <c r="CRE5" s="28"/>
      <c r="CRF5" s="28"/>
      <c r="CRG5" s="28"/>
      <c r="CRH5" s="28"/>
      <c r="CRI5" s="28"/>
      <c r="CRJ5" s="28"/>
      <c r="CRK5" s="28"/>
      <c r="CRL5" s="28"/>
      <c r="CRM5" s="28"/>
      <c r="CRN5" s="28"/>
      <c r="CRO5" s="28"/>
      <c r="CRP5" s="28"/>
      <c r="CRQ5" s="28"/>
      <c r="CRR5" s="28"/>
      <c r="CRS5" s="28"/>
      <c r="CRT5" s="28"/>
      <c r="CRU5" s="28"/>
      <c r="CRV5" s="28"/>
      <c r="CRW5" s="28"/>
      <c r="CRX5" s="28"/>
      <c r="CRY5" s="28"/>
      <c r="CRZ5" s="28"/>
      <c r="CSA5" s="28"/>
      <c r="CSB5" s="28"/>
      <c r="CSC5" s="28"/>
      <c r="CSD5" s="28"/>
      <c r="CSE5" s="28"/>
      <c r="CSF5" s="28"/>
      <c r="CSG5" s="28"/>
      <c r="CSH5" s="28"/>
      <c r="CSI5" s="28"/>
      <c r="CSJ5" s="28"/>
      <c r="CSK5" s="28"/>
      <c r="CSL5" s="28"/>
      <c r="CSM5" s="28"/>
      <c r="CSN5" s="28"/>
      <c r="CSO5" s="28"/>
      <c r="CSP5" s="28"/>
      <c r="CSQ5" s="28"/>
      <c r="CSR5" s="28"/>
      <c r="CSS5" s="28"/>
      <c r="CST5" s="28"/>
      <c r="CSU5" s="28"/>
      <c r="CSV5" s="28"/>
      <c r="CSW5" s="28"/>
      <c r="CSX5" s="28"/>
      <c r="CSY5" s="28"/>
      <c r="CSZ5" s="28"/>
      <c r="CTA5" s="28"/>
      <c r="CTB5" s="28"/>
      <c r="CTC5" s="28"/>
      <c r="CTD5" s="28"/>
      <c r="CTE5" s="28"/>
      <c r="CTF5" s="28"/>
      <c r="CTG5" s="28"/>
      <c r="CTH5" s="28"/>
      <c r="CTI5" s="28"/>
      <c r="CTJ5" s="28"/>
      <c r="CTK5" s="28"/>
      <c r="CTL5" s="28"/>
      <c r="CTM5" s="28"/>
      <c r="CTN5" s="28"/>
      <c r="CTO5" s="28"/>
      <c r="CTP5" s="28"/>
      <c r="CTQ5" s="28"/>
      <c r="CTR5" s="28"/>
      <c r="CTS5" s="28"/>
      <c r="CTT5" s="28"/>
      <c r="CTU5" s="28"/>
      <c r="CTV5" s="28"/>
      <c r="CTW5" s="28"/>
      <c r="CTX5" s="28"/>
      <c r="CTY5" s="28"/>
      <c r="CTZ5" s="28"/>
      <c r="CUA5" s="28"/>
      <c r="CUB5" s="28"/>
      <c r="CUC5" s="28"/>
      <c r="CUD5" s="28"/>
      <c r="CUE5" s="28"/>
      <c r="CUF5" s="28"/>
      <c r="CUG5" s="28"/>
      <c r="CUH5" s="28"/>
      <c r="CUI5" s="28"/>
      <c r="CUJ5" s="28"/>
      <c r="CUK5" s="28"/>
      <c r="CUL5" s="28"/>
      <c r="CUM5" s="28"/>
      <c r="CUN5" s="28"/>
      <c r="CUO5" s="28"/>
      <c r="CUP5" s="28"/>
      <c r="CUQ5" s="28"/>
      <c r="CUR5" s="28"/>
      <c r="CUS5" s="28"/>
      <c r="CUT5" s="28"/>
      <c r="CUU5" s="28"/>
      <c r="CUV5" s="28"/>
      <c r="CUW5" s="28"/>
      <c r="CUX5" s="28"/>
      <c r="CUY5" s="28"/>
      <c r="CUZ5" s="28"/>
      <c r="CVA5" s="28"/>
      <c r="CVB5" s="28"/>
      <c r="CVC5" s="28"/>
      <c r="CVD5" s="28"/>
      <c r="CVE5" s="28"/>
      <c r="CVF5" s="28"/>
      <c r="CVG5" s="28"/>
      <c r="CVH5" s="28"/>
      <c r="CVI5" s="28"/>
      <c r="CVJ5" s="28"/>
      <c r="CVK5" s="28"/>
      <c r="CVL5" s="28"/>
      <c r="CVM5" s="28"/>
      <c r="CVN5" s="28"/>
      <c r="CVO5" s="28"/>
      <c r="CVP5" s="28"/>
      <c r="CVQ5" s="28"/>
      <c r="CVR5" s="28"/>
      <c r="CVS5" s="28"/>
      <c r="CVT5" s="28"/>
      <c r="CVU5" s="28"/>
      <c r="CVV5" s="28"/>
      <c r="CVW5" s="28"/>
      <c r="CVX5" s="28"/>
      <c r="CVY5" s="28"/>
      <c r="CVZ5" s="28"/>
      <c r="CWA5" s="28"/>
      <c r="CWB5" s="28"/>
      <c r="CWC5" s="28"/>
      <c r="CWD5" s="28"/>
      <c r="CWE5" s="28"/>
      <c r="CWF5" s="28"/>
      <c r="CWG5" s="28"/>
      <c r="CWH5" s="28"/>
      <c r="CWI5" s="28"/>
      <c r="CWJ5" s="28"/>
      <c r="CWK5" s="28"/>
      <c r="CWL5" s="28"/>
      <c r="CWM5" s="28"/>
      <c r="CWN5" s="28"/>
      <c r="CWO5" s="28"/>
      <c r="CWP5" s="28"/>
      <c r="CWQ5" s="28"/>
      <c r="CWR5" s="28"/>
      <c r="CWS5" s="28"/>
      <c r="CWT5" s="28"/>
      <c r="CWU5" s="28"/>
      <c r="CWV5" s="28"/>
      <c r="CWW5" s="28"/>
      <c r="CWX5" s="28"/>
      <c r="CWY5" s="28"/>
      <c r="CWZ5" s="28"/>
      <c r="CXA5" s="28"/>
      <c r="CXB5" s="28"/>
      <c r="CXC5" s="28"/>
      <c r="CXD5" s="28"/>
      <c r="CXE5" s="28"/>
      <c r="CXF5" s="28"/>
      <c r="CXG5" s="28"/>
      <c r="CXH5" s="28"/>
      <c r="CXI5" s="28"/>
      <c r="CXJ5" s="28"/>
      <c r="CXK5" s="28"/>
      <c r="CXL5" s="28"/>
      <c r="CXM5" s="28"/>
      <c r="CXN5" s="28"/>
      <c r="CXO5" s="28"/>
      <c r="CXP5" s="28"/>
      <c r="CXQ5" s="28"/>
      <c r="CXR5" s="28"/>
      <c r="CXS5" s="28"/>
      <c r="CXT5" s="28"/>
      <c r="CXU5" s="28"/>
      <c r="CXV5" s="28"/>
      <c r="CXW5" s="28"/>
      <c r="CXX5" s="28"/>
      <c r="CXY5" s="28"/>
      <c r="CXZ5" s="28"/>
      <c r="CYA5" s="28"/>
      <c r="CYB5" s="28"/>
      <c r="CYC5" s="28"/>
      <c r="CYD5" s="28"/>
      <c r="CYE5" s="28"/>
      <c r="CYF5" s="28"/>
      <c r="CYG5" s="28"/>
      <c r="CYH5" s="28"/>
      <c r="CYI5" s="28"/>
      <c r="CYJ5" s="28"/>
      <c r="CYK5" s="28"/>
      <c r="CYL5" s="28"/>
      <c r="CYM5" s="28"/>
      <c r="CYN5" s="28"/>
      <c r="CYO5" s="28"/>
      <c r="CYP5" s="28"/>
      <c r="CYQ5" s="28"/>
      <c r="CYR5" s="28"/>
      <c r="CYS5" s="28"/>
      <c r="CYT5" s="28"/>
      <c r="CYU5" s="28"/>
      <c r="CYV5" s="28"/>
      <c r="CYW5" s="28"/>
      <c r="CYX5" s="28"/>
      <c r="CYY5" s="28"/>
      <c r="CYZ5" s="28"/>
      <c r="CZA5" s="28"/>
      <c r="CZB5" s="28"/>
      <c r="CZC5" s="28"/>
      <c r="CZD5" s="28"/>
      <c r="CZE5" s="28"/>
      <c r="CZF5" s="28"/>
      <c r="CZG5" s="28"/>
      <c r="CZH5" s="28"/>
      <c r="CZI5" s="28"/>
      <c r="CZJ5" s="28"/>
      <c r="CZK5" s="28"/>
      <c r="CZL5" s="28"/>
      <c r="CZM5" s="28"/>
      <c r="CZN5" s="28"/>
      <c r="CZO5" s="28"/>
      <c r="CZP5" s="28"/>
      <c r="CZQ5" s="28"/>
      <c r="CZR5" s="28"/>
      <c r="CZS5" s="28"/>
      <c r="CZT5" s="28"/>
      <c r="CZU5" s="28"/>
      <c r="CZV5" s="28"/>
      <c r="CZW5" s="28"/>
      <c r="CZX5" s="28"/>
      <c r="CZY5" s="28"/>
      <c r="CZZ5" s="28"/>
      <c r="DAA5" s="28"/>
      <c r="DAB5" s="28"/>
      <c r="DAC5" s="28"/>
      <c r="DAD5" s="28"/>
      <c r="DAE5" s="28"/>
      <c r="DAF5" s="28"/>
      <c r="DAG5" s="28"/>
      <c r="DAH5" s="28"/>
      <c r="DAI5" s="28"/>
      <c r="DAJ5" s="28"/>
      <c r="DAK5" s="28"/>
      <c r="DAL5" s="28"/>
      <c r="DAM5" s="28"/>
      <c r="DAN5" s="28"/>
      <c r="DAO5" s="28"/>
      <c r="DAP5" s="28"/>
      <c r="DAQ5" s="28"/>
      <c r="DAR5" s="28"/>
      <c r="DAS5" s="28"/>
      <c r="DAT5" s="28"/>
      <c r="DAU5" s="28"/>
      <c r="DAV5" s="28"/>
      <c r="DAW5" s="28"/>
      <c r="DAX5" s="28"/>
      <c r="DAY5" s="28"/>
      <c r="DAZ5" s="28"/>
      <c r="DBA5" s="28"/>
      <c r="DBB5" s="28"/>
      <c r="DBC5" s="28"/>
      <c r="DBD5" s="28"/>
      <c r="DBE5" s="28"/>
      <c r="DBF5" s="28"/>
      <c r="DBG5" s="28"/>
      <c r="DBH5" s="28"/>
      <c r="DBI5" s="28"/>
      <c r="DBJ5" s="28"/>
      <c r="DBK5" s="28"/>
      <c r="DBL5" s="28"/>
      <c r="DBM5" s="28"/>
      <c r="DBN5" s="28"/>
      <c r="DBO5" s="28"/>
      <c r="DBP5" s="28"/>
      <c r="DBQ5" s="28"/>
      <c r="DBR5" s="28"/>
      <c r="DBS5" s="28"/>
      <c r="DBT5" s="28"/>
      <c r="DBU5" s="28"/>
      <c r="DBV5" s="28"/>
      <c r="DBW5" s="28"/>
      <c r="DBX5" s="28"/>
      <c r="DBY5" s="28"/>
      <c r="DBZ5" s="28"/>
      <c r="DCA5" s="28"/>
      <c r="DCB5" s="28"/>
      <c r="DCC5" s="28"/>
      <c r="DCD5" s="28"/>
      <c r="DCE5" s="28"/>
      <c r="DCF5" s="28"/>
      <c r="DCG5" s="28"/>
      <c r="DCH5" s="28"/>
      <c r="DCI5" s="28"/>
      <c r="DCJ5" s="28"/>
      <c r="DCK5" s="28"/>
      <c r="DCL5" s="28"/>
      <c r="DCM5" s="28"/>
      <c r="DCN5" s="28"/>
      <c r="DCO5" s="28"/>
      <c r="DCP5" s="28"/>
      <c r="DCQ5" s="28"/>
      <c r="DCR5" s="28"/>
      <c r="DCS5" s="28"/>
      <c r="DCT5" s="28"/>
      <c r="DCU5" s="28"/>
      <c r="DCV5" s="28"/>
      <c r="DCW5" s="28"/>
      <c r="DCX5" s="28"/>
      <c r="DCY5" s="28"/>
      <c r="DCZ5" s="28"/>
      <c r="DDA5" s="28"/>
      <c r="DDB5" s="28"/>
      <c r="DDC5" s="28"/>
      <c r="DDD5" s="28"/>
      <c r="DDE5" s="28"/>
      <c r="DDF5" s="28"/>
      <c r="DDG5" s="28"/>
      <c r="DDH5" s="28"/>
      <c r="DDI5" s="28"/>
      <c r="DDJ5" s="28"/>
      <c r="DDK5" s="28"/>
      <c r="DDL5" s="28"/>
      <c r="DDM5" s="28"/>
      <c r="DDN5" s="28"/>
      <c r="DDO5" s="28"/>
      <c r="DDP5" s="28"/>
      <c r="DDQ5" s="28"/>
      <c r="DDR5" s="28"/>
      <c r="DDS5" s="28"/>
      <c r="DDT5" s="28"/>
      <c r="DDU5" s="28"/>
      <c r="DDV5" s="28"/>
      <c r="DDW5" s="28"/>
      <c r="DDX5" s="28"/>
      <c r="DDY5" s="28"/>
      <c r="DDZ5" s="28"/>
      <c r="DEA5" s="28"/>
      <c r="DEB5" s="28"/>
      <c r="DEC5" s="28"/>
      <c r="DED5" s="28"/>
      <c r="DEE5" s="28"/>
      <c r="DEF5" s="28"/>
      <c r="DEG5" s="28"/>
      <c r="DEH5" s="28"/>
      <c r="DEI5" s="28"/>
      <c r="DEJ5" s="28"/>
      <c r="DEK5" s="28"/>
      <c r="DEL5" s="28"/>
      <c r="DEM5" s="28"/>
      <c r="DEN5" s="28"/>
      <c r="DEO5" s="28"/>
      <c r="DEP5" s="28"/>
      <c r="DEQ5" s="28"/>
      <c r="DER5" s="28"/>
      <c r="DES5" s="28"/>
      <c r="DET5" s="28"/>
      <c r="DEU5" s="28"/>
      <c r="DEV5" s="28"/>
      <c r="DEW5" s="28"/>
      <c r="DEX5" s="28"/>
      <c r="DEY5" s="28"/>
      <c r="DEZ5" s="28"/>
      <c r="DFA5" s="28"/>
      <c r="DFB5" s="28"/>
      <c r="DFC5" s="28"/>
      <c r="DFD5" s="28"/>
      <c r="DFE5" s="28"/>
      <c r="DFF5" s="28"/>
      <c r="DFG5" s="28"/>
      <c r="DFH5" s="28"/>
      <c r="DFI5" s="28"/>
      <c r="DFJ5" s="28"/>
      <c r="DFK5" s="28"/>
      <c r="DFL5" s="28"/>
      <c r="DFM5" s="28"/>
      <c r="DFN5" s="28"/>
      <c r="DFO5" s="28"/>
      <c r="DFP5" s="28"/>
      <c r="DFQ5" s="28"/>
      <c r="DFR5" s="28"/>
      <c r="DFS5" s="28"/>
      <c r="DFT5" s="28"/>
      <c r="DFU5" s="28"/>
      <c r="DFV5" s="28"/>
      <c r="DFW5" s="28"/>
      <c r="DFX5" s="28"/>
      <c r="DFY5" s="28"/>
      <c r="DFZ5" s="28"/>
      <c r="DGA5" s="28"/>
      <c r="DGB5" s="28"/>
      <c r="DGC5" s="28"/>
      <c r="DGD5" s="28"/>
      <c r="DGE5" s="28"/>
      <c r="DGF5" s="28"/>
      <c r="DGG5" s="28"/>
      <c r="DGH5" s="28"/>
      <c r="DGI5" s="28"/>
      <c r="DGJ5" s="28"/>
      <c r="DGK5" s="28"/>
      <c r="DGL5" s="28"/>
      <c r="DGM5" s="28"/>
      <c r="DGN5" s="28"/>
      <c r="DGO5" s="28"/>
      <c r="DGP5" s="28"/>
      <c r="DGQ5" s="28"/>
      <c r="DGR5" s="28"/>
      <c r="DGS5" s="28"/>
      <c r="DGT5" s="28"/>
      <c r="DGU5" s="28"/>
      <c r="DGV5" s="28"/>
      <c r="DGW5" s="28"/>
      <c r="DGX5" s="28"/>
      <c r="DGY5" s="28"/>
      <c r="DGZ5" s="28"/>
      <c r="DHA5" s="28"/>
      <c r="DHB5" s="28"/>
      <c r="DHC5" s="28"/>
      <c r="DHD5" s="28"/>
      <c r="DHE5" s="28"/>
      <c r="DHF5" s="28"/>
      <c r="DHG5" s="28"/>
      <c r="DHH5" s="28"/>
      <c r="DHI5" s="28"/>
      <c r="DHJ5" s="28"/>
      <c r="DHK5" s="28"/>
      <c r="DHL5" s="28"/>
      <c r="DHM5" s="28"/>
      <c r="DHN5" s="28"/>
      <c r="DHO5" s="28"/>
      <c r="DHP5" s="28"/>
      <c r="DHQ5" s="28"/>
      <c r="DHR5" s="28"/>
      <c r="DHS5" s="28"/>
      <c r="DHT5" s="28"/>
      <c r="DHU5" s="28"/>
      <c r="DHV5" s="28"/>
      <c r="DHW5" s="28"/>
      <c r="DHX5" s="28"/>
      <c r="DHY5" s="28"/>
      <c r="DHZ5" s="28"/>
      <c r="DIA5" s="28"/>
      <c r="DIB5" s="28"/>
      <c r="DIC5" s="28"/>
      <c r="DID5" s="28"/>
      <c r="DIE5" s="28"/>
      <c r="DIF5" s="28"/>
      <c r="DIG5" s="28"/>
      <c r="DIH5" s="28"/>
      <c r="DII5" s="28"/>
      <c r="DIJ5" s="28"/>
      <c r="DIK5" s="28"/>
      <c r="DIL5" s="28"/>
      <c r="DIM5" s="28"/>
      <c r="DIN5" s="28"/>
      <c r="DIO5" s="28"/>
      <c r="DIP5" s="28"/>
      <c r="DIQ5" s="28"/>
      <c r="DIR5" s="28"/>
      <c r="DIS5" s="28"/>
      <c r="DIT5" s="28"/>
      <c r="DIU5" s="28"/>
      <c r="DIV5" s="28"/>
      <c r="DIW5" s="28"/>
      <c r="DIX5" s="28"/>
      <c r="DIY5" s="28"/>
      <c r="DIZ5" s="28"/>
      <c r="DJA5" s="28"/>
      <c r="DJB5" s="28"/>
      <c r="DJC5" s="28"/>
      <c r="DJD5" s="28"/>
      <c r="DJE5" s="28"/>
      <c r="DJF5" s="28"/>
      <c r="DJG5" s="28"/>
      <c r="DJH5" s="28"/>
      <c r="DJI5" s="28"/>
      <c r="DJJ5" s="28"/>
      <c r="DJK5" s="28"/>
      <c r="DJL5" s="28"/>
      <c r="DJM5" s="28"/>
      <c r="DJN5" s="28"/>
      <c r="DJO5" s="28"/>
      <c r="DJP5" s="28"/>
      <c r="DJQ5" s="28"/>
      <c r="DJR5" s="28"/>
      <c r="DJS5" s="28"/>
      <c r="DJT5" s="28"/>
      <c r="DJU5" s="28"/>
      <c r="DJV5" s="28"/>
      <c r="DJW5" s="28"/>
      <c r="DJX5" s="28"/>
      <c r="DJY5" s="28"/>
      <c r="DJZ5" s="28"/>
      <c r="DKA5" s="28"/>
      <c r="DKB5" s="28"/>
      <c r="DKC5" s="28"/>
      <c r="DKD5" s="28"/>
      <c r="DKE5" s="28"/>
      <c r="DKF5" s="28"/>
      <c r="DKG5" s="28"/>
      <c r="DKH5" s="28"/>
      <c r="DKI5" s="28"/>
      <c r="DKJ5" s="28"/>
      <c r="DKK5" s="28"/>
      <c r="DKL5" s="28"/>
      <c r="DKM5" s="28"/>
      <c r="DKN5" s="28"/>
      <c r="DKO5" s="28"/>
      <c r="DKP5" s="28"/>
      <c r="DKQ5" s="28"/>
      <c r="DKR5" s="28"/>
      <c r="DKS5" s="28"/>
      <c r="DKT5" s="28"/>
      <c r="DKU5" s="28"/>
      <c r="DKV5" s="28"/>
      <c r="DKW5" s="28"/>
      <c r="DKX5" s="28"/>
      <c r="DKY5" s="28"/>
      <c r="DKZ5" s="28"/>
      <c r="DLA5" s="28"/>
      <c r="DLB5" s="28"/>
      <c r="DLC5" s="28"/>
      <c r="DLD5" s="28"/>
      <c r="DLE5" s="28"/>
      <c r="DLF5" s="28"/>
      <c r="DLG5" s="28"/>
      <c r="DLH5" s="28"/>
      <c r="DLI5" s="28"/>
      <c r="DLJ5" s="28"/>
      <c r="DLK5" s="28"/>
      <c r="DLL5" s="28"/>
      <c r="DLM5" s="28"/>
      <c r="DLN5" s="28"/>
      <c r="DLO5" s="28"/>
      <c r="DLP5" s="28"/>
      <c r="DLQ5" s="28"/>
      <c r="DLR5" s="28"/>
      <c r="DLS5" s="28"/>
      <c r="DLT5" s="28"/>
      <c r="DLU5" s="28"/>
      <c r="DLV5" s="28"/>
      <c r="DLW5" s="28"/>
      <c r="DLX5" s="28"/>
      <c r="DLY5" s="28"/>
      <c r="DLZ5" s="28"/>
      <c r="DMA5" s="28"/>
      <c r="DMB5" s="28"/>
      <c r="DMC5" s="28"/>
      <c r="DMD5" s="28"/>
      <c r="DME5" s="28"/>
      <c r="DMF5" s="28"/>
      <c r="DMG5" s="28"/>
      <c r="DMH5" s="28"/>
      <c r="DMI5" s="28"/>
      <c r="DMJ5" s="28"/>
      <c r="DMK5" s="28"/>
      <c r="DML5" s="28"/>
      <c r="DMM5" s="28"/>
      <c r="DMN5" s="28"/>
      <c r="DMO5" s="28"/>
      <c r="DMP5" s="28"/>
      <c r="DMQ5" s="28"/>
      <c r="DMR5" s="28"/>
      <c r="DMS5" s="28"/>
      <c r="DMT5" s="28"/>
      <c r="DMU5" s="28"/>
      <c r="DMV5" s="28"/>
      <c r="DMW5" s="28"/>
      <c r="DMX5" s="28"/>
      <c r="DMY5" s="28"/>
      <c r="DMZ5" s="28"/>
      <c r="DNA5" s="28"/>
      <c r="DNB5" s="28"/>
      <c r="DNC5" s="28"/>
      <c r="DND5" s="28"/>
      <c r="DNE5" s="28"/>
      <c r="DNF5" s="28"/>
      <c r="DNG5" s="28"/>
      <c r="DNH5" s="28"/>
      <c r="DNI5" s="28"/>
      <c r="DNJ5" s="28"/>
      <c r="DNK5" s="28"/>
      <c r="DNL5" s="28"/>
      <c r="DNM5" s="28"/>
      <c r="DNN5" s="28"/>
      <c r="DNO5" s="28"/>
      <c r="DNP5" s="28"/>
      <c r="DNQ5" s="28"/>
      <c r="DNR5" s="28"/>
      <c r="DNS5" s="28"/>
      <c r="DNT5" s="28"/>
      <c r="DNU5" s="28"/>
      <c r="DNV5" s="28"/>
      <c r="DNW5" s="28"/>
      <c r="DNX5" s="28"/>
      <c r="DNY5" s="28"/>
      <c r="DNZ5" s="28"/>
      <c r="DOA5" s="28"/>
      <c r="DOB5" s="28"/>
      <c r="DOC5" s="28"/>
      <c r="DOD5" s="28"/>
      <c r="DOE5" s="28"/>
      <c r="DOF5" s="28"/>
      <c r="DOG5" s="28"/>
      <c r="DOH5" s="28"/>
      <c r="DOI5" s="28"/>
      <c r="DOJ5" s="28"/>
      <c r="DOK5" s="28"/>
      <c r="DOL5" s="28"/>
      <c r="DOM5" s="28"/>
      <c r="DON5" s="28"/>
      <c r="DOO5" s="28"/>
      <c r="DOP5" s="28"/>
      <c r="DOQ5" s="28"/>
      <c r="DOR5" s="28"/>
      <c r="DOS5" s="28"/>
      <c r="DOT5" s="28"/>
      <c r="DOU5" s="28"/>
      <c r="DOV5" s="28"/>
      <c r="DOW5" s="28"/>
      <c r="DOX5" s="28"/>
      <c r="DOY5" s="28"/>
      <c r="DOZ5" s="28"/>
      <c r="DPA5" s="28"/>
      <c r="DPB5" s="28"/>
      <c r="DPC5" s="28"/>
      <c r="DPD5" s="28"/>
      <c r="DPE5" s="28"/>
      <c r="DPF5" s="28"/>
      <c r="DPG5" s="28"/>
      <c r="DPH5" s="28"/>
      <c r="DPI5" s="28"/>
      <c r="DPJ5" s="28"/>
      <c r="DPK5" s="28"/>
      <c r="DPL5" s="28"/>
      <c r="DPM5" s="28"/>
      <c r="DPN5" s="28"/>
      <c r="DPO5" s="28"/>
      <c r="DPP5" s="28"/>
      <c r="DPQ5" s="28"/>
      <c r="DPR5" s="28"/>
      <c r="DPS5" s="28"/>
      <c r="DPT5" s="28"/>
      <c r="DPU5" s="28"/>
      <c r="DPV5" s="28"/>
      <c r="DPW5" s="28"/>
      <c r="DPX5" s="28"/>
      <c r="DPY5" s="28"/>
      <c r="DPZ5" s="28"/>
      <c r="DQA5" s="28"/>
      <c r="DQB5" s="28"/>
      <c r="DQC5" s="28"/>
      <c r="DQD5" s="28"/>
      <c r="DQE5" s="28"/>
      <c r="DQF5" s="28"/>
      <c r="DQG5" s="28"/>
      <c r="DQH5" s="28"/>
      <c r="DQI5" s="28"/>
      <c r="DQJ5" s="28"/>
      <c r="DQK5" s="28"/>
      <c r="DQL5" s="28"/>
      <c r="DQM5" s="28"/>
      <c r="DQN5" s="28"/>
      <c r="DQO5" s="28"/>
      <c r="DQP5" s="28"/>
      <c r="DQQ5" s="28"/>
      <c r="DQR5" s="28"/>
      <c r="DQS5" s="28"/>
      <c r="DQT5" s="28"/>
      <c r="DQU5" s="28"/>
      <c r="DQV5" s="28"/>
      <c r="DQW5" s="28"/>
      <c r="DQX5" s="28"/>
      <c r="DQY5" s="28"/>
      <c r="DQZ5" s="28"/>
      <c r="DRA5" s="28"/>
      <c r="DRB5" s="28"/>
      <c r="DRC5" s="28"/>
      <c r="DRD5" s="28"/>
      <c r="DRE5" s="28"/>
      <c r="DRF5" s="28"/>
      <c r="DRG5" s="28"/>
      <c r="DRH5" s="28"/>
      <c r="DRI5" s="28"/>
      <c r="DRJ5" s="28"/>
      <c r="DRK5" s="28"/>
      <c r="DRL5" s="28"/>
      <c r="DRM5" s="28"/>
      <c r="DRN5" s="28"/>
      <c r="DRO5" s="28"/>
      <c r="DRP5" s="28"/>
      <c r="DRQ5" s="28"/>
      <c r="DRR5" s="28"/>
      <c r="DRS5" s="28"/>
      <c r="DRT5" s="28"/>
      <c r="DRU5" s="28"/>
      <c r="DRV5" s="28"/>
      <c r="DRW5" s="28"/>
      <c r="DRX5" s="28"/>
      <c r="DRY5" s="28"/>
      <c r="DRZ5" s="28"/>
      <c r="DSA5" s="28"/>
      <c r="DSB5" s="28"/>
      <c r="DSC5" s="28"/>
      <c r="DSD5" s="28"/>
      <c r="DSE5" s="28"/>
      <c r="DSF5" s="28"/>
      <c r="DSG5" s="28"/>
      <c r="DSH5" s="28"/>
      <c r="DSI5" s="28"/>
      <c r="DSJ5" s="28"/>
      <c r="DSK5" s="28"/>
      <c r="DSL5" s="28"/>
      <c r="DSM5" s="28"/>
      <c r="DSN5" s="28"/>
      <c r="DSO5" s="28"/>
      <c r="DSP5" s="28"/>
      <c r="DSQ5" s="28"/>
      <c r="DSR5" s="28"/>
      <c r="DSS5" s="28"/>
      <c r="DST5" s="28"/>
      <c r="DSU5" s="28"/>
      <c r="DSV5" s="28"/>
      <c r="DSW5" s="28"/>
      <c r="DSX5" s="28"/>
      <c r="DSY5" s="28"/>
      <c r="DSZ5" s="28"/>
      <c r="DTA5" s="28"/>
      <c r="DTB5" s="28"/>
      <c r="DTC5" s="28"/>
      <c r="DTD5" s="28"/>
      <c r="DTE5" s="28"/>
      <c r="DTF5" s="28"/>
      <c r="DTG5" s="28"/>
      <c r="DTH5" s="28"/>
      <c r="DTI5" s="28"/>
      <c r="DTJ5" s="28"/>
      <c r="DTK5" s="28"/>
      <c r="DTL5" s="28"/>
      <c r="DTM5" s="28"/>
      <c r="DTN5" s="28"/>
      <c r="DTO5" s="28"/>
      <c r="DTP5" s="28"/>
      <c r="DTQ5" s="28"/>
      <c r="DTR5" s="28"/>
      <c r="DTS5" s="28"/>
      <c r="DTT5" s="28"/>
      <c r="DTU5" s="28"/>
      <c r="DTV5" s="28"/>
      <c r="DTW5" s="28"/>
      <c r="DTX5" s="28"/>
      <c r="DTY5" s="28"/>
      <c r="DTZ5" s="28"/>
      <c r="DUA5" s="28"/>
      <c r="DUB5" s="28"/>
      <c r="DUC5" s="28"/>
      <c r="DUD5" s="28"/>
      <c r="DUE5" s="28"/>
      <c r="DUF5" s="28"/>
      <c r="DUG5" s="28"/>
      <c r="DUH5" s="28"/>
      <c r="DUI5" s="28"/>
      <c r="DUJ5" s="28"/>
      <c r="DUK5" s="28"/>
      <c r="DUL5" s="28"/>
      <c r="DUM5" s="28"/>
      <c r="DUN5" s="28"/>
      <c r="DUO5" s="28"/>
      <c r="DUP5" s="28"/>
      <c r="DUQ5" s="28"/>
      <c r="DUR5" s="28"/>
      <c r="DUS5" s="28"/>
      <c r="DUT5" s="28"/>
      <c r="DUU5" s="28"/>
      <c r="DUV5" s="28"/>
      <c r="DUW5" s="28"/>
      <c r="DUX5" s="28"/>
      <c r="DUY5" s="28"/>
      <c r="DUZ5" s="28"/>
      <c r="DVA5" s="28"/>
      <c r="DVB5" s="28"/>
      <c r="DVC5" s="28"/>
      <c r="DVD5" s="28"/>
      <c r="DVE5" s="28"/>
      <c r="DVF5" s="28"/>
      <c r="DVG5" s="28"/>
      <c r="DVH5" s="28"/>
      <c r="DVI5" s="28"/>
      <c r="DVJ5" s="28"/>
      <c r="DVK5" s="28"/>
      <c r="DVL5" s="28"/>
      <c r="DVM5" s="28"/>
      <c r="DVN5" s="28"/>
      <c r="DVO5" s="28"/>
      <c r="DVP5" s="28"/>
      <c r="DVQ5" s="28"/>
      <c r="DVR5" s="28"/>
      <c r="DVS5" s="28"/>
      <c r="DVT5" s="28"/>
      <c r="DVU5" s="28"/>
      <c r="DVV5" s="28"/>
      <c r="DVW5" s="28"/>
      <c r="DVX5" s="28"/>
      <c r="DVY5" s="28"/>
      <c r="DVZ5" s="28"/>
      <c r="DWA5" s="28"/>
      <c r="DWB5" s="28"/>
      <c r="DWC5" s="28"/>
      <c r="DWD5" s="28"/>
      <c r="DWE5" s="28"/>
      <c r="DWF5" s="28"/>
      <c r="DWG5" s="28"/>
      <c r="DWH5" s="28"/>
      <c r="DWI5" s="28"/>
      <c r="DWJ5" s="28"/>
      <c r="DWK5" s="28"/>
      <c r="DWL5" s="28"/>
      <c r="DWM5" s="28"/>
      <c r="DWN5" s="28"/>
      <c r="DWO5" s="28"/>
      <c r="DWP5" s="28"/>
      <c r="DWQ5" s="28"/>
      <c r="DWR5" s="28"/>
      <c r="DWS5" s="28"/>
      <c r="DWT5" s="28"/>
      <c r="DWU5" s="28"/>
      <c r="DWV5" s="28"/>
      <c r="DWW5" s="28"/>
      <c r="DWX5" s="28"/>
      <c r="DWY5" s="28"/>
      <c r="DWZ5" s="28"/>
      <c r="DXA5" s="28"/>
      <c r="DXB5" s="28"/>
      <c r="DXC5" s="28"/>
      <c r="DXD5" s="28"/>
      <c r="DXE5" s="28"/>
      <c r="DXF5" s="28"/>
      <c r="DXG5" s="28"/>
      <c r="DXH5" s="28"/>
      <c r="DXI5" s="28"/>
      <c r="DXJ5" s="28"/>
      <c r="DXK5" s="28"/>
      <c r="DXL5" s="28"/>
      <c r="DXM5" s="28"/>
      <c r="DXN5" s="28"/>
      <c r="DXO5" s="28"/>
      <c r="DXP5" s="28"/>
      <c r="DXQ5" s="28"/>
      <c r="DXR5" s="28"/>
      <c r="DXS5" s="28"/>
      <c r="DXT5" s="28"/>
      <c r="DXU5" s="28"/>
      <c r="DXV5" s="28"/>
      <c r="DXW5" s="28"/>
      <c r="DXX5" s="28"/>
      <c r="DXY5" s="28"/>
      <c r="DXZ5" s="28"/>
      <c r="DYA5" s="28"/>
      <c r="DYB5" s="28"/>
      <c r="DYC5" s="28"/>
      <c r="DYD5" s="28"/>
      <c r="DYE5" s="28"/>
      <c r="DYF5" s="28"/>
      <c r="DYG5" s="28"/>
      <c r="DYH5" s="28"/>
      <c r="DYI5" s="28"/>
      <c r="DYJ5" s="28"/>
      <c r="DYK5" s="28"/>
      <c r="DYL5" s="28"/>
      <c r="DYM5" s="28"/>
      <c r="DYN5" s="28"/>
      <c r="DYO5" s="28"/>
      <c r="DYP5" s="28"/>
      <c r="DYQ5" s="28"/>
      <c r="DYR5" s="28"/>
      <c r="DYS5" s="28"/>
      <c r="DYT5" s="28"/>
      <c r="DYU5" s="28"/>
      <c r="DYV5" s="28"/>
      <c r="DYW5" s="28"/>
      <c r="DYX5" s="28"/>
      <c r="DYY5" s="28"/>
      <c r="DYZ5" s="28"/>
      <c r="DZA5" s="28"/>
      <c r="DZB5" s="28"/>
      <c r="DZC5" s="28"/>
      <c r="DZD5" s="28"/>
      <c r="DZE5" s="28"/>
      <c r="DZF5" s="28"/>
      <c r="DZG5" s="28"/>
      <c r="DZH5" s="28"/>
      <c r="DZI5" s="28"/>
      <c r="DZJ5" s="28"/>
      <c r="DZK5" s="28"/>
      <c r="DZL5" s="28"/>
      <c r="DZM5" s="28"/>
      <c r="DZN5" s="28"/>
      <c r="DZO5" s="28"/>
      <c r="DZP5" s="28"/>
      <c r="DZQ5" s="28"/>
      <c r="DZR5" s="28"/>
      <c r="DZS5" s="28"/>
      <c r="DZT5" s="28"/>
      <c r="DZU5" s="28"/>
      <c r="DZV5" s="28"/>
      <c r="DZW5" s="28"/>
      <c r="DZX5" s="28"/>
      <c r="DZY5" s="28"/>
      <c r="DZZ5" s="28"/>
      <c r="EAA5" s="28"/>
      <c r="EAB5" s="28"/>
      <c r="EAC5" s="28"/>
      <c r="EAD5" s="28"/>
      <c r="EAE5" s="28"/>
      <c r="EAF5" s="28"/>
      <c r="EAG5" s="28"/>
      <c r="EAH5" s="28"/>
      <c r="EAI5" s="28"/>
      <c r="EAJ5" s="28"/>
      <c r="EAK5" s="28"/>
      <c r="EAL5" s="28"/>
      <c r="EAM5" s="28"/>
      <c r="EAN5" s="28"/>
      <c r="EAO5" s="28"/>
      <c r="EAP5" s="28"/>
      <c r="EAQ5" s="28"/>
      <c r="EAR5" s="28"/>
      <c r="EAS5" s="28"/>
      <c r="EAT5" s="28"/>
      <c r="EAU5" s="28"/>
      <c r="EAV5" s="28"/>
      <c r="EAW5" s="28"/>
      <c r="EAX5" s="28"/>
      <c r="EAY5" s="28"/>
      <c r="EAZ5" s="28"/>
      <c r="EBA5" s="28"/>
      <c r="EBB5" s="28"/>
      <c r="EBC5" s="28"/>
      <c r="EBD5" s="28"/>
      <c r="EBE5" s="28"/>
      <c r="EBF5" s="28"/>
      <c r="EBG5" s="28"/>
      <c r="EBH5" s="28"/>
      <c r="EBI5" s="28"/>
      <c r="EBJ5" s="28"/>
      <c r="EBK5" s="28"/>
      <c r="EBL5" s="28"/>
      <c r="EBM5" s="28"/>
      <c r="EBN5" s="28"/>
      <c r="EBO5" s="28"/>
      <c r="EBP5" s="28"/>
      <c r="EBQ5" s="28"/>
      <c r="EBR5" s="28"/>
      <c r="EBS5" s="28"/>
      <c r="EBT5" s="28"/>
      <c r="EBU5" s="28"/>
      <c r="EBV5" s="28"/>
      <c r="EBW5" s="28"/>
      <c r="EBX5" s="28"/>
      <c r="EBY5" s="28"/>
      <c r="EBZ5" s="28"/>
      <c r="ECA5" s="28"/>
      <c r="ECB5" s="28"/>
      <c r="ECC5" s="28"/>
      <c r="ECD5" s="28"/>
      <c r="ECE5" s="28"/>
      <c r="ECF5" s="28"/>
      <c r="ECG5" s="28"/>
      <c r="ECH5" s="28"/>
      <c r="ECI5" s="28"/>
      <c r="ECJ5" s="28"/>
      <c r="ECK5" s="28"/>
      <c r="ECL5" s="28"/>
      <c r="ECM5" s="28"/>
      <c r="ECN5" s="28"/>
      <c r="ECO5" s="28"/>
      <c r="ECP5" s="28"/>
      <c r="ECQ5" s="28"/>
      <c r="ECR5" s="28"/>
      <c r="ECS5" s="28"/>
      <c r="ECT5" s="28"/>
      <c r="ECU5" s="28"/>
      <c r="ECV5" s="28"/>
      <c r="ECW5" s="28"/>
      <c r="ECX5" s="28"/>
      <c r="ECY5" s="28"/>
      <c r="ECZ5" s="28"/>
      <c r="EDA5" s="28"/>
      <c r="EDB5" s="28"/>
      <c r="EDC5" s="28"/>
      <c r="EDD5" s="28"/>
      <c r="EDE5" s="28"/>
      <c r="EDF5" s="28"/>
      <c r="EDG5" s="28"/>
      <c r="EDH5" s="28"/>
      <c r="EDI5" s="28"/>
      <c r="EDJ5" s="28"/>
      <c r="EDK5" s="28"/>
      <c r="EDL5" s="28"/>
      <c r="EDM5" s="28"/>
      <c r="EDN5" s="28"/>
      <c r="EDO5" s="28"/>
      <c r="EDP5" s="28"/>
      <c r="EDQ5" s="28"/>
      <c r="EDR5" s="28"/>
      <c r="EDS5" s="28"/>
      <c r="EDT5" s="28"/>
      <c r="EDU5" s="28"/>
      <c r="EDV5" s="28"/>
      <c r="EDW5" s="28"/>
      <c r="EDX5" s="28"/>
      <c r="EDY5" s="28"/>
      <c r="EDZ5" s="28"/>
      <c r="EEA5" s="28"/>
      <c r="EEB5" s="28"/>
      <c r="EEC5" s="28"/>
      <c r="EED5" s="28"/>
      <c r="EEE5" s="28"/>
      <c r="EEF5" s="28"/>
      <c r="EEG5" s="28"/>
      <c r="EEH5" s="28"/>
      <c r="EEI5" s="28"/>
      <c r="EEJ5" s="28"/>
      <c r="EEK5" s="28"/>
      <c r="EEL5" s="28"/>
      <c r="EEM5" s="28"/>
      <c r="EEN5" s="28"/>
      <c r="EEO5" s="28"/>
      <c r="EEP5" s="28"/>
      <c r="EEQ5" s="28"/>
      <c r="EER5" s="28"/>
      <c r="EES5" s="28"/>
      <c r="EET5" s="28"/>
      <c r="EEU5" s="28"/>
      <c r="EEV5" s="28"/>
      <c r="EEW5" s="28"/>
      <c r="EEX5" s="28"/>
      <c r="EEY5" s="28"/>
      <c r="EEZ5" s="28"/>
      <c r="EFA5" s="28"/>
      <c r="EFB5" s="28"/>
      <c r="EFC5" s="28"/>
      <c r="EFD5" s="28"/>
      <c r="EFE5" s="28"/>
      <c r="EFF5" s="28"/>
      <c r="EFG5" s="28"/>
      <c r="EFH5" s="28"/>
      <c r="EFI5" s="28"/>
      <c r="EFJ5" s="28"/>
      <c r="EFK5" s="28"/>
      <c r="EFL5" s="28"/>
      <c r="EFM5" s="28"/>
      <c r="EFN5" s="28"/>
      <c r="EFO5" s="28"/>
      <c r="EFP5" s="28"/>
      <c r="EFQ5" s="28"/>
      <c r="EFR5" s="28"/>
      <c r="EFS5" s="28"/>
      <c r="EFT5" s="28"/>
      <c r="EFU5" s="28"/>
      <c r="EFV5" s="28"/>
      <c r="EFW5" s="28"/>
      <c r="EFX5" s="28"/>
      <c r="EFY5" s="28"/>
      <c r="EFZ5" s="28"/>
      <c r="EGA5" s="28"/>
      <c r="EGB5" s="28"/>
      <c r="EGC5" s="28"/>
      <c r="EGD5" s="28"/>
      <c r="EGE5" s="28"/>
      <c r="EGF5" s="28"/>
      <c r="EGG5" s="28"/>
      <c r="EGH5" s="28"/>
      <c r="EGI5" s="28"/>
      <c r="EGJ5" s="28"/>
      <c r="EGK5" s="28"/>
      <c r="EGL5" s="28"/>
      <c r="EGM5" s="28"/>
      <c r="EGN5" s="28"/>
      <c r="EGO5" s="28"/>
      <c r="EGP5" s="28"/>
      <c r="EGQ5" s="28"/>
      <c r="EGR5" s="28"/>
      <c r="EGS5" s="28"/>
      <c r="EGT5" s="28"/>
      <c r="EGU5" s="28"/>
      <c r="EGV5" s="28"/>
      <c r="EGW5" s="28"/>
      <c r="EGX5" s="28"/>
      <c r="EGY5" s="28"/>
      <c r="EGZ5" s="28"/>
      <c r="EHA5" s="28"/>
      <c r="EHB5" s="28"/>
      <c r="EHC5" s="28"/>
      <c r="EHD5" s="28"/>
      <c r="EHE5" s="28"/>
      <c r="EHF5" s="28"/>
      <c r="EHG5" s="28"/>
      <c r="EHH5" s="28"/>
      <c r="EHI5" s="28"/>
      <c r="EHJ5" s="28"/>
      <c r="EHK5" s="28"/>
      <c r="EHL5" s="28"/>
      <c r="EHM5" s="28"/>
      <c r="EHN5" s="28"/>
      <c r="EHO5" s="28"/>
      <c r="EHP5" s="28"/>
      <c r="EHQ5" s="28"/>
      <c r="EHR5" s="28"/>
      <c r="EHS5" s="28"/>
      <c r="EHT5" s="28"/>
      <c r="EHU5" s="28"/>
      <c r="EHV5" s="28"/>
      <c r="EHW5" s="28"/>
      <c r="EHX5" s="28"/>
      <c r="EHY5" s="28"/>
      <c r="EHZ5" s="28"/>
      <c r="EIA5" s="28"/>
      <c r="EIB5" s="28"/>
      <c r="EIC5" s="28"/>
      <c r="EID5" s="28"/>
      <c r="EIE5" s="28"/>
      <c r="EIF5" s="28"/>
      <c r="EIG5" s="28"/>
      <c r="EIH5" s="28"/>
      <c r="EII5" s="28"/>
      <c r="EIJ5" s="28"/>
      <c r="EIK5" s="28"/>
      <c r="EIL5" s="28"/>
      <c r="EIM5" s="28"/>
      <c r="EIN5" s="28"/>
      <c r="EIO5" s="28"/>
      <c r="EIP5" s="28"/>
      <c r="EIQ5" s="28"/>
      <c r="EIR5" s="28"/>
      <c r="EIS5" s="28"/>
      <c r="EIT5" s="28"/>
      <c r="EIU5" s="28"/>
      <c r="EIV5" s="28"/>
      <c r="EIW5" s="28"/>
      <c r="EIX5" s="28"/>
      <c r="EIY5" s="28"/>
      <c r="EIZ5" s="28"/>
      <c r="EJA5" s="28"/>
      <c r="EJB5" s="28"/>
      <c r="EJC5" s="28"/>
      <c r="EJD5" s="28"/>
      <c r="EJE5" s="28"/>
      <c r="EJF5" s="28"/>
      <c r="EJG5" s="28"/>
      <c r="EJH5" s="28"/>
      <c r="EJI5" s="28"/>
      <c r="EJJ5" s="28"/>
      <c r="EJK5" s="28"/>
      <c r="EJL5" s="28"/>
      <c r="EJM5" s="28"/>
      <c r="EJN5" s="28"/>
      <c r="EJO5" s="28"/>
      <c r="EJP5" s="28"/>
      <c r="EJQ5" s="28"/>
      <c r="EJR5" s="28"/>
      <c r="EJS5" s="28"/>
      <c r="EJT5" s="28"/>
      <c r="EJU5" s="28"/>
      <c r="EJV5" s="28"/>
      <c r="EJW5" s="28"/>
      <c r="EJX5" s="28"/>
      <c r="EJY5" s="28"/>
      <c r="EJZ5" s="28"/>
      <c r="EKA5" s="28"/>
      <c r="EKB5" s="28"/>
      <c r="EKC5" s="28"/>
      <c r="EKD5" s="28"/>
      <c r="EKE5" s="28"/>
      <c r="EKF5" s="28"/>
      <c r="EKG5" s="28"/>
      <c r="EKH5" s="28"/>
      <c r="EKI5" s="28"/>
      <c r="EKJ5" s="28"/>
      <c r="EKK5" s="28"/>
      <c r="EKL5" s="28"/>
      <c r="EKM5" s="28"/>
      <c r="EKN5" s="28"/>
      <c r="EKO5" s="28"/>
      <c r="EKP5" s="28"/>
      <c r="EKQ5" s="28"/>
      <c r="EKR5" s="28"/>
      <c r="EKS5" s="28"/>
      <c r="EKT5" s="28"/>
      <c r="EKU5" s="28"/>
      <c r="EKV5" s="28"/>
      <c r="EKW5" s="28"/>
      <c r="EKX5" s="28"/>
      <c r="EKY5" s="28"/>
      <c r="EKZ5" s="28"/>
      <c r="ELA5" s="28"/>
      <c r="ELB5" s="28"/>
      <c r="ELC5" s="28"/>
      <c r="ELD5" s="28"/>
      <c r="ELE5" s="28"/>
      <c r="ELF5" s="28"/>
      <c r="ELG5" s="28"/>
      <c r="ELH5" s="28"/>
      <c r="ELI5" s="28"/>
      <c r="ELJ5" s="28"/>
      <c r="ELK5" s="28"/>
      <c r="ELL5" s="28"/>
      <c r="ELM5" s="28"/>
      <c r="ELN5" s="28"/>
      <c r="ELO5" s="28"/>
      <c r="ELP5" s="28"/>
      <c r="ELQ5" s="28"/>
      <c r="ELR5" s="28"/>
      <c r="ELS5" s="28"/>
      <c r="ELT5" s="28"/>
      <c r="ELU5" s="28"/>
      <c r="ELV5" s="28"/>
      <c r="ELW5" s="28"/>
      <c r="ELX5" s="28"/>
      <c r="ELY5" s="28"/>
      <c r="ELZ5" s="28"/>
      <c r="EMA5" s="28"/>
      <c r="EMB5" s="28"/>
      <c r="EMC5" s="28"/>
      <c r="EMD5" s="28"/>
      <c r="EME5" s="28"/>
      <c r="EMF5" s="28"/>
      <c r="EMG5" s="28"/>
      <c r="EMH5" s="28"/>
      <c r="EMI5" s="28"/>
      <c r="EMJ5" s="28"/>
      <c r="EMK5" s="28"/>
      <c r="EML5" s="28"/>
      <c r="EMM5" s="28"/>
      <c r="EMN5" s="28"/>
      <c r="EMO5" s="28"/>
      <c r="EMP5" s="28"/>
      <c r="EMQ5" s="28"/>
      <c r="EMR5" s="28"/>
      <c r="EMS5" s="28"/>
      <c r="EMT5" s="28"/>
      <c r="EMU5" s="28"/>
      <c r="EMV5" s="28"/>
      <c r="EMW5" s="28"/>
      <c r="EMX5" s="28"/>
      <c r="EMY5" s="28"/>
      <c r="EMZ5" s="28"/>
      <c r="ENA5" s="28"/>
      <c r="ENB5" s="28"/>
      <c r="ENC5" s="28"/>
      <c r="END5" s="28"/>
      <c r="ENE5" s="28"/>
      <c r="ENF5" s="28"/>
      <c r="ENG5" s="28"/>
      <c r="ENH5" s="28"/>
      <c r="ENI5" s="28"/>
      <c r="ENJ5" s="28"/>
      <c r="ENK5" s="28"/>
      <c r="ENL5" s="28"/>
      <c r="ENM5" s="28"/>
      <c r="ENN5" s="28"/>
      <c r="ENO5" s="28"/>
      <c r="ENP5" s="28"/>
      <c r="ENQ5" s="28"/>
      <c r="ENR5" s="28"/>
      <c r="ENS5" s="28"/>
      <c r="ENT5" s="28"/>
      <c r="ENU5" s="28"/>
      <c r="ENV5" s="28"/>
      <c r="ENW5" s="28"/>
      <c r="ENX5" s="28"/>
      <c r="ENY5" s="28"/>
      <c r="ENZ5" s="28"/>
      <c r="EOA5" s="28"/>
      <c r="EOB5" s="28"/>
      <c r="EOC5" s="28"/>
      <c r="EOD5" s="28"/>
      <c r="EOE5" s="28"/>
      <c r="EOF5" s="28"/>
      <c r="EOG5" s="28"/>
      <c r="EOH5" s="28"/>
      <c r="EOI5" s="28"/>
      <c r="EOJ5" s="28"/>
      <c r="EOK5" s="28"/>
      <c r="EOL5" s="28"/>
      <c r="EOM5" s="28"/>
      <c r="EON5" s="28"/>
      <c r="EOO5" s="28"/>
      <c r="EOP5" s="28"/>
      <c r="EOQ5" s="28"/>
      <c r="EOR5" s="28"/>
      <c r="EOS5" s="28"/>
      <c r="EOT5" s="28"/>
      <c r="EOU5" s="28"/>
      <c r="EOV5" s="28"/>
      <c r="EOW5" s="28"/>
      <c r="EOX5" s="28"/>
      <c r="EOY5" s="28"/>
      <c r="EOZ5" s="28"/>
      <c r="EPA5" s="28"/>
      <c r="EPB5" s="28"/>
      <c r="EPC5" s="28"/>
      <c r="EPD5" s="28"/>
      <c r="EPE5" s="28"/>
      <c r="EPF5" s="28"/>
      <c r="EPG5" s="28"/>
      <c r="EPH5" s="28"/>
      <c r="EPI5" s="28"/>
      <c r="EPJ5" s="28"/>
      <c r="EPK5" s="28"/>
      <c r="EPL5" s="28"/>
      <c r="EPM5" s="28"/>
      <c r="EPN5" s="28"/>
      <c r="EPO5" s="28"/>
      <c r="EPP5" s="28"/>
      <c r="EPQ5" s="28"/>
      <c r="EPR5" s="28"/>
      <c r="EPS5" s="28"/>
      <c r="EPT5" s="28"/>
      <c r="EPU5" s="28"/>
      <c r="EPV5" s="28"/>
      <c r="EPW5" s="28"/>
      <c r="EPX5" s="28"/>
      <c r="EPY5" s="28"/>
      <c r="EPZ5" s="28"/>
      <c r="EQA5" s="28"/>
      <c r="EQB5" s="28"/>
      <c r="EQC5" s="28"/>
      <c r="EQD5" s="28"/>
      <c r="EQE5" s="28"/>
      <c r="EQF5" s="28"/>
      <c r="EQG5" s="28"/>
      <c r="EQH5" s="28"/>
      <c r="EQI5" s="28"/>
      <c r="EQJ5" s="28"/>
      <c r="EQK5" s="28"/>
      <c r="EQL5" s="28"/>
      <c r="EQM5" s="28"/>
      <c r="EQN5" s="28"/>
      <c r="EQO5" s="28"/>
      <c r="EQP5" s="28"/>
      <c r="EQQ5" s="28"/>
      <c r="EQR5" s="28"/>
      <c r="EQS5" s="28"/>
      <c r="EQT5" s="28"/>
      <c r="EQU5" s="28"/>
      <c r="EQV5" s="28"/>
      <c r="EQW5" s="28"/>
      <c r="EQX5" s="28"/>
      <c r="EQY5" s="28"/>
      <c r="EQZ5" s="28"/>
      <c r="ERA5" s="28"/>
      <c r="ERB5" s="28"/>
      <c r="ERC5" s="28"/>
      <c r="ERD5" s="28"/>
      <c r="ERE5" s="28"/>
      <c r="ERF5" s="28"/>
      <c r="ERG5" s="28"/>
      <c r="ERH5" s="28"/>
      <c r="ERI5" s="28"/>
      <c r="ERJ5" s="28"/>
      <c r="ERK5" s="28"/>
      <c r="ERL5" s="28"/>
      <c r="ERM5" s="28"/>
      <c r="ERN5" s="28"/>
      <c r="ERO5" s="28"/>
      <c r="ERP5" s="28"/>
      <c r="ERQ5" s="28"/>
      <c r="ERR5" s="28"/>
      <c r="ERS5" s="28"/>
      <c r="ERT5" s="28"/>
      <c r="ERU5" s="28"/>
      <c r="ERV5" s="28"/>
      <c r="ERW5" s="28"/>
      <c r="ERX5" s="28"/>
      <c r="ERY5" s="28"/>
      <c r="ERZ5" s="28"/>
      <c r="ESA5" s="28"/>
      <c r="ESB5" s="28"/>
      <c r="ESC5" s="28"/>
      <c r="ESD5" s="28"/>
      <c r="ESE5" s="28"/>
      <c r="ESF5" s="28"/>
      <c r="ESG5" s="28"/>
      <c r="ESH5" s="28"/>
      <c r="ESI5" s="28"/>
      <c r="ESJ5" s="28"/>
      <c r="ESK5" s="28"/>
      <c r="ESL5" s="28"/>
      <c r="ESM5" s="28"/>
      <c r="ESN5" s="28"/>
      <c r="ESO5" s="28"/>
      <c r="ESP5" s="28"/>
      <c r="ESQ5" s="28"/>
      <c r="ESR5" s="28"/>
      <c r="ESS5" s="28"/>
      <c r="EST5" s="28"/>
      <c r="ESU5" s="28"/>
      <c r="ESV5" s="28"/>
      <c r="ESW5" s="28"/>
      <c r="ESX5" s="28"/>
      <c r="ESY5" s="28"/>
      <c r="ESZ5" s="28"/>
      <c r="ETA5" s="28"/>
      <c r="ETB5" s="28"/>
      <c r="ETC5" s="28"/>
      <c r="ETD5" s="28"/>
      <c r="ETE5" s="28"/>
      <c r="ETF5" s="28"/>
      <c r="ETG5" s="28"/>
      <c r="ETH5" s="28"/>
      <c r="ETI5" s="28"/>
      <c r="ETJ5" s="28"/>
      <c r="ETK5" s="28"/>
      <c r="ETL5" s="28"/>
      <c r="ETM5" s="28"/>
      <c r="ETN5" s="28"/>
      <c r="ETO5" s="28"/>
      <c r="ETP5" s="28"/>
      <c r="ETQ5" s="28"/>
      <c r="ETR5" s="28"/>
      <c r="ETS5" s="28"/>
      <c r="ETT5" s="28"/>
      <c r="ETU5" s="28"/>
      <c r="ETV5" s="28"/>
      <c r="ETW5" s="28"/>
      <c r="ETX5" s="28"/>
      <c r="ETY5" s="28"/>
      <c r="ETZ5" s="28"/>
      <c r="EUA5" s="28"/>
      <c r="EUB5" s="28"/>
      <c r="EUC5" s="28"/>
      <c r="EUD5" s="28"/>
      <c r="EUE5" s="28"/>
      <c r="EUF5" s="28"/>
      <c r="EUG5" s="28"/>
      <c r="EUH5" s="28"/>
      <c r="EUI5" s="28"/>
      <c r="EUJ5" s="28"/>
      <c r="EUK5" s="28"/>
      <c r="EUL5" s="28"/>
      <c r="EUM5" s="28"/>
      <c r="EUN5" s="28"/>
      <c r="EUO5" s="28"/>
      <c r="EUP5" s="28"/>
      <c r="EUQ5" s="28"/>
      <c r="EUR5" s="28"/>
      <c r="EUS5" s="28"/>
      <c r="EUT5" s="28"/>
      <c r="EUU5" s="28"/>
      <c r="EUV5" s="28"/>
      <c r="EUW5" s="28"/>
      <c r="EUX5" s="28"/>
      <c r="EUY5" s="28"/>
      <c r="EUZ5" s="28"/>
      <c r="EVA5" s="28"/>
      <c r="EVB5" s="28"/>
      <c r="EVC5" s="28"/>
      <c r="EVD5" s="28"/>
      <c r="EVE5" s="28"/>
      <c r="EVF5" s="28"/>
      <c r="EVG5" s="28"/>
      <c r="EVH5" s="28"/>
      <c r="EVI5" s="28"/>
      <c r="EVJ5" s="28"/>
      <c r="EVK5" s="28"/>
      <c r="EVL5" s="28"/>
      <c r="EVM5" s="28"/>
      <c r="EVN5" s="28"/>
      <c r="EVO5" s="28"/>
      <c r="EVP5" s="28"/>
      <c r="EVQ5" s="28"/>
      <c r="EVR5" s="28"/>
      <c r="EVS5" s="28"/>
      <c r="EVT5" s="28"/>
      <c r="EVU5" s="28"/>
      <c r="EVV5" s="28"/>
      <c r="EVW5" s="28"/>
      <c r="EVX5" s="28"/>
      <c r="EVY5" s="28"/>
      <c r="EVZ5" s="28"/>
      <c r="EWA5" s="28"/>
      <c r="EWB5" s="28"/>
      <c r="EWC5" s="28"/>
      <c r="EWD5" s="28"/>
      <c r="EWE5" s="28"/>
      <c r="EWF5" s="28"/>
      <c r="EWG5" s="28"/>
      <c r="EWH5" s="28"/>
      <c r="EWI5" s="28"/>
      <c r="EWJ5" s="28"/>
      <c r="EWK5" s="28"/>
      <c r="EWL5" s="28"/>
      <c r="EWM5" s="28"/>
      <c r="EWN5" s="28"/>
      <c r="EWO5" s="28"/>
      <c r="EWP5" s="28"/>
      <c r="EWQ5" s="28"/>
      <c r="EWR5" s="28"/>
      <c r="EWS5" s="28"/>
      <c r="EWT5" s="28"/>
      <c r="EWU5" s="28"/>
      <c r="EWV5" s="28"/>
      <c r="EWW5" s="28"/>
      <c r="EWX5" s="28"/>
      <c r="EWY5" s="28"/>
      <c r="EWZ5" s="28"/>
      <c r="EXA5" s="28"/>
      <c r="EXB5" s="28"/>
      <c r="EXC5" s="28"/>
      <c r="EXD5" s="28"/>
      <c r="EXE5" s="28"/>
      <c r="EXF5" s="28"/>
      <c r="EXG5" s="28"/>
      <c r="EXH5" s="28"/>
      <c r="EXI5" s="28"/>
      <c r="EXJ5" s="28"/>
      <c r="EXK5" s="28"/>
      <c r="EXL5" s="28"/>
      <c r="EXM5" s="28"/>
      <c r="EXN5" s="28"/>
      <c r="EXO5" s="28"/>
      <c r="EXP5" s="28"/>
      <c r="EXQ5" s="28"/>
      <c r="EXR5" s="28"/>
      <c r="EXS5" s="28"/>
      <c r="EXT5" s="28"/>
      <c r="EXU5" s="28"/>
      <c r="EXV5" s="28"/>
      <c r="EXW5" s="28"/>
      <c r="EXX5" s="28"/>
      <c r="EXY5" s="28"/>
      <c r="EXZ5" s="28"/>
      <c r="EYA5" s="28"/>
      <c r="EYB5" s="28"/>
      <c r="EYC5" s="28"/>
      <c r="EYD5" s="28"/>
      <c r="EYE5" s="28"/>
      <c r="EYF5" s="28"/>
      <c r="EYG5" s="28"/>
      <c r="EYH5" s="28"/>
      <c r="EYI5" s="28"/>
      <c r="EYJ5" s="28"/>
      <c r="EYK5" s="28"/>
      <c r="EYL5" s="28"/>
      <c r="EYM5" s="28"/>
      <c r="EYN5" s="28"/>
      <c r="EYO5" s="28"/>
      <c r="EYP5" s="28"/>
      <c r="EYQ5" s="28"/>
      <c r="EYR5" s="28"/>
      <c r="EYS5" s="28"/>
      <c r="EYT5" s="28"/>
      <c r="EYU5" s="28"/>
      <c r="EYV5" s="28"/>
      <c r="EYW5" s="28"/>
      <c r="EYX5" s="28"/>
      <c r="EYY5" s="28"/>
      <c r="EYZ5" s="28"/>
      <c r="EZA5" s="28"/>
      <c r="EZB5" s="28"/>
      <c r="EZC5" s="28"/>
      <c r="EZD5" s="28"/>
      <c r="EZE5" s="28"/>
      <c r="EZF5" s="28"/>
      <c r="EZG5" s="28"/>
      <c r="EZH5" s="28"/>
      <c r="EZI5" s="28"/>
      <c r="EZJ5" s="28"/>
      <c r="EZK5" s="28"/>
      <c r="EZL5" s="28"/>
      <c r="EZM5" s="28"/>
      <c r="EZN5" s="28"/>
      <c r="EZO5" s="28"/>
      <c r="EZP5" s="28"/>
      <c r="EZQ5" s="28"/>
      <c r="EZR5" s="28"/>
      <c r="EZS5" s="28"/>
      <c r="EZT5" s="28"/>
      <c r="EZU5" s="28"/>
      <c r="EZV5" s="28"/>
      <c r="EZW5" s="28"/>
      <c r="EZX5" s="28"/>
      <c r="EZY5" s="28"/>
      <c r="EZZ5" s="28"/>
      <c r="FAA5" s="28"/>
      <c r="FAB5" s="28"/>
      <c r="FAC5" s="28"/>
      <c r="FAD5" s="28"/>
      <c r="FAE5" s="28"/>
      <c r="FAF5" s="28"/>
      <c r="FAG5" s="28"/>
      <c r="FAH5" s="28"/>
      <c r="FAI5" s="28"/>
      <c r="FAJ5" s="28"/>
      <c r="FAK5" s="28"/>
      <c r="FAL5" s="28"/>
      <c r="FAM5" s="28"/>
      <c r="FAN5" s="28"/>
      <c r="FAO5" s="28"/>
      <c r="FAP5" s="28"/>
      <c r="FAQ5" s="28"/>
      <c r="FAR5" s="28"/>
      <c r="FAS5" s="28"/>
      <c r="FAT5" s="28"/>
      <c r="FAU5" s="28"/>
      <c r="FAV5" s="28"/>
      <c r="FAW5" s="28"/>
      <c r="FAX5" s="28"/>
      <c r="FAY5" s="28"/>
      <c r="FAZ5" s="28"/>
      <c r="FBA5" s="28"/>
      <c r="FBB5" s="28"/>
      <c r="FBC5" s="28"/>
      <c r="FBD5" s="28"/>
      <c r="FBE5" s="28"/>
      <c r="FBF5" s="28"/>
      <c r="FBG5" s="28"/>
      <c r="FBH5" s="28"/>
      <c r="FBI5" s="28"/>
      <c r="FBJ5" s="28"/>
      <c r="FBK5" s="28"/>
      <c r="FBL5" s="28"/>
      <c r="FBM5" s="28"/>
      <c r="FBN5" s="28"/>
      <c r="FBO5" s="28"/>
      <c r="FBP5" s="28"/>
      <c r="FBQ5" s="28"/>
      <c r="FBR5" s="28"/>
      <c r="FBS5" s="28"/>
      <c r="FBT5" s="28"/>
      <c r="FBU5" s="28"/>
      <c r="FBV5" s="28"/>
      <c r="FBW5" s="28"/>
      <c r="FBX5" s="28"/>
      <c r="FBY5" s="28"/>
      <c r="FBZ5" s="28"/>
      <c r="FCA5" s="28"/>
      <c r="FCB5" s="28"/>
      <c r="FCC5" s="28"/>
      <c r="FCD5" s="28"/>
      <c r="FCE5" s="28"/>
      <c r="FCF5" s="28"/>
      <c r="FCG5" s="28"/>
      <c r="FCH5" s="28"/>
      <c r="FCI5" s="28"/>
      <c r="FCJ5" s="28"/>
      <c r="FCK5" s="28"/>
      <c r="FCL5" s="28"/>
      <c r="FCM5" s="28"/>
      <c r="FCN5" s="28"/>
      <c r="FCO5" s="28"/>
      <c r="FCP5" s="28"/>
      <c r="FCQ5" s="28"/>
      <c r="FCR5" s="28"/>
      <c r="FCS5" s="28"/>
      <c r="FCT5" s="28"/>
      <c r="FCU5" s="28"/>
      <c r="FCV5" s="28"/>
      <c r="FCW5" s="28"/>
      <c r="FCX5" s="28"/>
      <c r="FCY5" s="28"/>
      <c r="FCZ5" s="28"/>
      <c r="FDA5" s="28"/>
      <c r="FDB5" s="28"/>
      <c r="FDC5" s="28"/>
      <c r="FDD5" s="28"/>
      <c r="FDE5" s="28"/>
      <c r="FDF5" s="28"/>
      <c r="FDG5" s="28"/>
      <c r="FDH5" s="28"/>
      <c r="FDI5" s="28"/>
      <c r="FDJ5" s="28"/>
      <c r="FDK5" s="28"/>
      <c r="FDL5" s="28"/>
      <c r="FDM5" s="28"/>
      <c r="FDN5" s="28"/>
      <c r="FDO5" s="28"/>
      <c r="FDP5" s="28"/>
      <c r="FDQ5" s="28"/>
      <c r="FDR5" s="28"/>
      <c r="FDS5" s="28"/>
      <c r="FDT5" s="28"/>
      <c r="FDU5" s="28"/>
      <c r="FDV5" s="28"/>
      <c r="FDW5" s="28"/>
      <c r="FDX5" s="28"/>
      <c r="FDY5" s="28"/>
      <c r="FDZ5" s="28"/>
      <c r="FEA5" s="28"/>
      <c r="FEB5" s="28"/>
      <c r="FEC5" s="28"/>
      <c r="FED5" s="28"/>
      <c r="FEE5" s="28"/>
      <c r="FEF5" s="28"/>
      <c r="FEG5" s="28"/>
      <c r="FEH5" s="28"/>
      <c r="FEI5" s="28"/>
      <c r="FEJ5" s="28"/>
      <c r="FEK5" s="28"/>
      <c r="FEL5" s="28"/>
      <c r="FEM5" s="28"/>
      <c r="FEN5" s="28"/>
      <c r="FEO5" s="28"/>
      <c r="FEP5" s="28"/>
      <c r="FEQ5" s="28"/>
      <c r="FER5" s="28"/>
      <c r="FES5" s="28"/>
      <c r="FET5" s="28"/>
      <c r="FEU5" s="28"/>
      <c r="FEV5" s="28"/>
      <c r="FEW5" s="28"/>
      <c r="FEX5" s="28"/>
      <c r="FEY5" s="28"/>
      <c r="FEZ5" s="28"/>
      <c r="FFA5" s="28"/>
      <c r="FFB5" s="28"/>
      <c r="FFC5" s="28"/>
      <c r="FFD5" s="28"/>
      <c r="FFE5" s="28"/>
      <c r="FFF5" s="28"/>
      <c r="FFG5" s="28"/>
      <c r="FFH5" s="28"/>
      <c r="FFI5" s="28"/>
      <c r="FFJ5" s="28"/>
      <c r="FFK5" s="28"/>
      <c r="FFL5" s="28"/>
      <c r="FFM5" s="28"/>
      <c r="FFN5" s="28"/>
      <c r="FFO5" s="28"/>
      <c r="FFP5" s="28"/>
      <c r="FFQ5" s="28"/>
      <c r="FFR5" s="28"/>
      <c r="FFS5" s="28"/>
      <c r="FFT5" s="28"/>
      <c r="FFU5" s="28"/>
      <c r="FFV5" s="28"/>
      <c r="FFW5" s="28"/>
      <c r="FFX5" s="28"/>
      <c r="FFY5" s="28"/>
      <c r="FFZ5" s="28"/>
      <c r="FGA5" s="28"/>
      <c r="FGB5" s="28"/>
      <c r="FGC5" s="28"/>
      <c r="FGD5" s="28"/>
      <c r="FGE5" s="28"/>
      <c r="FGF5" s="28"/>
      <c r="FGG5" s="28"/>
      <c r="FGH5" s="28"/>
      <c r="FGI5" s="28"/>
      <c r="FGJ5" s="28"/>
      <c r="FGK5" s="28"/>
      <c r="FGL5" s="28"/>
      <c r="FGM5" s="28"/>
      <c r="FGN5" s="28"/>
      <c r="FGO5" s="28"/>
      <c r="FGP5" s="28"/>
      <c r="FGQ5" s="28"/>
      <c r="FGR5" s="28"/>
      <c r="FGS5" s="28"/>
      <c r="FGT5" s="28"/>
      <c r="FGU5" s="28"/>
      <c r="FGV5" s="28"/>
      <c r="FGW5" s="28"/>
      <c r="FGX5" s="28"/>
      <c r="FGY5" s="28"/>
      <c r="FGZ5" s="28"/>
      <c r="FHA5" s="28"/>
      <c r="FHB5" s="28"/>
      <c r="FHC5" s="28"/>
      <c r="FHD5" s="28"/>
      <c r="FHE5" s="28"/>
      <c r="FHF5" s="28"/>
      <c r="FHG5" s="28"/>
      <c r="FHH5" s="28"/>
      <c r="FHI5" s="28"/>
      <c r="FHJ5" s="28"/>
      <c r="FHK5" s="28"/>
      <c r="FHL5" s="28"/>
      <c r="FHM5" s="28"/>
      <c r="FHN5" s="28"/>
      <c r="FHO5" s="28"/>
      <c r="FHP5" s="28"/>
      <c r="FHQ5" s="28"/>
      <c r="FHR5" s="28"/>
      <c r="FHS5" s="28"/>
      <c r="FHT5" s="28"/>
      <c r="FHU5" s="28"/>
      <c r="FHV5" s="28"/>
      <c r="FHW5" s="28"/>
      <c r="FHX5" s="28"/>
      <c r="FHY5" s="28"/>
      <c r="FHZ5" s="28"/>
      <c r="FIA5" s="28"/>
      <c r="FIB5" s="28"/>
      <c r="FIC5" s="28"/>
      <c r="FID5" s="28"/>
      <c r="FIE5" s="28"/>
      <c r="FIF5" s="28"/>
      <c r="FIG5" s="28"/>
      <c r="FIH5" s="28"/>
      <c r="FII5" s="28"/>
      <c r="FIJ5" s="28"/>
      <c r="FIK5" s="28"/>
      <c r="FIL5" s="28"/>
      <c r="FIM5" s="28"/>
      <c r="FIN5" s="28"/>
      <c r="FIO5" s="28"/>
      <c r="FIP5" s="28"/>
      <c r="FIQ5" s="28"/>
      <c r="FIR5" s="28"/>
      <c r="FIS5" s="28"/>
      <c r="FIT5" s="28"/>
      <c r="FIU5" s="28"/>
      <c r="FIV5" s="28"/>
      <c r="FIW5" s="28"/>
      <c r="FIX5" s="28"/>
      <c r="FIY5" s="28"/>
      <c r="FIZ5" s="28"/>
      <c r="FJA5" s="28"/>
      <c r="FJB5" s="28"/>
      <c r="FJC5" s="28"/>
      <c r="FJD5" s="28"/>
      <c r="FJE5" s="28"/>
      <c r="FJF5" s="28"/>
      <c r="FJG5" s="28"/>
      <c r="FJH5" s="28"/>
      <c r="FJI5" s="28"/>
      <c r="FJJ5" s="28"/>
      <c r="FJK5" s="28"/>
      <c r="FJL5" s="28"/>
      <c r="FJM5" s="28"/>
      <c r="FJN5" s="28"/>
      <c r="FJO5" s="28"/>
      <c r="FJP5" s="28"/>
      <c r="FJQ5" s="28"/>
      <c r="FJR5" s="28"/>
      <c r="FJS5" s="28"/>
      <c r="FJT5" s="28"/>
      <c r="FJU5" s="28"/>
      <c r="FJV5" s="28"/>
      <c r="FJW5" s="28"/>
      <c r="FJX5" s="28"/>
      <c r="FJY5" s="28"/>
      <c r="FJZ5" s="28"/>
      <c r="FKA5" s="28"/>
      <c r="FKB5" s="28"/>
      <c r="FKC5" s="28"/>
      <c r="FKD5" s="28"/>
      <c r="FKE5" s="28"/>
      <c r="FKF5" s="28"/>
      <c r="FKG5" s="28"/>
      <c r="FKH5" s="28"/>
      <c r="FKI5" s="28"/>
      <c r="FKJ5" s="28"/>
      <c r="FKK5" s="28"/>
      <c r="FKL5" s="28"/>
      <c r="FKM5" s="28"/>
      <c r="FKN5" s="28"/>
      <c r="FKO5" s="28"/>
      <c r="FKP5" s="28"/>
      <c r="FKQ5" s="28"/>
      <c r="FKR5" s="28"/>
      <c r="FKS5" s="28"/>
      <c r="FKT5" s="28"/>
      <c r="FKU5" s="28"/>
      <c r="FKV5" s="28"/>
      <c r="FKW5" s="28"/>
      <c r="FKX5" s="28"/>
      <c r="FKY5" s="28"/>
      <c r="FKZ5" s="28"/>
      <c r="FLA5" s="28"/>
      <c r="FLB5" s="28"/>
      <c r="FLC5" s="28"/>
      <c r="FLD5" s="28"/>
      <c r="FLE5" s="28"/>
      <c r="FLF5" s="28"/>
      <c r="FLG5" s="28"/>
      <c r="FLH5" s="28"/>
      <c r="FLI5" s="28"/>
      <c r="FLJ5" s="28"/>
      <c r="FLK5" s="28"/>
      <c r="FLL5" s="28"/>
      <c r="FLM5" s="28"/>
      <c r="FLN5" s="28"/>
      <c r="FLO5" s="28"/>
      <c r="FLP5" s="28"/>
      <c r="FLQ5" s="28"/>
      <c r="FLR5" s="28"/>
      <c r="FLS5" s="28"/>
      <c r="FLT5" s="28"/>
      <c r="FLU5" s="28"/>
      <c r="FLV5" s="28"/>
      <c r="FLW5" s="28"/>
      <c r="FLX5" s="28"/>
      <c r="FLY5" s="28"/>
      <c r="FLZ5" s="28"/>
      <c r="FMA5" s="28"/>
      <c r="FMB5" s="28"/>
      <c r="FMC5" s="28"/>
      <c r="FMD5" s="28"/>
      <c r="FME5" s="28"/>
      <c r="FMF5" s="28"/>
      <c r="FMG5" s="28"/>
      <c r="FMH5" s="28"/>
      <c r="FMI5" s="28"/>
      <c r="FMJ5" s="28"/>
      <c r="FMK5" s="28"/>
      <c r="FML5" s="28"/>
      <c r="FMM5" s="28"/>
      <c r="FMN5" s="28"/>
      <c r="FMO5" s="28"/>
      <c r="FMP5" s="28"/>
      <c r="FMQ5" s="28"/>
      <c r="FMR5" s="28"/>
      <c r="FMS5" s="28"/>
      <c r="FMT5" s="28"/>
      <c r="FMU5" s="28"/>
      <c r="FMV5" s="28"/>
      <c r="FMW5" s="28"/>
      <c r="FMX5" s="28"/>
      <c r="FMY5" s="28"/>
      <c r="FMZ5" s="28"/>
      <c r="FNA5" s="28"/>
      <c r="FNB5" s="28"/>
      <c r="FNC5" s="28"/>
      <c r="FND5" s="28"/>
      <c r="FNE5" s="28"/>
      <c r="FNF5" s="28"/>
      <c r="FNG5" s="28"/>
      <c r="FNH5" s="28"/>
      <c r="FNI5" s="28"/>
      <c r="FNJ5" s="28"/>
      <c r="FNK5" s="28"/>
      <c r="FNL5" s="28"/>
      <c r="FNM5" s="28"/>
      <c r="FNN5" s="28"/>
      <c r="FNO5" s="28"/>
      <c r="FNP5" s="28"/>
      <c r="FNQ5" s="28"/>
      <c r="FNR5" s="28"/>
      <c r="FNS5" s="28"/>
      <c r="FNT5" s="28"/>
      <c r="FNU5" s="28"/>
      <c r="FNV5" s="28"/>
      <c r="FNW5" s="28"/>
      <c r="FNX5" s="28"/>
      <c r="FNY5" s="28"/>
      <c r="FNZ5" s="28"/>
      <c r="FOA5" s="28"/>
      <c r="FOB5" s="28"/>
      <c r="FOC5" s="28"/>
      <c r="FOD5" s="28"/>
      <c r="FOE5" s="28"/>
      <c r="FOF5" s="28"/>
      <c r="FOG5" s="28"/>
      <c r="FOH5" s="28"/>
      <c r="FOI5" s="28"/>
      <c r="FOJ5" s="28"/>
      <c r="FOK5" s="28"/>
      <c r="FOL5" s="28"/>
      <c r="FOM5" s="28"/>
      <c r="FON5" s="28"/>
      <c r="FOO5" s="28"/>
      <c r="FOP5" s="28"/>
      <c r="FOQ5" s="28"/>
      <c r="FOR5" s="28"/>
      <c r="FOS5" s="28"/>
      <c r="FOT5" s="28"/>
      <c r="FOU5" s="28"/>
      <c r="FOV5" s="28"/>
      <c r="FOW5" s="28"/>
      <c r="FOX5" s="28"/>
      <c r="FOY5" s="28"/>
      <c r="FOZ5" s="28"/>
      <c r="FPA5" s="28"/>
      <c r="FPB5" s="28"/>
      <c r="FPC5" s="28"/>
      <c r="FPD5" s="28"/>
      <c r="FPE5" s="28"/>
      <c r="FPF5" s="28"/>
      <c r="FPG5" s="28"/>
      <c r="FPH5" s="28"/>
      <c r="FPI5" s="28"/>
      <c r="FPJ5" s="28"/>
      <c r="FPK5" s="28"/>
      <c r="FPL5" s="28"/>
      <c r="FPM5" s="28"/>
      <c r="FPN5" s="28"/>
      <c r="FPO5" s="28"/>
      <c r="FPP5" s="28"/>
      <c r="FPQ5" s="28"/>
      <c r="FPR5" s="28"/>
      <c r="FPS5" s="28"/>
      <c r="FPT5" s="28"/>
      <c r="FPU5" s="28"/>
      <c r="FPV5" s="28"/>
      <c r="FPW5" s="28"/>
      <c r="FPX5" s="28"/>
      <c r="FPY5" s="28"/>
      <c r="FPZ5" s="28"/>
      <c r="FQA5" s="28"/>
      <c r="FQB5" s="28"/>
      <c r="FQC5" s="28"/>
      <c r="FQD5" s="28"/>
      <c r="FQE5" s="28"/>
      <c r="FQF5" s="28"/>
      <c r="FQG5" s="28"/>
      <c r="FQH5" s="28"/>
      <c r="FQI5" s="28"/>
      <c r="FQJ5" s="28"/>
      <c r="FQK5" s="28"/>
      <c r="FQL5" s="28"/>
      <c r="FQM5" s="28"/>
      <c r="FQN5" s="28"/>
      <c r="FQO5" s="28"/>
      <c r="FQP5" s="28"/>
      <c r="FQQ5" s="28"/>
      <c r="FQR5" s="28"/>
      <c r="FQS5" s="28"/>
      <c r="FQT5" s="28"/>
      <c r="FQU5" s="28"/>
      <c r="FQV5" s="28"/>
      <c r="FQW5" s="28"/>
      <c r="FQX5" s="28"/>
      <c r="FQY5" s="28"/>
      <c r="FQZ5" s="28"/>
      <c r="FRA5" s="28"/>
      <c r="FRB5" s="28"/>
      <c r="FRC5" s="28"/>
      <c r="FRD5" s="28"/>
      <c r="FRE5" s="28"/>
      <c r="FRF5" s="28"/>
      <c r="FRG5" s="28"/>
      <c r="FRH5" s="28"/>
      <c r="FRI5" s="28"/>
      <c r="FRJ5" s="28"/>
      <c r="FRK5" s="28"/>
      <c r="FRL5" s="28"/>
      <c r="FRM5" s="28"/>
      <c r="FRN5" s="28"/>
      <c r="FRO5" s="28"/>
      <c r="FRP5" s="28"/>
      <c r="FRQ5" s="28"/>
      <c r="FRR5" s="28"/>
      <c r="FRS5" s="28"/>
      <c r="FRT5" s="28"/>
      <c r="FRU5" s="28"/>
      <c r="FRV5" s="28"/>
      <c r="FRW5" s="28"/>
      <c r="FRX5" s="28"/>
      <c r="FRY5" s="28"/>
      <c r="FRZ5" s="28"/>
      <c r="FSA5" s="28"/>
      <c r="FSB5" s="28"/>
      <c r="FSC5" s="28"/>
      <c r="FSD5" s="28"/>
      <c r="FSE5" s="28"/>
      <c r="FSF5" s="28"/>
      <c r="FSG5" s="28"/>
      <c r="FSH5" s="28"/>
      <c r="FSI5" s="28"/>
      <c r="FSJ5" s="28"/>
      <c r="FSK5" s="28"/>
      <c r="FSL5" s="28"/>
      <c r="FSM5" s="28"/>
      <c r="FSN5" s="28"/>
      <c r="FSO5" s="28"/>
      <c r="FSP5" s="28"/>
      <c r="FSQ5" s="28"/>
      <c r="FSR5" s="28"/>
      <c r="FSS5" s="28"/>
      <c r="FST5" s="28"/>
      <c r="FSU5" s="28"/>
      <c r="FSV5" s="28"/>
      <c r="FSW5" s="28"/>
      <c r="FSX5" s="28"/>
      <c r="FSY5" s="28"/>
      <c r="FSZ5" s="28"/>
      <c r="FTA5" s="28"/>
      <c r="FTB5" s="28"/>
      <c r="FTC5" s="28"/>
      <c r="FTD5" s="28"/>
      <c r="FTE5" s="28"/>
      <c r="FTF5" s="28"/>
      <c r="FTG5" s="28"/>
      <c r="FTH5" s="28"/>
      <c r="FTI5" s="28"/>
      <c r="FTJ5" s="28"/>
      <c r="FTK5" s="28"/>
      <c r="FTL5" s="28"/>
      <c r="FTM5" s="28"/>
      <c r="FTN5" s="28"/>
      <c r="FTO5" s="28"/>
      <c r="FTP5" s="28"/>
      <c r="FTQ5" s="28"/>
      <c r="FTR5" s="28"/>
      <c r="FTS5" s="28"/>
      <c r="FTT5" s="28"/>
      <c r="FTU5" s="28"/>
      <c r="FTV5" s="28"/>
      <c r="FTW5" s="28"/>
      <c r="FTX5" s="28"/>
      <c r="FTY5" s="28"/>
      <c r="FTZ5" s="28"/>
      <c r="FUA5" s="28"/>
      <c r="FUB5" s="28"/>
      <c r="FUC5" s="28"/>
      <c r="FUD5" s="28"/>
      <c r="FUE5" s="28"/>
      <c r="FUF5" s="28"/>
      <c r="FUG5" s="28"/>
      <c r="FUH5" s="28"/>
      <c r="FUI5" s="28"/>
      <c r="FUJ5" s="28"/>
      <c r="FUK5" s="28"/>
      <c r="FUL5" s="28"/>
      <c r="FUM5" s="28"/>
      <c r="FUN5" s="28"/>
      <c r="FUO5" s="28"/>
      <c r="FUP5" s="28"/>
      <c r="FUQ5" s="28"/>
      <c r="FUR5" s="28"/>
      <c r="FUS5" s="28"/>
      <c r="FUT5" s="28"/>
      <c r="FUU5" s="28"/>
      <c r="FUV5" s="28"/>
      <c r="FUW5" s="28"/>
      <c r="FUX5" s="28"/>
      <c r="FUY5" s="28"/>
      <c r="FUZ5" s="28"/>
      <c r="FVA5" s="28"/>
      <c r="FVB5" s="28"/>
      <c r="FVC5" s="28"/>
      <c r="FVD5" s="28"/>
      <c r="FVE5" s="28"/>
      <c r="FVF5" s="28"/>
      <c r="FVG5" s="28"/>
      <c r="FVH5" s="28"/>
      <c r="FVI5" s="28"/>
      <c r="FVJ5" s="28"/>
      <c r="FVK5" s="28"/>
      <c r="FVL5" s="28"/>
      <c r="FVM5" s="28"/>
      <c r="FVN5" s="28"/>
      <c r="FVO5" s="28"/>
      <c r="FVP5" s="28"/>
      <c r="FVQ5" s="28"/>
      <c r="FVR5" s="28"/>
      <c r="FVS5" s="28"/>
      <c r="FVT5" s="28"/>
      <c r="FVU5" s="28"/>
      <c r="FVV5" s="28"/>
      <c r="FVW5" s="28"/>
      <c r="FVX5" s="28"/>
      <c r="FVY5" s="28"/>
      <c r="FVZ5" s="28"/>
      <c r="FWA5" s="28"/>
      <c r="FWB5" s="28"/>
      <c r="FWC5" s="28"/>
      <c r="FWD5" s="28"/>
      <c r="FWE5" s="28"/>
      <c r="FWF5" s="28"/>
      <c r="FWG5" s="28"/>
      <c r="FWH5" s="28"/>
      <c r="FWI5" s="28"/>
      <c r="FWJ5" s="28"/>
      <c r="FWK5" s="28"/>
      <c r="FWL5" s="28"/>
      <c r="FWM5" s="28"/>
      <c r="FWN5" s="28"/>
      <c r="FWO5" s="28"/>
      <c r="FWP5" s="28"/>
      <c r="FWQ5" s="28"/>
      <c r="FWR5" s="28"/>
      <c r="FWS5" s="28"/>
      <c r="FWT5" s="28"/>
      <c r="FWU5" s="28"/>
      <c r="FWV5" s="28"/>
      <c r="FWW5" s="28"/>
      <c r="FWX5" s="28"/>
      <c r="FWY5" s="28"/>
      <c r="FWZ5" s="28"/>
      <c r="FXA5" s="28"/>
      <c r="FXB5" s="28"/>
      <c r="FXC5" s="28"/>
      <c r="FXD5" s="28"/>
      <c r="FXE5" s="28"/>
      <c r="FXF5" s="28"/>
      <c r="FXG5" s="28"/>
      <c r="FXH5" s="28"/>
      <c r="FXI5" s="28"/>
      <c r="FXJ5" s="28"/>
      <c r="FXK5" s="28"/>
      <c r="FXL5" s="28"/>
      <c r="FXM5" s="28"/>
      <c r="FXN5" s="28"/>
      <c r="FXO5" s="28"/>
      <c r="FXP5" s="28"/>
      <c r="FXQ5" s="28"/>
      <c r="FXR5" s="28"/>
      <c r="FXS5" s="28"/>
      <c r="FXT5" s="28"/>
      <c r="FXU5" s="28"/>
      <c r="FXV5" s="28"/>
      <c r="FXW5" s="28"/>
      <c r="FXX5" s="28"/>
      <c r="FXY5" s="28"/>
      <c r="FXZ5" s="28"/>
      <c r="FYA5" s="28"/>
      <c r="FYB5" s="28"/>
      <c r="FYC5" s="28"/>
      <c r="FYD5" s="28"/>
      <c r="FYE5" s="28"/>
      <c r="FYF5" s="28"/>
      <c r="FYG5" s="28"/>
      <c r="FYH5" s="28"/>
      <c r="FYI5" s="28"/>
      <c r="FYJ5" s="28"/>
      <c r="FYK5" s="28"/>
      <c r="FYL5" s="28"/>
      <c r="FYM5" s="28"/>
      <c r="FYN5" s="28"/>
      <c r="FYO5" s="28"/>
      <c r="FYP5" s="28"/>
      <c r="FYQ5" s="28"/>
      <c r="FYR5" s="28"/>
      <c r="FYS5" s="28"/>
      <c r="FYT5" s="28"/>
      <c r="FYU5" s="28"/>
      <c r="FYV5" s="28"/>
      <c r="FYW5" s="28"/>
      <c r="FYX5" s="28"/>
      <c r="FYY5" s="28"/>
      <c r="FYZ5" s="28"/>
      <c r="FZA5" s="28"/>
      <c r="FZB5" s="28"/>
      <c r="FZC5" s="28"/>
      <c r="FZD5" s="28"/>
      <c r="FZE5" s="28"/>
      <c r="FZF5" s="28"/>
      <c r="FZG5" s="28"/>
      <c r="FZH5" s="28"/>
      <c r="FZI5" s="28"/>
      <c r="FZJ5" s="28"/>
      <c r="FZK5" s="28"/>
      <c r="FZL5" s="28"/>
      <c r="FZM5" s="28"/>
      <c r="FZN5" s="28"/>
      <c r="FZO5" s="28"/>
      <c r="FZP5" s="28"/>
      <c r="FZQ5" s="28"/>
      <c r="FZR5" s="28"/>
      <c r="FZS5" s="28"/>
      <c r="FZT5" s="28"/>
      <c r="FZU5" s="28"/>
      <c r="FZV5" s="28"/>
      <c r="FZW5" s="28"/>
      <c r="FZX5" s="28"/>
      <c r="FZY5" s="28"/>
      <c r="FZZ5" s="28"/>
      <c r="GAA5" s="28"/>
      <c r="GAB5" s="28"/>
      <c r="GAC5" s="28"/>
      <c r="GAD5" s="28"/>
      <c r="GAE5" s="28"/>
      <c r="GAF5" s="28"/>
      <c r="GAG5" s="28"/>
      <c r="GAH5" s="28"/>
      <c r="GAI5" s="28"/>
      <c r="GAJ5" s="28"/>
      <c r="GAK5" s="28"/>
      <c r="GAL5" s="28"/>
      <c r="GAM5" s="28"/>
      <c r="GAN5" s="28"/>
      <c r="GAO5" s="28"/>
      <c r="GAP5" s="28"/>
      <c r="GAQ5" s="28"/>
      <c r="GAR5" s="28"/>
      <c r="GAS5" s="28"/>
      <c r="GAT5" s="28"/>
      <c r="GAU5" s="28"/>
      <c r="GAV5" s="28"/>
      <c r="GAW5" s="28"/>
      <c r="GAX5" s="28"/>
      <c r="GAY5" s="28"/>
      <c r="GAZ5" s="28"/>
      <c r="GBA5" s="28"/>
      <c r="GBB5" s="28"/>
      <c r="GBC5" s="28"/>
      <c r="GBD5" s="28"/>
      <c r="GBE5" s="28"/>
      <c r="GBF5" s="28"/>
      <c r="GBG5" s="28"/>
      <c r="GBH5" s="28"/>
      <c r="GBI5" s="28"/>
      <c r="GBJ5" s="28"/>
      <c r="GBK5" s="28"/>
      <c r="GBL5" s="28"/>
      <c r="GBM5" s="28"/>
      <c r="GBN5" s="28"/>
      <c r="GBO5" s="28"/>
      <c r="GBP5" s="28"/>
      <c r="GBQ5" s="28"/>
      <c r="GBR5" s="28"/>
      <c r="GBS5" s="28"/>
      <c r="GBT5" s="28"/>
      <c r="GBU5" s="28"/>
      <c r="GBV5" s="28"/>
      <c r="GBW5" s="28"/>
      <c r="GBX5" s="28"/>
      <c r="GBY5" s="28"/>
      <c r="GBZ5" s="28"/>
      <c r="GCA5" s="28"/>
      <c r="GCB5" s="28"/>
      <c r="GCC5" s="28"/>
      <c r="GCD5" s="28"/>
      <c r="GCE5" s="28"/>
      <c r="GCF5" s="28"/>
      <c r="GCG5" s="28"/>
      <c r="GCH5" s="28"/>
      <c r="GCI5" s="28"/>
      <c r="GCJ5" s="28"/>
      <c r="GCK5" s="28"/>
      <c r="GCL5" s="28"/>
      <c r="GCM5" s="28"/>
      <c r="GCN5" s="28"/>
      <c r="GCO5" s="28"/>
      <c r="GCP5" s="28"/>
      <c r="GCQ5" s="28"/>
      <c r="GCR5" s="28"/>
      <c r="GCS5" s="28"/>
      <c r="GCT5" s="28"/>
      <c r="GCU5" s="28"/>
      <c r="GCV5" s="28"/>
      <c r="GCW5" s="28"/>
      <c r="GCX5" s="28"/>
      <c r="GCY5" s="28"/>
      <c r="GCZ5" s="28"/>
      <c r="GDA5" s="28"/>
      <c r="GDB5" s="28"/>
      <c r="GDC5" s="28"/>
      <c r="GDD5" s="28"/>
      <c r="GDE5" s="28"/>
      <c r="GDF5" s="28"/>
      <c r="GDG5" s="28"/>
      <c r="GDH5" s="28"/>
      <c r="GDI5" s="28"/>
      <c r="GDJ5" s="28"/>
      <c r="GDK5" s="28"/>
      <c r="GDL5" s="28"/>
      <c r="GDM5" s="28"/>
      <c r="GDN5" s="28"/>
      <c r="GDO5" s="28"/>
      <c r="GDP5" s="28"/>
      <c r="GDQ5" s="28"/>
      <c r="GDR5" s="28"/>
      <c r="GDS5" s="28"/>
      <c r="GDT5" s="28"/>
      <c r="GDU5" s="28"/>
      <c r="GDV5" s="28"/>
      <c r="GDW5" s="28"/>
      <c r="GDX5" s="28"/>
      <c r="GDY5" s="28"/>
      <c r="GDZ5" s="28"/>
      <c r="GEA5" s="28"/>
      <c r="GEB5" s="28"/>
      <c r="GEC5" s="28"/>
      <c r="GED5" s="28"/>
      <c r="GEE5" s="28"/>
      <c r="GEF5" s="28"/>
      <c r="GEG5" s="28"/>
      <c r="GEH5" s="28"/>
      <c r="GEI5" s="28"/>
      <c r="GEJ5" s="28"/>
      <c r="GEK5" s="28"/>
      <c r="GEL5" s="28"/>
      <c r="GEM5" s="28"/>
      <c r="GEN5" s="28"/>
      <c r="GEO5" s="28"/>
      <c r="GEP5" s="28"/>
      <c r="GEQ5" s="28"/>
      <c r="GER5" s="28"/>
      <c r="GES5" s="28"/>
      <c r="GET5" s="28"/>
      <c r="GEU5" s="28"/>
      <c r="GEV5" s="28"/>
      <c r="GEW5" s="28"/>
      <c r="GEX5" s="28"/>
      <c r="GEY5" s="28"/>
      <c r="GEZ5" s="28"/>
      <c r="GFA5" s="28"/>
      <c r="GFB5" s="28"/>
      <c r="GFC5" s="28"/>
      <c r="GFD5" s="28"/>
      <c r="GFE5" s="28"/>
      <c r="GFF5" s="28"/>
      <c r="GFG5" s="28"/>
      <c r="GFH5" s="28"/>
      <c r="GFI5" s="28"/>
      <c r="GFJ5" s="28"/>
      <c r="GFK5" s="28"/>
      <c r="GFL5" s="28"/>
      <c r="GFM5" s="28"/>
      <c r="GFN5" s="28"/>
      <c r="GFO5" s="28"/>
      <c r="GFP5" s="28"/>
      <c r="GFQ5" s="28"/>
      <c r="GFR5" s="28"/>
      <c r="GFS5" s="28"/>
      <c r="GFT5" s="28"/>
      <c r="GFU5" s="28"/>
      <c r="GFV5" s="28"/>
      <c r="GFW5" s="28"/>
      <c r="GFX5" s="28"/>
      <c r="GFY5" s="28"/>
      <c r="GFZ5" s="28"/>
      <c r="GGA5" s="28"/>
      <c r="GGB5" s="28"/>
      <c r="GGC5" s="28"/>
      <c r="GGD5" s="28"/>
      <c r="GGE5" s="28"/>
      <c r="GGF5" s="28"/>
      <c r="GGG5" s="28"/>
      <c r="GGH5" s="28"/>
      <c r="GGI5" s="28"/>
      <c r="GGJ5" s="28"/>
      <c r="GGK5" s="28"/>
      <c r="GGL5" s="28"/>
      <c r="GGM5" s="28"/>
      <c r="GGN5" s="28"/>
      <c r="GGO5" s="28"/>
      <c r="GGP5" s="28"/>
      <c r="GGQ5" s="28"/>
      <c r="GGR5" s="28"/>
      <c r="GGS5" s="28"/>
      <c r="GGT5" s="28"/>
      <c r="GGU5" s="28"/>
      <c r="GGV5" s="28"/>
      <c r="GGW5" s="28"/>
      <c r="GGX5" s="28"/>
      <c r="GGY5" s="28"/>
      <c r="GGZ5" s="28"/>
      <c r="GHA5" s="28"/>
      <c r="GHB5" s="28"/>
      <c r="GHC5" s="28"/>
      <c r="GHD5" s="28"/>
      <c r="GHE5" s="28"/>
      <c r="GHF5" s="28"/>
      <c r="GHG5" s="28"/>
      <c r="GHH5" s="28"/>
      <c r="GHI5" s="28"/>
      <c r="GHJ5" s="28"/>
      <c r="GHK5" s="28"/>
      <c r="GHL5" s="28"/>
      <c r="GHM5" s="28"/>
      <c r="GHN5" s="28"/>
      <c r="GHO5" s="28"/>
      <c r="GHP5" s="28"/>
      <c r="GHQ5" s="28"/>
      <c r="GHR5" s="28"/>
      <c r="GHS5" s="28"/>
      <c r="GHT5" s="28"/>
      <c r="GHU5" s="28"/>
      <c r="GHV5" s="28"/>
      <c r="GHW5" s="28"/>
      <c r="GHX5" s="28"/>
      <c r="GHY5" s="28"/>
      <c r="GHZ5" s="28"/>
      <c r="GIA5" s="28"/>
      <c r="GIB5" s="28"/>
      <c r="GIC5" s="28"/>
      <c r="GID5" s="28"/>
      <c r="GIE5" s="28"/>
      <c r="GIF5" s="28"/>
      <c r="GIG5" s="28"/>
      <c r="GIH5" s="28"/>
      <c r="GII5" s="28"/>
      <c r="GIJ5" s="28"/>
      <c r="GIK5" s="28"/>
      <c r="GIL5" s="28"/>
      <c r="GIM5" s="28"/>
      <c r="GIN5" s="28"/>
      <c r="GIO5" s="28"/>
      <c r="GIP5" s="28"/>
      <c r="GIQ5" s="28"/>
      <c r="GIR5" s="28"/>
      <c r="GIS5" s="28"/>
      <c r="GIT5" s="28"/>
      <c r="GIU5" s="28"/>
      <c r="GIV5" s="28"/>
      <c r="GIW5" s="28"/>
      <c r="GIX5" s="28"/>
      <c r="GIY5" s="28"/>
      <c r="GIZ5" s="28"/>
      <c r="GJA5" s="28"/>
      <c r="GJB5" s="28"/>
      <c r="GJC5" s="28"/>
      <c r="GJD5" s="28"/>
      <c r="GJE5" s="28"/>
      <c r="GJF5" s="28"/>
      <c r="GJG5" s="28"/>
      <c r="GJH5" s="28"/>
      <c r="GJI5" s="28"/>
      <c r="GJJ5" s="28"/>
      <c r="GJK5" s="28"/>
      <c r="GJL5" s="28"/>
      <c r="GJM5" s="28"/>
      <c r="GJN5" s="28"/>
      <c r="GJO5" s="28"/>
      <c r="GJP5" s="28"/>
      <c r="GJQ5" s="28"/>
      <c r="GJR5" s="28"/>
      <c r="GJS5" s="28"/>
      <c r="GJT5" s="28"/>
      <c r="GJU5" s="28"/>
      <c r="GJV5" s="28"/>
      <c r="GJW5" s="28"/>
      <c r="GJX5" s="28"/>
      <c r="GJY5" s="28"/>
      <c r="GJZ5" s="28"/>
      <c r="GKA5" s="28"/>
      <c r="GKB5" s="28"/>
      <c r="GKC5" s="28"/>
      <c r="GKD5" s="28"/>
      <c r="GKE5" s="28"/>
      <c r="GKF5" s="28"/>
      <c r="GKG5" s="28"/>
      <c r="GKH5" s="28"/>
      <c r="GKI5" s="28"/>
      <c r="GKJ5" s="28"/>
      <c r="GKK5" s="28"/>
      <c r="GKL5" s="28"/>
      <c r="GKM5" s="28"/>
      <c r="GKN5" s="28"/>
      <c r="GKO5" s="28"/>
      <c r="GKP5" s="28"/>
      <c r="GKQ5" s="28"/>
      <c r="GKR5" s="28"/>
      <c r="GKS5" s="28"/>
      <c r="GKT5" s="28"/>
      <c r="GKU5" s="28"/>
      <c r="GKV5" s="28"/>
      <c r="GKW5" s="28"/>
      <c r="GKX5" s="28"/>
      <c r="GKY5" s="28"/>
      <c r="GKZ5" s="28"/>
      <c r="GLA5" s="28"/>
      <c r="GLB5" s="28"/>
      <c r="GLC5" s="28"/>
      <c r="GLD5" s="28"/>
      <c r="GLE5" s="28"/>
      <c r="GLF5" s="28"/>
      <c r="GLG5" s="28"/>
      <c r="GLH5" s="28"/>
      <c r="GLI5" s="28"/>
      <c r="GLJ5" s="28"/>
      <c r="GLK5" s="28"/>
      <c r="GLL5" s="28"/>
      <c r="GLM5" s="28"/>
      <c r="GLN5" s="28"/>
      <c r="GLO5" s="28"/>
      <c r="GLP5" s="28"/>
      <c r="GLQ5" s="28"/>
      <c r="GLR5" s="28"/>
      <c r="GLS5" s="28"/>
      <c r="GLT5" s="28"/>
      <c r="GLU5" s="28"/>
      <c r="GLV5" s="28"/>
      <c r="GLW5" s="28"/>
      <c r="GLX5" s="28"/>
      <c r="GLY5" s="28"/>
      <c r="GLZ5" s="28"/>
      <c r="GMA5" s="28"/>
      <c r="GMB5" s="28"/>
      <c r="GMC5" s="28"/>
      <c r="GMD5" s="28"/>
      <c r="GME5" s="28"/>
      <c r="GMF5" s="28"/>
      <c r="GMG5" s="28"/>
      <c r="GMH5" s="28"/>
      <c r="GMI5" s="28"/>
      <c r="GMJ5" s="28"/>
      <c r="GMK5" s="28"/>
      <c r="GML5" s="28"/>
      <c r="GMM5" s="28"/>
      <c r="GMN5" s="28"/>
      <c r="GMO5" s="28"/>
      <c r="GMP5" s="28"/>
      <c r="GMQ5" s="28"/>
      <c r="GMR5" s="28"/>
      <c r="GMS5" s="28"/>
      <c r="GMT5" s="28"/>
      <c r="GMU5" s="28"/>
      <c r="GMV5" s="28"/>
      <c r="GMW5" s="28"/>
      <c r="GMX5" s="28"/>
      <c r="GMY5" s="28"/>
      <c r="GMZ5" s="28"/>
      <c r="GNA5" s="28"/>
      <c r="GNB5" s="28"/>
      <c r="GNC5" s="28"/>
      <c r="GND5" s="28"/>
      <c r="GNE5" s="28"/>
      <c r="GNF5" s="28"/>
      <c r="GNG5" s="28"/>
      <c r="GNH5" s="28"/>
      <c r="GNI5" s="28"/>
      <c r="GNJ5" s="28"/>
      <c r="GNK5" s="28"/>
      <c r="GNL5" s="28"/>
      <c r="GNM5" s="28"/>
      <c r="GNN5" s="28"/>
      <c r="GNO5" s="28"/>
      <c r="GNP5" s="28"/>
      <c r="GNQ5" s="28"/>
      <c r="GNR5" s="28"/>
      <c r="GNS5" s="28"/>
      <c r="GNT5" s="28"/>
      <c r="GNU5" s="28"/>
      <c r="GNV5" s="28"/>
      <c r="GNW5" s="28"/>
      <c r="GNX5" s="28"/>
      <c r="GNY5" s="28"/>
      <c r="GNZ5" s="28"/>
      <c r="GOA5" s="28"/>
      <c r="GOB5" s="28"/>
      <c r="GOC5" s="28"/>
      <c r="GOD5" s="28"/>
      <c r="GOE5" s="28"/>
      <c r="GOF5" s="28"/>
      <c r="GOG5" s="28"/>
      <c r="GOH5" s="28"/>
      <c r="GOI5" s="28"/>
      <c r="GOJ5" s="28"/>
      <c r="GOK5" s="28"/>
      <c r="GOL5" s="28"/>
      <c r="GOM5" s="28"/>
      <c r="GON5" s="28"/>
      <c r="GOO5" s="28"/>
      <c r="GOP5" s="28"/>
      <c r="GOQ5" s="28"/>
      <c r="GOR5" s="28"/>
      <c r="GOS5" s="28"/>
      <c r="GOT5" s="28"/>
      <c r="GOU5" s="28"/>
      <c r="GOV5" s="28"/>
      <c r="GOW5" s="28"/>
      <c r="GOX5" s="28"/>
      <c r="GOY5" s="28"/>
      <c r="GOZ5" s="28"/>
      <c r="GPA5" s="28"/>
      <c r="GPB5" s="28"/>
      <c r="GPC5" s="28"/>
      <c r="GPD5" s="28"/>
      <c r="GPE5" s="28"/>
      <c r="GPF5" s="28"/>
      <c r="GPG5" s="28"/>
      <c r="GPH5" s="28"/>
      <c r="GPI5" s="28"/>
      <c r="GPJ5" s="28"/>
      <c r="GPK5" s="28"/>
      <c r="GPL5" s="28"/>
      <c r="GPM5" s="28"/>
      <c r="GPN5" s="28"/>
      <c r="GPO5" s="28"/>
      <c r="GPP5" s="28"/>
      <c r="GPQ5" s="28"/>
      <c r="GPR5" s="28"/>
      <c r="GPS5" s="28"/>
      <c r="GPT5" s="28"/>
      <c r="GPU5" s="28"/>
      <c r="GPV5" s="28"/>
      <c r="GPW5" s="28"/>
      <c r="GPX5" s="28"/>
      <c r="GPY5" s="28"/>
      <c r="GPZ5" s="28"/>
      <c r="GQA5" s="28"/>
      <c r="GQB5" s="28"/>
      <c r="GQC5" s="28"/>
      <c r="GQD5" s="28"/>
      <c r="GQE5" s="28"/>
      <c r="GQF5" s="28"/>
      <c r="GQG5" s="28"/>
      <c r="GQH5" s="28"/>
      <c r="GQI5" s="28"/>
      <c r="GQJ5" s="28"/>
      <c r="GQK5" s="28"/>
      <c r="GQL5" s="28"/>
      <c r="GQM5" s="28"/>
      <c r="GQN5" s="28"/>
      <c r="GQO5" s="28"/>
      <c r="GQP5" s="28"/>
      <c r="GQQ5" s="28"/>
      <c r="GQR5" s="28"/>
      <c r="GQS5" s="28"/>
      <c r="GQT5" s="28"/>
      <c r="GQU5" s="28"/>
      <c r="GQV5" s="28"/>
      <c r="GQW5" s="28"/>
      <c r="GQX5" s="28"/>
      <c r="GQY5" s="28"/>
      <c r="GQZ5" s="28"/>
      <c r="GRA5" s="28"/>
      <c r="GRB5" s="28"/>
      <c r="GRC5" s="28"/>
      <c r="GRD5" s="28"/>
      <c r="GRE5" s="28"/>
      <c r="GRF5" s="28"/>
      <c r="GRG5" s="28"/>
      <c r="GRH5" s="28"/>
      <c r="GRI5" s="28"/>
      <c r="GRJ5" s="28"/>
      <c r="GRK5" s="28"/>
      <c r="GRL5" s="28"/>
      <c r="GRM5" s="28"/>
      <c r="GRN5" s="28"/>
      <c r="GRO5" s="28"/>
      <c r="GRP5" s="28"/>
      <c r="GRQ5" s="28"/>
      <c r="GRR5" s="28"/>
      <c r="GRS5" s="28"/>
      <c r="GRT5" s="28"/>
      <c r="GRU5" s="28"/>
      <c r="GRV5" s="28"/>
      <c r="GRW5" s="28"/>
      <c r="GRX5" s="28"/>
      <c r="GRY5" s="28"/>
      <c r="GRZ5" s="28"/>
      <c r="GSA5" s="28"/>
      <c r="GSB5" s="28"/>
      <c r="GSC5" s="28"/>
      <c r="GSD5" s="28"/>
      <c r="GSE5" s="28"/>
      <c r="GSF5" s="28"/>
      <c r="GSG5" s="28"/>
      <c r="GSH5" s="28"/>
      <c r="GSI5" s="28"/>
      <c r="GSJ5" s="28"/>
      <c r="GSK5" s="28"/>
      <c r="GSL5" s="28"/>
      <c r="GSM5" s="28"/>
      <c r="GSN5" s="28"/>
      <c r="GSO5" s="28"/>
      <c r="GSP5" s="28"/>
      <c r="GSQ5" s="28"/>
      <c r="GSR5" s="28"/>
      <c r="GSS5" s="28"/>
      <c r="GST5" s="28"/>
      <c r="GSU5" s="28"/>
      <c r="GSV5" s="28"/>
      <c r="GSW5" s="28"/>
      <c r="GSX5" s="28"/>
      <c r="GSY5" s="28"/>
      <c r="GSZ5" s="28"/>
      <c r="GTA5" s="28"/>
      <c r="GTB5" s="28"/>
      <c r="GTC5" s="28"/>
      <c r="GTD5" s="28"/>
      <c r="GTE5" s="28"/>
      <c r="GTF5" s="28"/>
      <c r="GTG5" s="28"/>
      <c r="GTH5" s="28"/>
      <c r="GTI5" s="28"/>
      <c r="GTJ5" s="28"/>
      <c r="GTK5" s="28"/>
      <c r="GTL5" s="28"/>
      <c r="GTM5" s="28"/>
      <c r="GTN5" s="28"/>
      <c r="GTO5" s="28"/>
      <c r="GTP5" s="28"/>
      <c r="GTQ5" s="28"/>
      <c r="GTR5" s="28"/>
      <c r="GTS5" s="28"/>
      <c r="GTT5" s="28"/>
      <c r="GTU5" s="28"/>
      <c r="GTV5" s="28"/>
      <c r="GTW5" s="28"/>
      <c r="GTX5" s="28"/>
      <c r="GTY5" s="28"/>
      <c r="GTZ5" s="28"/>
      <c r="GUA5" s="28"/>
      <c r="GUB5" s="28"/>
      <c r="GUC5" s="28"/>
      <c r="GUD5" s="28"/>
      <c r="GUE5" s="28"/>
      <c r="GUF5" s="28"/>
      <c r="GUG5" s="28"/>
      <c r="GUH5" s="28"/>
      <c r="GUI5" s="28"/>
      <c r="GUJ5" s="28"/>
      <c r="GUK5" s="28"/>
      <c r="GUL5" s="28"/>
      <c r="GUM5" s="28"/>
      <c r="GUN5" s="28"/>
      <c r="GUO5" s="28"/>
      <c r="GUP5" s="28"/>
      <c r="GUQ5" s="28"/>
      <c r="GUR5" s="28"/>
      <c r="GUS5" s="28"/>
      <c r="GUT5" s="28"/>
      <c r="GUU5" s="28"/>
      <c r="GUV5" s="28"/>
      <c r="GUW5" s="28"/>
      <c r="GUX5" s="28"/>
      <c r="GUY5" s="28"/>
      <c r="GUZ5" s="28"/>
      <c r="GVA5" s="28"/>
      <c r="GVB5" s="28"/>
      <c r="GVC5" s="28"/>
      <c r="GVD5" s="28"/>
      <c r="GVE5" s="28"/>
      <c r="GVF5" s="28"/>
      <c r="GVG5" s="28"/>
      <c r="GVH5" s="28"/>
      <c r="GVI5" s="28"/>
      <c r="GVJ5" s="28"/>
      <c r="GVK5" s="28"/>
      <c r="GVL5" s="28"/>
      <c r="GVM5" s="28"/>
      <c r="GVN5" s="28"/>
      <c r="GVO5" s="28"/>
      <c r="GVP5" s="28"/>
      <c r="GVQ5" s="28"/>
      <c r="GVR5" s="28"/>
      <c r="GVS5" s="28"/>
      <c r="GVT5" s="28"/>
      <c r="GVU5" s="28"/>
      <c r="GVV5" s="28"/>
      <c r="GVW5" s="28"/>
      <c r="GVX5" s="28"/>
      <c r="GVY5" s="28"/>
      <c r="GVZ5" s="28"/>
      <c r="GWA5" s="28"/>
      <c r="GWB5" s="28"/>
      <c r="GWC5" s="28"/>
      <c r="GWD5" s="28"/>
      <c r="GWE5" s="28"/>
      <c r="GWF5" s="28"/>
      <c r="GWG5" s="28"/>
      <c r="GWH5" s="28"/>
      <c r="GWI5" s="28"/>
      <c r="GWJ5" s="28"/>
      <c r="GWK5" s="28"/>
      <c r="GWL5" s="28"/>
      <c r="GWM5" s="28"/>
      <c r="GWN5" s="28"/>
      <c r="GWO5" s="28"/>
      <c r="GWP5" s="28"/>
      <c r="GWQ5" s="28"/>
      <c r="GWR5" s="28"/>
      <c r="GWS5" s="28"/>
      <c r="GWT5" s="28"/>
      <c r="GWU5" s="28"/>
      <c r="GWV5" s="28"/>
      <c r="GWW5" s="28"/>
      <c r="GWX5" s="28"/>
      <c r="GWY5" s="28"/>
      <c r="GWZ5" s="28"/>
      <c r="GXA5" s="28"/>
      <c r="GXB5" s="28"/>
      <c r="GXC5" s="28"/>
      <c r="GXD5" s="28"/>
      <c r="GXE5" s="28"/>
      <c r="GXF5" s="28"/>
      <c r="GXG5" s="28"/>
      <c r="GXH5" s="28"/>
      <c r="GXI5" s="28"/>
      <c r="GXJ5" s="28"/>
      <c r="GXK5" s="28"/>
      <c r="GXL5" s="28"/>
      <c r="GXM5" s="28"/>
      <c r="GXN5" s="28"/>
      <c r="GXO5" s="28"/>
      <c r="GXP5" s="28"/>
      <c r="GXQ5" s="28"/>
      <c r="GXR5" s="28"/>
      <c r="GXS5" s="28"/>
      <c r="GXT5" s="28"/>
      <c r="GXU5" s="28"/>
      <c r="GXV5" s="28"/>
      <c r="GXW5" s="28"/>
      <c r="GXX5" s="28"/>
      <c r="GXY5" s="28"/>
      <c r="GXZ5" s="28"/>
      <c r="GYA5" s="28"/>
      <c r="GYB5" s="28"/>
      <c r="GYC5" s="28"/>
      <c r="GYD5" s="28"/>
      <c r="GYE5" s="28"/>
      <c r="GYF5" s="28"/>
      <c r="GYG5" s="28"/>
      <c r="GYH5" s="28"/>
      <c r="GYI5" s="28"/>
      <c r="GYJ5" s="28"/>
      <c r="GYK5" s="28"/>
      <c r="GYL5" s="28"/>
      <c r="GYM5" s="28"/>
      <c r="GYN5" s="28"/>
      <c r="GYO5" s="28"/>
      <c r="GYP5" s="28"/>
      <c r="GYQ5" s="28"/>
      <c r="GYR5" s="28"/>
      <c r="GYS5" s="28"/>
      <c r="GYT5" s="28"/>
      <c r="GYU5" s="28"/>
      <c r="GYV5" s="28"/>
      <c r="GYW5" s="28"/>
      <c r="GYX5" s="28"/>
      <c r="GYY5" s="28"/>
      <c r="GYZ5" s="28"/>
      <c r="GZA5" s="28"/>
      <c r="GZB5" s="28"/>
      <c r="GZC5" s="28"/>
      <c r="GZD5" s="28"/>
      <c r="GZE5" s="28"/>
      <c r="GZF5" s="28"/>
      <c r="GZG5" s="28"/>
      <c r="GZH5" s="28"/>
      <c r="GZI5" s="28"/>
      <c r="GZJ5" s="28"/>
      <c r="GZK5" s="28"/>
      <c r="GZL5" s="28"/>
      <c r="GZM5" s="28"/>
      <c r="GZN5" s="28"/>
      <c r="GZO5" s="28"/>
      <c r="GZP5" s="28"/>
      <c r="GZQ5" s="28"/>
      <c r="GZR5" s="28"/>
      <c r="GZS5" s="28"/>
      <c r="GZT5" s="28"/>
      <c r="GZU5" s="28"/>
      <c r="GZV5" s="28"/>
      <c r="GZW5" s="28"/>
      <c r="GZX5" s="28"/>
      <c r="GZY5" s="28"/>
      <c r="GZZ5" s="28"/>
      <c r="HAA5" s="28"/>
      <c r="HAB5" s="28"/>
      <c r="HAC5" s="28"/>
      <c r="HAD5" s="28"/>
      <c r="HAE5" s="28"/>
      <c r="HAF5" s="28"/>
      <c r="HAG5" s="28"/>
      <c r="HAH5" s="28"/>
      <c r="HAI5" s="28"/>
      <c r="HAJ5" s="28"/>
      <c r="HAK5" s="28"/>
      <c r="HAL5" s="28"/>
      <c r="HAM5" s="28"/>
      <c r="HAN5" s="28"/>
      <c r="HAO5" s="28"/>
      <c r="HAP5" s="28"/>
      <c r="HAQ5" s="28"/>
      <c r="HAR5" s="28"/>
      <c r="HAS5" s="28"/>
      <c r="HAT5" s="28"/>
      <c r="HAU5" s="28"/>
      <c r="HAV5" s="28"/>
      <c r="HAW5" s="28"/>
      <c r="HAX5" s="28"/>
      <c r="HAY5" s="28"/>
      <c r="HAZ5" s="28"/>
      <c r="HBA5" s="28"/>
      <c r="HBB5" s="28"/>
      <c r="HBC5" s="28"/>
      <c r="HBD5" s="28"/>
      <c r="HBE5" s="28"/>
      <c r="HBF5" s="28"/>
      <c r="HBG5" s="28"/>
      <c r="HBH5" s="28"/>
      <c r="HBI5" s="28"/>
      <c r="HBJ5" s="28"/>
      <c r="HBK5" s="28"/>
      <c r="HBL5" s="28"/>
      <c r="HBM5" s="28"/>
      <c r="HBN5" s="28"/>
      <c r="HBO5" s="28"/>
      <c r="HBP5" s="28"/>
      <c r="HBQ5" s="28"/>
      <c r="HBR5" s="28"/>
      <c r="HBS5" s="28"/>
      <c r="HBT5" s="28"/>
      <c r="HBU5" s="28"/>
      <c r="HBV5" s="28"/>
      <c r="HBW5" s="28"/>
      <c r="HBX5" s="28"/>
      <c r="HBY5" s="28"/>
      <c r="HBZ5" s="28"/>
      <c r="HCA5" s="28"/>
      <c r="HCB5" s="28"/>
      <c r="HCC5" s="28"/>
      <c r="HCD5" s="28"/>
      <c r="HCE5" s="28"/>
      <c r="HCF5" s="28"/>
      <c r="HCG5" s="28"/>
      <c r="HCH5" s="28"/>
      <c r="HCI5" s="28"/>
      <c r="HCJ5" s="28"/>
      <c r="HCK5" s="28"/>
      <c r="HCL5" s="28"/>
      <c r="HCM5" s="28"/>
      <c r="HCN5" s="28"/>
      <c r="HCO5" s="28"/>
      <c r="HCP5" s="28"/>
      <c r="HCQ5" s="28"/>
      <c r="HCR5" s="28"/>
      <c r="HCS5" s="28"/>
      <c r="HCT5" s="28"/>
      <c r="HCU5" s="28"/>
      <c r="HCV5" s="28"/>
      <c r="HCW5" s="28"/>
      <c r="HCX5" s="28"/>
      <c r="HCY5" s="28"/>
      <c r="HCZ5" s="28"/>
      <c r="HDA5" s="28"/>
      <c r="HDB5" s="28"/>
      <c r="HDC5" s="28"/>
      <c r="HDD5" s="28"/>
      <c r="HDE5" s="28"/>
      <c r="HDF5" s="28"/>
      <c r="HDG5" s="28"/>
      <c r="HDH5" s="28"/>
      <c r="HDI5" s="28"/>
      <c r="HDJ5" s="28"/>
      <c r="HDK5" s="28"/>
      <c r="HDL5" s="28"/>
      <c r="HDM5" s="28"/>
      <c r="HDN5" s="28"/>
      <c r="HDO5" s="28"/>
      <c r="HDP5" s="28"/>
      <c r="HDQ5" s="28"/>
      <c r="HDR5" s="28"/>
      <c r="HDS5" s="28"/>
      <c r="HDT5" s="28"/>
      <c r="HDU5" s="28"/>
      <c r="HDV5" s="28"/>
      <c r="HDW5" s="28"/>
      <c r="HDX5" s="28"/>
      <c r="HDY5" s="28"/>
      <c r="HDZ5" s="28"/>
      <c r="HEA5" s="28"/>
      <c r="HEB5" s="28"/>
      <c r="HEC5" s="28"/>
      <c r="HED5" s="28"/>
      <c r="HEE5" s="28"/>
      <c r="HEF5" s="28"/>
      <c r="HEG5" s="28"/>
      <c r="HEH5" s="28"/>
      <c r="HEI5" s="28"/>
      <c r="HEJ5" s="28"/>
      <c r="HEK5" s="28"/>
      <c r="HEL5" s="28"/>
      <c r="HEM5" s="28"/>
      <c r="HEN5" s="28"/>
      <c r="HEO5" s="28"/>
      <c r="HEP5" s="28"/>
      <c r="HEQ5" s="28"/>
      <c r="HER5" s="28"/>
      <c r="HES5" s="28"/>
      <c r="HET5" s="28"/>
      <c r="HEU5" s="28"/>
      <c r="HEV5" s="28"/>
      <c r="HEW5" s="28"/>
      <c r="HEX5" s="28"/>
      <c r="HEY5" s="28"/>
      <c r="HEZ5" s="28"/>
      <c r="HFA5" s="28"/>
      <c r="HFB5" s="28"/>
      <c r="HFC5" s="28"/>
      <c r="HFD5" s="28"/>
      <c r="HFE5" s="28"/>
      <c r="HFF5" s="28"/>
      <c r="HFG5" s="28"/>
      <c r="HFH5" s="28"/>
      <c r="HFI5" s="28"/>
      <c r="HFJ5" s="28"/>
      <c r="HFK5" s="28"/>
      <c r="HFL5" s="28"/>
      <c r="HFM5" s="28"/>
      <c r="HFN5" s="28"/>
      <c r="HFO5" s="28"/>
      <c r="HFP5" s="28"/>
      <c r="HFQ5" s="28"/>
      <c r="HFR5" s="28"/>
      <c r="HFS5" s="28"/>
      <c r="HFT5" s="28"/>
      <c r="HFU5" s="28"/>
      <c r="HFV5" s="28"/>
      <c r="HFW5" s="28"/>
      <c r="HFX5" s="28"/>
      <c r="HFY5" s="28"/>
      <c r="HFZ5" s="28"/>
      <c r="HGA5" s="28"/>
      <c r="HGB5" s="28"/>
      <c r="HGC5" s="28"/>
      <c r="HGD5" s="28"/>
      <c r="HGE5" s="28"/>
      <c r="HGF5" s="28"/>
      <c r="HGG5" s="28"/>
      <c r="HGH5" s="28"/>
      <c r="HGI5" s="28"/>
      <c r="HGJ5" s="28"/>
      <c r="HGK5" s="28"/>
      <c r="HGL5" s="28"/>
      <c r="HGM5" s="28"/>
      <c r="HGN5" s="28"/>
      <c r="HGO5" s="28"/>
      <c r="HGP5" s="28"/>
      <c r="HGQ5" s="28"/>
      <c r="HGR5" s="28"/>
      <c r="HGS5" s="28"/>
      <c r="HGT5" s="28"/>
      <c r="HGU5" s="28"/>
      <c r="HGV5" s="28"/>
      <c r="HGW5" s="28"/>
      <c r="HGX5" s="28"/>
      <c r="HGY5" s="28"/>
      <c r="HGZ5" s="28"/>
      <c r="HHA5" s="28"/>
      <c r="HHB5" s="28"/>
      <c r="HHC5" s="28"/>
      <c r="HHD5" s="28"/>
      <c r="HHE5" s="28"/>
      <c r="HHF5" s="28"/>
      <c r="HHG5" s="28"/>
      <c r="HHH5" s="28"/>
      <c r="HHI5" s="28"/>
      <c r="HHJ5" s="28"/>
      <c r="HHK5" s="28"/>
      <c r="HHL5" s="28"/>
      <c r="HHM5" s="28"/>
      <c r="HHN5" s="28"/>
      <c r="HHO5" s="28"/>
      <c r="HHP5" s="28"/>
      <c r="HHQ5" s="28"/>
      <c r="HHR5" s="28"/>
      <c r="HHS5" s="28"/>
      <c r="HHT5" s="28"/>
      <c r="HHU5" s="28"/>
      <c r="HHV5" s="28"/>
      <c r="HHW5" s="28"/>
      <c r="HHX5" s="28"/>
      <c r="HHY5" s="28"/>
      <c r="HHZ5" s="28"/>
      <c r="HIA5" s="28"/>
      <c r="HIB5" s="28"/>
      <c r="HIC5" s="28"/>
      <c r="HID5" s="28"/>
      <c r="HIE5" s="28"/>
      <c r="HIF5" s="28"/>
      <c r="HIG5" s="28"/>
      <c r="HIH5" s="28"/>
      <c r="HII5" s="28"/>
      <c r="HIJ5" s="28"/>
      <c r="HIK5" s="28"/>
      <c r="HIL5" s="28"/>
      <c r="HIM5" s="28"/>
      <c r="HIN5" s="28"/>
      <c r="HIO5" s="28"/>
      <c r="HIP5" s="28"/>
      <c r="HIQ5" s="28"/>
      <c r="HIR5" s="28"/>
      <c r="HIS5" s="28"/>
      <c r="HIT5" s="28"/>
      <c r="HIU5" s="28"/>
      <c r="HIV5" s="28"/>
      <c r="HIW5" s="28"/>
      <c r="HIX5" s="28"/>
      <c r="HIY5" s="28"/>
      <c r="HIZ5" s="28"/>
      <c r="HJA5" s="28"/>
      <c r="HJB5" s="28"/>
      <c r="HJC5" s="28"/>
      <c r="HJD5" s="28"/>
      <c r="HJE5" s="28"/>
      <c r="HJF5" s="28"/>
      <c r="HJG5" s="28"/>
      <c r="HJH5" s="28"/>
      <c r="HJI5" s="28"/>
      <c r="HJJ5" s="28"/>
      <c r="HJK5" s="28"/>
      <c r="HJL5" s="28"/>
      <c r="HJM5" s="28"/>
      <c r="HJN5" s="28"/>
      <c r="HJO5" s="28"/>
      <c r="HJP5" s="28"/>
      <c r="HJQ5" s="28"/>
      <c r="HJR5" s="28"/>
      <c r="HJS5" s="28"/>
      <c r="HJT5" s="28"/>
      <c r="HJU5" s="28"/>
      <c r="HJV5" s="28"/>
      <c r="HJW5" s="28"/>
      <c r="HJX5" s="28"/>
      <c r="HJY5" s="28"/>
      <c r="HJZ5" s="28"/>
      <c r="HKA5" s="28"/>
      <c r="HKB5" s="28"/>
      <c r="HKC5" s="28"/>
      <c r="HKD5" s="28"/>
      <c r="HKE5" s="28"/>
      <c r="HKF5" s="28"/>
      <c r="HKG5" s="28"/>
      <c r="HKH5" s="28"/>
      <c r="HKI5" s="28"/>
      <c r="HKJ5" s="28"/>
      <c r="HKK5" s="28"/>
      <c r="HKL5" s="28"/>
      <c r="HKM5" s="28"/>
      <c r="HKN5" s="28"/>
      <c r="HKO5" s="28"/>
      <c r="HKP5" s="28"/>
      <c r="HKQ5" s="28"/>
      <c r="HKR5" s="28"/>
      <c r="HKS5" s="28"/>
      <c r="HKT5" s="28"/>
      <c r="HKU5" s="28"/>
      <c r="HKV5" s="28"/>
      <c r="HKW5" s="28"/>
      <c r="HKX5" s="28"/>
      <c r="HKY5" s="28"/>
      <c r="HKZ5" s="28"/>
      <c r="HLA5" s="28"/>
      <c r="HLB5" s="28"/>
      <c r="HLC5" s="28"/>
      <c r="HLD5" s="28"/>
      <c r="HLE5" s="28"/>
      <c r="HLF5" s="28"/>
      <c r="HLG5" s="28"/>
      <c r="HLH5" s="28"/>
      <c r="HLI5" s="28"/>
      <c r="HLJ5" s="28"/>
      <c r="HLK5" s="28"/>
      <c r="HLL5" s="28"/>
      <c r="HLM5" s="28"/>
      <c r="HLN5" s="28"/>
      <c r="HLO5" s="28"/>
      <c r="HLP5" s="28"/>
      <c r="HLQ5" s="28"/>
      <c r="HLR5" s="28"/>
      <c r="HLS5" s="28"/>
      <c r="HLT5" s="28"/>
      <c r="HLU5" s="28"/>
      <c r="HLV5" s="28"/>
      <c r="HLW5" s="28"/>
      <c r="HLX5" s="28"/>
      <c r="HLY5" s="28"/>
      <c r="HLZ5" s="28"/>
      <c r="HMA5" s="28"/>
      <c r="HMB5" s="28"/>
      <c r="HMC5" s="28"/>
      <c r="HMD5" s="28"/>
      <c r="HME5" s="28"/>
      <c r="HMF5" s="28"/>
      <c r="HMG5" s="28"/>
      <c r="HMH5" s="28"/>
      <c r="HMI5" s="28"/>
      <c r="HMJ5" s="28"/>
      <c r="HMK5" s="28"/>
      <c r="HML5" s="28"/>
      <c r="HMM5" s="28"/>
      <c r="HMN5" s="28"/>
      <c r="HMO5" s="28"/>
      <c r="HMP5" s="28"/>
      <c r="HMQ5" s="28"/>
      <c r="HMR5" s="28"/>
      <c r="HMS5" s="28"/>
      <c r="HMT5" s="28"/>
      <c r="HMU5" s="28"/>
      <c r="HMV5" s="28"/>
      <c r="HMW5" s="28"/>
      <c r="HMX5" s="28"/>
      <c r="HMY5" s="28"/>
      <c r="HMZ5" s="28"/>
      <c r="HNA5" s="28"/>
      <c r="HNB5" s="28"/>
      <c r="HNC5" s="28"/>
      <c r="HND5" s="28"/>
      <c r="HNE5" s="28"/>
      <c r="HNF5" s="28"/>
      <c r="HNG5" s="28"/>
      <c r="HNH5" s="28"/>
      <c r="HNI5" s="28"/>
      <c r="HNJ5" s="28"/>
      <c r="HNK5" s="28"/>
      <c r="HNL5" s="28"/>
      <c r="HNM5" s="28"/>
      <c r="HNN5" s="28"/>
      <c r="HNO5" s="28"/>
      <c r="HNP5" s="28"/>
      <c r="HNQ5" s="28"/>
      <c r="HNR5" s="28"/>
      <c r="HNS5" s="28"/>
      <c r="HNT5" s="28"/>
      <c r="HNU5" s="28"/>
      <c r="HNV5" s="28"/>
      <c r="HNW5" s="28"/>
      <c r="HNX5" s="28"/>
      <c r="HNY5" s="28"/>
      <c r="HNZ5" s="28"/>
      <c r="HOA5" s="28"/>
      <c r="HOB5" s="28"/>
      <c r="HOC5" s="28"/>
      <c r="HOD5" s="28"/>
      <c r="HOE5" s="28"/>
      <c r="HOF5" s="28"/>
      <c r="HOG5" s="28"/>
      <c r="HOH5" s="28"/>
      <c r="HOI5" s="28"/>
      <c r="HOJ5" s="28"/>
      <c r="HOK5" s="28"/>
      <c r="HOL5" s="28"/>
      <c r="HOM5" s="28"/>
      <c r="HON5" s="28"/>
      <c r="HOO5" s="28"/>
      <c r="HOP5" s="28"/>
      <c r="HOQ5" s="28"/>
      <c r="HOR5" s="28"/>
      <c r="HOS5" s="28"/>
      <c r="HOT5" s="28"/>
      <c r="HOU5" s="28"/>
      <c r="HOV5" s="28"/>
      <c r="HOW5" s="28"/>
      <c r="HOX5" s="28"/>
      <c r="HOY5" s="28"/>
      <c r="HOZ5" s="28"/>
      <c r="HPA5" s="28"/>
      <c r="HPB5" s="28"/>
      <c r="HPC5" s="28"/>
      <c r="HPD5" s="28"/>
      <c r="HPE5" s="28"/>
      <c r="HPF5" s="28"/>
      <c r="HPG5" s="28"/>
      <c r="HPH5" s="28"/>
      <c r="HPI5" s="28"/>
      <c r="HPJ5" s="28"/>
      <c r="HPK5" s="28"/>
      <c r="HPL5" s="28"/>
      <c r="HPM5" s="28"/>
      <c r="HPN5" s="28"/>
      <c r="HPO5" s="28"/>
      <c r="HPP5" s="28"/>
      <c r="HPQ5" s="28"/>
      <c r="HPR5" s="28"/>
      <c r="HPS5" s="28"/>
      <c r="HPT5" s="28"/>
      <c r="HPU5" s="28"/>
      <c r="HPV5" s="28"/>
      <c r="HPW5" s="28"/>
      <c r="HPX5" s="28"/>
      <c r="HPY5" s="28"/>
      <c r="HPZ5" s="28"/>
      <c r="HQA5" s="28"/>
      <c r="HQB5" s="28"/>
      <c r="HQC5" s="28"/>
      <c r="HQD5" s="28"/>
      <c r="HQE5" s="28"/>
      <c r="HQF5" s="28"/>
      <c r="HQG5" s="28"/>
      <c r="HQH5" s="28"/>
      <c r="HQI5" s="28"/>
      <c r="HQJ5" s="28"/>
      <c r="HQK5" s="28"/>
      <c r="HQL5" s="28"/>
      <c r="HQM5" s="28"/>
      <c r="HQN5" s="28"/>
      <c r="HQO5" s="28"/>
      <c r="HQP5" s="28"/>
      <c r="HQQ5" s="28"/>
      <c r="HQR5" s="28"/>
      <c r="HQS5" s="28"/>
      <c r="HQT5" s="28"/>
      <c r="HQU5" s="28"/>
      <c r="HQV5" s="28"/>
      <c r="HQW5" s="28"/>
      <c r="HQX5" s="28"/>
      <c r="HQY5" s="28"/>
      <c r="HQZ5" s="28"/>
      <c r="HRA5" s="28"/>
      <c r="HRB5" s="28"/>
      <c r="HRC5" s="28"/>
      <c r="HRD5" s="28"/>
      <c r="HRE5" s="28"/>
      <c r="HRF5" s="28"/>
      <c r="HRG5" s="28"/>
      <c r="HRH5" s="28"/>
      <c r="HRI5" s="28"/>
      <c r="HRJ5" s="28"/>
      <c r="HRK5" s="28"/>
      <c r="HRL5" s="28"/>
      <c r="HRM5" s="28"/>
      <c r="HRN5" s="28"/>
      <c r="HRO5" s="28"/>
      <c r="HRP5" s="28"/>
      <c r="HRQ5" s="28"/>
      <c r="HRR5" s="28"/>
      <c r="HRS5" s="28"/>
      <c r="HRT5" s="28"/>
      <c r="HRU5" s="28"/>
      <c r="HRV5" s="28"/>
      <c r="HRW5" s="28"/>
      <c r="HRX5" s="28"/>
      <c r="HRY5" s="28"/>
      <c r="HRZ5" s="28"/>
      <c r="HSA5" s="28"/>
      <c r="HSB5" s="28"/>
      <c r="HSC5" s="28"/>
      <c r="HSD5" s="28"/>
      <c r="HSE5" s="28"/>
      <c r="HSF5" s="28"/>
      <c r="HSG5" s="28"/>
      <c r="HSH5" s="28"/>
      <c r="HSI5" s="28"/>
      <c r="HSJ5" s="28"/>
      <c r="HSK5" s="28"/>
      <c r="HSL5" s="28"/>
      <c r="HSM5" s="28"/>
      <c r="HSN5" s="28"/>
      <c r="HSO5" s="28"/>
      <c r="HSP5" s="28"/>
      <c r="HSQ5" s="28"/>
      <c r="HSR5" s="28"/>
      <c r="HSS5" s="28"/>
      <c r="HST5" s="28"/>
      <c r="HSU5" s="28"/>
      <c r="HSV5" s="28"/>
      <c r="HSW5" s="28"/>
      <c r="HSX5" s="28"/>
      <c r="HSY5" s="28"/>
      <c r="HSZ5" s="28"/>
      <c r="HTA5" s="28"/>
      <c r="HTB5" s="28"/>
      <c r="HTC5" s="28"/>
      <c r="HTD5" s="28"/>
      <c r="HTE5" s="28"/>
      <c r="HTF5" s="28"/>
      <c r="HTG5" s="28"/>
      <c r="HTH5" s="28"/>
      <c r="HTI5" s="28"/>
      <c r="HTJ5" s="28"/>
      <c r="HTK5" s="28"/>
      <c r="HTL5" s="28"/>
      <c r="HTM5" s="28"/>
      <c r="HTN5" s="28"/>
      <c r="HTO5" s="28"/>
      <c r="HTP5" s="28"/>
      <c r="HTQ5" s="28"/>
      <c r="HTR5" s="28"/>
      <c r="HTS5" s="28"/>
      <c r="HTT5" s="28"/>
      <c r="HTU5" s="28"/>
      <c r="HTV5" s="28"/>
      <c r="HTW5" s="28"/>
      <c r="HTX5" s="28"/>
      <c r="HTY5" s="28"/>
      <c r="HTZ5" s="28"/>
      <c r="HUA5" s="28"/>
      <c r="HUB5" s="28"/>
      <c r="HUC5" s="28"/>
      <c r="HUD5" s="28"/>
      <c r="HUE5" s="28"/>
      <c r="HUF5" s="28"/>
      <c r="HUG5" s="28"/>
      <c r="HUH5" s="28"/>
      <c r="HUI5" s="28"/>
      <c r="HUJ5" s="28"/>
      <c r="HUK5" s="28"/>
      <c r="HUL5" s="28"/>
      <c r="HUM5" s="28"/>
      <c r="HUN5" s="28"/>
      <c r="HUO5" s="28"/>
      <c r="HUP5" s="28"/>
      <c r="HUQ5" s="28"/>
      <c r="HUR5" s="28"/>
      <c r="HUS5" s="28"/>
      <c r="HUT5" s="28"/>
      <c r="HUU5" s="28"/>
      <c r="HUV5" s="28"/>
      <c r="HUW5" s="28"/>
      <c r="HUX5" s="28"/>
      <c r="HUY5" s="28"/>
      <c r="HUZ5" s="28"/>
      <c r="HVA5" s="28"/>
      <c r="HVB5" s="28"/>
      <c r="HVC5" s="28"/>
      <c r="HVD5" s="28"/>
      <c r="HVE5" s="28"/>
      <c r="HVF5" s="28"/>
      <c r="HVG5" s="28"/>
      <c r="HVH5" s="28"/>
      <c r="HVI5" s="28"/>
      <c r="HVJ5" s="28"/>
      <c r="HVK5" s="28"/>
      <c r="HVL5" s="28"/>
      <c r="HVM5" s="28"/>
      <c r="HVN5" s="28"/>
      <c r="HVO5" s="28"/>
      <c r="HVP5" s="28"/>
      <c r="HVQ5" s="28"/>
      <c r="HVR5" s="28"/>
      <c r="HVS5" s="28"/>
      <c r="HVT5" s="28"/>
      <c r="HVU5" s="28"/>
      <c r="HVV5" s="28"/>
      <c r="HVW5" s="28"/>
      <c r="HVX5" s="28"/>
      <c r="HVY5" s="28"/>
      <c r="HVZ5" s="28"/>
      <c r="HWA5" s="28"/>
      <c r="HWB5" s="28"/>
      <c r="HWC5" s="28"/>
      <c r="HWD5" s="28"/>
      <c r="HWE5" s="28"/>
      <c r="HWF5" s="28"/>
      <c r="HWG5" s="28"/>
      <c r="HWH5" s="28"/>
      <c r="HWI5" s="28"/>
      <c r="HWJ5" s="28"/>
      <c r="HWK5" s="28"/>
      <c r="HWL5" s="28"/>
      <c r="HWM5" s="28"/>
      <c r="HWN5" s="28"/>
      <c r="HWO5" s="28"/>
      <c r="HWP5" s="28"/>
      <c r="HWQ5" s="28"/>
      <c r="HWR5" s="28"/>
      <c r="HWS5" s="28"/>
      <c r="HWT5" s="28"/>
      <c r="HWU5" s="28"/>
      <c r="HWV5" s="28"/>
      <c r="HWW5" s="28"/>
      <c r="HWX5" s="28"/>
      <c r="HWY5" s="28"/>
      <c r="HWZ5" s="28"/>
      <c r="HXA5" s="28"/>
      <c r="HXB5" s="28"/>
      <c r="HXC5" s="28"/>
      <c r="HXD5" s="28"/>
      <c r="HXE5" s="28"/>
      <c r="HXF5" s="28"/>
      <c r="HXG5" s="28"/>
      <c r="HXH5" s="28"/>
      <c r="HXI5" s="28"/>
      <c r="HXJ5" s="28"/>
      <c r="HXK5" s="28"/>
      <c r="HXL5" s="28"/>
      <c r="HXM5" s="28"/>
      <c r="HXN5" s="28"/>
      <c r="HXO5" s="28"/>
      <c r="HXP5" s="28"/>
      <c r="HXQ5" s="28"/>
      <c r="HXR5" s="28"/>
      <c r="HXS5" s="28"/>
      <c r="HXT5" s="28"/>
      <c r="HXU5" s="28"/>
      <c r="HXV5" s="28"/>
      <c r="HXW5" s="28"/>
      <c r="HXX5" s="28"/>
      <c r="HXY5" s="28"/>
      <c r="HXZ5" s="28"/>
      <c r="HYA5" s="28"/>
      <c r="HYB5" s="28"/>
      <c r="HYC5" s="28"/>
      <c r="HYD5" s="28"/>
      <c r="HYE5" s="28"/>
      <c r="HYF5" s="28"/>
      <c r="HYG5" s="28"/>
      <c r="HYH5" s="28"/>
      <c r="HYI5" s="28"/>
      <c r="HYJ5" s="28"/>
      <c r="HYK5" s="28"/>
      <c r="HYL5" s="28"/>
      <c r="HYM5" s="28"/>
      <c r="HYN5" s="28"/>
      <c r="HYO5" s="28"/>
      <c r="HYP5" s="28"/>
      <c r="HYQ5" s="28"/>
      <c r="HYR5" s="28"/>
      <c r="HYS5" s="28"/>
      <c r="HYT5" s="28"/>
      <c r="HYU5" s="28"/>
      <c r="HYV5" s="28"/>
      <c r="HYW5" s="28"/>
      <c r="HYX5" s="28"/>
      <c r="HYY5" s="28"/>
      <c r="HYZ5" s="28"/>
      <c r="HZA5" s="28"/>
      <c r="HZB5" s="28"/>
      <c r="HZC5" s="28"/>
      <c r="HZD5" s="28"/>
      <c r="HZE5" s="28"/>
      <c r="HZF5" s="28"/>
      <c r="HZG5" s="28"/>
      <c r="HZH5" s="28"/>
      <c r="HZI5" s="28"/>
      <c r="HZJ5" s="28"/>
      <c r="HZK5" s="28"/>
      <c r="HZL5" s="28"/>
      <c r="HZM5" s="28"/>
      <c r="HZN5" s="28"/>
      <c r="HZO5" s="28"/>
      <c r="HZP5" s="28"/>
      <c r="HZQ5" s="28"/>
      <c r="HZR5" s="28"/>
      <c r="HZS5" s="28"/>
      <c r="HZT5" s="28"/>
      <c r="HZU5" s="28"/>
      <c r="HZV5" s="28"/>
      <c r="HZW5" s="28"/>
      <c r="HZX5" s="28"/>
      <c r="HZY5" s="28"/>
      <c r="HZZ5" s="28"/>
      <c r="IAA5" s="28"/>
      <c r="IAB5" s="28"/>
      <c r="IAC5" s="28"/>
      <c r="IAD5" s="28"/>
      <c r="IAE5" s="28"/>
      <c r="IAF5" s="28"/>
      <c r="IAG5" s="28"/>
      <c r="IAH5" s="28"/>
      <c r="IAI5" s="28"/>
      <c r="IAJ5" s="28"/>
      <c r="IAK5" s="28"/>
      <c r="IAL5" s="28"/>
      <c r="IAM5" s="28"/>
      <c r="IAN5" s="28"/>
      <c r="IAO5" s="28"/>
      <c r="IAP5" s="28"/>
      <c r="IAQ5" s="28"/>
      <c r="IAR5" s="28"/>
      <c r="IAS5" s="28"/>
      <c r="IAT5" s="28"/>
      <c r="IAU5" s="28"/>
      <c r="IAV5" s="28"/>
      <c r="IAW5" s="28"/>
      <c r="IAX5" s="28"/>
      <c r="IAY5" s="28"/>
      <c r="IAZ5" s="28"/>
      <c r="IBA5" s="28"/>
      <c r="IBB5" s="28"/>
      <c r="IBC5" s="28"/>
      <c r="IBD5" s="28"/>
      <c r="IBE5" s="28"/>
      <c r="IBF5" s="28"/>
      <c r="IBG5" s="28"/>
      <c r="IBH5" s="28"/>
      <c r="IBI5" s="28"/>
      <c r="IBJ5" s="28"/>
      <c r="IBK5" s="28"/>
      <c r="IBL5" s="28"/>
      <c r="IBM5" s="28"/>
      <c r="IBN5" s="28"/>
      <c r="IBO5" s="28"/>
      <c r="IBP5" s="28"/>
      <c r="IBQ5" s="28"/>
      <c r="IBR5" s="28"/>
      <c r="IBS5" s="28"/>
      <c r="IBT5" s="28"/>
      <c r="IBU5" s="28"/>
      <c r="IBV5" s="28"/>
      <c r="IBW5" s="28"/>
      <c r="IBX5" s="28"/>
      <c r="IBY5" s="28"/>
      <c r="IBZ5" s="28"/>
      <c r="ICA5" s="28"/>
      <c r="ICB5" s="28"/>
      <c r="ICC5" s="28"/>
      <c r="ICD5" s="28"/>
      <c r="ICE5" s="28"/>
      <c r="ICF5" s="28"/>
      <c r="ICG5" s="28"/>
      <c r="ICH5" s="28"/>
      <c r="ICI5" s="28"/>
      <c r="ICJ5" s="28"/>
      <c r="ICK5" s="28"/>
      <c r="ICL5" s="28"/>
      <c r="ICM5" s="28"/>
      <c r="ICN5" s="28"/>
      <c r="ICO5" s="28"/>
      <c r="ICP5" s="28"/>
      <c r="ICQ5" s="28"/>
      <c r="ICR5" s="28"/>
      <c r="ICS5" s="28"/>
      <c r="ICT5" s="28"/>
      <c r="ICU5" s="28"/>
      <c r="ICV5" s="28"/>
      <c r="ICW5" s="28"/>
      <c r="ICX5" s="28"/>
      <c r="ICY5" s="28"/>
      <c r="ICZ5" s="28"/>
      <c r="IDA5" s="28"/>
      <c r="IDB5" s="28"/>
      <c r="IDC5" s="28"/>
      <c r="IDD5" s="28"/>
      <c r="IDE5" s="28"/>
      <c r="IDF5" s="28"/>
      <c r="IDG5" s="28"/>
      <c r="IDH5" s="28"/>
      <c r="IDI5" s="28"/>
      <c r="IDJ5" s="28"/>
      <c r="IDK5" s="28"/>
      <c r="IDL5" s="28"/>
      <c r="IDM5" s="28"/>
      <c r="IDN5" s="28"/>
      <c r="IDO5" s="28"/>
      <c r="IDP5" s="28"/>
      <c r="IDQ5" s="28"/>
      <c r="IDR5" s="28"/>
      <c r="IDS5" s="28"/>
      <c r="IDT5" s="28"/>
      <c r="IDU5" s="28"/>
      <c r="IDV5" s="28"/>
      <c r="IDW5" s="28"/>
      <c r="IDX5" s="28"/>
      <c r="IDY5" s="28"/>
      <c r="IDZ5" s="28"/>
      <c r="IEA5" s="28"/>
      <c r="IEB5" s="28"/>
      <c r="IEC5" s="28"/>
      <c r="IED5" s="28"/>
      <c r="IEE5" s="28"/>
      <c r="IEF5" s="28"/>
      <c r="IEG5" s="28"/>
      <c r="IEH5" s="28"/>
      <c r="IEI5" s="28"/>
      <c r="IEJ5" s="28"/>
      <c r="IEK5" s="28"/>
      <c r="IEL5" s="28"/>
      <c r="IEM5" s="28"/>
      <c r="IEN5" s="28"/>
      <c r="IEO5" s="28"/>
      <c r="IEP5" s="28"/>
      <c r="IEQ5" s="28"/>
      <c r="IER5" s="28"/>
      <c r="IES5" s="28"/>
      <c r="IET5" s="28"/>
      <c r="IEU5" s="28"/>
      <c r="IEV5" s="28"/>
      <c r="IEW5" s="28"/>
      <c r="IEX5" s="28"/>
      <c r="IEY5" s="28"/>
      <c r="IEZ5" s="28"/>
      <c r="IFA5" s="28"/>
      <c r="IFB5" s="28"/>
      <c r="IFC5" s="28"/>
      <c r="IFD5" s="28"/>
      <c r="IFE5" s="28"/>
      <c r="IFF5" s="28"/>
      <c r="IFG5" s="28"/>
      <c r="IFH5" s="28"/>
      <c r="IFI5" s="28"/>
      <c r="IFJ5" s="28"/>
      <c r="IFK5" s="28"/>
      <c r="IFL5" s="28"/>
      <c r="IFM5" s="28"/>
      <c r="IFN5" s="28"/>
      <c r="IFO5" s="28"/>
      <c r="IFP5" s="28"/>
      <c r="IFQ5" s="28"/>
      <c r="IFR5" s="28"/>
      <c r="IFS5" s="28"/>
      <c r="IFT5" s="28"/>
      <c r="IFU5" s="28"/>
      <c r="IFV5" s="28"/>
      <c r="IFW5" s="28"/>
      <c r="IFX5" s="28"/>
      <c r="IFY5" s="28"/>
      <c r="IFZ5" s="28"/>
      <c r="IGA5" s="28"/>
      <c r="IGB5" s="28"/>
      <c r="IGC5" s="28"/>
      <c r="IGD5" s="28"/>
      <c r="IGE5" s="28"/>
      <c r="IGF5" s="28"/>
      <c r="IGG5" s="28"/>
      <c r="IGH5" s="28"/>
      <c r="IGI5" s="28"/>
      <c r="IGJ5" s="28"/>
      <c r="IGK5" s="28"/>
      <c r="IGL5" s="28"/>
      <c r="IGM5" s="28"/>
      <c r="IGN5" s="28"/>
      <c r="IGO5" s="28"/>
      <c r="IGP5" s="28"/>
      <c r="IGQ5" s="28"/>
      <c r="IGR5" s="28"/>
      <c r="IGS5" s="28"/>
      <c r="IGT5" s="28"/>
      <c r="IGU5" s="28"/>
      <c r="IGV5" s="28"/>
      <c r="IGW5" s="28"/>
      <c r="IGX5" s="28"/>
      <c r="IGY5" s="28"/>
      <c r="IGZ5" s="28"/>
      <c r="IHA5" s="28"/>
      <c r="IHB5" s="28"/>
      <c r="IHC5" s="28"/>
      <c r="IHD5" s="28"/>
      <c r="IHE5" s="28"/>
      <c r="IHF5" s="28"/>
      <c r="IHG5" s="28"/>
      <c r="IHH5" s="28"/>
      <c r="IHI5" s="28"/>
      <c r="IHJ5" s="28"/>
      <c r="IHK5" s="28"/>
      <c r="IHL5" s="28"/>
      <c r="IHM5" s="28"/>
      <c r="IHN5" s="28"/>
      <c r="IHO5" s="28"/>
      <c r="IHP5" s="28"/>
      <c r="IHQ5" s="28"/>
      <c r="IHR5" s="28"/>
      <c r="IHS5" s="28"/>
      <c r="IHT5" s="28"/>
      <c r="IHU5" s="28"/>
      <c r="IHV5" s="28"/>
      <c r="IHW5" s="28"/>
      <c r="IHX5" s="28"/>
      <c r="IHY5" s="28"/>
      <c r="IHZ5" s="28"/>
      <c r="IIA5" s="28"/>
      <c r="IIB5" s="28"/>
      <c r="IIC5" s="28"/>
      <c r="IID5" s="28"/>
      <c r="IIE5" s="28"/>
      <c r="IIF5" s="28"/>
      <c r="IIG5" s="28"/>
      <c r="IIH5" s="28"/>
      <c r="III5" s="28"/>
      <c r="IIJ5" s="28"/>
      <c r="IIK5" s="28"/>
      <c r="IIL5" s="28"/>
      <c r="IIM5" s="28"/>
      <c r="IIN5" s="28"/>
      <c r="IIO5" s="28"/>
      <c r="IIP5" s="28"/>
      <c r="IIQ5" s="28"/>
      <c r="IIR5" s="28"/>
      <c r="IIS5" s="28"/>
      <c r="IIT5" s="28"/>
      <c r="IIU5" s="28"/>
      <c r="IIV5" s="28"/>
      <c r="IIW5" s="28"/>
      <c r="IIX5" s="28"/>
      <c r="IIY5" s="28"/>
      <c r="IIZ5" s="28"/>
      <c r="IJA5" s="28"/>
      <c r="IJB5" s="28"/>
      <c r="IJC5" s="28"/>
      <c r="IJD5" s="28"/>
      <c r="IJE5" s="28"/>
      <c r="IJF5" s="28"/>
      <c r="IJG5" s="28"/>
      <c r="IJH5" s="28"/>
      <c r="IJI5" s="28"/>
      <c r="IJJ5" s="28"/>
      <c r="IJK5" s="28"/>
      <c r="IJL5" s="28"/>
      <c r="IJM5" s="28"/>
      <c r="IJN5" s="28"/>
      <c r="IJO5" s="28"/>
      <c r="IJP5" s="28"/>
      <c r="IJQ5" s="28"/>
      <c r="IJR5" s="28"/>
      <c r="IJS5" s="28"/>
      <c r="IJT5" s="28"/>
      <c r="IJU5" s="28"/>
      <c r="IJV5" s="28"/>
      <c r="IJW5" s="28"/>
      <c r="IJX5" s="28"/>
      <c r="IJY5" s="28"/>
      <c r="IJZ5" s="28"/>
      <c r="IKA5" s="28"/>
      <c r="IKB5" s="28"/>
      <c r="IKC5" s="28"/>
      <c r="IKD5" s="28"/>
      <c r="IKE5" s="28"/>
      <c r="IKF5" s="28"/>
      <c r="IKG5" s="28"/>
      <c r="IKH5" s="28"/>
      <c r="IKI5" s="28"/>
      <c r="IKJ5" s="28"/>
      <c r="IKK5" s="28"/>
      <c r="IKL5" s="28"/>
      <c r="IKM5" s="28"/>
      <c r="IKN5" s="28"/>
      <c r="IKO5" s="28"/>
      <c r="IKP5" s="28"/>
      <c r="IKQ5" s="28"/>
      <c r="IKR5" s="28"/>
      <c r="IKS5" s="28"/>
      <c r="IKT5" s="28"/>
      <c r="IKU5" s="28"/>
      <c r="IKV5" s="28"/>
      <c r="IKW5" s="28"/>
      <c r="IKX5" s="28"/>
      <c r="IKY5" s="28"/>
      <c r="IKZ5" s="28"/>
      <c r="ILA5" s="28"/>
      <c r="ILB5" s="28"/>
      <c r="ILC5" s="28"/>
      <c r="ILD5" s="28"/>
      <c r="ILE5" s="28"/>
      <c r="ILF5" s="28"/>
      <c r="ILG5" s="28"/>
      <c r="ILH5" s="28"/>
      <c r="ILI5" s="28"/>
      <c r="ILJ5" s="28"/>
      <c r="ILK5" s="28"/>
      <c r="ILL5" s="28"/>
      <c r="ILM5" s="28"/>
      <c r="ILN5" s="28"/>
      <c r="ILO5" s="28"/>
      <c r="ILP5" s="28"/>
      <c r="ILQ5" s="28"/>
      <c r="ILR5" s="28"/>
      <c r="ILS5" s="28"/>
      <c r="ILT5" s="28"/>
      <c r="ILU5" s="28"/>
      <c r="ILV5" s="28"/>
      <c r="ILW5" s="28"/>
      <c r="ILX5" s="28"/>
      <c r="ILY5" s="28"/>
      <c r="ILZ5" s="28"/>
      <c r="IMA5" s="28"/>
      <c r="IMB5" s="28"/>
      <c r="IMC5" s="28"/>
      <c r="IMD5" s="28"/>
      <c r="IME5" s="28"/>
      <c r="IMF5" s="28"/>
      <c r="IMG5" s="28"/>
      <c r="IMH5" s="28"/>
      <c r="IMI5" s="28"/>
      <c r="IMJ5" s="28"/>
      <c r="IMK5" s="28"/>
      <c r="IML5" s="28"/>
      <c r="IMM5" s="28"/>
      <c r="IMN5" s="28"/>
      <c r="IMO5" s="28"/>
      <c r="IMP5" s="28"/>
      <c r="IMQ5" s="28"/>
      <c r="IMR5" s="28"/>
      <c r="IMS5" s="28"/>
      <c r="IMT5" s="28"/>
      <c r="IMU5" s="28"/>
      <c r="IMV5" s="28"/>
      <c r="IMW5" s="28"/>
      <c r="IMX5" s="28"/>
      <c r="IMY5" s="28"/>
      <c r="IMZ5" s="28"/>
      <c r="INA5" s="28"/>
      <c r="INB5" s="28"/>
      <c r="INC5" s="28"/>
      <c r="IND5" s="28"/>
      <c r="INE5" s="28"/>
      <c r="INF5" s="28"/>
      <c r="ING5" s="28"/>
      <c r="INH5" s="28"/>
      <c r="INI5" s="28"/>
      <c r="INJ5" s="28"/>
      <c r="INK5" s="28"/>
      <c r="INL5" s="28"/>
      <c r="INM5" s="28"/>
      <c r="INN5" s="28"/>
      <c r="INO5" s="28"/>
      <c r="INP5" s="28"/>
      <c r="INQ5" s="28"/>
      <c r="INR5" s="28"/>
      <c r="INS5" s="28"/>
      <c r="INT5" s="28"/>
      <c r="INU5" s="28"/>
      <c r="INV5" s="28"/>
      <c r="INW5" s="28"/>
      <c r="INX5" s="28"/>
      <c r="INY5" s="28"/>
      <c r="INZ5" s="28"/>
      <c r="IOA5" s="28"/>
      <c r="IOB5" s="28"/>
      <c r="IOC5" s="28"/>
      <c r="IOD5" s="28"/>
      <c r="IOE5" s="28"/>
      <c r="IOF5" s="28"/>
      <c r="IOG5" s="28"/>
      <c r="IOH5" s="28"/>
      <c r="IOI5" s="28"/>
      <c r="IOJ5" s="28"/>
      <c r="IOK5" s="28"/>
      <c r="IOL5" s="28"/>
      <c r="IOM5" s="28"/>
      <c r="ION5" s="28"/>
      <c r="IOO5" s="28"/>
      <c r="IOP5" s="28"/>
      <c r="IOQ5" s="28"/>
      <c r="IOR5" s="28"/>
      <c r="IOS5" s="28"/>
      <c r="IOT5" s="28"/>
      <c r="IOU5" s="28"/>
      <c r="IOV5" s="28"/>
      <c r="IOW5" s="28"/>
      <c r="IOX5" s="28"/>
      <c r="IOY5" s="28"/>
      <c r="IOZ5" s="28"/>
      <c r="IPA5" s="28"/>
      <c r="IPB5" s="28"/>
      <c r="IPC5" s="28"/>
      <c r="IPD5" s="28"/>
      <c r="IPE5" s="28"/>
      <c r="IPF5" s="28"/>
      <c r="IPG5" s="28"/>
      <c r="IPH5" s="28"/>
      <c r="IPI5" s="28"/>
      <c r="IPJ5" s="28"/>
      <c r="IPK5" s="28"/>
      <c r="IPL5" s="28"/>
      <c r="IPM5" s="28"/>
      <c r="IPN5" s="28"/>
      <c r="IPO5" s="28"/>
      <c r="IPP5" s="28"/>
      <c r="IPQ5" s="28"/>
      <c r="IPR5" s="28"/>
      <c r="IPS5" s="28"/>
      <c r="IPT5" s="28"/>
      <c r="IPU5" s="28"/>
      <c r="IPV5" s="28"/>
      <c r="IPW5" s="28"/>
      <c r="IPX5" s="28"/>
      <c r="IPY5" s="28"/>
      <c r="IPZ5" s="28"/>
      <c r="IQA5" s="28"/>
      <c r="IQB5" s="28"/>
      <c r="IQC5" s="28"/>
      <c r="IQD5" s="28"/>
      <c r="IQE5" s="28"/>
      <c r="IQF5" s="28"/>
      <c r="IQG5" s="28"/>
      <c r="IQH5" s="28"/>
      <c r="IQI5" s="28"/>
      <c r="IQJ5" s="28"/>
      <c r="IQK5" s="28"/>
      <c r="IQL5" s="28"/>
      <c r="IQM5" s="28"/>
      <c r="IQN5" s="28"/>
      <c r="IQO5" s="28"/>
      <c r="IQP5" s="28"/>
      <c r="IQQ5" s="28"/>
      <c r="IQR5" s="28"/>
      <c r="IQS5" s="28"/>
      <c r="IQT5" s="28"/>
      <c r="IQU5" s="28"/>
      <c r="IQV5" s="28"/>
      <c r="IQW5" s="28"/>
      <c r="IQX5" s="28"/>
      <c r="IQY5" s="28"/>
      <c r="IQZ5" s="28"/>
      <c r="IRA5" s="28"/>
      <c r="IRB5" s="28"/>
      <c r="IRC5" s="28"/>
      <c r="IRD5" s="28"/>
      <c r="IRE5" s="28"/>
      <c r="IRF5" s="28"/>
      <c r="IRG5" s="28"/>
      <c r="IRH5" s="28"/>
      <c r="IRI5" s="28"/>
      <c r="IRJ5" s="28"/>
      <c r="IRK5" s="28"/>
      <c r="IRL5" s="28"/>
      <c r="IRM5" s="28"/>
      <c r="IRN5" s="28"/>
      <c r="IRO5" s="28"/>
      <c r="IRP5" s="28"/>
      <c r="IRQ5" s="28"/>
      <c r="IRR5" s="28"/>
      <c r="IRS5" s="28"/>
      <c r="IRT5" s="28"/>
      <c r="IRU5" s="28"/>
      <c r="IRV5" s="28"/>
      <c r="IRW5" s="28"/>
      <c r="IRX5" s="28"/>
      <c r="IRY5" s="28"/>
      <c r="IRZ5" s="28"/>
      <c r="ISA5" s="28"/>
      <c r="ISB5" s="28"/>
      <c r="ISC5" s="28"/>
      <c r="ISD5" s="28"/>
      <c r="ISE5" s="28"/>
      <c r="ISF5" s="28"/>
      <c r="ISG5" s="28"/>
      <c r="ISH5" s="28"/>
      <c r="ISI5" s="28"/>
      <c r="ISJ5" s="28"/>
      <c r="ISK5" s="28"/>
      <c r="ISL5" s="28"/>
      <c r="ISM5" s="28"/>
      <c r="ISN5" s="28"/>
      <c r="ISO5" s="28"/>
      <c r="ISP5" s="28"/>
      <c r="ISQ5" s="28"/>
      <c r="ISR5" s="28"/>
      <c r="ISS5" s="28"/>
      <c r="IST5" s="28"/>
      <c r="ISU5" s="28"/>
      <c r="ISV5" s="28"/>
      <c r="ISW5" s="28"/>
      <c r="ISX5" s="28"/>
      <c r="ISY5" s="28"/>
      <c r="ISZ5" s="28"/>
      <c r="ITA5" s="28"/>
      <c r="ITB5" s="28"/>
      <c r="ITC5" s="28"/>
      <c r="ITD5" s="28"/>
      <c r="ITE5" s="28"/>
      <c r="ITF5" s="28"/>
      <c r="ITG5" s="28"/>
      <c r="ITH5" s="28"/>
      <c r="ITI5" s="28"/>
      <c r="ITJ5" s="28"/>
      <c r="ITK5" s="28"/>
      <c r="ITL5" s="28"/>
      <c r="ITM5" s="28"/>
      <c r="ITN5" s="28"/>
      <c r="ITO5" s="28"/>
      <c r="ITP5" s="28"/>
      <c r="ITQ5" s="28"/>
      <c r="ITR5" s="28"/>
      <c r="ITS5" s="28"/>
      <c r="ITT5" s="28"/>
      <c r="ITU5" s="28"/>
      <c r="ITV5" s="28"/>
      <c r="ITW5" s="28"/>
      <c r="ITX5" s="28"/>
      <c r="ITY5" s="28"/>
      <c r="ITZ5" s="28"/>
      <c r="IUA5" s="28"/>
      <c r="IUB5" s="28"/>
      <c r="IUC5" s="28"/>
      <c r="IUD5" s="28"/>
      <c r="IUE5" s="28"/>
      <c r="IUF5" s="28"/>
      <c r="IUG5" s="28"/>
      <c r="IUH5" s="28"/>
      <c r="IUI5" s="28"/>
      <c r="IUJ5" s="28"/>
      <c r="IUK5" s="28"/>
      <c r="IUL5" s="28"/>
      <c r="IUM5" s="28"/>
      <c r="IUN5" s="28"/>
      <c r="IUO5" s="28"/>
      <c r="IUP5" s="28"/>
      <c r="IUQ5" s="28"/>
      <c r="IUR5" s="28"/>
      <c r="IUS5" s="28"/>
      <c r="IUT5" s="28"/>
      <c r="IUU5" s="28"/>
      <c r="IUV5" s="28"/>
      <c r="IUW5" s="28"/>
      <c r="IUX5" s="28"/>
      <c r="IUY5" s="28"/>
      <c r="IUZ5" s="28"/>
      <c r="IVA5" s="28"/>
      <c r="IVB5" s="28"/>
      <c r="IVC5" s="28"/>
      <c r="IVD5" s="28"/>
      <c r="IVE5" s="28"/>
      <c r="IVF5" s="28"/>
      <c r="IVG5" s="28"/>
      <c r="IVH5" s="28"/>
      <c r="IVI5" s="28"/>
      <c r="IVJ5" s="28"/>
      <c r="IVK5" s="28"/>
      <c r="IVL5" s="28"/>
      <c r="IVM5" s="28"/>
      <c r="IVN5" s="28"/>
      <c r="IVO5" s="28"/>
      <c r="IVP5" s="28"/>
      <c r="IVQ5" s="28"/>
      <c r="IVR5" s="28"/>
      <c r="IVS5" s="28"/>
      <c r="IVT5" s="28"/>
      <c r="IVU5" s="28"/>
      <c r="IVV5" s="28"/>
      <c r="IVW5" s="28"/>
      <c r="IVX5" s="28"/>
      <c r="IVY5" s="28"/>
      <c r="IVZ5" s="28"/>
      <c r="IWA5" s="28"/>
      <c r="IWB5" s="28"/>
      <c r="IWC5" s="28"/>
      <c r="IWD5" s="28"/>
      <c r="IWE5" s="28"/>
      <c r="IWF5" s="28"/>
      <c r="IWG5" s="28"/>
      <c r="IWH5" s="28"/>
      <c r="IWI5" s="28"/>
      <c r="IWJ5" s="28"/>
      <c r="IWK5" s="28"/>
      <c r="IWL5" s="28"/>
      <c r="IWM5" s="28"/>
      <c r="IWN5" s="28"/>
      <c r="IWO5" s="28"/>
      <c r="IWP5" s="28"/>
      <c r="IWQ5" s="28"/>
      <c r="IWR5" s="28"/>
      <c r="IWS5" s="28"/>
      <c r="IWT5" s="28"/>
      <c r="IWU5" s="28"/>
      <c r="IWV5" s="28"/>
      <c r="IWW5" s="28"/>
      <c r="IWX5" s="28"/>
      <c r="IWY5" s="28"/>
      <c r="IWZ5" s="28"/>
      <c r="IXA5" s="28"/>
      <c r="IXB5" s="28"/>
      <c r="IXC5" s="28"/>
      <c r="IXD5" s="28"/>
      <c r="IXE5" s="28"/>
      <c r="IXF5" s="28"/>
      <c r="IXG5" s="28"/>
      <c r="IXH5" s="28"/>
      <c r="IXI5" s="28"/>
      <c r="IXJ5" s="28"/>
      <c r="IXK5" s="28"/>
      <c r="IXL5" s="28"/>
      <c r="IXM5" s="28"/>
      <c r="IXN5" s="28"/>
      <c r="IXO5" s="28"/>
      <c r="IXP5" s="28"/>
      <c r="IXQ5" s="28"/>
      <c r="IXR5" s="28"/>
      <c r="IXS5" s="28"/>
      <c r="IXT5" s="28"/>
      <c r="IXU5" s="28"/>
      <c r="IXV5" s="28"/>
      <c r="IXW5" s="28"/>
      <c r="IXX5" s="28"/>
      <c r="IXY5" s="28"/>
      <c r="IXZ5" s="28"/>
      <c r="IYA5" s="28"/>
      <c r="IYB5" s="28"/>
      <c r="IYC5" s="28"/>
      <c r="IYD5" s="28"/>
      <c r="IYE5" s="28"/>
      <c r="IYF5" s="28"/>
      <c r="IYG5" s="28"/>
      <c r="IYH5" s="28"/>
      <c r="IYI5" s="28"/>
      <c r="IYJ5" s="28"/>
      <c r="IYK5" s="28"/>
      <c r="IYL5" s="28"/>
      <c r="IYM5" s="28"/>
      <c r="IYN5" s="28"/>
      <c r="IYO5" s="28"/>
      <c r="IYP5" s="28"/>
      <c r="IYQ5" s="28"/>
      <c r="IYR5" s="28"/>
      <c r="IYS5" s="28"/>
      <c r="IYT5" s="28"/>
      <c r="IYU5" s="28"/>
      <c r="IYV5" s="28"/>
      <c r="IYW5" s="28"/>
      <c r="IYX5" s="28"/>
      <c r="IYY5" s="28"/>
      <c r="IYZ5" s="28"/>
      <c r="IZA5" s="28"/>
      <c r="IZB5" s="28"/>
      <c r="IZC5" s="28"/>
      <c r="IZD5" s="28"/>
      <c r="IZE5" s="28"/>
      <c r="IZF5" s="28"/>
      <c r="IZG5" s="28"/>
      <c r="IZH5" s="28"/>
      <c r="IZI5" s="28"/>
      <c r="IZJ5" s="28"/>
      <c r="IZK5" s="28"/>
      <c r="IZL5" s="28"/>
      <c r="IZM5" s="28"/>
      <c r="IZN5" s="28"/>
      <c r="IZO5" s="28"/>
      <c r="IZP5" s="28"/>
      <c r="IZQ5" s="28"/>
      <c r="IZR5" s="28"/>
      <c r="IZS5" s="28"/>
      <c r="IZT5" s="28"/>
      <c r="IZU5" s="28"/>
      <c r="IZV5" s="28"/>
      <c r="IZW5" s="28"/>
      <c r="IZX5" s="28"/>
      <c r="IZY5" s="28"/>
      <c r="IZZ5" s="28"/>
      <c r="JAA5" s="28"/>
      <c r="JAB5" s="28"/>
      <c r="JAC5" s="28"/>
      <c r="JAD5" s="28"/>
      <c r="JAE5" s="28"/>
      <c r="JAF5" s="28"/>
      <c r="JAG5" s="28"/>
      <c r="JAH5" s="28"/>
      <c r="JAI5" s="28"/>
      <c r="JAJ5" s="28"/>
      <c r="JAK5" s="28"/>
      <c r="JAL5" s="28"/>
      <c r="JAM5" s="28"/>
      <c r="JAN5" s="28"/>
      <c r="JAO5" s="28"/>
      <c r="JAP5" s="28"/>
      <c r="JAQ5" s="28"/>
      <c r="JAR5" s="28"/>
      <c r="JAS5" s="28"/>
      <c r="JAT5" s="28"/>
      <c r="JAU5" s="28"/>
      <c r="JAV5" s="28"/>
      <c r="JAW5" s="28"/>
      <c r="JAX5" s="28"/>
      <c r="JAY5" s="28"/>
      <c r="JAZ5" s="28"/>
      <c r="JBA5" s="28"/>
      <c r="JBB5" s="28"/>
      <c r="JBC5" s="28"/>
      <c r="JBD5" s="28"/>
      <c r="JBE5" s="28"/>
      <c r="JBF5" s="28"/>
      <c r="JBG5" s="28"/>
      <c r="JBH5" s="28"/>
      <c r="JBI5" s="28"/>
      <c r="JBJ5" s="28"/>
      <c r="JBK5" s="28"/>
      <c r="JBL5" s="28"/>
      <c r="JBM5" s="28"/>
      <c r="JBN5" s="28"/>
      <c r="JBO5" s="28"/>
      <c r="JBP5" s="28"/>
      <c r="JBQ5" s="28"/>
      <c r="JBR5" s="28"/>
      <c r="JBS5" s="28"/>
      <c r="JBT5" s="28"/>
      <c r="JBU5" s="28"/>
      <c r="JBV5" s="28"/>
      <c r="JBW5" s="28"/>
      <c r="JBX5" s="28"/>
      <c r="JBY5" s="28"/>
      <c r="JBZ5" s="28"/>
      <c r="JCA5" s="28"/>
      <c r="JCB5" s="28"/>
      <c r="JCC5" s="28"/>
      <c r="JCD5" s="28"/>
      <c r="JCE5" s="28"/>
      <c r="JCF5" s="28"/>
      <c r="JCG5" s="28"/>
      <c r="JCH5" s="28"/>
      <c r="JCI5" s="28"/>
      <c r="JCJ5" s="28"/>
      <c r="JCK5" s="28"/>
      <c r="JCL5" s="28"/>
      <c r="JCM5" s="28"/>
      <c r="JCN5" s="28"/>
      <c r="JCO5" s="28"/>
      <c r="JCP5" s="28"/>
      <c r="JCQ5" s="28"/>
      <c r="JCR5" s="28"/>
      <c r="JCS5" s="28"/>
      <c r="JCT5" s="28"/>
      <c r="JCU5" s="28"/>
      <c r="JCV5" s="28"/>
      <c r="JCW5" s="28"/>
      <c r="JCX5" s="28"/>
      <c r="JCY5" s="28"/>
      <c r="JCZ5" s="28"/>
      <c r="JDA5" s="28"/>
      <c r="JDB5" s="28"/>
      <c r="JDC5" s="28"/>
      <c r="JDD5" s="28"/>
      <c r="JDE5" s="28"/>
      <c r="JDF5" s="28"/>
      <c r="JDG5" s="28"/>
      <c r="JDH5" s="28"/>
      <c r="JDI5" s="28"/>
      <c r="JDJ5" s="28"/>
      <c r="JDK5" s="28"/>
      <c r="JDL5" s="28"/>
      <c r="JDM5" s="28"/>
      <c r="JDN5" s="28"/>
      <c r="JDO5" s="28"/>
      <c r="JDP5" s="28"/>
      <c r="JDQ5" s="28"/>
      <c r="JDR5" s="28"/>
      <c r="JDS5" s="28"/>
      <c r="JDT5" s="28"/>
      <c r="JDU5" s="28"/>
      <c r="JDV5" s="28"/>
      <c r="JDW5" s="28"/>
      <c r="JDX5" s="28"/>
      <c r="JDY5" s="28"/>
      <c r="JDZ5" s="28"/>
      <c r="JEA5" s="28"/>
      <c r="JEB5" s="28"/>
      <c r="JEC5" s="28"/>
      <c r="JED5" s="28"/>
      <c r="JEE5" s="28"/>
      <c r="JEF5" s="28"/>
      <c r="JEG5" s="28"/>
      <c r="JEH5" s="28"/>
      <c r="JEI5" s="28"/>
      <c r="JEJ5" s="28"/>
      <c r="JEK5" s="28"/>
      <c r="JEL5" s="28"/>
      <c r="JEM5" s="28"/>
      <c r="JEN5" s="28"/>
      <c r="JEO5" s="28"/>
      <c r="JEP5" s="28"/>
      <c r="JEQ5" s="28"/>
      <c r="JER5" s="28"/>
      <c r="JES5" s="28"/>
      <c r="JET5" s="28"/>
      <c r="JEU5" s="28"/>
      <c r="JEV5" s="28"/>
      <c r="JEW5" s="28"/>
      <c r="JEX5" s="28"/>
      <c r="JEY5" s="28"/>
      <c r="JEZ5" s="28"/>
      <c r="JFA5" s="28"/>
      <c r="JFB5" s="28"/>
      <c r="JFC5" s="28"/>
      <c r="JFD5" s="28"/>
      <c r="JFE5" s="28"/>
      <c r="JFF5" s="28"/>
      <c r="JFG5" s="28"/>
      <c r="JFH5" s="28"/>
      <c r="JFI5" s="28"/>
      <c r="JFJ5" s="28"/>
      <c r="JFK5" s="28"/>
      <c r="JFL5" s="28"/>
      <c r="JFM5" s="28"/>
      <c r="JFN5" s="28"/>
      <c r="JFO5" s="28"/>
      <c r="JFP5" s="28"/>
      <c r="JFQ5" s="28"/>
      <c r="JFR5" s="28"/>
      <c r="JFS5" s="28"/>
      <c r="JFT5" s="28"/>
      <c r="JFU5" s="28"/>
      <c r="JFV5" s="28"/>
      <c r="JFW5" s="28"/>
      <c r="JFX5" s="28"/>
      <c r="JFY5" s="28"/>
      <c r="JFZ5" s="28"/>
      <c r="JGA5" s="28"/>
      <c r="JGB5" s="28"/>
      <c r="JGC5" s="28"/>
      <c r="JGD5" s="28"/>
      <c r="JGE5" s="28"/>
      <c r="JGF5" s="28"/>
      <c r="JGG5" s="28"/>
      <c r="JGH5" s="28"/>
      <c r="JGI5" s="28"/>
      <c r="JGJ5" s="28"/>
      <c r="JGK5" s="28"/>
      <c r="JGL5" s="28"/>
      <c r="JGM5" s="28"/>
      <c r="JGN5" s="28"/>
      <c r="JGO5" s="28"/>
      <c r="JGP5" s="28"/>
      <c r="JGQ5" s="28"/>
      <c r="JGR5" s="28"/>
      <c r="JGS5" s="28"/>
      <c r="JGT5" s="28"/>
      <c r="JGU5" s="28"/>
      <c r="JGV5" s="28"/>
      <c r="JGW5" s="28"/>
      <c r="JGX5" s="28"/>
      <c r="JGY5" s="28"/>
      <c r="JGZ5" s="28"/>
      <c r="JHA5" s="28"/>
      <c r="JHB5" s="28"/>
      <c r="JHC5" s="28"/>
      <c r="JHD5" s="28"/>
      <c r="JHE5" s="28"/>
      <c r="JHF5" s="28"/>
      <c r="JHG5" s="28"/>
      <c r="JHH5" s="28"/>
      <c r="JHI5" s="28"/>
      <c r="JHJ5" s="28"/>
      <c r="JHK5" s="28"/>
      <c r="JHL5" s="28"/>
      <c r="JHM5" s="28"/>
      <c r="JHN5" s="28"/>
      <c r="JHO5" s="28"/>
      <c r="JHP5" s="28"/>
      <c r="JHQ5" s="28"/>
      <c r="JHR5" s="28"/>
      <c r="JHS5" s="28"/>
      <c r="JHT5" s="28"/>
      <c r="JHU5" s="28"/>
      <c r="JHV5" s="28"/>
      <c r="JHW5" s="28"/>
      <c r="JHX5" s="28"/>
      <c r="JHY5" s="28"/>
      <c r="JHZ5" s="28"/>
      <c r="JIA5" s="28"/>
      <c r="JIB5" s="28"/>
      <c r="JIC5" s="28"/>
      <c r="JID5" s="28"/>
      <c r="JIE5" s="28"/>
      <c r="JIF5" s="28"/>
      <c r="JIG5" s="28"/>
      <c r="JIH5" s="28"/>
      <c r="JII5" s="28"/>
      <c r="JIJ5" s="28"/>
      <c r="JIK5" s="28"/>
      <c r="JIL5" s="28"/>
      <c r="JIM5" s="28"/>
      <c r="JIN5" s="28"/>
      <c r="JIO5" s="28"/>
      <c r="JIP5" s="28"/>
      <c r="JIQ5" s="28"/>
      <c r="JIR5" s="28"/>
      <c r="JIS5" s="28"/>
      <c r="JIT5" s="28"/>
      <c r="JIU5" s="28"/>
      <c r="JIV5" s="28"/>
      <c r="JIW5" s="28"/>
      <c r="JIX5" s="28"/>
      <c r="JIY5" s="28"/>
      <c r="JIZ5" s="28"/>
      <c r="JJA5" s="28"/>
      <c r="JJB5" s="28"/>
      <c r="JJC5" s="28"/>
      <c r="JJD5" s="28"/>
      <c r="JJE5" s="28"/>
      <c r="JJF5" s="28"/>
      <c r="JJG5" s="28"/>
      <c r="JJH5" s="28"/>
      <c r="JJI5" s="28"/>
      <c r="JJJ5" s="28"/>
      <c r="JJK5" s="28"/>
      <c r="JJL5" s="28"/>
      <c r="JJM5" s="28"/>
      <c r="JJN5" s="28"/>
      <c r="JJO5" s="28"/>
      <c r="JJP5" s="28"/>
      <c r="JJQ5" s="28"/>
      <c r="JJR5" s="28"/>
      <c r="JJS5" s="28"/>
      <c r="JJT5" s="28"/>
      <c r="JJU5" s="28"/>
      <c r="JJV5" s="28"/>
      <c r="JJW5" s="28"/>
      <c r="JJX5" s="28"/>
      <c r="JJY5" s="28"/>
      <c r="JJZ5" s="28"/>
      <c r="JKA5" s="28"/>
      <c r="JKB5" s="28"/>
      <c r="JKC5" s="28"/>
      <c r="JKD5" s="28"/>
      <c r="JKE5" s="28"/>
      <c r="JKF5" s="28"/>
      <c r="JKG5" s="28"/>
      <c r="JKH5" s="28"/>
      <c r="JKI5" s="28"/>
      <c r="JKJ5" s="28"/>
      <c r="JKK5" s="28"/>
      <c r="JKL5" s="28"/>
      <c r="JKM5" s="28"/>
      <c r="JKN5" s="28"/>
      <c r="JKO5" s="28"/>
      <c r="JKP5" s="28"/>
      <c r="JKQ5" s="28"/>
      <c r="JKR5" s="28"/>
      <c r="JKS5" s="28"/>
      <c r="JKT5" s="28"/>
      <c r="JKU5" s="28"/>
      <c r="JKV5" s="28"/>
      <c r="JKW5" s="28"/>
      <c r="JKX5" s="28"/>
      <c r="JKY5" s="28"/>
      <c r="JKZ5" s="28"/>
      <c r="JLA5" s="28"/>
      <c r="JLB5" s="28"/>
      <c r="JLC5" s="28"/>
      <c r="JLD5" s="28"/>
      <c r="JLE5" s="28"/>
      <c r="JLF5" s="28"/>
      <c r="JLG5" s="28"/>
      <c r="JLH5" s="28"/>
      <c r="JLI5" s="28"/>
      <c r="JLJ5" s="28"/>
      <c r="JLK5" s="28"/>
      <c r="JLL5" s="28"/>
      <c r="JLM5" s="28"/>
      <c r="JLN5" s="28"/>
      <c r="JLO5" s="28"/>
      <c r="JLP5" s="28"/>
      <c r="JLQ5" s="28"/>
      <c r="JLR5" s="28"/>
      <c r="JLS5" s="28"/>
      <c r="JLT5" s="28"/>
      <c r="JLU5" s="28"/>
      <c r="JLV5" s="28"/>
      <c r="JLW5" s="28"/>
      <c r="JLX5" s="28"/>
      <c r="JLY5" s="28"/>
      <c r="JLZ5" s="28"/>
      <c r="JMA5" s="28"/>
      <c r="JMB5" s="28"/>
      <c r="JMC5" s="28"/>
      <c r="JMD5" s="28"/>
      <c r="JME5" s="28"/>
      <c r="JMF5" s="28"/>
      <c r="JMG5" s="28"/>
      <c r="JMH5" s="28"/>
      <c r="JMI5" s="28"/>
      <c r="JMJ5" s="28"/>
      <c r="JMK5" s="28"/>
      <c r="JML5" s="28"/>
      <c r="JMM5" s="28"/>
      <c r="JMN5" s="28"/>
      <c r="JMO5" s="28"/>
      <c r="JMP5" s="28"/>
      <c r="JMQ5" s="28"/>
      <c r="JMR5" s="28"/>
      <c r="JMS5" s="28"/>
      <c r="JMT5" s="28"/>
      <c r="JMU5" s="28"/>
      <c r="JMV5" s="28"/>
      <c r="JMW5" s="28"/>
      <c r="JMX5" s="28"/>
      <c r="JMY5" s="28"/>
      <c r="JMZ5" s="28"/>
      <c r="JNA5" s="28"/>
      <c r="JNB5" s="28"/>
      <c r="JNC5" s="28"/>
      <c r="JND5" s="28"/>
      <c r="JNE5" s="28"/>
      <c r="JNF5" s="28"/>
      <c r="JNG5" s="28"/>
      <c r="JNH5" s="28"/>
      <c r="JNI5" s="28"/>
      <c r="JNJ5" s="28"/>
      <c r="JNK5" s="28"/>
      <c r="JNL5" s="28"/>
      <c r="JNM5" s="28"/>
      <c r="JNN5" s="28"/>
      <c r="JNO5" s="28"/>
      <c r="JNP5" s="28"/>
      <c r="JNQ5" s="28"/>
      <c r="JNR5" s="28"/>
      <c r="JNS5" s="28"/>
      <c r="JNT5" s="28"/>
      <c r="JNU5" s="28"/>
      <c r="JNV5" s="28"/>
      <c r="JNW5" s="28"/>
      <c r="JNX5" s="28"/>
      <c r="JNY5" s="28"/>
      <c r="JNZ5" s="28"/>
      <c r="JOA5" s="28"/>
      <c r="JOB5" s="28"/>
      <c r="JOC5" s="28"/>
      <c r="JOD5" s="28"/>
      <c r="JOE5" s="28"/>
      <c r="JOF5" s="28"/>
      <c r="JOG5" s="28"/>
      <c r="JOH5" s="28"/>
      <c r="JOI5" s="28"/>
      <c r="JOJ5" s="28"/>
      <c r="JOK5" s="28"/>
      <c r="JOL5" s="28"/>
      <c r="JOM5" s="28"/>
      <c r="JON5" s="28"/>
      <c r="JOO5" s="28"/>
      <c r="JOP5" s="28"/>
      <c r="JOQ5" s="28"/>
      <c r="JOR5" s="28"/>
      <c r="JOS5" s="28"/>
      <c r="JOT5" s="28"/>
      <c r="JOU5" s="28"/>
      <c r="JOV5" s="28"/>
      <c r="JOW5" s="28"/>
      <c r="JOX5" s="28"/>
      <c r="JOY5" s="28"/>
      <c r="JOZ5" s="28"/>
      <c r="JPA5" s="28"/>
      <c r="JPB5" s="28"/>
      <c r="JPC5" s="28"/>
      <c r="JPD5" s="28"/>
      <c r="JPE5" s="28"/>
      <c r="JPF5" s="28"/>
      <c r="JPG5" s="28"/>
      <c r="JPH5" s="28"/>
      <c r="JPI5" s="28"/>
      <c r="JPJ5" s="28"/>
      <c r="JPK5" s="28"/>
      <c r="JPL5" s="28"/>
      <c r="JPM5" s="28"/>
      <c r="JPN5" s="28"/>
      <c r="JPO5" s="28"/>
      <c r="JPP5" s="28"/>
      <c r="JPQ5" s="28"/>
      <c r="JPR5" s="28"/>
      <c r="JPS5" s="28"/>
      <c r="JPT5" s="28"/>
      <c r="JPU5" s="28"/>
      <c r="JPV5" s="28"/>
      <c r="JPW5" s="28"/>
      <c r="JPX5" s="28"/>
      <c r="JPY5" s="28"/>
      <c r="JPZ5" s="28"/>
      <c r="JQA5" s="28"/>
      <c r="JQB5" s="28"/>
      <c r="JQC5" s="28"/>
      <c r="JQD5" s="28"/>
      <c r="JQE5" s="28"/>
      <c r="JQF5" s="28"/>
      <c r="JQG5" s="28"/>
      <c r="JQH5" s="28"/>
      <c r="JQI5" s="28"/>
      <c r="JQJ5" s="28"/>
      <c r="JQK5" s="28"/>
      <c r="JQL5" s="28"/>
      <c r="JQM5" s="28"/>
      <c r="JQN5" s="28"/>
      <c r="JQO5" s="28"/>
      <c r="JQP5" s="28"/>
      <c r="JQQ5" s="28"/>
      <c r="JQR5" s="28"/>
      <c r="JQS5" s="28"/>
      <c r="JQT5" s="28"/>
      <c r="JQU5" s="28"/>
      <c r="JQV5" s="28"/>
      <c r="JQW5" s="28"/>
      <c r="JQX5" s="28"/>
      <c r="JQY5" s="28"/>
      <c r="JQZ5" s="28"/>
      <c r="JRA5" s="28"/>
      <c r="JRB5" s="28"/>
      <c r="JRC5" s="28"/>
      <c r="JRD5" s="28"/>
      <c r="JRE5" s="28"/>
      <c r="JRF5" s="28"/>
      <c r="JRG5" s="28"/>
      <c r="JRH5" s="28"/>
      <c r="JRI5" s="28"/>
      <c r="JRJ5" s="28"/>
      <c r="JRK5" s="28"/>
      <c r="JRL5" s="28"/>
      <c r="JRM5" s="28"/>
      <c r="JRN5" s="28"/>
      <c r="JRO5" s="28"/>
      <c r="JRP5" s="28"/>
      <c r="JRQ5" s="28"/>
      <c r="JRR5" s="28"/>
      <c r="JRS5" s="28"/>
      <c r="JRT5" s="28"/>
      <c r="JRU5" s="28"/>
      <c r="JRV5" s="28"/>
      <c r="JRW5" s="28"/>
      <c r="JRX5" s="28"/>
      <c r="JRY5" s="28"/>
      <c r="JRZ5" s="28"/>
      <c r="JSA5" s="28"/>
      <c r="JSB5" s="28"/>
      <c r="JSC5" s="28"/>
      <c r="JSD5" s="28"/>
      <c r="JSE5" s="28"/>
      <c r="JSF5" s="28"/>
      <c r="JSG5" s="28"/>
      <c r="JSH5" s="28"/>
      <c r="JSI5" s="28"/>
      <c r="JSJ5" s="28"/>
      <c r="JSK5" s="28"/>
      <c r="JSL5" s="28"/>
      <c r="JSM5" s="28"/>
      <c r="JSN5" s="28"/>
      <c r="JSO5" s="28"/>
      <c r="JSP5" s="28"/>
      <c r="JSQ5" s="28"/>
      <c r="JSR5" s="28"/>
      <c r="JSS5" s="28"/>
      <c r="JST5" s="28"/>
      <c r="JSU5" s="28"/>
      <c r="JSV5" s="28"/>
      <c r="JSW5" s="28"/>
      <c r="JSX5" s="28"/>
      <c r="JSY5" s="28"/>
      <c r="JSZ5" s="28"/>
      <c r="JTA5" s="28"/>
      <c r="JTB5" s="28"/>
      <c r="JTC5" s="28"/>
      <c r="JTD5" s="28"/>
      <c r="JTE5" s="28"/>
      <c r="JTF5" s="28"/>
      <c r="JTG5" s="28"/>
      <c r="JTH5" s="28"/>
      <c r="JTI5" s="28"/>
      <c r="JTJ5" s="28"/>
      <c r="JTK5" s="28"/>
      <c r="JTL5" s="28"/>
      <c r="JTM5" s="28"/>
      <c r="JTN5" s="28"/>
      <c r="JTO5" s="28"/>
      <c r="JTP5" s="28"/>
      <c r="JTQ5" s="28"/>
      <c r="JTR5" s="28"/>
      <c r="JTS5" s="28"/>
      <c r="JTT5" s="28"/>
      <c r="JTU5" s="28"/>
      <c r="JTV5" s="28"/>
      <c r="JTW5" s="28"/>
      <c r="JTX5" s="28"/>
      <c r="JTY5" s="28"/>
      <c r="JTZ5" s="28"/>
      <c r="JUA5" s="28"/>
      <c r="JUB5" s="28"/>
      <c r="JUC5" s="28"/>
      <c r="JUD5" s="28"/>
      <c r="JUE5" s="28"/>
      <c r="JUF5" s="28"/>
      <c r="JUG5" s="28"/>
      <c r="JUH5" s="28"/>
      <c r="JUI5" s="28"/>
      <c r="JUJ5" s="28"/>
      <c r="JUK5" s="28"/>
      <c r="JUL5" s="28"/>
      <c r="JUM5" s="28"/>
      <c r="JUN5" s="28"/>
      <c r="JUO5" s="28"/>
      <c r="JUP5" s="28"/>
      <c r="JUQ5" s="28"/>
      <c r="JUR5" s="28"/>
      <c r="JUS5" s="28"/>
      <c r="JUT5" s="28"/>
      <c r="JUU5" s="28"/>
      <c r="JUV5" s="28"/>
      <c r="JUW5" s="28"/>
      <c r="JUX5" s="28"/>
      <c r="JUY5" s="28"/>
      <c r="JUZ5" s="28"/>
      <c r="JVA5" s="28"/>
      <c r="JVB5" s="28"/>
      <c r="JVC5" s="28"/>
      <c r="JVD5" s="28"/>
      <c r="JVE5" s="28"/>
      <c r="JVF5" s="28"/>
      <c r="JVG5" s="28"/>
      <c r="JVH5" s="28"/>
      <c r="JVI5" s="28"/>
      <c r="JVJ5" s="28"/>
      <c r="JVK5" s="28"/>
      <c r="JVL5" s="28"/>
      <c r="JVM5" s="28"/>
      <c r="JVN5" s="28"/>
      <c r="JVO5" s="28"/>
      <c r="JVP5" s="28"/>
      <c r="JVQ5" s="28"/>
      <c r="JVR5" s="28"/>
      <c r="JVS5" s="28"/>
      <c r="JVT5" s="28"/>
      <c r="JVU5" s="28"/>
      <c r="JVV5" s="28"/>
      <c r="JVW5" s="28"/>
      <c r="JVX5" s="28"/>
      <c r="JVY5" s="28"/>
      <c r="JVZ5" s="28"/>
      <c r="JWA5" s="28"/>
      <c r="JWB5" s="28"/>
      <c r="JWC5" s="28"/>
      <c r="JWD5" s="28"/>
      <c r="JWE5" s="28"/>
      <c r="JWF5" s="28"/>
      <c r="JWG5" s="28"/>
      <c r="JWH5" s="28"/>
      <c r="JWI5" s="28"/>
      <c r="JWJ5" s="28"/>
      <c r="JWK5" s="28"/>
      <c r="JWL5" s="28"/>
      <c r="JWM5" s="28"/>
      <c r="JWN5" s="28"/>
      <c r="JWO5" s="28"/>
      <c r="JWP5" s="28"/>
      <c r="JWQ5" s="28"/>
      <c r="JWR5" s="28"/>
      <c r="JWS5" s="28"/>
      <c r="JWT5" s="28"/>
      <c r="JWU5" s="28"/>
      <c r="JWV5" s="28"/>
      <c r="JWW5" s="28"/>
      <c r="JWX5" s="28"/>
      <c r="JWY5" s="28"/>
      <c r="JWZ5" s="28"/>
      <c r="JXA5" s="28"/>
      <c r="JXB5" s="28"/>
      <c r="JXC5" s="28"/>
      <c r="JXD5" s="28"/>
      <c r="JXE5" s="28"/>
      <c r="JXF5" s="28"/>
      <c r="JXG5" s="28"/>
      <c r="JXH5" s="28"/>
      <c r="JXI5" s="28"/>
      <c r="JXJ5" s="28"/>
      <c r="JXK5" s="28"/>
      <c r="JXL5" s="28"/>
      <c r="JXM5" s="28"/>
      <c r="JXN5" s="28"/>
      <c r="JXO5" s="28"/>
      <c r="JXP5" s="28"/>
      <c r="JXQ5" s="28"/>
      <c r="JXR5" s="28"/>
      <c r="JXS5" s="28"/>
      <c r="JXT5" s="28"/>
      <c r="JXU5" s="28"/>
      <c r="JXV5" s="28"/>
      <c r="JXW5" s="28"/>
      <c r="JXX5" s="28"/>
      <c r="JXY5" s="28"/>
      <c r="JXZ5" s="28"/>
      <c r="JYA5" s="28"/>
      <c r="JYB5" s="28"/>
      <c r="JYC5" s="28"/>
      <c r="JYD5" s="28"/>
      <c r="JYE5" s="28"/>
      <c r="JYF5" s="28"/>
      <c r="JYG5" s="28"/>
      <c r="JYH5" s="28"/>
      <c r="JYI5" s="28"/>
      <c r="JYJ5" s="28"/>
      <c r="JYK5" s="28"/>
      <c r="JYL5" s="28"/>
      <c r="JYM5" s="28"/>
      <c r="JYN5" s="28"/>
      <c r="JYO5" s="28"/>
      <c r="JYP5" s="28"/>
      <c r="JYQ5" s="28"/>
      <c r="JYR5" s="28"/>
      <c r="JYS5" s="28"/>
      <c r="JYT5" s="28"/>
      <c r="JYU5" s="28"/>
      <c r="JYV5" s="28"/>
      <c r="JYW5" s="28"/>
      <c r="JYX5" s="28"/>
      <c r="JYY5" s="28"/>
      <c r="JYZ5" s="28"/>
      <c r="JZA5" s="28"/>
      <c r="JZB5" s="28"/>
      <c r="JZC5" s="28"/>
      <c r="JZD5" s="28"/>
      <c r="JZE5" s="28"/>
      <c r="JZF5" s="28"/>
      <c r="JZG5" s="28"/>
      <c r="JZH5" s="28"/>
      <c r="JZI5" s="28"/>
      <c r="JZJ5" s="28"/>
      <c r="JZK5" s="28"/>
      <c r="JZL5" s="28"/>
      <c r="JZM5" s="28"/>
      <c r="JZN5" s="28"/>
      <c r="JZO5" s="28"/>
      <c r="JZP5" s="28"/>
      <c r="JZQ5" s="28"/>
      <c r="JZR5" s="28"/>
      <c r="JZS5" s="28"/>
      <c r="JZT5" s="28"/>
      <c r="JZU5" s="28"/>
      <c r="JZV5" s="28"/>
      <c r="JZW5" s="28"/>
      <c r="JZX5" s="28"/>
      <c r="JZY5" s="28"/>
      <c r="JZZ5" s="28"/>
      <c r="KAA5" s="28"/>
      <c r="KAB5" s="28"/>
      <c r="KAC5" s="28"/>
      <c r="KAD5" s="28"/>
      <c r="KAE5" s="28"/>
      <c r="KAF5" s="28"/>
      <c r="KAG5" s="28"/>
      <c r="KAH5" s="28"/>
      <c r="KAI5" s="28"/>
      <c r="KAJ5" s="28"/>
      <c r="KAK5" s="28"/>
      <c r="KAL5" s="28"/>
      <c r="KAM5" s="28"/>
      <c r="KAN5" s="28"/>
      <c r="KAO5" s="28"/>
      <c r="KAP5" s="28"/>
      <c r="KAQ5" s="28"/>
      <c r="KAR5" s="28"/>
      <c r="KAS5" s="28"/>
      <c r="KAT5" s="28"/>
      <c r="KAU5" s="28"/>
      <c r="KAV5" s="28"/>
      <c r="KAW5" s="28"/>
      <c r="KAX5" s="28"/>
      <c r="KAY5" s="28"/>
      <c r="KAZ5" s="28"/>
      <c r="KBA5" s="28"/>
      <c r="KBB5" s="28"/>
      <c r="KBC5" s="28"/>
      <c r="KBD5" s="28"/>
      <c r="KBE5" s="28"/>
      <c r="KBF5" s="28"/>
      <c r="KBG5" s="28"/>
      <c r="KBH5" s="28"/>
      <c r="KBI5" s="28"/>
      <c r="KBJ5" s="28"/>
      <c r="KBK5" s="28"/>
      <c r="KBL5" s="28"/>
      <c r="KBM5" s="28"/>
      <c r="KBN5" s="28"/>
      <c r="KBO5" s="28"/>
      <c r="KBP5" s="28"/>
      <c r="KBQ5" s="28"/>
      <c r="KBR5" s="28"/>
      <c r="KBS5" s="28"/>
      <c r="KBT5" s="28"/>
      <c r="KBU5" s="28"/>
      <c r="KBV5" s="28"/>
      <c r="KBW5" s="28"/>
      <c r="KBX5" s="28"/>
      <c r="KBY5" s="28"/>
      <c r="KBZ5" s="28"/>
      <c r="KCA5" s="28"/>
      <c r="KCB5" s="28"/>
      <c r="KCC5" s="28"/>
      <c r="KCD5" s="28"/>
      <c r="KCE5" s="28"/>
      <c r="KCF5" s="28"/>
      <c r="KCG5" s="28"/>
      <c r="KCH5" s="28"/>
      <c r="KCI5" s="28"/>
      <c r="KCJ5" s="28"/>
      <c r="KCK5" s="28"/>
      <c r="KCL5" s="28"/>
      <c r="KCM5" s="28"/>
      <c r="KCN5" s="28"/>
      <c r="KCO5" s="28"/>
      <c r="KCP5" s="28"/>
      <c r="KCQ5" s="28"/>
      <c r="KCR5" s="28"/>
      <c r="KCS5" s="28"/>
      <c r="KCT5" s="28"/>
      <c r="KCU5" s="28"/>
      <c r="KCV5" s="28"/>
      <c r="KCW5" s="28"/>
      <c r="KCX5" s="28"/>
      <c r="KCY5" s="28"/>
      <c r="KCZ5" s="28"/>
      <c r="KDA5" s="28"/>
      <c r="KDB5" s="28"/>
      <c r="KDC5" s="28"/>
      <c r="KDD5" s="28"/>
      <c r="KDE5" s="28"/>
      <c r="KDF5" s="28"/>
      <c r="KDG5" s="28"/>
      <c r="KDH5" s="28"/>
      <c r="KDI5" s="28"/>
      <c r="KDJ5" s="28"/>
      <c r="KDK5" s="28"/>
      <c r="KDL5" s="28"/>
      <c r="KDM5" s="28"/>
      <c r="KDN5" s="28"/>
      <c r="KDO5" s="28"/>
      <c r="KDP5" s="28"/>
      <c r="KDQ5" s="28"/>
      <c r="KDR5" s="28"/>
      <c r="KDS5" s="28"/>
      <c r="KDT5" s="28"/>
      <c r="KDU5" s="28"/>
      <c r="KDV5" s="28"/>
      <c r="KDW5" s="28"/>
      <c r="KDX5" s="28"/>
      <c r="KDY5" s="28"/>
      <c r="KDZ5" s="28"/>
      <c r="KEA5" s="28"/>
      <c r="KEB5" s="28"/>
      <c r="KEC5" s="28"/>
      <c r="KED5" s="28"/>
      <c r="KEE5" s="28"/>
      <c r="KEF5" s="28"/>
      <c r="KEG5" s="28"/>
      <c r="KEH5" s="28"/>
      <c r="KEI5" s="28"/>
      <c r="KEJ5" s="28"/>
      <c r="KEK5" s="28"/>
      <c r="KEL5" s="28"/>
      <c r="KEM5" s="28"/>
      <c r="KEN5" s="28"/>
      <c r="KEO5" s="28"/>
      <c r="KEP5" s="28"/>
      <c r="KEQ5" s="28"/>
      <c r="KER5" s="28"/>
      <c r="KES5" s="28"/>
      <c r="KET5" s="28"/>
      <c r="KEU5" s="28"/>
      <c r="KEV5" s="28"/>
      <c r="KEW5" s="28"/>
      <c r="KEX5" s="28"/>
      <c r="KEY5" s="28"/>
      <c r="KEZ5" s="28"/>
      <c r="KFA5" s="28"/>
      <c r="KFB5" s="28"/>
      <c r="KFC5" s="28"/>
      <c r="KFD5" s="28"/>
      <c r="KFE5" s="28"/>
      <c r="KFF5" s="28"/>
      <c r="KFG5" s="28"/>
      <c r="KFH5" s="28"/>
      <c r="KFI5" s="28"/>
      <c r="KFJ5" s="28"/>
      <c r="KFK5" s="28"/>
      <c r="KFL5" s="28"/>
      <c r="KFM5" s="28"/>
      <c r="KFN5" s="28"/>
      <c r="KFO5" s="28"/>
      <c r="KFP5" s="28"/>
      <c r="KFQ5" s="28"/>
      <c r="KFR5" s="28"/>
      <c r="KFS5" s="28"/>
      <c r="KFT5" s="28"/>
      <c r="KFU5" s="28"/>
      <c r="KFV5" s="28"/>
      <c r="KFW5" s="28"/>
      <c r="KFX5" s="28"/>
      <c r="KFY5" s="28"/>
      <c r="KFZ5" s="28"/>
      <c r="KGA5" s="28"/>
      <c r="KGB5" s="28"/>
      <c r="KGC5" s="28"/>
      <c r="KGD5" s="28"/>
      <c r="KGE5" s="28"/>
      <c r="KGF5" s="28"/>
      <c r="KGG5" s="28"/>
      <c r="KGH5" s="28"/>
      <c r="KGI5" s="28"/>
      <c r="KGJ5" s="28"/>
      <c r="KGK5" s="28"/>
      <c r="KGL5" s="28"/>
      <c r="KGM5" s="28"/>
      <c r="KGN5" s="28"/>
      <c r="KGO5" s="28"/>
      <c r="KGP5" s="28"/>
      <c r="KGQ5" s="28"/>
      <c r="KGR5" s="28"/>
      <c r="KGS5" s="28"/>
      <c r="KGT5" s="28"/>
      <c r="KGU5" s="28"/>
      <c r="KGV5" s="28"/>
      <c r="KGW5" s="28"/>
      <c r="KGX5" s="28"/>
      <c r="KGY5" s="28"/>
      <c r="KGZ5" s="28"/>
      <c r="KHA5" s="28"/>
      <c r="KHB5" s="28"/>
      <c r="KHC5" s="28"/>
      <c r="KHD5" s="28"/>
      <c r="KHE5" s="28"/>
      <c r="KHF5" s="28"/>
      <c r="KHG5" s="28"/>
      <c r="KHH5" s="28"/>
      <c r="KHI5" s="28"/>
      <c r="KHJ5" s="28"/>
      <c r="KHK5" s="28"/>
      <c r="KHL5" s="28"/>
      <c r="KHM5" s="28"/>
      <c r="KHN5" s="28"/>
      <c r="KHO5" s="28"/>
      <c r="KHP5" s="28"/>
      <c r="KHQ5" s="28"/>
      <c r="KHR5" s="28"/>
      <c r="KHS5" s="28"/>
      <c r="KHT5" s="28"/>
      <c r="KHU5" s="28"/>
      <c r="KHV5" s="28"/>
      <c r="KHW5" s="28"/>
      <c r="KHX5" s="28"/>
      <c r="KHY5" s="28"/>
      <c r="KHZ5" s="28"/>
      <c r="KIA5" s="28"/>
      <c r="KIB5" s="28"/>
      <c r="KIC5" s="28"/>
      <c r="KID5" s="28"/>
      <c r="KIE5" s="28"/>
      <c r="KIF5" s="28"/>
      <c r="KIG5" s="28"/>
      <c r="KIH5" s="28"/>
      <c r="KII5" s="28"/>
      <c r="KIJ5" s="28"/>
      <c r="KIK5" s="28"/>
      <c r="KIL5" s="28"/>
      <c r="KIM5" s="28"/>
      <c r="KIN5" s="28"/>
      <c r="KIO5" s="28"/>
      <c r="KIP5" s="28"/>
      <c r="KIQ5" s="28"/>
      <c r="KIR5" s="28"/>
      <c r="KIS5" s="28"/>
      <c r="KIT5" s="28"/>
      <c r="KIU5" s="28"/>
      <c r="KIV5" s="28"/>
      <c r="KIW5" s="28"/>
      <c r="KIX5" s="28"/>
      <c r="KIY5" s="28"/>
      <c r="KIZ5" s="28"/>
      <c r="KJA5" s="28"/>
      <c r="KJB5" s="28"/>
      <c r="KJC5" s="28"/>
      <c r="KJD5" s="28"/>
      <c r="KJE5" s="28"/>
      <c r="KJF5" s="28"/>
      <c r="KJG5" s="28"/>
      <c r="KJH5" s="28"/>
      <c r="KJI5" s="28"/>
      <c r="KJJ5" s="28"/>
      <c r="KJK5" s="28"/>
      <c r="KJL5" s="28"/>
      <c r="KJM5" s="28"/>
      <c r="KJN5" s="28"/>
      <c r="KJO5" s="28"/>
      <c r="KJP5" s="28"/>
      <c r="KJQ5" s="28"/>
      <c r="KJR5" s="28"/>
      <c r="KJS5" s="28"/>
      <c r="KJT5" s="28"/>
      <c r="KJU5" s="28"/>
      <c r="KJV5" s="28"/>
      <c r="KJW5" s="28"/>
      <c r="KJX5" s="28"/>
      <c r="KJY5" s="28"/>
      <c r="KJZ5" s="28"/>
      <c r="KKA5" s="28"/>
      <c r="KKB5" s="28"/>
      <c r="KKC5" s="28"/>
      <c r="KKD5" s="28"/>
      <c r="KKE5" s="28"/>
      <c r="KKF5" s="28"/>
      <c r="KKG5" s="28"/>
      <c r="KKH5" s="28"/>
      <c r="KKI5" s="28"/>
      <c r="KKJ5" s="28"/>
      <c r="KKK5" s="28"/>
      <c r="KKL5" s="28"/>
      <c r="KKM5" s="28"/>
      <c r="KKN5" s="28"/>
      <c r="KKO5" s="28"/>
      <c r="KKP5" s="28"/>
      <c r="KKQ5" s="28"/>
      <c r="KKR5" s="28"/>
      <c r="KKS5" s="28"/>
      <c r="KKT5" s="28"/>
      <c r="KKU5" s="28"/>
      <c r="KKV5" s="28"/>
      <c r="KKW5" s="28"/>
      <c r="KKX5" s="28"/>
      <c r="KKY5" s="28"/>
      <c r="KKZ5" s="28"/>
      <c r="KLA5" s="28"/>
      <c r="KLB5" s="28"/>
      <c r="KLC5" s="28"/>
      <c r="KLD5" s="28"/>
      <c r="KLE5" s="28"/>
      <c r="KLF5" s="28"/>
      <c r="KLG5" s="28"/>
      <c r="KLH5" s="28"/>
      <c r="KLI5" s="28"/>
      <c r="KLJ5" s="28"/>
      <c r="KLK5" s="28"/>
      <c r="KLL5" s="28"/>
      <c r="KLM5" s="28"/>
      <c r="KLN5" s="28"/>
      <c r="KLO5" s="28"/>
      <c r="KLP5" s="28"/>
      <c r="KLQ5" s="28"/>
      <c r="KLR5" s="28"/>
      <c r="KLS5" s="28"/>
      <c r="KLT5" s="28"/>
      <c r="KLU5" s="28"/>
      <c r="KLV5" s="28"/>
      <c r="KLW5" s="28"/>
      <c r="KLX5" s="28"/>
      <c r="KLY5" s="28"/>
      <c r="KLZ5" s="28"/>
      <c r="KMA5" s="28"/>
      <c r="KMB5" s="28"/>
      <c r="KMC5" s="28"/>
      <c r="KMD5" s="28"/>
      <c r="KME5" s="28"/>
      <c r="KMF5" s="28"/>
      <c r="KMG5" s="28"/>
      <c r="KMH5" s="28"/>
      <c r="KMI5" s="28"/>
      <c r="KMJ5" s="28"/>
      <c r="KMK5" s="28"/>
      <c r="KML5" s="28"/>
      <c r="KMM5" s="28"/>
      <c r="KMN5" s="28"/>
      <c r="KMO5" s="28"/>
      <c r="KMP5" s="28"/>
      <c r="KMQ5" s="28"/>
      <c r="KMR5" s="28"/>
      <c r="KMS5" s="28"/>
      <c r="KMT5" s="28"/>
      <c r="KMU5" s="28"/>
      <c r="KMV5" s="28"/>
      <c r="KMW5" s="28"/>
      <c r="KMX5" s="28"/>
      <c r="KMY5" s="28"/>
      <c r="KMZ5" s="28"/>
      <c r="KNA5" s="28"/>
      <c r="KNB5" s="28"/>
      <c r="KNC5" s="28"/>
      <c r="KND5" s="28"/>
      <c r="KNE5" s="28"/>
      <c r="KNF5" s="28"/>
      <c r="KNG5" s="28"/>
      <c r="KNH5" s="28"/>
      <c r="KNI5" s="28"/>
      <c r="KNJ5" s="28"/>
      <c r="KNK5" s="28"/>
      <c r="KNL5" s="28"/>
      <c r="KNM5" s="28"/>
      <c r="KNN5" s="28"/>
      <c r="KNO5" s="28"/>
      <c r="KNP5" s="28"/>
      <c r="KNQ5" s="28"/>
      <c r="KNR5" s="28"/>
      <c r="KNS5" s="28"/>
      <c r="KNT5" s="28"/>
      <c r="KNU5" s="28"/>
      <c r="KNV5" s="28"/>
      <c r="KNW5" s="28"/>
      <c r="KNX5" s="28"/>
      <c r="KNY5" s="28"/>
      <c r="KNZ5" s="28"/>
      <c r="KOA5" s="28"/>
      <c r="KOB5" s="28"/>
      <c r="KOC5" s="28"/>
      <c r="KOD5" s="28"/>
      <c r="KOE5" s="28"/>
      <c r="KOF5" s="28"/>
      <c r="KOG5" s="28"/>
      <c r="KOH5" s="28"/>
      <c r="KOI5" s="28"/>
      <c r="KOJ5" s="28"/>
      <c r="KOK5" s="28"/>
      <c r="KOL5" s="28"/>
      <c r="KOM5" s="28"/>
      <c r="KON5" s="28"/>
      <c r="KOO5" s="28"/>
      <c r="KOP5" s="28"/>
      <c r="KOQ5" s="28"/>
      <c r="KOR5" s="28"/>
      <c r="KOS5" s="28"/>
      <c r="KOT5" s="28"/>
      <c r="KOU5" s="28"/>
      <c r="KOV5" s="28"/>
      <c r="KOW5" s="28"/>
      <c r="KOX5" s="28"/>
      <c r="KOY5" s="28"/>
      <c r="KOZ5" s="28"/>
      <c r="KPA5" s="28"/>
      <c r="KPB5" s="28"/>
      <c r="KPC5" s="28"/>
      <c r="KPD5" s="28"/>
      <c r="KPE5" s="28"/>
      <c r="KPF5" s="28"/>
      <c r="KPG5" s="28"/>
      <c r="KPH5" s="28"/>
      <c r="KPI5" s="28"/>
      <c r="KPJ5" s="28"/>
      <c r="KPK5" s="28"/>
      <c r="KPL5" s="28"/>
      <c r="KPM5" s="28"/>
      <c r="KPN5" s="28"/>
      <c r="KPO5" s="28"/>
      <c r="KPP5" s="28"/>
      <c r="KPQ5" s="28"/>
      <c r="KPR5" s="28"/>
      <c r="KPS5" s="28"/>
      <c r="KPT5" s="28"/>
      <c r="KPU5" s="28"/>
      <c r="KPV5" s="28"/>
      <c r="KPW5" s="28"/>
      <c r="KPX5" s="28"/>
      <c r="KPY5" s="28"/>
      <c r="KPZ5" s="28"/>
      <c r="KQA5" s="28"/>
      <c r="KQB5" s="28"/>
      <c r="KQC5" s="28"/>
      <c r="KQD5" s="28"/>
      <c r="KQE5" s="28"/>
      <c r="KQF5" s="28"/>
      <c r="KQG5" s="28"/>
      <c r="KQH5" s="28"/>
      <c r="KQI5" s="28"/>
      <c r="KQJ5" s="28"/>
      <c r="KQK5" s="28"/>
      <c r="KQL5" s="28"/>
      <c r="KQM5" s="28"/>
      <c r="KQN5" s="28"/>
      <c r="KQO5" s="28"/>
      <c r="KQP5" s="28"/>
      <c r="KQQ5" s="28"/>
      <c r="KQR5" s="28"/>
      <c r="KQS5" s="28"/>
      <c r="KQT5" s="28"/>
      <c r="KQU5" s="28"/>
      <c r="KQV5" s="28"/>
      <c r="KQW5" s="28"/>
      <c r="KQX5" s="28"/>
      <c r="KQY5" s="28"/>
      <c r="KQZ5" s="28"/>
      <c r="KRA5" s="28"/>
      <c r="KRB5" s="28"/>
      <c r="KRC5" s="28"/>
      <c r="KRD5" s="28"/>
      <c r="KRE5" s="28"/>
      <c r="KRF5" s="28"/>
      <c r="KRG5" s="28"/>
      <c r="KRH5" s="28"/>
      <c r="KRI5" s="28"/>
      <c r="KRJ5" s="28"/>
      <c r="KRK5" s="28"/>
      <c r="KRL5" s="28"/>
      <c r="KRM5" s="28"/>
      <c r="KRN5" s="28"/>
      <c r="KRO5" s="28"/>
      <c r="KRP5" s="28"/>
      <c r="KRQ5" s="28"/>
      <c r="KRR5" s="28"/>
      <c r="KRS5" s="28"/>
      <c r="KRT5" s="28"/>
      <c r="KRU5" s="28"/>
      <c r="KRV5" s="28"/>
      <c r="KRW5" s="28"/>
      <c r="KRX5" s="28"/>
      <c r="KRY5" s="28"/>
      <c r="KRZ5" s="28"/>
      <c r="KSA5" s="28"/>
      <c r="KSB5" s="28"/>
      <c r="KSC5" s="28"/>
      <c r="KSD5" s="28"/>
      <c r="KSE5" s="28"/>
      <c r="KSF5" s="28"/>
      <c r="KSG5" s="28"/>
      <c r="KSH5" s="28"/>
      <c r="KSI5" s="28"/>
      <c r="KSJ5" s="28"/>
      <c r="KSK5" s="28"/>
      <c r="KSL5" s="28"/>
      <c r="KSM5" s="28"/>
      <c r="KSN5" s="28"/>
      <c r="KSO5" s="28"/>
      <c r="KSP5" s="28"/>
      <c r="KSQ5" s="28"/>
      <c r="KSR5" s="28"/>
      <c r="KSS5" s="28"/>
      <c r="KST5" s="28"/>
      <c r="KSU5" s="28"/>
      <c r="KSV5" s="28"/>
      <c r="KSW5" s="28"/>
      <c r="KSX5" s="28"/>
      <c r="KSY5" s="28"/>
      <c r="KSZ5" s="28"/>
      <c r="KTA5" s="28"/>
      <c r="KTB5" s="28"/>
      <c r="KTC5" s="28"/>
      <c r="KTD5" s="28"/>
      <c r="KTE5" s="28"/>
      <c r="KTF5" s="28"/>
      <c r="KTG5" s="28"/>
      <c r="KTH5" s="28"/>
      <c r="KTI5" s="28"/>
      <c r="KTJ5" s="28"/>
      <c r="KTK5" s="28"/>
      <c r="KTL5" s="28"/>
      <c r="KTM5" s="28"/>
      <c r="KTN5" s="28"/>
      <c r="KTO5" s="28"/>
      <c r="KTP5" s="28"/>
      <c r="KTQ5" s="28"/>
      <c r="KTR5" s="28"/>
      <c r="KTS5" s="28"/>
      <c r="KTT5" s="28"/>
      <c r="KTU5" s="28"/>
      <c r="KTV5" s="28"/>
      <c r="KTW5" s="28"/>
      <c r="KTX5" s="28"/>
      <c r="KTY5" s="28"/>
      <c r="KTZ5" s="28"/>
      <c r="KUA5" s="28"/>
      <c r="KUB5" s="28"/>
      <c r="KUC5" s="28"/>
      <c r="KUD5" s="28"/>
      <c r="KUE5" s="28"/>
      <c r="KUF5" s="28"/>
      <c r="KUG5" s="28"/>
      <c r="KUH5" s="28"/>
      <c r="KUI5" s="28"/>
      <c r="KUJ5" s="28"/>
      <c r="KUK5" s="28"/>
      <c r="KUL5" s="28"/>
      <c r="KUM5" s="28"/>
      <c r="KUN5" s="28"/>
      <c r="KUO5" s="28"/>
      <c r="KUP5" s="28"/>
      <c r="KUQ5" s="28"/>
      <c r="KUR5" s="28"/>
      <c r="KUS5" s="28"/>
      <c r="KUT5" s="28"/>
      <c r="KUU5" s="28"/>
      <c r="KUV5" s="28"/>
      <c r="KUW5" s="28"/>
      <c r="KUX5" s="28"/>
      <c r="KUY5" s="28"/>
      <c r="KUZ5" s="28"/>
      <c r="KVA5" s="28"/>
      <c r="KVB5" s="28"/>
      <c r="KVC5" s="28"/>
      <c r="KVD5" s="28"/>
      <c r="KVE5" s="28"/>
      <c r="KVF5" s="28"/>
      <c r="KVG5" s="28"/>
      <c r="KVH5" s="28"/>
      <c r="KVI5" s="28"/>
      <c r="KVJ5" s="28"/>
      <c r="KVK5" s="28"/>
      <c r="KVL5" s="28"/>
      <c r="KVM5" s="28"/>
      <c r="KVN5" s="28"/>
      <c r="KVO5" s="28"/>
      <c r="KVP5" s="28"/>
      <c r="KVQ5" s="28"/>
      <c r="KVR5" s="28"/>
      <c r="KVS5" s="28"/>
      <c r="KVT5" s="28"/>
      <c r="KVU5" s="28"/>
      <c r="KVV5" s="28"/>
      <c r="KVW5" s="28"/>
      <c r="KVX5" s="28"/>
      <c r="KVY5" s="28"/>
      <c r="KVZ5" s="28"/>
      <c r="KWA5" s="28"/>
      <c r="KWB5" s="28"/>
      <c r="KWC5" s="28"/>
      <c r="KWD5" s="28"/>
      <c r="KWE5" s="28"/>
      <c r="KWF5" s="28"/>
      <c r="KWG5" s="28"/>
      <c r="KWH5" s="28"/>
      <c r="KWI5" s="28"/>
      <c r="KWJ5" s="28"/>
      <c r="KWK5" s="28"/>
      <c r="KWL5" s="28"/>
      <c r="KWM5" s="28"/>
      <c r="KWN5" s="28"/>
      <c r="KWO5" s="28"/>
      <c r="KWP5" s="28"/>
      <c r="KWQ5" s="28"/>
      <c r="KWR5" s="28"/>
      <c r="KWS5" s="28"/>
      <c r="KWT5" s="28"/>
      <c r="KWU5" s="28"/>
      <c r="KWV5" s="28"/>
      <c r="KWW5" s="28"/>
      <c r="KWX5" s="28"/>
      <c r="KWY5" s="28"/>
      <c r="KWZ5" s="28"/>
      <c r="KXA5" s="28"/>
      <c r="KXB5" s="28"/>
      <c r="KXC5" s="28"/>
      <c r="KXD5" s="28"/>
      <c r="KXE5" s="28"/>
      <c r="KXF5" s="28"/>
      <c r="KXG5" s="28"/>
      <c r="KXH5" s="28"/>
      <c r="KXI5" s="28"/>
      <c r="KXJ5" s="28"/>
      <c r="KXK5" s="28"/>
      <c r="KXL5" s="28"/>
      <c r="KXM5" s="28"/>
      <c r="KXN5" s="28"/>
      <c r="KXO5" s="28"/>
      <c r="KXP5" s="28"/>
      <c r="KXQ5" s="28"/>
      <c r="KXR5" s="28"/>
      <c r="KXS5" s="28"/>
      <c r="KXT5" s="28"/>
      <c r="KXU5" s="28"/>
      <c r="KXV5" s="28"/>
      <c r="KXW5" s="28"/>
      <c r="KXX5" s="28"/>
      <c r="KXY5" s="28"/>
      <c r="KXZ5" s="28"/>
      <c r="KYA5" s="28"/>
      <c r="KYB5" s="28"/>
      <c r="KYC5" s="28"/>
      <c r="KYD5" s="28"/>
      <c r="KYE5" s="28"/>
      <c r="KYF5" s="28"/>
      <c r="KYG5" s="28"/>
      <c r="KYH5" s="28"/>
      <c r="KYI5" s="28"/>
      <c r="KYJ5" s="28"/>
      <c r="KYK5" s="28"/>
      <c r="KYL5" s="28"/>
      <c r="KYM5" s="28"/>
      <c r="KYN5" s="28"/>
      <c r="KYO5" s="28"/>
      <c r="KYP5" s="28"/>
      <c r="KYQ5" s="28"/>
      <c r="KYR5" s="28"/>
      <c r="KYS5" s="28"/>
      <c r="KYT5" s="28"/>
      <c r="KYU5" s="28"/>
      <c r="KYV5" s="28"/>
      <c r="KYW5" s="28"/>
      <c r="KYX5" s="28"/>
      <c r="KYY5" s="28"/>
      <c r="KYZ5" s="28"/>
      <c r="KZA5" s="28"/>
      <c r="KZB5" s="28"/>
      <c r="KZC5" s="28"/>
      <c r="KZD5" s="28"/>
      <c r="KZE5" s="28"/>
      <c r="KZF5" s="28"/>
      <c r="KZG5" s="28"/>
      <c r="KZH5" s="28"/>
      <c r="KZI5" s="28"/>
      <c r="KZJ5" s="28"/>
      <c r="KZK5" s="28"/>
      <c r="KZL5" s="28"/>
      <c r="KZM5" s="28"/>
      <c r="KZN5" s="28"/>
      <c r="KZO5" s="28"/>
      <c r="KZP5" s="28"/>
      <c r="KZQ5" s="28"/>
      <c r="KZR5" s="28"/>
      <c r="KZS5" s="28"/>
      <c r="KZT5" s="28"/>
      <c r="KZU5" s="28"/>
      <c r="KZV5" s="28"/>
      <c r="KZW5" s="28"/>
      <c r="KZX5" s="28"/>
      <c r="KZY5" s="28"/>
      <c r="KZZ5" s="28"/>
      <c r="LAA5" s="28"/>
      <c r="LAB5" s="28"/>
      <c r="LAC5" s="28"/>
      <c r="LAD5" s="28"/>
      <c r="LAE5" s="28"/>
      <c r="LAF5" s="28"/>
      <c r="LAG5" s="28"/>
      <c r="LAH5" s="28"/>
      <c r="LAI5" s="28"/>
      <c r="LAJ5" s="28"/>
      <c r="LAK5" s="28"/>
      <c r="LAL5" s="28"/>
      <c r="LAM5" s="28"/>
      <c r="LAN5" s="28"/>
      <c r="LAO5" s="28"/>
      <c r="LAP5" s="28"/>
      <c r="LAQ5" s="28"/>
      <c r="LAR5" s="28"/>
      <c r="LAS5" s="28"/>
      <c r="LAT5" s="28"/>
      <c r="LAU5" s="28"/>
      <c r="LAV5" s="28"/>
      <c r="LAW5" s="28"/>
      <c r="LAX5" s="28"/>
      <c r="LAY5" s="28"/>
      <c r="LAZ5" s="28"/>
      <c r="LBA5" s="28"/>
      <c r="LBB5" s="28"/>
      <c r="LBC5" s="28"/>
      <c r="LBD5" s="28"/>
      <c r="LBE5" s="28"/>
      <c r="LBF5" s="28"/>
      <c r="LBG5" s="28"/>
      <c r="LBH5" s="28"/>
      <c r="LBI5" s="28"/>
      <c r="LBJ5" s="28"/>
      <c r="LBK5" s="28"/>
      <c r="LBL5" s="28"/>
      <c r="LBM5" s="28"/>
      <c r="LBN5" s="28"/>
      <c r="LBO5" s="28"/>
      <c r="LBP5" s="28"/>
      <c r="LBQ5" s="28"/>
      <c r="LBR5" s="28"/>
      <c r="LBS5" s="28"/>
      <c r="LBT5" s="28"/>
      <c r="LBU5" s="28"/>
      <c r="LBV5" s="28"/>
      <c r="LBW5" s="28"/>
      <c r="LBX5" s="28"/>
      <c r="LBY5" s="28"/>
      <c r="LBZ5" s="28"/>
      <c r="LCA5" s="28"/>
      <c r="LCB5" s="28"/>
      <c r="LCC5" s="28"/>
      <c r="LCD5" s="28"/>
      <c r="LCE5" s="28"/>
      <c r="LCF5" s="28"/>
      <c r="LCG5" s="28"/>
      <c r="LCH5" s="28"/>
      <c r="LCI5" s="28"/>
      <c r="LCJ5" s="28"/>
      <c r="LCK5" s="28"/>
      <c r="LCL5" s="28"/>
      <c r="LCM5" s="28"/>
      <c r="LCN5" s="28"/>
      <c r="LCO5" s="28"/>
      <c r="LCP5" s="28"/>
      <c r="LCQ5" s="28"/>
      <c r="LCR5" s="28"/>
      <c r="LCS5" s="28"/>
      <c r="LCT5" s="28"/>
      <c r="LCU5" s="28"/>
      <c r="LCV5" s="28"/>
      <c r="LCW5" s="28"/>
      <c r="LCX5" s="28"/>
      <c r="LCY5" s="28"/>
      <c r="LCZ5" s="28"/>
      <c r="LDA5" s="28"/>
      <c r="LDB5" s="28"/>
      <c r="LDC5" s="28"/>
      <c r="LDD5" s="28"/>
      <c r="LDE5" s="28"/>
      <c r="LDF5" s="28"/>
      <c r="LDG5" s="28"/>
      <c r="LDH5" s="28"/>
      <c r="LDI5" s="28"/>
      <c r="LDJ5" s="28"/>
      <c r="LDK5" s="28"/>
      <c r="LDL5" s="28"/>
      <c r="LDM5" s="28"/>
      <c r="LDN5" s="28"/>
      <c r="LDO5" s="28"/>
      <c r="LDP5" s="28"/>
      <c r="LDQ5" s="28"/>
      <c r="LDR5" s="28"/>
      <c r="LDS5" s="28"/>
      <c r="LDT5" s="28"/>
      <c r="LDU5" s="28"/>
      <c r="LDV5" s="28"/>
      <c r="LDW5" s="28"/>
      <c r="LDX5" s="28"/>
      <c r="LDY5" s="28"/>
      <c r="LDZ5" s="28"/>
      <c r="LEA5" s="28"/>
      <c r="LEB5" s="28"/>
      <c r="LEC5" s="28"/>
      <c r="LED5" s="28"/>
      <c r="LEE5" s="28"/>
      <c r="LEF5" s="28"/>
      <c r="LEG5" s="28"/>
      <c r="LEH5" s="28"/>
      <c r="LEI5" s="28"/>
      <c r="LEJ5" s="28"/>
      <c r="LEK5" s="28"/>
      <c r="LEL5" s="28"/>
      <c r="LEM5" s="28"/>
      <c r="LEN5" s="28"/>
      <c r="LEO5" s="28"/>
      <c r="LEP5" s="28"/>
      <c r="LEQ5" s="28"/>
      <c r="LER5" s="28"/>
      <c r="LES5" s="28"/>
      <c r="LET5" s="28"/>
      <c r="LEU5" s="28"/>
      <c r="LEV5" s="28"/>
      <c r="LEW5" s="28"/>
      <c r="LEX5" s="28"/>
      <c r="LEY5" s="28"/>
      <c r="LEZ5" s="28"/>
      <c r="LFA5" s="28"/>
      <c r="LFB5" s="28"/>
      <c r="LFC5" s="28"/>
      <c r="LFD5" s="28"/>
      <c r="LFE5" s="28"/>
      <c r="LFF5" s="28"/>
      <c r="LFG5" s="28"/>
      <c r="LFH5" s="28"/>
      <c r="LFI5" s="28"/>
      <c r="LFJ5" s="28"/>
      <c r="LFK5" s="28"/>
      <c r="LFL5" s="28"/>
      <c r="LFM5" s="28"/>
      <c r="LFN5" s="28"/>
      <c r="LFO5" s="28"/>
      <c r="LFP5" s="28"/>
      <c r="LFQ5" s="28"/>
      <c r="LFR5" s="28"/>
      <c r="LFS5" s="28"/>
      <c r="LFT5" s="28"/>
      <c r="LFU5" s="28"/>
      <c r="LFV5" s="28"/>
      <c r="LFW5" s="28"/>
      <c r="LFX5" s="28"/>
      <c r="LFY5" s="28"/>
      <c r="LFZ5" s="28"/>
      <c r="LGA5" s="28"/>
      <c r="LGB5" s="28"/>
      <c r="LGC5" s="28"/>
      <c r="LGD5" s="28"/>
      <c r="LGE5" s="28"/>
      <c r="LGF5" s="28"/>
      <c r="LGG5" s="28"/>
      <c r="LGH5" s="28"/>
      <c r="LGI5" s="28"/>
      <c r="LGJ5" s="28"/>
      <c r="LGK5" s="28"/>
      <c r="LGL5" s="28"/>
      <c r="LGM5" s="28"/>
      <c r="LGN5" s="28"/>
      <c r="LGO5" s="28"/>
      <c r="LGP5" s="28"/>
      <c r="LGQ5" s="28"/>
      <c r="LGR5" s="28"/>
      <c r="LGS5" s="28"/>
      <c r="LGT5" s="28"/>
      <c r="LGU5" s="28"/>
      <c r="LGV5" s="28"/>
      <c r="LGW5" s="28"/>
      <c r="LGX5" s="28"/>
      <c r="LGY5" s="28"/>
      <c r="LGZ5" s="28"/>
      <c r="LHA5" s="28"/>
      <c r="LHB5" s="28"/>
      <c r="LHC5" s="28"/>
      <c r="LHD5" s="28"/>
      <c r="LHE5" s="28"/>
      <c r="LHF5" s="28"/>
      <c r="LHG5" s="28"/>
      <c r="LHH5" s="28"/>
      <c r="LHI5" s="28"/>
      <c r="LHJ5" s="28"/>
      <c r="LHK5" s="28"/>
      <c r="LHL5" s="28"/>
      <c r="LHM5" s="28"/>
      <c r="LHN5" s="28"/>
      <c r="LHO5" s="28"/>
      <c r="LHP5" s="28"/>
      <c r="LHQ5" s="28"/>
      <c r="LHR5" s="28"/>
      <c r="LHS5" s="28"/>
      <c r="LHT5" s="28"/>
      <c r="LHU5" s="28"/>
      <c r="LHV5" s="28"/>
      <c r="LHW5" s="28"/>
      <c r="LHX5" s="28"/>
      <c r="LHY5" s="28"/>
      <c r="LHZ5" s="28"/>
      <c r="LIA5" s="28"/>
      <c r="LIB5" s="28"/>
      <c r="LIC5" s="28"/>
      <c r="LID5" s="28"/>
      <c r="LIE5" s="28"/>
      <c r="LIF5" s="28"/>
      <c r="LIG5" s="28"/>
      <c r="LIH5" s="28"/>
      <c r="LII5" s="28"/>
      <c r="LIJ5" s="28"/>
      <c r="LIK5" s="28"/>
      <c r="LIL5" s="28"/>
      <c r="LIM5" s="28"/>
      <c r="LIN5" s="28"/>
      <c r="LIO5" s="28"/>
      <c r="LIP5" s="28"/>
      <c r="LIQ5" s="28"/>
      <c r="LIR5" s="28"/>
      <c r="LIS5" s="28"/>
      <c r="LIT5" s="28"/>
      <c r="LIU5" s="28"/>
      <c r="LIV5" s="28"/>
      <c r="LIW5" s="28"/>
      <c r="LIX5" s="28"/>
      <c r="LIY5" s="28"/>
      <c r="LIZ5" s="28"/>
      <c r="LJA5" s="28"/>
      <c r="LJB5" s="28"/>
      <c r="LJC5" s="28"/>
      <c r="LJD5" s="28"/>
      <c r="LJE5" s="28"/>
      <c r="LJF5" s="28"/>
      <c r="LJG5" s="28"/>
      <c r="LJH5" s="28"/>
      <c r="LJI5" s="28"/>
      <c r="LJJ5" s="28"/>
      <c r="LJK5" s="28"/>
      <c r="LJL5" s="28"/>
      <c r="LJM5" s="28"/>
      <c r="LJN5" s="28"/>
      <c r="LJO5" s="28"/>
      <c r="LJP5" s="28"/>
      <c r="LJQ5" s="28"/>
      <c r="LJR5" s="28"/>
      <c r="LJS5" s="28"/>
      <c r="LJT5" s="28"/>
      <c r="LJU5" s="28"/>
      <c r="LJV5" s="28"/>
      <c r="LJW5" s="28"/>
      <c r="LJX5" s="28"/>
      <c r="LJY5" s="28"/>
      <c r="LJZ5" s="28"/>
      <c r="LKA5" s="28"/>
      <c r="LKB5" s="28"/>
      <c r="LKC5" s="28"/>
      <c r="LKD5" s="28"/>
      <c r="LKE5" s="28"/>
      <c r="LKF5" s="28"/>
      <c r="LKG5" s="28"/>
      <c r="LKH5" s="28"/>
      <c r="LKI5" s="28"/>
      <c r="LKJ5" s="28"/>
      <c r="LKK5" s="28"/>
      <c r="LKL5" s="28"/>
      <c r="LKM5" s="28"/>
      <c r="LKN5" s="28"/>
      <c r="LKO5" s="28"/>
      <c r="LKP5" s="28"/>
      <c r="LKQ5" s="28"/>
      <c r="LKR5" s="28"/>
      <c r="LKS5" s="28"/>
      <c r="LKT5" s="28"/>
      <c r="LKU5" s="28"/>
      <c r="LKV5" s="28"/>
      <c r="LKW5" s="28"/>
      <c r="LKX5" s="28"/>
      <c r="LKY5" s="28"/>
      <c r="LKZ5" s="28"/>
      <c r="LLA5" s="28"/>
      <c r="LLB5" s="28"/>
      <c r="LLC5" s="28"/>
      <c r="LLD5" s="28"/>
      <c r="LLE5" s="28"/>
      <c r="LLF5" s="28"/>
      <c r="LLG5" s="28"/>
      <c r="LLH5" s="28"/>
      <c r="LLI5" s="28"/>
      <c r="LLJ5" s="28"/>
      <c r="LLK5" s="28"/>
      <c r="LLL5" s="28"/>
      <c r="LLM5" s="28"/>
      <c r="LLN5" s="28"/>
      <c r="LLO5" s="28"/>
      <c r="LLP5" s="28"/>
      <c r="LLQ5" s="28"/>
      <c r="LLR5" s="28"/>
      <c r="LLS5" s="28"/>
      <c r="LLT5" s="28"/>
      <c r="LLU5" s="28"/>
      <c r="LLV5" s="28"/>
      <c r="LLW5" s="28"/>
      <c r="LLX5" s="28"/>
      <c r="LLY5" s="28"/>
      <c r="LLZ5" s="28"/>
      <c r="LMA5" s="28"/>
      <c r="LMB5" s="28"/>
      <c r="LMC5" s="28"/>
      <c r="LMD5" s="28"/>
      <c r="LME5" s="28"/>
      <c r="LMF5" s="28"/>
      <c r="LMG5" s="28"/>
      <c r="LMH5" s="28"/>
      <c r="LMI5" s="28"/>
      <c r="LMJ5" s="28"/>
      <c r="LMK5" s="28"/>
      <c r="LML5" s="28"/>
      <c r="LMM5" s="28"/>
      <c r="LMN5" s="28"/>
      <c r="LMO5" s="28"/>
      <c r="LMP5" s="28"/>
      <c r="LMQ5" s="28"/>
      <c r="LMR5" s="28"/>
      <c r="LMS5" s="28"/>
      <c r="LMT5" s="28"/>
      <c r="LMU5" s="28"/>
      <c r="LMV5" s="28"/>
      <c r="LMW5" s="28"/>
      <c r="LMX5" s="28"/>
      <c r="LMY5" s="28"/>
      <c r="LMZ5" s="28"/>
      <c r="LNA5" s="28"/>
      <c r="LNB5" s="28"/>
      <c r="LNC5" s="28"/>
      <c r="LND5" s="28"/>
      <c r="LNE5" s="28"/>
      <c r="LNF5" s="28"/>
      <c r="LNG5" s="28"/>
      <c r="LNH5" s="28"/>
      <c r="LNI5" s="28"/>
      <c r="LNJ5" s="28"/>
      <c r="LNK5" s="28"/>
      <c r="LNL5" s="28"/>
      <c r="LNM5" s="28"/>
      <c r="LNN5" s="28"/>
      <c r="LNO5" s="28"/>
      <c r="LNP5" s="28"/>
      <c r="LNQ5" s="28"/>
      <c r="LNR5" s="28"/>
      <c r="LNS5" s="28"/>
      <c r="LNT5" s="28"/>
      <c r="LNU5" s="28"/>
      <c r="LNV5" s="28"/>
      <c r="LNW5" s="28"/>
      <c r="LNX5" s="28"/>
      <c r="LNY5" s="28"/>
      <c r="LNZ5" s="28"/>
      <c r="LOA5" s="28"/>
      <c r="LOB5" s="28"/>
      <c r="LOC5" s="28"/>
      <c r="LOD5" s="28"/>
      <c r="LOE5" s="28"/>
      <c r="LOF5" s="28"/>
      <c r="LOG5" s="28"/>
      <c r="LOH5" s="28"/>
      <c r="LOI5" s="28"/>
      <c r="LOJ5" s="28"/>
      <c r="LOK5" s="28"/>
      <c r="LOL5" s="28"/>
      <c r="LOM5" s="28"/>
      <c r="LON5" s="28"/>
      <c r="LOO5" s="28"/>
      <c r="LOP5" s="28"/>
      <c r="LOQ5" s="28"/>
      <c r="LOR5" s="28"/>
      <c r="LOS5" s="28"/>
      <c r="LOT5" s="28"/>
      <c r="LOU5" s="28"/>
      <c r="LOV5" s="28"/>
      <c r="LOW5" s="28"/>
      <c r="LOX5" s="28"/>
      <c r="LOY5" s="28"/>
      <c r="LOZ5" s="28"/>
      <c r="LPA5" s="28"/>
      <c r="LPB5" s="28"/>
      <c r="LPC5" s="28"/>
      <c r="LPD5" s="28"/>
      <c r="LPE5" s="28"/>
      <c r="LPF5" s="28"/>
      <c r="LPG5" s="28"/>
      <c r="LPH5" s="28"/>
      <c r="LPI5" s="28"/>
      <c r="LPJ5" s="28"/>
      <c r="LPK5" s="28"/>
      <c r="LPL5" s="28"/>
      <c r="LPM5" s="28"/>
      <c r="LPN5" s="28"/>
      <c r="LPO5" s="28"/>
      <c r="LPP5" s="28"/>
      <c r="LPQ5" s="28"/>
      <c r="LPR5" s="28"/>
      <c r="LPS5" s="28"/>
      <c r="LPT5" s="28"/>
      <c r="LPU5" s="28"/>
      <c r="LPV5" s="28"/>
      <c r="LPW5" s="28"/>
      <c r="LPX5" s="28"/>
      <c r="LPY5" s="28"/>
      <c r="LPZ5" s="28"/>
      <c r="LQA5" s="28"/>
      <c r="LQB5" s="28"/>
      <c r="LQC5" s="28"/>
      <c r="LQD5" s="28"/>
      <c r="LQE5" s="28"/>
      <c r="LQF5" s="28"/>
      <c r="LQG5" s="28"/>
      <c r="LQH5" s="28"/>
      <c r="LQI5" s="28"/>
      <c r="LQJ5" s="28"/>
      <c r="LQK5" s="28"/>
      <c r="LQL5" s="28"/>
      <c r="LQM5" s="28"/>
      <c r="LQN5" s="28"/>
      <c r="LQO5" s="28"/>
      <c r="LQP5" s="28"/>
      <c r="LQQ5" s="28"/>
      <c r="LQR5" s="28"/>
      <c r="LQS5" s="28"/>
      <c r="LQT5" s="28"/>
      <c r="LQU5" s="28"/>
      <c r="LQV5" s="28"/>
      <c r="LQW5" s="28"/>
      <c r="LQX5" s="28"/>
      <c r="LQY5" s="28"/>
      <c r="LQZ5" s="28"/>
      <c r="LRA5" s="28"/>
      <c r="LRB5" s="28"/>
      <c r="LRC5" s="28"/>
      <c r="LRD5" s="28"/>
      <c r="LRE5" s="28"/>
      <c r="LRF5" s="28"/>
      <c r="LRG5" s="28"/>
      <c r="LRH5" s="28"/>
      <c r="LRI5" s="28"/>
      <c r="LRJ5" s="28"/>
      <c r="LRK5" s="28"/>
      <c r="LRL5" s="28"/>
      <c r="LRM5" s="28"/>
      <c r="LRN5" s="28"/>
      <c r="LRO5" s="28"/>
      <c r="LRP5" s="28"/>
      <c r="LRQ5" s="28"/>
      <c r="LRR5" s="28"/>
      <c r="LRS5" s="28"/>
      <c r="LRT5" s="28"/>
      <c r="LRU5" s="28"/>
      <c r="LRV5" s="28"/>
      <c r="LRW5" s="28"/>
      <c r="LRX5" s="28"/>
      <c r="LRY5" s="28"/>
      <c r="LRZ5" s="28"/>
      <c r="LSA5" s="28"/>
      <c r="LSB5" s="28"/>
      <c r="LSC5" s="28"/>
      <c r="LSD5" s="28"/>
      <c r="LSE5" s="28"/>
      <c r="LSF5" s="28"/>
      <c r="LSG5" s="28"/>
      <c r="LSH5" s="28"/>
      <c r="LSI5" s="28"/>
      <c r="LSJ5" s="28"/>
      <c r="LSK5" s="28"/>
      <c r="LSL5" s="28"/>
      <c r="LSM5" s="28"/>
      <c r="LSN5" s="28"/>
      <c r="LSO5" s="28"/>
      <c r="LSP5" s="28"/>
      <c r="LSQ5" s="28"/>
      <c r="LSR5" s="28"/>
      <c r="LSS5" s="28"/>
      <c r="LST5" s="28"/>
      <c r="LSU5" s="28"/>
      <c r="LSV5" s="28"/>
      <c r="LSW5" s="28"/>
      <c r="LSX5" s="28"/>
      <c r="LSY5" s="28"/>
      <c r="LSZ5" s="28"/>
      <c r="LTA5" s="28"/>
      <c r="LTB5" s="28"/>
      <c r="LTC5" s="28"/>
      <c r="LTD5" s="28"/>
      <c r="LTE5" s="28"/>
      <c r="LTF5" s="28"/>
      <c r="LTG5" s="28"/>
      <c r="LTH5" s="28"/>
      <c r="LTI5" s="28"/>
      <c r="LTJ5" s="28"/>
      <c r="LTK5" s="28"/>
      <c r="LTL5" s="28"/>
      <c r="LTM5" s="28"/>
      <c r="LTN5" s="28"/>
      <c r="LTO5" s="28"/>
      <c r="LTP5" s="28"/>
      <c r="LTQ5" s="28"/>
      <c r="LTR5" s="28"/>
      <c r="LTS5" s="28"/>
      <c r="LTT5" s="28"/>
      <c r="LTU5" s="28"/>
      <c r="LTV5" s="28"/>
      <c r="LTW5" s="28"/>
      <c r="LTX5" s="28"/>
      <c r="LTY5" s="28"/>
      <c r="LTZ5" s="28"/>
      <c r="LUA5" s="28"/>
      <c r="LUB5" s="28"/>
      <c r="LUC5" s="28"/>
      <c r="LUD5" s="28"/>
      <c r="LUE5" s="28"/>
      <c r="LUF5" s="28"/>
      <c r="LUG5" s="28"/>
      <c r="LUH5" s="28"/>
      <c r="LUI5" s="28"/>
      <c r="LUJ5" s="28"/>
      <c r="LUK5" s="28"/>
      <c r="LUL5" s="28"/>
      <c r="LUM5" s="28"/>
      <c r="LUN5" s="28"/>
      <c r="LUO5" s="28"/>
      <c r="LUP5" s="28"/>
      <c r="LUQ5" s="28"/>
      <c r="LUR5" s="28"/>
      <c r="LUS5" s="28"/>
      <c r="LUT5" s="28"/>
      <c r="LUU5" s="28"/>
      <c r="LUV5" s="28"/>
      <c r="LUW5" s="28"/>
      <c r="LUX5" s="28"/>
      <c r="LUY5" s="28"/>
      <c r="LUZ5" s="28"/>
      <c r="LVA5" s="28"/>
      <c r="LVB5" s="28"/>
      <c r="LVC5" s="28"/>
      <c r="LVD5" s="28"/>
      <c r="LVE5" s="28"/>
      <c r="LVF5" s="28"/>
      <c r="LVG5" s="28"/>
      <c r="LVH5" s="28"/>
      <c r="LVI5" s="28"/>
      <c r="LVJ5" s="28"/>
      <c r="LVK5" s="28"/>
      <c r="LVL5" s="28"/>
      <c r="LVM5" s="28"/>
      <c r="LVN5" s="28"/>
      <c r="LVO5" s="28"/>
      <c r="LVP5" s="28"/>
      <c r="LVQ5" s="28"/>
      <c r="LVR5" s="28"/>
      <c r="LVS5" s="28"/>
      <c r="LVT5" s="28"/>
      <c r="LVU5" s="28"/>
      <c r="LVV5" s="28"/>
      <c r="LVW5" s="28"/>
      <c r="LVX5" s="28"/>
      <c r="LVY5" s="28"/>
      <c r="LVZ5" s="28"/>
      <c r="LWA5" s="28"/>
      <c r="LWB5" s="28"/>
      <c r="LWC5" s="28"/>
      <c r="LWD5" s="28"/>
      <c r="LWE5" s="28"/>
      <c r="LWF5" s="28"/>
      <c r="LWG5" s="28"/>
      <c r="LWH5" s="28"/>
      <c r="LWI5" s="28"/>
      <c r="LWJ5" s="28"/>
      <c r="LWK5" s="28"/>
      <c r="LWL5" s="28"/>
      <c r="LWM5" s="28"/>
      <c r="LWN5" s="28"/>
      <c r="LWO5" s="28"/>
      <c r="LWP5" s="28"/>
      <c r="LWQ5" s="28"/>
      <c r="LWR5" s="28"/>
      <c r="LWS5" s="28"/>
      <c r="LWT5" s="28"/>
      <c r="LWU5" s="28"/>
      <c r="LWV5" s="28"/>
      <c r="LWW5" s="28"/>
      <c r="LWX5" s="28"/>
      <c r="LWY5" s="28"/>
      <c r="LWZ5" s="28"/>
      <c r="LXA5" s="28"/>
      <c r="LXB5" s="28"/>
      <c r="LXC5" s="28"/>
      <c r="LXD5" s="28"/>
      <c r="LXE5" s="28"/>
      <c r="LXF5" s="28"/>
      <c r="LXG5" s="28"/>
      <c r="LXH5" s="28"/>
      <c r="LXI5" s="28"/>
      <c r="LXJ5" s="28"/>
      <c r="LXK5" s="28"/>
      <c r="LXL5" s="28"/>
      <c r="LXM5" s="28"/>
      <c r="LXN5" s="28"/>
      <c r="LXO5" s="28"/>
      <c r="LXP5" s="28"/>
      <c r="LXQ5" s="28"/>
      <c r="LXR5" s="28"/>
      <c r="LXS5" s="28"/>
      <c r="LXT5" s="28"/>
      <c r="LXU5" s="28"/>
      <c r="LXV5" s="28"/>
      <c r="LXW5" s="28"/>
      <c r="LXX5" s="28"/>
      <c r="LXY5" s="28"/>
      <c r="LXZ5" s="28"/>
      <c r="LYA5" s="28"/>
      <c r="LYB5" s="28"/>
      <c r="LYC5" s="28"/>
      <c r="LYD5" s="28"/>
      <c r="LYE5" s="28"/>
      <c r="LYF5" s="28"/>
      <c r="LYG5" s="28"/>
      <c r="LYH5" s="28"/>
      <c r="LYI5" s="28"/>
      <c r="LYJ5" s="28"/>
      <c r="LYK5" s="28"/>
      <c r="LYL5" s="28"/>
      <c r="LYM5" s="28"/>
      <c r="LYN5" s="28"/>
      <c r="LYO5" s="28"/>
      <c r="LYP5" s="28"/>
      <c r="LYQ5" s="28"/>
      <c r="LYR5" s="28"/>
      <c r="LYS5" s="28"/>
      <c r="LYT5" s="28"/>
      <c r="LYU5" s="28"/>
      <c r="LYV5" s="28"/>
      <c r="LYW5" s="28"/>
      <c r="LYX5" s="28"/>
      <c r="LYY5" s="28"/>
      <c r="LYZ5" s="28"/>
      <c r="LZA5" s="28"/>
      <c r="LZB5" s="28"/>
      <c r="LZC5" s="28"/>
      <c r="LZD5" s="28"/>
      <c r="LZE5" s="28"/>
      <c r="LZF5" s="28"/>
      <c r="LZG5" s="28"/>
      <c r="LZH5" s="28"/>
      <c r="LZI5" s="28"/>
      <c r="LZJ5" s="28"/>
      <c r="LZK5" s="28"/>
      <c r="LZL5" s="28"/>
      <c r="LZM5" s="28"/>
      <c r="LZN5" s="28"/>
      <c r="LZO5" s="28"/>
      <c r="LZP5" s="28"/>
      <c r="LZQ5" s="28"/>
      <c r="LZR5" s="28"/>
      <c r="LZS5" s="28"/>
      <c r="LZT5" s="28"/>
      <c r="LZU5" s="28"/>
      <c r="LZV5" s="28"/>
      <c r="LZW5" s="28"/>
      <c r="LZX5" s="28"/>
      <c r="LZY5" s="28"/>
      <c r="LZZ5" s="28"/>
      <c r="MAA5" s="28"/>
      <c r="MAB5" s="28"/>
      <c r="MAC5" s="28"/>
      <c r="MAD5" s="28"/>
      <c r="MAE5" s="28"/>
      <c r="MAF5" s="28"/>
      <c r="MAG5" s="28"/>
      <c r="MAH5" s="28"/>
      <c r="MAI5" s="28"/>
      <c r="MAJ5" s="28"/>
      <c r="MAK5" s="28"/>
      <c r="MAL5" s="28"/>
      <c r="MAM5" s="28"/>
      <c r="MAN5" s="28"/>
      <c r="MAO5" s="28"/>
      <c r="MAP5" s="28"/>
      <c r="MAQ5" s="28"/>
      <c r="MAR5" s="28"/>
      <c r="MAS5" s="28"/>
      <c r="MAT5" s="28"/>
      <c r="MAU5" s="28"/>
      <c r="MAV5" s="28"/>
      <c r="MAW5" s="28"/>
      <c r="MAX5" s="28"/>
      <c r="MAY5" s="28"/>
      <c r="MAZ5" s="28"/>
      <c r="MBA5" s="28"/>
      <c r="MBB5" s="28"/>
      <c r="MBC5" s="28"/>
      <c r="MBD5" s="28"/>
      <c r="MBE5" s="28"/>
      <c r="MBF5" s="28"/>
      <c r="MBG5" s="28"/>
      <c r="MBH5" s="28"/>
      <c r="MBI5" s="28"/>
      <c r="MBJ5" s="28"/>
      <c r="MBK5" s="28"/>
      <c r="MBL5" s="28"/>
      <c r="MBM5" s="28"/>
      <c r="MBN5" s="28"/>
      <c r="MBO5" s="28"/>
      <c r="MBP5" s="28"/>
      <c r="MBQ5" s="28"/>
      <c r="MBR5" s="28"/>
      <c r="MBS5" s="28"/>
      <c r="MBT5" s="28"/>
      <c r="MBU5" s="28"/>
      <c r="MBV5" s="28"/>
      <c r="MBW5" s="28"/>
      <c r="MBX5" s="28"/>
      <c r="MBY5" s="28"/>
      <c r="MBZ5" s="28"/>
      <c r="MCA5" s="28"/>
      <c r="MCB5" s="28"/>
      <c r="MCC5" s="28"/>
      <c r="MCD5" s="28"/>
      <c r="MCE5" s="28"/>
      <c r="MCF5" s="28"/>
      <c r="MCG5" s="28"/>
      <c r="MCH5" s="28"/>
      <c r="MCI5" s="28"/>
      <c r="MCJ5" s="28"/>
      <c r="MCK5" s="28"/>
      <c r="MCL5" s="28"/>
      <c r="MCM5" s="28"/>
      <c r="MCN5" s="28"/>
      <c r="MCO5" s="28"/>
      <c r="MCP5" s="28"/>
      <c r="MCQ5" s="28"/>
      <c r="MCR5" s="28"/>
      <c r="MCS5" s="28"/>
      <c r="MCT5" s="28"/>
      <c r="MCU5" s="28"/>
      <c r="MCV5" s="28"/>
      <c r="MCW5" s="28"/>
      <c r="MCX5" s="28"/>
      <c r="MCY5" s="28"/>
      <c r="MCZ5" s="28"/>
      <c r="MDA5" s="28"/>
      <c r="MDB5" s="28"/>
      <c r="MDC5" s="28"/>
      <c r="MDD5" s="28"/>
      <c r="MDE5" s="28"/>
      <c r="MDF5" s="28"/>
      <c r="MDG5" s="28"/>
      <c r="MDH5" s="28"/>
      <c r="MDI5" s="28"/>
      <c r="MDJ5" s="28"/>
      <c r="MDK5" s="28"/>
      <c r="MDL5" s="28"/>
      <c r="MDM5" s="28"/>
      <c r="MDN5" s="28"/>
      <c r="MDO5" s="28"/>
      <c r="MDP5" s="28"/>
      <c r="MDQ5" s="28"/>
      <c r="MDR5" s="28"/>
      <c r="MDS5" s="28"/>
      <c r="MDT5" s="28"/>
      <c r="MDU5" s="28"/>
      <c r="MDV5" s="28"/>
      <c r="MDW5" s="28"/>
      <c r="MDX5" s="28"/>
      <c r="MDY5" s="28"/>
      <c r="MDZ5" s="28"/>
      <c r="MEA5" s="28"/>
      <c r="MEB5" s="28"/>
      <c r="MEC5" s="28"/>
      <c r="MED5" s="28"/>
      <c r="MEE5" s="28"/>
      <c r="MEF5" s="28"/>
      <c r="MEG5" s="28"/>
      <c r="MEH5" s="28"/>
      <c r="MEI5" s="28"/>
      <c r="MEJ5" s="28"/>
      <c r="MEK5" s="28"/>
      <c r="MEL5" s="28"/>
      <c r="MEM5" s="28"/>
      <c r="MEN5" s="28"/>
      <c r="MEO5" s="28"/>
      <c r="MEP5" s="28"/>
      <c r="MEQ5" s="28"/>
      <c r="MER5" s="28"/>
      <c r="MES5" s="28"/>
      <c r="MET5" s="28"/>
      <c r="MEU5" s="28"/>
      <c r="MEV5" s="28"/>
      <c r="MEW5" s="28"/>
      <c r="MEX5" s="28"/>
      <c r="MEY5" s="28"/>
      <c r="MEZ5" s="28"/>
      <c r="MFA5" s="28"/>
      <c r="MFB5" s="28"/>
      <c r="MFC5" s="28"/>
      <c r="MFD5" s="28"/>
      <c r="MFE5" s="28"/>
      <c r="MFF5" s="28"/>
      <c r="MFG5" s="28"/>
      <c r="MFH5" s="28"/>
      <c r="MFI5" s="28"/>
      <c r="MFJ5" s="28"/>
      <c r="MFK5" s="28"/>
      <c r="MFL5" s="28"/>
      <c r="MFM5" s="28"/>
      <c r="MFN5" s="28"/>
      <c r="MFO5" s="28"/>
      <c r="MFP5" s="28"/>
      <c r="MFQ5" s="28"/>
      <c r="MFR5" s="28"/>
      <c r="MFS5" s="28"/>
      <c r="MFT5" s="28"/>
      <c r="MFU5" s="28"/>
      <c r="MFV5" s="28"/>
      <c r="MFW5" s="28"/>
      <c r="MFX5" s="28"/>
      <c r="MFY5" s="28"/>
      <c r="MFZ5" s="28"/>
      <c r="MGA5" s="28"/>
      <c r="MGB5" s="28"/>
      <c r="MGC5" s="28"/>
      <c r="MGD5" s="28"/>
      <c r="MGE5" s="28"/>
      <c r="MGF5" s="28"/>
      <c r="MGG5" s="28"/>
      <c r="MGH5" s="28"/>
      <c r="MGI5" s="28"/>
      <c r="MGJ5" s="28"/>
      <c r="MGK5" s="28"/>
      <c r="MGL5" s="28"/>
      <c r="MGM5" s="28"/>
      <c r="MGN5" s="28"/>
      <c r="MGO5" s="28"/>
      <c r="MGP5" s="28"/>
      <c r="MGQ5" s="28"/>
      <c r="MGR5" s="28"/>
      <c r="MGS5" s="28"/>
      <c r="MGT5" s="28"/>
      <c r="MGU5" s="28"/>
      <c r="MGV5" s="28"/>
      <c r="MGW5" s="28"/>
      <c r="MGX5" s="28"/>
      <c r="MGY5" s="28"/>
      <c r="MGZ5" s="28"/>
      <c r="MHA5" s="28"/>
      <c r="MHB5" s="28"/>
      <c r="MHC5" s="28"/>
      <c r="MHD5" s="28"/>
      <c r="MHE5" s="28"/>
      <c r="MHF5" s="28"/>
      <c r="MHG5" s="28"/>
      <c r="MHH5" s="28"/>
      <c r="MHI5" s="28"/>
      <c r="MHJ5" s="28"/>
      <c r="MHK5" s="28"/>
      <c r="MHL5" s="28"/>
      <c r="MHM5" s="28"/>
      <c r="MHN5" s="28"/>
      <c r="MHO5" s="28"/>
      <c r="MHP5" s="28"/>
      <c r="MHQ5" s="28"/>
      <c r="MHR5" s="28"/>
      <c r="MHS5" s="28"/>
      <c r="MHT5" s="28"/>
      <c r="MHU5" s="28"/>
      <c r="MHV5" s="28"/>
      <c r="MHW5" s="28"/>
      <c r="MHX5" s="28"/>
      <c r="MHY5" s="28"/>
      <c r="MHZ5" s="28"/>
      <c r="MIA5" s="28"/>
      <c r="MIB5" s="28"/>
      <c r="MIC5" s="28"/>
      <c r="MID5" s="28"/>
      <c r="MIE5" s="28"/>
      <c r="MIF5" s="28"/>
      <c r="MIG5" s="28"/>
      <c r="MIH5" s="28"/>
      <c r="MII5" s="28"/>
      <c r="MIJ5" s="28"/>
      <c r="MIK5" s="28"/>
      <c r="MIL5" s="28"/>
      <c r="MIM5" s="28"/>
      <c r="MIN5" s="28"/>
      <c r="MIO5" s="28"/>
      <c r="MIP5" s="28"/>
      <c r="MIQ5" s="28"/>
      <c r="MIR5" s="28"/>
      <c r="MIS5" s="28"/>
      <c r="MIT5" s="28"/>
      <c r="MIU5" s="28"/>
      <c r="MIV5" s="28"/>
      <c r="MIW5" s="28"/>
      <c r="MIX5" s="28"/>
      <c r="MIY5" s="28"/>
      <c r="MIZ5" s="28"/>
      <c r="MJA5" s="28"/>
      <c r="MJB5" s="28"/>
      <c r="MJC5" s="28"/>
      <c r="MJD5" s="28"/>
      <c r="MJE5" s="28"/>
      <c r="MJF5" s="28"/>
      <c r="MJG5" s="28"/>
      <c r="MJH5" s="28"/>
      <c r="MJI5" s="28"/>
      <c r="MJJ5" s="28"/>
      <c r="MJK5" s="28"/>
      <c r="MJL5" s="28"/>
      <c r="MJM5" s="28"/>
      <c r="MJN5" s="28"/>
      <c r="MJO5" s="28"/>
      <c r="MJP5" s="28"/>
      <c r="MJQ5" s="28"/>
      <c r="MJR5" s="28"/>
      <c r="MJS5" s="28"/>
      <c r="MJT5" s="28"/>
      <c r="MJU5" s="28"/>
      <c r="MJV5" s="28"/>
      <c r="MJW5" s="28"/>
      <c r="MJX5" s="28"/>
      <c r="MJY5" s="28"/>
      <c r="MJZ5" s="28"/>
      <c r="MKA5" s="28"/>
      <c r="MKB5" s="28"/>
      <c r="MKC5" s="28"/>
      <c r="MKD5" s="28"/>
      <c r="MKE5" s="28"/>
      <c r="MKF5" s="28"/>
      <c r="MKG5" s="28"/>
      <c r="MKH5" s="28"/>
      <c r="MKI5" s="28"/>
      <c r="MKJ5" s="28"/>
      <c r="MKK5" s="28"/>
      <c r="MKL5" s="28"/>
      <c r="MKM5" s="28"/>
      <c r="MKN5" s="28"/>
      <c r="MKO5" s="28"/>
      <c r="MKP5" s="28"/>
      <c r="MKQ5" s="28"/>
      <c r="MKR5" s="28"/>
      <c r="MKS5" s="28"/>
      <c r="MKT5" s="28"/>
      <c r="MKU5" s="28"/>
      <c r="MKV5" s="28"/>
      <c r="MKW5" s="28"/>
      <c r="MKX5" s="28"/>
      <c r="MKY5" s="28"/>
      <c r="MKZ5" s="28"/>
      <c r="MLA5" s="28"/>
      <c r="MLB5" s="28"/>
      <c r="MLC5" s="28"/>
      <c r="MLD5" s="28"/>
      <c r="MLE5" s="28"/>
      <c r="MLF5" s="28"/>
      <c r="MLG5" s="28"/>
      <c r="MLH5" s="28"/>
      <c r="MLI5" s="28"/>
      <c r="MLJ5" s="28"/>
      <c r="MLK5" s="28"/>
      <c r="MLL5" s="28"/>
      <c r="MLM5" s="28"/>
      <c r="MLN5" s="28"/>
      <c r="MLO5" s="28"/>
      <c r="MLP5" s="28"/>
      <c r="MLQ5" s="28"/>
      <c r="MLR5" s="28"/>
      <c r="MLS5" s="28"/>
      <c r="MLT5" s="28"/>
      <c r="MLU5" s="28"/>
      <c r="MLV5" s="28"/>
      <c r="MLW5" s="28"/>
      <c r="MLX5" s="28"/>
      <c r="MLY5" s="28"/>
      <c r="MLZ5" s="28"/>
      <c r="MMA5" s="28"/>
      <c r="MMB5" s="28"/>
      <c r="MMC5" s="28"/>
      <c r="MMD5" s="28"/>
      <c r="MME5" s="28"/>
      <c r="MMF5" s="28"/>
      <c r="MMG5" s="28"/>
      <c r="MMH5" s="28"/>
      <c r="MMI5" s="28"/>
      <c r="MMJ5" s="28"/>
      <c r="MMK5" s="28"/>
      <c r="MML5" s="28"/>
      <c r="MMM5" s="28"/>
      <c r="MMN5" s="28"/>
      <c r="MMO5" s="28"/>
      <c r="MMP5" s="28"/>
      <c r="MMQ5" s="28"/>
      <c r="MMR5" s="28"/>
      <c r="MMS5" s="28"/>
      <c r="MMT5" s="28"/>
      <c r="MMU5" s="28"/>
      <c r="MMV5" s="28"/>
      <c r="MMW5" s="28"/>
      <c r="MMX5" s="28"/>
      <c r="MMY5" s="28"/>
      <c r="MMZ5" s="28"/>
      <c r="MNA5" s="28"/>
      <c r="MNB5" s="28"/>
      <c r="MNC5" s="28"/>
      <c r="MND5" s="28"/>
      <c r="MNE5" s="28"/>
      <c r="MNF5" s="28"/>
      <c r="MNG5" s="28"/>
      <c r="MNH5" s="28"/>
      <c r="MNI5" s="28"/>
      <c r="MNJ5" s="28"/>
      <c r="MNK5" s="28"/>
      <c r="MNL5" s="28"/>
      <c r="MNM5" s="28"/>
      <c r="MNN5" s="28"/>
      <c r="MNO5" s="28"/>
      <c r="MNP5" s="28"/>
      <c r="MNQ5" s="28"/>
      <c r="MNR5" s="28"/>
      <c r="MNS5" s="28"/>
      <c r="MNT5" s="28"/>
      <c r="MNU5" s="28"/>
      <c r="MNV5" s="28"/>
      <c r="MNW5" s="28"/>
      <c r="MNX5" s="28"/>
      <c r="MNY5" s="28"/>
      <c r="MNZ5" s="28"/>
      <c r="MOA5" s="28"/>
      <c r="MOB5" s="28"/>
      <c r="MOC5" s="28"/>
      <c r="MOD5" s="28"/>
      <c r="MOE5" s="28"/>
      <c r="MOF5" s="28"/>
      <c r="MOG5" s="28"/>
      <c r="MOH5" s="28"/>
      <c r="MOI5" s="28"/>
      <c r="MOJ5" s="28"/>
      <c r="MOK5" s="28"/>
      <c r="MOL5" s="28"/>
      <c r="MOM5" s="28"/>
      <c r="MON5" s="28"/>
      <c r="MOO5" s="28"/>
      <c r="MOP5" s="28"/>
      <c r="MOQ5" s="28"/>
      <c r="MOR5" s="28"/>
      <c r="MOS5" s="28"/>
      <c r="MOT5" s="28"/>
      <c r="MOU5" s="28"/>
      <c r="MOV5" s="28"/>
      <c r="MOW5" s="28"/>
      <c r="MOX5" s="28"/>
      <c r="MOY5" s="28"/>
      <c r="MOZ5" s="28"/>
      <c r="MPA5" s="28"/>
      <c r="MPB5" s="28"/>
      <c r="MPC5" s="28"/>
      <c r="MPD5" s="28"/>
      <c r="MPE5" s="28"/>
      <c r="MPF5" s="28"/>
      <c r="MPG5" s="28"/>
      <c r="MPH5" s="28"/>
      <c r="MPI5" s="28"/>
      <c r="MPJ5" s="28"/>
      <c r="MPK5" s="28"/>
      <c r="MPL5" s="28"/>
      <c r="MPM5" s="28"/>
      <c r="MPN5" s="28"/>
      <c r="MPO5" s="28"/>
      <c r="MPP5" s="28"/>
      <c r="MPQ5" s="28"/>
      <c r="MPR5" s="28"/>
      <c r="MPS5" s="28"/>
      <c r="MPT5" s="28"/>
      <c r="MPU5" s="28"/>
      <c r="MPV5" s="28"/>
      <c r="MPW5" s="28"/>
      <c r="MPX5" s="28"/>
      <c r="MPY5" s="28"/>
      <c r="MPZ5" s="28"/>
      <c r="MQA5" s="28"/>
      <c r="MQB5" s="28"/>
      <c r="MQC5" s="28"/>
      <c r="MQD5" s="28"/>
      <c r="MQE5" s="28"/>
      <c r="MQF5" s="28"/>
      <c r="MQG5" s="28"/>
      <c r="MQH5" s="28"/>
      <c r="MQI5" s="28"/>
      <c r="MQJ5" s="28"/>
      <c r="MQK5" s="28"/>
      <c r="MQL5" s="28"/>
      <c r="MQM5" s="28"/>
      <c r="MQN5" s="28"/>
      <c r="MQO5" s="28"/>
      <c r="MQP5" s="28"/>
      <c r="MQQ5" s="28"/>
      <c r="MQR5" s="28"/>
      <c r="MQS5" s="28"/>
      <c r="MQT5" s="28"/>
      <c r="MQU5" s="28"/>
      <c r="MQV5" s="28"/>
      <c r="MQW5" s="28"/>
      <c r="MQX5" s="28"/>
      <c r="MQY5" s="28"/>
      <c r="MQZ5" s="28"/>
      <c r="MRA5" s="28"/>
      <c r="MRB5" s="28"/>
      <c r="MRC5" s="28"/>
      <c r="MRD5" s="28"/>
      <c r="MRE5" s="28"/>
      <c r="MRF5" s="28"/>
      <c r="MRG5" s="28"/>
      <c r="MRH5" s="28"/>
      <c r="MRI5" s="28"/>
      <c r="MRJ5" s="28"/>
      <c r="MRK5" s="28"/>
      <c r="MRL5" s="28"/>
      <c r="MRM5" s="28"/>
      <c r="MRN5" s="28"/>
      <c r="MRO5" s="28"/>
      <c r="MRP5" s="28"/>
      <c r="MRQ5" s="28"/>
      <c r="MRR5" s="28"/>
      <c r="MRS5" s="28"/>
      <c r="MRT5" s="28"/>
      <c r="MRU5" s="28"/>
      <c r="MRV5" s="28"/>
      <c r="MRW5" s="28"/>
      <c r="MRX5" s="28"/>
      <c r="MRY5" s="28"/>
      <c r="MRZ5" s="28"/>
      <c r="MSA5" s="28"/>
      <c r="MSB5" s="28"/>
      <c r="MSC5" s="28"/>
      <c r="MSD5" s="28"/>
      <c r="MSE5" s="28"/>
      <c r="MSF5" s="28"/>
      <c r="MSG5" s="28"/>
      <c r="MSH5" s="28"/>
      <c r="MSI5" s="28"/>
      <c r="MSJ5" s="28"/>
      <c r="MSK5" s="28"/>
      <c r="MSL5" s="28"/>
      <c r="MSM5" s="28"/>
      <c r="MSN5" s="28"/>
      <c r="MSO5" s="28"/>
      <c r="MSP5" s="28"/>
      <c r="MSQ5" s="28"/>
      <c r="MSR5" s="28"/>
      <c r="MSS5" s="28"/>
      <c r="MST5" s="28"/>
      <c r="MSU5" s="28"/>
      <c r="MSV5" s="28"/>
      <c r="MSW5" s="28"/>
      <c r="MSX5" s="28"/>
      <c r="MSY5" s="28"/>
      <c r="MSZ5" s="28"/>
      <c r="MTA5" s="28"/>
      <c r="MTB5" s="28"/>
      <c r="MTC5" s="28"/>
      <c r="MTD5" s="28"/>
      <c r="MTE5" s="28"/>
      <c r="MTF5" s="28"/>
      <c r="MTG5" s="28"/>
      <c r="MTH5" s="28"/>
      <c r="MTI5" s="28"/>
      <c r="MTJ5" s="28"/>
      <c r="MTK5" s="28"/>
      <c r="MTL5" s="28"/>
      <c r="MTM5" s="28"/>
      <c r="MTN5" s="28"/>
      <c r="MTO5" s="28"/>
      <c r="MTP5" s="28"/>
      <c r="MTQ5" s="28"/>
      <c r="MTR5" s="28"/>
      <c r="MTS5" s="28"/>
      <c r="MTT5" s="28"/>
      <c r="MTU5" s="28"/>
      <c r="MTV5" s="28"/>
      <c r="MTW5" s="28"/>
      <c r="MTX5" s="28"/>
      <c r="MTY5" s="28"/>
      <c r="MTZ5" s="28"/>
      <c r="MUA5" s="28"/>
      <c r="MUB5" s="28"/>
      <c r="MUC5" s="28"/>
      <c r="MUD5" s="28"/>
      <c r="MUE5" s="28"/>
      <c r="MUF5" s="28"/>
      <c r="MUG5" s="28"/>
      <c r="MUH5" s="28"/>
      <c r="MUI5" s="28"/>
      <c r="MUJ5" s="28"/>
      <c r="MUK5" s="28"/>
      <c r="MUL5" s="28"/>
      <c r="MUM5" s="28"/>
      <c r="MUN5" s="28"/>
      <c r="MUO5" s="28"/>
      <c r="MUP5" s="28"/>
      <c r="MUQ5" s="28"/>
      <c r="MUR5" s="28"/>
      <c r="MUS5" s="28"/>
      <c r="MUT5" s="28"/>
      <c r="MUU5" s="28"/>
      <c r="MUV5" s="28"/>
      <c r="MUW5" s="28"/>
      <c r="MUX5" s="28"/>
      <c r="MUY5" s="28"/>
      <c r="MUZ5" s="28"/>
      <c r="MVA5" s="28"/>
      <c r="MVB5" s="28"/>
      <c r="MVC5" s="28"/>
      <c r="MVD5" s="28"/>
      <c r="MVE5" s="28"/>
      <c r="MVF5" s="28"/>
      <c r="MVG5" s="28"/>
      <c r="MVH5" s="28"/>
      <c r="MVI5" s="28"/>
      <c r="MVJ5" s="28"/>
      <c r="MVK5" s="28"/>
      <c r="MVL5" s="28"/>
      <c r="MVM5" s="28"/>
      <c r="MVN5" s="28"/>
      <c r="MVO5" s="28"/>
      <c r="MVP5" s="28"/>
      <c r="MVQ5" s="28"/>
      <c r="MVR5" s="28"/>
      <c r="MVS5" s="28"/>
      <c r="MVT5" s="28"/>
      <c r="MVU5" s="28"/>
      <c r="MVV5" s="28"/>
      <c r="MVW5" s="28"/>
      <c r="MVX5" s="28"/>
      <c r="MVY5" s="28"/>
      <c r="MVZ5" s="28"/>
      <c r="MWA5" s="28"/>
      <c r="MWB5" s="28"/>
      <c r="MWC5" s="28"/>
      <c r="MWD5" s="28"/>
      <c r="MWE5" s="28"/>
      <c r="MWF5" s="28"/>
      <c r="MWG5" s="28"/>
      <c r="MWH5" s="28"/>
      <c r="MWI5" s="28"/>
      <c r="MWJ5" s="28"/>
      <c r="MWK5" s="28"/>
      <c r="MWL5" s="28"/>
      <c r="MWM5" s="28"/>
      <c r="MWN5" s="28"/>
      <c r="MWO5" s="28"/>
      <c r="MWP5" s="28"/>
      <c r="MWQ5" s="28"/>
      <c r="MWR5" s="28"/>
      <c r="MWS5" s="28"/>
      <c r="MWT5" s="28"/>
      <c r="MWU5" s="28"/>
      <c r="MWV5" s="28"/>
      <c r="MWW5" s="28"/>
      <c r="MWX5" s="28"/>
      <c r="MWY5" s="28"/>
      <c r="MWZ5" s="28"/>
      <c r="MXA5" s="28"/>
      <c r="MXB5" s="28"/>
      <c r="MXC5" s="28"/>
      <c r="MXD5" s="28"/>
      <c r="MXE5" s="28"/>
      <c r="MXF5" s="28"/>
      <c r="MXG5" s="28"/>
      <c r="MXH5" s="28"/>
      <c r="MXI5" s="28"/>
      <c r="MXJ5" s="28"/>
      <c r="MXK5" s="28"/>
      <c r="MXL5" s="28"/>
      <c r="MXM5" s="28"/>
      <c r="MXN5" s="28"/>
      <c r="MXO5" s="28"/>
      <c r="MXP5" s="28"/>
      <c r="MXQ5" s="28"/>
      <c r="MXR5" s="28"/>
      <c r="MXS5" s="28"/>
      <c r="MXT5" s="28"/>
      <c r="MXU5" s="28"/>
      <c r="MXV5" s="28"/>
      <c r="MXW5" s="28"/>
      <c r="MXX5" s="28"/>
      <c r="MXY5" s="28"/>
      <c r="MXZ5" s="28"/>
      <c r="MYA5" s="28"/>
      <c r="MYB5" s="28"/>
      <c r="MYC5" s="28"/>
      <c r="MYD5" s="28"/>
      <c r="MYE5" s="28"/>
      <c r="MYF5" s="28"/>
      <c r="MYG5" s="28"/>
      <c r="MYH5" s="28"/>
      <c r="MYI5" s="28"/>
      <c r="MYJ5" s="28"/>
      <c r="MYK5" s="28"/>
      <c r="MYL5" s="28"/>
      <c r="MYM5" s="28"/>
      <c r="MYN5" s="28"/>
      <c r="MYO5" s="28"/>
      <c r="MYP5" s="28"/>
      <c r="MYQ5" s="28"/>
      <c r="MYR5" s="28"/>
      <c r="MYS5" s="28"/>
      <c r="MYT5" s="28"/>
      <c r="MYU5" s="28"/>
      <c r="MYV5" s="28"/>
      <c r="MYW5" s="28"/>
      <c r="MYX5" s="28"/>
      <c r="MYY5" s="28"/>
      <c r="MYZ5" s="28"/>
      <c r="MZA5" s="28"/>
      <c r="MZB5" s="28"/>
      <c r="MZC5" s="28"/>
      <c r="MZD5" s="28"/>
      <c r="MZE5" s="28"/>
      <c r="MZF5" s="28"/>
      <c r="MZG5" s="28"/>
      <c r="MZH5" s="28"/>
      <c r="MZI5" s="28"/>
      <c r="MZJ5" s="28"/>
      <c r="MZK5" s="28"/>
      <c r="MZL5" s="28"/>
      <c r="MZM5" s="28"/>
      <c r="MZN5" s="28"/>
      <c r="MZO5" s="28"/>
      <c r="MZP5" s="28"/>
      <c r="MZQ5" s="28"/>
      <c r="MZR5" s="28"/>
      <c r="MZS5" s="28"/>
      <c r="MZT5" s="28"/>
      <c r="MZU5" s="28"/>
      <c r="MZV5" s="28"/>
      <c r="MZW5" s="28"/>
      <c r="MZX5" s="28"/>
      <c r="MZY5" s="28"/>
      <c r="MZZ5" s="28"/>
      <c r="NAA5" s="28"/>
      <c r="NAB5" s="28"/>
      <c r="NAC5" s="28"/>
      <c r="NAD5" s="28"/>
      <c r="NAE5" s="28"/>
      <c r="NAF5" s="28"/>
      <c r="NAG5" s="28"/>
      <c r="NAH5" s="28"/>
      <c r="NAI5" s="28"/>
      <c r="NAJ5" s="28"/>
      <c r="NAK5" s="28"/>
      <c r="NAL5" s="28"/>
      <c r="NAM5" s="28"/>
      <c r="NAN5" s="28"/>
      <c r="NAO5" s="28"/>
      <c r="NAP5" s="28"/>
      <c r="NAQ5" s="28"/>
      <c r="NAR5" s="28"/>
      <c r="NAS5" s="28"/>
      <c r="NAT5" s="28"/>
      <c r="NAU5" s="28"/>
      <c r="NAV5" s="28"/>
      <c r="NAW5" s="28"/>
      <c r="NAX5" s="28"/>
      <c r="NAY5" s="28"/>
      <c r="NAZ5" s="28"/>
      <c r="NBA5" s="28"/>
      <c r="NBB5" s="28"/>
      <c r="NBC5" s="28"/>
      <c r="NBD5" s="28"/>
      <c r="NBE5" s="28"/>
      <c r="NBF5" s="28"/>
      <c r="NBG5" s="28"/>
      <c r="NBH5" s="28"/>
      <c r="NBI5" s="28"/>
      <c r="NBJ5" s="28"/>
      <c r="NBK5" s="28"/>
      <c r="NBL5" s="28"/>
      <c r="NBM5" s="28"/>
      <c r="NBN5" s="28"/>
      <c r="NBO5" s="28"/>
      <c r="NBP5" s="28"/>
      <c r="NBQ5" s="28"/>
      <c r="NBR5" s="28"/>
      <c r="NBS5" s="28"/>
      <c r="NBT5" s="28"/>
      <c r="NBU5" s="28"/>
      <c r="NBV5" s="28"/>
      <c r="NBW5" s="28"/>
      <c r="NBX5" s="28"/>
      <c r="NBY5" s="28"/>
      <c r="NBZ5" s="28"/>
      <c r="NCA5" s="28"/>
      <c r="NCB5" s="28"/>
      <c r="NCC5" s="28"/>
      <c r="NCD5" s="28"/>
      <c r="NCE5" s="28"/>
      <c r="NCF5" s="28"/>
      <c r="NCG5" s="28"/>
      <c r="NCH5" s="28"/>
      <c r="NCI5" s="28"/>
      <c r="NCJ5" s="28"/>
      <c r="NCK5" s="28"/>
      <c r="NCL5" s="28"/>
      <c r="NCM5" s="28"/>
      <c r="NCN5" s="28"/>
      <c r="NCO5" s="28"/>
      <c r="NCP5" s="28"/>
      <c r="NCQ5" s="28"/>
      <c r="NCR5" s="28"/>
      <c r="NCS5" s="28"/>
      <c r="NCT5" s="28"/>
      <c r="NCU5" s="28"/>
      <c r="NCV5" s="28"/>
      <c r="NCW5" s="28"/>
      <c r="NCX5" s="28"/>
      <c r="NCY5" s="28"/>
      <c r="NCZ5" s="28"/>
      <c r="NDA5" s="28"/>
      <c r="NDB5" s="28"/>
      <c r="NDC5" s="28"/>
      <c r="NDD5" s="28"/>
      <c r="NDE5" s="28"/>
      <c r="NDF5" s="28"/>
      <c r="NDG5" s="28"/>
      <c r="NDH5" s="28"/>
      <c r="NDI5" s="28"/>
      <c r="NDJ5" s="28"/>
      <c r="NDK5" s="28"/>
      <c r="NDL5" s="28"/>
      <c r="NDM5" s="28"/>
      <c r="NDN5" s="28"/>
      <c r="NDO5" s="28"/>
      <c r="NDP5" s="28"/>
      <c r="NDQ5" s="28"/>
      <c r="NDR5" s="28"/>
      <c r="NDS5" s="28"/>
      <c r="NDT5" s="28"/>
      <c r="NDU5" s="28"/>
      <c r="NDV5" s="28"/>
      <c r="NDW5" s="28"/>
      <c r="NDX5" s="28"/>
      <c r="NDY5" s="28"/>
      <c r="NDZ5" s="28"/>
      <c r="NEA5" s="28"/>
      <c r="NEB5" s="28"/>
      <c r="NEC5" s="28"/>
      <c r="NED5" s="28"/>
      <c r="NEE5" s="28"/>
      <c r="NEF5" s="28"/>
      <c r="NEG5" s="28"/>
      <c r="NEH5" s="28"/>
      <c r="NEI5" s="28"/>
      <c r="NEJ5" s="28"/>
      <c r="NEK5" s="28"/>
      <c r="NEL5" s="28"/>
      <c r="NEM5" s="28"/>
      <c r="NEN5" s="28"/>
      <c r="NEO5" s="28"/>
      <c r="NEP5" s="28"/>
      <c r="NEQ5" s="28"/>
      <c r="NER5" s="28"/>
      <c r="NES5" s="28"/>
      <c r="NET5" s="28"/>
      <c r="NEU5" s="28"/>
      <c r="NEV5" s="28"/>
      <c r="NEW5" s="28"/>
      <c r="NEX5" s="28"/>
      <c r="NEY5" s="28"/>
      <c r="NEZ5" s="28"/>
      <c r="NFA5" s="28"/>
      <c r="NFB5" s="28"/>
      <c r="NFC5" s="28"/>
      <c r="NFD5" s="28"/>
      <c r="NFE5" s="28"/>
      <c r="NFF5" s="28"/>
      <c r="NFG5" s="28"/>
      <c r="NFH5" s="28"/>
      <c r="NFI5" s="28"/>
      <c r="NFJ5" s="28"/>
      <c r="NFK5" s="28"/>
      <c r="NFL5" s="28"/>
      <c r="NFM5" s="28"/>
      <c r="NFN5" s="28"/>
      <c r="NFO5" s="28"/>
      <c r="NFP5" s="28"/>
      <c r="NFQ5" s="28"/>
      <c r="NFR5" s="28"/>
      <c r="NFS5" s="28"/>
      <c r="NFT5" s="28"/>
      <c r="NFU5" s="28"/>
      <c r="NFV5" s="28"/>
      <c r="NFW5" s="28"/>
      <c r="NFX5" s="28"/>
      <c r="NFY5" s="28"/>
      <c r="NFZ5" s="28"/>
      <c r="NGA5" s="28"/>
      <c r="NGB5" s="28"/>
      <c r="NGC5" s="28"/>
      <c r="NGD5" s="28"/>
      <c r="NGE5" s="28"/>
      <c r="NGF5" s="28"/>
      <c r="NGG5" s="28"/>
      <c r="NGH5" s="28"/>
      <c r="NGI5" s="28"/>
      <c r="NGJ5" s="28"/>
      <c r="NGK5" s="28"/>
      <c r="NGL5" s="28"/>
      <c r="NGM5" s="28"/>
      <c r="NGN5" s="28"/>
      <c r="NGO5" s="28"/>
      <c r="NGP5" s="28"/>
      <c r="NGQ5" s="28"/>
      <c r="NGR5" s="28"/>
      <c r="NGS5" s="28"/>
      <c r="NGT5" s="28"/>
      <c r="NGU5" s="28"/>
      <c r="NGV5" s="28"/>
      <c r="NGW5" s="28"/>
      <c r="NGX5" s="28"/>
      <c r="NGY5" s="28"/>
      <c r="NGZ5" s="28"/>
      <c r="NHA5" s="28"/>
      <c r="NHB5" s="28"/>
      <c r="NHC5" s="28"/>
      <c r="NHD5" s="28"/>
      <c r="NHE5" s="28"/>
      <c r="NHF5" s="28"/>
      <c r="NHG5" s="28"/>
      <c r="NHH5" s="28"/>
      <c r="NHI5" s="28"/>
      <c r="NHJ5" s="28"/>
      <c r="NHK5" s="28"/>
      <c r="NHL5" s="28"/>
      <c r="NHM5" s="28"/>
      <c r="NHN5" s="28"/>
      <c r="NHO5" s="28"/>
      <c r="NHP5" s="28"/>
      <c r="NHQ5" s="28"/>
      <c r="NHR5" s="28"/>
      <c r="NHS5" s="28"/>
      <c r="NHT5" s="28"/>
      <c r="NHU5" s="28"/>
      <c r="NHV5" s="28"/>
      <c r="NHW5" s="28"/>
      <c r="NHX5" s="28"/>
      <c r="NHY5" s="28"/>
      <c r="NHZ5" s="28"/>
      <c r="NIA5" s="28"/>
      <c r="NIB5" s="28"/>
      <c r="NIC5" s="28"/>
      <c r="NID5" s="28"/>
      <c r="NIE5" s="28"/>
      <c r="NIF5" s="28"/>
      <c r="NIG5" s="28"/>
      <c r="NIH5" s="28"/>
      <c r="NII5" s="28"/>
      <c r="NIJ5" s="28"/>
      <c r="NIK5" s="28"/>
      <c r="NIL5" s="28"/>
      <c r="NIM5" s="28"/>
      <c r="NIN5" s="28"/>
      <c r="NIO5" s="28"/>
      <c r="NIP5" s="28"/>
      <c r="NIQ5" s="28"/>
      <c r="NIR5" s="28"/>
      <c r="NIS5" s="28"/>
      <c r="NIT5" s="28"/>
      <c r="NIU5" s="28"/>
      <c r="NIV5" s="28"/>
      <c r="NIW5" s="28"/>
      <c r="NIX5" s="28"/>
      <c r="NIY5" s="28"/>
      <c r="NIZ5" s="28"/>
      <c r="NJA5" s="28"/>
      <c r="NJB5" s="28"/>
      <c r="NJC5" s="28"/>
      <c r="NJD5" s="28"/>
      <c r="NJE5" s="28"/>
      <c r="NJF5" s="28"/>
      <c r="NJG5" s="28"/>
      <c r="NJH5" s="28"/>
      <c r="NJI5" s="28"/>
      <c r="NJJ5" s="28"/>
      <c r="NJK5" s="28"/>
      <c r="NJL5" s="28"/>
      <c r="NJM5" s="28"/>
      <c r="NJN5" s="28"/>
      <c r="NJO5" s="28"/>
      <c r="NJP5" s="28"/>
      <c r="NJQ5" s="28"/>
      <c r="NJR5" s="28"/>
      <c r="NJS5" s="28"/>
      <c r="NJT5" s="28"/>
      <c r="NJU5" s="28"/>
      <c r="NJV5" s="28"/>
      <c r="NJW5" s="28"/>
      <c r="NJX5" s="28"/>
      <c r="NJY5" s="28"/>
      <c r="NJZ5" s="28"/>
      <c r="NKA5" s="28"/>
      <c r="NKB5" s="28"/>
      <c r="NKC5" s="28"/>
      <c r="NKD5" s="28"/>
      <c r="NKE5" s="28"/>
      <c r="NKF5" s="28"/>
      <c r="NKG5" s="28"/>
      <c r="NKH5" s="28"/>
      <c r="NKI5" s="28"/>
      <c r="NKJ5" s="28"/>
      <c r="NKK5" s="28"/>
      <c r="NKL5" s="28"/>
      <c r="NKM5" s="28"/>
      <c r="NKN5" s="28"/>
      <c r="NKO5" s="28"/>
      <c r="NKP5" s="28"/>
      <c r="NKQ5" s="28"/>
      <c r="NKR5" s="28"/>
      <c r="NKS5" s="28"/>
      <c r="NKT5" s="28"/>
      <c r="NKU5" s="28"/>
      <c r="NKV5" s="28"/>
      <c r="NKW5" s="28"/>
      <c r="NKX5" s="28"/>
      <c r="NKY5" s="28"/>
      <c r="NKZ5" s="28"/>
      <c r="NLA5" s="28"/>
      <c r="NLB5" s="28"/>
      <c r="NLC5" s="28"/>
      <c r="NLD5" s="28"/>
      <c r="NLE5" s="28"/>
      <c r="NLF5" s="28"/>
      <c r="NLG5" s="28"/>
      <c r="NLH5" s="28"/>
      <c r="NLI5" s="28"/>
      <c r="NLJ5" s="28"/>
      <c r="NLK5" s="28"/>
      <c r="NLL5" s="28"/>
      <c r="NLM5" s="28"/>
      <c r="NLN5" s="28"/>
      <c r="NLO5" s="28"/>
      <c r="NLP5" s="28"/>
      <c r="NLQ5" s="28"/>
      <c r="NLR5" s="28"/>
      <c r="NLS5" s="28"/>
      <c r="NLT5" s="28"/>
      <c r="NLU5" s="28"/>
      <c r="NLV5" s="28"/>
      <c r="NLW5" s="28"/>
      <c r="NLX5" s="28"/>
      <c r="NLY5" s="28"/>
      <c r="NLZ5" s="28"/>
      <c r="NMA5" s="28"/>
      <c r="NMB5" s="28"/>
      <c r="NMC5" s="28"/>
      <c r="NMD5" s="28"/>
      <c r="NME5" s="28"/>
      <c r="NMF5" s="28"/>
      <c r="NMG5" s="28"/>
      <c r="NMH5" s="28"/>
      <c r="NMI5" s="28"/>
      <c r="NMJ5" s="28"/>
      <c r="NMK5" s="28"/>
      <c r="NML5" s="28"/>
      <c r="NMM5" s="28"/>
      <c r="NMN5" s="28"/>
      <c r="NMO5" s="28"/>
      <c r="NMP5" s="28"/>
      <c r="NMQ5" s="28"/>
      <c r="NMR5" s="28"/>
      <c r="NMS5" s="28"/>
      <c r="NMT5" s="28"/>
      <c r="NMU5" s="28"/>
      <c r="NMV5" s="28"/>
      <c r="NMW5" s="28"/>
      <c r="NMX5" s="28"/>
      <c r="NMY5" s="28"/>
      <c r="NMZ5" s="28"/>
      <c r="NNA5" s="28"/>
      <c r="NNB5" s="28"/>
      <c r="NNC5" s="28"/>
      <c r="NND5" s="28"/>
      <c r="NNE5" s="28"/>
      <c r="NNF5" s="28"/>
      <c r="NNG5" s="28"/>
      <c r="NNH5" s="28"/>
      <c r="NNI5" s="28"/>
      <c r="NNJ5" s="28"/>
      <c r="NNK5" s="28"/>
      <c r="NNL5" s="28"/>
      <c r="NNM5" s="28"/>
      <c r="NNN5" s="28"/>
      <c r="NNO5" s="28"/>
      <c r="NNP5" s="28"/>
      <c r="NNQ5" s="28"/>
      <c r="NNR5" s="28"/>
      <c r="NNS5" s="28"/>
      <c r="NNT5" s="28"/>
      <c r="NNU5" s="28"/>
      <c r="NNV5" s="28"/>
      <c r="NNW5" s="28"/>
      <c r="NNX5" s="28"/>
      <c r="NNY5" s="28"/>
      <c r="NNZ5" s="28"/>
      <c r="NOA5" s="28"/>
      <c r="NOB5" s="28"/>
      <c r="NOC5" s="28"/>
      <c r="NOD5" s="28"/>
      <c r="NOE5" s="28"/>
      <c r="NOF5" s="28"/>
      <c r="NOG5" s="28"/>
      <c r="NOH5" s="28"/>
      <c r="NOI5" s="28"/>
      <c r="NOJ5" s="28"/>
      <c r="NOK5" s="28"/>
      <c r="NOL5" s="28"/>
      <c r="NOM5" s="28"/>
      <c r="NON5" s="28"/>
      <c r="NOO5" s="28"/>
      <c r="NOP5" s="28"/>
      <c r="NOQ5" s="28"/>
      <c r="NOR5" s="28"/>
      <c r="NOS5" s="28"/>
      <c r="NOT5" s="28"/>
      <c r="NOU5" s="28"/>
      <c r="NOV5" s="28"/>
      <c r="NOW5" s="28"/>
      <c r="NOX5" s="28"/>
      <c r="NOY5" s="28"/>
      <c r="NOZ5" s="28"/>
      <c r="NPA5" s="28"/>
      <c r="NPB5" s="28"/>
      <c r="NPC5" s="28"/>
      <c r="NPD5" s="28"/>
      <c r="NPE5" s="28"/>
      <c r="NPF5" s="28"/>
      <c r="NPG5" s="28"/>
      <c r="NPH5" s="28"/>
      <c r="NPI5" s="28"/>
      <c r="NPJ5" s="28"/>
      <c r="NPK5" s="28"/>
      <c r="NPL5" s="28"/>
      <c r="NPM5" s="28"/>
      <c r="NPN5" s="28"/>
      <c r="NPO5" s="28"/>
      <c r="NPP5" s="28"/>
      <c r="NPQ5" s="28"/>
      <c r="NPR5" s="28"/>
      <c r="NPS5" s="28"/>
      <c r="NPT5" s="28"/>
      <c r="NPU5" s="28"/>
      <c r="NPV5" s="28"/>
      <c r="NPW5" s="28"/>
      <c r="NPX5" s="28"/>
      <c r="NPY5" s="28"/>
      <c r="NPZ5" s="28"/>
      <c r="NQA5" s="28"/>
      <c r="NQB5" s="28"/>
      <c r="NQC5" s="28"/>
      <c r="NQD5" s="28"/>
      <c r="NQE5" s="28"/>
      <c r="NQF5" s="28"/>
      <c r="NQG5" s="28"/>
      <c r="NQH5" s="28"/>
      <c r="NQI5" s="28"/>
      <c r="NQJ5" s="28"/>
      <c r="NQK5" s="28"/>
      <c r="NQL5" s="28"/>
      <c r="NQM5" s="28"/>
      <c r="NQN5" s="28"/>
      <c r="NQO5" s="28"/>
      <c r="NQP5" s="28"/>
      <c r="NQQ5" s="28"/>
      <c r="NQR5" s="28"/>
      <c r="NQS5" s="28"/>
      <c r="NQT5" s="28"/>
      <c r="NQU5" s="28"/>
      <c r="NQV5" s="28"/>
      <c r="NQW5" s="28"/>
      <c r="NQX5" s="28"/>
      <c r="NQY5" s="28"/>
      <c r="NQZ5" s="28"/>
      <c r="NRA5" s="28"/>
      <c r="NRB5" s="28"/>
      <c r="NRC5" s="28"/>
      <c r="NRD5" s="28"/>
      <c r="NRE5" s="28"/>
      <c r="NRF5" s="28"/>
      <c r="NRG5" s="28"/>
      <c r="NRH5" s="28"/>
      <c r="NRI5" s="28"/>
      <c r="NRJ5" s="28"/>
      <c r="NRK5" s="28"/>
      <c r="NRL5" s="28"/>
      <c r="NRM5" s="28"/>
      <c r="NRN5" s="28"/>
      <c r="NRO5" s="28"/>
      <c r="NRP5" s="28"/>
      <c r="NRQ5" s="28"/>
      <c r="NRR5" s="28"/>
      <c r="NRS5" s="28"/>
      <c r="NRT5" s="28"/>
      <c r="NRU5" s="28"/>
      <c r="NRV5" s="28"/>
      <c r="NRW5" s="28"/>
      <c r="NRX5" s="28"/>
      <c r="NRY5" s="28"/>
      <c r="NRZ5" s="28"/>
      <c r="NSA5" s="28"/>
      <c r="NSB5" s="28"/>
      <c r="NSC5" s="28"/>
      <c r="NSD5" s="28"/>
      <c r="NSE5" s="28"/>
      <c r="NSF5" s="28"/>
      <c r="NSG5" s="28"/>
      <c r="NSH5" s="28"/>
      <c r="NSI5" s="28"/>
      <c r="NSJ5" s="28"/>
      <c r="NSK5" s="28"/>
      <c r="NSL5" s="28"/>
      <c r="NSM5" s="28"/>
      <c r="NSN5" s="28"/>
      <c r="NSO5" s="28"/>
      <c r="NSP5" s="28"/>
      <c r="NSQ5" s="28"/>
      <c r="NSR5" s="28"/>
      <c r="NSS5" s="28"/>
      <c r="NST5" s="28"/>
      <c r="NSU5" s="28"/>
      <c r="NSV5" s="28"/>
      <c r="NSW5" s="28"/>
      <c r="NSX5" s="28"/>
      <c r="NSY5" s="28"/>
      <c r="NSZ5" s="28"/>
      <c r="NTA5" s="28"/>
      <c r="NTB5" s="28"/>
      <c r="NTC5" s="28"/>
      <c r="NTD5" s="28"/>
      <c r="NTE5" s="28"/>
      <c r="NTF5" s="28"/>
      <c r="NTG5" s="28"/>
      <c r="NTH5" s="28"/>
      <c r="NTI5" s="28"/>
      <c r="NTJ5" s="28"/>
      <c r="NTK5" s="28"/>
      <c r="NTL5" s="28"/>
      <c r="NTM5" s="28"/>
      <c r="NTN5" s="28"/>
      <c r="NTO5" s="28"/>
      <c r="NTP5" s="28"/>
      <c r="NTQ5" s="28"/>
      <c r="NTR5" s="28"/>
      <c r="NTS5" s="28"/>
      <c r="NTT5" s="28"/>
      <c r="NTU5" s="28"/>
      <c r="NTV5" s="28"/>
      <c r="NTW5" s="28"/>
      <c r="NTX5" s="28"/>
      <c r="NTY5" s="28"/>
      <c r="NTZ5" s="28"/>
      <c r="NUA5" s="28"/>
      <c r="NUB5" s="28"/>
      <c r="NUC5" s="28"/>
      <c r="NUD5" s="28"/>
      <c r="NUE5" s="28"/>
      <c r="NUF5" s="28"/>
      <c r="NUG5" s="28"/>
      <c r="NUH5" s="28"/>
      <c r="NUI5" s="28"/>
      <c r="NUJ5" s="28"/>
      <c r="NUK5" s="28"/>
      <c r="NUL5" s="28"/>
      <c r="NUM5" s="28"/>
      <c r="NUN5" s="28"/>
      <c r="NUO5" s="28"/>
      <c r="NUP5" s="28"/>
      <c r="NUQ5" s="28"/>
      <c r="NUR5" s="28"/>
      <c r="NUS5" s="28"/>
      <c r="NUT5" s="28"/>
      <c r="NUU5" s="28"/>
      <c r="NUV5" s="28"/>
      <c r="NUW5" s="28"/>
      <c r="NUX5" s="28"/>
      <c r="NUY5" s="28"/>
      <c r="NUZ5" s="28"/>
      <c r="NVA5" s="28"/>
      <c r="NVB5" s="28"/>
      <c r="NVC5" s="28"/>
      <c r="NVD5" s="28"/>
      <c r="NVE5" s="28"/>
      <c r="NVF5" s="28"/>
      <c r="NVG5" s="28"/>
      <c r="NVH5" s="28"/>
      <c r="NVI5" s="28"/>
      <c r="NVJ5" s="28"/>
      <c r="NVK5" s="28"/>
      <c r="NVL5" s="28"/>
      <c r="NVM5" s="28"/>
      <c r="NVN5" s="28"/>
      <c r="NVO5" s="28"/>
      <c r="NVP5" s="28"/>
      <c r="NVQ5" s="28"/>
      <c r="NVR5" s="28"/>
      <c r="NVS5" s="28"/>
      <c r="NVT5" s="28"/>
      <c r="NVU5" s="28"/>
      <c r="NVV5" s="28"/>
      <c r="NVW5" s="28"/>
      <c r="NVX5" s="28"/>
      <c r="NVY5" s="28"/>
      <c r="NVZ5" s="28"/>
      <c r="NWA5" s="28"/>
      <c r="NWB5" s="28"/>
      <c r="NWC5" s="28"/>
      <c r="NWD5" s="28"/>
      <c r="NWE5" s="28"/>
      <c r="NWF5" s="28"/>
      <c r="NWG5" s="28"/>
      <c r="NWH5" s="28"/>
      <c r="NWI5" s="28"/>
      <c r="NWJ5" s="28"/>
      <c r="NWK5" s="28"/>
      <c r="NWL5" s="28"/>
      <c r="NWM5" s="28"/>
      <c r="NWN5" s="28"/>
      <c r="NWO5" s="28"/>
      <c r="NWP5" s="28"/>
      <c r="NWQ5" s="28"/>
      <c r="NWR5" s="28"/>
      <c r="NWS5" s="28"/>
      <c r="NWT5" s="28"/>
      <c r="NWU5" s="28"/>
      <c r="NWV5" s="28"/>
      <c r="NWW5" s="28"/>
      <c r="NWX5" s="28"/>
      <c r="NWY5" s="28"/>
      <c r="NWZ5" s="28"/>
      <c r="NXA5" s="28"/>
      <c r="NXB5" s="28"/>
      <c r="NXC5" s="28"/>
      <c r="NXD5" s="28"/>
      <c r="NXE5" s="28"/>
      <c r="NXF5" s="28"/>
      <c r="NXG5" s="28"/>
      <c r="NXH5" s="28"/>
      <c r="NXI5" s="28"/>
      <c r="NXJ5" s="28"/>
      <c r="NXK5" s="28"/>
      <c r="NXL5" s="28"/>
      <c r="NXM5" s="28"/>
      <c r="NXN5" s="28"/>
      <c r="NXO5" s="28"/>
      <c r="NXP5" s="28"/>
      <c r="NXQ5" s="28"/>
      <c r="NXR5" s="28"/>
      <c r="NXS5" s="28"/>
      <c r="NXT5" s="28"/>
      <c r="NXU5" s="28"/>
      <c r="NXV5" s="28"/>
      <c r="NXW5" s="28"/>
      <c r="NXX5" s="28"/>
      <c r="NXY5" s="28"/>
      <c r="NXZ5" s="28"/>
      <c r="NYA5" s="28"/>
      <c r="NYB5" s="28"/>
      <c r="NYC5" s="28"/>
      <c r="NYD5" s="28"/>
      <c r="NYE5" s="28"/>
      <c r="NYF5" s="28"/>
      <c r="NYG5" s="28"/>
      <c r="NYH5" s="28"/>
      <c r="NYI5" s="28"/>
      <c r="NYJ5" s="28"/>
      <c r="NYK5" s="28"/>
      <c r="NYL5" s="28"/>
      <c r="NYM5" s="28"/>
      <c r="NYN5" s="28"/>
      <c r="NYO5" s="28"/>
      <c r="NYP5" s="28"/>
      <c r="NYQ5" s="28"/>
      <c r="NYR5" s="28"/>
      <c r="NYS5" s="28"/>
      <c r="NYT5" s="28"/>
      <c r="NYU5" s="28"/>
      <c r="NYV5" s="28"/>
      <c r="NYW5" s="28"/>
      <c r="NYX5" s="28"/>
      <c r="NYY5" s="28"/>
      <c r="NYZ5" s="28"/>
      <c r="NZA5" s="28"/>
      <c r="NZB5" s="28"/>
      <c r="NZC5" s="28"/>
      <c r="NZD5" s="28"/>
      <c r="NZE5" s="28"/>
      <c r="NZF5" s="28"/>
      <c r="NZG5" s="28"/>
      <c r="NZH5" s="28"/>
      <c r="NZI5" s="28"/>
      <c r="NZJ5" s="28"/>
      <c r="NZK5" s="28"/>
      <c r="NZL5" s="28"/>
      <c r="NZM5" s="28"/>
      <c r="NZN5" s="28"/>
      <c r="NZO5" s="28"/>
      <c r="NZP5" s="28"/>
      <c r="NZQ5" s="28"/>
      <c r="NZR5" s="28"/>
      <c r="NZS5" s="28"/>
      <c r="NZT5" s="28"/>
      <c r="NZU5" s="28"/>
      <c r="NZV5" s="28"/>
      <c r="NZW5" s="28"/>
      <c r="NZX5" s="28"/>
      <c r="NZY5" s="28"/>
      <c r="NZZ5" s="28"/>
      <c r="OAA5" s="28"/>
      <c r="OAB5" s="28"/>
      <c r="OAC5" s="28"/>
      <c r="OAD5" s="28"/>
      <c r="OAE5" s="28"/>
      <c r="OAF5" s="28"/>
      <c r="OAG5" s="28"/>
      <c r="OAH5" s="28"/>
      <c r="OAI5" s="28"/>
      <c r="OAJ5" s="28"/>
      <c r="OAK5" s="28"/>
      <c r="OAL5" s="28"/>
      <c r="OAM5" s="28"/>
      <c r="OAN5" s="28"/>
      <c r="OAO5" s="28"/>
      <c r="OAP5" s="28"/>
      <c r="OAQ5" s="28"/>
      <c r="OAR5" s="28"/>
      <c r="OAS5" s="28"/>
      <c r="OAT5" s="28"/>
      <c r="OAU5" s="28"/>
      <c r="OAV5" s="28"/>
      <c r="OAW5" s="28"/>
      <c r="OAX5" s="28"/>
      <c r="OAY5" s="28"/>
      <c r="OAZ5" s="28"/>
      <c r="OBA5" s="28"/>
      <c r="OBB5" s="28"/>
      <c r="OBC5" s="28"/>
      <c r="OBD5" s="28"/>
      <c r="OBE5" s="28"/>
      <c r="OBF5" s="28"/>
      <c r="OBG5" s="28"/>
      <c r="OBH5" s="28"/>
      <c r="OBI5" s="28"/>
      <c r="OBJ5" s="28"/>
      <c r="OBK5" s="28"/>
      <c r="OBL5" s="28"/>
      <c r="OBM5" s="28"/>
      <c r="OBN5" s="28"/>
      <c r="OBO5" s="28"/>
      <c r="OBP5" s="28"/>
      <c r="OBQ5" s="28"/>
      <c r="OBR5" s="28"/>
      <c r="OBS5" s="28"/>
      <c r="OBT5" s="28"/>
      <c r="OBU5" s="28"/>
      <c r="OBV5" s="28"/>
      <c r="OBW5" s="28"/>
      <c r="OBX5" s="28"/>
      <c r="OBY5" s="28"/>
      <c r="OBZ5" s="28"/>
      <c r="OCA5" s="28"/>
      <c r="OCB5" s="28"/>
      <c r="OCC5" s="28"/>
      <c r="OCD5" s="28"/>
      <c r="OCE5" s="28"/>
      <c r="OCF5" s="28"/>
      <c r="OCG5" s="28"/>
      <c r="OCH5" s="28"/>
      <c r="OCI5" s="28"/>
      <c r="OCJ5" s="28"/>
      <c r="OCK5" s="28"/>
      <c r="OCL5" s="28"/>
      <c r="OCM5" s="28"/>
      <c r="OCN5" s="28"/>
      <c r="OCO5" s="28"/>
      <c r="OCP5" s="28"/>
      <c r="OCQ5" s="28"/>
      <c r="OCR5" s="28"/>
      <c r="OCS5" s="28"/>
      <c r="OCT5" s="28"/>
      <c r="OCU5" s="28"/>
      <c r="OCV5" s="28"/>
      <c r="OCW5" s="28"/>
      <c r="OCX5" s="28"/>
      <c r="OCY5" s="28"/>
      <c r="OCZ5" s="28"/>
      <c r="ODA5" s="28"/>
      <c r="ODB5" s="28"/>
      <c r="ODC5" s="28"/>
      <c r="ODD5" s="28"/>
      <c r="ODE5" s="28"/>
      <c r="ODF5" s="28"/>
      <c r="ODG5" s="28"/>
      <c r="ODH5" s="28"/>
      <c r="ODI5" s="28"/>
      <c r="ODJ5" s="28"/>
      <c r="ODK5" s="28"/>
      <c r="ODL5" s="28"/>
      <c r="ODM5" s="28"/>
      <c r="ODN5" s="28"/>
      <c r="ODO5" s="28"/>
      <c r="ODP5" s="28"/>
      <c r="ODQ5" s="28"/>
      <c r="ODR5" s="28"/>
      <c r="ODS5" s="28"/>
      <c r="ODT5" s="28"/>
      <c r="ODU5" s="28"/>
      <c r="ODV5" s="28"/>
      <c r="ODW5" s="28"/>
      <c r="ODX5" s="28"/>
      <c r="ODY5" s="28"/>
      <c r="ODZ5" s="28"/>
      <c r="OEA5" s="28"/>
      <c r="OEB5" s="28"/>
      <c r="OEC5" s="28"/>
      <c r="OED5" s="28"/>
      <c r="OEE5" s="28"/>
      <c r="OEF5" s="28"/>
      <c r="OEG5" s="28"/>
      <c r="OEH5" s="28"/>
      <c r="OEI5" s="28"/>
      <c r="OEJ5" s="28"/>
      <c r="OEK5" s="28"/>
      <c r="OEL5" s="28"/>
      <c r="OEM5" s="28"/>
      <c r="OEN5" s="28"/>
      <c r="OEO5" s="28"/>
      <c r="OEP5" s="28"/>
      <c r="OEQ5" s="28"/>
      <c r="OER5" s="28"/>
      <c r="OES5" s="28"/>
      <c r="OET5" s="28"/>
      <c r="OEU5" s="28"/>
      <c r="OEV5" s="28"/>
      <c r="OEW5" s="28"/>
      <c r="OEX5" s="28"/>
      <c r="OEY5" s="28"/>
      <c r="OEZ5" s="28"/>
      <c r="OFA5" s="28"/>
      <c r="OFB5" s="28"/>
      <c r="OFC5" s="28"/>
      <c r="OFD5" s="28"/>
      <c r="OFE5" s="28"/>
      <c r="OFF5" s="28"/>
      <c r="OFG5" s="28"/>
      <c r="OFH5" s="28"/>
      <c r="OFI5" s="28"/>
      <c r="OFJ5" s="28"/>
      <c r="OFK5" s="28"/>
      <c r="OFL5" s="28"/>
      <c r="OFM5" s="28"/>
      <c r="OFN5" s="28"/>
      <c r="OFO5" s="28"/>
      <c r="OFP5" s="28"/>
      <c r="OFQ5" s="28"/>
      <c r="OFR5" s="28"/>
      <c r="OFS5" s="28"/>
      <c r="OFT5" s="28"/>
      <c r="OFU5" s="28"/>
      <c r="OFV5" s="28"/>
      <c r="OFW5" s="28"/>
      <c r="OFX5" s="28"/>
      <c r="OFY5" s="28"/>
      <c r="OFZ5" s="28"/>
      <c r="OGA5" s="28"/>
      <c r="OGB5" s="28"/>
      <c r="OGC5" s="28"/>
      <c r="OGD5" s="28"/>
      <c r="OGE5" s="28"/>
      <c r="OGF5" s="28"/>
      <c r="OGG5" s="28"/>
      <c r="OGH5" s="28"/>
      <c r="OGI5" s="28"/>
      <c r="OGJ5" s="28"/>
      <c r="OGK5" s="28"/>
      <c r="OGL5" s="28"/>
      <c r="OGM5" s="28"/>
      <c r="OGN5" s="28"/>
      <c r="OGO5" s="28"/>
      <c r="OGP5" s="28"/>
      <c r="OGQ5" s="28"/>
      <c r="OGR5" s="28"/>
      <c r="OGS5" s="28"/>
      <c r="OGT5" s="28"/>
      <c r="OGU5" s="28"/>
      <c r="OGV5" s="28"/>
      <c r="OGW5" s="28"/>
      <c r="OGX5" s="28"/>
      <c r="OGY5" s="28"/>
      <c r="OGZ5" s="28"/>
      <c r="OHA5" s="28"/>
      <c r="OHB5" s="28"/>
      <c r="OHC5" s="28"/>
      <c r="OHD5" s="28"/>
      <c r="OHE5" s="28"/>
      <c r="OHF5" s="28"/>
      <c r="OHG5" s="28"/>
      <c r="OHH5" s="28"/>
      <c r="OHI5" s="28"/>
      <c r="OHJ5" s="28"/>
      <c r="OHK5" s="28"/>
      <c r="OHL5" s="28"/>
      <c r="OHM5" s="28"/>
      <c r="OHN5" s="28"/>
      <c r="OHO5" s="28"/>
      <c r="OHP5" s="28"/>
      <c r="OHQ5" s="28"/>
      <c r="OHR5" s="28"/>
      <c r="OHS5" s="28"/>
      <c r="OHT5" s="28"/>
      <c r="OHU5" s="28"/>
      <c r="OHV5" s="28"/>
      <c r="OHW5" s="28"/>
      <c r="OHX5" s="28"/>
      <c r="OHY5" s="28"/>
      <c r="OHZ5" s="28"/>
      <c r="OIA5" s="28"/>
      <c r="OIB5" s="28"/>
      <c r="OIC5" s="28"/>
      <c r="OID5" s="28"/>
      <c r="OIE5" s="28"/>
      <c r="OIF5" s="28"/>
      <c r="OIG5" s="28"/>
      <c r="OIH5" s="28"/>
      <c r="OII5" s="28"/>
      <c r="OIJ5" s="28"/>
      <c r="OIK5" s="28"/>
      <c r="OIL5" s="28"/>
      <c r="OIM5" s="28"/>
      <c r="OIN5" s="28"/>
      <c r="OIO5" s="28"/>
      <c r="OIP5" s="28"/>
      <c r="OIQ5" s="28"/>
      <c r="OIR5" s="28"/>
      <c r="OIS5" s="28"/>
      <c r="OIT5" s="28"/>
      <c r="OIU5" s="28"/>
      <c r="OIV5" s="28"/>
      <c r="OIW5" s="28"/>
      <c r="OIX5" s="28"/>
      <c r="OIY5" s="28"/>
      <c r="OIZ5" s="28"/>
      <c r="OJA5" s="28"/>
      <c r="OJB5" s="28"/>
      <c r="OJC5" s="28"/>
      <c r="OJD5" s="28"/>
      <c r="OJE5" s="28"/>
      <c r="OJF5" s="28"/>
      <c r="OJG5" s="28"/>
      <c r="OJH5" s="28"/>
      <c r="OJI5" s="28"/>
      <c r="OJJ5" s="28"/>
      <c r="OJK5" s="28"/>
      <c r="OJL5" s="28"/>
      <c r="OJM5" s="28"/>
      <c r="OJN5" s="28"/>
      <c r="OJO5" s="28"/>
      <c r="OJP5" s="28"/>
      <c r="OJQ5" s="28"/>
      <c r="OJR5" s="28"/>
      <c r="OJS5" s="28"/>
      <c r="OJT5" s="28"/>
      <c r="OJU5" s="28"/>
      <c r="OJV5" s="28"/>
      <c r="OJW5" s="28"/>
      <c r="OJX5" s="28"/>
      <c r="OJY5" s="28"/>
      <c r="OJZ5" s="28"/>
      <c r="OKA5" s="28"/>
      <c r="OKB5" s="28"/>
      <c r="OKC5" s="28"/>
      <c r="OKD5" s="28"/>
      <c r="OKE5" s="28"/>
      <c r="OKF5" s="28"/>
      <c r="OKG5" s="28"/>
      <c r="OKH5" s="28"/>
      <c r="OKI5" s="28"/>
      <c r="OKJ5" s="28"/>
      <c r="OKK5" s="28"/>
      <c r="OKL5" s="28"/>
      <c r="OKM5" s="28"/>
      <c r="OKN5" s="28"/>
      <c r="OKO5" s="28"/>
      <c r="OKP5" s="28"/>
      <c r="OKQ5" s="28"/>
      <c r="OKR5" s="28"/>
      <c r="OKS5" s="28"/>
      <c r="OKT5" s="28"/>
      <c r="OKU5" s="28"/>
      <c r="OKV5" s="28"/>
      <c r="OKW5" s="28"/>
      <c r="OKX5" s="28"/>
      <c r="OKY5" s="28"/>
      <c r="OKZ5" s="28"/>
      <c r="OLA5" s="28"/>
      <c r="OLB5" s="28"/>
      <c r="OLC5" s="28"/>
      <c r="OLD5" s="28"/>
      <c r="OLE5" s="28"/>
      <c r="OLF5" s="28"/>
      <c r="OLG5" s="28"/>
      <c r="OLH5" s="28"/>
      <c r="OLI5" s="28"/>
      <c r="OLJ5" s="28"/>
      <c r="OLK5" s="28"/>
      <c r="OLL5" s="28"/>
      <c r="OLM5" s="28"/>
      <c r="OLN5" s="28"/>
      <c r="OLO5" s="28"/>
      <c r="OLP5" s="28"/>
      <c r="OLQ5" s="28"/>
      <c r="OLR5" s="28"/>
      <c r="OLS5" s="28"/>
      <c r="OLT5" s="28"/>
      <c r="OLU5" s="28"/>
      <c r="OLV5" s="28"/>
      <c r="OLW5" s="28"/>
      <c r="OLX5" s="28"/>
      <c r="OLY5" s="28"/>
      <c r="OLZ5" s="28"/>
      <c r="OMA5" s="28"/>
      <c r="OMB5" s="28"/>
      <c r="OMC5" s="28"/>
      <c r="OMD5" s="28"/>
      <c r="OME5" s="28"/>
      <c r="OMF5" s="28"/>
      <c r="OMG5" s="28"/>
      <c r="OMH5" s="28"/>
      <c r="OMI5" s="28"/>
      <c r="OMJ5" s="28"/>
      <c r="OMK5" s="28"/>
      <c r="OML5" s="28"/>
      <c r="OMM5" s="28"/>
      <c r="OMN5" s="28"/>
      <c r="OMO5" s="28"/>
      <c r="OMP5" s="28"/>
      <c r="OMQ5" s="28"/>
      <c r="OMR5" s="28"/>
      <c r="OMS5" s="28"/>
      <c r="OMT5" s="28"/>
      <c r="OMU5" s="28"/>
      <c r="OMV5" s="28"/>
      <c r="OMW5" s="28"/>
      <c r="OMX5" s="28"/>
      <c r="OMY5" s="28"/>
      <c r="OMZ5" s="28"/>
      <c r="ONA5" s="28"/>
      <c r="ONB5" s="28"/>
      <c r="ONC5" s="28"/>
      <c r="OND5" s="28"/>
      <c r="ONE5" s="28"/>
      <c r="ONF5" s="28"/>
      <c r="ONG5" s="28"/>
      <c r="ONH5" s="28"/>
      <c r="ONI5" s="28"/>
      <c r="ONJ5" s="28"/>
      <c r="ONK5" s="28"/>
      <c r="ONL5" s="28"/>
      <c r="ONM5" s="28"/>
      <c r="ONN5" s="28"/>
      <c r="ONO5" s="28"/>
      <c r="ONP5" s="28"/>
      <c r="ONQ5" s="28"/>
      <c r="ONR5" s="28"/>
      <c r="ONS5" s="28"/>
      <c r="ONT5" s="28"/>
      <c r="ONU5" s="28"/>
      <c r="ONV5" s="28"/>
      <c r="ONW5" s="28"/>
      <c r="ONX5" s="28"/>
      <c r="ONY5" s="28"/>
      <c r="ONZ5" s="28"/>
      <c r="OOA5" s="28"/>
      <c r="OOB5" s="28"/>
      <c r="OOC5" s="28"/>
      <c r="OOD5" s="28"/>
      <c r="OOE5" s="28"/>
      <c r="OOF5" s="28"/>
      <c r="OOG5" s="28"/>
      <c r="OOH5" s="28"/>
      <c r="OOI5" s="28"/>
      <c r="OOJ5" s="28"/>
      <c r="OOK5" s="28"/>
      <c r="OOL5" s="28"/>
      <c r="OOM5" s="28"/>
      <c r="OON5" s="28"/>
      <c r="OOO5" s="28"/>
      <c r="OOP5" s="28"/>
      <c r="OOQ5" s="28"/>
      <c r="OOR5" s="28"/>
      <c r="OOS5" s="28"/>
      <c r="OOT5" s="28"/>
      <c r="OOU5" s="28"/>
      <c r="OOV5" s="28"/>
      <c r="OOW5" s="28"/>
      <c r="OOX5" s="28"/>
      <c r="OOY5" s="28"/>
      <c r="OOZ5" s="28"/>
      <c r="OPA5" s="28"/>
      <c r="OPB5" s="28"/>
      <c r="OPC5" s="28"/>
      <c r="OPD5" s="28"/>
      <c r="OPE5" s="28"/>
      <c r="OPF5" s="28"/>
      <c r="OPG5" s="28"/>
      <c r="OPH5" s="28"/>
      <c r="OPI5" s="28"/>
      <c r="OPJ5" s="28"/>
      <c r="OPK5" s="28"/>
      <c r="OPL5" s="28"/>
      <c r="OPM5" s="28"/>
      <c r="OPN5" s="28"/>
      <c r="OPO5" s="28"/>
      <c r="OPP5" s="28"/>
      <c r="OPQ5" s="28"/>
      <c r="OPR5" s="28"/>
      <c r="OPS5" s="28"/>
      <c r="OPT5" s="28"/>
      <c r="OPU5" s="28"/>
      <c r="OPV5" s="28"/>
      <c r="OPW5" s="28"/>
      <c r="OPX5" s="28"/>
      <c r="OPY5" s="28"/>
      <c r="OPZ5" s="28"/>
      <c r="OQA5" s="28"/>
      <c r="OQB5" s="28"/>
      <c r="OQC5" s="28"/>
      <c r="OQD5" s="28"/>
      <c r="OQE5" s="28"/>
      <c r="OQF5" s="28"/>
      <c r="OQG5" s="28"/>
      <c r="OQH5" s="28"/>
      <c r="OQI5" s="28"/>
      <c r="OQJ5" s="28"/>
      <c r="OQK5" s="28"/>
      <c r="OQL5" s="28"/>
      <c r="OQM5" s="28"/>
      <c r="OQN5" s="28"/>
      <c r="OQO5" s="28"/>
      <c r="OQP5" s="28"/>
      <c r="OQQ5" s="28"/>
      <c r="OQR5" s="28"/>
      <c r="OQS5" s="28"/>
      <c r="OQT5" s="28"/>
      <c r="OQU5" s="28"/>
      <c r="OQV5" s="28"/>
      <c r="OQW5" s="28"/>
      <c r="OQX5" s="28"/>
      <c r="OQY5" s="28"/>
      <c r="OQZ5" s="28"/>
      <c r="ORA5" s="28"/>
      <c r="ORB5" s="28"/>
      <c r="ORC5" s="28"/>
      <c r="ORD5" s="28"/>
      <c r="ORE5" s="28"/>
      <c r="ORF5" s="28"/>
      <c r="ORG5" s="28"/>
      <c r="ORH5" s="28"/>
      <c r="ORI5" s="28"/>
      <c r="ORJ5" s="28"/>
      <c r="ORK5" s="28"/>
      <c r="ORL5" s="28"/>
      <c r="ORM5" s="28"/>
      <c r="ORN5" s="28"/>
      <c r="ORO5" s="28"/>
      <c r="ORP5" s="28"/>
      <c r="ORQ5" s="28"/>
      <c r="ORR5" s="28"/>
      <c r="ORS5" s="28"/>
      <c r="ORT5" s="28"/>
      <c r="ORU5" s="28"/>
      <c r="ORV5" s="28"/>
      <c r="ORW5" s="28"/>
      <c r="ORX5" s="28"/>
      <c r="ORY5" s="28"/>
      <c r="ORZ5" s="28"/>
      <c r="OSA5" s="28"/>
      <c r="OSB5" s="28"/>
      <c r="OSC5" s="28"/>
      <c r="OSD5" s="28"/>
      <c r="OSE5" s="28"/>
      <c r="OSF5" s="28"/>
      <c r="OSG5" s="28"/>
      <c r="OSH5" s="28"/>
      <c r="OSI5" s="28"/>
      <c r="OSJ5" s="28"/>
      <c r="OSK5" s="28"/>
      <c r="OSL5" s="28"/>
      <c r="OSM5" s="28"/>
      <c r="OSN5" s="28"/>
      <c r="OSO5" s="28"/>
      <c r="OSP5" s="28"/>
      <c r="OSQ5" s="28"/>
      <c r="OSR5" s="28"/>
      <c r="OSS5" s="28"/>
      <c r="OST5" s="28"/>
      <c r="OSU5" s="28"/>
      <c r="OSV5" s="28"/>
      <c r="OSW5" s="28"/>
      <c r="OSX5" s="28"/>
      <c r="OSY5" s="28"/>
      <c r="OSZ5" s="28"/>
      <c r="OTA5" s="28"/>
      <c r="OTB5" s="28"/>
      <c r="OTC5" s="28"/>
      <c r="OTD5" s="28"/>
      <c r="OTE5" s="28"/>
      <c r="OTF5" s="28"/>
      <c r="OTG5" s="28"/>
      <c r="OTH5" s="28"/>
      <c r="OTI5" s="28"/>
      <c r="OTJ5" s="28"/>
      <c r="OTK5" s="28"/>
      <c r="OTL5" s="28"/>
      <c r="OTM5" s="28"/>
      <c r="OTN5" s="28"/>
      <c r="OTO5" s="28"/>
      <c r="OTP5" s="28"/>
      <c r="OTQ5" s="28"/>
      <c r="OTR5" s="28"/>
      <c r="OTS5" s="28"/>
      <c r="OTT5" s="28"/>
      <c r="OTU5" s="28"/>
      <c r="OTV5" s="28"/>
      <c r="OTW5" s="28"/>
      <c r="OTX5" s="28"/>
      <c r="OTY5" s="28"/>
      <c r="OTZ5" s="28"/>
      <c r="OUA5" s="28"/>
      <c r="OUB5" s="28"/>
      <c r="OUC5" s="28"/>
      <c r="OUD5" s="28"/>
      <c r="OUE5" s="28"/>
      <c r="OUF5" s="28"/>
      <c r="OUG5" s="28"/>
      <c r="OUH5" s="28"/>
      <c r="OUI5" s="28"/>
      <c r="OUJ5" s="28"/>
      <c r="OUK5" s="28"/>
      <c r="OUL5" s="28"/>
      <c r="OUM5" s="28"/>
      <c r="OUN5" s="28"/>
      <c r="OUO5" s="28"/>
      <c r="OUP5" s="28"/>
      <c r="OUQ5" s="28"/>
      <c r="OUR5" s="28"/>
      <c r="OUS5" s="28"/>
      <c r="OUT5" s="28"/>
      <c r="OUU5" s="28"/>
      <c r="OUV5" s="28"/>
      <c r="OUW5" s="28"/>
      <c r="OUX5" s="28"/>
      <c r="OUY5" s="28"/>
      <c r="OUZ5" s="28"/>
      <c r="OVA5" s="28"/>
      <c r="OVB5" s="28"/>
      <c r="OVC5" s="28"/>
      <c r="OVD5" s="28"/>
      <c r="OVE5" s="28"/>
      <c r="OVF5" s="28"/>
      <c r="OVG5" s="28"/>
      <c r="OVH5" s="28"/>
      <c r="OVI5" s="28"/>
      <c r="OVJ5" s="28"/>
      <c r="OVK5" s="28"/>
      <c r="OVL5" s="28"/>
      <c r="OVM5" s="28"/>
      <c r="OVN5" s="28"/>
      <c r="OVO5" s="28"/>
      <c r="OVP5" s="28"/>
      <c r="OVQ5" s="28"/>
      <c r="OVR5" s="28"/>
      <c r="OVS5" s="28"/>
      <c r="OVT5" s="28"/>
      <c r="OVU5" s="28"/>
      <c r="OVV5" s="28"/>
      <c r="OVW5" s="28"/>
      <c r="OVX5" s="28"/>
      <c r="OVY5" s="28"/>
      <c r="OVZ5" s="28"/>
      <c r="OWA5" s="28"/>
      <c r="OWB5" s="28"/>
      <c r="OWC5" s="28"/>
      <c r="OWD5" s="28"/>
      <c r="OWE5" s="28"/>
      <c r="OWF5" s="28"/>
      <c r="OWG5" s="28"/>
      <c r="OWH5" s="28"/>
      <c r="OWI5" s="28"/>
      <c r="OWJ5" s="28"/>
      <c r="OWK5" s="28"/>
      <c r="OWL5" s="28"/>
      <c r="OWM5" s="28"/>
      <c r="OWN5" s="28"/>
      <c r="OWO5" s="28"/>
      <c r="OWP5" s="28"/>
      <c r="OWQ5" s="28"/>
      <c r="OWR5" s="28"/>
      <c r="OWS5" s="28"/>
      <c r="OWT5" s="28"/>
      <c r="OWU5" s="28"/>
      <c r="OWV5" s="28"/>
      <c r="OWW5" s="28"/>
      <c r="OWX5" s="28"/>
      <c r="OWY5" s="28"/>
      <c r="OWZ5" s="28"/>
      <c r="OXA5" s="28"/>
      <c r="OXB5" s="28"/>
      <c r="OXC5" s="28"/>
      <c r="OXD5" s="28"/>
      <c r="OXE5" s="28"/>
      <c r="OXF5" s="28"/>
      <c r="OXG5" s="28"/>
      <c r="OXH5" s="28"/>
      <c r="OXI5" s="28"/>
      <c r="OXJ5" s="28"/>
      <c r="OXK5" s="28"/>
      <c r="OXL5" s="28"/>
      <c r="OXM5" s="28"/>
      <c r="OXN5" s="28"/>
      <c r="OXO5" s="28"/>
      <c r="OXP5" s="28"/>
      <c r="OXQ5" s="28"/>
      <c r="OXR5" s="28"/>
      <c r="OXS5" s="28"/>
      <c r="OXT5" s="28"/>
      <c r="OXU5" s="28"/>
      <c r="OXV5" s="28"/>
      <c r="OXW5" s="28"/>
      <c r="OXX5" s="28"/>
      <c r="OXY5" s="28"/>
      <c r="OXZ5" s="28"/>
      <c r="OYA5" s="28"/>
      <c r="OYB5" s="28"/>
      <c r="OYC5" s="28"/>
      <c r="OYD5" s="28"/>
      <c r="OYE5" s="28"/>
      <c r="OYF5" s="28"/>
      <c r="OYG5" s="28"/>
      <c r="OYH5" s="28"/>
      <c r="OYI5" s="28"/>
      <c r="OYJ5" s="28"/>
      <c r="OYK5" s="28"/>
      <c r="OYL5" s="28"/>
      <c r="OYM5" s="28"/>
      <c r="OYN5" s="28"/>
      <c r="OYO5" s="28"/>
      <c r="OYP5" s="28"/>
      <c r="OYQ5" s="28"/>
      <c r="OYR5" s="28"/>
      <c r="OYS5" s="28"/>
      <c r="OYT5" s="28"/>
      <c r="OYU5" s="28"/>
      <c r="OYV5" s="28"/>
      <c r="OYW5" s="28"/>
      <c r="OYX5" s="28"/>
      <c r="OYY5" s="28"/>
      <c r="OYZ5" s="28"/>
      <c r="OZA5" s="28"/>
      <c r="OZB5" s="28"/>
      <c r="OZC5" s="28"/>
      <c r="OZD5" s="28"/>
      <c r="OZE5" s="28"/>
      <c r="OZF5" s="28"/>
      <c r="OZG5" s="28"/>
      <c r="OZH5" s="28"/>
      <c r="OZI5" s="28"/>
      <c r="OZJ5" s="28"/>
      <c r="OZK5" s="28"/>
      <c r="OZL5" s="28"/>
      <c r="OZM5" s="28"/>
      <c r="OZN5" s="28"/>
      <c r="OZO5" s="28"/>
      <c r="OZP5" s="28"/>
      <c r="OZQ5" s="28"/>
      <c r="OZR5" s="28"/>
      <c r="OZS5" s="28"/>
      <c r="OZT5" s="28"/>
      <c r="OZU5" s="28"/>
      <c r="OZV5" s="28"/>
      <c r="OZW5" s="28"/>
      <c r="OZX5" s="28"/>
      <c r="OZY5" s="28"/>
      <c r="OZZ5" s="28"/>
      <c r="PAA5" s="28"/>
      <c r="PAB5" s="28"/>
      <c r="PAC5" s="28"/>
      <c r="PAD5" s="28"/>
      <c r="PAE5" s="28"/>
      <c r="PAF5" s="28"/>
      <c r="PAG5" s="28"/>
      <c r="PAH5" s="28"/>
      <c r="PAI5" s="28"/>
      <c r="PAJ5" s="28"/>
      <c r="PAK5" s="28"/>
      <c r="PAL5" s="28"/>
      <c r="PAM5" s="28"/>
      <c r="PAN5" s="28"/>
      <c r="PAO5" s="28"/>
      <c r="PAP5" s="28"/>
      <c r="PAQ5" s="28"/>
      <c r="PAR5" s="28"/>
      <c r="PAS5" s="28"/>
      <c r="PAT5" s="28"/>
      <c r="PAU5" s="28"/>
      <c r="PAV5" s="28"/>
      <c r="PAW5" s="28"/>
      <c r="PAX5" s="28"/>
      <c r="PAY5" s="28"/>
      <c r="PAZ5" s="28"/>
      <c r="PBA5" s="28"/>
      <c r="PBB5" s="28"/>
      <c r="PBC5" s="28"/>
      <c r="PBD5" s="28"/>
      <c r="PBE5" s="28"/>
      <c r="PBF5" s="28"/>
      <c r="PBG5" s="28"/>
      <c r="PBH5" s="28"/>
      <c r="PBI5" s="28"/>
      <c r="PBJ5" s="28"/>
      <c r="PBK5" s="28"/>
      <c r="PBL5" s="28"/>
      <c r="PBM5" s="28"/>
      <c r="PBN5" s="28"/>
      <c r="PBO5" s="28"/>
      <c r="PBP5" s="28"/>
      <c r="PBQ5" s="28"/>
      <c r="PBR5" s="28"/>
      <c r="PBS5" s="28"/>
      <c r="PBT5" s="28"/>
      <c r="PBU5" s="28"/>
      <c r="PBV5" s="28"/>
      <c r="PBW5" s="28"/>
      <c r="PBX5" s="28"/>
      <c r="PBY5" s="28"/>
      <c r="PBZ5" s="28"/>
      <c r="PCA5" s="28"/>
      <c r="PCB5" s="28"/>
      <c r="PCC5" s="28"/>
      <c r="PCD5" s="28"/>
      <c r="PCE5" s="28"/>
      <c r="PCF5" s="28"/>
      <c r="PCG5" s="28"/>
      <c r="PCH5" s="28"/>
      <c r="PCI5" s="28"/>
      <c r="PCJ5" s="28"/>
      <c r="PCK5" s="28"/>
      <c r="PCL5" s="28"/>
      <c r="PCM5" s="28"/>
      <c r="PCN5" s="28"/>
      <c r="PCO5" s="28"/>
      <c r="PCP5" s="28"/>
      <c r="PCQ5" s="28"/>
      <c r="PCR5" s="28"/>
      <c r="PCS5" s="28"/>
      <c r="PCT5" s="28"/>
      <c r="PCU5" s="28"/>
      <c r="PCV5" s="28"/>
      <c r="PCW5" s="28"/>
      <c r="PCX5" s="28"/>
      <c r="PCY5" s="28"/>
      <c r="PCZ5" s="28"/>
      <c r="PDA5" s="28"/>
      <c r="PDB5" s="28"/>
      <c r="PDC5" s="28"/>
      <c r="PDD5" s="28"/>
      <c r="PDE5" s="28"/>
      <c r="PDF5" s="28"/>
      <c r="PDG5" s="28"/>
      <c r="PDH5" s="28"/>
      <c r="PDI5" s="28"/>
      <c r="PDJ5" s="28"/>
      <c r="PDK5" s="28"/>
      <c r="PDL5" s="28"/>
      <c r="PDM5" s="28"/>
      <c r="PDN5" s="28"/>
      <c r="PDO5" s="28"/>
      <c r="PDP5" s="28"/>
      <c r="PDQ5" s="28"/>
      <c r="PDR5" s="28"/>
      <c r="PDS5" s="28"/>
      <c r="PDT5" s="28"/>
      <c r="PDU5" s="28"/>
      <c r="PDV5" s="28"/>
      <c r="PDW5" s="28"/>
      <c r="PDX5" s="28"/>
      <c r="PDY5" s="28"/>
      <c r="PDZ5" s="28"/>
      <c r="PEA5" s="28"/>
      <c r="PEB5" s="28"/>
      <c r="PEC5" s="28"/>
      <c r="PED5" s="28"/>
      <c r="PEE5" s="28"/>
      <c r="PEF5" s="28"/>
      <c r="PEG5" s="28"/>
      <c r="PEH5" s="28"/>
      <c r="PEI5" s="28"/>
      <c r="PEJ5" s="28"/>
      <c r="PEK5" s="28"/>
      <c r="PEL5" s="28"/>
      <c r="PEM5" s="28"/>
      <c r="PEN5" s="28"/>
      <c r="PEO5" s="28"/>
      <c r="PEP5" s="28"/>
      <c r="PEQ5" s="28"/>
      <c r="PER5" s="28"/>
      <c r="PES5" s="28"/>
      <c r="PET5" s="28"/>
      <c r="PEU5" s="28"/>
      <c r="PEV5" s="28"/>
      <c r="PEW5" s="28"/>
      <c r="PEX5" s="28"/>
      <c r="PEY5" s="28"/>
      <c r="PEZ5" s="28"/>
      <c r="PFA5" s="28"/>
      <c r="PFB5" s="28"/>
      <c r="PFC5" s="28"/>
      <c r="PFD5" s="28"/>
      <c r="PFE5" s="28"/>
      <c r="PFF5" s="28"/>
      <c r="PFG5" s="28"/>
      <c r="PFH5" s="28"/>
      <c r="PFI5" s="28"/>
      <c r="PFJ5" s="28"/>
      <c r="PFK5" s="28"/>
      <c r="PFL5" s="28"/>
      <c r="PFM5" s="28"/>
      <c r="PFN5" s="28"/>
      <c r="PFO5" s="28"/>
      <c r="PFP5" s="28"/>
      <c r="PFQ5" s="28"/>
      <c r="PFR5" s="28"/>
      <c r="PFS5" s="28"/>
      <c r="PFT5" s="28"/>
      <c r="PFU5" s="28"/>
      <c r="PFV5" s="28"/>
      <c r="PFW5" s="28"/>
      <c r="PFX5" s="28"/>
      <c r="PFY5" s="28"/>
      <c r="PFZ5" s="28"/>
      <c r="PGA5" s="28"/>
      <c r="PGB5" s="28"/>
      <c r="PGC5" s="28"/>
      <c r="PGD5" s="28"/>
      <c r="PGE5" s="28"/>
      <c r="PGF5" s="28"/>
      <c r="PGG5" s="28"/>
      <c r="PGH5" s="28"/>
      <c r="PGI5" s="28"/>
      <c r="PGJ5" s="28"/>
      <c r="PGK5" s="28"/>
      <c r="PGL5" s="28"/>
      <c r="PGM5" s="28"/>
      <c r="PGN5" s="28"/>
      <c r="PGO5" s="28"/>
      <c r="PGP5" s="28"/>
      <c r="PGQ5" s="28"/>
      <c r="PGR5" s="28"/>
      <c r="PGS5" s="28"/>
      <c r="PGT5" s="28"/>
      <c r="PGU5" s="28"/>
      <c r="PGV5" s="28"/>
      <c r="PGW5" s="28"/>
      <c r="PGX5" s="28"/>
      <c r="PGY5" s="28"/>
      <c r="PGZ5" s="28"/>
      <c r="PHA5" s="28"/>
      <c r="PHB5" s="28"/>
      <c r="PHC5" s="28"/>
      <c r="PHD5" s="28"/>
      <c r="PHE5" s="28"/>
      <c r="PHF5" s="28"/>
      <c r="PHG5" s="28"/>
      <c r="PHH5" s="28"/>
      <c r="PHI5" s="28"/>
      <c r="PHJ5" s="28"/>
      <c r="PHK5" s="28"/>
      <c r="PHL5" s="28"/>
      <c r="PHM5" s="28"/>
      <c r="PHN5" s="28"/>
      <c r="PHO5" s="28"/>
      <c r="PHP5" s="28"/>
      <c r="PHQ5" s="28"/>
      <c r="PHR5" s="28"/>
      <c r="PHS5" s="28"/>
      <c r="PHT5" s="28"/>
      <c r="PHU5" s="28"/>
      <c r="PHV5" s="28"/>
      <c r="PHW5" s="28"/>
      <c r="PHX5" s="28"/>
      <c r="PHY5" s="28"/>
      <c r="PHZ5" s="28"/>
      <c r="PIA5" s="28"/>
      <c r="PIB5" s="28"/>
      <c r="PIC5" s="28"/>
      <c r="PID5" s="28"/>
      <c r="PIE5" s="28"/>
      <c r="PIF5" s="28"/>
      <c r="PIG5" s="28"/>
      <c r="PIH5" s="28"/>
      <c r="PII5" s="28"/>
      <c r="PIJ5" s="28"/>
      <c r="PIK5" s="28"/>
      <c r="PIL5" s="28"/>
      <c r="PIM5" s="28"/>
      <c r="PIN5" s="28"/>
      <c r="PIO5" s="28"/>
      <c r="PIP5" s="28"/>
      <c r="PIQ5" s="28"/>
      <c r="PIR5" s="28"/>
      <c r="PIS5" s="28"/>
      <c r="PIT5" s="28"/>
      <c r="PIU5" s="28"/>
      <c r="PIV5" s="28"/>
      <c r="PIW5" s="28"/>
      <c r="PIX5" s="28"/>
      <c r="PIY5" s="28"/>
      <c r="PIZ5" s="28"/>
      <c r="PJA5" s="28"/>
      <c r="PJB5" s="28"/>
      <c r="PJC5" s="28"/>
      <c r="PJD5" s="28"/>
      <c r="PJE5" s="28"/>
      <c r="PJF5" s="28"/>
      <c r="PJG5" s="28"/>
      <c r="PJH5" s="28"/>
      <c r="PJI5" s="28"/>
      <c r="PJJ5" s="28"/>
      <c r="PJK5" s="28"/>
      <c r="PJL5" s="28"/>
      <c r="PJM5" s="28"/>
      <c r="PJN5" s="28"/>
      <c r="PJO5" s="28"/>
      <c r="PJP5" s="28"/>
      <c r="PJQ5" s="28"/>
      <c r="PJR5" s="28"/>
      <c r="PJS5" s="28"/>
      <c r="PJT5" s="28"/>
      <c r="PJU5" s="28"/>
      <c r="PJV5" s="28"/>
      <c r="PJW5" s="28"/>
      <c r="PJX5" s="28"/>
      <c r="PJY5" s="28"/>
      <c r="PJZ5" s="28"/>
      <c r="PKA5" s="28"/>
      <c r="PKB5" s="28"/>
      <c r="PKC5" s="28"/>
      <c r="PKD5" s="28"/>
      <c r="PKE5" s="28"/>
      <c r="PKF5" s="28"/>
      <c r="PKG5" s="28"/>
      <c r="PKH5" s="28"/>
      <c r="PKI5" s="28"/>
      <c r="PKJ5" s="28"/>
      <c r="PKK5" s="28"/>
      <c r="PKL5" s="28"/>
      <c r="PKM5" s="28"/>
      <c r="PKN5" s="28"/>
      <c r="PKO5" s="28"/>
      <c r="PKP5" s="28"/>
      <c r="PKQ5" s="28"/>
      <c r="PKR5" s="28"/>
      <c r="PKS5" s="28"/>
      <c r="PKT5" s="28"/>
      <c r="PKU5" s="28"/>
      <c r="PKV5" s="28"/>
      <c r="PKW5" s="28"/>
      <c r="PKX5" s="28"/>
      <c r="PKY5" s="28"/>
      <c r="PKZ5" s="28"/>
      <c r="PLA5" s="28"/>
      <c r="PLB5" s="28"/>
      <c r="PLC5" s="28"/>
      <c r="PLD5" s="28"/>
      <c r="PLE5" s="28"/>
      <c r="PLF5" s="28"/>
      <c r="PLG5" s="28"/>
      <c r="PLH5" s="28"/>
      <c r="PLI5" s="28"/>
      <c r="PLJ5" s="28"/>
      <c r="PLK5" s="28"/>
      <c r="PLL5" s="28"/>
      <c r="PLM5" s="28"/>
      <c r="PLN5" s="28"/>
      <c r="PLO5" s="28"/>
      <c r="PLP5" s="28"/>
      <c r="PLQ5" s="28"/>
      <c r="PLR5" s="28"/>
      <c r="PLS5" s="28"/>
      <c r="PLT5" s="28"/>
      <c r="PLU5" s="28"/>
      <c r="PLV5" s="28"/>
      <c r="PLW5" s="28"/>
      <c r="PLX5" s="28"/>
      <c r="PLY5" s="28"/>
      <c r="PLZ5" s="28"/>
      <c r="PMA5" s="28"/>
      <c r="PMB5" s="28"/>
      <c r="PMC5" s="28"/>
      <c r="PMD5" s="28"/>
      <c r="PME5" s="28"/>
      <c r="PMF5" s="28"/>
      <c r="PMG5" s="28"/>
      <c r="PMH5" s="28"/>
      <c r="PMI5" s="28"/>
      <c r="PMJ5" s="28"/>
      <c r="PMK5" s="28"/>
      <c r="PML5" s="28"/>
      <c r="PMM5" s="28"/>
      <c r="PMN5" s="28"/>
      <c r="PMO5" s="28"/>
      <c r="PMP5" s="28"/>
      <c r="PMQ5" s="28"/>
      <c r="PMR5" s="28"/>
      <c r="PMS5" s="28"/>
      <c r="PMT5" s="28"/>
      <c r="PMU5" s="28"/>
      <c r="PMV5" s="28"/>
      <c r="PMW5" s="28"/>
      <c r="PMX5" s="28"/>
      <c r="PMY5" s="28"/>
      <c r="PMZ5" s="28"/>
      <c r="PNA5" s="28"/>
      <c r="PNB5" s="28"/>
      <c r="PNC5" s="28"/>
      <c r="PND5" s="28"/>
      <c r="PNE5" s="28"/>
      <c r="PNF5" s="28"/>
      <c r="PNG5" s="28"/>
      <c r="PNH5" s="28"/>
      <c r="PNI5" s="28"/>
      <c r="PNJ5" s="28"/>
      <c r="PNK5" s="28"/>
      <c r="PNL5" s="28"/>
      <c r="PNM5" s="28"/>
      <c r="PNN5" s="28"/>
      <c r="PNO5" s="28"/>
      <c r="PNP5" s="28"/>
      <c r="PNQ5" s="28"/>
      <c r="PNR5" s="28"/>
      <c r="PNS5" s="28"/>
      <c r="PNT5" s="28"/>
      <c r="PNU5" s="28"/>
      <c r="PNV5" s="28"/>
      <c r="PNW5" s="28"/>
      <c r="PNX5" s="28"/>
      <c r="PNY5" s="28"/>
      <c r="PNZ5" s="28"/>
      <c r="POA5" s="28"/>
      <c r="POB5" s="28"/>
      <c r="POC5" s="28"/>
      <c r="POD5" s="28"/>
      <c r="POE5" s="28"/>
      <c r="POF5" s="28"/>
      <c r="POG5" s="28"/>
      <c r="POH5" s="28"/>
      <c r="POI5" s="28"/>
      <c r="POJ5" s="28"/>
      <c r="POK5" s="28"/>
      <c r="POL5" s="28"/>
      <c r="POM5" s="28"/>
      <c r="PON5" s="28"/>
      <c r="POO5" s="28"/>
      <c r="POP5" s="28"/>
      <c r="POQ5" s="28"/>
      <c r="POR5" s="28"/>
      <c r="POS5" s="28"/>
      <c r="POT5" s="28"/>
      <c r="POU5" s="28"/>
      <c r="POV5" s="28"/>
      <c r="POW5" s="28"/>
      <c r="POX5" s="28"/>
      <c r="POY5" s="28"/>
      <c r="POZ5" s="28"/>
      <c r="PPA5" s="28"/>
      <c r="PPB5" s="28"/>
      <c r="PPC5" s="28"/>
      <c r="PPD5" s="28"/>
      <c r="PPE5" s="28"/>
      <c r="PPF5" s="28"/>
      <c r="PPG5" s="28"/>
      <c r="PPH5" s="28"/>
      <c r="PPI5" s="28"/>
      <c r="PPJ5" s="28"/>
      <c r="PPK5" s="28"/>
      <c r="PPL5" s="28"/>
      <c r="PPM5" s="28"/>
      <c r="PPN5" s="28"/>
      <c r="PPO5" s="28"/>
      <c r="PPP5" s="28"/>
      <c r="PPQ5" s="28"/>
      <c r="PPR5" s="28"/>
      <c r="PPS5" s="28"/>
      <c r="PPT5" s="28"/>
      <c r="PPU5" s="28"/>
      <c r="PPV5" s="28"/>
      <c r="PPW5" s="28"/>
      <c r="PPX5" s="28"/>
      <c r="PPY5" s="28"/>
      <c r="PPZ5" s="28"/>
      <c r="PQA5" s="28"/>
      <c r="PQB5" s="28"/>
      <c r="PQC5" s="28"/>
      <c r="PQD5" s="28"/>
      <c r="PQE5" s="28"/>
      <c r="PQF5" s="28"/>
      <c r="PQG5" s="28"/>
      <c r="PQH5" s="28"/>
      <c r="PQI5" s="28"/>
      <c r="PQJ5" s="28"/>
      <c r="PQK5" s="28"/>
      <c r="PQL5" s="28"/>
      <c r="PQM5" s="28"/>
      <c r="PQN5" s="28"/>
      <c r="PQO5" s="28"/>
      <c r="PQP5" s="28"/>
      <c r="PQQ5" s="28"/>
      <c r="PQR5" s="28"/>
      <c r="PQS5" s="28"/>
      <c r="PQT5" s="28"/>
      <c r="PQU5" s="28"/>
      <c r="PQV5" s="28"/>
      <c r="PQW5" s="28"/>
      <c r="PQX5" s="28"/>
      <c r="PQY5" s="28"/>
      <c r="PQZ5" s="28"/>
      <c r="PRA5" s="28"/>
      <c r="PRB5" s="28"/>
      <c r="PRC5" s="28"/>
      <c r="PRD5" s="28"/>
      <c r="PRE5" s="28"/>
      <c r="PRF5" s="28"/>
      <c r="PRG5" s="28"/>
      <c r="PRH5" s="28"/>
      <c r="PRI5" s="28"/>
      <c r="PRJ5" s="28"/>
      <c r="PRK5" s="28"/>
      <c r="PRL5" s="28"/>
      <c r="PRM5" s="28"/>
      <c r="PRN5" s="28"/>
      <c r="PRO5" s="28"/>
      <c r="PRP5" s="28"/>
      <c r="PRQ5" s="28"/>
      <c r="PRR5" s="28"/>
      <c r="PRS5" s="28"/>
      <c r="PRT5" s="28"/>
      <c r="PRU5" s="28"/>
      <c r="PRV5" s="28"/>
      <c r="PRW5" s="28"/>
      <c r="PRX5" s="28"/>
      <c r="PRY5" s="28"/>
      <c r="PRZ5" s="28"/>
      <c r="PSA5" s="28"/>
      <c r="PSB5" s="28"/>
      <c r="PSC5" s="28"/>
      <c r="PSD5" s="28"/>
      <c r="PSE5" s="28"/>
      <c r="PSF5" s="28"/>
      <c r="PSG5" s="28"/>
      <c r="PSH5" s="28"/>
      <c r="PSI5" s="28"/>
      <c r="PSJ5" s="28"/>
      <c r="PSK5" s="28"/>
      <c r="PSL5" s="28"/>
      <c r="PSM5" s="28"/>
      <c r="PSN5" s="28"/>
      <c r="PSO5" s="28"/>
      <c r="PSP5" s="28"/>
      <c r="PSQ5" s="28"/>
      <c r="PSR5" s="28"/>
      <c r="PSS5" s="28"/>
      <c r="PST5" s="28"/>
      <c r="PSU5" s="28"/>
      <c r="PSV5" s="28"/>
      <c r="PSW5" s="28"/>
      <c r="PSX5" s="28"/>
      <c r="PSY5" s="28"/>
      <c r="PSZ5" s="28"/>
      <c r="PTA5" s="28"/>
      <c r="PTB5" s="28"/>
      <c r="PTC5" s="28"/>
      <c r="PTD5" s="28"/>
      <c r="PTE5" s="28"/>
      <c r="PTF5" s="28"/>
      <c r="PTG5" s="28"/>
      <c r="PTH5" s="28"/>
      <c r="PTI5" s="28"/>
      <c r="PTJ5" s="28"/>
      <c r="PTK5" s="28"/>
      <c r="PTL5" s="28"/>
      <c r="PTM5" s="28"/>
      <c r="PTN5" s="28"/>
      <c r="PTO5" s="28"/>
      <c r="PTP5" s="28"/>
      <c r="PTQ5" s="28"/>
      <c r="PTR5" s="28"/>
      <c r="PTS5" s="28"/>
      <c r="PTT5" s="28"/>
      <c r="PTU5" s="28"/>
      <c r="PTV5" s="28"/>
      <c r="PTW5" s="28"/>
      <c r="PTX5" s="28"/>
      <c r="PTY5" s="28"/>
      <c r="PTZ5" s="28"/>
      <c r="PUA5" s="28"/>
      <c r="PUB5" s="28"/>
      <c r="PUC5" s="28"/>
      <c r="PUD5" s="28"/>
      <c r="PUE5" s="28"/>
      <c r="PUF5" s="28"/>
      <c r="PUG5" s="28"/>
      <c r="PUH5" s="28"/>
      <c r="PUI5" s="28"/>
      <c r="PUJ5" s="28"/>
      <c r="PUK5" s="28"/>
      <c r="PUL5" s="28"/>
      <c r="PUM5" s="28"/>
      <c r="PUN5" s="28"/>
      <c r="PUO5" s="28"/>
      <c r="PUP5" s="28"/>
      <c r="PUQ5" s="28"/>
      <c r="PUR5" s="28"/>
      <c r="PUS5" s="28"/>
      <c r="PUT5" s="28"/>
      <c r="PUU5" s="28"/>
      <c r="PUV5" s="28"/>
      <c r="PUW5" s="28"/>
      <c r="PUX5" s="28"/>
      <c r="PUY5" s="28"/>
      <c r="PUZ5" s="28"/>
      <c r="PVA5" s="28"/>
      <c r="PVB5" s="28"/>
      <c r="PVC5" s="28"/>
      <c r="PVD5" s="28"/>
      <c r="PVE5" s="28"/>
      <c r="PVF5" s="28"/>
      <c r="PVG5" s="28"/>
      <c r="PVH5" s="28"/>
      <c r="PVI5" s="28"/>
      <c r="PVJ5" s="28"/>
      <c r="PVK5" s="28"/>
      <c r="PVL5" s="28"/>
      <c r="PVM5" s="28"/>
      <c r="PVN5" s="28"/>
      <c r="PVO5" s="28"/>
      <c r="PVP5" s="28"/>
      <c r="PVQ5" s="28"/>
      <c r="PVR5" s="28"/>
      <c r="PVS5" s="28"/>
      <c r="PVT5" s="28"/>
      <c r="PVU5" s="28"/>
      <c r="PVV5" s="28"/>
      <c r="PVW5" s="28"/>
      <c r="PVX5" s="28"/>
      <c r="PVY5" s="28"/>
      <c r="PVZ5" s="28"/>
      <c r="PWA5" s="28"/>
      <c r="PWB5" s="28"/>
      <c r="PWC5" s="28"/>
      <c r="PWD5" s="28"/>
      <c r="PWE5" s="28"/>
      <c r="PWF5" s="28"/>
      <c r="PWG5" s="28"/>
      <c r="PWH5" s="28"/>
      <c r="PWI5" s="28"/>
      <c r="PWJ5" s="28"/>
      <c r="PWK5" s="28"/>
      <c r="PWL5" s="28"/>
      <c r="PWM5" s="28"/>
      <c r="PWN5" s="28"/>
      <c r="PWO5" s="28"/>
      <c r="PWP5" s="28"/>
      <c r="PWQ5" s="28"/>
      <c r="PWR5" s="28"/>
      <c r="PWS5" s="28"/>
      <c r="PWT5" s="28"/>
      <c r="PWU5" s="28"/>
      <c r="PWV5" s="28"/>
      <c r="PWW5" s="28"/>
      <c r="PWX5" s="28"/>
      <c r="PWY5" s="28"/>
      <c r="PWZ5" s="28"/>
      <c r="PXA5" s="28"/>
      <c r="PXB5" s="28"/>
      <c r="PXC5" s="28"/>
      <c r="PXD5" s="28"/>
      <c r="PXE5" s="28"/>
      <c r="PXF5" s="28"/>
      <c r="PXG5" s="28"/>
      <c r="PXH5" s="28"/>
      <c r="PXI5" s="28"/>
      <c r="PXJ5" s="28"/>
      <c r="PXK5" s="28"/>
      <c r="PXL5" s="28"/>
      <c r="PXM5" s="28"/>
      <c r="PXN5" s="28"/>
      <c r="PXO5" s="28"/>
      <c r="PXP5" s="28"/>
      <c r="PXQ5" s="28"/>
      <c r="PXR5" s="28"/>
      <c r="PXS5" s="28"/>
      <c r="PXT5" s="28"/>
      <c r="PXU5" s="28"/>
      <c r="PXV5" s="28"/>
      <c r="PXW5" s="28"/>
      <c r="PXX5" s="28"/>
      <c r="PXY5" s="28"/>
      <c r="PXZ5" s="28"/>
      <c r="PYA5" s="28"/>
      <c r="PYB5" s="28"/>
      <c r="PYC5" s="28"/>
      <c r="PYD5" s="28"/>
      <c r="PYE5" s="28"/>
      <c r="PYF5" s="28"/>
      <c r="PYG5" s="28"/>
      <c r="PYH5" s="28"/>
      <c r="PYI5" s="28"/>
      <c r="PYJ5" s="28"/>
      <c r="PYK5" s="28"/>
      <c r="PYL5" s="28"/>
      <c r="PYM5" s="28"/>
      <c r="PYN5" s="28"/>
      <c r="PYO5" s="28"/>
      <c r="PYP5" s="28"/>
      <c r="PYQ5" s="28"/>
      <c r="PYR5" s="28"/>
      <c r="PYS5" s="28"/>
      <c r="PYT5" s="28"/>
      <c r="PYU5" s="28"/>
      <c r="PYV5" s="28"/>
      <c r="PYW5" s="28"/>
      <c r="PYX5" s="28"/>
      <c r="PYY5" s="28"/>
      <c r="PYZ5" s="28"/>
      <c r="PZA5" s="28"/>
      <c r="PZB5" s="28"/>
      <c r="PZC5" s="28"/>
      <c r="PZD5" s="28"/>
      <c r="PZE5" s="28"/>
      <c r="PZF5" s="28"/>
      <c r="PZG5" s="28"/>
      <c r="PZH5" s="28"/>
      <c r="PZI5" s="28"/>
      <c r="PZJ5" s="28"/>
      <c r="PZK5" s="28"/>
      <c r="PZL5" s="28"/>
      <c r="PZM5" s="28"/>
      <c r="PZN5" s="28"/>
      <c r="PZO5" s="28"/>
      <c r="PZP5" s="28"/>
      <c r="PZQ5" s="28"/>
      <c r="PZR5" s="28"/>
      <c r="PZS5" s="28"/>
      <c r="PZT5" s="28"/>
      <c r="PZU5" s="28"/>
      <c r="PZV5" s="28"/>
      <c r="PZW5" s="28"/>
      <c r="PZX5" s="28"/>
      <c r="PZY5" s="28"/>
      <c r="PZZ5" s="28"/>
      <c r="QAA5" s="28"/>
      <c r="QAB5" s="28"/>
      <c r="QAC5" s="28"/>
      <c r="QAD5" s="28"/>
      <c r="QAE5" s="28"/>
      <c r="QAF5" s="28"/>
      <c r="QAG5" s="28"/>
      <c r="QAH5" s="28"/>
      <c r="QAI5" s="28"/>
      <c r="QAJ5" s="28"/>
      <c r="QAK5" s="28"/>
      <c r="QAL5" s="28"/>
      <c r="QAM5" s="28"/>
      <c r="QAN5" s="28"/>
      <c r="QAO5" s="28"/>
      <c r="QAP5" s="28"/>
      <c r="QAQ5" s="28"/>
      <c r="QAR5" s="28"/>
      <c r="QAS5" s="28"/>
      <c r="QAT5" s="28"/>
      <c r="QAU5" s="28"/>
      <c r="QAV5" s="28"/>
      <c r="QAW5" s="28"/>
      <c r="QAX5" s="28"/>
      <c r="QAY5" s="28"/>
      <c r="QAZ5" s="28"/>
      <c r="QBA5" s="28"/>
      <c r="QBB5" s="28"/>
      <c r="QBC5" s="28"/>
      <c r="QBD5" s="28"/>
      <c r="QBE5" s="28"/>
      <c r="QBF5" s="28"/>
      <c r="QBG5" s="28"/>
      <c r="QBH5" s="28"/>
      <c r="QBI5" s="28"/>
      <c r="QBJ5" s="28"/>
      <c r="QBK5" s="28"/>
      <c r="QBL5" s="28"/>
      <c r="QBM5" s="28"/>
      <c r="QBN5" s="28"/>
      <c r="QBO5" s="28"/>
      <c r="QBP5" s="28"/>
      <c r="QBQ5" s="28"/>
      <c r="QBR5" s="28"/>
      <c r="QBS5" s="28"/>
      <c r="QBT5" s="28"/>
      <c r="QBU5" s="28"/>
      <c r="QBV5" s="28"/>
      <c r="QBW5" s="28"/>
      <c r="QBX5" s="28"/>
      <c r="QBY5" s="28"/>
      <c r="QBZ5" s="28"/>
      <c r="QCA5" s="28"/>
      <c r="QCB5" s="28"/>
      <c r="QCC5" s="28"/>
      <c r="QCD5" s="28"/>
      <c r="QCE5" s="28"/>
      <c r="QCF5" s="28"/>
      <c r="QCG5" s="28"/>
      <c r="QCH5" s="28"/>
      <c r="QCI5" s="28"/>
      <c r="QCJ5" s="28"/>
      <c r="QCK5" s="28"/>
      <c r="QCL5" s="28"/>
      <c r="QCM5" s="28"/>
      <c r="QCN5" s="28"/>
      <c r="QCO5" s="28"/>
      <c r="QCP5" s="28"/>
      <c r="QCQ5" s="28"/>
      <c r="QCR5" s="28"/>
      <c r="QCS5" s="28"/>
      <c r="QCT5" s="28"/>
      <c r="QCU5" s="28"/>
      <c r="QCV5" s="28"/>
      <c r="QCW5" s="28"/>
      <c r="QCX5" s="28"/>
      <c r="QCY5" s="28"/>
      <c r="QCZ5" s="28"/>
      <c r="QDA5" s="28"/>
      <c r="QDB5" s="28"/>
      <c r="QDC5" s="28"/>
      <c r="QDD5" s="28"/>
      <c r="QDE5" s="28"/>
      <c r="QDF5" s="28"/>
      <c r="QDG5" s="28"/>
      <c r="QDH5" s="28"/>
      <c r="QDI5" s="28"/>
      <c r="QDJ5" s="28"/>
      <c r="QDK5" s="28"/>
      <c r="QDL5" s="28"/>
      <c r="QDM5" s="28"/>
      <c r="QDN5" s="28"/>
      <c r="QDO5" s="28"/>
      <c r="QDP5" s="28"/>
      <c r="QDQ5" s="28"/>
      <c r="QDR5" s="28"/>
      <c r="QDS5" s="28"/>
      <c r="QDT5" s="28"/>
      <c r="QDU5" s="28"/>
      <c r="QDV5" s="28"/>
      <c r="QDW5" s="28"/>
      <c r="QDX5" s="28"/>
      <c r="QDY5" s="28"/>
      <c r="QDZ5" s="28"/>
      <c r="QEA5" s="28"/>
      <c r="QEB5" s="28"/>
      <c r="QEC5" s="28"/>
      <c r="QED5" s="28"/>
      <c r="QEE5" s="28"/>
      <c r="QEF5" s="28"/>
      <c r="QEG5" s="28"/>
      <c r="QEH5" s="28"/>
      <c r="QEI5" s="28"/>
      <c r="QEJ5" s="28"/>
      <c r="QEK5" s="28"/>
      <c r="QEL5" s="28"/>
      <c r="QEM5" s="28"/>
      <c r="QEN5" s="28"/>
      <c r="QEO5" s="28"/>
      <c r="QEP5" s="28"/>
      <c r="QEQ5" s="28"/>
      <c r="QER5" s="28"/>
      <c r="QES5" s="28"/>
      <c r="QET5" s="28"/>
      <c r="QEU5" s="28"/>
      <c r="QEV5" s="28"/>
      <c r="QEW5" s="28"/>
      <c r="QEX5" s="28"/>
      <c r="QEY5" s="28"/>
      <c r="QEZ5" s="28"/>
      <c r="QFA5" s="28"/>
      <c r="QFB5" s="28"/>
      <c r="QFC5" s="28"/>
      <c r="QFD5" s="28"/>
      <c r="QFE5" s="28"/>
      <c r="QFF5" s="28"/>
      <c r="QFG5" s="28"/>
      <c r="QFH5" s="28"/>
      <c r="QFI5" s="28"/>
      <c r="QFJ5" s="28"/>
      <c r="QFK5" s="28"/>
      <c r="QFL5" s="28"/>
      <c r="QFM5" s="28"/>
      <c r="QFN5" s="28"/>
      <c r="QFO5" s="28"/>
      <c r="QFP5" s="28"/>
      <c r="QFQ5" s="28"/>
      <c r="QFR5" s="28"/>
      <c r="QFS5" s="28"/>
      <c r="QFT5" s="28"/>
      <c r="QFU5" s="28"/>
      <c r="QFV5" s="28"/>
      <c r="QFW5" s="28"/>
      <c r="QFX5" s="28"/>
      <c r="QFY5" s="28"/>
      <c r="QFZ5" s="28"/>
      <c r="QGA5" s="28"/>
      <c r="QGB5" s="28"/>
      <c r="QGC5" s="28"/>
      <c r="QGD5" s="28"/>
      <c r="QGE5" s="28"/>
      <c r="QGF5" s="28"/>
      <c r="QGG5" s="28"/>
      <c r="QGH5" s="28"/>
      <c r="QGI5" s="28"/>
      <c r="QGJ5" s="28"/>
      <c r="QGK5" s="28"/>
      <c r="QGL5" s="28"/>
      <c r="QGM5" s="28"/>
      <c r="QGN5" s="28"/>
      <c r="QGO5" s="28"/>
      <c r="QGP5" s="28"/>
      <c r="QGQ5" s="28"/>
      <c r="QGR5" s="28"/>
      <c r="QGS5" s="28"/>
      <c r="QGT5" s="28"/>
      <c r="QGU5" s="28"/>
      <c r="QGV5" s="28"/>
      <c r="QGW5" s="28"/>
      <c r="QGX5" s="28"/>
      <c r="QGY5" s="28"/>
      <c r="QGZ5" s="28"/>
      <c r="QHA5" s="28"/>
      <c r="QHB5" s="28"/>
      <c r="QHC5" s="28"/>
      <c r="QHD5" s="28"/>
      <c r="QHE5" s="28"/>
      <c r="QHF5" s="28"/>
      <c r="QHG5" s="28"/>
      <c r="QHH5" s="28"/>
      <c r="QHI5" s="28"/>
      <c r="QHJ5" s="28"/>
      <c r="QHK5" s="28"/>
      <c r="QHL5" s="28"/>
      <c r="QHM5" s="28"/>
      <c r="QHN5" s="28"/>
      <c r="QHO5" s="28"/>
      <c r="QHP5" s="28"/>
      <c r="QHQ5" s="28"/>
      <c r="QHR5" s="28"/>
      <c r="QHS5" s="28"/>
      <c r="QHT5" s="28"/>
      <c r="QHU5" s="28"/>
      <c r="QHV5" s="28"/>
      <c r="QHW5" s="28"/>
      <c r="QHX5" s="28"/>
      <c r="QHY5" s="28"/>
      <c r="QHZ5" s="28"/>
      <c r="QIA5" s="28"/>
      <c r="QIB5" s="28"/>
      <c r="QIC5" s="28"/>
      <c r="QID5" s="28"/>
      <c r="QIE5" s="28"/>
      <c r="QIF5" s="28"/>
      <c r="QIG5" s="28"/>
      <c r="QIH5" s="28"/>
      <c r="QII5" s="28"/>
      <c r="QIJ5" s="28"/>
      <c r="QIK5" s="28"/>
      <c r="QIL5" s="28"/>
      <c r="QIM5" s="28"/>
      <c r="QIN5" s="28"/>
      <c r="QIO5" s="28"/>
      <c r="QIP5" s="28"/>
      <c r="QIQ5" s="28"/>
      <c r="QIR5" s="28"/>
      <c r="QIS5" s="28"/>
      <c r="QIT5" s="28"/>
      <c r="QIU5" s="28"/>
      <c r="QIV5" s="28"/>
      <c r="QIW5" s="28"/>
      <c r="QIX5" s="28"/>
      <c r="QIY5" s="28"/>
      <c r="QIZ5" s="28"/>
      <c r="QJA5" s="28"/>
      <c r="QJB5" s="28"/>
      <c r="QJC5" s="28"/>
      <c r="QJD5" s="28"/>
      <c r="QJE5" s="28"/>
      <c r="QJF5" s="28"/>
      <c r="QJG5" s="28"/>
      <c r="QJH5" s="28"/>
      <c r="QJI5" s="28"/>
      <c r="QJJ5" s="28"/>
      <c r="QJK5" s="28"/>
      <c r="QJL5" s="28"/>
      <c r="QJM5" s="28"/>
      <c r="QJN5" s="28"/>
      <c r="QJO5" s="28"/>
      <c r="QJP5" s="28"/>
      <c r="QJQ5" s="28"/>
      <c r="QJR5" s="28"/>
      <c r="QJS5" s="28"/>
      <c r="QJT5" s="28"/>
      <c r="QJU5" s="28"/>
      <c r="QJV5" s="28"/>
      <c r="QJW5" s="28"/>
      <c r="QJX5" s="28"/>
      <c r="QJY5" s="28"/>
      <c r="QJZ5" s="28"/>
      <c r="QKA5" s="28"/>
      <c r="QKB5" s="28"/>
      <c r="QKC5" s="28"/>
      <c r="QKD5" s="28"/>
      <c r="QKE5" s="28"/>
      <c r="QKF5" s="28"/>
      <c r="QKG5" s="28"/>
      <c r="QKH5" s="28"/>
      <c r="QKI5" s="28"/>
      <c r="QKJ5" s="28"/>
      <c r="QKK5" s="28"/>
      <c r="QKL5" s="28"/>
      <c r="QKM5" s="28"/>
      <c r="QKN5" s="28"/>
      <c r="QKO5" s="28"/>
      <c r="QKP5" s="28"/>
      <c r="QKQ5" s="28"/>
      <c r="QKR5" s="28"/>
      <c r="QKS5" s="28"/>
      <c r="QKT5" s="28"/>
      <c r="QKU5" s="28"/>
      <c r="QKV5" s="28"/>
      <c r="QKW5" s="28"/>
      <c r="QKX5" s="28"/>
      <c r="QKY5" s="28"/>
      <c r="QKZ5" s="28"/>
      <c r="QLA5" s="28"/>
      <c r="QLB5" s="28"/>
      <c r="QLC5" s="28"/>
      <c r="QLD5" s="28"/>
      <c r="QLE5" s="28"/>
      <c r="QLF5" s="28"/>
      <c r="QLG5" s="28"/>
      <c r="QLH5" s="28"/>
      <c r="QLI5" s="28"/>
      <c r="QLJ5" s="28"/>
      <c r="QLK5" s="28"/>
      <c r="QLL5" s="28"/>
      <c r="QLM5" s="28"/>
      <c r="QLN5" s="28"/>
      <c r="QLO5" s="28"/>
      <c r="QLP5" s="28"/>
      <c r="QLQ5" s="28"/>
      <c r="QLR5" s="28"/>
      <c r="QLS5" s="28"/>
      <c r="QLT5" s="28"/>
      <c r="QLU5" s="28"/>
      <c r="QLV5" s="28"/>
      <c r="QLW5" s="28"/>
      <c r="QLX5" s="28"/>
      <c r="QLY5" s="28"/>
      <c r="QLZ5" s="28"/>
      <c r="QMA5" s="28"/>
      <c r="QMB5" s="28"/>
      <c r="QMC5" s="28"/>
      <c r="QMD5" s="28"/>
      <c r="QME5" s="28"/>
      <c r="QMF5" s="28"/>
      <c r="QMG5" s="28"/>
      <c r="QMH5" s="28"/>
      <c r="QMI5" s="28"/>
      <c r="QMJ5" s="28"/>
      <c r="QMK5" s="28"/>
      <c r="QML5" s="28"/>
      <c r="QMM5" s="28"/>
      <c r="QMN5" s="28"/>
      <c r="QMO5" s="28"/>
      <c r="QMP5" s="28"/>
      <c r="QMQ5" s="28"/>
      <c r="QMR5" s="28"/>
      <c r="QMS5" s="28"/>
      <c r="QMT5" s="28"/>
      <c r="QMU5" s="28"/>
      <c r="QMV5" s="28"/>
      <c r="QMW5" s="28"/>
      <c r="QMX5" s="28"/>
      <c r="QMY5" s="28"/>
      <c r="QMZ5" s="28"/>
      <c r="QNA5" s="28"/>
      <c r="QNB5" s="28"/>
      <c r="QNC5" s="28"/>
      <c r="QND5" s="28"/>
      <c r="QNE5" s="28"/>
      <c r="QNF5" s="28"/>
      <c r="QNG5" s="28"/>
      <c r="QNH5" s="28"/>
      <c r="QNI5" s="28"/>
      <c r="QNJ5" s="28"/>
      <c r="QNK5" s="28"/>
      <c r="QNL5" s="28"/>
      <c r="QNM5" s="28"/>
      <c r="QNN5" s="28"/>
      <c r="QNO5" s="28"/>
      <c r="QNP5" s="28"/>
      <c r="QNQ5" s="28"/>
      <c r="QNR5" s="28"/>
      <c r="QNS5" s="28"/>
      <c r="QNT5" s="28"/>
      <c r="QNU5" s="28"/>
      <c r="QNV5" s="28"/>
      <c r="QNW5" s="28"/>
      <c r="QNX5" s="28"/>
      <c r="QNY5" s="28"/>
      <c r="QNZ5" s="28"/>
      <c r="QOA5" s="28"/>
      <c r="QOB5" s="28"/>
      <c r="QOC5" s="28"/>
      <c r="QOD5" s="28"/>
      <c r="QOE5" s="28"/>
      <c r="QOF5" s="28"/>
      <c r="QOG5" s="28"/>
      <c r="QOH5" s="28"/>
      <c r="QOI5" s="28"/>
      <c r="QOJ5" s="28"/>
      <c r="QOK5" s="28"/>
      <c r="QOL5" s="28"/>
      <c r="QOM5" s="28"/>
      <c r="QON5" s="28"/>
      <c r="QOO5" s="28"/>
      <c r="QOP5" s="28"/>
      <c r="QOQ5" s="28"/>
      <c r="QOR5" s="28"/>
      <c r="QOS5" s="28"/>
      <c r="QOT5" s="28"/>
      <c r="QOU5" s="28"/>
      <c r="QOV5" s="28"/>
      <c r="QOW5" s="28"/>
      <c r="QOX5" s="28"/>
      <c r="QOY5" s="28"/>
      <c r="QOZ5" s="28"/>
      <c r="QPA5" s="28"/>
      <c r="QPB5" s="28"/>
      <c r="QPC5" s="28"/>
      <c r="QPD5" s="28"/>
      <c r="QPE5" s="28"/>
      <c r="QPF5" s="28"/>
      <c r="QPG5" s="28"/>
      <c r="QPH5" s="28"/>
      <c r="QPI5" s="28"/>
      <c r="QPJ5" s="28"/>
      <c r="QPK5" s="28"/>
      <c r="QPL5" s="28"/>
      <c r="QPM5" s="28"/>
      <c r="QPN5" s="28"/>
      <c r="QPO5" s="28"/>
      <c r="QPP5" s="28"/>
      <c r="QPQ5" s="28"/>
      <c r="QPR5" s="28"/>
      <c r="QPS5" s="28"/>
      <c r="QPT5" s="28"/>
      <c r="QPU5" s="28"/>
      <c r="QPV5" s="28"/>
      <c r="QPW5" s="28"/>
      <c r="QPX5" s="28"/>
      <c r="QPY5" s="28"/>
      <c r="QPZ5" s="28"/>
      <c r="QQA5" s="28"/>
      <c r="QQB5" s="28"/>
      <c r="QQC5" s="28"/>
      <c r="QQD5" s="28"/>
      <c r="QQE5" s="28"/>
      <c r="QQF5" s="28"/>
      <c r="QQG5" s="28"/>
      <c r="QQH5" s="28"/>
      <c r="QQI5" s="28"/>
      <c r="QQJ5" s="28"/>
      <c r="QQK5" s="28"/>
      <c r="QQL5" s="28"/>
      <c r="QQM5" s="28"/>
      <c r="QQN5" s="28"/>
      <c r="QQO5" s="28"/>
      <c r="QQP5" s="28"/>
      <c r="QQQ5" s="28"/>
      <c r="QQR5" s="28"/>
      <c r="QQS5" s="28"/>
      <c r="QQT5" s="28"/>
      <c r="QQU5" s="28"/>
      <c r="QQV5" s="28"/>
      <c r="QQW5" s="28"/>
      <c r="QQX5" s="28"/>
      <c r="QQY5" s="28"/>
      <c r="QQZ5" s="28"/>
      <c r="QRA5" s="28"/>
      <c r="QRB5" s="28"/>
      <c r="QRC5" s="28"/>
      <c r="QRD5" s="28"/>
      <c r="QRE5" s="28"/>
      <c r="QRF5" s="28"/>
      <c r="QRG5" s="28"/>
      <c r="QRH5" s="28"/>
      <c r="QRI5" s="28"/>
      <c r="QRJ5" s="28"/>
      <c r="QRK5" s="28"/>
      <c r="QRL5" s="28"/>
      <c r="QRM5" s="28"/>
      <c r="QRN5" s="28"/>
      <c r="QRO5" s="28"/>
      <c r="QRP5" s="28"/>
      <c r="QRQ5" s="28"/>
      <c r="QRR5" s="28"/>
      <c r="QRS5" s="28"/>
      <c r="QRT5" s="28"/>
      <c r="QRU5" s="28"/>
      <c r="QRV5" s="28"/>
      <c r="QRW5" s="28"/>
      <c r="QRX5" s="28"/>
      <c r="QRY5" s="28"/>
      <c r="QRZ5" s="28"/>
      <c r="QSA5" s="28"/>
      <c r="QSB5" s="28"/>
      <c r="QSC5" s="28"/>
      <c r="QSD5" s="28"/>
      <c r="QSE5" s="28"/>
      <c r="QSF5" s="28"/>
      <c r="QSG5" s="28"/>
      <c r="QSH5" s="28"/>
      <c r="QSI5" s="28"/>
      <c r="QSJ5" s="28"/>
      <c r="QSK5" s="28"/>
      <c r="QSL5" s="28"/>
      <c r="QSM5" s="28"/>
      <c r="QSN5" s="28"/>
      <c r="QSO5" s="28"/>
      <c r="QSP5" s="28"/>
      <c r="QSQ5" s="28"/>
      <c r="QSR5" s="28"/>
      <c r="QSS5" s="28"/>
      <c r="QST5" s="28"/>
      <c r="QSU5" s="28"/>
      <c r="QSV5" s="28"/>
      <c r="QSW5" s="28"/>
      <c r="QSX5" s="28"/>
      <c r="QSY5" s="28"/>
      <c r="QSZ5" s="28"/>
      <c r="QTA5" s="28"/>
      <c r="QTB5" s="28"/>
      <c r="QTC5" s="28"/>
      <c r="QTD5" s="28"/>
      <c r="QTE5" s="28"/>
      <c r="QTF5" s="28"/>
      <c r="QTG5" s="28"/>
      <c r="QTH5" s="28"/>
      <c r="QTI5" s="28"/>
      <c r="QTJ5" s="28"/>
      <c r="QTK5" s="28"/>
      <c r="QTL5" s="28"/>
      <c r="QTM5" s="28"/>
      <c r="QTN5" s="28"/>
      <c r="QTO5" s="28"/>
      <c r="QTP5" s="28"/>
      <c r="QTQ5" s="28"/>
      <c r="QTR5" s="28"/>
      <c r="QTS5" s="28"/>
      <c r="QTT5" s="28"/>
      <c r="QTU5" s="28"/>
      <c r="QTV5" s="28"/>
      <c r="QTW5" s="28"/>
      <c r="QTX5" s="28"/>
      <c r="QTY5" s="28"/>
      <c r="QTZ5" s="28"/>
      <c r="QUA5" s="28"/>
      <c r="QUB5" s="28"/>
      <c r="QUC5" s="28"/>
      <c r="QUD5" s="28"/>
      <c r="QUE5" s="28"/>
      <c r="QUF5" s="28"/>
      <c r="QUG5" s="28"/>
      <c r="QUH5" s="28"/>
      <c r="QUI5" s="28"/>
      <c r="QUJ5" s="28"/>
      <c r="QUK5" s="28"/>
      <c r="QUL5" s="28"/>
      <c r="QUM5" s="28"/>
      <c r="QUN5" s="28"/>
      <c r="QUO5" s="28"/>
      <c r="QUP5" s="28"/>
      <c r="QUQ5" s="28"/>
      <c r="QUR5" s="28"/>
      <c r="QUS5" s="28"/>
      <c r="QUT5" s="28"/>
      <c r="QUU5" s="28"/>
      <c r="QUV5" s="28"/>
      <c r="QUW5" s="28"/>
      <c r="QUX5" s="28"/>
      <c r="QUY5" s="28"/>
      <c r="QUZ5" s="28"/>
      <c r="QVA5" s="28"/>
      <c r="QVB5" s="28"/>
      <c r="QVC5" s="28"/>
      <c r="QVD5" s="28"/>
      <c r="QVE5" s="28"/>
      <c r="QVF5" s="28"/>
      <c r="QVG5" s="28"/>
      <c r="QVH5" s="28"/>
      <c r="QVI5" s="28"/>
      <c r="QVJ5" s="28"/>
      <c r="QVK5" s="28"/>
      <c r="QVL5" s="28"/>
      <c r="QVM5" s="28"/>
      <c r="QVN5" s="28"/>
      <c r="QVO5" s="28"/>
      <c r="QVP5" s="28"/>
      <c r="QVQ5" s="28"/>
      <c r="QVR5" s="28"/>
      <c r="QVS5" s="28"/>
      <c r="QVT5" s="28"/>
      <c r="QVU5" s="28"/>
      <c r="QVV5" s="28"/>
      <c r="QVW5" s="28"/>
      <c r="QVX5" s="28"/>
      <c r="QVY5" s="28"/>
      <c r="QVZ5" s="28"/>
      <c r="QWA5" s="28"/>
      <c r="QWB5" s="28"/>
      <c r="QWC5" s="28"/>
      <c r="QWD5" s="28"/>
      <c r="QWE5" s="28"/>
      <c r="QWF5" s="28"/>
      <c r="QWG5" s="28"/>
      <c r="QWH5" s="28"/>
      <c r="QWI5" s="28"/>
      <c r="QWJ5" s="28"/>
      <c r="QWK5" s="28"/>
      <c r="QWL5" s="28"/>
      <c r="QWM5" s="28"/>
      <c r="QWN5" s="28"/>
      <c r="QWO5" s="28"/>
      <c r="QWP5" s="28"/>
      <c r="QWQ5" s="28"/>
      <c r="QWR5" s="28"/>
      <c r="QWS5" s="28"/>
      <c r="QWT5" s="28"/>
      <c r="QWU5" s="28"/>
      <c r="QWV5" s="28"/>
      <c r="QWW5" s="28"/>
      <c r="QWX5" s="28"/>
      <c r="QWY5" s="28"/>
      <c r="QWZ5" s="28"/>
      <c r="QXA5" s="28"/>
      <c r="QXB5" s="28"/>
      <c r="QXC5" s="28"/>
      <c r="QXD5" s="28"/>
      <c r="QXE5" s="28"/>
      <c r="QXF5" s="28"/>
      <c r="QXG5" s="28"/>
      <c r="QXH5" s="28"/>
      <c r="QXI5" s="28"/>
      <c r="QXJ5" s="28"/>
      <c r="QXK5" s="28"/>
      <c r="QXL5" s="28"/>
      <c r="QXM5" s="28"/>
      <c r="QXN5" s="28"/>
      <c r="QXO5" s="28"/>
      <c r="QXP5" s="28"/>
      <c r="QXQ5" s="28"/>
      <c r="QXR5" s="28"/>
      <c r="QXS5" s="28"/>
      <c r="QXT5" s="28"/>
      <c r="QXU5" s="28"/>
      <c r="QXV5" s="28"/>
      <c r="QXW5" s="28"/>
      <c r="QXX5" s="28"/>
      <c r="QXY5" s="28"/>
      <c r="QXZ5" s="28"/>
      <c r="QYA5" s="28"/>
      <c r="QYB5" s="28"/>
      <c r="QYC5" s="28"/>
      <c r="QYD5" s="28"/>
      <c r="QYE5" s="28"/>
      <c r="QYF5" s="28"/>
      <c r="QYG5" s="28"/>
      <c r="QYH5" s="28"/>
      <c r="QYI5" s="28"/>
      <c r="QYJ5" s="28"/>
      <c r="QYK5" s="28"/>
      <c r="QYL5" s="28"/>
      <c r="QYM5" s="28"/>
      <c r="QYN5" s="28"/>
      <c r="QYO5" s="28"/>
      <c r="QYP5" s="28"/>
      <c r="QYQ5" s="28"/>
      <c r="QYR5" s="28"/>
      <c r="QYS5" s="28"/>
      <c r="QYT5" s="28"/>
      <c r="QYU5" s="28"/>
      <c r="QYV5" s="28"/>
      <c r="QYW5" s="28"/>
      <c r="QYX5" s="28"/>
      <c r="QYY5" s="28"/>
      <c r="QYZ5" s="28"/>
      <c r="QZA5" s="28"/>
      <c r="QZB5" s="28"/>
      <c r="QZC5" s="28"/>
      <c r="QZD5" s="28"/>
      <c r="QZE5" s="28"/>
      <c r="QZF5" s="28"/>
      <c r="QZG5" s="28"/>
      <c r="QZH5" s="28"/>
      <c r="QZI5" s="28"/>
      <c r="QZJ5" s="28"/>
      <c r="QZK5" s="28"/>
      <c r="QZL5" s="28"/>
      <c r="QZM5" s="28"/>
      <c r="QZN5" s="28"/>
      <c r="QZO5" s="28"/>
      <c r="QZP5" s="28"/>
      <c r="QZQ5" s="28"/>
      <c r="QZR5" s="28"/>
      <c r="QZS5" s="28"/>
      <c r="QZT5" s="28"/>
      <c r="QZU5" s="28"/>
      <c r="QZV5" s="28"/>
      <c r="QZW5" s="28"/>
      <c r="QZX5" s="28"/>
      <c r="QZY5" s="28"/>
      <c r="QZZ5" s="28"/>
      <c r="RAA5" s="28"/>
      <c r="RAB5" s="28"/>
      <c r="RAC5" s="28"/>
      <c r="RAD5" s="28"/>
      <c r="RAE5" s="28"/>
      <c r="RAF5" s="28"/>
      <c r="RAG5" s="28"/>
      <c r="RAH5" s="28"/>
      <c r="RAI5" s="28"/>
      <c r="RAJ5" s="28"/>
      <c r="RAK5" s="28"/>
      <c r="RAL5" s="28"/>
      <c r="RAM5" s="28"/>
      <c r="RAN5" s="28"/>
      <c r="RAO5" s="28"/>
      <c r="RAP5" s="28"/>
      <c r="RAQ5" s="28"/>
      <c r="RAR5" s="28"/>
      <c r="RAS5" s="28"/>
      <c r="RAT5" s="28"/>
      <c r="RAU5" s="28"/>
      <c r="RAV5" s="28"/>
      <c r="RAW5" s="28"/>
      <c r="RAX5" s="28"/>
      <c r="RAY5" s="28"/>
      <c r="RAZ5" s="28"/>
      <c r="RBA5" s="28"/>
      <c r="RBB5" s="28"/>
      <c r="RBC5" s="28"/>
      <c r="RBD5" s="28"/>
      <c r="RBE5" s="28"/>
      <c r="RBF5" s="28"/>
      <c r="RBG5" s="28"/>
      <c r="RBH5" s="28"/>
      <c r="RBI5" s="28"/>
      <c r="RBJ5" s="28"/>
      <c r="RBK5" s="28"/>
      <c r="RBL5" s="28"/>
      <c r="RBM5" s="28"/>
      <c r="RBN5" s="28"/>
      <c r="RBO5" s="28"/>
      <c r="RBP5" s="28"/>
      <c r="RBQ5" s="28"/>
      <c r="RBR5" s="28"/>
      <c r="RBS5" s="28"/>
      <c r="RBT5" s="28"/>
      <c r="RBU5" s="28"/>
      <c r="RBV5" s="28"/>
      <c r="RBW5" s="28"/>
      <c r="RBX5" s="28"/>
      <c r="RBY5" s="28"/>
      <c r="RBZ5" s="28"/>
      <c r="RCA5" s="28"/>
      <c r="RCB5" s="28"/>
      <c r="RCC5" s="28"/>
      <c r="RCD5" s="28"/>
      <c r="RCE5" s="28"/>
      <c r="RCF5" s="28"/>
      <c r="RCG5" s="28"/>
      <c r="RCH5" s="28"/>
      <c r="RCI5" s="28"/>
      <c r="RCJ5" s="28"/>
      <c r="RCK5" s="28"/>
      <c r="RCL5" s="28"/>
      <c r="RCM5" s="28"/>
      <c r="RCN5" s="28"/>
      <c r="RCO5" s="28"/>
      <c r="RCP5" s="28"/>
      <c r="RCQ5" s="28"/>
      <c r="RCR5" s="28"/>
      <c r="RCS5" s="28"/>
      <c r="RCT5" s="28"/>
      <c r="RCU5" s="28"/>
      <c r="RCV5" s="28"/>
      <c r="RCW5" s="28"/>
      <c r="RCX5" s="28"/>
      <c r="RCY5" s="28"/>
      <c r="RCZ5" s="28"/>
      <c r="RDA5" s="28"/>
      <c r="RDB5" s="28"/>
      <c r="RDC5" s="28"/>
      <c r="RDD5" s="28"/>
      <c r="RDE5" s="28"/>
      <c r="RDF5" s="28"/>
      <c r="RDG5" s="28"/>
      <c r="RDH5" s="28"/>
      <c r="RDI5" s="28"/>
      <c r="RDJ5" s="28"/>
      <c r="RDK5" s="28"/>
      <c r="RDL5" s="28"/>
      <c r="RDM5" s="28"/>
      <c r="RDN5" s="28"/>
      <c r="RDO5" s="28"/>
      <c r="RDP5" s="28"/>
      <c r="RDQ5" s="28"/>
      <c r="RDR5" s="28"/>
      <c r="RDS5" s="28"/>
      <c r="RDT5" s="28"/>
      <c r="RDU5" s="28"/>
      <c r="RDV5" s="28"/>
      <c r="RDW5" s="28"/>
      <c r="RDX5" s="28"/>
      <c r="RDY5" s="28"/>
      <c r="RDZ5" s="28"/>
      <c r="REA5" s="28"/>
      <c r="REB5" s="28"/>
      <c r="REC5" s="28"/>
      <c r="RED5" s="28"/>
      <c r="REE5" s="28"/>
      <c r="REF5" s="28"/>
      <c r="REG5" s="28"/>
      <c r="REH5" s="28"/>
      <c r="REI5" s="28"/>
      <c r="REJ5" s="28"/>
      <c r="REK5" s="28"/>
      <c r="REL5" s="28"/>
      <c r="REM5" s="28"/>
      <c r="REN5" s="28"/>
      <c r="REO5" s="28"/>
      <c r="REP5" s="28"/>
      <c r="REQ5" s="28"/>
      <c r="RER5" s="28"/>
      <c r="RES5" s="28"/>
      <c r="RET5" s="28"/>
      <c r="REU5" s="28"/>
      <c r="REV5" s="28"/>
      <c r="REW5" s="28"/>
      <c r="REX5" s="28"/>
      <c r="REY5" s="28"/>
      <c r="REZ5" s="28"/>
      <c r="RFA5" s="28"/>
      <c r="RFB5" s="28"/>
      <c r="RFC5" s="28"/>
      <c r="RFD5" s="28"/>
      <c r="RFE5" s="28"/>
      <c r="RFF5" s="28"/>
      <c r="RFG5" s="28"/>
      <c r="RFH5" s="28"/>
      <c r="RFI5" s="28"/>
      <c r="RFJ5" s="28"/>
      <c r="RFK5" s="28"/>
      <c r="RFL5" s="28"/>
      <c r="RFM5" s="28"/>
      <c r="RFN5" s="28"/>
      <c r="RFO5" s="28"/>
      <c r="RFP5" s="28"/>
      <c r="RFQ5" s="28"/>
      <c r="RFR5" s="28"/>
      <c r="RFS5" s="28"/>
      <c r="RFT5" s="28"/>
      <c r="RFU5" s="28"/>
      <c r="RFV5" s="28"/>
      <c r="RFW5" s="28"/>
      <c r="RFX5" s="28"/>
      <c r="RFY5" s="28"/>
      <c r="RFZ5" s="28"/>
      <c r="RGA5" s="28"/>
      <c r="RGB5" s="28"/>
      <c r="RGC5" s="28"/>
      <c r="RGD5" s="28"/>
      <c r="RGE5" s="28"/>
      <c r="RGF5" s="28"/>
      <c r="RGG5" s="28"/>
      <c r="RGH5" s="28"/>
      <c r="RGI5" s="28"/>
      <c r="RGJ5" s="28"/>
      <c r="RGK5" s="28"/>
      <c r="RGL5" s="28"/>
      <c r="RGM5" s="28"/>
      <c r="RGN5" s="28"/>
      <c r="RGO5" s="28"/>
      <c r="RGP5" s="28"/>
      <c r="RGQ5" s="28"/>
      <c r="RGR5" s="28"/>
      <c r="RGS5" s="28"/>
      <c r="RGT5" s="28"/>
      <c r="RGU5" s="28"/>
      <c r="RGV5" s="28"/>
      <c r="RGW5" s="28"/>
      <c r="RGX5" s="28"/>
      <c r="RGY5" s="28"/>
      <c r="RGZ5" s="28"/>
      <c r="RHA5" s="28"/>
      <c r="RHB5" s="28"/>
      <c r="RHC5" s="28"/>
      <c r="RHD5" s="28"/>
      <c r="RHE5" s="28"/>
      <c r="RHF5" s="28"/>
      <c r="RHG5" s="28"/>
      <c r="RHH5" s="28"/>
      <c r="RHI5" s="28"/>
      <c r="RHJ5" s="28"/>
      <c r="RHK5" s="28"/>
      <c r="RHL5" s="28"/>
      <c r="RHM5" s="28"/>
      <c r="RHN5" s="28"/>
      <c r="RHO5" s="28"/>
      <c r="RHP5" s="28"/>
      <c r="RHQ5" s="28"/>
      <c r="RHR5" s="28"/>
      <c r="RHS5" s="28"/>
      <c r="RHT5" s="28"/>
      <c r="RHU5" s="28"/>
      <c r="RHV5" s="28"/>
      <c r="RHW5" s="28"/>
      <c r="RHX5" s="28"/>
      <c r="RHY5" s="28"/>
      <c r="RHZ5" s="28"/>
      <c r="RIA5" s="28"/>
      <c r="RIB5" s="28"/>
      <c r="RIC5" s="28"/>
      <c r="RID5" s="28"/>
      <c r="RIE5" s="28"/>
      <c r="RIF5" s="28"/>
      <c r="RIG5" s="28"/>
      <c r="RIH5" s="28"/>
      <c r="RII5" s="28"/>
      <c r="RIJ5" s="28"/>
      <c r="RIK5" s="28"/>
      <c r="RIL5" s="28"/>
      <c r="RIM5" s="28"/>
      <c r="RIN5" s="28"/>
      <c r="RIO5" s="28"/>
      <c r="RIP5" s="28"/>
      <c r="RIQ5" s="28"/>
      <c r="RIR5" s="28"/>
      <c r="RIS5" s="28"/>
      <c r="RIT5" s="28"/>
      <c r="RIU5" s="28"/>
      <c r="RIV5" s="28"/>
      <c r="RIW5" s="28"/>
      <c r="RIX5" s="28"/>
      <c r="RIY5" s="28"/>
      <c r="RIZ5" s="28"/>
      <c r="RJA5" s="28"/>
      <c r="RJB5" s="28"/>
      <c r="RJC5" s="28"/>
      <c r="RJD5" s="28"/>
      <c r="RJE5" s="28"/>
      <c r="RJF5" s="28"/>
      <c r="RJG5" s="28"/>
      <c r="RJH5" s="28"/>
      <c r="RJI5" s="28"/>
      <c r="RJJ5" s="28"/>
      <c r="RJK5" s="28"/>
      <c r="RJL5" s="28"/>
      <c r="RJM5" s="28"/>
      <c r="RJN5" s="28"/>
      <c r="RJO5" s="28"/>
      <c r="RJP5" s="28"/>
      <c r="RJQ5" s="28"/>
      <c r="RJR5" s="28"/>
      <c r="RJS5" s="28"/>
      <c r="RJT5" s="28"/>
      <c r="RJU5" s="28"/>
      <c r="RJV5" s="28"/>
      <c r="RJW5" s="28"/>
      <c r="RJX5" s="28"/>
      <c r="RJY5" s="28"/>
      <c r="RJZ5" s="28"/>
      <c r="RKA5" s="28"/>
      <c r="RKB5" s="28"/>
      <c r="RKC5" s="28"/>
      <c r="RKD5" s="28"/>
      <c r="RKE5" s="28"/>
      <c r="RKF5" s="28"/>
      <c r="RKG5" s="28"/>
      <c r="RKH5" s="28"/>
      <c r="RKI5" s="28"/>
      <c r="RKJ5" s="28"/>
      <c r="RKK5" s="28"/>
      <c r="RKL5" s="28"/>
      <c r="RKM5" s="28"/>
      <c r="RKN5" s="28"/>
      <c r="RKO5" s="28"/>
      <c r="RKP5" s="28"/>
      <c r="RKQ5" s="28"/>
      <c r="RKR5" s="28"/>
      <c r="RKS5" s="28"/>
      <c r="RKT5" s="28"/>
      <c r="RKU5" s="28"/>
      <c r="RKV5" s="28"/>
      <c r="RKW5" s="28"/>
      <c r="RKX5" s="28"/>
      <c r="RKY5" s="28"/>
      <c r="RKZ5" s="28"/>
      <c r="RLA5" s="28"/>
      <c r="RLB5" s="28"/>
      <c r="RLC5" s="28"/>
      <c r="RLD5" s="28"/>
      <c r="RLE5" s="28"/>
      <c r="RLF5" s="28"/>
      <c r="RLG5" s="28"/>
      <c r="RLH5" s="28"/>
      <c r="RLI5" s="28"/>
      <c r="RLJ5" s="28"/>
      <c r="RLK5" s="28"/>
      <c r="RLL5" s="28"/>
      <c r="RLM5" s="28"/>
      <c r="RLN5" s="28"/>
      <c r="RLO5" s="28"/>
      <c r="RLP5" s="28"/>
      <c r="RLQ5" s="28"/>
      <c r="RLR5" s="28"/>
      <c r="RLS5" s="28"/>
      <c r="RLT5" s="28"/>
      <c r="RLU5" s="28"/>
      <c r="RLV5" s="28"/>
      <c r="RLW5" s="28"/>
      <c r="RLX5" s="28"/>
      <c r="RLY5" s="28"/>
      <c r="RLZ5" s="28"/>
      <c r="RMA5" s="28"/>
      <c r="RMB5" s="28"/>
      <c r="RMC5" s="28"/>
      <c r="RMD5" s="28"/>
      <c r="RME5" s="28"/>
      <c r="RMF5" s="28"/>
      <c r="RMG5" s="28"/>
      <c r="RMH5" s="28"/>
      <c r="RMI5" s="28"/>
      <c r="RMJ5" s="28"/>
      <c r="RMK5" s="28"/>
      <c r="RML5" s="28"/>
      <c r="RMM5" s="28"/>
      <c r="RMN5" s="28"/>
      <c r="RMO5" s="28"/>
      <c r="RMP5" s="28"/>
      <c r="RMQ5" s="28"/>
      <c r="RMR5" s="28"/>
      <c r="RMS5" s="28"/>
      <c r="RMT5" s="28"/>
      <c r="RMU5" s="28"/>
      <c r="RMV5" s="28"/>
      <c r="RMW5" s="28"/>
      <c r="RMX5" s="28"/>
      <c r="RMY5" s="28"/>
      <c r="RMZ5" s="28"/>
      <c r="RNA5" s="28"/>
      <c r="RNB5" s="28"/>
      <c r="RNC5" s="28"/>
      <c r="RND5" s="28"/>
      <c r="RNE5" s="28"/>
      <c r="RNF5" s="28"/>
      <c r="RNG5" s="28"/>
      <c r="RNH5" s="28"/>
      <c r="RNI5" s="28"/>
      <c r="RNJ5" s="28"/>
      <c r="RNK5" s="28"/>
      <c r="RNL5" s="28"/>
      <c r="RNM5" s="28"/>
      <c r="RNN5" s="28"/>
      <c r="RNO5" s="28"/>
      <c r="RNP5" s="28"/>
      <c r="RNQ5" s="28"/>
      <c r="RNR5" s="28"/>
      <c r="RNS5" s="28"/>
      <c r="RNT5" s="28"/>
      <c r="RNU5" s="28"/>
      <c r="RNV5" s="28"/>
      <c r="RNW5" s="28"/>
      <c r="RNX5" s="28"/>
      <c r="RNY5" s="28"/>
      <c r="RNZ5" s="28"/>
      <c r="ROA5" s="28"/>
      <c r="ROB5" s="28"/>
      <c r="ROC5" s="28"/>
      <c r="ROD5" s="28"/>
      <c r="ROE5" s="28"/>
      <c r="ROF5" s="28"/>
      <c r="ROG5" s="28"/>
      <c r="ROH5" s="28"/>
      <c r="ROI5" s="28"/>
      <c r="ROJ5" s="28"/>
      <c r="ROK5" s="28"/>
      <c r="ROL5" s="28"/>
      <c r="ROM5" s="28"/>
      <c r="RON5" s="28"/>
      <c r="ROO5" s="28"/>
      <c r="ROP5" s="28"/>
      <c r="ROQ5" s="28"/>
      <c r="ROR5" s="28"/>
      <c r="ROS5" s="28"/>
      <c r="ROT5" s="28"/>
      <c r="ROU5" s="28"/>
      <c r="ROV5" s="28"/>
      <c r="ROW5" s="28"/>
      <c r="ROX5" s="28"/>
      <c r="ROY5" s="28"/>
      <c r="ROZ5" s="28"/>
      <c r="RPA5" s="28"/>
      <c r="RPB5" s="28"/>
      <c r="RPC5" s="28"/>
      <c r="RPD5" s="28"/>
      <c r="RPE5" s="28"/>
      <c r="RPF5" s="28"/>
      <c r="RPG5" s="28"/>
      <c r="RPH5" s="28"/>
      <c r="RPI5" s="28"/>
      <c r="RPJ5" s="28"/>
      <c r="RPK5" s="28"/>
      <c r="RPL5" s="28"/>
      <c r="RPM5" s="28"/>
      <c r="RPN5" s="28"/>
      <c r="RPO5" s="28"/>
      <c r="RPP5" s="28"/>
      <c r="RPQ5" s="28"/>
      <c r="RPR5" s="28"/>
      <c r="RPS5" s="28"/>
      <c r="RPT5" s="28"/>
      <c r="RPU5" s="28"/>
      <c r="RPV5" s="28"/>
      <c r="RPW5" s="28"/>
      <c r="RPX5" s="28"/>
      <c r="RPY5" s="28"/>
      <c r="RPZ5" s="28"/>
      <c r="RQA5" s="28"/>
      <c r="RQB5" s="28"/>
      <c r="RQC5" s="28"/>
      <c r="RQD5" s="28"/>
      <c r="RQE5" s="28"/>
      <c r="RQF5" s="28"/>
      <c r="RQG5" s="28"/>
      <c r="RQH5" s="28"/>
      <c r="RQI5" s="28"/>
      <c r="RQJ5" s="28"/>
      <c r="RQK5" s="28"/>
      <c r="RQL5" s="28"/>
      <c r="RQM5" s="28"/>
      <c r="RQN5" s="28"/>
      <c r="RQO5" s="28"/>
      <c r="RQP5" s="28"/>
      <c r="RQQ5" s="28"/>
      <c r="RQR5" s="28"/>
      <c r="RQS5" s="28"/>
      <c r="RQT5" s="28"/>
      <c r="RQU5" s="28"/>
      <c r="RQV5" s="28"/>
      <c r="RQW5" s="28"/>
      <c r="RQX5" s="28"/>
      <c r="RQY5" s="28"/>
      <c r="RQZ5" s="28"/>
      <c r="RRA5" s="28"/>
      <c r="RRB5" s="28"/>
      <c r="RRC5" s="28"/>
      <c r="RRD5" s="28"/>
      <c r="RRE5" s="28"/>
      <c r="RRF5" s="28"/>
      <c r="RRG5" s="28"/>
      <c r="RRH5" s="28"/>
      <c r="RRI5" s="28"/>
      <c r="RRJ5" s="28"/>
      <c r="RRK5" s="28"/>
      <c r="RRL5" s="28"/>
      <c r="RRM5" s="28"/>
      <c r="RRN5" s="28"/>
      <c r="RRO5" s="28"/>
      <c r="RRP5" s="28"/>
      <c r="RRQ5" s="28"/>
      <c r="RRR5" s="28"/>
      <c r="RRS5" s="28"/>
      <c r="RRT5" s="28"/>
      <c r="RRU5" s="28"/>
      <c r="RRV5" s="28"/>
      <c r="RRW5" s="28"/>
      <c r="RRX5" s="28"/>
      <c r="RRY5" s="28"/>
      <c r="RRZ5" s="28"/>
      <c r="RSA5" s="28"/>
      <c r="RSB5" s="28"/>
      <c r="RSC5" s="28"/>
      <c r="RSD5" s="28"/>
      <c r="RSE5" s="28"/>
      <c r="RSF5" s="28"/>
      <c r="RSG5" s="28"/>
      <c r="RSH5" s="28"/>
      <c r="RSI5" s="28"/>
      <c r="RSJ5" s="28"/>
      <c r="RSK5" s="28"/>
      <c r="RSL5" s="28"/>
      <c r="RSM5" s="28"/>
      <c r="RSN5" s="28"/>
      <c r="RSO5" s="28"/>
      <c r="RSP5" s="28"/>
      <c r="RSQ5" s="28"/>
      <c r="RSR5" s="28"/>
      <c r="RSS5" s="28"/>
      <c r="RST5" s="28"/>
      <c r="RSU5" s="28"/>
      <c r="RSV5" s="28"/>
      <c r="RSW5" s="28"/>
      <c r="RSX5" s="28"/>
      <c r="RSY5" s="28"/>
      <c r="RSZ5" s="28"/>
      <c r="RTA5" s="28"/>
      <c r="RTB5" s="28"/>
      <c r="RTC5" s="28"/>
      <c r="RTD5" s="28"/>
      <c r="RTE5" s="28"/>
      <c r="RTF5" s="28"/>
      <c r="RTG5" s="28"/>
      <c r="RTH5" s="28"/>
      <c r="RTI5" s="28"/>
      <c r="RTJ5" s="28"/>
      <c r="RTK5" s="28"/>
      <c r="RTL5" s="28"/>
      <c r="RTM5" s="28"/>
      <c r="RTN5" s="28"/>
      <c r="RTO5" s="28"/>
      <c r="RTP5" s="28"/>
      <c r="RTQ5" s="28"/>
      <c r="RTR5" s="28"/>
      <c r="RTS5" s="28"/>
      <c r="RTT5" s="28"/>
      <c r="RTU5" s="28"/>
      <c r="RTV5" s="28"/>
      <c r="RTW5" s="28"/>
      <c r="RTX5" s="28"/>
      <c r="RTY5" s="28"/>
      <c r="RTZ5" s="28"/>
      <c r="RUA5" s="28"/>
      <c r="RUB5" s="28"/>
      <c r="RUC5" s="28"/>
      <c r="RUD5" s="28"/>
      <c r="RUE5" s="28"/>
      <c r="RUF5" s="28"/>
      <c r="RUG5" s="28"/>
      <c r="RUH5" s="28"/>
      <c r="RUI5" s="28"/>
      <c r="RUJ5" s="28"/>
      <c r="RUK5" s="28"/>
      <c r="RUL5" s="28"/>
      <c r="RUM5" s="28"/>
      <c r="RUN5" s="28"/>
      <c r="RUO5" s="28"/>
      <c r="RUP5" s="28"/>
      <c r="RUQ5" s="28"/>
      <c r="RUR5" s="28"/>
      <c r="RUS5" s="28"/>
      <c r="RUT5" s="28"/>
      <c r="RUU5" s="28"/>
      <c r="RUV5" s="28"/>
      <c r="RUW5" s="28"/>
      <c r="RUX5" s="28"/>
      <c r="RUY5" s="28"/>
      <c r="RUZ5" s="28"/>
      <c r="RVA5" s="28"/>
      <c r="RVB5" s="28"/>
      <c r="RVC5" s="28"/>
      <c r="RVD5" s="28"/>
      <c r="RVE5" s="28"/>
      <c r="RVF5" s="28"/>
      <c r="RVG5" s="28"/>
      <c r="RVH5" s="28"/>
      <c r="RVI5" s="28"/>
      <c r="RVJ5" s="28"/>
      <c r="RVK5" s="28"/>
      <c r="RVL5" s="28"/>
      <c r="RVM5" s="28"/>
      <c r="RVN5" s="28"/>
      <c r="RVO5" s="28"/>
      <c r="RVP5" s="28"/>
      <c r="RVQ5" s="28"/>
      <c r="RVR5" s="28"/>
      <c r="RVS5" s="28"/>
      <c r="RVT5" s="28"/>
      <c r="RVU5" s="28"/>
      <c r="RVV5" s="28"/>
      <c r="RVW5" s="28"/>
      <c r="RVX5" s="28"/>
      <c r="RVY5" s="28"/>
      <c r="RVZ5" s="28"/>
      <c r="RWA5" s="28"/>
      <c r="RWB5" s="28"/>
      <c r="RWC5" s="28"/>
      <c r="RWD5" s="28"/>
      <c r="RWE5" s="28"/>
      <c r="RWF5" s="28"/>
      <c r="RWG5" s="28"/>
      <c r="RWH5" s="28"/>
      <c r="RWI5" s="28"/>
      <c r="RWJ5" s="28"/>
      <c r="RWK5" s="28"/>
      <c r="RWL5" s="28"/>
      <c r="RWM5" s="28"/>
      <c r="RWN5" s="28"/>
      <c r="RWO5" s="28"/>
      <c r="RWP5" s="28"/>
      <c r="RWQ5" s="28"/>
      <c r="RWR5" s="28"/>
      <c r="RWS5" s="28"/>
      <c r="RWT5" s="28"/>
      <c r="RWU5" s="28"/>
      <c r="RWV5" s="28"/>
      <c r="RWW5" s="28"/>
      <c r="RWX5" s="28"/>
      <c r="RWY5" s="28"/>
      <c r="RWZ5" s="28"/>
      <c r="RXA5" s="28"/>
      <c r="RXB5" s="28"/>
      <c r="RXC5" s="28"/>
      <c r="RXD5" s="28"/>
      <c r="RXE5" s="28"/>
      <c r="RXF5" s="28"/>
      <c r="RXG5" s="28"/>
      <c r="RXH5" s="28"/>
      <c r="RXI5" s="28"/>
      <c r="RXJ5" s="28"/>
      <c r="RXK5" s="28"/>
      <c r="RXL5" s="28"/>
      <c r="RXM5" s="28"/>
      <c r="RXN5" s="28"/>
      <c r="RXO5" s="28"/>
      <c r="RXP5" s="28"/>
      <c r="RXQ5" s="28"/>
      <c r="RXR5" s="28"/>
      <c r="RXS5" s="28"/>
      <c r="RXT5" s="28"/>
      <c r="RXU5" s="28"/>
      <c r="RXV5" s="28"/>
      <c r="RXW5" s="28"/>
      <c r="RXX5" s="28"/>
      <c r="RXY5" s="28"/>
      <c r="RXZ5" s="28"/>
      <c r="RYA5" s="28"/>
      <c r="RYB5" s="28"/>
      <c r="RYC5" s="28"/>
      <c r="RYD5" s="28"/>
      <c r="RYE5" s="28"/>
      <c r="RYF5" s="28"/>
      <c r="RYG5" s="28"/>
      <c r="RYH5" s="28"/>
      <c r="RYI5" s="28"/>
      <c r="RYJ5" s="28"/>
      <c r="RYK5" s="28"/>
      <c r="RYL5" s="28"/>
      <c r="RYM5" s="28"/>
      <c r="RYN5" s="28"/>
      <c r="RYO5" s="28"/>
      <c r="RYP5" s="28"/>
      <c r="RYQ5" s="28"/>
      <c r="RYR5" s="28"/>
      <c r="RYS5" s="28"/>
      <c r="RYT5" s="28"/>
      <c r="RYU5" s="28"/>
      <c r="RYV5" s="28"/>
      <c r="RYW5" s="28"/>
      <c r="RYX5" s="28"/>
      <c r="RYY5" s="28"/>
      <c r="RYZ5" s="28"/>
      <c r="RZA5" s="28"/>
      <c r="RZB5" s="28"/>
      <c r="RZC5" s="28"/>
      <c r="RZD5" s="28"/>
      <c r="RZE5" s="28"/>
      <c r="RZF5" s="28"/>
      <c r="RZG5" s="28"/>
      <c r="RZH5" s="28"/>
      <c r="RZI5" s="28"/>
      <c r="RZJ5" s="28"/>
      <c r="RZK5" s="28"/>
      <c r="RZL5" s="28"/>
      <c r="RZM5" s="28"/>
      <c r="RZN5" s="28"/>
      <c r="RZO5" s="28"/>
      <c r="RZP5" s="28"/>
      <c r="RZQ5" s="28"/>
      <c r="RZR5" s="28"/>
      <c r="RZS5" s="28"/>
      <c r="RZT5" s="28"/>
      <c r="RZU5" s="28"/>
      <c r="RZV5" s="28"/>
      <c r="RZW5" s="28"/>
      <c r="RZX5" s="28"/>
      <c r="RZY5" s="28"/>
      <c r="RZZ5" s="28"/>
      <c r="SAA5" s="28"/>
      <c r="SAB5" s="28"/>
      <c r="SAC5" s="28"/>
      <c r="SAD5" s="28"/>
      <c r="SAE5" s="28"/>
      <c r="SAF5" s="28"/>
      <c r="SAG5" s="28"/>
      <c r="SAH5" s="28"/>
      <c r="SAI5" s="28"/>
      <c r="SAJ5" s="28"/>
      <c r="SAK5" s="28"/>
      <c r="SAL5" s="28"/>
      <c r="SAM5" s="28"/>
      <c r="SAN5" s="28"/>
      <c r="SAO5" s="28"/>
      <c r="SAP5" s="28"/>
      <c r="SAQ5" s="28"/>
      <c r="SAR5" s="28"/>
      <c r="SAS5" s="28"/>
      <c r="SAT5" s="28"/>
      <c r="SAU5" s="28"/>
      <c r="SAV5" s="28"/>
      <c r="SAW5" s="28"/>
      <c r="SAX5" s="28"/>
      <c r="SAY5" s="28"/>
      <c r="SAZ5" s="28"/>
      <c r="SBA5" s="28"/>
      <c r="SBB5" s="28"/>
      <c r="SBC5" s="28"/>
      <c r="SBD5" s="28"/>
      <c r="SBE5" s="28"/>
      <c r="SBF5" s="28"/>
      <c r="SBG5" s="28"/>
      <c r="SBH5" s="28"/>
      <c r="SBI5" s="28"/>
      <c r="SBJ5" s="28"/>
      <c r="SBK5" s="28"/>
      <c r="SBL5" s="28"/>
      <c r="SBM5" s="28"/>
      <c r="SBN5" s="28"/>
      <c r="SBO5" s="28"/>
      <c r="SBP5" s="28"/>
      <c r="SBQ5" s="28"/>
      <c r="SBR5" s="28"/>
      <c r="SBS5" s="28"/>
      <c r="SBT5" s="28"/>
      <c r="SBU5" s="28"/>
      <c r="SBV5" s="28"/>
      <c r="SBW5" s="28"/>
      <c r="SBX5" s="28"/>
      <c r="SBY5" s="28"/>
      <c r="SBZ5" s="28"/>
      <c r="SCA5" s="28"/>
      <c r="SCB5" s="28"/>
      <c r="SCC5" s="28"/>
      <c r="SCD5" s="28"/>
      <c r="SCE5" s="28"/>
      <c r="SCF5" s="28"/>
      <c r="SCG5" s="28"/>
      <c r="SCH5" s="28"/>
      <c r="SCI5" s="28"/>
      <c r="SCJ5" s="28"/>
      <c r="SCK5" s="28"/>
      <c r="SCL5" s="28"/>
      <c r="SCM5" s="28"/>
      <c r="SCN5" s="28"/>
      <c r="SCO5" s="28"/>
      <c r="SCP5" s="28"/>
      <c r="SCQ5" s="28"/>
      <c r="SCR5" s="28"/>
      <c r="SCS5" s="28"/>
      <c r="SCT5" s="28"/>
      <c r="SCU5" s="28"/>
      <c r="SCV5" s="28"/>
      <c r="SCW5" s="28"/>
      <c r="SCX5" s="28"/>
      <c r="SCY5" s="28"/>
      <c r="SCZ5" s="28"/>
      <c r="SDA5" s="28"/>
      <c r="SDB5" s="28"/>
      <c r="SDC5" s="28"/>
      <c r="SDD5" s="28"/>
      <c r="SDE5" s="28"/>
      <c r="SDF5" s="28"/>
      <c r="SDG5" s="28"/>
      <c r="SDH5" s="28"/>
      <c r="SDI5" s="28"/>
      <c r="SDJ5" s="28"/>
      <c r="SDK5" s="28"/>
      <c r="SDL5" s="28"/>
      <c r="SDM5" s="28"/>
      <c r="SDN5" s="28"/>
      <c r="SDO5" s="28"/>
      <c r="SDP5" s="28"/>
      <c r="SDQ5" s="28"/>
      <c r="SDR5" s="28"/>
      <c r="SDS5" s="28"/>
      <c r="SDT5" s="28"/>
      <c r="SDU5" s="28"/>
      <c r="SDV5" s="28"/>
      <c r="SDW5" s="28"/>
      <c r="SDX5" s="28"/>
      <c r="SDY5" s="28"/>
      <c r="SDZ5" s="28"/>
      <c r="SEA5" s="28"/>
      <c r="SEB5" s="28"/>
      <c r="SEC5" s="28"/>
      <c r="SED5" s="28"/>
      <c r="SEE5" s="28"/>
      <c r="SEF5" s="28"/>
      <c r="SEG5" s="28"/>
      <c r="SEH5" s="28"/>
      <c r="SEI5" s="28"/>
      <c r="SEJ5" s="28"/>
      <c r="SEK5" s="28"/>
      <c r="SEL5" s="28"/>
      <c r="SEM5" s="28"/>
      <c r="SEN5" s="28"/>
      <c r="SEO5" s="28"/>
      <c r="SEP5" s="28"/>
      <c r="SEQ5" s="28"/>
      <c r="SER5" s="28"/>
      <c r="SES5" s="28"/>
      <c r="SET5" s="28"/>
      <c r="SEU5" s="28"/>
      <c r="SEV5" s="28"/>
      <c r="SEW5" s="28"/>
      <c r="SEX5" s="28"/>
      <c r="SEY5" s="28"/>
      <c r="SEZ5" s="28"/>
      <c r="SFA5" s="28"/>
      <c r="SFB5" s="28"/>
      <c r="SFC5" s="28"/>
      <c r="SFD5" s="28"/>
      <c r="SFE5" s="28"/>
      <c r="SFF5" s="28"/>
      <c r="SFG5" s="28"/>
      <c r="SFH5" s="28"/>
      <c r="SFI5" s="28"/>
      <c r="SFJ5" s="28"/>
      <c r="SFK5" s="28"/>
      <c r="SFL5" s="28"/>
      <c r="SFM5" s="28"/>
      <c r="SFN5" s="28"/>
      <c r="SFO5" s="28"/>
      <c r="SFP5" s="28"/>
      <c r="SFQ5" s="28"/>
      <c r="SFR5" s="28"/>
      <c r="SFS5" s="28"/>
      <c r="SFT5" s="28"/>
      <c r="SFU5" s="28"/>
      <c r="SFV5" s="28"/>
      <c r="SFW5" s="28"/>
      <c r="SFX5" s="28"/>
      <c r="SFY5" s="28"/>
      <c r="SFZ5" s="28"/>
      <c r="SGA5" s="28"/>
      <c r="SGB5" s="28"/>
      <c r="SGC5" s="28"/>
      <c r="SGD5" s="28"/>
      <c r="SGE5" s="28"/>
      <c r="SGF5" s="28"/>
      <c r="SGG5" s="28"/>
      <c r="SGH5" s="28"/>
      <c r="SGI5" s="28"/>
      <c r="SGJ5" s="28"/>
      <c r="SGK5" s="28"/>
      <c r="SGL5" s="28"/>
      <c r="SGM5" s="28"/>
      <c r="SGN5" s="28"/>
      <c r="SGO5" s="28"/>
      <c r="SGP5" s="28"/>
      <c r="SGQ5" s="28"/>
      <c r="SGR5" s="28"/>
      <c r="SGS5" s="28"/>
      <c r="SGT5" s="28"/>
      <c r="SGU5" s="28"/>
      <c r="SGV5" s="28"/>
      <c r="SGW5" s="28"/>
      <c r="SGX5" s="28"/>
      <c r="SGY5" s="28"/>
      <c r="SGZ5" s="28"/>
      <c r="SHA5" s="28"/>
      <c r="SHB5" s="28"/>
      <c r="SHC5" s="28"/>
      <c r="SHD5" s="28"/>
      <c r="SHE5" s="28"/>
      <c r="SHF5" s="28"/>
      <c r="SHG5" s="28"/>
      <c r="SHH5" s="28"/>
      <c r="SHI5" s="28"/>
      <c r="SHJ5" s="28"/>
      <c r="SHK5" s="28"/>
      <c r="SHL5" s="28"/>
      <c r="SHM5" s="28"/>
      <c r="SHN5" s="28"/>
      <c r="SHO5" s="28"/>
      <c r="SHP5" s="28"/>
      <c r="SHQ5" s="28"/>
      <c r="SHR5" s="28"/>
      <c r="SHS5" s="28"/>
      <c r="SHT5" s="28"/>
      <c r="SHU5" s="28"/>
      <c r="SHV5" s="28"/>
      <c r="SHW5" s="28"/>
      <c r="SHX5" s="28"/>
      <c r="SHY5" s="28"/>
      <c r="SHZ5" s="28"/>
      <c r="SIA5" s="28"/>
      <c r="SIB5" s="28"/>
      <c r="SIC5" s="28"/>
      <c r="SID5" s="28"/>
      <c r="SIE5" s="28"/>
      <c r="SIF5" s="28"/>
      <c r="SIG5" s="28"/>
      <c r="SIH5" s="28"/>
      <c r="SII5" s="28"/>
      <c r="SIJ5" s="28"/>
      <c r="SIK5" s="28"/>
      <c r="SIL5" s="28"/>
      <c r="SIM5" s="28"/>
      <c r="SIN5" s="28"/>
      <c r="SIO5" s="28"/>
      <c r="SIP5" s="28"/>
      <c r="SIQ5" s="28"/>
      <c r="SIR5" s="28"/>
      <c r="SIS5" s="28"/>
      <c r="SIT5" s="28"/>
      <c r="SIU5" s="28"/>
      <c r="SIV5" s="28"/>
      <c r="SIW5" s="28"/>
      <c r="SIX5" s="28"/>
      <c r="SIY5" s="28"/>
      <c r="SIZ5" s="28"/>
      <c r="SJA5" s="28"/>
      <c r="SJB5" s="28"/>
      <c r="SJC5" s="28"/>
      <c r="SJD5" s="28"/>
      <c r="SJE5" s="28"/>
      <c r="SJF5" s="28"/>
      <c r="SJG5" s="28"/>
      <c r="SJH5" s="28"/>
      <c r="SJI5" s="28"/>
      <c r="SJJ5" s="28"/>
      <c r="SJK5" s="28"/>
      <c r="SJL5" s="28"/>
      <c r="SJM5" s="28"/>
      <c r="SJN5" s="28"/>
      <c r="SJO5" s="28"/>
      <c r="SJP5" s="28"/>
      <c r="SJQ5" s="28"/>
      <c r="SJR5" s="28"/>
      <c r="SJS5" s="28"/>
      <c r="SJT5" s="28"/>
      <c r="SJU5" s="28"/>
      <c r="SJV5" s="28"/>
      <c r="SJW5" s="28"/>
      <c r="SJX5" s="28"/>
      <c r="SJY5" s="28"/>
      <c r="SJZ5" s="28"/>
      <c r="SKA5" s="28"/>
      <c r="SKB5" s="28"/>
      <c r="SKC5" s="28"/>
      <c r="SKD5" s="28"/>
      <c r="SKE5" s="28"/>
      <c r="SKF5" s="28"/>
      <c r="SKG5" s="28"/>
      <c r="SKH5" s="28"/>
      <c r="SKI5" s="28"/>
      <c r="SKJ5" s="28"/>
      <c r="SKK5" s="28"/>
      <c r="SKL5" s="28"/>
      <c r="SKM5" s="28"/>
      <c r="SKN5" s="28"/>
      <c r="SKO5" s="28"/>
      <c r="SKP5" s="28"/>
      <c r="SKQ5" s="28"/>
      <c r="SKR5" s="28"/>
      <c r="SKS5" s="28"/>
      <c r="SKT5" s="28"/>
      <c r="SKU5" s="28"/>
      <c r="SKV5" s="28"/>
      <c r="SKW5" s="28"/>
      <c r="SKX5" s="28"/>
      <c r="SKY5" s="28"/>
      <c r="SKZ5" s="28"/>
      <c r="SLA5" s="28"/>
      <c r="SLB5" s="28"/>
      <c r="SLC5" s="28"/>
      <c r="SLD5" s="28"/>
      <c r="SLE5" s="28"/>
      <c r="SLF5" s="28"/>
      <c r="SLG5" s="28"/>
      <c r="SLH5" s="28"/>
      <c r="SLI5" s="28"/>
      <c r="SLJ5" s="28"/>
      <c r="SLK5" s="28"/>
      <c r="SLL5" s="28"/>
      <c r="SLM5" s="28"/>
      <c r="SLN5" s="28"/>
      <c r="SLO5" s="28"/>
      <c r="SLP5" s="28"/>
      <c r="SLQ5" s="28"/>
      <c r="SLR5" s="28"/>
      <c r="SLS5" s="28"/>
      <c r="SLT5" s="28"/>
      <c r="SLU5" s="28"/>
      <c r="SLV5" s="28"/>
      <c r="SLW5" s="28"/>
      <c r="SLX5" s="28"/>
      <c r="SLY5" s="28"/>
      <c r="SLZ5" s="28"/>
      <c r="SMA5" s="28"/>
      <c r="SMB5" s="28"/>
      <c r="SMC5" s="28"/>
      <c r="SMD5" s="28"/>
      <c r="SME5" s="28"/>
      <c r="SMF5" s="28"/>
      <c r="SMG5" s="28"/>
      <c r="SMH5" s="28"/>
      <c r="SMI5" s="28"/>
      <c r="SMJ5" s="28"/>
      <c r="SMK5" s="28"/>
      <c r="SML5" s="28"/>
      <c r="SMM5" s="28"/>
      <c r="SMN5" s="28"/>
      <c r="SMO5" s="28"/>
      <c r="SMP5" s="28"/>
      <c r="SMQ5" s="28"/>
      <c r="SMR5" s="28"/>
      <c r="SMS5" s="28"/>
      <c r="SMT5" s="28"/>
      <c r="SMU5" s="28"/>
      <c r="SMV5" s="28"/>
      <c r="SMW5" s="28"/>
      <c r="SMX5" s="28"/>
      <c r="SMY5" s="28"/>
      <c r="SMZ5" s="28"/>
      <c r="SNA5" s="28"/>
      <c r="SNB5" s="28"/>
      <c r="SNC5" s="28"/>
      <c r="SND5" s="28"/>
      <c r="SNE5" s="28"/>
      <c r="SNF5" s="28"/>
      <c r="SNG5" s="28"/>
      <c r="SNH5" s="28"/>
      <c r="SNI5" s="28"/>
      <c r="SNJ5" s="28"/>
      <c r="SNK5" s="28"/>
      <c r="SNL5" s="28"/>
      <c r="SNM5" s="28"/>
      <c r="SNN5" s="28"/>
      <c r="SNO5" s="28"/>
      <c r="SNP5" s="28"/>
      <c r="SNQ5" s="28"/>
      <c r="SNR5" s="28"/>
      <c r="SNS5" s="28"/>
      <c r="SNT5" s="28"/>
      <c r="SNU5" s="28"/>
      <c r="SNV5" s="28"/>
      <c r="SNW5" s="28"/>
      <c r="SNX5" s="28"/>
      <c r="SNY5" s="28"/>
      <c r="SNZ5" s="28"/>
      <c r="SOA5" s="28"/>
      <c r="SOB5" s="28"/>
      <c r="SOC5" s="28"/>
      <c r="SOD5" s="28"/>
      <c r="SOE5" s="28"/>
      <c r="SOF5" s="28"/>
      <c r="SOG5" s="28"/>
      <c r="SOH5" s="28"/>
      <c r="SOI5" s="28"/>
      <c r="SOJ5" s="28"/>
      <c r="SOK5" s="28"/>
      <c r="SOL5" s="28"/>
      <c r="SOM5" s="28"/>
      <c r="SON5" s="28"/>
      <c r="SOO5" s="28"/>
      <c r="SOP5" s="28"/>
      <c r="SOQ5" s="28"/>
      <c r="SOR5" s="28"/>
      <c r="SOS5" s="28"/>
      <c r="SOT5" s="28"/>
      <c r="SOU5" s="28"/>
      <c r="SOV5" s="28"/>
      <c r="SOW5" s="28"/>
      <c r="SOX5" s="28"/>
      <c r="SOY5" s="28"/>
      <c r="SOZ5" s="28"/>
      <c r="SPA5" s="28"/>
      <c r="SPB5" s="28"/>
      <c r="SPC5" s="28"/>
      <c r="SPD5" s="28"/>
      <c r="SPE5" s="28"/>
      <c r="SPF5" s="28"/>
      <c r="SPG5" s="28"/>
      <c r="SPH5" s="28"/>
      <c r="SPI5" s="28"/>
      <c r="SPJ5" s="28"/>
      <c r="SPK5" s="28"/>
      <c r="SPL5" s="28"/>
      <c r="SPM5" s="28"/>
      <c r="SPN5" s="28"/>
      <c r="SPO5" s="28"/>
      <c r="SPP5" s="28"/>
      <c r="SPQ5" s="28"/>
      <c r="SPR5" s="28"/>
      <c r="SPS5" s="28"/>
      <c r="SPT5" s="28"/>
      <c r="SPU5" s="28"/>
      <c r="SPV5" s="28"/>
      <c r="SPW5" s="28"/>
      <c r="SPX5" s="28"/>
      <c r="SPY5" s="28"/>
      <c r="SPZ5" s="28"/>
      <c r="SQA5" s="28"/>
      <c r="SQB5" s="28"/>
      <c r="SQC5" s="28"/>
      <c r="SQD5" s="28"/>
      <c r="SQE5" s="28"/>
      <c r="SQF5" s="28"/>
      <c r="SQG5" s="28"/>
      <c r="SQH5" s="28"/>
      <c r="SQI5" s="28"/>
      <c r="SQJ5" s="28"/>
      <c r="SQK5" s="28"/>
      <c r="SQL5" s="28"/>
      <c r="SQM5" s="28"/>
      <c r="SQN5" s="28"/>
      <c r="SQO5" s="28"/>
      <c r="SQP5" s="28"/>
      <c r="SQQ5" s="28"/>
      <c r="SQR5" s="28"/>
      <c r="SQS5" s="28"/>
      <c r="SQT5" s="28"/>
      <c r="SQU5" s="28"/>
      <c r="SQV5" s="28"/>
      <c r="SQW5" s="28"/>
      <c r="SQX5" s="28"/>
      <c r="SQY5" s="28"/>
      <c r="SQZ5" s="28"/>
      <c r="SRA5" s="28"/>
      <c r="SRB5" s="28"/>
      <c r="SRC5" s="28"/>
      <c r="SRD5" s="28"/>
      <c r="SRE5" s="28"/>
      <c r="SRF5" s="28"/>
      <c r="SRG5" s="28"/>
      <c r="SRH5" s="28"/>
      <c r="SRI5" s="28"/>
      <c r="SRJ5" s="28"/>
      <c r="SRK5" s="28"/>
      <c r="SRL5" s="28"/>
      <c r="SRM5" s="28"/>
      <c r="SRN5" s="28"/>
      <c r="SRO5" s="28"/>
      <c r="SRP5" s="28"/>
      <c r="SRQ5" s="28"/>
      <c r="SRR5" s="28"/>
      <c r="SRS5" s="28"/>
      <c r="SRT5" s="28"/>
      <c r="SRU5" s="28"/>
      <c r="SRV5" s="28"/>
      <c r="SRW5" s="28"/>
      <c r="SRX5" s="28"/>
      <c r="SRY5" s="28"/>
      <c r="SRZ5" s="28"/>
      <c r="SSA5" s="28"/>
      <c r="SSB5" s="28"/>
      <c r="SSC5" s="28"/>
      <c r="SSD5" s="28"/>
      <c r="SSE5" s="28"/>
      <c r="SSF5" s="28"/>
      <c r="SSG5" s="28"/>
      <c r="SSH5" s="28"/>
      <c r="SSI5" s="28"/>
      <c r="SSJ5" s="28"/>
      <c r="SSK5" s="28"/>
      <c r="SSL5" s="28"/>
      <c r="SSM5" s="28"/>
      <c r="SSN5" s="28"/>
      <c r="SSO5" s="28"/>
      <c r="SSP5" s="28"/>
      <c r="SSQ5" s="28"/>
      <c r="SSR5" s="28"/>
      <c r="SSS5" s="28"/>
      <c r="SST5" s="28"/>
      <c r="SSU5" s="28"/>
      <c r="SSV5" s="28"/>
      <c r="SSW5" s="28"/>
      <c r="SSX5" s="28"/>
      <c r="SSY5" s="28"/>
      <c r="SSZ5" s="28"/>
      <c r="STA5" s="28"/>
      <c r="STB5" s="28"/>
      <c r="STC5" s="28"/>
      <c r="STD5" s="28"/>
      <c r="STE5" s="28"/>
      <c r="STF5" s="28"/>
      <c r="STG5" s="28"/>
      <c r="STH5" s="28"/>
      <c r="STI5" s="28"/>
      <c r="STJ5" s="28"/>
      <c r="STK5" s="28"/>
      <c r="STL5" s="28"/>
      <c r="STM5" s="28"/>
      <c r="STN5" s="28"/>
      <c r="STO5" s="28"/>
      <c r="STP5" s="28"/>
      <c r="STQ5" s="28"/>
      <c r="STR5" s="28"/>
      <c r="STS5" s="28"/>
      <c r="STT5" s="28"/>
      <c r="STU5" s="28"/>
      <c r="STV5" s="28"/>
      <c r="STW5" s="28"/>
      <c r="STX5" s="28"/>
      <c r="STY5" s="28"/>
      <c r="STZ5" s="28"/>
      <c r="SUA5" s="28"/>
      <c r="SUB5" s="28"/>
      <c r="SUC5" s="28"/>
      <c r="SUD5" s="28"/>
      <c r="SUE5" s="28"/>
      <c r="SUF5" s="28"/>
      <c r="SUG5" s="28"/>
      <c r="SUH5" s="28"/>
      <c r="SUI5" s="28"/>
      <c r="SUJ5" s="28"/>
      <c r="SUK5" s="28"/>
      <c r="SUL5" s="28"/>
      <c r="SUM5" s="28"/>
      <c r="SUN5" s="28"/>
      <c r="SUO5" s="28"/>
      <c r="SUP5" s="28"/>
      <c r="SUQ5" s="28"/>
      <c r="SUR5" s="28"/>
      <c r="SUS5" s="28"/>
      <c r="SUT5" s="28"/>
      <c r="SUU5" s="28"/>
      <c r="SUV5" s="28"/>
      <c r="SUW5" s="28"/>
      <c r="SUX5" s="28"/>
      <c r="SUY5" s="28"/>
      <c r="SUZ5" s="28"/>
      <c r="SVA5" s="28"/>
      <c r="SVB5" s="28"/>
      <c r="SVC5" s="28"/>
      <c r="SVD5" s="28"/>
      <c r="SVE5" s="28"/>
      <c r="SVF5" s="28"/>
      <c r="SVG5" s="28"/>
      <c r="SVH5" s="28"/>
      <c r="SVI5" s="28"/>
      <c r="SVJ5" s="28"/>
      <c r="SVK5" s="28"/>
      <c r="SVL5" s="28"/>
      <c r="SVM5" s="28"/>
      <c r="SVN5" s="28"/>
      <c r="SVO5" s="28"/>
      <c r="SVP5" s="28"/>
      <c r="SVQ5" s="28"/>
      <c r="SVR5" s="28"/>
      <c r="SVS5" s="28"/>
      <c r="SVT5" s="28"/>
      <c r="SVU5" s="28"/>
      <c r="SVV5" s="28"/>
      <c r="SVW5" s="28"/>
      <c r="SVX5" s="28"/>
      <c r="SVY5" s="28"/>
      <c r="SVZ5" s="28"/>
      <c r="SWA5" s="28"/>
      <c r="SWB5" s="28"/>
      <c r="SWC5" s="28"/>
      <c r="SWD5" s="28"/>
      <c r="SWE5" s="28"/>
      <c r="SWF5" s="28"/>
      <c r="SWG5" s="28"/>
      <c r="SWH5" s="28"/>
      <c r="SWI5" s="28"/>
      <c r="SWJ5" s="28"/>
      <c r="SWK5" s="28"/>
      <c r="SWL5" s="28"/>
      <c r="SWM5" s="28"/>
      <c r="SWN5" s="28"/>
      <c r="SWO5" s="28"/>
      <c r="SWP5" s="28"/>
      <c r="SWQ5" s="28"/>
      <c r="SWR5" s="28"/>
      <c r="SWS5" s="28"/>
      <c r="SWT5" s="28"/>
      <c r="SWU5" s="28"/>
      <c r="SWV5" s="28"/>
      <c r="SWW5" s="28"/>
      <c r="SWX5" s="28"/>
      <c r="SWY5" s="28"/>
      <c r="SWZ5" s="28"/>
      <c r="SXA5" s="28"/>
      <c r="SXB5" s="28"/>
      <c r="SXC5" s="28"/>
      <c r="SXD5" s="28"/>
      <c r="SXE5" s="28"/>
      <c r="SXF5" s="28"/>
      <c r="SXG5" s="28"/>
      <c r="SXH5" s="28"/>
      <c r="SXI5" s="28"/>
      <c r="SXJ5" s="28"/>
      <c r="SXK5" s="28"/>
      <c r="SXL5" s="28"/>
      <c r="SXM5" s="28"/>
      <c r="SXN5" s="28"/>
      <c r="SXO5" s="28"/>
      <c r="SXP5" s="28"/>
      <c r="SXQ5" s="28"/>
      <c r="SXR5" s="28"/>
      <c r="SXS5" s="28"/>
      <c r="SXT5" s="28"/>
      <c r="SXU5" s="28"/>
      <c r="SXV5" s="28"/>
      <c r="SXW5" s="28"/>
      <c r="SXX5" s="28"/>
      <c r="SXY5" s="28"/>
      <c r="SXZ5" s="28"/>
      <c r="SYA5" s="28"/>
      <c r="SYB5" s="28"/>
      <c r="SYC5" s="28"/>
      <c r="SYD5" s="28"/>
      <c r="SYE5" s="28"/>
      <c r="SYF5" s="28"/>
      <c r="SYG5" s="28"/>
      <c r="SYH5" s="28"/>
      <c r="SYI5" s="28"/>
      <c r="SYJ5" s="28"/>
      <c r="SYK5" s="28"/>
      <c r="SYL5" s="28"/>
      <c r="SYM5" s="28"/>
      <c r="SYN5" s="28"/>
      <c r="SYO5" s="28"/>
      <c r="SYP5" s="28"/>
      <c r="SYQ5" s="28"/>
      <c r="SYR5" s="28"/>
      <c r="SYS5" s="28"/>
      <c r="SYT5" s="28"/>
      <c r="SYU5" s="28"/>
      <c r="SYV5" s="28"/>
      <c r="SYW5" s="28"/>
      <c r="SYX5" s="28"/>
      <c r="SYY5" s="28"/>
      <c r="SYZ5" s="28"/>
      <c r="SZA5" s="28"/>
      <c r="SZB5" s="28"/>
      <c r="SZC5" s="28"/>
      <c r="SZD5" s="28"/>
      <c r="SZE5" s="28"/>
      <c r="SZF5" s="28"/>
      <c r="SZG5" s="28"/>
      <c r="SZH5" s="28"/>
      <c r="SZI5" s="28"/>
      <c r="SZJ5" s="28"/>
      <c r="SZK5" s="28"/>
      <c r="SZL5" s="28"/>
      <c r="SZM5" s="28"/>
      <c r="SZN5" s="28"/>
      <c r="SZO5" s="28"/>
      <c r="SZP5" s="28"/>
      <c r="SZQ5" s="28"/>
      <c r="SZR5" s="28"/>
      <c r="SZS5" s="28"/>
      <c r="SZT5" s="28"/>
      <c r="SZU5" s="28"/>
      <c r="SZV5" s="28"/>
      <c r="SZW5" s="28"/>
      <c r="SZX5" s="28"/>
      <c r="SZY5" s="28"/>
      <c r="SZZ5" s="28"/>
      <c r="TAA5" s="28"/>
      <c r="TAB5" s="28"/>
      <c r="TAC5" s="28"/>
      <c r="TAD5" s="28"/>
      <c r="TAE5" s="28"/>
      <c r="TAF5" s="28"/>
      <c r="TAG5" s="28"/>
      <c r="TAH5" s="28"/>
      <c r="TAI5" s="28"/>
      <c r="TAJ5" s="28"/>
      <c r="TAK5" s="28"/>
      <c r="TAL5" s="28"/>
      <c r="TAM5" s="28"/>
      <c r="TAN5" s="28"/>
      <c r="TAO5" s="28"/>
      <c r="TAP5" s="28"/>
      <c r="TAQ5" s="28"/>
      <c r="TAR5" s="28"/>
      <c r="TAS5" s="28"/>
      <c r="TAT5" s="28"/>
      <c r="TAU5" s="28"/>
      <c r="TAV5" s="28"/>
      <c r="TAW5" s="28"/>
      <c r="TAX5" s="28"/>
      <c r="TAY5" s="28"/>
      <c r="TAZ5" s="28"/>
      <c r="TBA5" s="28"/>
      <c r="TBB5" s="28"/>
      <c r="TBC5" s="28"/>
      <c r="TBD5" s="28"/>
      <c r="TBE5" s="28"/>
      <c r="TBF5" s="28"/>
      <c r="TBG5" s="28"/>
      <c r="TBH5" s="28"/>
      <c r="TBI5" s="28"/>
      <c r="TBJ5" s="28"/>
      <c r="TBK5" s="28"/>
      <c r="TBL5" s="28"/>
      <c r="TBM5" s="28"/>
      <c r="TBN5" s="28"/>
      <c r="TBO5" s="28"/>
      <c r="TBP5" s="28"/>
      <c r="TBQ5" s="28"/>
      <c r="TBR5" s="28"/>
      <c r="TBS5" s="28"/>
      <c r="TBT5" s="28"/>
      <c r="TBU5" s="28"/>
      <c r="TBV5" s="28"/>
      <c r="TBW5" s="28"/>
      <c r="TBX5" s="28"/>
      <c r="TBY5" s="28"/>
      <c r="TBZ5" s="28"/>
      <c r="TCA5" s="28"/>
      <c r="TCB5" s="28"/>
      <c r="TCC5" s="28"/>
      <c r="TCD5" s="28"/>
      <c r="TCE5" s="28"/>
      <c r="TCF5" s="28"/>
      <c r="TCG5" s="28"/>
      <c r="TCH5" s="28"/>
      <c r="TCI5" s="28"/>
      <c r="TCJ5" s="28"/>
      <c r="TCK5" s="28"/>
      <c r="TCL5" s="28"/>
      <c r="TCM5" s="28"/>
      <c r="TCN5" s="28"/>
      <c r="TCO5" s="28"/>
      <c r="TCP5" s="28"/>
      <c r="TCQ5" s="28"/>
      <c r="TCR5" s="28"/>
      <c r="TCS5" s="28"/>
      <c r="TCT5" s="28"/>
      <c r="TCU5" s="28"/>
      <c r="TCV5" s="28"/>
      <c r="TCW5" s="28"/>
      <c r="TCX5" s="28"/>
      <c r="TCY5" s="28"/>
      <c r="TCZ5" s="28"/>
      <c r="TDA5" s="28"/>
      <c r="TDB5" s="28"/>
      <c r="TDC5" s="28"/>
      <c r="TDD5" s="28"/>
      <c r="TDE5" s="28"/>
      <c r="TDF5" s="28"/>
      <c r="TDG5" s="28"/>
      <c r="TDH5" s="28"/>
      <c r="TDI5" s="28"/>
      <c r="TDJ5" s="28"/>
      <c r="TDK5" s="28"/>
      <c r="TDL5" s="28"/>
      <c r="TDM5" s="28"/>
      <c r="TDN5" s="28"/>
      <c r="TDO5" s="28"/>
      <c r="TDP5" s="28"/>
      <c r="TDQ5" s="28"/>
      <c r="TDR5" s="28"/>
      <c r="TDS5" s="28"/>
      <c r="TDT5" s="28"/>
      <c r="TDU5" s="28"/>
      <c r="TDV5" s="28"/>
      <c r="TDW5" s="28"/>
      <c r="TDX5" s="28"/>
      <c r="TDY5" s="28"/>
      <c r="TDZ5" s="28"/>
      <c r="TEA5" s="28"/>
      <c r="TEB5" s="28"/>
      <c r="TEC5" s="28"/>
      <c r="TED5" s="28"/>
      <c r="TEE5" s="28"/>
      <c r="TEF5" s="28"/>
      <c r="TEG5" s="28"/>
      <c r="TEH5" s="28"/>
      <c r="TEI5" s="28"/>
      <c r="TEJ5" s="28"/>
      <c r="TEK5" s="28"/>
      <c r="TEL5" s="28"/>
      <c r="TEM5" s="28"/>
      <c r="TEN5" s="28"/>
      <c r="TEO5" s="28"/>
      <c r="TEP5" s="28"/>
      <c r="TEQ5" s="28"/>
      <c r="TER5" s="28"/>
      <c r="TES5" s="28"/>
      <c r="TET5" s="28"/>
      <c r="TEU5" s="28"/>
      <c r="TEV5" s="28"/>
      <c r="TEW5" s="28"/>
      <c r="TEX5" s="28"/>
      <c r="TEY5" s="28"/>
      <c r="TEZ5" s="28"/>
      <c r="TFA5" s="28"/>
      <c r="TFB5" s="28"/>
      <c r="TFC5" s="28"/>
      <c r="TFD5" s="28"/>
      <c r="TFE5" s="28"/>
      <c r="TFF5" s="28"/>
      <c r="TFG5" s="28"/>
      <c r="TFH5" s="28"/>
      <c r="TFI5" s="28"/>
      <c r="TFJ5" s="28"/>
      <c r="TFK5" s="28"/>
      <c r="TFL5" s="28"/>
      <c r="TFM5" s="28"/>
      <c r="TFN5" s="28"/>
      <c r="TFO5" s="28"/>
      <c r="TFP5" s="28"/>
      <c r="TFQ5" s="28"/>
      <c r="TFR5" s="28"/>
      <c r="TFS5" s="28"/>
      <c r="TFT5" s="28"/>
      <c r="TFU5" s="28"/>
      <c r="TFV5" s="28"/>
      <c r="TFW5" s="28"/>
      <c r="TFX5" s="28"/>
      <c r="TFY5" s="28"/>
      <c r="TFZ5" s="28"/>
      <c r="TGA5" s="28"/>
      <c r="TGB5" s="28"/>
      <c r="TGC5" s="28"/>
      <c r="TGD5" s="28"/>
      <c r="TGE5" s="28"/>
      <c r="TGF5" s="28"/>
      <c r="TGG5" s="28"/>
      <c r="TGH5" s="28"/>
      <c r="TGI5" s="28"/>
      <c r="TGJ5" s="28"/>
      <c r="TGK5" s="28"/>
      <c r="TGL5" s="28"/>
      <c r="TGM5" s="28"/>
      <c r="TGN5" s="28"/>
      <c r="TGO5" s="28"/>
      <c r="TGP5" s="28"/>
      <c r="TGQ5" s="28"/>
      <c r="TGR5" s="28"/>
      <c r="TGS5" s="28"/>
      <c r="TGT5" s="28"/>
      <c r="TGU5" s="28"/>
      <c r="TGV5" s="28"/>
      <c r="TGW5" s="28"/>
      <c r="TGX5" s="28"/>
      <c r="TGY5" s="28"/>
      <c r="TGZ5" s="28"/>
      <c r="THA5" s="28"/>
      <c r="THB5" s="28"/>
      <c r="THC5" s="28"/>
      <c r="THD5" s="28"/>
      <c r="THE5" s="28"/>
      <c r="THF5" s="28"/>
      <c r="THG5" s="28"/>
      <c r="THH5" s="28"/>
      <c r="THI5" s="28"/>
      <c r="THJ5" s="28"/>
      <c r="THK5" s="28"/>
      <c r="THL5" s="28"/>
      <c r="THM5" s="28"/>
      <c r="THN5" s="28"/>
      <c r="THO5" s="28"/>
      <c r="THP5" s="28"/>
      <c r="THQ5" s="28"/>
      <c r="THR5" s="28"/>
      <c r="THS5" s="28"/>
      <c r="THT5" s="28"/>
      <c r="THU5" s="28"/>
      <c r="THV5" s="28"/>
      <c r="THW5" s="28"/>
      <c r="THX5" s="28"/>
      <c r="THY5" s="28"/>
      <c r="THZ5" s="28"/>
      <c r="TIA5" s="28"/>
      <c r="TIB5" s="28"/>
      <c r="TIC5" s="28"/>
      <c r="TID5" s="28"/>
      <c r="TIE5" s="28"/>
      <c r="TIF5" s="28"/>
      <c r="TIG5" s="28"/>
      <c r="TIH5" s="28"/>
      <c r="TII5" s="28"/>
      <c r="TIJ5" s="28"/>
      <c r="TIK5" s="28"/>
      <c r="TIL5" s="28"/>
      <c r="TIM5" s="28"/>
      <c r="TIN5" s="28"/>
      <c r="TIO5" s="28"/>
      <c r="TIP5" s="28"/>
      <c r="TIQ5" s="28"/>
      <c r="TIR5" s="28"/>
      <c r="TIS5" s="28"/>
      <c r="TIT5" s="28"/>
      <c r="TIU5" s="28"/>
      <c r="TIV5" s="28"/>
      <c r="TIW5" s="28"/>
      <c r="TIX5" s="28"/>
      <c r="TIY5" s="28"/>
      <c r="TIZ5" s="28"/>
      <c r="TJA5" s="28"/>
      <c r="TJB5" s="28"/>
      <c r="TJC5" s="28"/>
      <c r="TJD5" s="28"/>
      <c r="TJE5" s="28"/>
      <c r="TJF5" s="28"/>
      <c r="TJG5" s="28"/>
      <c r="TJH5" s="28"/>
      <c r="TJI5" s="28"/>
      <c r="TJJ5" s="28"/>
      <c r="TJK5" s="28"/>
      <c r="TJL5" s="28"/>
      <c r="TJM5" s="28"/>
      <c r="TJN5" s="28"/>
      <c r="TJO5" s="28"/>
      <c r="TJP5" s="28"/>
      <c r="TJQ5" s="28"/>
      <c r="TJR5" s="28"/>
      <c r="TJS5" s="28"/>
      <c r="TJT5" s="28"/>
      <c r="TJU5" s="28"/>
      <c r="TJV5" s="28"/>
      <c r="TJW5" s="28"/>
      <c r="TJX5" s="28"/>
      <c r="TJY5" s="28"/>
      <c r="TJZ5" s="28"/>
      <c r="TKA5" s="28"/>
      <c r="TKB5" s="28"/>
      <c r="TKC5" s="28"/>
      <c r="TKD5" s="28"/>
      <c r="TKE5" s="28"/>
      <c r="TKF5" s="28"/>
      <c r="TKG5" s="28"/>
      <c r="TKH5" s="28"/>
      <c r="TKI5" s="28"/>
      <c r="TKJ5" s="28"/>
      <c r="TKK5" s="28"/>
      <c r="TKL5" s="28"/>
      <c r="TKM5" s="28"/>
      <c r="TKN5" s="28"/>
      <c r="TKO5" s="28"/>
      <c r="TKP5" s="28"/>
      <c r="TKQ5" s="28"/>
      <c r="TKR5" s="28"/>
      <c r="TKS5" s="28"/>
      <c r="TKT5" s="28"/>
      <c r="TKU5" s="28"/>
      <c r="TKV5" s="28"/>
      <c r="TKW5" s="28"/>
      <c r="TKX5" s="28"/>
      <c r="TKY5" s="28"/>
      <c r="TKZ5" s="28"/>
      <c r="TLA5" s="28"/>
      <c r="TLB5" s="28"/>
      <c r="TLC5" s="28"/>
      <c r="TLD5" s="28"/>
      <c r="TLE5" s="28"/>
      <c r="TLF5" s="28"/>
      <c r="TLG5" s="28"/>
      <c r="TLH5" s="28"/>
      <c r="TLI5" s="28"/>
      <c r="TLJ5" s="28"/>
      <c r="TLK5" s="28"/>
      <c r="TLL5" s="28"/>
      <c r="TLM5" s="28"/>
      <c r="TLN5" s="28"/>
      <c r="TLO5" s="28"/>
      <c r="TLP5" s="28"/>
      <c r="TLQ5" s="28"/>
      <c r="TLR5" s="28"/>
      <c r="TLS5" s="28"/>
      <c r="TLT5" s="28"/>
      <c r="TLU5" s="28"/>
      <c r="TLV5" s="28"/>
      <c r="TLW5" s="28"/>
      <c r="TLX5" s="28"/>
      <c r="TLY5" s="28"/>
      <c r="TLZ5" s="28"/>
      <c r="TMA5" s="28"/>
      <c r="TMB5" s="28"/>
      <c r="TMC5" s="28"/>
      <c r="TMD5" s="28"/>
      <c r="TME5" s="28"/>
      <c r="TMF5" s="28"/>
      <c r="TMG5" s="28"/>
      <c r="TMH5" s="28"/>
      <c r="TMI5" s="28"/>
      <c r="TMJ5" s="28"/>
      <c r="TMK5" s="28"/>
      <c r="TML5" s="28"/>
      <c r="TMM5" s="28"/>
      <c r="TMN5" s="28"/>
      <c r="TMO5" s="28"/>
      <c r="TMP5" s="28"/>
      <c r="TMQ5" s="28"/>
      <c r="TMR5" s="28"/>
      <c r="TMS5" s="28"/>
      <c r="TMT5" s="28"/>
      <c r="TMU5" s="28"/>
      <c r="TMV5" s="28"/>
      <c r="TMW5" s="28"/>
      <c r="TMX5" s="28"/>
      <c r="TMY5" s="28"/>
      <c r="TMZ5" s="28"/>
      <c r="TNA5" s="28"/>
      <c r="TNB5" s="28"/>
      <c r="TNC5" s="28"/>
      <c r="TND5" s="28"/>
      <c r="TNE5" s="28"/>
      <c r="TNF5" s="28"/>
      <c r="TNG5" s="28"/>
      <c r="TNH5" s="28"/>
      <c r="TNI5" s="28"/>
      <c r="TNJ5" s="28"/>
      <c r="TNK5" s="28"/>
      <c r="TNL5" s="28"/>
      <c r="TNM5" s="28"/>
      <c r="TNN5" s="28"/>
      <c r="TNO5" s="28"/>
      <c r="TNP5" s="28"/>
      <c r="TNQ5" s="28"/>
      <c r="TNR5" s="28"/>
      <c r="TNS5" s="28"/>
      <c r="TNT5" s="28"/>
      <c r="TNU5" s="28"/>
      <c r="TNV5" s="28"/>
      <c r="TNW5" s="28"/>
      <c r="TNX5" s="28"/>
      <c r="TNY5" s="28"/>
      <c r="TNZ5" s="28"/>
      <c r="TOA5" s="28"/>
      <c r="TOB5" s="28"/>
      <c r="TOC5" s="28"/>
      <c r="TOD5" s="28"/>
      <c r="TOE5" s="28"/>
      <c r="TOF5" s="28"/>
      <c r="TOG5" s="28"/>
      <c r="TOH5" s="28"/>
      <c r="TOI5" s="28"/>
      <c r="TOJ5" s="28"/>
      <c r="TOK5" s="28"/>
      <c r="TOL5" s="28"/>
      <c r="TOM5" s="28"/>
      <c r="TON5" s="28"/>
      <c r="TOO5" s="28"/>
      <c r="TOP5" s="28"/>
      <c r="TOQ5" s="28"/>
      <c r="TOR5" s="28"/>
      <c r="TOS5" s="28"/>
      <c r="TOT5" s="28"/>
      <c r="TOU5" s="28"/>
      <c r="TOV5" s="28"/>
      <c r="TOW5" s="28"/>
      <c r="TOX5" s="28"/>
      <c r="TOY5" s="28"/>
      <c r="TOZ5" s="28"/>
      <c r="TPA5" s="28"/>
      <c r="TPB5" s="28"/>
      <c r="TPC5" s="28"/>
      <c r="TPD5" s="28"/>
      <c r="TPE5" s="28"/>
      <c r="TPF5" s="28"/>
      <c r="TPG5" s="28"/>
      <c r="TPH5" s="28"/>
      <c r="TPI5" s="28"/>
      <c r="TPJ5" s="28"/>
      <c r="TPK5" s="28"/>
      <c r="TPL5" s="28"/>
      <c r="TPM5" s="28"/>
      <c r="TPN5" s="28"/>
      <c r="TPO5" s="28"/>
      <c r="TPP5" s="28"/>
      <c r="TPQ5" s="28"/>
      <c r="TPR5" s="28"/>
      <c r="TPS5" s="28"/>
      <c r="TPT5" s="28"/>
      <c r="TPU5" s="28"/>
      <c r="TPV5" s="28"/>
      <c r="TPW5" s="28"/>
      <c r="TPX5" s="28"/>
      <c r="TPY5" s="28"/>
      <c r="TPZ5" s="28"/>
      <c r="TQA5" s="28"/>
      <c r="TQB5" s="28"/>
      <c r="TQC5" s="28"/>
      <c r="TQD5" s="28"/>
      <c r="TQE5" s="28"/>
      <c r="TQF5" s="28"/>
      <c r="TQG5" s="28"/>
      <c r="TQH5" s="28"/>
      <c r="TQI5" s="28"/>
      <c r="TQJ5" s="28"/>
      <c r="TQK5" s="28"/>
      <c r="TQL5" s="28"/>
      <c r="TQM5" s="28"/>
      <c r="TQN5" s="28"/>
      <c r="TQO5" s="28"/>
      <c r="TQP5" s="28"/>
      <c r="TQQ5" s="28"/>
      <c r="TQR5" s="28"/>
      <c r="TQS5" s="28"/>
      <c r="TQT5" s="28"/>
      <c r="TQU5" s="28"/>
      <c r="TQV5" s="28"/>
      <c r="TQW5" s="28"/>
      <c r="TQX5" s="28"/>
      <c r="TQY5" s="28"/>
      <c r="TQZ5" s="28"/>
      <c r="TRA5" s="28"/>
      <c r="TRB5" s="28"/>
      <c r="TRC5" s="28"/>
      <c r="TRD5" s="28"/>
      <c r="TRE5" s="28"/>
      <c r="TRF5" s="28"/>
      <c r="TRG5" s="28"/>
      <c r="TRH5" s="28"/>
      <c r="TRI5" s="28"/>
      <c r="TRJ5" s="28"/>
      <c r="TRK5" s="28"/>
      <c r="TRL5" s="28"/>
      <c r="TRM5" s="28"/>
      <c r="TRN5" s="28"/>
      <c r="TRO5" s="28"/>
      <c r="TRP5" s="28"/>
      <c r="TRQ5" s="28"/>
      <c r="TRR5" s="28"/>
      <c r="TRS5" s="28"/>
      <c r="TRT5" s="28"/>
      <c r="TRU5" s="28"/>
      <c r="TRV5" s="28"/>
      <c r="TRW5" s="28"/>
      <c r="TRX5" s="28"/>
      <c r="TRY5" s="28"/>
      <c r="TRZ5" s="28"/>
      <c r="TSA5" s="28"/>
      <c r="TSB5" s="28"/>
      <c r="TSC5" s="28"/>
      <c r="TSD5" s="28"/>
      <c r="TSE5" s="28"/>
      <c r="TSF5" s="28"/>
      <c r="TSG5" s="28"/>
      <c r="TSH5" s="28"/>
      <c r="TSI5" s="28"/>
      <c r="TSJ5" s="28"/>
      <c r="TSK5" s="28"/>
      <c r="TSL5" s="28"/>
      <c r="TSM5" s="28"/>
      <c r="TSN5" s="28"/>
      <c r="TSO5" s="28"/>
      <c r="TSP5" s="28"/>
      <c r="TSQ5" s="28"/>
      <c r="TSR5" s="28"/>
      <c r="TSS5" s="28"/>
      <c r="TST5" s="28"/>
      <c r="TSU5" s="28"/>
      <c r="TSV5" s="28"/>
      <c r="TSW5" s="28"/>
      <c r="TSX5" s="28"/>
      <c r="TSY5" s="28"/>
      <c r="TSZ5" s="28"/>
      <c r="TTA5" s="28"/>
      <c r="TTB5" s="28"/>
      <c r="TTC5" s="28"/>
      <c r="TTD5" s="28"/>
      <c r="TTE5" s="28"/>
      <c r="TTF5" s="28"/>
      <c r="TTG5" s="28"/>
      <c r="TTH5" s="28"/>
      <c r="TTI5" s="28"/>
      <c r="TTJ5" s="28"/>
      <c r="TTK5" s="28"/>
      <c r="TTL5" s="28"/>
      <c r="TTM5" s="28"/>
      <c r="TTN5" s="28"/>
      <c r="TTO5" s="28"/>
      <c r="TTP5" s="28"/>
      <c r="TTQ5" s="28"/>
      <c r="TTR5" s="28"/>
      <c r="TTS5" s="28"/>
      <c r="TTT5" s="28"/>
      <c r="TTU5" s="28"/>
      <c r="TTV5" s="28"/>
      <c r="TTW5" s="28"/>
      <c r="TTX5" s="28"/>
      <c r="TTY5" s="28"/>
      <c r="TTZ5" s="28"/>
      <c r="TUA5" s="28"/>
      <c r="TUB5" s="28"/>
      <c r="TUC5" s="28"/>
      <c r="TUD5" s="28"/>
      <c r="TUE5" s="28"/>
      <c r="TUF5" s="28"/>
      <c r="TUG5" s="28"/>
      <c r="TUH5" s="28"/>
      <c r="TUI5" s="28"/>
      <c r="TUJ5" s="28"/>
      <c r="TUK5" s="28"/>
      <c r="TUL5" s="28"/>
      <c r="TUM5" s="28"/>
      <c r="TUN5" s="28"/>
      <c r="TUO5" s="28"/>
      <c r="TUP5" s="28"/>
      <c r="TUQ5" s="28"/>
      <c r="TUR5" s="28"/>
      <c r="TUS5" s="28"/>
      <c r="TUT5" s="28"/>
      <c r="TUU5" s="28"/>
      <c r="TUV5" s="28"/>
      <c r="TUW5" s="28"/>
      <c r="TUX5" s="28"/>
      <c r="TUY5" s="28"/>
      <c r="TUZ5" s="28"/>
      <c r="TVA5" s="28"/>
      <c r="TVB5" s="28"/>
      <c r="TVC5" s="28"/>
      <c r="TVD5" s="28"/>
      <c r="TVE5" s="28"/>
      <c r="TVF5" s="28"/>
      <c r="TVG5" s="28"/>
      <c r="TVH5" s="28"/>
      <c r="TVI5" s="28"/>
      <c r="TVJ5" s="28"/>
      <c r="TVK5" s="28"/>
      <c r="TVL5" s="28"/>
      <c r="TVM5" s="28"/>
      <c r="TVN5" s="28"/>
      <c r="TVO5" s="28"/>
      <c r="TVP5" s="28"/>
      <c r="TVQ5" s="28"/>
      <c r="TVR5" s="28"/>
      <c r="TVS5" s="28"/>
      <c r="TVT5" s="28"/>
      <c r="TVU5" s="28"/>
      <c r="TVV5" s="28"/>
      <c r="TVW5" s="28"/>
      <c r="TVX5" s="28"/>
      <c r="TVY5" s="28"/>
      <c r="TVZ5" s="28"/>
      <c r="TWA5" s="28"/>
      <c r="TWB5" s="28"/>
      <c r="TWC5" s="28"/>
      <c r="TWD5" s="28"/>
      <c r="TWE5" s="28"/>
      <c r="TWF5" s="28"/>
      <c r="TWG5" s="28"/>
      <c r="TWH5" s="28"/>
      <c r="TWI5" s="28"/>
      <c r="TWJ5" s="28"/>
      <c r="TWK5" s="28"/>
      <c r="TWL5" s="28"/>
      <c r="TWM5" s="28"/>
      <c r="TWN5" s="28"/>
      <c r="TWO5" s="28"/>
      <c r="TWP5" s="28"/>
      <c r="TWQ5" s="28"/>
      <c r="TWR5" s="28"/>
      <c r="TWS5" s="28"/>
      <c r="TWT5" s="28"/>
      <c r="TWU5" s="28"/>
      <c r="TWV5" s="28"/>
      <c r="TWW5" s="28"/>
      <c r="TWX5" s="28"/>
      <c r="TWY5" s="28"/>
      <c r="TWZ5" s="28"/>
      <c r="TXA5" s="28"/>
      <c r="TXB5" s="28"/>
      <c r="TXC5" s="28"/>
      <c r="TXD5" s="28"/>
      <c r="TXE5" s="28"/>
      <c r="TXF5" s="28"/>
      <c r="TXG5" s="28"/>
      <c r="TXH5" s="28"/>
      <c r="TXI5" s="28"/>
      <c r="TXJ5" s="28"/>
      <c r="TXK5" s="28"/>
      <c r="TXL5" s="28"/>
      <c r="TXM5" s="28"/>
      <c r="TXN5" s="28"/>
      <c r="TXO5" s="28"/>
      <c r="TXP5" s="28"/>
      <c r="TXQ5" s="28"/>
      <c r="TXR5" s="28"/>
      <c r="TXS5" s="28"/>
      <c r="TXT5" s="28"/>
      <c r="TXU5" s="28"/>
      <c r="TXV5" s="28"/>
      <c r="TXW5" s="28"/>
      <c r="TXX5" s="28"/>
      <c r="TXY5" s="28"/>
      <c r="TXZ5" s="28"/>
      <c r="TYA5" s="28"/>
      <c r="TYB5" s="28"/>
      <c r="TYC5" s="28"/>
      <c r="TYD5" s="28"/>
      <c r="TYE5" s="28"/>
      <c r="TYF5" s="28"/>
      <c r="TYG5" s="28"/>
      <c r="TYH5" s="28"/>
      <c r="TYI5" s="28"/>
      <c r="TYJ5" s="28"/>
      <c r="TYK5" s="28"/>
      <c r="TYL5" s="28"/>
      <c r="TYM5" s="28"/>
      <c r="TYN5" s="28"/>
      <c r="TYO5" s="28"/>
      <c r="TYP5" s="28"/>
      <c r="TYQ5" s="28"/>
      <c r="TYR5" s="28"/>
      <c r="TYS5" s="28"/>
      <c r="TYT5" s="28"/>
      <c r="TYU5" s="28"/>
      <c r="TYV5" s="28"/>
      <c r="TYW5" s="28"/>
      <c r="TYX5" s="28"/>
      <c r="TYY5" s="28"/>
      <c r="TYZ5" s="28"/>
      <c r="TZA5" s="28"/>
      <c r="TZB5" s="28"/>
      <c r="TZC5" s="28"/>
      <c r="TZD5" s="28"/>
      <c r="TZE5" s="28"/>
      <c r="TZF5" s="28"/>
      <c r="TZG5" s="28"/>
      <c r="TZH5" s="28"/>
      <c r="TZI5" s="28"/>
      <c r="TZJ5" s="28"/>
      <c r="TZK5" s="28"/>
      <c r="TZL5" s="28"/>
      <c r="TZM5" s="28"/>
      <c r="TZN5" s="28"/>
      <c r="TZO5" s="28"/>
      <c r="TZP5" s="28"/>
      <c r="TZQ5" s="28"/>
      <c r="TZR5" s="28"/>
      <c r="TZS5" s="28"/>
      <c r="TZT5" s="28"/>
      <c r="TZU5" s="28"/>
      <c r="TZV5" s="28"/>
      <c r="TZW5" s="28"/>
      <c r="TZX5" s="28"/>
      <c r="TZY5" s="28"/>
      <c r="TZZ5" s="28"/>
      <c r="UAA5" s="28"/>
      <c r="UAB5" s="28"/>
      <c r="UAC5" s="28"/>
      <c r="UAD5" s="28"/>
      <c r="UAE5" s="28"/>
      <c r="UAF5" s="28"/>
      <c r="UAG5" s="28"/>
      <c r="UAH5" s="28"/>
      <c r="UAI5" s="28"/>
      <c r="UAJ5" s="28"/>
      <c r="UAK5" s="28"/>
      <c r="UAL5" s="28"/>
      <c r="UAM5" s="28"/>
      <c r="UAN5" s="28"/>
      <c r="UAO5" s="28"/>
      <c r="UAP5" s="28"/>
      <c r="UAQ5" s="28"/>
      <c r="UAR5" s="28"/>
      <c r="UAS5" s="28"/>
      <c r="UAT5" s="28"/>
      <c r="UAU5" s="28"/>
      <c r="UAV5" s="28"/>
      <c r="UAW5" s="28"/>
      <c r="UAX5" s="28"/>
      <c r="UAY5" s="28"/>
      <c r="UAZ5" s="28"/>
      <c r="UBA5" s="28"/>
      <c r="UBB5" s="28"/>
      <c r="UBC5" s="28"/>
      <c r="UBD5" s="28"/>
      <c r="UBE5" s="28"/>
      <c r="UBF5" s="28"/>
      <c r="UBG5" s="28"/>
      <c r="UBH5" s="28"/>
      <c r="UBI5" s="28"/>
      <c r="UBJ5" s="28"/>
      <c r="UBK5" s="28"/>
      <c r="UBL5" s="28"/>
      <c r="UBM5" s="28"/>
      <c r="UBN5" s="28"/>
      <c r="UBO5" s="28"/>
      <c r="UBP5" s="28"/>
      <c r="UBQ5" s="28"/>
      <c r="UBR5" s="28"/>
      <c r="UBS5" s="28"/>
      <c r="UBT5" s="28"/>
      <c r="UBU5" s="28"/>
      <c r="UBV5" s="28"/>
      <c r="UBW5" s="28"/>
      <c r="UBX5" s="28"/>
      <c r="UBY5" s="28"/>
      <c r="UBZ5" s="28"/>
      <c r="UCA5" s="28"/>
      <c r="UCB5" s="28"/>
      <c r="UCC5" s="28"/>
      <c r="UCD5" s="28"/>
      <c r="UCE5" s="28"/>
      <c r="UCF5" s="28"/>
      <c r="UCG5" s="28"/>
      <c r="UCH5" s="28"/>
      <c r="UCI5" s="28"/>
      <c r="UCJ5" s="28"/>
      <c r="UCK5" s="28"/>
      <c r="UCL5" s="28"/>
      <c r="UCM5" s="28"/>
      <c r="UCN5" s="28"/>
      <c r="UCO5" s="28"/>
      <c r="UCP5" s="28"/>
      <c r="UCQ5" s="28"/>
      <c r="UCR5" s="28"/>
      <c r="UCS5" s="28"/>
      <c r="UCT5" s="28"/>
      <c r="UCU5" s="28"/>
      <c r="UCV5" s="28"/>
      <c r="UCW5" s="28"/>
      <c r="UCX5" s="28"/>
      <c r="UCY5" s="28"/>
      <c r="UCZ5" s="28"/>
      <c r="UDA5" s="28"/>
      <c r="UDB5" s="28"/>
      <c r="UDC5" s="28"/>
      <c r="UDD5" s="28"/>
      <c r="UDE5" s="28"/>
      <c r="UDF5" s="28"/>
      <c r="UDG5" s="28"/>
      <c r="UDH5" s="28"/>
      <c r="UDI5" s="28"/>
      <c r="UDJ5" s="28"/>
      <c r="UDK5" s="28"/>
      <c r="UDL5" s="28"/>
      <c r="UDM5" s="28"/>
      <c r="UDN5" s="28"/>
      <c r="UDO5" s="28"/>
      <c r="UDP5" s="28"/>
      <c r="UDQ5" s="28"/>
      <c r="UDR5" s="28"/>
      <c r="UDS5" s="28"/>
      <c r="UDT5" s="28"/>
      <c r="UDU5" s="28"/>
      <c r="UDV5" s="28"/>
      <c r="UDW5" s="28"/>
      <c r="UDX5" s="28"/>
      <c r="UDY5" s="28"/>
      <c r="UDZ5" s="28"/>
      <c r="UEA5" s="28"/>
      <c r="UEB5" s="28"/>
      <c r="UEC5" s="28"/>
      <c r="UED5" s="28"/>
      <c r="UEE5" s="28"/>
      <c r="UEF5" s="28"/>
      <c r="UEG5" s="28"/>
      <c r="UEH5" s="28"/>
      <c r="UEI5" s="28"/>
      <c r="UEJ5" s="28"/>
      <c r="UEK5" s="28"/>
      <c r="UEL5" s="28"/>
      <c r="UEM5" s="28"/>
      <c r="UEN5" s="28"/>
      <c r="UEO5" s="28"/>
      <c r="UEP5" s="28"/>
      <c r="UEQ5" s="28"/>
      <c r="UER5" s="28"/>
      <c r="UES5" s="28"/>
      <c r="UET5" s="28"/>
      <c r="UEU5" s="28"/>
      <c r="UEV5" s="28"/>
      <c r="UEW5" s="28"/>
      <c r="UEX5" s="28"/>
      <c r="UEY5" s="28"/>
      <c r="UEZ5" s="28"/>
      <c r="UFA5" s="28"/>
      <c r="UFB5" s="28"/>
      <c r="UFC5" s="28"/>
      <c r="UFD5" s="28"/>
      <c r="UFE5" s="28"/>
      <c r="UFF5" s="28"/>
      <c r="UFG5" s="28"/>
      <c r="UFH5" s="28"/>
      <c r="UFI5" s="28"/>
      <c r="UFJ5" s="28"/>
      <c r="UFK5" s="28"/>
      <c r="UFL5" s="28"/>
      <c r="UFM5" s="28"/>
      <c r="UFN5" s="28"/>
      <c r="UFO5" s="28"/>
      <c r="UFP5" s="28"/>
      <c r="UFQ5" s="28"/>
      <c r="UFR5" s="28"/>
      <c r="UFS5" s="28"/>
      <c r="UFT5" s="28"/>
      <c r="UFU5" s="28"/>
      <c r="UFV5" s="28"/>
      <c r="UFW5" s="28"/>
      <c r="UFX5" s="28"/>
      <c r="UFY5" s="28"/>
      <c r="UFZ5" s="28"/>
      <c r="UGA5" s="28"/>
      <c r="UGB5" s="28"/>
      <c r="UGC5" s="28"/>
      <c r="UGD5" s="28"/>
      <c r="UGE5" s="28"/>
      <c r="UGF5" s="28"/>
      <c r="UGG5" s="28"/>
      <c r="UGH5" s="28"/>
      <c r="UGI5" s="28"/>
      <c r="UGJ5" s="28"/>
      <c r="UGK5" s="28"/>
      <c r="UGL5" s="28"/>
      <c r="UGM5" s="28"/>
      <c r="UGN5" s="28"/>
      <c r="UGO5" s="28"/>
      <c r="UGP5" s="28"/>
      <c r="UGQ5" s="28"/>
      <c r="UGR5" s="28"/>
      <c r="UGS5" s="28"/>
      <c r="UGT5" s="28"/>
      <c r="UGU5" s="28"/>
      <c r="UGV5" s="28"/>
      <c r="UGW5" s="28"/>
      <c r="UGX5" s="28"/>
      <c r="UGY5" s="28"/>
      <c r="UGZ5" s="28"/>
      <c r="UHA5" s="28"/>
      <c r="UHB5" s="28"/>
      <c r="UHC5" s="28"/>
      <c r="UHD5" s="28"/>
      <c r="UHE5" s="28"/>
      <c r="UHF5" s="28"/>
      <c r="UHG5" s="28"/>
      <c r="UHH5" s="28"/>
      <c r="UHI5" s="28"/>
      <c r="UHJ5" s="28"/>
      <c r="UHK5" s="28"/>
      <c r="UHL5" s="28"/>
      <c r="UHM5" s="28"/>
      <c r="UHN5" s="28"/>
      <c r="UHO5" s="28"/>
      <c r="UHP5" s="28"/>
      <c r="UHQ5" s="28"/>
      <c r="UHR5" s="28"/>
      <c r="UHS5" s="28"/>
      <c r="UHT5" s="28"/>
      <c r="UHU5" s="28"/>
      <c r="UHV5" s="28"/>
      <c r="UHW5" s="28"/>
      <c r="UHX5" s="28"/>
      <c r="UHY5" s="28"/>
      <c r="UHZ5" s="28"/>
      <c r="UIA5" s="28"/>
      <c r="UIB5" s="28"/>
      <c r="UIC5" s="28"/>
      <c r="UID5" s="28"/>
      <c r="UIE5" s="28"/>
      <c r="UIF5" s="28"/>
      <c r="UIG5" s="28"/>
      <c r="UIH5" s="28"/>
      <c r="UII5" s="28"/>
      <c r="UIJ5" s="28"/>
      <c r="UIK5" s="28"/>
      <c r="UIL5" s="28"/>
      <c r="UIM5" s="28"/>
      <c r="UIN5" s="28"/>
      <c r="UIO5" s="28"/>
      <c r="UIP5" s="28"/>
      <c r="UIQ5" s="28"/>
      <c r="UIR5" s="28"/>
      <c r="UIS5" s="28"/>
      <c r="UIT5" s="28"/>
      <c r="UIU5" s="28"/>
      <c r="UIV5" s="28"/>
      <c r="UIW5" s="28"/>
      <c r="UIX5" s="28"/>
      <c r="UIY5" s="28"/>
      <c r="UIZ5" s="28"/>
      <c r="UJA5" s="28"/>
      <c r="UJB5" s="28"/>
      <c r="UJC5" s="28"/>
      <c r="UJD5" s="28"/>
      <c r="UJE5" s="28"/>
      <c r="UJF5" s="28"/>
      <c r="UJG5" s="28"/>
      <c r="UJH5" s="28"/>
      <c r="UJI5" s="28"/>
      <c r="UJJ5" s="28"/>
      <c r="UJK5" s="28"/>
      <c r="UJL5" s="28"/>
      <c r="UJM5" s="28"/>
      <c r="UJN5" s="28"/>
      <c r="UJO5" s="28"/>
      <c r="UJP5" s="28"/>
      <c r="UJQ5" s="28"/>
      <c r="UJR5" s="28"/>
      <c r="UJS5" s="28"/>
      <c r="UJT5" s="28"/>
      <c r="UJU5" s="28"/>
      <c r="UJV5" s="28"/>
      <c r="UJW5" s="28"/>
      <c r="UJX5" s="28"/>
      <c r="UJY5" s="28"/>
      <c r="UJZ5" s="28"/>
      <c r="UKA5" s="28"/>
      <c r="UKB5" s="28"/>
      <c r="UKC5" s="28"/>
      <c r="UKD5" s="28"/>
      <c r="UKE5" s="28"/>
      <c r="UKF5" s="28"/>
      <c r="UKG5" s="28"/>
      <c r="UKH5" s="28"/>
      <c r="UKI5" s="28"/>
      <c r="UKJ5" s="28"/>
      <c r="UKK5" s="28"/>
      <c r="UKL5" s="28"/>
      <c r="UKM5" s="28"/>
      <c r="UKN5" s="28"/>
      <c r="UKO5" s="28"/>
      <c r="UKP5" s="28"/>
      <c r="UKQ5" s="28"/>
      <c r="UKR5" s="28"/>
      <c r="UKS5" s="28"/>
      <c r="UKT5" s="28"/>
      <c r="UKU5" s="28"/>
      <c r="UKV5" s="28"/>
      <c r="UKW5" s="28"/>
      <c r="UKX5" s="28"/>
      <c r="UKY5" s="28"/>
      <c r="UKZ5" s="28"/>
      <c r="ULA5" s="28"/>
      <c r="ULB5" s="28"/>
      <c r="ULC5" s="28"/>
      <c r="ULD5" s="28"/>
      <c r="ULE5" s="28"/>
      <c r="ULF5" s="28"/>
      <c r="ULG5" s="28"/>
      <c r="ULH5" s="28"/>
      <c r="ULI5" s="28"/>
      <c r="ULJ5" s="28"/>
      <c r="ULK5" s="28"/>
      <c r="ULL5" s="28"/>
      <c r="ULM5" s="28"/>
      <c r="ULN5" s="28"/>
      <c r="ULO5" s="28"/>
      <c r="ULP5" s="28"/>
      <c r="ULQ5" s="28"/>
      <c r="ULR5" s="28"/>
      <c r="ULS5" s="28"/>
      <c r="ULT5" s="28"/>
      <c r="ULU5" s="28"/>
      <c r="ULV5" s="28"/>
      <c r="ULW5" s="28"/>
      <c r="ULX5" s="28"/>
      <c r="ULY5" s="28"/>
      <c r="ULZ5" s="28"/>
      <c r="UMA5" s="28"/>
      <c r="UMB5" s="28"/>
      <c r="UMC5" s="28"/>
      <c r="UMD5" s="28"/>
      <c r="UME5" s="28"/>
      <c r="UMF5" s="28"/>
      <c r="UMG5" s="28"/>
      <c r="UMH5" s="28"/>
      <c r="UMI5" s="28"/>
      <c r="UMJ5" s="28"/>
      <c r="UMK5" s="28"/>
      <c r="UML5" s="28"/>
      <c r="UMM5" s="28"/>
      <c r="UMN5" s="28"/>
      <c r="UMO5" s="28"/>
      <c r="UMP5" s="28"/>
      <c r="UMQ5" s="28"/>
      <c r="UMR5" s="28"/>
      <c r="UMS5" s="28"/>
      <c r="UMT5" s="28"/>
      <c r="UMU5" s="28"/>
      <c r="UMV5" s="28"/>
      <c r="UMW5" s="28"/>
      <c r="UMX5" s="28"/>
      <c r="UMY5" s="28"/>
      <c r="UMZ5" s="28"/>
      <c r="UNA5" s="28"/>
      <c r="UNB5" s="28"/>
      <c r="UNC5" s="28"/>
      <c r="UND5" s="28"/>
      <c r="UNE5" s="28"/>
      <c r="UNF5" s="28"/>
      <c r="UNG5" s="28"/>
      <c r="UNH5" s="28"/>
      <c r="UNI5" s="28"/>
      <c r="UNJ5" s="28"/>
      <c r="UNK5" s="28"/>
      <c r="UNL5" s="28"/>
      <c r="UNM5" s="28"/>
      <c r="UNN5" s="28"/>
      <c r="UNO5" s="28"/>
      <c r="UNP5" s="28"/>
      <c r="UNQ5" s="28"/>
      <c r="UNR5" s="28"/>
      <c r="UNS5" s="28"/>
      <c r="UNT5" s="28"/>
      <c r="UNU5" s="28"/>
      <c r="UNV5" s="28"/>
      <c r="UNW5" s="28"/>
      <c r="UNX5" s="28"/>
      <c r="UNY5" s="28"/>
      <c r="UNZ5" s="28"/>
      <c r="UOA5" s="28"/>
      <c r="UOB5" s="28"/>
      <c r="UOC5" s="28"/>
      <c r="UOD5" s="28"/>
      <c r="UOE5" s="28"/>
      <c r="UOF5" s="28"/>
      <c r="UOG5" s="28"/>
      <c r="UOH5" s="28"/>
      <c r="UOI5" s="28"/>
      <c r="UOJ5" s="28"/>
      <c r="UOK5" s="28"/>
      <c r="UOL5" s="28"/>
      <c r="UOM5" s="28"/>
      <c r="UON5" s="28"/>
      <c r="UOO5" s="28"/>
      <c r="UOP5" s="28"/>
      <c r="UOQ5" s="28"/>
      <c r="UOR5" s="28"/>
      <c r="UOS5" s="28"/>
      <c r="UOT5" s="28"/>
      <c r="UOU5" s="28"/>
      <c r="UOV5" s="28"/>
      <c r="UOW5" s="28"/>
      <c r="UOX5" s="28"/>
      <c r="UOY5" s="28"/>
      <c r="UOZ5" s="28"/>
      <c r="UPA5" s="28"/>
      <c r="UPB5" s="28"/>
      <c r="UPC5" s="28"/>
      <c r="UPD5" s="28"/>
      <c r="UPE5" s="28"/>
      <c r="UPF5" s="28"/>
      <c r="UPG5" s="28"/>
      <c r="UPH5" s="28"/>
      <c r="UPI5" s="28"/>
      <c r="UPJ5" s="28"/>
      <c r="UPK5" s="28"/>
      <c r="UPL5" s="28"/>
      <c r="UPM5" s="28"/>
      <c r="UPN5" s="28"/>
      <c r="UPO5" s="28"/>
      <c r="UPP5" s="28"/>
      <c r="UPQ5" s="28"/>
      <c r="UPR5" s="28"/>
      <c r="UPS5" s="28"/>
      <c r="UPT5" s="28"/>
      <c r="UPU5" s="28"/>
      <c r="UPV5" s="28"/>
      <c r="UPW5" s="28"/>
      <c r="UPX5" s="28"/>
      <c r="UPY5" s="28"/>
      <c r="UPZ5" s="28"/>
      <c r="UQA5" s="28"/>
      <c r="UQB5" s="28"/>
      <c r="UQC5" s="28"/>
      <c r="UQD5" s="28"/>
      <c r="UQE5" s="28"/>
      <c r="UQF5" s="28"/>
      <c r="UQG5" s="28"/>
      <c r="UQH5" s="28"/>
      <c r="UQI5" s="28"/>
      <c r="UQJ5" s="28"/>
      <c r="UQK5" s="28"/>
      <c r="UQL5" s="28"/>
      <c r="UQM5" s="28"/>
      <c r="UQN5" s="28"/>
      <c r="UQO5" s="28"/>
      <c r="UQP5" s="28"/>
      <c r="UQQ5" s="28"/>
      <c r="UQR5" s="28"/>
      <c r="UQS5" s="28"/>
      <c r="UQT5" s="28"/>
      <c r="UQU5" s="28"/>
      <c r="UQV5" s="28"/>
      <c r="UQW5" s="28"/>
      <c r="UQX5" s="28"/>
      <c r="UQY5" s="28"/>
      <c r="UQZ5" s="28"/>
      <c r="URA5" s="28"/>
      <c r="URB5" s="28"/>
      <c r="URC5" s="28"/>
      <c r="URD5" s="28"/>
      <c r="URE5" s="28"/>
      <c r="URF5" s="28"/>
      <c r="URG5" s="28"/>
      <c r="URH5" s="28"/>
      <c r="URI5" s="28"/>
      <c r="URJ5" s="28"/>
      <c r="URK5" s="28"/>
      <c r="URL5" s="28"/>
      <c r="URM5" s="28"/>
      <c r="URN5" s="28"/>
      <c r="URO5" s="28"/>
      <c r="URP5" s="28"/>
      <c r="URQ5" s="28"/>
      <c r="URR5" s="28"/>
      <c r="URS5" s="28"/>
      <c r="URT5" s="28"/>
      <c r="URU5" s="28"/>
      <c r="URV5" s="28"/>
      <c r="URW5" s="28"/>
      <c r="URX5" s="28"/>
      <c r="URY5" s="28"/>
      <c r="URZ5" s="28"/>
      <c r="USA5" s="28"/>
      <c r="USB5" s="28"/>
      <c r="USC5" s="28"/>
      <c r="USD5" s="28"/>
      <c r="USE5" s="28"/>
      <c r="USF5" s="28"/>
      <c r="USG5" s="28"/>
      <c r="USH5" s="28"/>
      <c r="USI5" s="28"/>
      <c r="USJ5" s="28"/>
      <c r="USK5" s="28"/>
      <c r="USL5" s="28"/>
      <c r="USM5" s="28"/>
      <c r="USN5" s="28"/>
      <c r="USO5" s="28"/>
      <c r="USP5" s="28"/>
      <c r="USQ5" s="28"/>
      <c r="USR5" s="28"/>
      <c r="USS5" s="28"/>
      <c r="UST5" s="28"/>
      <c r="USU5" s="28"/>
      <c r="USV5" s="28"/>
      <c r="USW5" s="28"/>
      <c r="USX5" s="28"/>
      <c r="USY5" s="28"/>
      <c r="USZ5" s="28"/>
      <c r="UTA5" s="28"/>
      <c r="UTB5" s="28"/>
      <c r="UTC5" s="28"/>
      <c r="UTD5" s="28"/>
      <c r="UTE5" s="28"/>
      <c r="UTF5" s="28"/>
      <c r="UTG5" s="28"/>
      <c r="UTH5" s="28"/>
      <c r="UTI5" s="28"/>
      <c r="UTJ5" s="28"/>
      <c r="UTK5" s="28"/>
      <c r="UTL5" s="28"/>
      <c r="UTM5" s="28"/>
      <c r="UTN5" s="28"/>
      <c r="UTO5" s="28"/>
      <c r="UTP5" s="28"/>
      <c r="UTQ5" s="28"/>
      <c r="UTR5" s="28"/>
      <c r="UTS5" s="28"/>
      <c r="UTT5" s="28"/>
      <c r="UTU5" s="28"/>
      <c r="UTV5" s="28"/>
      <c r="UTW5" s="28"/>
      <c r="UTX5" s="28"/>
      <c r="UTY5" s="28"/>
      <c r="UTZ5" s="28"/>
      <c r="UUA5" s="28"/>
      <c r="UUB5" s="28"/>
      <c r="UUC5" s="28"/>
      <c r="UUD5" s="28"/>
      <c r="UUE5" s="28"/>
      <c r="UUF5" s="28"/>
      <c r="UUG5" s="28"/>
      <c r="UUH5" s="28"/>
      <c r="UUI5" s="28"/>
      <c r="UUJ5" s="28"/>
      <c r="UUK5" s="28"/>
      <c r="UUL5" s="28"/>
      <c r="UUM5" s="28"/>
      <c r="UUN5" s="28"/>
      <c r="UUO5" s="28"/>
      <c r="UUP5" s="28"/>
      <c r="UUQ5" s="28"/>
      <c r="UUR5" s="28"/>
      <c r="UUS5" s="28"/>
      <c r="UUT5" s="28"/>
      <c r="UUU5" s="28"/>
      <c r="UUV5" s="28"/>
      <c r="UUW5" s="28"/>
      <c r="UUX5" s="28"/>
      <c r="UUY5" s="28"/>
      <c r="UUZ5" s="28"/>
      <c r="UVA5" s="28"/>
      <c r="UVB5" s="28"/>
      <c r="UVC5" s="28"/>
      <c r="UVD5" s="28"/>
      <c r="UVE5" s="28"/>
      <c r="UVF5" s="28"/>
      <c r="UVG5" s="28"/>
      <c r="UVH5" s="28"/>
      <c r="UVI5" s="28"/>
      <c r="UVJ5" s="28"/>
      <c r="UVK5" s="28"/>
      <c r="UVL5" s="28"/>
      <c r="UVM5" s="28"/>
      <c r="UVN5" s="28"/>
      <c r="UVO5" s="28"/>
      <c r="UVP5" s="28"/>
      <c r="UVQ5" s="28"/>
      <c r="UVR5" s="28"/>
      <c r="UVS5" s="28"/>
      <c r="UVT5" s="28"/>
      <c r="UVU5" s="28"/>
      <c r="UVV5" s="28"/>
      <c r="UVW5" s="28"/>
      <c r="UVX5" s="28"/>
      <c r="UVY5" s="28"/>
      <c r="UVZ5" s="28"/>
      <c r="UWA5" s="28"/>
      <c r="UWB5" s="28"/>
      <c r="UWC5" s="28"/>
      <c r="UWD5" s="28"/>
      <c r="UWE5" s="28"/>
      <c r="UWF5" s="28"/>
      <c r="UWG5" s="28"/>
      <c r="UWH5" s="28"/>
      <c r="UWI5" s="28"/>
      <c r="UWJ5" s="28"/>
      <c r="UWK5" s="28"/>
      <c r="UWL5" s="28"/>
      <c r="UWM5" s="28"/>
      <c r="UWN5" s="28"/>
      <c r="UWO5" s="28"/>
      <c r="UWP5" s="28"/>
      <c r="UWQ5" s="28"/>
      <c r="UWR5" s="28"/>
      <c r="UWS5" s="28"/>
      <c r="UWT5" s="28"/>
      <c r="UWU5" s="28"/>
      <c r="UWV5" s="28"/>
      <c r="UWW5" s="28"/>
      <c r="UWX5" s="28"/>
      <c r="UWY5" s="28"/>
      <c r="UWZ5" s="28"/>
      <c r="UXA5" s="28"/>
      <c r="UXB5" s="28"/>
      <c r="UXC5" s="28"/>
      <c r="UXD5" s="28"/>
      <c r="UXE5" s="28"/>
      <c r="UXF5" s="28"/>
      <c r="UXG5" s="28"/>
      <c r="UXH5" s="28"/>
      <c r="UXI5" s="28"/>
      <c r="UXJ5" s="28"/>
      <c r="UXK5" s="28"/>
      <c r="UXL5" s="28"/>
      <c r="UXM5" s="28"/>
      <c r="UXN5" s="28"/>
      <c r="UXO5" s="28"/>
      <c r="UXP5" s="28"/>
      <c r="UXQ5" s="28"/>
      <c r="UXR5" s="28"/>
      <c r="UXS5" s="28"/>
      <c r="UXT5" s="28"/>
      <c r="UXU5" s="28"/>
      <c r="UXV5" s="28"/>
      <c r="UXW5" s="28"/>
      <c r="UXX5" s="28"/>
      <c r="UXY5" s="28"/>
      <c r="UXZ5" s="28"/>
      <c r="UYA5" s="28"/>
      <c r="UYB5" s="28"/>
      <c r="UYC5" s="28"/>
      <c r="UYD5" s="28"/>
      <c r="UYE5" s="28"/>
      <c r="UYF5" s="28"/>
      <c r="UYG5" s="28"/>
      <c r="UYH5" s="28"/>
      <c r="UYI5" s="28"/>
      <c r="UYJ5" s="28"/>
      <c r="UYK5" s="28"/>
      <c r="UYL5" s="28"/>
      <c r="UYM5" s="28"/>
      <c r="UYN5" s="28"/>
      <c r="UYO5" s="28"/>
      <c r="UYP5" s="28"/>
      <c r="UYQ5" s="28"/>
      <c r="UYR5" s="28"/>
      <c r="UYS5" s="28"/>
      <c r="UYT5" s="28"/>
      <c r="UYU5" s="28"/>
      <c r="UYV5" s="28"/>
      <c r="UYW5" s="28"/>
      <c r="UYX5" s="28"/>
      <c r="UYY5" s="28"/>
      <c r="UYZ5" s="28"/>
      <c r="UZA5" s="28"/>
      <c r="UZB5" s="28"/>
      <c r="UZC5" s="28"/>
      <c r="UZD5" s="28"/>
      <c r="UZE5" s="28"/>
      <c r="UZF5" s="28"/>
      <c r="UZG5" s="28"/>
      <c r="UZH5" s="28"/>
      <c r="UZI5" s="28"/>
      <c r="UZJ5" s="28"/>
      <c r="UZK5" s="28"/>
      <c r="UZL5" s="28"/>
      <c r="UZM5" s="28"/>
      <c r="UZN5" s="28"/>
      <c r="UZO5" s="28"/>
      <c r="UZP5" s="28"/>
      <c r="UZQ5" s="28"/>
      <c r="UZR5" s="28"/>
      <c r="UZS5" s="28"/>
      <c r="UZT5" s="28"/>
      <c r="UZU5" s="28"/>
      <c r="UZV5" s="28"/>
      <c r="UZW5" s="28"/>
      <c r="UZX5" s="28"/>
      <c r="UZY5" s="28"/>
      <c r="UZZ5" s="28"/>
      <c r="VAA5" s="28"/>
      <c r="VAB5" s="28"/>
      <c r="VAC5" s="28"/>
      <c r="VAD5" s="28"/>
      <c r="VAE5" s="28"/>
      <c r="VAF5" s="28"/>
      <c r="VAG5" s="28"/>
      <c r="VAH5" s="28"/>
      <c r="VAI5" s="28"/>
      <c r="VAJ5" s="28"/>
      <c r="VAK5" s="28"/>
      <c r="VAL5" s="28"/>
      <c r="VAM5" s="28"/>
      <c r="VAN5" s="28"/>
      <c r="VAO5" s="28"/>
      <c r="VAP5" s="28"/>
      <c r="VAQ5" s="28"/>
      <c r="VAR5" s="28"/>
      <c r="VAS5" s="28"/>
      <c r="VAT5" s="28"/>
      <c r="VAU5" s="28"/>
      <c r="VAV5" s="28"/>
      <c r="VAW5" s="28"/>
      <c r="VAX5" s="28"/>
      <c r="VAY5" s="28"/>
      <c r="VAZ5" s="28"/>
      <c r="VBA5" s="28"/>
      <c r="VBB5" s="28"/>
      <c r="VBC5" s="28"/>
      <c r="VBD5" s="28"/>
      <c r="VBE5" s="28"/>
      <c r="VBF5" s="28"/>
      <c r="VBG5" s="28"/>
      <c r="VBH5" s="28"/>
      <c r="VBI5" s="28"/>
      <c r="VBJ5" s="28"/>
      <c r="VBK5" s="28"/>
      <c r="VBL5" s="28"/>
      <c r="VBM5" s="28"/>
      <c r="VBN5" s="28"/>
      <c r="VBO5" s="28"/>
      <c r="VBP5" s="28"/>
      <c r="VBQ5" s="28"/>
      <c r="VBR5" s="28"/>
      <c r="VBS5" s="28"/>
      <c r="VBT5" s="28"/>
      <c r="VBU5" s="28"/>
      <c r="VBV5" s="28"/>
      <c r="VBW5" s="28"/>
      <c r="VBX5" s="28"/>
      <c r="VBY5" s="28"/>
      <c r="VBZ5" s="28"/>
      <c r="VCA5" s="28"/>
      <c r="VCB5" s="28"/>
      <c r="VCC5" s="28"/>
      <c r="VCD5" s="28"/>
      <c r="VCE5" s="28"/>
      <c r="VCF5" s="28"/>
      <c r="VCG5" s="28"/>
      <c r="VCH5" s="28"/>
      <c r="VCI5" s="28"/>
      <c r="VCJ5" s="28"/>
      <c r="VCK5" s="28"/>
      <c r="VCL5" s="28"/>
      <c r="VCM5" s="28"/>
      <c r="VCN5" s="28"/>
      <c r="VCO5" s="28"/>
      <c r="VCP5" s="28"/>
      <c r="VCQ5" s="28"/>
      <c r="VCR5" s="28"/>
      <c r="VCS5" s="28"/>
      <c r="VCT5" s="28"/>
      <c r="VCU5" s="28"/>
      <c r="VCV5" s="28"/>
      <c r="VCW5" s="28"/>
      <c r="VCX5" s="28"/>
      <c r="VCY5" s="28"/>
      <c r="VCZ5" s="28"/>
      <c r="VDA5" s="28"/>
      <c r="VDB5" s="28"/>
      <c r="VDC5" s="28"/>
      <c r="VDD5" s="28"/>
      <c r="VDE5" s="28"/>
      <c r="VDF5" s="28"/>
      <c r="VDG5" s="28"/>
      <c r="VDH5" s="28"/>
      <c r="VDI5" s="28"/>
      <c r="VDJ5" s="28"/>
      <c r="VDK5" s="28"/>
      <c r="VDL5" s="28"/>
      <c r="VDM5" s="28"/>
      <c r="VDN5" s="28"/>
      <c r="VDO5" s="28"/>
      <c r="VDP5" s="28"/>
      <c r="VDQ5" s="28"/>
      <c r="VDR5" s="28"/>
      <c r="VDS5" s="28"/>
      <c r="VDT5" s="28"/>
      <c r="VDU5" s="28"/>
      <c r="VDV5" s="28"/>
      <c r="VDW5" s="28"/>
      <c r="VDX5" s="28"/>
      <c r="VDY5" s="28"/>
      <c r="VDZ5" s="28"/>
      <c r="VEA5" s="28"/>
      <c r="VEB5" s="28"/>
      <c r="VEC5" s="28"/>
      <c r="VED5" s="28"/>
      <c r="VEE5" s="28"/>
      <c r="VEF5" s="28"/>
      <c r="VEG5" s="28"/>
      <c r="VEH5" s="28"/>
      <c r="VEI5" s="28"/>
      <c r="VEJ5" s="28"/>
      <c r="VEK5" s="28"/>
      <c r="VEL5" s="28"/>
      <c r="VEM5" s="28"/>
      <c r="VEN5" s="28"/>
      <c r="VEO5" s="28"/>
      <c r="VEP5" s="28"/>
      <c r="VEQ5" s="28"/>
      <c r="VER5" s="28"/>
      <c r="VES5" s="28"/>
      <c r="VET5" s="28"/>
      <c r="VEU5" s="28"/>
      <c r="VEV5" s="28"/>
      <c r="VEW5" s="28"/>
      <c r="VEX5" s="28"/>
      <c r="VEY5" s="28"/>
      <c r="VEZ5" s="28"/>
      <c r="VFA5" s="28"/>
      <c r="VFB5" s="28"/>
      <c r="VFC5" s="28"/>
      <c r="VFD5" s="28"/>
      <c r="VFE5" s="28"/>
      <c r="VFF5" s="28"/>
      <c r="VFG5" s="28"/>
      <c r="VFH5" s="28"/>
      <c r="VFI5" s="28"/>
      <c r="VFJ5" s="28"/>
      <c r="VFK5" s="28"/>
      <c r="VFL5" s="28"/>
      <c r="VFM5" s="28"/>
      <c r="VFN5" s="28"/>
      <c r="VFO5" s="28"/>
      <c r="VFP5" s="28"/>
      <c r="VFQ5" s="28"/>
      <c r="VFR5" s="28"/>
      <c r="VFS5" s="28"/>
      <c r="VFT5" s="28"/>
      <c r="VFU5" s="28"/>
      <c r="VFV5" s="28"/>
      <c r="VFW5" s="28"/>
      <c r="VFX5" s="28"/>
      <c r="VFY5" s="28"/>
      <c r="VFZ5" s="28"/>
      <c r="VGA5" s="28"/>
      <c r="VGB5" s="28"/>
      <c r="VGC5" s="28"/>
      <c r="VGD5" s="28"/>
      <c r="VGE5" s="28"/>
      <c r="VGF5" s="28"/>
      <c r="VGG5" s="28"/>
      <c r="VGH5" s="28"/>
      <c r="VGI5" s="28"/>
      <c r="VGJ5" s="28"/>
      <c r="VGK5" s="28"/>
      <c r="VGL5" s="28"/>
      <c r="VGM5" s="28"/>
      <c r="VGN5" s="28"/>
      <c r="VGO5" s="28"/>
      <c r="VGP5" s="28"/>
      <c r="VGQ5" s="28"/>
      <c r="VGR5" s="28"/>
      <c r="VGS5" s="28"/>
      <c r="VGT5" s="28"/>
      <c r="VGU5" s="28"/>
      <c r="VGV5" s="28"/>
      <c r="VGW5" s="28"/>
      <c r="VGX5" s="28"/>
      <c r="VGY5" s="28"/>
      <c r="VGZ5" s="28"/>
      <c r="VHA5" s="28"/>
      <c r="VHB5" s="28"/>
      <c r="VHC5" s="28"/>
      <c r="VHD5" s="28"/>
      <c r="VHE5" s="28"/>
      <c r="VHF5" s="28"/>
      <c r="VHG5" s="28"/>
      <c r="VHH5" s="28"/>
      <c r="VHI5" s="28"/>
      <c r="VHJ5" s="28"/>
      <c r="VHK5" s="28"/>
      <c r="VHL5" s="28"/>
      <c r="VHM5" s="28"/>
      <c r="VHN5" s="28"/>
      <c r="VHO5" s="28"/>
      <c r="VHP5" s="28"/>
      <c r="VHQ5" s="28"/>
      <c r="VHR5" s="28"/>
      <c r="VHS5" s="28"/>
      <c r="VHT5" s="28"/>
      <c r="VHU5" s="28"/>
      <c r="VHV5" s="28"/>
      <c r="VHW5" s="28"/>
      <c r="VHX5" s="28"/>
      <c r="VHY5" s="28"/>
      <c r="VHZ5" s="28"/>
      <c r="VIA5" s="28"/>
      <c r="VIB5" s="28"/>
      <c r="VIC5" s="28"/>
      <c r="VID5" s="28"/>
      <c r="VIE5" s="28"/>
      <c r="VIF5" s="28"/>
      <c r="VIG5" s="28"/>
      <c r="VIH5" s="28"/>
      <c r="VII5" s="28"/>
      <c r="VIJ5" s="28"/>
      <c r="VIK5" s="28"/>
      <c r="VIL5" s="28"/>
      <c r="VIM5" s="28"/>
      <c r="VIN5" s="28"/>
      <c r="VIO5" s="28"/>
      <c r="VIP5" s="28"/>
      <c r="VIQ5" s="28"/>
      <c r="VIR5" s="28"/>
      <c r="VIS5" s="28"/>
      <c r="VIT5" s="28"/>
      <c r="VIU5" s="28"/>
      <c r="VIV5" s="28"/>
      <c r="VIW5" s="28"/>
      <c r="VIX5" s="28"/>
      <c r="VIY5" s="28"/>
      <c r="VIZ5" s="28"/>
      <c r="VJA5" s="28"/>
      <c r="VJB5" s="28"/>
      <c r="VJC5" s="28"/>
      <c r="VJD5" s="28"/>
      <c r="VJE5" s="28"/>
      <c r="VJF5" s="28"/>
      <c r="VJG5" s="28"/>
      <c r="VJH5" s="28"/>
      <c r="VJI5" s="28"/>
      <c r="VJJ5" s="28"/>
      <c r="VJK5" s="28"/>
      <c r="VJL5" s="28"/>
      <c r="VJM5" s="28"/>
      <c r="VJN5" s="28"/>
      <c r="VJO5" s="28"/>
      <c r="VJP5" s="28"/>
      <c r="VJQ5" s="28"/>
      <c r="VJR5" s="28"/>
      <c r="VJS5" s="28"/>
      <c r="VJT5" s="28"/>
      <c r="VJU5" s="28"/>
      <c r="VJV5" s="28"/>
      <c r="VJW5" s="28"/>
      <c r="VJX5" s="28"/>
      <c r="VJY5" s="28"/>
      <c r="VJZ5" s="28"/>
      <c r="VKA5" s="28"/>
      <c r="VKB5" s="28"/>
      <c r="VKC5" s="28"/>
      <c r="VKD5" s="28"/>
      <c r="VKE5" s="28"/>
      <c r="VKF5" s="28"/>
      <c r="VKG5" s="28"/>
      <c r="VKH5" s="28"/>
      <c r="VKI5" s="28"/>
      <c r="VKJ5" s="28"/>
      <c r="VKK5" s="28"/>
      <c r="VKL5" s="28"/>
      <c r="VKM5" s="28"/>
      <c r="VKN5" s="28"/>
      <c r="VKO5" s="28"/>
      <c r="VKP5" s="28"/>
      <c r="VKQ5" s="28"/>
      <c r="VKR5" s="28"/>
      <c r="VKS5" s="28"/>
      <c r="VKT5" s="28"/>
      <c r="VKU5" s="28"/>
      <c r="VKV5" s="28"/>
      <c r="VKW5" s="28"/>
      <c r="VKX5" s="28"/>
      <c r="VKY5" s="28"/>
      <c r="VKZ5" s="28"/>
      <c r="VLA5" s="28"/>
      <c r="VLB5" s="28"/>
      <c r="VLC5" s="28"/>
      <c r="VLD5" s="28"/>
      <c r="VLE5" s="28"/>
      <c r="VLF5" s="28"/>
      <c r="VLG5" s="28"/>
      <c r="VLH5" s="28"/>
      <c r="VLI5" s="28"/>
      <c r="VLJ5" s="28"/>
      <c r="VLK5" s="28"/>
      <c r="VLL5" s="28"/>
      <c r="VLM5" s="28"/>
      <c r="VLN5" s="28"/>
      <c r="VLO5" s="28"/>
      <c r="VLP5" s="28"/>
      <c r="VLQ5" s="28"/>
      <c r="VLR5" s="28"/>
      <c r="VLS5" s="28"/>
      <c r="VLT5" s="28"/>
      <c r="VLU5" s="28"/>
      <c r="VLV5" s="28"/>
      <c r="VLW5" s="28"/>
      <c r="VLX5" s="28"/>
      <c r="VLY5" s="28"/>
      <c r="VLZ5" s="28"/>
      <c r="VMA5" s="28"/>
      <c r="VMB5" s="28"/>
      <c r="VMC5" s="28"/>
      <c r="VMD5" s="28"/>
      <c r="VME5" s="28"/>
      <c r="VMF5" s="28"/>
      <c r="VMG5" s="28"/>
      <c r="VMH5" s="28"/>
      <c r="VMI5" s="28"/>
      <c r="VMJ5" s="28"/>
      <c r="VMK5" s="28"/>
      <c r="VML5" s="28"/>
      <c r="VMM5" s="28"/>
      <c r="VMN5" s="28"/>
      <c r="VMO5" s="28"/>
      <c r="VMP5" s="28"/>
      <c r="VMQ5" s="28"/>
      <c r="VMR5" s="28"/>
      <c r="VMS5" s="28"/>
      <c r="VMT5" s="28"/>
      <c r="VMU5" s="28"/>
      <c r="VMV5" s="28"/>
      <c r="VMW5" s="28"/>
      <c r="VMX5" s="28"/>
      <c r="VMY5" s="28"/>
      <c r="VMZ5" s="28"/>
      <c r="VNA5" s="28"/>
      <c r="VNB5" s="28"/>
      <c r="VNC5" s="28"/>
      <c r="VND5" s="28"/>
      <c r="VNE5" s="28"/>
      <c r="VNF5" s="28"/>
      <c r="VNG5" s="28"/>
      <c r="VNH5" s="28"/>
      <c r="VNI5" s="28"/>
      <c r="VNJ5" s="28"/>
      <c r="VNK5" s="28"/>
      <c r="VNL5" s="28"/>
      <c r="VNM5" s="28"/>
      <c r="VNN5" s="28"/>
      <c r="VNO5" s="28"/>
      <c r="VNP5" s="28"/>
      <c r="VNQ5" s="28"/>
      <c r="VNR5" s="28"/>
      <c r="VNS5" s="28"/>
      <c r="VNT5" s="28"/>
      <c r="VNU5" s="28"/>
      <c r="VNV5" s="28"/>
      <c r="VNW5" s="28"/>
      <c r="VNX5" s="28"/>
      <c r="VNY5" s="28"/>
      <c r="VNZ5" s="28"/>
      <c r="VOA5" s="28"/>
      <c r="VOB5" s="28"/>
      <c r="VOC5" s="28"/>
      <c r="VOD5" s="28"/>
      <c r="VOE5" s="28"/>
      <c r="VOF5" s="28"/>
      <c r="VOG5" s="28"/>
      <c r="VOH5" s="28"/>
      <c r="VOI5" s="28"/>
      <c r="VOJ5" s="28"/>
      <c r="VOK5" s="28"/>
      <c r="VOL5" s="28"/>
      <c r="VOM5" s="28"/>
      <c r="VON5" s="28"/>
      <c r="VOO5" s="28"/>
      <c r="VOP5" s="28"/>
      <c r="VOQ5" s="28"/>
      <c r="VOR5" s="28"/>
      <c r="VOS5" s="28"/>
      <c r="VOT5" s="28"/>
      <c r="VOU5" s="28"/>
      <c r="VOV5" s="28"/>
      <c r="VOW5" s="28"/>
      <c r="VOX5" s="28"/>
      <c r="VOY5" s="28"/>
      <c r="VOZ5" s="28"/>
      <c r="VPA5" s="28"/>
      <c r="VPB5" s="28"/>
      <c r="VPC5" s="28"/>
      <c r="VPD5" s="28"/>
      <c r="VPE5" s="28"/>
      <c r="VPF5" s="28"/>
      <c r="VPG5" s="28"/>
      <c r="VPH5" s="28"/>
      <c r="VPI5" s="28"/>
      <c r="VPJ5" s="28"/>
      <c r="VPK5" s="28"/>
      <c r="VPL5" s="28"/>
      <c r="VPM5" s="28"/>
      <c r="VPN5" s="28"/>
      <c r="VPO5" s="28"/>
      <c r="VPP5" s="28"/>
      <c r="VPQ5" s="28"/>
      <c r="VPR5" s="28"/>
      <c r="VPS5" s="28"/>
      <c r="VPT5" s="28"/>
      <c r="VPU5" s="28"/>
      <c r="VPV5" s="28"/>
      <c r="VPW5" s="28"/>
      <c r="VPX5" s="28"/>
      <c r="VPY5" s="28"/>
      <c r="VPZ5" s="28"/>
      <c r="VQA5" s="28"/>
      <c r="VQB5" s="28"/>
      <c r="VQC5" s="28"/>
      <c r="VQD5" s="28"/>
      <c r="VQE5" s="28"/>
      <c r="VQF5" s="28"/>
      <c r="VQG5" s="28"/>
      <c r="VQH5" s="28"/>
      <c r="VQI5" s="28"/>
      <c r="VQJ5" s="28"/>
      <c r="VQK5" s="28"/>
      <c r="VQL5" s="28"/>
      <c r="VQM5" s="28"/>
      <c r="VQN5" s="28"/>
      <c r="VQO5" s="28"/>
      <c r="VQP5" s="28"/>
      <c r="VQQ5" s="28"/>
      <c r="VQR5" s="28"/>
      <c r="VQS5" s="28"/>
      <c r="VQT5" s="28"/>
      <c r="VQU5" s="28"/>
      <c r="VQV5" s="28"/>
      <c r="VQW5" s="28"/>
      <c r="VQX5" s="28"/>
      <c r="VQY5" s="28"/>
      <c r="VQZ5" s="28"/>
      <c r="VRA5" s="28"/>
      <c r="VRB5" s="28"/>
      <c r="VRC5" s="28"/>
      <c r="VRD5" s="28"/>
      <c r="VRE5" s="28"/>
      <c r="VRF5" s="28"/>
      <c r="VRG5" s="28"/>
      <c r="VRH5" s="28"/>
      <c r="VRI5" s="28"/>
      <c r="VRJ5" s="28"/>
      <c r="VRK5" s="28"/>
      <c r="VRL5" s="28"/>
      <c r="VRM5" s="28"/>
      <c r="VRN5" s="28"/>
      <c r="VRO5" s="28"/>
      <c r="VRP5" s="28"/>
      <c r="VRQ5" s="28"/>
      <c r="VRR5" s="28"/>
      <c r="VRS5" s="28"/>
      <c r="VRT5" s="28"/>
      <c r="VRU5" s="28"/>
      <c r="VRV5" s="28"/>
      <c r="VRW5" s="28"/>
      <c r="VRX5" s="28"/>
      <c r="VRY5" s="28"/>
      <c r="VRZ5" s="28"/>
      <c r="VSA5" s="28"/>
      <c r="VSB5" s="28"/>
      <c r="VSC5" s="28"/>
      <c r="VSD5" s="28"/>
      <c r="VSE5" s="28"/>
      <c r="VSF5" s="28"/>
      <c r="VSG5" s="28"/>
      <c r="VSH5" s="28"/>
      <c r="VSI5" s="28"/>
      <c r="VSJ5" s="28"/>
      <c r="VSK5" s="28"/>
      <c r="VSL5" s="28"/>
      <c r="VSM5" s="28"/>
      <c r="VSN5" s="28"/>
      <c r="VSO5" s="28"/>
      <c r="VSP5" s="28"/>
      <c r="VSQ5" s="28"/>
      <c r="VSR5" s="28"/>
      <c r="VSS5" s="28"/>
      <c r="VST5" s="28"/>
      <c r="VSU5" s="28"/>
      <c r="VSV5" s="28"/>
      <c r="VSW5" s="28"/>
      <c r="VSX5" s="28"/>
      <c r="VSY5" s="28"/>
      <c r="VSZ5" s="28"/>
      <c r="VTA5" s="28"/>
      <c r="VTB5" s="28"/>
      <c r="VTC5" s="28"/>
      <c r="VTD5" s="28"/>
      <c r="VTE5" s="28"/>
      <c r="VTF5" s="28"/>
      <c r="VTG5" s="28"/>
      <c r="VTH5" s="28"/>
      <c r="VTI5" s="28"/>
      <c r="VTJ5" s="28"/>
      <c r="VTK5" s="28"/>
      <c r="VTL5" s="28"/>
      <c r="VTM5" s="28"/>
      <c r="VTN5" s="28"/>
      <c r="VTO5" s="28"/>
      <c r="VTP5" s="28"/>
      <c r="VTQ5" s="28"/>
      <c r="VTR5" s="28"/>
      <c r="VTS5" s="28"/>
      <c r="VTT5" s="28"/>
      <c r="VTU5" s="28"/>
      <c r="VTV5" s="28"/>
      <c r="VTW5" s="28"/>
      <c r="VTX5" s="28"/>
      <c r="VTY5" s="28"/>
      <c r="VTZ5" s="28"/>
      <c r="VUA5" s="28"/>
      <c r="VUB5" s="28"/>
      <c r="VUC5" s="28"/>
      <c r="VUD5" s="28"/>
      <c r="VUE5" s="28"/>
      <c r="VUF5" s="28"/>
      <c r="VUG5" s="28"/>
      <c r="VUH5" s="28"/>
      <c r="VUI5" s="28"/>
      <c r="VUJ5" s="28"/>
      <c r="VUK5" s="28"/>
      <c r="VUL5" s="28"/>
      <c r="VUM5" s="28"/>
      <c r="VUN5" s="28"/>
      <c r="VUO5" s="28"/>
      <c r="VUP5" s="28"/>
      <c r="VUQ5" s="28"/>
      <c r="VUR5" s="28"/>
      <c r="VUS5" s="28"/>
      <c r="VUT5" s="28"/>
      <c r="VUU5" s="28"/>
      <c r="VUV5" s="28"/>
      <c r="VUW5" s="28"/>
      <c r="VUX5" s="28"/>
      <c r="VUY5" s="28"/>
      <c r="VUZ5" s="28"/>
      <c r="VVA5" s="28"/>
      <c r="VVB5" s="28"/>
      <c r="VVC5" s="28"/>
      <c r="VVD5" s="28"/>
      <c r="VVE5" s="28"/>
      <c r="VVF5" s="28"/>
      <c r="VVG5" s="28"/>
      <c r="VVH5" s="28"/>
      <c r="VVI5" s="28"/>
      <c r="VVJ5" s="28"/>
      <c r="VVK5" s="28"/>
      <c r="VVL5" s="28"/>
      <c r="VVM5" s="28"/>
      <c r="VVN5" s="28"/>
      <c r="VVO5" s="28"/>
      <c r="VVP5" s="28"/>
      <c r="VVQ5" s="28"/>
      <c r="VVR5" s="28"/>
      <c r="VVS5" s="28"/>
      <c r="VVT5" s="28"/>
      <c r="VVU5" s="28"/>
      <c r="VVV5" s="28"/>
      <c r="VVW5" s="28"/>
      <c r="VVX5" s="28"/>
      <c r="VVY5" s="28"/>
      <c r="VVZ5" s="28"/>
      <c r="VWA5" s="28"/>
      <c r="VWB5" s="28"/>
      <c r="VWC5" s="28"/>
      <c r="VWD5" s="28"/>
      <c r="VWE5" s="28"/>
      <c r="VWF5" s="28"/>
      <c r="VWG5" s="28"/>
      <c r="VWH5" s="28"/>
      <c r="VWI5" s="28"/>
      <c r="VWJ5" s="28"/>
      <c r="VWK5" s="28"/>
      <c r="VWL5" s="28"/>
      <c r="VWM5" s="28"/>
      <c r="VWN5" s="28"/>
      <c r="VWO5" s="28"/>
      <c r="VWP5" s="28"/>
      <c r="VWQ5" s="28"/>
      <c r="VWR5" s="28"/>
      <c r="VWS5" s="28"/>
      <c r="VWT5" s="28"/>
      <c r="VWU5" s="28"/>
      <c r="VWV5" s="28"/>
      <c r="VWW5" s="28"/>
      <c r="VWX5" s="28"/>
      <c r="VWY5" s="28"/>
      <c r="VWZ5" s="28"/>
      <c r="VXA5" s="28"/>
      <c r="VXB5" s="28"/>
      <c r="VXC5" s="28"/>
      <c r="VXD5" s="28"/>
      <c r="VXE5" s="28"/>
      <c r="VXF5" s="28"/>
      <c r="VXG5" s="28"/>
      <c r="VXH5" s="28"/>
      <c r="VXI5" s="28"/>
      <c r="VXJ5" s="28"/>
      <c r="VXK5" s="28"/>
      <c r="VXL5" s="28"/>
      <c r="VXM5" s="28"/>
      <c r="VXN5" s="28"/>
      <c r="VXO5" s="28"/>
      <c r="VXP5" s="28"/>
      <c r="VXQ5" s="28"/>
      <c r="VXR5" s="28"/>
      <c r="VXS5" s="28"/>
      <c r="VXT5" s="28"/>
      <c r="VXU5" s="28"/>
      <c r="VXV5" s="28"/>
      <c r="VXW5" s="28"/>
      <c r="VXX5" s="28"/>
      <c r="VXY5" s="28"/>
      <c r="VXZ5" s="28"/>
      <c r="VYA5" s="28"/>
      <c r="VYB5" s="28"/>
      <c r="VYC5" s="28"/>
      <c r="VYD5" s="28"/>
      <c r="VYE5" s="28"/>
      <c r="VYF5" s="28"/>
      <c r="VYG5" s="28"/>
      <c r="VYH5" s="28"/>
      <c r="VYI5" s="28"/>
      <c r="VYJ5" s="28"/>
      <c r="VYK5" s="28"/>
      <c r="VYL5" s="28"/>
      <c r="VYM5" s="28"/>
      <c r="VYN5" s="28"/>
      <c r="VYO5" s="28"/>
      <c r="VYP5" s="28"/>
      <c r="VYQ5" s="28"/>
      <c r="VYR5" s="28"/>
      <c r="VYS5" s="28"/>
      <c r="VYT5" s="28"/>
      <c r="VYU5" s="28"/>
      <c r="VYV5" s="28"/>
      <c r="VYW5" s="28"/>
      <c r="VYX5" s="28"/>
      <c r="VYY5" s="28"/>
      <c r="VYZ5" s="28"/>
      <c r="VZA5" s="28"/>
      <c r="VZB5" s="28"/>
      <c r="VZC5" s="28"/>
      <c r="VZD5" s="28"/>
      <c r="VZE5" s="28"/>
      <c r="VZF5" s="28"/>
      <c r="VZG5" s="28"/>
      <c r="VZH5" s="28"/>
      <c r="VZI5" s="28"/>
      <c r="VZJ5" s="28"/>
      <c r="VZK5" s="28"/>
      <c r="VZL5" s="28"/>
      <c r="VZM5" s="28"/>
      <c r="VZN5" s="28"/>
      <c r="VZO5" s="28"/>
      <c r="VZP5" s="28"/>
      <c r="VZQ5" s="28"/>
      <c r="VZR5" s="28"/>
      <c r="VZS5" s="28"/>
      <c r="VZT5" s="28"/>
      <c r="VZU5" s="28"/>
      <c r="VZV5" s="28"/>
      <c r="VZW5" s="28"/>
      <c r="VZX5" s="28"/>
      <c r="VZY5" s="28"/>
      <c r="VZZ5" s="28"/>
      <c r="WAA5" s="28"/>
      <c r="WAB5" s="28"/>
      <c r="WAC5" s="28"/>
      <c r="WAD5" s="28"/>
      <c r="WAE5" s="28"/>
      <c r="WAF5" s="28"/>
      <c r="WAG5" s="28"/>
      <c r="WAH5" s="28"/>
      <c r="WAI5" s="28"/>
      <c r="WAJ5" s="28"/>
      <c r="WAK5" s="28"/>
      <c r="WAL5" s="28"/>
      <c r="WAM5" s="28"/>
      <c r="WAN5" s="28"/>
      <c r="WAO5" s="28"/>
      <c r="WAP5" s="28"/>
      <c r="WAQ5" s="28"/>
      <c r="WAR5" s="28"/>
      <c r="WAS5" s="28"/>
      <c r="WAT5" s="28"/>
      <c r="WAU5" s="28"/>
      <c r="WAV5" s="28"/>
      <c r="WAW5" s="28"/>
      <c r="WAX5" s="28"/>
      <c r="WAY5" s="28"/>
      <c r="WAZ5" s="28"/>
      <c r="WBA5" s="28"/>
      <c r="WBB5" s="28"/>
      <c r="WBC5" s="28"/>
      <c r="WBD5" s="28"/>
      <c r="WBE5" s="28"/>
      <c r="WBF5" s="28"/>
      <c r="WBG5" s="28"/>
      <c r="WBH5" s="28"/>
      <c r="WBI5" s="28"/>
      <c r="WBJ5" s="28"/>
      <c r="WBK5" s="28"/>
      <c r="WBL5" s="28"/>
      <c r="WBM5" s="28"/>
      <c r="WBN5" s="28"/>
      <c r="WBO5" s="28"/>
      <c r="WBP5" s="28"/>
      <c r="WBQ5" s="28"/>
      <c r="WBR5" s="28"/>
      <c r="WBS5" s="28"/>
      <c r="WBT5" s="28"/>
      <c r="WBU5" s="28"/>
      <c r="WBV5" s="28"/>
      <c r="WBW5" s="28"/>
      <c r="WBX5" s="28"/>
      <c r="WBY5" s="28"/>
      <c r="WBZ5" s="28"/>
      <c r="WCA5" s="28"/>
      <c r="WCB5" s="28"/>
      <c r="WCC5" s="28"/>
      <c r="WCD5" s="28"/>
      <c r="WCE5" s="28"/>
      <c r="WCF5" s="28"/>
      <c r="WCG5" s="28"/>
      <c r="WCH5" s="28"/>
      <c r="WCI5" s="28"/>
      <c r="WCJ5" s="28"/>
      <c r="WCK5" s="28"/>
      <c r="WCL5" s="28"/>
      <c r="WCM5" s="28"/>
      <c r="WCN5" s="28"/>
      <c r="WCO5" s="28"/>
      <c r="WCP5" s="28"/>
      <c r="WCQ5" s="28"/>
      <c r="WCR5" s="28"/>
      <c r="WCS5" s="28"/>
      <c r="WCT5" s="28"/>
      <c r="WCU5" s="28"/>
      <c r="WCV5" s="28"/>
      <c r="WCW5" s="28"/>
      <c r="WCX5" s="28"/>
      <c r="WCY5" s="28"/>
      <c r="WCZ5" s="28"/>
      <c r="WDA5" s="28"/>
      <c r="WDB5" s="28"/>
      <c r="WDC5" s="28"/>
      <c r="WDD5" s="28"/>
      <c r="WDE5" s="28"/>
      <c r="WDF5" s="28"/>
      <c r="WDG5" s="28"/>
      <c r="WDH5" s="28"/>
      <c r="WDI5" s="28"/>
      <c r="WDJ5" s="28"/>
      <c r="WDK5" s="28"/>
      <c r="WDL5" s="28"/>
      <c r="WDM5" s="28"/>
      <c r="WDN5" s="28"/>
      <c r="WDO5" s="28"/>
      <c r="WDP5" s="28"/>
      <c r="WDQ5" s="28"/>
      <c r="WDR5" s="28"/>
      <c r="WDS5" s="28"/>
      <c r="WDT5" s="28"/>
      <c r="WDU5" s="28"/>
      <c r="WDV5" s="28"/>
      <c r="WDW5" s="28"/>
      <c r="WDX5" s="28"/>
      <c r="WDY5" s="28"/>
      <c r="WDZ5" s="28"/>
      <c r="WEA5" s="28"/>
      <c r="WEB5" s="28"/>
      <c r="WEC5" s="28"/>
      <c r="WED5" s="28"/>
      <c r="WEE5" s="28"/>
      <c r="WEF5" s="28"/>
      <c r="WEG5" s="28"/>
      <c r="WEH5" s="28"/>
      <c r="WEI5" s="28"/>
      <c r="WEJ5" s="28"/>
      <c r="WEK5" s="28"/>
      <c r="WEL5" s="28"/>
      <c r="WEM5" s="28"/>
      <c r="WEN5" s="28"/>
      <c r="WEO5" s="28"/>
      <c r="WEP5" s="28"/>
      <c r="WEQ5" s="28"/>
      <c r="WER5" s="28"/>
      <c r="WES5" s="28"/>
      <c r="WET5" s="28"/>
      <c r="WEU5" s="28"/>
      <c r="WEV5" s="28"/>
      <c r="WEW5" s="28"/>
      <c r="WEX5" s="28"/>
      <c r="WEY5" s="28"/>
      <c r="WEZ5" s="28"/>
      <c r="WFA5" s="28"/>
      <c r="WFB5" s="28"/>
      <c r="WFC5" s="28"/>
      <c r="WFD5" s="28"/>
      <c r="WFE5" s="28"/>
      <c r="WFF5" s="28"/>
      <c r="WFG5" s="28"/>
      <c r="WFH5" s="28"/>
      <c r="WFI5" s="28"/>
      <c r="WFJ5" s="28"/>
      <c r="WFK5" s="28"/>
      <c r="WFL5" s="28"/>
      <c r="WFM5" s="28"/>
      <c r="WFN5" s="28"/>
      <c r="WFO5" s="28"/>
      <c r="WFP5" s="28"/>
      <c r="WFQ5" s="28"/>
      <c r="WFR5" s="28"/>
      <c r="WFS5" s="28"/>
      <c r="WFT5" s="28"/>
      <c r="WFU5" s="28"/>
      <c r="WFV5" s="28"/>
      <c r="WFW5" s="28"/>
      <c r="WFX5" s="28"/>
      <c r="WFY5" s="28"/>
      <c r="WFZ5" s="28"/>
      <c r="WGA5" s="28"/>
      <c r="WGB5" s="28"/>
      <c r="WGC5" s="28"/>
      <c r="WGD5" s="28"/>
      <c r="WGE5" s="28"/>
      <c r="WGF5" s="28"/>
      <c r="WGG5" s="28"/>
      <c r="WGH5" s="28"/>
      <c r="WGI5" s="28"/>
      <c r="WGJ5" s="28"/>
      <c r="WGK5" s="28"/>
      <c r="WGL5" s="28"/>
      <c r="WGM5" s="28"/>
      <c r="WGN5" s="28"/>
      <c r="WGO5" s="28"/>
      <c r="WGP5" s="28"/>
      <c r="WGQ5" s="28"/>
      <c r="WGR5" s="28"/>
      <c r="WGS5" s="28"/>
      <c r="WGT5" s="28"/>
      <c r="WGU5" s="28"/>
      <c r="WGV5" s="28"/>
      <c r="WGW5" s="28"/>
      <c r="WGX5" s="28"/>
      <c r="WGY5" s="28"/>
      <c r="WGZ5" s="28"/>
      <c r="WHA5" s="28"/>
      <c r="WHB5" s="28"/>
      <c r="WHC5" s="28"/>
      <c r="WHD5" s="28"/>
      <c r="WHE5" s="28"/>
      <c r="WHF5" s="28"/>
      <c r="WHG5" s="28"/>
      <c r="WHH5" s="28"/>
      <c r="WHI5" s="28"/>
      <c r="WHJ5" s="28"/>
      <c r="WHK5" s="28"/>
      <c r="WHL5" s="28"/>
      <c r="WHM5" s="28"/>
      <c r="WHN5" s="28"/>
      <c r="WHO5" s="28"/>
      <c r="WHP5" s="28"/>
      <c r="WHQ5" s="28"/>
      <c r="WHR5" s="28"/>
      <c r="WHS5" s="28"/>
      <c r="WHT5" s="28"/>
      <c r="WHU5" s="28"/>
      <c r="WHV5" s="28"/>
      <c r="WHW5" s="28"/>
      <c r="WHX5" s="28"/>
      <c r="WHY5" s="28"/>
      <c r="WHZ5" s="28"/>
      <c r="WIA5" s="28"/>
      <c r="WIB5" s="28"/>
      <c r="WIC5" s="28"/>
      <c r="WID5" s="28"/>
      <c r="WIE5" s="28"/>
      <c r="WIF5" s="28"/>
      <c r="WIG5" s="28"/>
      <c r="WIH5" s="28"/>
      <c r="WII5" s="28"/>
      <c r="WIJ5" s="28"/>
      <c r="WIK5" s="28"/>
      <c r="WIL5" s="28"/>
      <c r="WIM5" s="28"/>
      <c r="WIN5" s="28"/>
      <c r="WIO5" s="28"/>
      <c r="WIP5" s="28"/>
      <c r="WIQ5" s="28"/>
      <c r="WIR5" s="28"/>
      <c r="WIS5" s="28"/>
      <c r="WIT5" s="28"/>
      <c r="WIU5" s="28"/>
      <c r="WIV5" s="28"/>
      <c r="WIW5" s="28"/>
      <c r="WIX5" s="28"/>
      <c r="WIY5" s="28"/>
      <c r="WIZ5" s="28"/>
      <c r="WJA5" s="28"/>
      <c r="WJB5" s="28"/>
      <c r="WJC5" s="28"/>
      <c r="WJD5" s="28"/>
      <c r="WJE5" s="28"/>
      <c r="WJF5" s="28"/>
      <c r="WJG5" s="28"/>
      <c r="WJH5" s="28"/>
      <c r="WJI5" s="28"/>
      <c r="WJJ5" s="28"/>
      <c r="WJK5" s="28"/>
      <c r="WJL5" s="28"/>
      <c r="WJM5" s="28"/>
      <c r="WJN5" s="28"/>
      <c r="WJO5" s="28"/>
      <c r="WJP5" s="28"/>
      <c r="WJQ5" s="28"/>
      <c r="WJR5" s="28"/>
      <c r="WJS5" s="28"/>
      <c r="WJT5" s="28"/>
      <c r="WJU5" s="28"/>
      <c r="WJV5" s="28"/>
      <c r="WJW5" s="28"/>
      <c r="WJX5" s="28"/>
      <c r="WJY5" s="28"/>
      <c r="WJZ5" s="28"/>
      <c r="WKA5" s="28"/>
      <c r="WKB5" s="28"/>
      <c r="WKC5" s="28"/>
      <c r="WKD5" s="28"/>
      <c r="WKE5" s="28"/>
      <c r="WKF5" s="28"/>
      <c r="WKG5" s="28"/>
      <c r="WKH5" s="28"/>
      <c r="WKI5" s="28"/>
      <c r="WKJ5" s="28"/>
      <c r="WKK5" s="28"/>
      <c r="WKL5" s="28"/>
      <c r="WKM5" s="28"/>
      <c r="WKN5" s="28"/>
      <c r="WKO5" s="28"/>
      <c r="WKP5" s="28"/>
      <c r="WKQ5" s="28"/>
      <c r="WKR5" s="28"/>
      <c r="WKS5" s="28"/>
      <c r="WKT5" s="28"/>
      <c r="WKU5" s="28"/>
      <c r="WKV5" s="28"/>
      <c r="WKW5" s="28"/>
      <c r="WKX5" s="28"/>
      <c r="WKY5" s="28"/>
      <c r="WKZ5" s="28"/>
      <c r="WLA5" s="28"/>
      <c r="WLB5" s="28"/>
      <c r="WLC5" s="28"/>
      <c r="WLD5" s="28"/>
      <c r="WLE5" s="28"/>
      <c r="WLF5" s="28"/>
      <c r="WLG5" s="28"/>
      <c r="WLH5" s="28"/>
      <c r="WLI5" s="28"/>
      <c r="WLJ5" s="28"/>
      <c r="WLK5" s="28"/>
      <c r="WLL5" s="28"/>
      <c r="WLM5" s="28"/>
      <c r="WLN5" s="28"/>
      <c r="WLO5" s="28"/>
      <c r="WLP5" s="28"/>
      <c r="WLQ5" s="28"/>
      <c r="WLR5" s="28"/>
      <c r="WLS5" s="28"/>
      <c r="WLT5" s="28"/>
      <c r="WLU5" s="28"/>
      <c r="WLV5" s="28"/>
      <c r="WLW5" s="28"/>
      <c r="WLX5" s="28"/>
      <c r="WLY5" s="28"/>
      <c r="WLZ5" s="28"/>
      <c r="WMA5" s="28"/>
      <c r="WMB5" s="28"/>
      <c r="WMC5" s="28"/>
      <c r="WMD5" s="28"/>
      <c r="WME5" s="28"/>
      <c r="WMF5" s="28"/>
      <c r="WMG5" s="28"/>
      <c r="WMH5" s="28"/>
      <c r="WMI5" s="28"/>
      <c r="WMJ5" s="28"/>
      <c r="WMK5" s="28"/>
      <c r="WML5" s="28"/>
      <c r="WMM5" s="28"/>
      <c r="WMN5" s="28"/>
      <c r="WMO5" s="28"/>
      <c r="WMP5" s="28"/>
      <c r="WMQ5" s="28"/>
      <c r="WMR5" s="28"/>
      <c r="WMS5" s="28"/>
      <c r="WMT5" s="28"/>
      <c r="WMU5" s="28"/>
      <c r="WMV5" s="28"/>
      <c r="WMW5" s="28"/>
      <c r="WMX5" s="28"/>
      <c r="WMY5" s="28"/>
      <c r="WMZ5" s="28"/>
      <c r="WNA5" s="28"/>
      <c r="WNB5" s="28"/>
      <c r="WNC5" s="28"/>
      <c r="WND5" s="28"/>
      <c r="WNE5" s="28"/>
      <c r="WNF5" s="28"/>
      <c r="WNG5" s="28"/>
      <c r="WNH5" s="28"/>
      <c r="WNI5" s="28"/>
      <c r="WNJ5" s="28"/>
      <c r="WNK5" s="28"/>
      <c r="WNL5" s="28"/>
      <c r="WNM5" s="28"/>
      <c r="WNN5" s="28"/>
      <c r="WNO5" s="28"/>
      <c r="WNP5" s="28"/>
      <c r="WNQ5" s="28"/>
      <c r="WNR5" s="28"/>
      <c r="WNS5" s="28"/>
      <c r="WNT5" s="28"/>
      <c r="WNU5" s="28"/>
      <c r="WNV5" s="28"/>
      <c r="WNW5" s="28"/>
      <c r="WNX5" s="28"/>
      <c r="WNY5" s="28"/>
      <c r="WNZ5" s="28"/>
      <c r="WOA5" s="28"/>
      <c r="WOB5" s="28"/>
      <c r="WOC5" s="28"/>
      <c r="WOD5" s="28"/>
      <c r="WOE5" s="28"/>
      <c r="WOF5" s="28"/>
      <c r="WOG5" s="28"/>
      <c r="WOH5" s="28"/>
      <c r="WOI5" s="28"/>
      <c r="WOJ5" s="28"/>
      <c r="WOK5" s="28"/>
      <c r="WOL5" s="28"/>
      <c r="WOM5" s="28"/>
      <c r="WON5" s="28"/>
      <c r="WOO5" s="28"/>
      <c r="WOP5" s="28"/>
      <c r="WOQ5" s="28"/>
      <c r="WOR5" s="28"/>
      <c r="WOS5" s="28"/>
      <c r="WOT5" s="28"/>
      <c r="WOU5" s="28"/>
      <c r="WOV5" s="28"/>
      <c r="WOW5" s="28"/>
      <c r="WOX5" s="28"/>
      <c r="WOY5" s="28"/>
      <c r="WOZ5" s="28"/>
      <c r="WPA5" s="28"/>
      <c r="WPB5" s="28"/>
      <c r="WPC5" s="28"/>
      <c r="WPD5" s="28"/>
      <c r="WPE5" s="28"/>
      <c r="WPF5" s="28"/>
      <c r="WPG5" s="28"/>
      <c r="WPH5" s="28"/>
      <c r="WPI5" s="28"/>
      <c r="WPJ5" s="28"/>
      <c r="WPK5" s="28"/>
      <c r="WPL5" s="28"/>
      <c r="WPM5" s="28"/>
      <c r="WPN5" s="28"/>
      <c r="WPO5" s="28"/>
      <c r="WPP5" s="28"/>
      <c r="WPQ5" s="28"/>
      <c r="WPR5" s="28"/>
      <c r="WPS5" s="28"/>
      <c r="WPT5" s="28"/>
      <c r="WPU5" s="28"/>
      <c r="WPV5" s="28"/>
      <c r="WPW5" s="28"/>
      <c r="WPX5" s="28"/>
      <c r="WPY5" s="28"/>
      <c r="WPZ5" s="28"/>
      <c r="WQA5" s="28"/>
      <c r="WQB5" s="28"/>
      <c r="WQC5" s="28"/>
      <c r="WQD5" s="28"/>
      <c r="WQE5" s="28"/>
      <c r="WQF5" s="28"/>
      <c r="WQG5" s="28"/>
      <c r="WQH5" s="28"/>
      <c r="WQI5" s="28"/>
      <c r="WQJ5" s="28"/>
      <c r="WQK5" s="28"/>
      <c r="WQL5" s="28"/>
      <c r="WQM5" s="28"/>
      <c r="WQN5" s="28"/>
      <c r="WQO5" s="28"/>
      <c r="WQP5" s="28"/>
      <c r="WQQ5" s="28"/>
      <c r="WQR5" s="28"/>
      <c r="WQS5" s="28"/>
      <c r="WQT5" s="28"/>
      <c r="WQU5" s="28"/>
      <c r="WQV5" s="28"/>
      <c r="WQW5" s="28"/>
      <c r="WQX5" s="28"/>
      <c r="WQY5" s="28"/>
      <c r="WQZ5" s="28"/>
      <c r="WRA5" s="28"/>
      <c r="WRB5" s="28"/>
      <c r="WRC5" s="28"/>
      <c r="WRD5" s="28"/>
      <c r="WRE5" s="28"/>
      <c r="WRF5" s="28"/>
      <c r="WRG5" s="28"/>
      <c r="WRH5" s="28"/>
      <c r="WRI5" s="28"/>
      <c r="WRJ5" s="28"/>
      <c r="WRK5" s="28"/>
      <c r="WRL5" s="28"/>
      <c r="WRM5" s="28"/>
      <c r="WRN5" s="28"/>
      <c r="WRO5" s="28"/>
      <c r="WRP5" s="28"/>
      <c r="WRQ5" s="28"/>
      <c r="WRR5" s="28"/>
      <c r="WRS5" s="28"/>
      <c r="WRT5" s="28"/>
      <c r="WRU5" s="28"/>
      <c r="WRV5" s="28"/>
      <c r="WRW5" s="28"/>
      <c r="WRX5" s="28"/>
      <c r="WRY5" s="28"/>
      <c r="WRZ5" s="28"/>
      <c r="WSA5" s="28"/>
      <c r="WSB5" s="28"/>
      <c r="WSC5" s="28"/>
      <c r="WSD5" s="28"/>
      <c r="WSE5" s="28"/>
      <c r="WSF5" s="28"/>
      <c r="WSG5" s="28"/>
      <c r="WSH5" s="28"/>
      <c r="WSI5" s="28"/>
      <c r="WSJ5" s="28"/>
      <c r="WSK5" s="28"/>
      <c r="WSL5" s="28"/>
      <c r="WSM5" s="28"/>
      <c r="WSN5" s="28"/>
      <c r="WSO5" s="28"/>
      <c r="WSP5" s="28"/>
      <c r="WSQ5" s="28"/>
      <c r="WSR5" s="28"/>
      <c r="WSS5" s="28"/>
      <c r="WST5" s="28"/>
      <c r="WSU5" s="28"/>
      <c r="WSV5" s="28"/>
      <c r="WSW5" s="28"/>
      <c r="WSX5" s="28"/>
      <c r="WSY5" s="28"/>
      <c r="WSZ5" s="28"/>
      <c r="WTA5" s="28"/>
      <c r="WTB5" s="28"/>
      <c r="WTC5" s="28"/>
      <c r="WTD5" s="28"/>
      <c r="WTE5" s="28"/>
      <c r="WTF5" s="28"/>
      <c r="WTG5" s="28"/>
      <c r="WTH5" s="28"/>
      <c r="WTI5" s="28"/>
      <c r="WTJ5" s="28"/>
      <c r="WTK5" s="28"/>
      <c r="WTL5" s="28"/>
      <c r="WTM5" s="28"/>
      <c r="WTN5" s="28"/>
      <c r="WTO5" s="28"/>
      <c r="WTP5" s="28"/>
      <c r="WTQ5" s="28"/>
      <c r="WTR5" s="28"/>
      <c r="WTS5" s="28"/>
      <c r="WTT5" s="28"/>
      <c r="WTU5" s="28"/>
      <c r="WTV5" s="28"/>
      <c r="WTW5" s="28"/>
      <c r="WTX5" s="28"/>
      <c r="WTY5" s="28"/>
      <c r="WTZ5" s="28"/>
      <c r="WUA5" s="28"/>
      <c r="WUB5" s="28"/>
      <c r="WUC5" s="28"/>
      <c r="WUD5" s="28"/>
      <c r="WUE5" s="28"/>
      <c r="WUF5" s="28"/>
      <c r="WUG5" s="28"/>
      <c r="WUH5" s="28"/>
      <c r="WUI5" s="28"/>
      <c r="WUJ5" s="28"/>
      <c r="WUK5" s="28"/>
      <c r="WUL5" s="28"/>
      <c r="WUM5" s="28"/>
      <c r="WUN5" s="28"/>
      <c r="WUO5" s="28"/>
      <c r="WUP5" s="28"/>
      <c r="WUQ5" s="28"/>
      <c r="WUR5" s="28"/>
      <c r="WUS5" s="28"/>
      <c r="WUT5" s="28"/>
      <c r="WUU5" s="28"/>
      <c r="WUV5" s="28"/>
      <c r="WUW5" s="28"/>
      <c r="WUX5" s="28"/>
      <c r="WUY5" s="28"/>
      <c r="WUZ5" s="28"/>
      <c r="WVA5" s="28"/>
      <c r="WVB5" s="28"/>
      <c r="WVC5" s="28"/>
      <c r="WVD5" s="28"/>
      <c r="WVE5" s="28"/>
      <c r="WVF5" s="28"/>
      <c r="WVG5" s="28"/>
      <c r="WVH5" s="28"/>
      <c r="WVI5" s="28"/>
      <c r="WVJ5" s="28"/>
      <c r="WVK5" s="28"/>
      <c r="WVL5" s="28"/>
      <c r="WVM5" s="28"/>
      <c r="WVN5" s="28"/>
      <c r="WVO5" s="28"/>
      <c r="WVP5" s="28"/>
      <c r="WVQ5" s="28"/>
      <c r="WVR5" s="28"/>
      <c r="WVS5" s="28"/>
      <c r="WVT5" s="28"/>
      <c r="WVU5" s="28"/>
      <c r="WVV5" s="28"/>
      <c r="WVW5" s="28"/>
      <c r="WVX5" s="28"/>
      <c r="WVY5" s="28"/>
      <c r="WVZ5" s="28"/>
      <c r="WWA5" s="28"/>
      <c r="WWB5" s="28"/>
      <c r="WWC5" s="28"/>
      <c r="WWD5" s="28"/>
      <c r="WWE5" s="28"/>
      <c r="WWF5" s="28"/>
      <c r="WWG5" s="28"/>
      <c r="WWH5" s="28"/>
      <c r="WWI5" s="28"/>
      <c r="WWJ5" s="28"/>
      <c r="WWK5" s="28"/>
      <c r="WWL5" s="28"/>
      <c r="WWM5" s="28"/>
      <c r="WWN5" s="28"/>
      <c r="WWO5" s="28"/>
      <c r="WWP5" s="28"/>
      <c r="WWQ5" s="28"/>
      <c r="WWR5" s="28"/>
      <c r="WWS5" s="28"/>
      <c r="WWT5" s="28"/>
      <c r="WWU5" s="28"/>
      <c r="WWV5" s="28"/>
      <c r="WWW5" s="28"/>
      <c r="WWX5" s="28"/>
      <c r="WWY5" s="28"/>
      <c r="WWZ5" s="28"/>
      <c r="WXA5" s="28"/>
      <c r="WXB5" s="28"/>
      <c r="WXC5" s="28"/>
      <c r="WXD5" s="28"/>
      <c r="WXE5" s="28"/>
      <c r="WXF5" s="28"/>
      <c r="WXG5" s="28"/>
      <c r="WXH5" s="28"/>
      <c r="WXI5" s="28"/>
      <c r="WXJ5" s="28"/>
      <c r="WXK5" s="28"/>
      <c r="WXL5" s="28"/>
      <c r="WXM5" s="28"/>
      <c r="WXN5" s="28"/>
      <c r="WXO5" s="28"/>
      <c r="WXP5" s="28"/>
      <c r="WXQ5" s="28"/>
      <c r="WXR5" s="28"/>
      <c r="WXS5" s="28"/>
      <c r="WXT5" s="28"/>
      <c r="WXU5" s="28"/>
      <c r="WXV5" s="28"/>
      <c r="WXW5" s="28"/>
      <c r="WXX5" s="28"/>
      <c r="WXY5" s="28"/>
      <c r="WXZ5" s="28"/>
      <c r="WYA5" s="28"/>
      <c r="WYB5" s="28"/>
      <c r="WYC5" s="28"/>
      <c r="WYD5" s="28"/>
      <c r="WYE5" s="28"/>
      <c r="WYF5" s="28"/>
      <c r="WYG5" s="28"/>
      <c r="WYH5" s="28"/>
      <c r="WYI5" s="28"/>
      <c r="WYJ5" s="28"/>
      <c r="WYK5" s="28"/>
      <c r="WYL5" s="28"/>
      <c r="WYM5" s="28"/>
      <c r="WYN5" s="28"/>
      <c r="WYO5" s="28"/>
      <c r="WYP5" s="28"/>
      <c r="WYQ5" s="28"/>
      <c r="WYR5" s="28"/>
      <c r="WYS5" s="28"/>
      <c r="WYT5" s="28"/>
      <c r="WYU5" s="28"/>
      <c r="WYV5" s="28"/>
      <c r="WYW5" s="28"/>
      <c r="WYX5" s="28"/>
      <c r="WYY5" s="28"/>
      <c r="WYZ5" s="28"/>
      <c r="WZA5" s="28"/>
      <c r="WZB5" s="28"/>
      <c r="WZC5" s="28"/>
      <c r="WZD5" s="28"/>
      <c r="WZE5" s="28"/>
      <c r="WZF5" s="28"/>
      <c r="WZG5" s="28"/>
      <c r="WZH5" s="28"/>
      <c r="WZI5" s="28"/>
      <c r="WZJ5" s="28"/>
      <c r="WZK5" s="28"/>
      <c r="WZL5" s="28"/>
      <c r="WZM5" s="28"/>
      <c r="WZN5" s="28"/>
      <c r="WZO5" s="28"/>
      <c r="WZP5" s="28"/>
      <c r="WZQ5" s="28"/>
      <c r="WZR5" s="28"/>
      <c r="WZS5" s="28"/>
      <c r="WZT5" s="28"/>
      <c r="WZU5" s="28"/>
      <c r="WZV5" s="28"/>
      <c r="WZW5" s="28"/>
      <c r="WZX5" s="28"/>
      <c r="WZY5" s="28"/>
      <c r="WZZ5" s="28"/>
      <c r="XAA5" s="28"/>
      <c r="XAB5" s="28"/>
      <c r="XAC5" s="28"/>
      <c r="XAD5" s="28"/>
      <c r="XAE5" s="28"/>
      <c r="XAF5" s="28"/>
      <c r="XAG5" s="28"/>
      <c r="XAH5" s="28"/>
      <c r="XAI5" s="28"/>
      <c r="XAJ5" s="28"/>
      <c r="XAK5" s="28"/>
      <c r="XAL5" s="28"/>
      <c r="XAM5" s="28"/>
      <c r="XAN5" s="28"/>
      <c r="XAO5" s="28"/>
      <c r="XAP5" s="28"/>
      <c r="XAQ5" s="28"/>
      <c r="XAR5" s="28"/>
      <c r="XAS5" s="28"/>
      <c r="XAT5" s="28"/>
      <c r="XAU5" s="28"/>
      <c r="XAV5" s="28"/>
      <c r="XAW5" s="28"/>
      <c r="XAX5" s="28"/>
      <c r="XAY5" s="28"/>
      <c r="XAZ5" s="28"/>
      <c r="XBA5" s="28"/>
      <c r="XBB5" s="28"/>
      <c r="XBC5" s="28"/>
      <c r="XBD5" s="28"/>
      <c r="XBE5" s="28"/>
      <c r="XBF5" s="28"/>
      <c r="XBG5" s="28"/>
      <c r="XBH5" s="28"/>
      <c r="XBI5" s="28"/>
      <c r="XBJ5" s="28"/>
      <c r="XBK5" s="28"/>
      <c r="XBL5" s="28"/>
      <c r="XBM5" s="28"/>
      <c r="XBN5" s="28"/>
      <c r="XBO5" s="28"/>
      <c r="XBP5" s="28"/>
      <c r="XBQ5" s="28"/>
      <c r="XBR5" s="28"/>
      <c r="XBS5" s="28"/>
      <c r="XBT5" s="28"/>
      <c r="XBU5" s="28"/>
      <c r="XBV5" s="28"/>
      <c r="XBW5" s="28"/>
      <c r="XBX5" s="28"/>
      <c r="XBY5" s="28"/>
      <c r="XBZ5" s="28"/>
      <c r="XCA5" s="28"/>
      <c r="XCB5" s="28"/>
      <c r="XCC5" s="28"/>
      <c r="XCD5" s="28"/>
      <c r="XCE5" s="28"/>
      <c r="XCF5" s="28"/>
      <c r="XCG5" s="28"/>
      <c r="XCH5" s="28"/>
      <c r="XCI5" s="28"/>
      <c r="XCJ5" s="28"/>
      <c r="XCK5" s="28"/>
      <c r="XCL5" s="28"/>
      <c r="XCM5" s="28"/>
      <c r="XCN5" s="28"/>
      <c r="XCO5" s="28"/>
      <c r="XCP5" s="28"/>
      <c r="XCQ5" s="28"/>
      <c r="XCR5" s="28"/>
      <c r="XCS5" s="28"/>
      <c r="XCT5" s="28"/>
      <c r="XCU5" s="28"/>
      <c r="XCV5" s="28"/>
      <c r="XCW5" s="28"/>
      <c r="XCX5" s="28"/>
      <c r="XCY5" s="28"/>
      <c r="XCZ5" s="28"/>
      <c r="XDA5" s="28"/>
      <c r="XDB5" s="28"/>
      <c r="XDC5" s="28"/>
      <c r="XDD5" s="28"/>
      <c r="XDE5" s="28"/>
      <c r="XDF5" s="28"/>
      <c r="XDG5" s="28"/>
      <c r="XDH5" s="28"/>
      <c r="XDI5" s="28"/>
      <c r="XDJ5" s="28"/>
      <c r="XDK5" s="28"/>
      <c r="XDL5" s="28"/>
      <c r="XDM5" s="28"/>
      <c r="XDN5" s="28"/>
      <c r="XDO5" s="28"/>
      <c r="XDP5" s="28"/>
      <c r="XDQ5" s="28"/>
      <c r="XDR5" s="28"/>
      <c r="XDS5" s="28"/>
      <c r="XDT5" s="28"/>
      <c r="XDU5" s="28"/>
      <c r="XDV5" s="28"/>
      <c r="XDW5" s="28"/>
      <c r="XDX5" s="28"/>
      <c r="XDY5" s="28"/>
      <c r="XDZ5" s="28"/>
      <c r="XEA5" s="28"/>
      <c r="XEB5" s="28"/>
      <c r="XEC5" s="28"/>
      <c r="XED5" s="28"/>
      <c r="XEE5" s="28"/>
      <c r="XEF5" s="28"/>
      <c r="XEG5" s="28"/>
      <c r="XEH5" s="28"/>
      <c r="XEI5" s="28"/>
      <c r="XEJ5" s="28"/>
      <c r="XEK5" s="28"/>
      <c r="XEL5" s="28"/>
      <c r="XEM5" s="28"/>
      <c r="XEN5" s="28"/>
      <c r="XEO5" s="28"/>
      <c r="XEP5" s="28"/>
      <c r="XEQ5" s="28"/>
      <c r="XER5" s="28"/>
      <c r="XES5" s="28"/>
      <c r="XET5" s="28"/>
      <c r="XEU5" s="28"/>
      <c r="XEV5" s="28"/>
      <c r="XEW5" s="28"/>
      <c r="XEX5" s="28"/>
      <c r="XEY5" s="28"/>
      <c r="XEZ5" s="28"/>
      <c r="XFA5" s="28"/>
      <c r="XFB5" s="28"/>
    </row>
    <row r="6" spans="1:16382" ht="15.75" x14ac:dyDescent="0.25">
      <c r="B6" s="165"/>
      <c r="C6" s="47"/>
      <c r="D6" s="48">
        <v>21</v>
      </c>
      <c r="E6" s="48">
        <v>22</v>
      </c>
      <c r="F6" s="48">
        <v>23</v>
      </c>
      <c r="G6" s="48">
        <v>24</v>
      </c>
      <c r="H6" s="48">
        <v>25</v>
      </c>
      <c r="I6" s="48">
        <v>26</v>
      </c>
      <c r="J6" s="48">
        <v>27</v>
      </c>
      <c r="K6" s="48">
        <v>28</v>
      </c>
      <c r="L6" s="48">
        <v>29</v>
      </c>
      <c r="M6" s="48">
        <v>30</v>
      </c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  <c r="AAA6" s="28"/>
      <c r="AAB6" s="28"/>
      <c r="AAC6" s="28"/>
      <c r="AAD6" s="28"/>
      <c r="AAE6" s="28"/>
      <c r="AAF6" s="28"/>
      <c r="AAG6" s="28"/>
      <c r="AAH6" s="28"/>
      <c r="AAI6" s="28"/>
      <c r="AAJ6" s="28"/>
      <c r="AAK6" s="28"/>
      <c r="AAL6" s="28"/>
      <c r="AAM6" s="28"/>
      <c r="AAN6" s="28"/>
      <c r="AAO6" s="28"/>
      <c r="AAP6" s="28"/>
      <c r="AAQ6" s="28"/>
      <c r="AAR6" s="28"/>
      <c r="AAS6" s="28"/>
      <c r="AAT6" s="28"/>
      <c r="AAU6" s="28"/>
      <c r="AAV6" s="28"/>
      <c r="AAW6" s="28"/>
      <c r="AAX6" s="28"/>
      <c r="AAY6" s="28"/>
      <c r="AAZ6" s="28"/>
      <c r="ABA6" s="28"/>
      <c r="ABB6" s="28"/>
      <c r="ABC6" s="28"/>
      <c r="ABD6" s="28"/>
      <c r="ABE6" s="28"/>
      <c r="ABF6" s="28"/>
      <c r="ABG6" s="28"/>
      <c r="ABH6" s="28"/>
      <c r="ABI6" s="28"/>
      <c r="ABJ6" s="28"/>
      <c r="ABK6" s="28"/>
      <c r="ABL6" s="28"/>
      <c r="ABM6" s="28"/>
      <c r="ABN6" s="28"/>
      <c r="ABO6" s="28"/>
      <c r="ABP6" s="28"/>
      <c r="ABQ6" s="28"/>
      <c r="ABR6" s="28"/>
      <c r="ABS6" s="28"/>
      <c r="ABT6" s="28"/>
      <c r="ABU6" s="28"/>
      <c r="ABV6" s="28"/>
      <c r="ABW6" s="28"/>
      <c r="ABX6" s="28"/>
      <c r="ABY6" s="28"/>
      <c r="ABZ6" s="28"/>
      <c r="ACA6" s="28"/>
      <c r="ACB6" s="28"/>
      <c r="ACC6" s="28"/>
      <c r="ACD6" s="28"/>
      <c r="ACE6" s="28"/>
      <c r="ACF6" s="28"/>
      <c r="ACG6" s="28"/>
      <c r="ACH6" s="28"/>
      <c r="ACI6" s="28"/>
      <c r="ACJ6" s="28"/>
      <c r="ACK6" s="28"/>
      <c r="ACL6" s="28"/>
      <c r="ACM6" s="28"/>
      <c r="ACN6" s="28"/>
      <c r="ACO6" s="28"/>
      <c r="ACP6" s="28"/>
      <c r="ACQ6" s="28"/>
      <c r="ACR6" s="28"/>
      <c r="ACS6" s="28"/>
      <c r="ACT6" s="28"/>
      <c r="ACU6" s="28"/>
      <c r="ACV6" s="28"/>
      <c r="ACW6" s="28"/>
      <c r="ACX6" s="28"/>
      <c r="ACY6" s="28"/>
      <c r="ACZ6" s="28"/>
      <c r="ADA6" s="28"/>
      <c r="ADB6" s="28"/>
      <c r="ADC6" s="28"/>
      <c r="ADD6" s="28"/>
      <c r="ADE6" s="28"/>
      <c r="ADF6" s="28"/>
      <c r="ADG6" s="28"/>
      <c r="ADH6" s="28"/>
      <c r="ADI6" s="28"/>
      <c r="ADJ6" s="28"/>
      <c r="ADK6" s="28"/>
      <c r="ADL6" s="28"/>
      <c r="ADM6" s="28"/>
      <c r="ADN6" s="28"/>
      <c r="ADO6" s="28"/>
      <c r="ADP6" s="28"/>
      <c r="ADQ6" s="28"/>
      <c r="ADR6" s="28"/>
      <c r="ADS6" s="28"/>
      <c r="ADT6" s="28"/>
      <c r="ADU6" s="28"/>
      <c r="ADV6" s="28"/>
      <c r="ADW6" s="28"/>
      <c r="ADX6" s="28"/>
      <c r="ADY6" s="28"/>
      <c r="ADZ6" s="28"/>
      <c r="AEA6" s="28"/>
      <c r="AEB6" s="28"/>
      <c r="AEC6" s="28"/>
      <c r="AED6" s="28"/>
      <c r="AEE6" s="28"/>
      <c r="AEF6" s="28"/>
      <c r="AEG6" s="28"/>
      <c r="AEH6" s="28"/>
      <c r="AEI6" s="28"/>
      <c r="AEJ6" s="28"/>
      <c r="AEK6" s="28"/>
      <c r="AEL6" s="28"/>
      <c r="AEM6" s="28"/>
      <c r="AEN6" s="28"/>
      <c r="AEO6" s="28"/>
      <c r="AEP6" s="28"/>
      <c r="AEQ6" s="28"/>
      <c r="AER6" s="28"/>
      <c r="AES6" s="28"/>
      <c r="AET6" s="28"/>
      <c r="AEU6" s="28"/>
      <c r="AEV6" s="28"/>
      <c r="AEW6" s="28"/>
      <c r="AEX6" s="28"/>
      <c r="AEY6" s="28"/>
      <c r="AEZ6" s="28"/>
      <c r="AFA6" s="28"/>
      <c r="AFB6" s="28"/>
      <c r="AFC6" s="28"/>
      <c r="AFD6" s="28"/>
      <c r="AFE6" s="28"/>
      <c r="AFF6" s="28"/>
      <c r="AFG6" s="28"/>
      <c r="AFH6" s="28"/>
      <c r="AFI6" s="28"/>
      <c r="AFJ6" s="28"/>
      <c r="AFK6" s="28"/>
      <c r="AFL6" s="28"/>
      <c r="AFM6" s="28"/>
      <c r="AFN6" s="28"/>
      <c r="AFO6" s="28"/>
      <c r="AFP6" s="28"/>
      <c r="AFQ6" s="28"/>
      <c r="AFR6" s="28"/>
      <c r="AFS6" s="28"/>
      <c r="AFT6" s="28"/>
      <c r="AFU6" s="28"/>
      <c r="AFV6" s="28"/>
      <c r="AFW6" s="28"/>
      <c r="AFX6" s="28"/>
      <c r="AFY6" s="28"/>
      <c r="AFZ6" s="28"/>
      <c r="AGA6" s="28"/>
      <c r="AGB6" s="28"/>
      <c r="AGC6" s="28"/>
      <c r="AGD6" s="28"/>
      <c r="AGE6" s="28"/>
      <c r="AGF6" s="28"/>
      <c r="AGG6" s="28"/>
      <c r="AGH6" s="28"/>
      <c r="AGI6" s="28"/>
      <c r="AGJ6" s="28"/>
      <c r="AGK6" s="28"/>
      <c r="AGL6" s="28"/>
      <c r="AGM6" s="28"/>
      <c r="AGN6" s="28"/>
      <c r="AGO6" s="28"/>
      <c r="AGP6" s="28"/>
      <c r="AGQ6" s="28"/>
      <c r="AGR6" s="28"/>
      <c r="AGS6" s="28"/>
      <c r="AGT6" s="28"/>
      <c r="AGU6" s="28"/>
      <c r="AGV6" s="28"/>
      <c r="AGW6" s="28"/>
      <c r="AGX6" s="28"/>
      <c r="AGY6" s="28"/>
      <c r="AGZ6" s="28"/>
      <c r="AHA6" s="28"/>
      <c r="AHB6" s="28"/>
      <c r="AHC6" s="28"/>
      <c r="AHD6" s="28"/>
      <c r="AHE6" s="28"/>
      <c r="AHF6" s="28"/>
      <c r="AHG6" s="28"/>
      <c r="AHH6" s="28"/>
      <c r="AHI6" s="28"/>
      <c r="AHJ6" s="28"/>
      <c r="AHK6" s="28"/>
      <c r="AHL6" s="28"/>
      <c r="AHM6" s="28"/>
      <c r="AHN6" s="28"/>
      <c r="AHO6" s="28"/>
      <c r="AHP6" s="28"/>
      <c r="AHQ6" s="28"/>
      <c r="AHR6" s="28"/>
      <c r="AHS6" s="28"/>
      <c r="AHT6" s="28"/>
      <c r="AHU6" s="28"/>
      <c r="AHV6" s="28"/>
      <c r="AHW6" s="28"/>
      <c r="AHX6" s="28"/>
      <c r="AHY6" s="28"/>
      <c r="AHZ6" s="28"/>
      <c r="AIA6" s="28"/>
      <c r="AIB6" s="28"/>
      <c r="AIC6" s="28"/>
      <c r="AID6" s="28"/>
      <c r="AIE6" s="28"/>
      <c r="AIF6" s="28"/>
      <c r="AIG6" s="28"/>
      <c r="AIH6" s="28"/>
      <c r="AII6" s="28"/>
      <c r="AIJ6" s="28"/>
      <c r="AIK6" s="28"/>
      <c r="AIL6" s="28"/>
      <c r="AIM6" s="28"/>
      <c r="AIN6" s="28"/>
      <c r="AIO6" s="28"/>
      <c r="AIP6" s="28"/>
      <c r="AIQ6" s="28"/>
      <c r="AIR6" s="28"/>
      <c r="AIS6" s="28"/>
      <c r="AIT6" s="28"/>
      <c r="AIU6" s="28"/>
      <c r="AIV6" s="28"/>
      <c r="AIW6" s="28"/>
      <c r="AIX6" s="28"/>
      <c r="AIY6" s="28"/>
      <c r="AIZ6" s="28"/>
      <c r="AJA6" s="28"/>
      <c r="AJB6" s="28"/>
      <c r="AJC6" s="28"/>
      <c r="AJD6" s="28"/>
      <c r="AJE6" s="28"/>
      <c r="AJF6" s="28"/>
      <c r="AJG6" s="28"/>
      <c r="AJH6" s="28"/>
      <c r="AJI6" s="28"/>
      <c r="AJJ6" s="28"/>
      <c r="AJK6" s="28"/>
      <c r="AJL6" s="28"/>
      <c r="AJM6" s="28"/>
      <c r="AJN6" s="28"/>
      <c r="AJO6" s="28"/>
      <c r="AJP6" s="28"/>
      <c r="AJQ6" s="28"/>
      <c r="AJR6" s="28"/>
      <c r="AJS6" s="28"/>
      <c r="AJT6" s="28"/>
      <c r="AJU6" s="28"/>
      <c r="AJV6" s="28"/>
      <c r="AJW6" s="28"/>
      <c r="AJX6" s="28"/>
      <c r="AJY6" s="28"/>
      <c r="AJZ6" s="28"/>
      <c r="AKA6" s="28"/>
      <c r="AKB6" s="28"/>
      <c r="AKC6" s="28"/>
      <c r="AKD6" s="28"/>
      <c r="AKE6" s="28"/>
      <c r="AKF6" s="28"/>
      <c r="AKG6" s="28"/>
      <c r="AKH6" s="28"/>
      <c r="AKI6" s="28"/>
      <c r="AKJ6" s="28"/>
      <c r="AKK6" s="28"/>
      <c r="AKL6" s="28"/>
      <c r="AKM6" s="28"/>
      <c r="AKN6" s="28"/>
      <c r="AKO6" s="28"/>
      <c r="AKP6" s="28"/>
      <c r="AKQ6" s="28"/>
      <c r="AKR6" s="28"/>
      <c r="AKS6" s="28"/>
      <c r="AKT6" s="28"/>
      <c r="AKU6" s="28"/>
      <c r="AKV6" s="28"/>
      <c r="AKW6" s="28"/>
      <c r="AKX6" s="28"/>
      <c r="AKY6" s="28"/>
      <c r="AKZ6" s="28"/>
      <c r="ALA6" s="28"/>
      <c r="ALB6" s="28"/>
      <c r="ALC6" s="28"/>
      <c r="ALD6" s="28"/>
      <c r="ALE6" s="28"/>
      <c r="ALF6" s="28"/>
      <c r="ALG6" s="28"/>
      <c r="ALH6" s="28"/>
      <c r="ALI6" s="28"/>
      <c r="ALJ6" s="28"/>
      <c r="ALK6" s="28"/>
      <c r="ALL6" s="28"/>
      <c r="ALM6" s="28"/>
      <c r="ALN6" s="28"/>
      <c r="ALO6" s="28"/>
      <c r="ALP6" s="28"/>
      <c r="ALQ6" s="28"/>
      <c r="ALR6" s="28"/>
      <c r="ALS6" s="28"/>
      <c r="ALT6" s="28"/>
      <c r="ALU6" s="28"/>
      <c r="ALV6" s="28"/>
      <c r="ALW6" s="28"/>
      <c r="ALX6" s="28"/>
      <c r="ALY6" s="28"/>
      <c r="ALZ6" s="28"/>
      <c r="AMA6" s="28"/>
      <c r="AMB6" s="28"/>
      <c r="AMC6" s="28"/>
      <c r="AMD6" s="28"/>
      <c r="AME6" s="28"/>
      <c r="AMF6" s="28"/>
      <c r="AMG6" s="28"/>
      <c r="AMH6" s="28"/>
      <c r="AMI6" s="28"/>
      <c r="AMJ6" s="28"/>
      <c r="AMK6" s="28"/>
      <c r="AML6" s="28"/>
      <c r="AMM6" s="28"/>
      <c r="AMN6" s="28"/>
      <c r="AMO6" s="28"/>
      <c r="AMP6" s="28"/>
      <c r="AMQ6" s="28"/>
      <c r="AMR6" s="28"/>
      <c r="AMS6" s="28"/>
      <c r="AMT6" s="28"/>
      <c r="AMU6" s="28"/>
      <c r="AMV6" s="28"/>
      <c r="AMW6" s="28"/>
      <c r="AMX6" s="28"/>
      <c r="AMY6" s="28"/>
      <c r="AMZ6" s="28"/>
      <c r="ANA6" s="28"/>
      <c r="ANB6" s="28"/>
      <c r="ANC6" s="28"/>
      <c r="AND6" s="28"/>
      <c r="ANE6" s="28"/>
      <c r="ANF6" s="28"/>
      <c r="ANG6" s="28"/>
      <c r="ANH6" s="28"/>
      <c r="ANI6" s="28"/>
      <c r="ANJ6" s="28"/>
      <c r="ANK6" s="28"/>
      <c r="ANL6" s="28"/>
      <c r="ANM6" s="28"/>
      <c r="ANN6" s="28"/>
      <c r="ANO6" s="28"/>
      <c r="ANP6" s="28"/>
      <c r="ANQ6" s="28"/>
      <c r="ANR6" s="28"/>
      <c r="ANS6" s="28"/>
      <c r="ANT6" s="28"/>
      <c r="ANU6" s="28"/>
      <c r="ANV6" s="28"/>
      <c r="ANW6" s="28"/>
      <c r="ANX6" s="28"/>
      <c r="ANY6" s="28"/>
      <c r="ANZ6" s="28"/>
      <c r="AOA6" s="28"/>
      <c r="AOB6" s="28"/>
      <c r="AOC6" s="28"/>
      <c r="AOD6" s="28"/>
      <c r="AOE6" s="28"/>
      <c r="AOF6" s="28"/>
      <c r="AOG6" s="28"/>
      <c r="AOH6" s="28"/>
      <c r="AOI6" s="28"/>
      <c r="AOJ6" s="28"/>
      <c r="AOK6" s="28"/>
      <c r="AOL6" s="28"/>
      <c r="AOM6" s="28"/>
      <c r="AON6" s="28"/>
      <c r="AOO6" s="28"/>
      <c r="AOP6" s="28"/>
      <c r="AOQ6" s="28"/>
      <c r="AOR6" s="28"/>
      <c r="AOS6" s="28"/>
      <c r="AOT6" s="28"/>
      <c r="AOU6" s="28"/>
      <c r="AOV6" s="28"/>
      <c r="AOW6" s="28"/>
      <c r="AOX6" s="28"/>
      <c r="AOY6" s="28"/>
      <c r="AOZ6" s="28"/>
      <c r="APA6" s="28"/>
      <c r="APB6" s="28"/>
      <c r="APC6" s="28"/>
      <c r="APD6" s="28"/>
      <c r="APE6" s="28"/>
      <c r="APF6" s="28"/>
      <c r="APG6" s="28"/>
      <c r="APH6" s="28"/>
      <c r="API6" s="28"/>
      <c r="APJ6" s="28"/>
      <c r="APK6" s="28"/>
      <c r="APL6" s="28"/>
      <c r="APM6" s="28"/>
      <c r="APN6" s="28"/>
      <c r="APO6" s="28"/>
      <c r="APP6" s="28"/>
      <c r="APQ6" s="28"/>
      <c r="APR6" s="28"/>
      <c r="APS6" s="28"/>
      <c r="APT6" s="28"/>
      <c r="APU6" s="28"/>
      <c r="APV6" s="28"/>
      <c r="APW6" s="28"/>
      <c r="APX6" s="28"/>
      <c r="APY6" s="28"/>
      <c r="APZ6" s="28"/>
      <c r="AQA6" s="28"/>
      <c r="AQB6" s="28"/>
      <c r="AQC6" s="28"/>
      <c r="AQD6" s="28"/>
      <c r="AQE6" s="28"/>
      <c r="AQF6" s="28"/>
      <c r="AQG6" s="28"/>
      <c r="AQH6" s="28"/>
      <c r="AQI6" s="28"/>
      <c r="AQJ6" s="28"/>
      <c r="AQK6" s="28"/>
      <c r="AQL6" s="28"/>
      <c r="AQM6" s="28"/>
      <c r="AQN6" s="28"/>
      <c r="AQO6" s="28"/>
      <c r="AQP6" s="28"/>
      <c r="AQQ6" s="28"/>
      <c r="AQR6" s="28"/>
      <c r="AQS6" s="28"/>
      <c r="AQT6" s="28"/>
      <c r="AQU6" s="28"/>
      <c r="AQV6" s="28"/>
      <c r="AQW6" s="28"/>
      <c r="AQX6" s="28"/>
      <c r="AQY6" s="28"/>
      <c r="AQZ6" s="28"/>
      <c r="ARA6" s="28"/>
      <c r="ARB6" s="28"/>
      <c r="ARC6" s="28"/>
      <c r="ARD6" s="28"/>
      <c r="ARE6" s="28"/>
      <c r="ARF6" s="28"/>
      <c r="ARG6" s="28"/>
      <c r="ARH6" s="28"/>
      <c r="ARI6" s="28"/>
      <c r="ARJ6" s="28"/>
      <c r="ARK6" s="28"/>
      <c r="ARL6" s="28"/>
      <c r="ARM6" s="28"/>
      <c r="ARN6" s="28"/>
      <c r="ARO6" s="28"/>
      <c r="ARP6" s="28"/>
      <c r="ARQ6" s="28"/>
      <c r="ARR6" s="28"/>
      <c r="ARS6" s="28"/>
      <c r="ART6" s="28"/>
      <c r="ARU6" s="28"/>
      <c r="ARV6" s="28"/>
      <c r="ARW6" s="28"/>
      <c r="ARX6" s="28"/>
      <c r="ARY6" s="28"/>
      <c r="ARZ6" s="28"/>
      <c r="ASA6" s="28"/>
      <c r="ASB6" s="28"/>
      <c r="ASC6" s="28"/>
      <c r="ASD6" s="28"/>
      <c r="ASE6" s="28"/>
      <c r="ASF6" s="28"/>
      <c r="ASG6" s="28"/>
      <c r="ASH6" s="28"/>
      <c r="ASI6" s="28"/>
      <c r="ASJ6" s="28"/>
      <c r="ASK6" s="28"/>
      <c r="ASL6" s="28"/>
      <c r="ASM6" s="28"/>
      <c r="ASN6" s="28"/>
      <c r="ASO6" s="28"/>
      <c r="ASP6" s="28"/>
      <c r="ASQ6" s="28"/>
      <c r="ASR6" s="28"/>
      <c r="ASS6" s="28"/>
      <c r="AST6" s="28"/>
      <c r="ASU6" s="28"/>
      <c r="ASV6" s="28"/>
      <c r="ASW6" s="28"/>
      <c r="ASX6" s="28"/>
      <c r="ASY6" s="28"/>
      <c r="ASZ6" s="28"/>
      <c r="ATA6" s="28"/>
      <c r="ATB6" s="28"/>
      <c r="ATC6" s="28"/>
      <c r="ATD6" s="28"/>
      <c r="ATE6" s="28"/>
      <c r="ATF6" s="28"/>
      <c r="ATG6" s="28"/>
      <c r="ATH6" s="28"/>
      <c r="ATI6" s="28"/>
      <c r="ATJ6" s="28"/>
      <c r="ATK6" s="28"/>
      <c r="ATL6" s="28"/>
      <c r="ATM6" s="28"/>
      <c r="ATN6" s="28"/>
      <c r="ATO6" s="28"/>
      <c r="ATP6" s="28"/>
      <c r="ATQ6" s="28"/>
      <c r="ATR6" s="28"/>
      <c r="ATS6" s="28"/>
      <c r="ATT6" s="28"/>
      <c r="ATU6" s="28"/>
      <c r="ATV6" s="28"/>
      <c r="ATW6" s="28"/>
      <c r="ATX6" s="28"/>
      <c r="ATY6" s="28"/>
      <c r="ATZ6" s="28"/>
      <c r="AUA6" s="28"/>
      <c r="AUB6" s="28"/>
      <c r="AUC6" s="28"/>
      <c r="AUD6" s="28"/>
      <c r="AUE6" s="28"/>
      <c r="AUF6" s="28"/>
      <c r="AUG6" s="28"/>
      <c r="AUH6" s="28"/>
      <c r="AUI6" s="28"/>
      <c r="AUJ6" s="28"/>
      <c r="AUK6" s="28"/>
      <c r="AUL6" s="28"/>
      <c r="AUM6" s="28"/>
      <c r="AUN6" s="28"/>
      <c r="AUO6" s="28"/>
      <c r="AUP6" s="28"/>
      <c r="AUQ6" s="28"/>
      <c r="AUR6" s="28"/>
      <c r="AUS6" s="28"/>
      <c r="AUT6" s="28"/>
      <c r="AUU6" s="28"/>
      <c r="AUV6" s="28"/>
      <c r="AUW6" s="28"/>
      <c r="AUX6" s="28"/>
      <c r="AUY6" s="28"/>
      <c r="AUZ6" s="28"/>
      <c r="AVA6" s="28"/>
      <c r="AVB6" s="28"/>
      <c r="AVC6" s="28"/>
      <c r="AVD6" s="28"/>
      <c r="AVE6" s="28"/>
      <c r="AVF6" s="28"/>
      <c r="AVG6" s="28"/>
      <c r="AVH6" s="28"/>
      <c r="AVI6" s="28"/>
      <c r="AVJ6" s="28"/>
      <c r="AVK6" s="28"/>
      <c r="AVL6" s="28"/>
      <c r="AVM6" s="28"/>
      <c r="AVN6" s="28"/>
      <c r="AVO6" s="28"/>
      <c r="AVP6" s="28"/>
      <c r="AVQ6" s="28"/>
      <c r="AVR6" s="28"/>
      <c r="AVS6" s="28"/>
      <c r="AVT6" s="28"/>
      <c r="AVU6" s="28"/>
      <c r="AVV6" s="28"/>
      <c r="AVW6" s="28"/>
      <c r="AVX6" s="28"/>
      <c r="AVY6" s="28"/>
      <c r="AVZ6" s="28"/>
      <c r="AWA6" s="28"/>
      <c r="AWB6" s="28"/>
      <c r="AWC6" s="28"/>
      <c r="AWD6" s="28"/>
      <c r="AWE6" s="28"/>
      <c r="AWF6" s="28"/>
      <c r="AWG6" s="28"/>
      <c r="AWH6" s="28"/>
      <c r="AWI6" s="28"/>
      <c r="AWJ6" s="28"/>
      <c r="AWK6" s="28"/>
      <c r="AWL6" s="28"/>
      <c r="AWM6" s="28"/>
      <c r="AWN6" s="28"/>
      <c r="AWO6" s="28"/>
      <c r="AWP6" s="28"/>
      <c r="AWQ6" s="28"/>
      <c r="AWR6" s="28"/>
      <c r="AWS6" s="28"/>
      <c r="AWT6" s="28"/>
      <c r="AWU6" s="28"/>
      <c r="AWV6" s="28"/>
      <c r="AWW6" s="28"/>
      <c r="AWX6" s="28"/>
      <c r="AWY6" s="28"/>
      <c r="AWZ6" s="28"/>
      <c r="AXA6" s="28"/>
      <c r="AXB6" s="28"/>
      <c r="AXC6" s="28"/>
      <c r="AXD6" s="28"/>
      <c r="AXE6" s="28"/>
      <c r="AXF6" s="28"/>
      <c r="AXG6" s="28"/>
      <c r="AXH6" s="28"/>
      <c r="AXI6" s="28"/>
      <c r="AXJ6" s="28"/>
      <c r="AXK6" s="28"/>
      <c r="AXL6" s="28"/>
      <c r="AXM6" s="28"/>
      <c r="AXN6" s="28"/>
      <c r="AXO6" s="28"/>
      <c r="AXP6" s="28"/>
      <c r="AXQ6" s="28"/>
      <c r="AXR6" s="28"/>
      <c r="AXS6" s="28"/>
      <c r="AXT6" s="28"/>
      <c r="AXU6" s="28"/>
      <c r="AXV6" s="28"/>
      <c r="AXW6" s="28"/>
      <c r="AXX6" s="28"/>
      <c r="AXY6" s="28"/>
      <c r="AXZ6" s="28"/>
      <c r="AYA6" s="28"/>
      <c r="AYB6" s="28"/>
      <c r="AYC6" s="28"/>
      <c r="AYD6" s="28"/>
      <c r="AYE6" s="28"/>
      <c r="AYF6" s="28"/>
      <c r="AYG6" s="28"/>
      <c r="AYH6" s="28"/>
      <c r="AYI6" s="28"/>
      <c r="AYJ6" s="28"/>
      <c r="AYK6" s="28"/>
      <c r="AYL6" s="28"/>
      <c r="AYM6" s="28"/>
      <c r="AYN6" s="28"/>
      <c r="AYO6" s="28"/>
      <c r="AYP6" s="28"/>
      <c r="AYQ6" s="28"/>
      <c r="AYR6" s="28"/>
      <c r="AYS6" s="28"/>
      <c r="AYT6" s="28"/>
      <c r="AYU6" s="28"/>
      <c r="AYV6" s="28"/>
      <c r="AYW6" s="28"/>
      <c r="AYX6" s="28"/>
      <c r="AYY6" s="28"/>
      <c r="AYZ6" s="28"/>
      <c r="AZA6" s="28"/>
      <c r="AZB6" s="28"/>
      <c r="AZC6" s="28"/>
      <c r="AZD6" s="28"/>
      <c r="AZE6" s="28"/>
      <c r="AZF6" s="28"/>
      <c r="AZG6" s="28"/>
      <c r="AZH6" s="28"/>
      <c r="AZI6" s="28"/>
      <c r="AZJ6" s="28"/>
      <c r="AZK6" s="28"/>
      <c r="AZL6" s="28"/>
      <c r="AZM6" s="28"/>
      <c r="AZN6" s="28"/>
      <c r="AZO6" s="28"/>
      <c r="AZP6" s="28"/>
      <c r="AZQ6" s="28"/>
      <c r="AZR6" s="28"/>
      <c r="AZS6" s="28"/>
      <c r="AZT6" s="28"/>
      <c r="AZU6" s="28"/>
      <c r="AZV6" s="28"/>
      <c r="AZW6" s="28"/>
      <c r="AZX6" s="28"/>
      <c r="AZY6" s="28"/>
      <c r="AZZ6" s="28"/>
      <c r="BAA6" s="28"/>
      <c r="BAB6" s="28"/>
      <c r="BAC6" s="28"/>
      <c r="BAD6" s="28"/>
      <c r="BAE6" s="28"/>
      <c r="BAF6" s="28"/>
      <c r="BAG6" s="28"/>
      <c r="BAH6" s="28"/>
      <c r="BAI6" s="28"/>
      <c r="BAJ6" s="28"/>
      <c r="BAK6" s="28"/>
      <c r="BAL6" s="28"/>
      <c r="BAM6" s="28"/>
      <c r="BAN6" s="28"/>
      <c r="BAO6" s="28"/>
      <c r="BAP6" s="28"/>
      <c r="BAQ6" s="28"/>
      <c r="BAR6" s="28"/>
      <c r="BAS6" s="28"/>
      <c r="BAT6" s="28"/>
      <c r="BAU6" s="28"/>
      <c r="BAV6" s="28"/>
      <c r="BAW6" s="28"/>
      <c r="BAX6" s="28"/>
      <c r="BAY6" s="28"/>
      <c r="BAZ6" s="28"/>
      <c r="BBA6" s="28"/>
      <c r="BBB6" s="28"/>
      <c r="BBC6" s="28"/>
      <c r="BBD6" s="28"/>
      <c r="BBE6" s="28"/>
      <c r="BBF6" s="28"/>
      <c r="BBG6" s="28"/>
      <c r="BBH6" s="28"/>
      <c r="BBI6" s="28"/>
      <c r="BBJ6" s="28"/>
      <c r="BBK6" s="28"/>
      <c r="BBL6" s="28"/>
      <c r="BBM6" s="28"/>
      <c r="BBN6" s="28"/>
      <c r="BBO6" s="28"/>
      <c r="BBP6" s="28"/>
      <c r="BBQ6" s="28"/>
      <c r="BBR6" s="28"/>
      <c r="BBS6" s="28"/>
      <c r="BBT6" s="28"/>
      <c r="BBU6" s="28"/>
      <c r="BBV6" s="28"/>
      <c r="BBW6" s="28"/>
      <c r="BBX6" s="28"/>
      <c r="BBY6" s="28"/>
      <c r="BBZ6" s="28"/>
      <c r="BCA6" s="28"/>
      <c r="BCB6" s="28"/>
      <c r="BCC6" s="28"/>
      <c r="BCD6" s="28"/>
      <c r="BCE6" s="28"/>
      <c r="BCF6" s="28"/>
      <c r="BCG6" s="28"/>
      <c r="BCH6" s="28"/>
      <c r="BCI6" s="28"/>
      <c r="BCJ6" s="28"/>
      <c r="BCK6" s="28"/>
      <c r="BCL6" s="28"/>
      <c r="BCM6" s="28"/>
      <c r="BCN6" s="28"/>
      <c r="BCO6" s="28"/>
      <c r="BCP6" s="28"/>
      <c r="BCQ6" s="28"/>
      <c r="BCR6" s="28"/>
      <c r="BCS6" s="28"/>
      <c r="BCT6" s="28"/>
      <c r="BCU6" s="28"/>
      <c r="BCV6" s="28"/>
      <c r="BCW6" s="28"/>
      <c r="BCX6" s="28"/>
      <c r="BCY6" s="28"/>
      <c r="BCZ6" s="28"/>
      <c r="BDA6" s="28"/>
      <c r="BDB6" s="28"/>
      <c r="BDC6" s="28"/>
      <c r="BDD6" s="28"/>
      <c r="BDE6" s="28"/>
      <c r="BDF6" s="28"/>
      <c r="BDG6" s="28"/>
      <c r="BDH6" s="28"/>
      <c r="BDI6" s="28"/>
      <c r="BDJ6" s="28"/>
      <c r="BDK6" s="28"/>
      <c r="BDL6" s="28"/>
      <c r="BDM6" s="28"/>
      <c r="BDN6" s="28"/>
      <c r="BDO6" s="28"/>
      <c r="BDP6" s="28"/>
      <c r="BDQ6" s="28"/>
      <c r="BDR6" s="28"/>
      <c r="BDS6" s="28"/>
      <c r="BDT6" s="28"/>
      <c r="BDU6" s="28"/>
      <c r="BDV6" s="28"/>
      <c r="BDW6" s="28"/>
      <c r="BDX6" s="28"/>
      <c r="BDY6" s="28"/>
      <c r="BDZ6" s="28"/>
      <c r="BEA6" s="28"/>
      <c r="BEB6" s="28"/>
      <c r="BEC6" s="28"/>
      <c r="BED6" s="28"/>
      <c r="BEE6" s="28"/>
      <c r="BEF6" s="28"/>
      <c r="BEG6" s="28"/>
      <c r="BEH6" s="28"/>
      <c r="BEI6" s="28"/>
      <c r="BEJ6" s="28"/>
      <c r="BEK6" s="28"/>
      <c r="BEL6" s="28"/>
      <c r="BEM6" s="28"/>
      <c r="BEN6" s="28"/>
      <c r="BEO6" s="28"/>
      <c r="BEP6" s="28"/>
      <c r="BEQ6" s="28"/>
      <c r="BER6" s="28"/>
      <c r="BES6" s="28"/>
      <c r="BET6" s="28"/>
      <c r="BEU6" s="28"/>
      <c r="BEV6" s="28"/>
      <c r="BEW6" s="28"/>
      <c r="BEX6" s="28"/>
      <c r="BEY6" s="28"/>
      <c r="BEZ6" s="28"/>
      <c r="BFA6" s="28"/>
      <c r="BFB6" s="28"/>
      <c r="BFC6" s="28"/>
      <c r="BFD6" s="28"/>
      <c r="BFE6" s="28"/>
      <c r="BFF6" s="28"/>
      <c r="BFG6" s="28"/>
      <c r="BFH6" s="28"/>
      <c r="BFI6" s="28"/>
      <c r="BFJ6" s="28"/>
      <c r="BFK6" s="28"/>
      <c r="BFL6" s="28"/>
      <c r="BFM6" s="28"/>
      <c r="BFN6" s="28"/>
      <c r="BFO6" s="28"/>
      <c r="BFP6" s="28"/>
      <c r="BFQ6" s="28"/>
      <c r="BFR6" s="28"/>
      <c r="BFS6" s="28"/>
      <c r="BFT6" s="28"/>
      <c r="BFU6" s="28"/>
      <c r="BFV6" s="28"/>
      <c r="BFW6" s="28"/>
      <c r="BFX6" s="28"/>
      <c r="BFY6" s="28"/>
      <c r="BFZ6" s="28"/>
      <c r="BGA6" s="28"/>
      <c r="BGB6" s="28"/>
      <c r="BGC6" s="28"/>
      <c r="BGD6" s="28"/>
      <c r="BGE6" s="28"/>
      <c r="BGF6" s="28"/>
      <c r="BGG6" s="28"/>
      <c r="BGH6" s="28"/>
      <c r="BGI6" s="28"/>
      <c r="BGJ6" s="28"/>
      <c r="BGK6" s="28"/>
      <c r="BGL6" s="28"/>
      <c r="BGM6" s="28"/>
      <c r="BGN6" s="28"/>
      <c r="BGO6" s="28"/>
      <c r="BGP6" s="28"/>
      <c r="BGQ6" s="28"/>
      <c r="BGR6" s="28"/>
      <c r="BGS6" s="28"/>
      <c r="BGT6" s="28"/>
      <c r="BGU6" s="28"/>
      <c r="BGV6" s="28"/>
      <c r="BGW6" s="28"/>
      <c r="BGX6" s="28"/>
      <c r="BGY6" s="28"/>
      <c r="BGZ6" s="28"/>
      <c r="BHA6" s="28"/>
      <c r="BHB6" s="28"/>
      <c r="BHC6" s="28"/>
      <c r="BHD6" s="28"/>
      <c r="BHE6" s="28"/>
      <c r="BHF6" s="28"/>
      <c r="BHG6" s="28"/>
      <c r="BHH6" s="28"/>
      <c r="BHI6" s="28"/>
      <c r="BHJ6" s="28"/>
      <c r="BHK6" s="28"/>
      <c r="BHL6" s="28"/>
      <c r="BHM6" s="28"/>
      <c r="BHN6" s="28"/>
      <c r="BHO6" s="28"/>
      <c r="BHP6" s="28"/>
      <c r="BHQ6" s="28"/>
      <c r="BHR6" s="28"/>
      <c r="BHS6" s="28"/>
      <c r="BHT6" s="28"/>
      <c r="BHU6" s="28"/>
      <c r="BHV6" s="28"/>
      <c r="BHW6" s="28"/>
      <c r="BHX6" s="28"/>
      <c r="BHY6" s="28"/>
      <c r="BHZ6" s="28"/>
      <c r="BIA6" s="28"/>
      <c r="BIB6" s="28"/>
      <c r="BIC6" s="28"/>
      <c r="BID6" s="28"/>
      <c r="BIE6" s="28"/>
      <c r="BIF6" s="28"/>
      <c r="BIG6" s="28"/>
      <c r="BIH6" s="28"/>
      <c r="BII6" s="28"/>
      <c r="BIJ6" s="28"/>
      <c r="BIK6" s="28"/>
      <c r="BIL6" s="28"/>
      <c r="BIM6" s="28"/>
      <c r="BIN6" s="28"/>
      <c r="BIO6" s="28"/>
      <c r="BIP6" s="28"/>
      <c r="BIQ6" s="28"/>
      <c r="BIR6" s="28"/>
      <c r="BIS6" s="28"/>
      <c r="BIT6" s="28"/>
      <c r="BIU6" s="28"/>
      <c r="BIV6" s="28"/>
      <c r="BIW6" s="28"/>
      <c r="BIX6" s="28"/>
      <c r="BIY6" s="28"/>
      <c r="BIZ6" s="28"/>
      <c r="BJA6" s="28"/>
      <c r="BJB6" s="28"/>
      <c r="BJC6" s="28"/>
      <c r="BJD6" s="28"/>
      <c r="BJE6" s="28"/>
      <c r="BJF6" s="28"/>
      <c r="BJG6" s="28"/>
      <c r="BJH6" s="28"/>
      <c r="BJI6" s="28"/>
      <c r="BJJ6" s="28"/>
      <c r="BJK6" s="28"/>
      <c r="BJL6" s="28"/>
      <c r="BJM6" s="28"/>
      <c r="BJN6" s="28"/>
      <c r="BJO6" s="28"/>
      <c r="BJP6" s="28"/>
      <c r="BJQ6" s="28"/>
      <c r="BJR6" s="28"/>
      <c r="BJS6" s="28"/>
      <c r="BJT6" s="28"/>
      <c r="BJU6" s="28"/>
      <c r="BJV6" s="28"/>
      <c r="BJW6" s="28"/>
      <c r="BJX6" s="28"/>
      <c r="BJY6" s="28"/>
      <c r="BJZ6" s="28"/>
      <c r="BKA6" s="28"/>
      <c r="BKB6" s="28"/>
      <c r="BKC6" s="28"/>
      <c r="BKD6" s="28"/>
      <c r="BKE6" s="28"/>
      <c r="BKF6" s="28"/>
      <c r="BKG6" s="28"/>
      <c r="BKH6" s="28"/>
      <c r="BKI6" s="28"/>
      <c r="BKJ6" s="28"/>
      <c r="BKK6" s="28"/>
      <c r="BKL6" s="28"/>
      <c r="BKM6" s="28"/>
      <c r="BKN6" s="28"/>
      <c r="BKO6" s="28"/>
      <c r="BKP6" s="28"/>
      <c r="BKQ6" s="28"/>
      <c r="BKR6" s="28"/>
      <c r="BKS6" s="28"/>
      <c r="BKT6" s="28"/>
      <c r="BKU6" s="28"/>
      <c r="BKV6" s="28"/>
      <c r="BKW6" s="28"/>
      <c r="BKX6" s="28"/>
      <c r="BKY6" s="28"/>
      <c r="BKZ6" s="28"/>
      <c r="BLA6" s="28"/>
      <c r="BLB6" s="28"/>
      <c r="BLC6" s="28"/>
      <c r="BLD6" s="28"/>
      <c r="BLE6" s="28"/>
      <c r="BLF6" s="28"/>
      <c r="BLG6" s="28"/>
      <c r="BLH6" s="28"/>
      <c r="BLI6" s="28"/>
      <c r="BLJ6" s="28"/>
      <c r="BLK6" s="28"/>
      <c r="BLL6" s="28"/>
      <c r="BLM6" s="28"/>
      <c r="BLN6" s="28"/>
      <c r="BLO6" s="28"/>
      <c r="BLP6" s="28"/>
      <c r="BLQ6" s="28"/>
      <c r="BLR6" s="28"/>
      <c r="BLS6" s="28"/>
      <c r="BLT6" s="28"/>
      <c r="BLU6" s="28"/>
      <c r="BLV6" s="28"/>
      <c r="BLW6" s="28"/>
      <c r="BLX6" s="28"/>
      <c r="BLY6" s="28"/>
      <c r="BLZ6" s="28"/>
      <c r="BMA6" s="28"/>
      <c r="BMB6" s="28"/>
      <c r="BMC6" s="28"/>
      <c r="BMD6" s="28"/>
      <c r="BME6" s="28"/>
      <c r="BMF6" s="28"/>
      <c r="BMG6" s="28"/>
      <c r="BMH6" s="28"/>
      <c r="BMI6" s="28"/>
      <c r="BMJ6" s="28"/>
      <c r="BMK6" s="28"/>
      <c r="BML6" s="28"/>
      <c r="BMM6" s="28"/>
      <c r="BMN6" s="28"/>
      <c r="BMO6" s="28"/>
      <c r="BMP6" s="28"/>
      <c r="BMQ6" s="28"/>
      <c r="BMR6" s="28"/>
      <c r="BMS6" s="28"/>
      <c r="BMT6" s="28"/>
      <c r="BMU6" s="28"/>
      <c r="BMV6" s="28"/>
      <c r="BMW6" s="28"/>
      <c r="BMX6" s="28"/>
      <c r="BMY6" s="28"/>
      <c r="BMZ6" s="28"/>
      <c r="BNA6" s="28"/>
      <c r="BNB6" s="28"/>
      <c r="BNC6" s="28"/>
      <c r="BND6" s="28"/>
      <c r="BNE6" s="28"/>
      <c r="BNF6" s="28"/>
      <c r="BNG6" s="28"/>
      <c r="BNH6" s="28"/>
      <c r="BNI6" s="28"/>
      <c r="BNJ6" s="28"/>
      <c r="BNK6" s="28"/>
      <c r="BNL6" s="28"/>
      <c r="BNM6" s="28"/>
      <c r="BNN6" s="28"/>
      <c r="BNO6" s="28"/>
      <c r="BNP6" s="28"/>
      <c r="BNQ6" s="28"/>
      <c r="BNR6" s="28"/>
      <c r="BNS6" s="28"/>
      <c r="BNT6" s="28"/>
      <c r="BNU6" s="28"/>
      <c r="BNV6" s="28"/>
      <c r="BNW6" s="28"/>
      <c r="BNX6" s="28"/>
      <c r="BNY6" s="28"/>
      <c r="BNZ6" s="28"/>
      <c r="BOA6" s="28"/>
      <c r="BOB6" s="28"/>
      <c r="BOC6" s="28"/>
      <c r="BOD6" s="28"/>
      <c r="BOE6" s="28"/>
      <c r="BOF6" s="28"/>
      <c r="BOG6" s="28"/>
      <c r="BOH6" s="28"/>
      <c r="BOI6" s="28"/>
      <c r="BOJ6" s="28"/>
      <c r="BOK6" s="28"/>
      <c r="BOL6" s="28"/>
      <c r="BOM6" s="28"/>
      <c r="BON6" s="28"/>
      <c r="BOO6" s="28"/>
      <c r="BOP6" s="28"/>
      <c r="BOQ6" s="28"/>
      <c r="BOR6" s="28"/>
      <c r="BOS6" s="28"/>
      <c r="BOT6" s="28"/>
      <c r="BOU6" s="28"/>
      <c r="BOV6" s="28"/>
      <c r="BOW6" s="28"/>
      <c r="BOX6" s="28"/>
      <c r="BOY6" s="28"/>
      <c r="BOZ6" s="28"/>
      <c r="BPA6" s="28"/>
      <c r="BPB6" s="28"/>
      <c r="BPC6" s="28"/>
      <c r="BPD6" s="28"/>
      <c r="BPE6" s="28"/>
      <c r="BPF6" s="28"/>
      <c r="BPG6" s="28"/>
      <c r="BPH6" s="28"/>
      <c r="BPI6" s="28"/>
      <c r="BPJ6" s="28"/>
      <c r="BPK6" s="28"/>
      <c r="BPL6" s="28"/>
      <c r="BPM6" s="28"/>
      <c r="BPN6" s="28"/>
      <c r="BPO6" s="28"/>
      <c r="BPP6" s="28"/>
      <c r="BPQ6" s="28"/>
      <c r="BPR6" s="28"/>
      <c r="BPS6" s="28"/>
      <c r="BPT6" s="28"/>
      <c r="BPU6" s="28"/>
      <c r="BPV6" s="28"/>
      <c r="BPW6" s="28"/>
      <c r="BPX6" s="28"/>
      <c r="BPY6" s="28"/>
      <c r="BPZ6" s="28"/>
      <c r="BQA6" s="28"/>
      <c r="BQB6" s="28"/>
      <c r="BQC6" s="28"/>
      <c r="BQD6" s="28"/>
      <c r="BQE6" s="28"/>
      <c r="BQF6" s="28"/>
      <c r="BQG6" s="28"/>
      <c r="BQH6" s="28"/>
      <c r="BQI6" s="28"/>
      <c r="BQJ6" s="28"/>
      <c r="BQK6" s="28"/>
      <c r="BQL6" s="28"/>
      <c r="BQM6" s="28"/>
      <c r="BQN6" s="28"/>
      <c r="BQO6" s="28"/>
      <c r="BQP6" s="28"/>
      <c r="BQQ6" s="28"/>
      <c r="BQR6" s="28"/>
      <c r="BQS6" s="28"/>
      <c r="BQT6" s="28"/>
      <c r="BQU6" s="28"/>
      <c r="BQV6" s="28"/>
      <c r="BQW6" s="28"/>
      <c r="BQX6" s="28"/>
      <c r="BQY6" s="28"/>
      <c r="BQZ6" s="28"/>
      <c r="BRA6" s="28"/>
      <c r="BRB6" s="28"/>
      <c r="BRC6" s="28"/>
      <c r="BRD6" s="28"/>
      <c r="BRE6" s="28"/>
      <c r="BRF6" s="28"/>
      <c r="BRG6" s="28"/>
      <c r="BRH6" s="28"/>
      <c r="BRI6" s="28"/>
      <c r="BRJ6" s="28"/>
      <c r="BRK6" s="28"/>
      <c r="BRL6" s="28"/>
      <c r="BRM6" s="28"/>
      <c r="BRN6" s="28"/>
      <c r="BRO6" s="28"/>
      <c r="BRP6" s="28"/>
      <c r="BRQ6" s="28"/>
      <c r="BRR6" s="28"/>
      <c r="BRS6" s="28"/>
      <c r="BRT6" s="28"/>
      <c r="BRU6" s="28"/>
      <c r="BRV6" s="28"/>
      <c r="BRW6" s="28"/>
      <c r="BRX6" s="28"/>
      <c r="BRY6" s="28"/>
      <c r="BRZ6" s="28"/>
      <c r="BSA6" s="28"/>
      <c r="BSB6" s="28"/>
      <c r="BSC6" s="28"/>
      <c r="BSD6" s="28"/>
      <c r="BSE6" s="28"/>
      <c r="BSF6" s="28"/>
      <c r="BSG6" s="28"/>
      <c r="BSH6" s="28"/>
      <c r="BSI6" s="28"/>
      <c r="BSJ6" s="28"/>
      <c r="BSK6" s="28"/>
      <c r="BSL6" s="28"/>
      <c r="BSM6" s="28"/>
      <c r="BSN6" s="28"/>
      <c r="BSO6" s="28"/>
      <c r="BSP6" s="28"/>
      <c r="BSQ6" s="28"/>
      <c r="BSR6" s="28"/>
      <c r="BSS6" s="28"/>
      <c r="BST6" s="28"/>
      <c r="BSU6" s="28"/>
      <c r="BSV6" s="28"/>
      <c r="BSW6" s="28"/>
      <c r="BSX6" s="28"/>
      <c r="BSY6" s="28"/>
      <c r="BSZ6" s="28"/>
      <c r="BTA6" s="28"/>
      <c r="BTB6" s="28"/>
      <c r="BTC6" s="28"/>
      <c r="BTD6" s="28"/>
      <c r="BTE6" s="28"/>
      <c r="BTF6" s="28"/>
      <c r="BTG6" s="28"/>
      <c r="BTH6" s="28"/>
      <c r="BTI6" s="28"/>
      <c r="BTJ6" s="28"/>
      <c r="BTK6" s="28"/>
      <c r="BTL6" s="28"/>
      <c r="BTM6" s="28"/>
      <c r="BTN6" s="28"/>
      <c r="BTO6" s="28"/>
      <c r="BTP6" s="28"/>
      <c r="BTQ6" s="28"/>
      <c r="BTR6" s="28"/>
      <c r="BTS6" s="28"/>
      <c r="BTT6" s="28"/>
      <c r="BTU6" s="28"/>
      <c r="BTV6" s="28"/>
      <c r="BTW6" s="28"/>
      <c r="BTX6" s="28"/>
      <c r="BTY6" s="28"/>
      <c r="BTZ6" s="28"/>
      <c r="BUA6" s="28"/>
      <c r="BUB6" s="28"/>
      <c r="BUC6" s="28"/>
      <c r="BUD6" s="28"/>
      <c r="BUE6" s="28"/>
      <c r="BUF6" s="28"/>
      <c r="BUG6" s="28"/>
      <c r="BUH6" s="28"/>
      <c r="BUI6" s="28"/>
      <c r="BUJ6" s="28"/>
      <c r="BUK6" s="28"/>
      <c r="BUL6" s="28"/>
      <c r="BUM6" s="28"/>
      <c r="BUN6" s="28"/>
      <c r="BUO6" s="28"/>
      <c r="BUP6" s="28"/>
      <c r="BUQ6" s="28"/>
      <c r="BUR6" s="28"/>
      <c r="BUS6" s="28"/>
      <c r="BUT6" s="28"/>
      <c r="BUU6" s="28"/>
      <c r="BUV6" s="28"/>
      <c r="BUW6" s="28"/>
      <c r="BUX6" s="28"/>
      <c r="BUY6" s="28"/>
      <c r="BUZ6" s="28"/>
      <c r="BVA6" s="28"/>
      <c r="BVB6" s="28"/>
      <c r="BVC6" s="28"/>
      <c r="BVD6" s="28"/>
      <c r="BVE6" s="28"/>
      <c r="BVF6" s="28"/>
      <c r="BVG6" s="28"/>
      <c r="BVH6" s="28"/>
      <c r="BVI6" s="28"/>
      <c r="BVJ6" s="28"/>
      <c r="BVK6" s="28"/>
      <c r="BVL6" s="28"/>
      <c r="BVM6" s="28"/>
      <c r="BVN6" s="28"/>
      <c r="BVO6" s="28"/>
      <c r="BVP6" s="28"/>
      <c r="BVQ6" s="28"/>
      <c r="BVR6" s="28"/>
      <c r="BVS6" s="28"/>
      <c r="BVT6" s="28"/>
      <c r="BVU6" s="28"/>
      <c r="BVV6" s="28"/>
      <c r="BVW6" s="28"/>
      <c r="BVX6" s="28"/>
      <c r="BVY6" s="28"/>
      <c r="BVZ6" s="28"/>
      <c r="BWA6" s="28"/>
      <c r="BWB6" s="28"/>
      <c r="BWC6" s="28"/>
      <c r="BWD6" s="28"/>
      <c r="BWE6" s="28"/>
      <c r="BWF6" s="28"/>
      <c r="BWG6" s="28"/>
      <c r="BWH6" s="28"/>
      <c r="BWI6" s="28"/>
      <c r="BWJ6" s="28"/>
      <c r="BWK6" s="28"/>
      <c r="BWL6" s="28"/>
      <c r="BWM6" s="28"/>
      <c r="BWN6" s="28"/>
      <c r="BWO6" s="28"/>
      <c r="BWP6" s="28"/>
      <c r="BWQ6" s="28"/>
      <c r="BWR6" s="28"/>
      <c r="BWS6" s="28"/>
      <c r="BWT6" s="28"/>
      <c r="BWU6" s="28"/>
      <c r="BWV6" s="28"/>
      <c r="BWW6" s="28"/>
      <c r="BWX6" s="28"/>
      <c r="BWY6" s="28"/>
      <c r="BWZ6" s="28"/>
      <c r="BXA6" s="28"/>
      <c r="BXB6" s="28"/>
      <c r="BXC6" s="28"/>
      <c r="BXD6" s="28"/>
      <c r="BXE6" s="28"/>
      <c r="BXF6" s="28"/>
      <c r="BXG6" s="28"/>
      <c r="BXH6" s="28"/>
      <c r="BXI6" s="28"/>
      <c r="BXJ6" s="28"/>
      <c r="BXK6" s="28"/>
      <c r="BXL6" s="28"/>
      <c r="BXM6" s="28"/>
      <c r="BXN6" s="28"/>
      <c r="BXO6" s="28"/>
      <c r="BXP6" s="28"/>
      <c r="BXQ6" s="28"/>
      <c r="BXR6" s="28"/>
      <c r="BXS6" s="28"/>
      <c r="BXT6" s="28"/>
      <c r="BXU6" s="28"/>
      <c r="BXV6" s="28"/>
      <c r="BXW6" s="28"/>
      <c r="BXX6" s="28"/>
      <c r="BXY6" s="28"/>
      <c r="BXZ6" s="28"/>
      <c r="BYA6" s="28"/>
      <c r="BYB6" s="28"/>
      <c r="BYC6" s="28"/>
      <c r="BYD6" s="28"/>
      <c r="BYE6" s="28"/>
      <c r="BYF6" s="28"/>
      <c r="BYG6" s="28"/>
      <c r="BYH6" s="28"/>
      <c r="BYI6" s="28"/>
      <c r="BYJ6" s="28"/>
      <c r="BYK6" s="28"/>
      <c r="BYL6" s="28"/>
      <c r="BYM6" s="28"/>
      <c r="BYN6" s="28"/>
      <c r="BYO6" s="28"/>
      <c r="BYP6" s="28"/>
      <c r="BYQ6" s="28"/>
      <c r="BYR6" s="28"/>
      <c r="BYS6" s="28"/>
      <c r="BYT6" s="28"/>
      <c r="BYU6" s="28"/>
      <c r="BYV6" s="28"/>
      <c r="BYW6" s="28"/>
      <c r="BYX6" s="28"/>
      <c r="BYY6" s="28"/>
      <c r="BYZ6" s="28"/>
      <c r="BZA6" s="28"/>
      <c r="BZB6" s="28"/>
      <c r="BZC6" s="28"/>
      <c r="BZD6" s="28"/>
      <c r="BZE6" s="28"/>
      <c r="BZF6" s="28"/>
      <c r="BZG6" s="28"/>
      <c r="BZH6" s="28"/>
      <c r="BZI6" s="28"/>
      <c r="BZJ6" s="28"/>
      <c r="BZK6" s="28"/>
      <c r="BZL6" s="28"/>
      <c r="BZM6" s="28"/>
      <c r="BZN6" s="28"/>
      <c r="BZO6" s="28"/>
      <c r="BZP6" s="28"/>
      <c r="BZQ6" s="28"/>
      <c r="BZR6" s="28"/>
      <c r="BZS6" s="28"/>
      <c r="BZT6" s="28"/>
      <c r="BZU6" s="28"/>
      <c r="BZV6" s="28"/>
      <c r="BZW6" s="28"/>
      <c r="BZX6" s="28"/>
      <c r="BZY6" s="28"/>
      <c r="BZZ6" s="28"/>
      <c r="CAA6" s="28"/>
      <c r="CAB6" s="28"/>
      <c r="CAC6" s="28"/>
      <c r="CAD6" s="28"/>
      <c r="CAE6" s="28"/>
      <c r="CAF6" s="28"/>
      <c r="CAG6" s="28"/>
      <c r="CAH6" s="28"/>
      <c r="CAI6" s="28"/>
      <c r="CAJ6" s="28"/>
      <c r="CAK6" s="28"/>
      <c r="CAL6" s="28"/>
      <c r="CAM6" s="28"/>
      <c r="CAN6" s="28"/>
      <c r="CAO6" s="28"/>
      <c r="CAP6" s="28"/>
      <c r="CAQ6" s="28"/>
      <c r="CAR6" s="28"/>
      <c r="CAS6" s="28"/>
      <c r="CAT6" s="28"/>
      <c r="CAU6" s="28"/>
      <c r="CAV6" s="28"/>
      <c r="CAW6" s="28"/>
      <c r="CAX6" s="28"/>
      <c r="CAY6" s="28"/>
      <c r="CAZ6" s="28"/>
      <c r="CBA6" s="28"/>
      <c r="CBB6" s="28"/>
      <c r="CBC6" s="28"/>
      <c r="CBD6" s="28"/>
      <c r="CBE6" s="28"/>
      <c r="CBF6" s="28"/>
      <c r="CBG6" s="28"/>
      <c r="CBH6" s="28"/>
      <c r="CBI6" s="28"/>
      <c r="CBJ6" s="28"/>
      <c r="CBK6" s="28"/>
      <c r="CBL6" s="28"/>
      <c r="CBM6" s="28"/>
      <c r="CBN6" s="28"/>
      <c r="CBO6" s="28"/>
      <c r="CBP6" s="28"/>
      <c r="CBQ6" s="28"/>
      <c r="CBR6" s="28"/>
      <c r="CBS6" s="28"/>
      <c r="CBT6" s="28"/>
      <c r="CBU6" s="28"/>
      <c r="CBV6" s="28"/>
      <c r="CBW6" s="28"/>
      <c r="CBX6" s="28"/>
      <c r="CBY6" s="28"/>
      <c r="CBZ6" s="28"/>
      <c r="CCA6" s="28"/>
      <c r="CCB6" s="28"/>
      <c r="CCC6" s="28"/>
      <c r="CCD6" s="28"/>
      <c r="CCE6" s="28"/>
      <c r="CCF6" s="28"/>
      <c r="CCG6" s="28"/>
      <c r="CCH6" s="28"/>
      <c r="CCI6" s="28"/>
      <c r="CCJ6" s="28"/>
      <c r="CCK6" s="28"/>
      <c r="CCL6" s="28"/>
      <c r="CCM6" s="28"/>
      <c r="CCN6" s="28"/>
      <c r="CCO6" s="28"/>
      <c r="CCP6" s="28"/>
      <c r="CCQ6" s="28"/>
      <c r="CCR6" s="28"/>
      <c r="CCS6" s="28"/>
      <c r="CCT6" s="28"/>
      <c r="CCU6" s="28"/>
      <c r="CCV6" s="28"/>
      <c r="CCW6" s="28"/>
      <c r="CCX6" s="28"/>
      <c r="CCY6" s="28"/>
      <c r="CCZ6" s="28"/>
      <c r="CDA6" s="28"/>
      <c r="CDB6" s="28"/>
      <c r="CDC6" s="28"/>
      <c r="CDD6" s="28"/>
      <c r="CDE6" s="28"/>
      <c r="CDF6" s="28"/>
      <c r="CDG6" s="28"/>
      <c r="CDH6" s="28"/>
      <c r="CDI6" s="28"/>
      <c r="CDJ6" s="28"/>
      <c r="CDK6" s="28"/>
      <c r="CDL6" s="28"/>
      <c r="CDM6" s="28"/>
      <c r="CDN6" s="28"/>
      <c r="CDO6" s="28"/>
      <c r="CDP6" s="28"/>
      <c r="CDQ6" s="28"/>
      <c r="CDR6" s="28"/>
      <c r="CDS6" s="28"/>
      <c r="CDT6" s="28"/>
      <c r="CDU6" s="28"/>
      <c r="CDV6" s="28"/>
      <c r="CDW6" s="28"/>
      <c r="CDX6" s="28"/>
      <c r="CDY6" s="28"/>
      <c r="CDZ6" s="28"/>
      <c r="CEA6" s="28"/>
      <c r="CEB6" s="28"/>
      <c r="CEC6" s="28"/>
      <c r="CED6" s="28"/>
      <c r="CEE6" s="28"/>
      <c r="CEF6" s="28"/>
      <c r="CEG6" s="28"/>
      <c r="CEH6" s="28"/>
      <c r="CEI6" s="28"/>
      <c r="CEJ6" s="28"/>
      <c r="CEK6" s="28"/>
      <c r="CEL6" s="28"/>
      <c r="CEM6" s="28"/>
      <c r="CEN6" s="28"/>
      <c r="CEO6" s="28"/>
      <c r="CEP6" s="28"/>
      <c r="CEQ6" s="28"/>
      <c r="CER6" s="28"/>
      <c r="CES6" s="28"/>
      <c r="CET6" s="28"/>
      <c r="CEU6" s="28"/>
      <c r="CEV6" s="28"/>
      <c r="CEW6" s="28"/>
      <c r="CEX6" s="28"/>
      <c r="CEY6" s="28"/>
      <c r="CEZ6" s="28"/>
      <c r="CFA6" s="28"/>
      <c r="CFB6" s="28"/>
      <c r="CFC6" s="28"/>
      <c r="CFD6" s="28"/>
      <c r="CFE6" s="28"/>
      <c r="CFF6" s="28"/>
      <c r="CFG6" s="28"/>
      <c r="CFH6" s="28"/>
      <c r="CFI6" s="28"/>
      <c r="CFJ6" s="28"/>
      <c r="CFK6" s="28"/>
      <c r="CFL6" s="28"/>
      <c r="CFM6" s="28"/>
      <c r="CFN6" s="28"/>
      <c r="CFO6" s="28"/>
      <c r="CFP6" s="28"/>
      <c r="CFQ6" s="28"/>
      <c r="CFR6" s="28"/>
      <c r="CFS6" s="28"/>
      <c r="CFT6" s="28"/>
      <c r="CFU6" s="28"/>
      <c r="CFV6" s="28"/>
      <c r="CFW6" s="28"/>
      <c r="CFX6" s="28"/>
      <c r="CFY6" s="28"/>
      <c r="CFZ6" s="28"/>
      <c r="CGA6" s="28"/>
      <c r="CGB6" s="28"/>
      <c r="CGC6" s="28"/>
      <c r="CGD6" s="28"/>
      <c r="CGE6" s="28"/>
      <c r="CGF6" s="28"/>
      <c r="CGG6" s="28"/>
      <c r="CGH6" s="28"/>
      <c r="CGI6" s="28"/>
      <c r="CGJ6" s="28"/>
      <c r="CGK6" s="28"/>
      <c r="CGL6" s="28"/>
      <c r="CGM6" s="28"/>
      <c r="CGN6" s="28"/>
      <c r="CGO6" s="28"/>
      <c r="CGP6" s="28"/>
      <c r="CGQ6" s="28"/>
      <c r="CGR6" s="28"/>
      <c r="CGS6" s="28"/>
      <c r="CGT6" s="28"/>
      <c r="CGU6" s="28"/>
      <c r="CGV6" s="28"/>
      <c r="CGW6" s="28"/>
      <c r="CGX6" s="28"/>
      <c r="CGY6" s="28"/>
      <c r="CGZ6" s="28"/>
      <c r="CHA6" s="28"/>
      <c r="CHB6" s="28"/>
      <c r="CHC6" s="28"/>
      <c r="CHD6" s="28"/>
      <c r="CHE6" s="28"/>
      <c r="CHF6" s="28"/>
      <c r="CHG6" s="28"/>
      <c r="CHH6" s="28"/>
      <c r="CHI6" s="28"/>
      <c r="CHJ6" s="28"/>
      <c r="CHK6" s="28"/>
      <c r="CHL6" s="28"/>
      <c r="CHM6" s="28"/>
      <c r="CHN6" s="28"/>
      <c r="CHO6" s="28"/>
      <c r="CHP6" s="28"/>
      <c r="CHQ6" s="28"/>
      <c r="CHR6" s="28"/>
      <c r="CHS6" s="28"/>
      <c r="CHT6" s="28"/>
      <c r="CHU6" s="28"/>
      <c r="CHV6" s="28"/>
      <c r="CHW6" s="28"/>
      <c r="CHX6" s="28"/>
      <c r="CHY6" s="28"/>
      <c r="CHZ6" s="28"/>
      <c r="CIA6" s="28"/>
      <c r="CIB6" s="28"/>
      <c r="CIC6" s="28"/>
      <c r="CID6" s="28"/>
      <c r="CIE6" s="28"/>
      <c r="CIF6" s="28"/>
      <c r="CIG6" s="28"/>
      <c r="CIH6" s="28"/>
      <c r="CII6" s="28"/>
      <c r="CIJ6" s="28"/>
      <c r="CIK6" s="28"/>
      <c r="CIL6" s="28"/>
      <c r="CIM6" s="28"/>
      <c r="CIN6" s="28"/>
      <c r="CIO6" s="28"/>
      <c r="CIP6" s="28"/>
      <c r="CIQ6" s="28"/>
      <c r="CIR6" s="28"/>
      <c r="CIS6" s="28"/>
      <c r="CIT6" s="28"/>
      <c r="CIU6" s="28"/>
      <c r="CIV6" s="28"/>
      <c r="CIW6" s="28"/>
      <c r="CIX6" s="28"/>
      <c r="CIY6" s="28"/>
      <c r="CIZ6" s="28"/>
      <c r="CJA6" s="28"/>
      <c r="CJB6" s="28"/>
      <c r="CJC6" s="28"/>
      <c r="CJD6" s="28"/>
      <c r="CJE6" s="28"/>
      <c r="CJF6" s="28"/>
      <c r="CJG6" s="28"/>
      <c r="CJH6" s="28"/>
      <c r="CJI6" s="28"/>
      <c r="CJJ6" s="28"/>
      <c r="CJK6" s="28"/>
      <c r="CJL6" s="28"/>
      <c r="CJM6" s="28"/>
      <c r="CJN6" s="28"/>
      <c r="CJO6" s="28"/>
      <c r="CJP6" s="28"/>
      <c r="CJQ6" s="28"/>
      <c r="CJR6" s="28"/>
      <c r="CJS6" s="28"/>
      <c r="CJT6" s="28"/>
      <c r="CJU6" s="28"/>
      <c r="CJV6" s="28"/>
      <c r="CJW6" s="28"/>
      <c r="CJX6" s="28"/>
      <c r="CJY6" s="28"/>
      <c r="CJZ6" s="28"/>
      <c r="CKA6" s="28"/>
      <c r="CKB6" s="28"/>
      <c r="CKC6" s="28"/>
      <c r="CKD6" s="28"/>
      <c r="CKE6" s="28"/>
      <c r="CKF6" s="28"/>
      <c r="CKG6" s="28"/>
      <c r="CKH6" s="28"/>
      <c r="CKI6" s="28"/>
      <c r="CKJ6" s="28"/>
      <c r="CKK6" s="28"/>
      <c r="CKL6" s="28"/>
      <c r="CKM6" s="28"/>
      <c r="CKN6" s="28"/>
      <c r="CKO6" s="28"/>
      <c r="CKP6" s="28"/>
      <c r="CKQ6" s="28"/>
      <c r="CKR6" s="28"/>
      <c r="CKS6" s="28"/>
      <c r="CKT6" s="28"/>
      <c r="CKU6" s="28"/>
      <c r="CKV6" s="28"/>
      <c r="CKW6" s="28"/>
      <c r="CKX6" s="28"/>
      <c r="CKY6" s="28"/>
      <c r="CKZ6" s="28"/>
      <c r="CLA6" s="28"/>
      <c r="CLB6" s="28"/>
      <c r="CLC6" s="28"/>
      <c r="CLD6" s="28"/>
      <c r="CLE6" s="28"/>
      <c r="CLF6" s="28"/>
      <c r="CLG6" s="28"/>
      <c r="CLH6" s="28"/>
      <c r="CLI6" s="28"/>
      <c r="CLJ6" s="28"/>
      <c r="CLK6" s="28"/>
      <c r="CLL6" s="28"/>
      <c r="CLM6" s="28"/>
      <c r="CLN6" s="28"/>
      <c r="CLO6" s="28"/>
      <c r="CLP6" s="28"/>
      <c r="CLQ6" s="28"/>
      <c r="CLR6" s="28"/>
      <c r="CLS6" s="28"/>
      <c r="CLT6" s="28"/>
      <c r="CLU6" s="28"/>
      <c r="CLV6" s="28"/>
      <c r="CLW6" s="28"/>
      <c r="CLX6" s="28"/>
      <c r="CLY6" s="28"/>
      <c r="CLZ6" s="28"/>
      <c r="CMA6" s="28"/>
      <c r="CMB6" s="28"/>
      <c r="CMC6" s="28"/>
      <c r="CMD6" s="28"/>
      <c r="CME6" s="28"/>
      <c r="CMF6" s="28"/>
      <c r="CMG6" s="28"/>
      <c r="CMH6" s="28"/>
      <c r="CMI6" s="28"/>
      <c r="CMJ6" s="28"/>
      <c r="CMK6" s="28"/>
      <c r="CML6" s="28"/>
      <c r="CMM6" s="28"/>
      <c r="CMN6" s="28"/>
      <c r="CMO6" s="28"/>
      <c r="CMP6" s="28"/>
      <c r="CMQ6" s="28"/>
      <c r="CMR6" s="28"/>
      <c r="CMS6" s="28"/>
      <c r="CMT6" s="28"/>
      <c r="CMU6" s="28"/>
      <c r="CMV6" s="28"/>
      <c r="CMW6" s="28"/>
      <c r="CMX6" s="28"/>
      <c r="CMY6" s="28"/>
      <c r="CMZ6" s="28"/>
      <c r="CNA6" s="28"/>
      <c r="CNB6" s="28"/>
      <c r="CNC6" s="28"/>
      <c r="CND6" s="28"/>
      <c r="CNE6" s="28"/>
      <c r="CNF6" s="28"/>
      <c r="CNG6" s="28"/>
      <c r="CNH6" s="28"/>
      <c r="CNI6" s="28"/>
      <c r="CNJ6" s="28"/>
      <c r="CNK6" s="28"/>
      <c r="CNL6" s="28"/>
      <c r="CNM6" s="28"/>
      <c r="CNN6" s="28"/>
      <c r="CNO6" s="28"/>
      <c r="CNP6" s="28"/>
      <c r="CNQ6" s="28"/>
      <c r="CNR6" s="28"/>
      <c r="CNS6" s="28"/>
      <c r="CNT6" s="28"/>
      <c r="CNU6" s="28"/>
      <c r="CNV6" s="28"/>
      <c r="CNW6" s="28"/>
      <c r="CNX6" s="28"/>
      <c r="CNY6" s="28"/>
      <c r="CNZ6" s="28"/>
      <c r="COA6" s="28"/>
      <c r="COB6" s="28"/>
      <c r="COC6" s="28"/>
      <c r="COD6" s="28"/>
      <c r="COE6" s="28"/>
      <c r="COF6" s="28"/>
      <c r="COG6" s="28"/>
      <c r="COH6" s="28"/>
      <c r="COI6" s="28"/>
      <c r="COJ6" s="28"/>
      <c r="COK6" s="28"/>
      <c r="COL6" s="28"/>
      <c r="COM6" s="28"/>
      <c r="CON6" s="28"/>
      <c r="COO6" s="28"/>
      <c r="COP6" s="28"/>
      <c r="COQ6" s="28"/>
      <c r="COR6" s="28"/>
      <c r="COS6" s="28"/>
      <c r="COT6" s="28"/>
      <c r="COU6" s="28"/>
      <c r="COV6" s="28"/>
      <c r="COW6" s="28"/>
      <c r="COX6" s="28"/>
      <c r="COY6" s="28"/>
      <c r="COZ6" s="28"/>
      <c r="CPA6" s="28"/>
      <c r="CPB6" s="28"/>
      <c r="CPC6" s="28"/>
      <c r="CPD6" s="28"/>
      <c r="CPE6" s="28"/>
      <c r="CPF6" s="28"/>
      <c r="CPG6" s="28"/>
      <c r="CPH6" s="28"/>
      <c r="CPI6" s="28"/>
      <c r="CPJ6" s="28"/>
      <c r="CPK6" s="28"/>
      <c r="CPL6" s="28"/>
      <c r="CPM6" s="28"/>
      <c r="CPN6" s="28"/>
      <c r="CPO6" s="28"/>
      <c r="CPP6" s="28"/>
      <c r="CPQ6" s="28"/>
      <c r="CPR6" s="28"/>
      <c r="CPS6" s="28"/>
      <c r="CPT6" s="28"/>
      <c r="CPU6" s="28"/>
      <c r="CPV6" s="28"/>
      <c r="CPW6" s="28"/>
      <c r="CPX6" s="28"/>
      <c r="CPY6" s="28"/>
      <c r="CPZ6" s="28"/>
      <c r="CQA6" s="28"/>
      <c r="CQB6" s="28"/>
      <c r="CQC6" s="28"/>
      <c r="CQD6" s="28"/>
      <c r="CQE6" s="28"/>
      <c r="CQF6" s="28"/>
      <c r="CQG6" s="28"/>
      <c r="CQH6" s="28"/>
      <c r="CQI6" s="28"/>
      <c r="CQJ6" s="28"/>
      <c r="CQK6" s="28"/>
      <c r="CQL6" s="28"/>
      <c r="CQM6" s="28"/>
      <c r="CQN6" s="28"/>
      <c r="CQO6" s="28"/>
      <c r="CQP6" s="28"/>
      <c r="CQQ6" s="28"/>
      <c r="CQR6" s="28"/>
      <c r="CQS6" s="28"/>
      <c r="CQT6" s="28"/>
      <c r="CQU6" s="28"/>
      <c r="CQV6" s="28"/>
      <c r="CQW6" s="28"/>
      <c r="CQX6" s="28"/>
      <c r="CQY6" s="28"/>
      <c r="CQZ6" s="28"/>
      <c r="CRA6" s="28"/>
      <c r="CRB6" s="28"/>
      <c r="CRC6" s="28"/>
      <c r="CRD6" s="28"/>
      <c r="CRE6" s="28"/>
      <c r="CRF6" s="28"/>
      <c r="CRG6" s="28"/>
      <c r="CRH6" s="28"/>
      <c r="CRI6" s="28"/>
      <c r="CRJ6" s="28"/>
      <c r="CRK6" s="28"/>
      <c r="CRL6" s="28"/>
      <c r="CRM6" s="28"/>
      <c r="CRN6" s="28"/>
      <c r="CRO6" s="28"/>
      <c r="CRP6" s="28"/>
      <c r="CRQ6" s="28"/>
      <c r="CRR6" s="28"/>
      <c r="CRS6" s="28"/>
      <c r="CRT6" s="28"/>
      <c r="CRU6" s="28"/>
      <c r="CRV6" s="28"/>
      <c r="CRW6" s="28"/>
      <c r="CRX6" s="28"/>
      <c r="CRY6" s="28"/>
      <c r="CRZ6" s="28"/>
      <c r="CSA6" s="28"/>
      <c r="CSB6" s="28"/>
      <c r="CSC6" s="28"/>
      <c r="CSD6" s="28"/>
      <c r="CSE6" s="28"/>
      <c r="CSF6" s="28"/>
      <c r="CSG6" s="28"/>
      <c r="CSH6" s="28"/>
      <c r="CSI6" s="28"/>
      <c r="CSJ6" s="28"/>
      <c r="CSK6" s="28"/>
      <c r="CSL6" s="28"/>
      <c r="CSM6" s="28"/>
      <c r="CSN6" s="28"/>
      <c r="CSO6" s="28"/>
      <c r="CSP6" s="28"/>
      <c r="CSQ6" s="28"/>
      <c r="CSR6" s="28"/>
      <c r="CSS6" s="28"/>
      <c r="CST6" s="28"/>
      <c r="CSU6" s="28"/>
      <c r="CSV6" s="28"/>
      <c r="CSW6" s="28"/>
      <c r="CSX6" s="28"/>
      <c r="CSY6" s="28"/>
      <c r="CSZ6" s="28"/>
      <c r="CTA6" s="28"/>
      <c r="CTB6" s="28"/>
      <c r="CTC6" s="28"/>
      <c r="CTD6" s="28"/>
      <c r="CTE6" s="28"/>
      <c r="CTF6" s="28"/>
      <c r="CTG6" s="28"/>
      <c r="CTH6" s="28"/>
      <c r="CTI6" s="28"/>
      <c r="CTJ6" s="28"/>
      <c r="CTK6" s="28"/>
      <c r="CTL6" s="28"/>
      <c r="CTM6" s="28"/>
      <c r="CTN6" s="28"/>
      <c r="CTO6" s="28"/>
      <c r="CTP6" s="28"/>
      <c r="CTQ6" s="28"/>
      <c r="CTR6" s="28"/>
      <c r="CTS6" s="28"/>
      <c r="CTT6" s="28"/>
      <c r="CTU6" s="28"/>
      <c r="CTV6" s="28"/>
      <c r="CTW6" s="28"/>
      <c r="CTX6" s="28"/>
      <c r="CTY6" s="28"/>
      <c r="CTZ6" s="28"/>
      <c r="CUA6" s="28"/>
      <c r="CUB6" s="28"/>
      <c r="CUC6" s="28"/>
      <c r="CUD6" s="28"/>
      <c r="CUE6" s="28"/>
      <c r="CUF6" s="28"/>
      <c r="CUG6" s="28"/>
      <c r="CUH6" s="28"/>
      <c r="CUI6" s="28"/>
      <c r="CUJ6" s="28"/>
      <c r="CUK6" s="28"/>
      <c r="CUL6" s="28"/>
      <c r="CUM6" s="28"/>
      <c r="CUN6" s="28"/>
      <c r="CUO6" s="28"/>
      <c r="CUP6" s="28"/>
      <c r="CUQ6" s="28"/>
      <c r="CUR6" s="28"/>
      <c r="CUS6" s="28"/>
      <c r="CUT6" s="28"/>
      <c r="CUU6" s="28"/>
      <c r="CUV6" s="28"/>
      <c r="CUW6" s="28"/>
      <c r="CUX6" s="28"/>
      <c r="CUY6" s="28"/>
      <c r="CUZ6" s="28"/>
      <c r="CVA6" s="28"/>
      <c r="CVB6" s="28"/>
      <c r="CVC6" s="28"/>
      <c r="CVD6" s="28"/>
      <c r="CVE6" s="28"/>
      <c r="CVF6" s="28"/>
      <c r="CVG6" s="28"/>
      <c r="CVH6" s="28"/>
      <c r="CVI6" s="28"/>
      <c r="CVJ6" s="28"/>
      <c r="CVK6" s="28"/>
      <c r="CVL6" s="28"/>
      <c r="CVM6" s="28"/>
      <c r="CVN6" s="28"/>
      <c r="CVO6" s="28"/>
      <c r="CVP6" s="28"/>
      <c r="CVQ6" s="28"/>
      <c r="CVR6" s="28"/>
      <c r="CVS6" s="28"/>
      <c r="CVT6" s="28"/>
      <c r="CVU6" s="28"/>
      <c r="CVV6" s="28"/>
      <c r="CVW6" s="28"/>
      <c r="CVX6" s="28"/>
      <c r="CVY6" s="28"/>
      <c r="CVZ6" s="28"/>
      <c r="CWA6" s="28"/>
      <c r="CWB6" s="28"/>
      <c r="CWC6" s="28"/>
      <c r="CWD6" s="28"/>
      <c r="CWE6" s="28"/>
      <c r="CWF6" s="28"/>
      <c r="CWG6" s="28"/>
      <c r="CWH6" s="28"/>
      <c r="CWI6" s="28"/>
      <c r="CWJ6" s="28"/>
      <c r="CWK6" s="28"/>
      <c r="CWL6" s="28"/>
      <c r="CWM6" s="28"/>
      <c r="CWN6" s="28"/>
      <c r="CWO6" s="28"/>
      <c r="CWP6" s="28"/>
      <c r="CWQ6" s="28"/>
      <c r="CWR6" s="28"/>
      <c r="CWS6" s="28"/>
      <c r="CWT6" s="28"/>
      <c r="CWU6" s="28"/>
      <c r="CWV6" s="28"/>
      <c r="CWW6" s="28"/>
      <c r="CWX6" s="28"/>
      <c r="CWY6" s="28"/>
      <c r="CWZ6" s="28"/>
      <c r="CXA6" s="28"/>
      <c r="CXB6" s="28"/>
      <c r="CXC6" s="28"/>
      <c r="CXD6" s="28"/>
      <c r="CXE6" s="28"/>
      <c r="CXF6" s="28"/>
      <c r="CXG6" s="28"/>
      <c r="CXH6" s="28"/>
      <c r="CXI6" s="28"/>
      <c r="CXJ6" s="28"/>
      <c r="CXK6" s="28"/>
      <c r="CXL6" s="28"/>
      <c r="CXM6" s="28"/>
      <c r="CXN6" s="28"/>
      <c r="CXO6" s="28"/>
      <c r="CXP6" s="28"/>
      <c r="CXQ6" s="28"/>
      <c r="CXR6" s="28"/>
      <c r="CXS6" s="28"/>
      <c r="CXT6" s="28"/>
      <c r="CXU6" s="28"/>
      <c r="CXV6" s="28"/>
      <c r="CXW6" s="28"/>
      <c r="CXX6" s="28"/>
      <c r="CXY6" s="28"/>
      <c r="CXZ6" s="28"/>
      <c r="CYA6" s="28"/>
      <c r="CYB6" s="28"/>
      <c r="CYC6" s="28"/>
      <c r="CYD6" s="28"/>
      <c r="CYE6" s="28"/>
      <c r="CYF6" s="28"/>
      <c r="CYG6" s="28"/>
      <c r="CYH6" s="28"/>
      <c r="CYI6" s="28"/>
      <c r="CYJ6" s="28"/>
      <c r="CYK6" s="28"/>
      <c r="CYL6" s="28"/>
      <c r="CYM6" s="28"/>
      <c r="CYN6" s="28"/>
      <c r="CYO6" s="28"/>
      <c r="CYP6" s="28"/>
      <c r="CYQ6" s="28"/>
      <c r="CYR6" s="28"/>
      <c r="CYS6" s="28"/>
      <c r="CYT6" s="28"/>
      <c r="CYU6" s="28"/>
      <c r="CYV6" s="28"/>
      <c r="CYW6" s="28"/>
      <c r="CYX6" s="28"/>
      <c r="CYY6" s="28"/>
      <c r="CYZ6" s="28"/>
      <c r="CZA6" s="28"/>
      <c r="CZB6" s="28"/>
      <c r="CZC6" s="28"/>
      <c r="CZD6" s="28"/>
      <c r="CZE6" s="28"/>
      <c r="CZF6" s="28"/>
      <c r="CZG6" s="28"/>
      <c r="CZH6" s="28"/>
      <c r="CZI6" s="28"/>
      <c r="CZJ6" s="28"/>
      <c r="CZK6" s="28"/>
      <c r="CZL6" s="28"/>
      <c r="CZM6" s="28"/>
      <c r="CZN6" s="28"/>
      <c r="CZO6" s="28"/>
      <c r="CZP6" s="28"/>
      <c r="CZQ6" s="28"/>
      <c r="CZR6" s="28"/>
      <c r="CZS6" s="28"/>
      <c r="CZT6" s="28"/>
      <c r="CZU6" s="28"/>
      <c r="CZV6" s="28"/>
      <c r="CZW6" s="28"/>
      <c r="CZX6" s="28"/>
      <c r="CZY6" s="28"/>
      <c r="CZZ6" s="28"/>
      <c r="DAA6" s="28"/>
      <c r="DAB6" s="28"/>
      <c r="DAC6" s="28"/>
      <c r="DAD6" s="28"/>
      <c r="DAE6" s="28"/>
      <c r="DAF6" s="28"/>
      <c r="DAG6" s="28"/>
      <c r="DAH6" s="28"/>
      <c r="DAI6" s="28"/>
      <c r="DAJ6" s="28"/>
      <c r="DAK6" s="28"/>
      <c r="DAL6" s="28"/>
      <c r="DAM6" s="28"/>
      <c r="DAN6" s="28"/>
      <c r="DAO6" s="28"/>
      <c r="DAP6" s="28"/>
      <c r="DAQ6" s="28"/>
      <c r="DAR6" s="28"/>
      <c r="DAS6" s="28"/>
      <c r="DAT6" s="28"/>
      <c r="DAU6" s="28"/>
      <c r="DAV6" s="28"/>
      <c r="DAW6" s="28"/>
      <c r="DAX6" s="28"/>
      <c r="DAY6" s="28"/>
      <c r="DAZ6" s="28"/>
      <c r="DBA6" s="28"/>
      <c r="DBB6" s="28"/>
      <c r="DBC6" s="28"/>
      <c r="DBD6" s="28"/>
      <c r="DBE6" s="28"/>
      <c r="DBF6" s="28"/>
      <c r="DBG6" s="28"/>
      <c r="DBH6" s="28"/>
      <c r="DBI6" s="28"/>
      <c r="DBJ6" s="28"/>
      <c r="DBK6" s="28"/>
      <c r="DBL6" s="28"/>
      <c r="DBM6" s="28"/>
      <c r="DBN6" s="28"/>
      <c r="DBO6" s="28"/>
      <c r="DBP6" s="28"/>
      <c r="DBQ6" s="28"/>
      <c r="DBR6" s="28"/>
      <c r="DBS6" s="28"/>
      <c r="DBT6" s="28"/>
      <c r="DBU6" s="28"/>
      <c r="DBV6" s="28"/>
      <c r="DBW6" s="28"/>
      <c r="DBX6" s="28"/>
      <c r="DBY6" s="28"/>
      <c r="DBZ6" s="28"/>
      <c r="DCA6" s="28"/>
      <c r="DCB6" s="28"/>
      <c r="DCC6" s="28"/>
      <c r="DCD6" s="28"/>
      <c r="DCE6" s="28"/>
      <c r="DCF6" s="28"/>
      <c r="DCG6" s="28"/>
      <c r="DCH6" s="28"/>
      <c r="DCI6" s="28"/>
      <c r="DCJ6" s="28"/>
      <c r="DCK6" s="28"/>
      <c r="DCL6" s="28"/>
      <c r="DCM6" s="28"/>
      <c r="DCN6" s="28"/>
      <c r="DCO6" s="28"/>
      <c r="DCP6" s="28"/>
      <c r="DCQ6" s="28"/>
      <c r="DCR6" s="28"/>
      <c r="DCS6" s="28"/>
      <c r="DCT6" s="28"/>
      <c r="DCU6" s="28"/>
      <c r="DCV6" s="28"/>
      <c r="DCW6" s="28"/>
      <c r="DCX6" s="28"/>
      <c r="DCY6" s="28"/>
      <c r="DCZ6" s="28"/>
      <c r="DDA6" s="28"/>
      <c r="DDB6" s="28"/>
      <c r="DDC6" s="28"/>
      <c r="DDD6" s="28"/>
      <c r="DDE6" s="28"/>
      <c r="DDF6" s="28"/>
      <c r="DDG6" s="28"/>
      <c r="DDH6" s="28"/>
      <c r="DDI6" s="28"/>
      <c r="DDJ6" s="28"/>
      <c r="DDK6" s="28"/>
      <c r="DDL6" s="28"/>
      <c r="DDM6" s="28"/>
      <c r="DDN6" s="28"/>
      <c r="DDO6" s="28"/>
      <c r="DDP6" s="28"/>
      <c r="DDQ6" s="28"/>
      <c r="DDR6" s="28"/>
      <c r="DDS6" s="28"/>
      <c r="DDT6" s="28"/>
      <c r="DDU6" s="28"/>
      <c r="DDV6" s="28"/>
      <c r="DDW6" s="28"/>
      <c r="DDX6" s="28"/>
      <c r="DDY6" s="28"/>
      <c r="DDZ6" s="28"/>
      <c r="DEA6" s="28"/>
      <c r="DEB6" s="28"/>
      <c r="DEC6" s="28"/>
      <c r="DED6" s="28"/>
      <c r="DEE6" s="28"/>
      <c r="DEF6" s="28"/>
      <c r="DEG6" s="28"/>
      <c r="DEH6" s="28"/>
      <c r="DEI6" s="28"/>
      <c r="DEJ6" s="28"/>
      <c r="DEK6" s="28"/>
      <c r="DEL6" s="28"/>
      <c r="DEM6" s="28"/>
      <c r="DEN6" s="28"/>
      <c r="DEO6" s="28"/>
      <c r="DEP6" s="28"/>
      <c r="DEQ6" s="28"/>
      <c r="DER6" s="28"/>
      <c r="DES6" s="28"/>
      <c r="DET6" s="28"/>
      <c r="DEU6" s="28"/>
      <c r="DEV6" s="28"/>
      <c r="DEW6" s="28"/>
      <c r="DEX6" s="28"/>
      <c r="DEY6" s="28"/>
      <c r="DEZ6" s="28"/>
      <c r="DFA6" s="28"/>
      <c r="DFB6" s="28"/>
      <c r="DFC6" s="28"/>
      <c r="DFD6" s="28"/>
      <c r="DFE6" s="28"/>
      <c r="DFF6" s="28"/>
      <c r="DFG6" s="28"/>
      <c r="DFH6" s="28"/>
      <c r="DFI6" s="28"/>
      <c r="DFJ6" s="28"/>
      <c r="DFK6" s="28"/>
      <c r="DFL6" s="28"/>
      <c r="DFM6" s="28"/>
      <c r="DFN6" s="28"/>
      <c r="DFO6" s="28"/>
      <c r="DFP6" s="28"/>
      <c r="DFQ6" s="28"/>
      <c r="DFR6" s="28"/>
      <c r="DFS6" s="28"/>
      <c r="DFT6" s="28"/>
      <c r="DFU6" s="28"/>
      <c r="DFV6" s="28"/>
      <c r="DFW6" s="28"/>
      <c r="DFX6" s="28"/>
      <c r="DFY6" s="28"/>
      <c r="DFZ6" s="28"/>
      <c r="DGA6" s="28"/>
      <c r="DGB6" s="28"/>
      <c r="DGC6" s="28"/>
      <c r="DGD6" s="28"/>
      <c r="DGE6" s="28"/>
      <c r="DGF6" s="28"/>
      <c r="DGG6" s="28"/>
      <c r="DGH6" s="28"/>
      <c r="DGI6" s="28"/>
      <c r="DGJ6" s="28"/>
      <c r="DGK6" s="28"/>
      <c r="DGL6" s="28"/>
      <c r="DGM6" s="28"/>
      <c r="DGN6" s="28"/>
      <c r="DGO6" s="28"/>
      <c r="DGP6" s="28"/>
      <c r="DGQ6" s="28"/>
      <c r="DGR6" s="28"/>
      <c r="DGS6" s="28"/>
      <c r="DGT6" s="28"/>
      <c r="DGU6" s="28"/>
      <c r="DGV6" s="28"/>
      <c r="DGW6" s="28"/>
      <c r="DGX6" s="28"/>
      <c r="DGY6" s="28"/>
      <c r="DGZ6" s="28"/>
      <c r="DHA6" s="28"/>
      <c r="DHB6" s="28"/>
      <c r="DHC6" s="28"/>
      <c r="DHD6" s="28"/>
      <c r="DHE6" s="28"/>
      <c r="DHF6" s="28"/>
      <c r="DHG6" s="28"/>
      <c r="DHH6" s="28"/>
      <c r="DHI6" s="28"/>
      <c r="DHJ6" s="28"/>
      <c r="DHK6" s="28"/>
      <c r="DHL6" s="28"/>
      <c r="DHM6" s="28"/>
      <c r="DHN6" s="28"/>
      <c r="DHO6" s="28"/>
      <c r="DHP6" s="28"/>
      <c r="DHQ6" s="28"/>
      <c r="DHR6" s="28"/>
      <c r="DHS6" s="28"/>
      <c r="DHT6" s="28"/>
      <c r="DHU6" s="28"/>
      <c r="DHV6" s="28"/>
      <c r="DHW6" s="28"/>
      <c r="DHX6" s="28"/>
      <c r="DHY6" s="28"/>
      <c r="DHZ6" s="28"/>
      <c r="DIA6" s="28"/>
      <c r="DIB6" s="28"/>
      <c r="DIC6" s="28"/>
      <c r="DID6" s="28"/>
      <c r="DIE6" s="28"/>
      <c r="DIF6" s="28"/>
      <c r="DIG6" s="28"/>
      <c r="DIH6" s="28"/>
      <c r="DII6" s="28"/>
      <c r="DIJ6" s="28"/>
      <c r="DIK6" s="28"/>
      <c r="DIL6" s="28"/>
      <c r="DIM6" s="28"/>
      <c r="DIN6" s="28"/>
      <c r="DIO6" s="28"/>
      <c r="DIP6" s="28"/>
      <c r="DIQ6" s="28"/>
      <c r="DIR6" s="28"/>
      <c r="DIS6" s="28"/>
      <c r="DIT6" s="28"/>
      <c r="DIU6" s="28"/>
      <c r="DIV6" s="28"/>
      <c r="DIW6" s="28"/>
      <c r="DIX6" s="28"/>
      <c r="DIY6" s="28"/>
      <c r="DIZ6" s="28"/>
      <c r="DJA6" s="28"/>
      <c r="DJB6" s="28"/>
      <c r="DJC6" s="28"/>
      <c r="DJD6" s="28"/>
      <c r="DJE6" s="28"/>
      <c r="DJF6" s="28"/>
      <c r="DJG6" s="28"/>
      <c r="DJH6" s="28"/>
      <c r="DJI6" s="28"/>
      <c r="DJJ6" s="28"/>
      <c r="DJK6" s="28"/>
      <c r="DJL6" s="28"/>
      <c r="DJM6" s="28"/>
      <c r="DJN6" s="28"/>
      <c r="DJO6" s="28"/>
      <c r="DJP6" s="28"/>
      <c r="DJQ6" s="28"/>
      <c r="DJR6" s="28"/>
      <c r="DJS6" s="28"/>
      <c r="DJT6" s="28"/>
      <c r="DJU6" s="28"/>
      <c r="DJV6" s="28"/>
      <c r="DJW6" s="28"/>
      <c r="DJX6" s="28"/>
      <c r="DJY6" s="28"/>
      <c r="DJZ6" s="28"/>
      <c r="DKA6" s="28"/>
      <c r="DKB6" s="28"/>
      <c r="DKC6" s="28"/>
      <c r="DKD6" s="28"/>
      <c r="DKE6" s="28"/>
      <c r="DKF6" s="28"/>
      <c r="DKG6" s="28"/>
      <c r="DKH6" s="28"/>
      <c r="DKI6" s="28"/>
      <c r="DKJ6" s="28"/>
      <c r="DKK6" s="28"/>
      <c r="DKL6" s="28"/>
      <c r="DKM6" s="28"/>
      <c r="DKN6" s="28"/>
      <c r="DKO6" s="28"/>
      <c r="DKP6" s="28"/>
      <c r="DKQ6" s="28"/>
      <c r="DKR6" s="28"/>
      <c r="DKS6" s="28"/>
      <c r="DKT6" s="28"/>
      <c r="DKU6" s="28"/>
      <c r="DKV6" s="28"/>
      <c r="DKW6" s="28"/>
      <c r="DKX6" s="28"/>
      <c r="DKY6" s="28"/>
      <c r="DKZ6" s="28"/>
      <c r="DLA6" s="28"/>
      <c r="DLB6" s="28"/>
      <c r="DLC6" s="28"/>
      <c r="DLD6" s="28"/>
      <c r="DLE6" s="28"/>
      <c r="DLF6" s="28"/>
      <c r="DLG6" s="28"/>
      <c r="DLH6" s="28"/>
      <c r="DLI6" s="28"/>
      <c r="DLJ6" s="28"/>
      <c r="DLK6" s="28"/>
      <c r="DLL6" s="28"/>
      <c r="DLM6" s="28"/>
      <c r="DLN6" s="28"/>
      <c r="DLO6" s="28"/>
      <c r="DLP6" s="28"/>
      <c r="DLQ6" s="28"/>
      <c r="DLR6" s="28"/>
      <c r="DLS6" s="28"/>
      <c r="DLT6" s="28"/>
      <c r="DLU6" s="28"/>
      <c r="DLV6" s="28"/>
      <c r="DLW6" s="28"/>
      <c r="DLX6" s="28"/>
      <c r="DLY6" s="28"/>
      <c r="DLZ6" s="28"/>
      <c r="DMA6" s="28"/>
      <c r="DMB6" s="28"/>
      <c r="DMC6" s="28"/>
      <c r="DMD6" s="28"/>
      <c r="DME6" s="28"/>
      <c r="DMF6" s="28"/>
      <c r="DMG6" s="28"/>
      <c r="DMH6" s="28"/>
      <c r="DMI6" s="28"/>
      <c r="DMJ6" s="28"/>
      <c r="DMK6" s="28"/>
      <c r="DML6" s="28"/>
      <c r="DMM6" s="28"/>
      <c r="DMN6" s="28"/>
      <c r="DMO6" s="28"/>
      <c r="DMP6" s="28"/>
      <c r="DMQ6" s="28"/>
      <c r="DMR6" s="28"/>
      <c r="DMS6" s="28"/>
      <c r="DMT6" s="28"/>
      <c r="DMU6" s="28"/>
      <c r="DMV6" s="28"/>
      <c r="DMW6" s="28"/>
      <c r="DMX6" s="28"/>
      <c r="DMY6" s="28"/>
      <c r="DMZ6" s="28"/>
      <c r="DNA6" s="28"/>
      <c r="DNB6" s="28"/>
      <c r="DNC6" s="28"/>
      <c r="DND6" s="28"/>
      <c r="DNE6" s="28"/>
      <c r="DNF6" s="28"/>
      <c r="DNG6" s="28"/>
      <c r="DNH6" s="28"/>
      <c r="DNI6" s="28"/>
      <c r="DNJ6" s="28"/>
      <c r="DNK6" s="28"/>
      <c r="DNL6" s="28"/>
      <c r="DNM6" s="28"/>
      <c r="DNN6" s="28"/>
      <c r="DNO6" s="28"/>
      <c r="DNP6" s="28"/>
      <c r="DNQ6" s="28"/>
      <c r="DNR6" s="28"/>
      <c r="DNS6" s="28"/>
      <c r="DNT6" s="28"/>
      <c r="DNU6" s="28"/>
      <c r="DNV6" s="28"/>
      <c r="DNW6" s="28"/>
      <c r="DNX6" s="28"/>
      <c r="DNY6" s="28"/>
      <c r="DNZ6" s="28"/>
      <c r="DOA6" s="28"/>
      <c r="DOB6" s="28"/>
      <c r="DOC6" s="28"/>
      <c r="DOD6" s="28"/>
      <c r="DOE6" s="28"/>
      <c r="DOF6" s="28"/>
      <c r="DOG6" s="28"/>
      <c r="DOH6" s="28"/>
      <c r="DOI6" s="28"/>
      <c r="DOJ6" s="28"/>
      <c r="DOK6" s="28"/>
      <c r="DOL6" s="28"/>
      <c r="DOM6" s="28"/>
      <c r="DON6" s="28"/>
      <c r="DOO6" s="28"/>
      <c r="DOP6" s="28"/>
      <c r="DOQ6" s="28"/>
      <c r="DOR6" s="28"/>
      <c r="DOS6" s="28"/>
      <c r="DOT6" s="28"/>
      <c r="DOU6" s="28"/>
      <c r="DOV6" s="28"/>
      <c r="DOW6" s="28"/>
      <c r="DOX6" s="28"/>
      <c r="DOY6" s="28"/>
      <c r="DOZ6" s="28"/>
      <c r="DPA6" s="28"/>
      <c r="DPB6" s="28"/>
      <c r="DPC6" s="28"/>
      <c r="DPD6" s="28"/>
      <c r="DPE6" s="28"/>
      <c r="DPF6" s="28"/>
      <c r="DPG6" s="28"/>
      <c r="DPH6" s="28"/>
      <c r="DPI6" s="28"/>
      <c r="DPJ6" s="28"/>
      <c r="DPK6" s="28"/>
      <c r="DPL6" s="28"/>
      <c r="DPM6" s="28"/>
      <c r="DPN6" s="28"/>
      <c r="DPO6" s="28"/>
      <c r="DPP6" s="28"/>
      <c r="DPQ6" s="28"/>
      <c r="DPR6" s="28"/>
      <c r="DPS6" s="28"/>
      <c r="DPT6" s="28"/>
      <c r="DPU6" s="28"/>
      <c r="DPV6" s="28"/>
      <c r="DPW6" s="28"/>
      <c r="DPX6" s="28"/>
      <c r="DPY6" s="28"/>
      <c r="DPZ6" s="28"/>
      <c r="DQA6" s="28"/>
      <c r="DQB6" s="28"/>
      <c r="DQC6" s="28"/>
      <c r="DQD6" s="28"/>
      <c r="DQE6" s="28"/>
      <c r="DQF6" s="28"/>
      <c r="DQG6" s="28"/>
      <c r="DQH6" s="28"/>
      <c r="DQI6" s="28"/>
      <c r="DQJ6" s="28"/>
      <c r="DQK6" s="28"/>
      <c r="DQL6" s="28"/>
      <c r="DQM6" s="28"/>
      <c r="DQN6" s="28"/>
      <c r="DQO6" s="28"/>
      <c r="DQP6" s="28"/>
      <c r="DQQ6" s="28"/>
      <c r="DQR6" s="28"/>
      <c r="DQS6" s="28"/>
      <c r="DQT6" s="28"/>
      <c r="DQU6" s="28"/>
      <c r="DQV6" s="28"/>
      <c r="DQW6" s="28"/>
      <c r="DQX6" s="28"/>
      <c r="DQY6" s="28"/>
      <c r="DQZ6" s="28"/>
      <c r="DRA6" s="28"/>
      <c r="DRB6" s="28"/>
      <c r="DRC6" s="28"/>
      <c r="DRD6" s="28"/>
      <c r="DRE6" s="28"/>
      <c r="DRF6" s="28"/>
      <c r="DRG6" s="28"/>
      <c r="DRH6" s="28"/>
      <c r="DRI6" s="28"/>
      <c r="DRJ6" s="28"/>
      <c r="DRK6" s="28"/>
      <c r="DRL6" s="28"/>
      <c r="DRM6" s="28"/>
      <c r="DRN6" s="28"/>
      <c r="DRO6" s="28"/>
      <c r="DRP6" s="28"/>
      <c r="DRQ6" s="28"/>
      <c r="DRR6" s="28"/>
      <c r="DRS6" s="28"/>
      <c r="DRT6" s="28"/>
      <c r="DRU6" s="28"/>
      <c r="DRV6" s="28"/>
      <c r="DRW6" s="28"/>
      <c r="DRX6" s="28"/>
      <c r="DRY6" s="28"/>
      <c r="DRZ6" s="28"/>
      <c r="DSA6" s="28"/>
      <c r="DSB6" s="28"/>
      <c r="DSC6" s="28"/>
      <c r="DSD6" s="28"/>
      <c r="DSE6" s="28"/>
      <c r="DSF6" s="28"/>
      <c r="DSG6" s="28"/>
      <c r="DSH6" s="28"/>
      <c r="DSI6" s="28"/>
      <c r="DSJ6" s="28"/>
      <c r="DSK6" s="28"/>
      <c r="DSL6" s="28"/>
      <c r="DSM6" s="28"/>
      <c r="DSN6" s="28"/>
      <c r="DSO6" s="28"/>
      <c r="DSP6" s="28"/>
      <c r="DSQ6" s="28"/>
      <c r="DSR6" s="28"/>
      <c r="DSS6" s="28"/>
      <c r="DST6" s="28"/>
      <c r="DSU6" s="28"/>
      <c r="DSV6" s="28"/>
      <c r="DSW6" s="28"/>
      <c r="DSX6" s="28"/>
      <c r="DSY6" s="28"/>
      <c r="DSZ6" s="28"/>
      <c r="DTA6" s="28"/>
      <c r="DTB6" s="28"/>
      <c r="DTC6" s="28"/>
      <c r="DTD6" s="28"/>
      <c r="DTE6" s="28"/>
      <c r="DTF6" s="28"/>
      <c r="DTG6" s="28"/>
      <c r="DTH6" s="28"/>
      <c r="DTI6" s="28"/>
      <c r="DTJ6" s="28"/>
      <c r="DTK6" s="28"/>
      <c r="DTL6" s="28"/>
      <c r="DTM6" s="28"/>
      <c r="DTN6" s="28"/>
      <c r="DTO6" s="28"/>
      <c r="DTP6" s="28"/>
      <c r="DTQ6" s="28"/>
      <c r="DTR6" s="28"/>
      <c r="DTS6" s="28"/>
      <c r="DTT6" s="28"/>
      <c r="DTU6" s="28"/>
      <c r="DTV6" s="28"/>
      <c r="DTW6" s="28"/>
      <c r="DTX6" s="28"/>
      <c r="DTY6" s="28"/>
      <c r="DTZ6" s="28"/>
      <c r="DUA6" s="28"/>
      <c r="DUB6" s="28"/>
      <c r="DUC6" s="28"/>
      <c r="DUD6" s="28"/>
      <c r="DUE6" s="28"/>
      <c r="DUF6" s="28"/>
      <c r="DUG6" s="28"/>
      <c r="DUH6" s="28"/>
      <c r="DUI6" s="28"/>
      <c r="DUJ6" s="28"/>
      <c r="DUK6" s="28"/>
      <c r="DUL6" s="28"/>
      <c r="DUM6" s="28"/>
      <c r="DUN6" s="28"/>
      <c r="DUO6" s="28"/>
      <c r="DUP6" s="28"/>
      <c r="DUQ6" s="28"/>
      <c r="DUR6" s="28"/>
      <c r="DUS6" s="28"/>
      <c r="DUT6" s="28"/>
      <c r="DUU6" s="28"/>
      <c r="DUV6" s="28"/>
      <c r="DUW6" s="28"/>
      <c r="DUX6" s="28"/>
      <c r="DUY6" s="28"/>
      <c r="DUZ6" s="28"/>
      <c r="DVA6" s="28"/>
      <c r="DVB6" s="28"/>
      <c r="DVC6" s="28"/>
      <c r="DVD6" s="28"/>
      <c r="DVE6" s="28"/>
      <c r="DVF6" s="28"/>
      <c r="DVG6" s="28"/>
      <c r="DVH6" s="28"/>
      <c r="DVI6" s="28"/>
      <c r="DVJ6" s="28"/>
      <c r="DVK6" s="28"/>
      <c r="DVL6" s="28"/>
      <c r="DVM6" s="28"/>
      <c r="DVN6" s="28"/>
      <c r="DVO6" s="28"/>
      <c r="DVP6" s="28"/>
      <c r="DVQ6" s="28"/>
      <c r="DVR6" s="28"/>
      <c r="DVS6" s="28"/>
      <c r="DVT6" s="28"/>
      <c r="DVU6" s="28"/>
      <c r="DVV6" s="28"/>
      <c r="DVW6" s="28"/>
      <c r="DVX6" s="28"/>
      <c r="DVY6" s="28"/>
      <c r="DVZ6" s="28"/>
      <c r="DWA6" s="28"/>
      <c r="DWB6" s="28"/>
      <c r="DWC6" s="28"/>
      <c r="DWD6" s="28"/>
      <c r="DWE6" s="28"/>
      <c r="DWF6" s="28"/>
      <c r="DWG6" s="28"/>
      <c r="DWH6" s="28"/>
      <c r="DWI6" s="28"/>
      <c r="DWJ6" s="28"/>
      <c r="DWK6" s="28"/>
      <c r="DWL6" s="28"/>
      <c r="DWM6" s="28"/>
      <c r="DWN6" s="28"/>
      <c r="DWO6" s="28"/>
      <c r="DWP6" s="28"/>
      <c r="DWQ6" s="28"/>
      <c r="DWR6" s="28"/>
      <c r="DWS6" s="28"/>
      <c r="DWT6" s="28"/>
      <c r="DWU6" s="28"/>
      <c r="DWV6" s="28"/>
      <c r="DWW6" s="28"/>
      <c r="DWX6" s="28"/>
      <c r="DWY6" s="28"/>
      <c r="DWZ6" s="28"/>
      <c r="DXA6" s="28"/>
      <c r="DXB6" s="28"/>
      <c r="DXC6" s="28"/>
      <c r="DXD6" s="28"/>
      <c r="DXE6" s="28"/>
      <c r="DXF6" s="28"/>
      <c r="DXG6" s="28"/>
      <c r="DXH6" s="28"/>
      <c r="DXI6" s="28"/>
      <c r="DXJ6" s="28"/>
      <c r="DXK6" s="28"/>
      <c r="DXL6" s="28"/>
      <c r="DXM6" s="28"/>
      <c r="DXN6" s="28"/>
      <c r="DXO6" s="28"/>
      <c r="DXP6" s="28"/>
      <c r="DXQ6" s="28"/>
      <c r="DXR6" s="28"/>
      <c r="DXS6" s="28"/>
      <c r="DXT6" s="28"/>
      <c r="DXU6" s="28"/>
      <c r="DXV6" s="28"/>
      <c r="DXW6" s="28"/>
      <c r="DXX6" s="28"/>
      <c r="DXY6" s="28"/>
      <c r="DXZ6" s="28"/>
      <c r="DYA6" s="28"/>
      <c r="DYB6" s="28"/>
      <c r="DYC6" s="28"/>
      <c r="DYD6" s="28"/>
      <c r="DYE6" s="28"/>
      <c r="DYF6" s="28"/>
      <c r="DYG6" s="28"/>
      <c r="DYH6" s="28"/>
      <c r="DYI6" s="28"/>
      <c r="DYJ6" s="28"/>
      <c r="DYK6" s="28"/>
      <c r="DYL6" s="28"/>
      <c r="DYM6" s="28"/>
      <c r="DYN6" s="28"/>
      <c r="DYO6" s="28"/>
      <c r="DYP6" s="28"/>
      <c r="DYQ6" s="28"/>
      <c r="DYR6" s="28"/>
      <c r="DYS6" s="28"/>
      <c r="DYT6" s="28"/>
      <c r="DYU6" s="28"/>
      <c r="DYV6" s="28"/>
      <c r="DYW6" s="28"/>
      <c r="DYX6" s="28"/>
      <c r="DYY6" s="28"/>
      <c r="DYZ6" s="28"/>
      <c r="DZA6" s="28"/>
      <c r="DZB6" s="28"/>
      <c r="DZC6" s="28"/>
      <c r="DZD6" s="28"/>
      <c r="DZE6" s="28"/>
      <c r="DZF6" s="28"/>
      <c r="DZG6" s="28"/>
      <c r="DZH6" s="28"/>
      <c r="DZI6" s="28"/>
      <c r="DZJ6" s="28"/>
      <c r="DZK6" s="28"/>
      <c r="DZL6" s="28"/>
      <c r="DZM6" s="28"/>
      <c r="DZN6" s="28"/>
      <c r="DZO6" s="28"/>
      <c r="DZP6" s="28"/>
      <c r="DZQ6" s="28"/>
      <c r="DZR6" s="28"/>
      <c r="DZS6" s="28"/>
      <c r="DZT6" s="28"/>
      <c r="DZU6" s="28"/>
      <c r="DZV6" s="28"/>
      <c r="DZW6" s="28"/>
      <c r="DZX6" s="28"/>
      <c r="DZY6" s="28"/>
      <c r="DZZ6" s="28"/>
      <c r="EAA6" s="28"/>
      <c r="EAB6" s="28"/>
      <c r="EAC6" s="28"/>
      <c r="EAD6" s="28"/>
      <c r="EAE6" s="28"/>
      <c r="EAF6" s="28"/>
      <c r="EAG6" s="28"/>
      <c r="EAH6" s="28"/>
      <c r="EAI6" s="28"/>
      <c r="EAJ6" s="28"/>
      <c r="EAK6" s="28"/>
      <c r="EAL6" s="28"/>
      <c r="EAM6" s="28"/>
      <c r="EAN6" s="28"/>
      <c r="EAO6" s="28"/>
      <c r="EAP6" s="28"/>
      <c r="EAQ6" s="28"/>
      <c r="EAR6" s="28"/>
      <c r="EAS6" s="28"/>
      <c r="EAT6" s="28"/>
      <c r="EAU6" s="28"/>
      <c r="EAV6" s="28"/>
      <c r="EAW6" s="28"/>
      <c r="EAX6" s="28"/>
      <c r="EAY6" s="28"/>
      <c r="EAZ6" s="28"/>
      <c r="EBA6" s="28"/>
      <c r="EBB6" s="28"/>
      <c r="EBC6" s="28"/>
      <c r="EBD6" s="28"/>
      <c r="EBE6" s="28"/>
      <c r="EBF6" s="28"/>
      <c r="EBG6" s="28"/>
      <c r="EBH6" s="28"/>
      <c r="EBI6" s="28"/>
      <c r="EBJ6" s="28"/>
      <c r="EBK6" s="28"/>
      <c r="EBL6" s="28"/>
      <c r="EBM6" s="28"/>
      <c r="EBN6" s="28"/>
      <c r="EBO6" s="28"/>
      <c r="EBP6" s="28"/>
      <c r="EBQ6" s="28"/>
      <c r="EBR6" s="28"/>
      <c r="EBS6" s="28"/>
      <c r="EBT6" s="28"/>
      <c r="EBU6" s="28"/>
      <c r="EBV6" s="28"/>
      <c r="EBW6" s="28"/>
      <c r="EBX6" s="28"/>
      <c r="EBY6" s="28"/>
      <c r="EBZ6" s="28"/>
      <c r="ECA6" s="28"/>
      <c r="ECB6" s="28"/>
      <c r="ECC6" s="28"/>
      <c r="ECD6" s="28"/>
      <c r="ECE6" s="28"/>
      <c r="ECF6" s="28"/>
      <c r="ECG6" s="28"/>
      <c r="ECH6" s="28"/>
      <c r="ECI6" s="28"/>
      <c r="ECJ6" s="28"/>
      <c r="ECK6" s="28"/>
      <c r="ECL6" s="28"/>
      <c r="ECM6" s="28"/>
      <c r="ECN6" s="28"/>
      <c r="ECO6" s="28"/>
      <c r="ECP6" s="28"/>
      <c r="ECQ6" s="28"/>
      <c r="ECR6" s="28"/>
      <c r="ECS6" s="28"/>
      <c r="ECT6" s="28"/>
      <c r="ECU6" s="28"/>
      <c r="ECV6" s="28"/>
      <c r="ECW6" s="28"/>
      <c r="ECX6" s="28"/>
      <c r="ECY6" s="28"/>
      <c r="ECZ6" s="28"/>
      <c r="EDA6" s="28"/>
      <c r="EDB6" s="28"/>
      <c r="EDC6" s="28"/>
      <c r="EDD6" s="28"/>
      <c r="EDE6" s="28"/>
      <c r="EDF6" s="28"/>
      <c r="EDG6" s="28"/>
      <c r="EDH6" s="28"/>
      <c r="EDI6" s="28"/>
      <c r="EDJ6" s="28"/>
      <c r="EDK6" s="28"/>
      <c r="EDL6" s="28"/>
      <c r="EDM6" s="28"/>
      <c r="EDN6" s="28"/>
      <c r="EDO6" s="28"/>
      <c r="EDP6" s="28"/>
      <c r="EDQ6" s="28"/>
      <c r="EDR6" s="28"/>
      <c r="EDS6" s="28"/>
      <c r="EDT6" s="28"/>
      <c r="EDU6" s="28"/>
      <c r="EDV6" s="28"/>
      <c r="EDW6" s="28"/>
      <c r="EDX6" s="28"/>
      <c r="EDY6" s="28"/>
      <c r="EDZ6" s="28"/>
      <c r="EEA6" s="28"/>
      <c r="EEB6" s="28"/>
      <c r="EEC6" s="28"/>
      <c r="EED6" s="28"/>
      <c r="EEE6" s="28"/>
      <c r="EEF6" s="28"/>
      <c r="EEG6" s="28"/>
      <c r="EEH6" s="28"/>
      <c r="EEI6" s="28"/>
      <c r="EEJ6" s="28"/>
      <c r="EEK6" s="28"/>
      <c r="EEL6" s="28"/>
      <c r="EEM6" s="28"/>
      <c r="EEN6" s="28"/>
      <c r="EEO6" s="28"/>
      <c r="EEP6" s="28"/>
      <c r="EEQ6" s="28"/>
      <c r="EER6" s="28"/>
      <c r="EES6" s="28"/>
      <c r="EET6" s="28"/>
      <c r="EEU6" s="28"/>
      <c r="EEV6" s="28"/>
      <c r="EEW6" s="28"/>
      <c r="EEX6" s="28"/>
      <c r="EEY6" s="28"/>
      <c r="EEZ6" s="28"/>
      <c r="EFA6" s="28"/>
      <c r="EFB6" s="28"/>
      <c r="EFC6" s="28"/>
      <c r="EFD6" s="28"/>
      <c r="EFE6" s="28"/>
      <c r="EFF6" s="28"/>
      <c r="EFG6" s="28"/>
      <c r="EFH6" s="28"/>
      <c r="EFI6" s="28"/>
      <c r="EFJ6" s="28"/>
      <c r="EFK6" s="28"/>
      <c r="EFL6" s="28"/>
      <c r="EFM6" s="28"/>
      <c r="EFN6" s="28"/>
      <c r="EFO6" s="28"/>
      <c r="EFP6" s="28"/>
      <c r="EFQ6" s="28"/>
      <c r="EFR6" s="28"/>
      <c r="EFS6" s="28"/>
      <c r="EFT6" s="28"/>
      <c r="EFU6" s="28"/>
      <c r="EFV6" s="28"/>
      <c r="EFW6" s="28"/>
      <c r="EFX6" s="28"/>
      <c r="EFY6" s="28"/>
      <c r="EFZ6" s="28"/>
      <c r="EGA6" s="28"/>
      <c r="EGB6" s="28"/>
      <c r="EGC6" s="28"/>
      <c r="EGD6" s="28"/>
      <c r="EGE6" s="28"/>
      <c r="EGF6" s="28"/>
      <c r="EGG6" s="28"/>
      <c r="EGH6" s="28"/>
      <c r="EGI6" s="28"/>
      <c r="EGJ6" s="28"/>
      <c r="EGK6" s="28"/>
      <c r="EGL6" s="28"/>
      <c r="EGM6" s="28"/>
      <c r="EGN6" s="28"/>
      <c r="EGO6" s="28"/>
      <c r="EGP6" s="28"/>
      <c r="EGQ6" s="28"/>
      <c r="EGR6" s="28"/>
      <c r="EGS6" s="28"/>
      <c r="EGT6" s="28"/>
      <c r="EGU6" s="28"/>
      <c r="EGV6" s="28"/>
      <c r="EGW6" s="28"/>
      <c r="EGX6" s="28"/>
      <c r="EGY6" s="28"/>
      <c r="EGZ6" s="28"/>
      <c r="EHA6" s="28"/>
      <c r="EHB6" s="28"/>
      <c r="EHC6" s="28"/>
      <c r="EHD6" s="28"/>
      <c r="EHE6" s="28"/>
      <c r="EHF6" s="28"/>
      <c r="EHG6" s="28"/>
      <c r="EHH6" s="28"/>
      <c r="EHI6" s="28"/>
      <c r="EHJ6" s="28"/>
      <c r="EHK6" s="28"/>
      <c r="EHL6" s="28"/>
      <c r="EHM6" s="28"/>
      <c r="EHN6" s="28"/>
      <c r="EHO6" s="28"/>
      <c r="EHP6" s="28"/>
      <c r="EHQ6" s="28"/>
      <c r="EHR6" s="28"/>
      <c r="EHS6" s="28"/>
      <c r="EHT6" s="28"/>
      <c r="EHU6" s="28"/>
      <c r="EHV6" s="28"/>
      <c r="EHW6" s="28"/>
      <c r="EHX6" s="28"/>
      <c r="EHY6" s="28"/>
      <c r="EHZ6" s="28"/>
      <c r="EIA6" s="28"/>
      <c r="EIB6" s="28"/>
      <c r="EIC6" s="28"/>
      <c r="EID6" s="28"/>
      <c r="EIE6" s="28"/>
      <c r="EIF6" s="28"/>
      <c r="EIG6" s="28"/>
      <c r="EIH6" s="28"/>
      <c r="EII6" s="28"/>
      <c r="EIJ6" s="28"/>
      <c r="EIK6" s="28"/>
      <c r="EIL6" s="28"/>
      <c r="EIM6" s="28"/>
      <c r="EIN6" s="28"/>
      <c r="EIO6" s="28"/>
      <c r="EIP6" s="28"/>
      <c r="EIQ6" s="28"/>
      <c r="EIR6" s="28"/>
      <c r="EIS6" s="28"/>
      <c r="EIT6" s="28"/>
      <c r="EIU6" s="28"/>
      <c r="EIV6" s="28"/>
      <c r="EIW6" s="28"/>
      <c r="EIX6" s="28"/>
      <c r="EIY6" s="28"/>
      <c r="EIZ6" s="28"/>
      <c r="EJA6" s="28"/>
      <c r="EJB6" s="28"/>
      <c r="EJC6" s="28"/>
      <c r="EJD6" s="28"/>
      <c r="EJE6" s="28"/>
      <c r="EJF6" s="28"/>
      <c r="EJG6" s="28"/>
      <c r="EJH6" s="28"/>
      <c r="EJI6" s="28"/>
      <c r="EJJ6" s="28"/>
      <c r="EJK6" s="28"/>
      <c r="EJL6" s="28"/>
      <c r="EJM6" s="28"/>
      <c r="EJN6" s="28"/>
      <c r="EJO6" s="28"/>
      <c r="EJP6" s="28"/>
      <c r="EJQ6" s="28"/>
      <c r="EJR6" s="28"/>
      <c r="EJS6" s="28"/>
      <c r="EJT6" s="28"/>
      <c r="EJU6" s="28"/>
      <c r="EJV6" s="28"/>
      <c r="EJW6" s="28"/>
      <c r="EJX6" s="28"/>
      <c r="EJY6" s="28"/>
      <c r="EJZ6" s="28"/>
      <c r="EKA6" s="28"/>
      <c r="EKB6" s="28"/>
      <c r="EKC6" s="28"/>
      <c r="EKD6" s="28"/>
      <c r="EKE6" s="28"/>
      <c r="EKF6" s="28"/>
      <c r="EKG6" s="28"/>
      <c r="EKH6" s="28"/>
      <c r="EKI6" s="28"/>
      <c r="EKJ6" s="28"/>
      <c r="EKK6" s="28"/>
      <c r="EKL6" s="28"/>
      <c r="EKM6" s="28"/>
      <c r="EKN6" s="28"/>
      <c r="EKO6" s="28"/>
      <c r="EKP6" s="28"/>
      <c r="EKQ6" s="28"/>
      <c r="EKR6" s="28"/>
      <c r="EKS6" s="28"/>
      <c r="EKT6" s="28"/>
      <c r="EKU6" s="28"/>
      <c r="EKV6" s="28"/>
      <c r="EKW6" s="28"/>
      <c r="EKX6" s="28"/>
      <c r="EKY6" s="28"/>
      <c r="EKZ6" s="28"/>
      <c r="ELA6" s="28"/>
      <c r="ELB6" s="28"/>
      <c r="ELC6" s="28"/>
      <c r="ELD6" s="28"/>
      <c r="ELE6" s="28"/>
      <c r="ELF6" s="28"/>
      <c r="ELG6" s="28"/>
      <c r="ELH6" s="28"/>
      <c r="ELI6" s="28"/>
      <c r="ELJ6" s="28"/>
      <c r="ELK6" s="28"/>
      <c r="ELL6" s="28"/>
      <c r="ELM6" s="28"/>
      <c r="ELN6" s="28"/>
      <c r="ELO6" s="28"/>
      <c r="ELP6" s="28"/>
      <c r="ELQ6" s="28"/>
      <c r="ELR6" s="28"/>
      <c r="ELS6" s="28"/>
      <c r="ELT6" s="28"/>
      <c r="ELU6" s="28"/>
      <c r="ELV6" s="28"/>
      <c r="ELW6" s="28"/>
      <c r="ELX6" s="28"/>
      <c r="ELY6" s="28"/>
      <c r="ELZ6" s="28"/>
      <c r="EMA6" s="28"/>
      <c r="EMB6" s="28"/>
      <c r="EMC6" s="28"/>
      <c r="EMD6" s="28"/>
      <c r="EME6" s="28"/>
      <c r="EMF6" s="28"/>
      <c r="EMG6" s="28"/>
      <c r="EMH6" s="28"/>
      <c r="EMI6" s="28"/>
      <c r="EMJ6" s="28"/>
      <c r="EMK6" s="28"/>
      <c r="EML6" s="28"/>
      <c r="EMM6" s="28"/>
      <c r="EMN6" s="28"/>
      <c r="EMO6" s="28"/>
      <c r="EMP6" s="28"/>
      <c r="EMQ6" s="28"/>
      <c r="EMR6" s="28"/>
      <c r="EMS6" s="28"/>
      <c r="EMT6" s="28"/>
      <c r="EMU6" s="28"/>
      <c r="EMV6" s="28"/>
      <c r="EMW6" s="28"/>
      <c r="EMX6" s="28"/>
      <c r="EMY6" s="28"/>
      <c r="EMZ6" s="28"/>
      <c r="ENA6" s="28"/>
      <c r="ENB6" s="28"/>
      <c r="ENC6" s="28"/>
      <c r="END6" s="28"/>
      <c r="ENE6" s="28"/>
      <c r="ENF6" s="28"/>
      <c r="ENG6" s="28"/>
      <c r="ENH6" s="28"/>
      <c r="ENI6" s="28"/>
      <c r="ENJ6" s="28"/>
      <c r="ENK6" s="28"/>
      <c r="ENL6" s="28"/>
      <c r="ENM6" s="28"/>
      <c r="ENN6" s="28"/>
      <c r="ENO6" s="28"/>
      <c r="ENP6" s="28"/>
      <c r="ENQ6" s="28"/>
      <c r="ENR6" s="28"/>
      <c r="ENS6" s="28"/>
      <c r="ENT6" s="28"/>
      <c r="ENU6" s="28"/>
      <c r="ENV6" s="28"/>
      <c r="ENW6" s="28"/>
      <c r="ENX6" s="28"/>
      <c r="ENY6" s="28"/>
      <c r="ENZ6" s="28"/>
      <c r="EOA6" s="28"/>
      <c r="EOB6" s="28"/>
      <c r="EOC6" s="28"/>
      <c r="EOD6" s="28"/>
      <c r="EOE6" s="28"/>
      <c r="EOF6" s="28"/>
      <c r="EOG6" s="28"/>
      <c r="EOH6" s="28"/>
      <c r="EOI6" s="28"/>
      <c r="EOJ6" s="28"/>
      <c r="EOK6" s="28"/>
      <c r="EOL6" s="28"/>
      <c r="EOM6" s="28"/>
      <c r="EON6" s="28"/>
      <c r="EOO6" s="28"/>
      <c r="EOP6" s="28"/>
      <c r="EOQ6" s="28"/>
      <c r="EOR6" s="28"/>
      <c r="EOS6" s="28"/>
      <c r="EOT6" s="28"/>
      <c r="EOU6" s="28"/>
      <c r="EOV6" s="28"/>
      <c r="EOW6" s="28"/>
      <c r="EOX6" s="28"/>
      <c r="EOY6" s="28"/>
      <c r="EOZ6" s="28"/>
      <c r="EPA6" s="28"/>
      <c r="EPB6" s="28"/>
      <c r="EPC6" s="28"/>
      <c r="EPD6" s="28"/>
      <c r="EPE6" s="28"/>
      <c r="EPF6" s="28"/>
      <c r="EPG6" s="28"/>
      <c r="EPH6" s="28"/>
      <c r="EPI6" s="28"/>
      <c r="EPJ6" s="28"/>
      <c r="EPK6" s="28"/>
      <c r="EPL6" s="28"/>
      <c r="EPM6" s="28"/>
      <c r="EPN6" s="28"/>
      <c r="EPO6" s="28"/>
      <c r="EPP6" s="28"/>
      <c r="EPQ6" s="28"/>
      <c r="EPR6" s="28"/>
      <c r="EPS6" s="28"/>
      <c r="EPT6" s="28"/>
      <c r="EPU6" s="28"/>
      <c r="EPV6" s="28"/>
      <c r="EPW6" s="28"/>
      <c r="EPX6" s="28"/>
      <c r="EPY6" s="28"/>
      <c r="EPZ6" s="28"/>
      <c r="EQA6" s="28"/>
      <c r="EQB6" s="28"/>
      <c r="EQC6" s="28"/>
      <c r="EQD6" s="28"/>
      <c r="EQE6" s="28"/>
      <c r="EQF6" s="28"/>
      <c r="EQG6" s="28"/>
      <c r="EQH6" s="28"/>
      <c r="EQI6" s="28"/>
      <c r="EQJ6" s="28"/>
      <c r="EQK6" s="28"/>
      <c r="EQL6" s="28"/>
      <c r="EQM6" s="28"/>
      <c r="EQN6" s="28"/>
      <c r="EQO6" s="28"/>
      <c r="EQP6" s="28"/>
      <c r="EQQ6" s="28"/>
      <c r="EQR6" s="28"/>
      <c r="EQS6" s="28"/>
      <c r="EQT6" s="28"/>
      <c r="EQU6" s="28"/>
      <c r="EQV6" s="28"/>
      <c r="EQW6" s="28"/>
      <c r="EQX6" s="28"/>
      <c r="EQY6" s="28"/>
      <c r="EQZ6" s="28"/>
      <c r="ERA6" s="28"/>
      <c r="ERB6" s="28"/>
      <c r="ERC6" s="28"/>
      <c r="ERD6" s="28"/>
      <c r="ERE6" s="28"/>
      <c r="ERF6" s="28"/>
      <c r="ERG6" s="28"/>
      <c r="ERH6" s="28"/>
      <c r="ERI6" s="28"/>
      <c r="ERJ6" s="28"/>
      <c r="ERK6" s="28"/>
      <c r="ERL6" s="28"/>
      <c r="ERM6" s="28"/>
      <c r="ERN6" s="28"/>
      <c r="ERO6" s="28"/>
      <c r="ERP6" s="28"/>
      <c r="ERQ6" s="28"/>
      <c r="ERR6" s="28"/>
      <c r="ERS6" s="28"/>
      <c r="ERT6" s="28"/>
      <c r="ERU6" s="28"/>
      <c r="ERV6" s="28"/>
      <c r="ERW6" s="28"/>
      <c r="ERX6" s="28"/>
      <c r="ERY6" s="28"/>
      <c r="ERZ6" s="28"/>
      <c r="ESA6" s="28"/>
      <c r="ESB6" s="28"/>
      <c r="ESC6" s="28"/>
      <c r="ESD6" s="28"/>
      <c r="ESE6" s="28"/>
      <c r="ESF6" s="28"/>
      <c r="ESG6" s="28"/>
      <c r="ESH6" s="28"/>
      <c r="ESI6" s="28"/>
      <c r="ESJ6" s="28"/>
      <c r="ESK6" s="28"/>
      <c r="ESL6" s="28"/>
      <c r="ESM6" s="28"/>
      <c r="ESN6" s="28"/>
      <c r="ESO6" s="28"/>
      <c r="ESP6" s="28"/>
      <c r="ESQ6" s="28"/>
      <c r="ESR6" s="28"/>
      <c r="ESS6" s="28"/>
      <c r="EST6" s="28"/>
      <c r="ESU6" s="28"/>
      <c r="ESV6" s="28"/>
      <c r="ESW6" s="28"/>
      <c r="ESX6" s="28"/>
      <c r="ESY6" s="28"/>
      <c r="ESZ6" s="28"/>
      <c r="ETA6" s="28"/>
      <c r="ETB6" s="28"/>
      <c r="ETC6" s="28"/>
      <c r="ETD6" s="28"/>
      <c r="ETE6" s="28"/>
      <c r="ETF6" s="28"/>
      <c r="ETG6" s="28"/>
      <c r="ETH6" s="28"/>
      <c r="ETI6" s="28"/>
      <c r="ETJ6" s="28"/>
      <c r="ETK6" s="28"/>
      <c r="ETL6" s="28"/>
      <c r="ETM6" s="28"/>
      <c r="ETN6" s="28"/>
      <c r="ETO6" s="28"/>
      <c r="ETP6" s="28"/>
      <c r="ETQ6" s="28"/>
      <c r="ETR6" s="28"/>
      <c r="ETS6" s="28"/>
      <c r="ETT6" s="28"/>
      <c r="ETU6" s="28"/>
      <c r="ETV6" s="28"/>
      <c r="ETW6" s="28"/>
      <c r="ETX6" s="28"/>
      <c r="ETY6" s="28"/>
      <c r="ETZ6" s="28"/>
      <c r="EUA6" s="28"/>
      <c r="EUB6" s="28"/>
      <c r="EUC6" s="28"/>
      <c r="EUD6" s="28"/>
      <c r="EUE6" s="28"/>
      <c r="EUF6" s="28"/>
      <c r="EUG6" s="28"/>
      <c r="EUH6" s="28"/>
      <c r="EUI6" s="28"/>
      <c r="EUJ6" s="28"/>
      <c r="EUK6" s="28"/>
      <c r="EUL6" s="28"/>
      <c r="EUM6" s="28"/>
      <c r="EUN6" s="28"/>
      <c r="EUO6" s="28"/>
      <c r="EUP6" s="28"/>
      <c r="EUQ6" s="28"/>
      <c r="EUR6" s="28"/>
      <c r="EUS6" s="28"/>
      <c r="EUT6" s="28"/>
      <c r="EUU6" s="28"/>
      <c r="EUV6" s="28"/>
      <c r="EUW6" s="28"/>
      <c r="EUX6" s="28"/>
      <c r="EUY6" s="28"/>
      <c r="EUZ6" s="28"/>
      <c r="EVA6" s="28"/>
      <c r="EVB6" s="28"/>
      <c r="EVC6" s="28"/>
      <c r="EVD6" s="28"/>
      <c r="EVE6" s="28"/>
      <c r="EVF6" s="28"/>
      <c r="EVG6" s="28"/>
      <c r="EVH6" s="28"/>
      <c r="EVI6" s="28"/>
      <c r="EVJ6" s="28"/>
      <c r="EVK6" s="28"/>
      <c r="EVL6" s="28"/>
      <c r="EVM6" s="28"/>
      <c r="EVN6" s="28"/>
      <c r="EVO6" s="28"/>
      <c r="EVP6" s="28"/>
      <c r="EVQ6" s="28"/>
      <c r="EVR6" s="28"/>
      <c r="EVS6" s="28"/>
      <c r="EVT6" s="28"/>
      <c r="EVU6" s="28"/>
      <c r="EVV6" s="28"/>
      <c r="EVW6" s="28"/>
      <c r="EVX6" s="28"/>
      <c r="EVY6" s="28"/>
      <c r="EVZ6" s="28"/>
      <c r="EWA6" s="28"/>
      <c r="EWB6" s="28"/>
      <c r="EWC6" s="28"/>
      <c r="EWD6" s="28"/>
      <c r="EWE6" s="28"/>
      <c r="EWF6" s="28"/>
      <c r="EWG6" s="28"/>
      <c r="EWH6" s="28"/>
      <c r="EWI6" s="28"/>
      <c r="EWJ6" s="28"/>
      <c r="EWK6" s="28"/>
      <c r="EWL6" s="28"/>
      <c r="EWM6" s="28"/>
      <c r="EWN6" s="28"/>
      <c r="EWO6" s="28"/>
      <c r="EWP6" s="28"/>
      <c r="EWQ6" s="28"/>
      <c r="EWR6" s="28"/>
      <c r="EWS6" s="28"/>
      <c r="EWT6" s="28"/>
      <c r="EWU6" s="28"/>
      <c r="EWV6" s="28"/>
      <c r="EWW6" s="28"/>
      <c r="EWX6" s="28"/>
      <c r="EWY6" s="28"/>
      <c r="EWZ6" s="28"/>
      <c r="EXA6" s="28"/>
      <c r="EXB6" s="28"/>
      <c r="EXC6" s="28"/>
      <c r="EXD6" s="28"/>
      <c r="EXE6" s="28"/>
      <c r="EXF6" s="28"/>
      <c r="EXG6" s="28"/>
      <c r="EXH6" s="28"/>
      <c r="EXI6" s="28"/>
      <c r="EXJ6" s="28"/>
      <c r="EXK6" s="28"/>
      <c r="EXL6" s="28"/>
      <c r="EXM6" s="28"/>
      <c r="EXN6" s="28"/>
      <c r="EXO6" s="28"/>
      <c r="EXP6" s="28"/>
      <c r="EXQ6" s="28"/>
      <c r="EXR6" s="28"/>
      <c r="EXS6" s="28"/>
      <c r="EXT6" s="28"/>
      <c r="EXU6" s="28"/>
      <c r="EXV6" s="28"/>
      <c r="EXW6" s="28"/>
      <c r="EXX6" s="28"/>
      <c r="EXY6" s="28"/>
      <c r="EXZ6" s="28"/>
      <c r="EYA6" s="28"/>
      <c r="EYB6" s="28"/>
      <c r="EYC6" s="28"/>
      <c r="EYD6" s="28"/>
      <c r="EYE6" s="28"/>
      <c r="EYF6" s="28"/>
      <c r="EYG6" s="28"/>
      <c r="EYH6" s="28"/>
      <c r="EYI6" s="28"/>
      <c r="EYJ6" s="28"/>
      <c r="EYK6" s="28"/>
      <c r="EYL6" s="28"/>
      <c r="EYM6" s="28"/>
      <c r="EYN6" s="28"/>
      <c r="EYO6" s="28"/>
      <c r="EYP6" s="28"/>
      <c r="EYQ6" s="28"/>
      <c r="EYR6" s="28"/>
      <c r="EYS6" s="28"/>
      <c r="EYT6" s="28"/>
      <c r="EYU6" s="28"/>
      <c r="EYV6" s="28"/>
      <c r="EYW6" s="28"/>
      <c r="EYX6" s="28"/>
      <c r="EYY6" s="28"/>
      <c r="EYZ6" s="28"/>
      <c r="EZA6" s="28"/>
      <c r="EZB6" s="28"/>
      <c r="EZC6" s="28"/>
      <c r="EZD6" s="28"/>
      <c r="EZE6" s="28"/>
      <c r="EZF6" s="28"/>
      <c r="EZG6" s="28"/>
      <c r="EZH6" s="28"/>
      <c r="EZI6" s="28"/>
      <c r="EZJ6" s="28"/>
      <c r="EZK6" s="28"/>
      <c r="EZL6" s="28"/>
      <c r="EZM6" s="28"/>
      <c r="EZN6" s="28"/>
      <c r="EZO6" s="28"/>
      <c r="EZP6" s="28"/>
      <c r="EZQ6" s="28"/>
      <c r="EZR6" s="28"/>
      <c r="EZS6" s="28"/>
      <c r="EZT6" s="28"/>
      <c r="EZU6" s="28"/>
      <c r="EZV6" s="28"/>
      <c r="EZW6" s="28"/>
      <c r="EZX6" s="28"/>
      <c r="EZY6" s="28"/>
      <c r="EZZ6" s="28"/>
      <c r="FAA6" s="28"/>
      <c r="FAB6" s="28"/>
      <c r="FAC6" s="28"/>
      <c r="FAD6" s="28"/>
      <c r="FAE6" s="28"/>
      <c r="FAF6" s="28"/>
      <c r="FAG6" s="28"/>
      <c r="FAH6" s="28"/>
      <c r="FAI6" s="28"/>
      <c r="FAJ6" s="28"/>
      <c r="FAK6" s="28"/>
      <c r="FAL6" s="28"/>
      <c r="FAM6" s="28"/>
      <c r="FAN6" s="28"/>
      <c r="FAO6" s="28"/>
      <c r="FAP6" s="28"/>
      <c r="FAQ6" s="28"/>
      <c r="FAR6" s="28"/>
      <c r="FAS6" s="28"/>
      <c r="FAT6" s="28"/>
      <c r="FAU6" s="28"/>
      <c r="FAV6" s="28"/>
      <c r="FAW6" s="28"/>
      <c r="FAX6" s="28"/>
      <c r="FAY6" s="28"/>
      <c r="FAZ6" s="28"/>
      <c r="FBA6" s="28"/>
      <c r="FBB6" s="28"/>
      <c r="FBC6" s="28"/>
      <c r="FBD6" s="28"/>
      <c r="FBE6" s="28"/>
      <c r="FBF6" s="28"/>
      <c r="FBG6" s="28"/>
      <c r="FBH6" s="28"/>
      <c r="FBI6" s="28"/>
      <c r="FBJ6" s="28"/>
      <c r="FBK6" s="28"/>
      <c r="FBL6" s="28"/>
      <c r="FBM6" s="28"/>
      <c r="FBN6" s="28"/>
      <c r="FBO6" s="28"/>
      <c r="FBP6" s="28"/>
      <c r="FBQ6" s="28"/>
      <c r="FBR6" s="28"/>
      <c r="FBS6" s="28"/>
      <c r="FBT6" s="28"/>
      <c r="FBU6" s="28"/>
      <c r="FBV6" s="28"/>
      <c r="FBW6" s="28"/>
      <c r="FBX6" s="28"/>
      <c r="FBY6" s="28"/>
      <c r="FBZ6" s="28"/>
      <c r="FCA6" s="28"/>
      <c r="FCB6" s="28"/>
      <c r="FCC6" s="28"/>
      <c r="FCD6" s="28"/>
      <c r="FCE6" s="28"/>
      <c r="FCF6" s="28"/>
      <c r="FCG6" s="28"/>
      <c r="FCH6" s="28"/>
      <c r="FCI6" s="28"/>
      <c r="FCJ6" s="28"/>
      <c r="FCK6" s="28"/>
      <c r="FCL6" s="28"/>
      <c r="FCM6" s="28"/>
      <c r="FCN6" s="28"/>
      <c r="FCO6" s="28"/>
      <c r="FCP6" s="28"/>
      <c r="FCQ6" s="28"/>
      <c r="FCR6" s="28"/>
      <c r="FCS6" s="28"/>
      <c r="FCT6" s="28"/>
      <c r="FCU6" s="28"/>
      <c r="FCV6" s="28"/>
      <c r="FCW6" s="28"/>
      <c r="FCX6" s="28"/>
      <c r="FCY6" s="28"/>
      <c r="FCZ6" s="28"/>
      <c r="FDA6" s="28"/>
      <c r="FDB6" s="28"/>
      <c r="FDC6" s="28"/>
      <c r="FDD6" s="28"/>
      <c r="FDE6" s="28"/>
      <c r="FDF6" s="28"/>
      <c r="FDG6" s="28"/>
      <c r="FDH6" s="28"/>
      <c r="FDI6" s="28"/>
      <c r="FDJ6" s="28"/>
      <c r="FDK6" s="28"/>
      <c r="FDL6" s="28"/>
      <c r="FDM6" s="28"/>
      <c r="FDN6" s="28"/>
      <c r="FDO6" s="28"/>
      <c r="FDP6" s="28"/>
      <c r="FDQ6" s="28"/>
      <c r="FDR6" s="28"/>
      <c r="FDS6" s="28"/>
      <c r="FDT6" s="28"/>
      <c r="FDU6" s="28"/>
      <c r="FDV6" s="28"/>
      <c r="FDW6" s="28"/>
      <c r="FDX6" s="28"/>
      <c r="FDY6" s="28"/>
      <c r="FDZ6" s="28"/>
      <c r="FEA6" s="28"/>
      <c r="FEB6" s="28"/>
      <c r="FEC6" s="28"/>
      <c r="FED6" s="28"/>
      <c r="FEE6" s="28"/>
      <c r="FEF6" s="28"/>
      <c r="FEG6" s="28"/>
      <c r="FEH6" s="28"/>
      <c r="FEI6" s="28"/>
      <c r="FEJ6" s="28"/>
      <c r="FEK6" s="28"/>
      <c r="FEL6" s="28"/>
      <c r="FEM6" s="28"/>
      <c r="FEN6" s="28"/>
      <c r="FEO6" s="28"/>
      <c r="FEP6" s="28"/>
      <c r="FEQ6" s="28"/>
      <c r="FER6" s="28"/>
      <c r="FES6" s="28"/>
      <c r="FET6" s="28"/>
      <c r="FEU6" s="28"/>
      <c r="FEV6" s="28"/>
      <c r="FEW6" s="28"/>
      <c r="FEX6" s="28"/>
      <c r="FEY6" s="28"/>
      <c r="FEZ6" s="28"/>
      <c r="FFA6" s="28"/>
      <c r="FFB6" s="28"/>
      <c r="FFC6" s="28"/>
      <c r="FFD6" s="28"/>
      <c r="FFE6" s="28"/>
      <c r="FFF6" s="28"/>
      <c r="FFG6" s="28"/>
      <c r="FFH6" s="28"/>
      <c r="FFI6" s="28"/>
      <c r="FFJ6" s="28"/>
      <c r="FFK6" s="28"/>
      <c r="FFL6" s="28"/>
      <c r="FFM6" s="28"/>
      <c r="FFN6" s="28"/>
      <c r="FFO6" s="28"/>
      <c r="FFP6" s="28"/>
      <c r="FFQ6" s="28"/>
      <c r="FFR6" s="28"/>
      <c r="FFS6" s="28"/>
      <c r="FFT6" s="28"/>
      <c r="FFU6" s="28"/>
      <c r="FFV6" s="28"/>
      <c r="FFW6" s="28"/>
      <c r="FFX6" s="28"/>
      <c r="FFY6" s="28"/>
      <c r="FFZ6" s="28"/>
      <c r="FGA6" s="28"/>
      <c r="FGB6" s="28"/>
      <c r="FGC6" s="28"/>
      <c r="FGD6" s="28"/>
      <c r="FGE6" s="28"/>
      <c r="FGF6" s="28"/>
      <c r="FGG6" s="28"/>
      <c r="FGH6" s="28"/>
      <c r="FGI6" s="28"/>
      <c r="FGJ6" s="28"/>
      <c r="FGK6" s="28"/>
      <c r="FGL6" s="28"/>
      <c r="FGM6" s="28"/>
      <c r="FGN6" s="28"/>
      <c r="FGO6" s="28"/>
      <c r="FGP6" s="28"/>
      <c r="FGQ6" s="28"/>
      <c r="FGR6" s="28"/>
      <c r="FGS6" s="28"/>
      <c r="FGT6" s="28"/>
      <c r="FGU6" s="28"/>
      <c r="FGV6" s="28"/>
      <c r="FGW6" s="28"/>
      <c r="FGX6" s="28"/>
      <c r="FGY6" s="28"/>
      <c r="FGZ6" s="28"/>
      <c r="FHA6" s="28"/>
      <c r="FHB6" s="28"/>
      <c r="FHC6" s="28"/>
      <c r="FHD6" s="28"/>
      <c r="FHE6" s="28"/>
      <c r="FHF6" s="28"/>
      <c r="FHG6" s="28"/>
      <c r="FHH6" s="28"/>
      <c r="FHI6" s="28"/>
      <c r="FHJ6" s="28"/>
      <c r="FHK6" s="28"/>
      <c r="FHL6" s="28"/>
      <c r="FHM6" s="28"/>
      <c r="FHN6" s="28"/>
      <c r="FHO6" s="28"/>
      <c r="FHP6" s="28"/>
      <c r="FHQ6" s="28"/>
      <c r="FHR6" s="28"/>
      <c r="FHS6" s="28"/>
      <c r="FHT6" s="28"/>
      <c r="FHU6" s="28"/>
      <c r="FHV6" s="28"/>
      <c r="FHW6" s="28"/>
      <c r="FHX6" s="28"/>
      <c r="FHY6" s="28"/>
      <c r="FHZ6" s="28"/>
      <c r="FIA6" s="28"/>
      <c r="FIB6" s="28"/>
      <c r="FIC6" s="28"/>
      <c r="FID6" s="28"/>
      <c r="FIE6" s="28"/>
      <c r="FIF6" s="28"/>
      <c r="FIG6" s="28"/>
      <c r="FIH6" s="28"/>
      <c r="FII6" s="28"/>
      <c r="FIJ6" s="28"/>
      <c r="FIK6" s="28"/>
      <c r="FIL6" s="28"/>
      <c r="FIM6" s="28"/>
      <c r="FIN6" s="28"/>
      <c r="FIO6" s="28"/>
      <c r="FIP6" s="28"/>
      <c r="FIQ6" s="28"/>
      <c r="FIR6" s="28"/>
      <c r="FIS6" s="28"/>
      <c r="FIT6" s="28"/>
      <c r="FIU6" s="28"/>
      <c r="FIV6" s="28"/>
      <c r="FIW6" s="28"/>
      <c r="FIX6" s="28"/>
      <c r="FIY6" s="28"/>
      <c r="FIZ6" s="28"/>
      <c r="FJA6" s="28"/>
      <c r="FJB6" s="28"/>
      <c r="FJC6" s="28"/>
      <c r="FJD6" s="28"/>
      <c r="FJE6" s="28"/>
      <c r="FJF6" s="28"/>
      <c r="FJG6" s="28"/>
      <c r="FJH6" s="28"/>
      <c r="FJI6" s="28"/>
      <c r="FJJ6" s="28"/>
      <c r="FJK6" s="28"/>
      <c r="FJL6" s="28"/>
      <c r="FJM6" s="28"/>
      <c r="FJN6" s="28"/>
      <c r="FJO6" s="28"/>
      <c r="FJP6" s="28"/>
      <c r="FJQ6" s="28"/>
      <c r="FJR6" s="28"/>
      <c r="FJS6" s="28"/>
      <c r="FJT6" s="28"/>
      <c r="FJU6" s="28"/>
      <c r="FJV6" s="28"/>
      <c r="FJW6" s="28"/>
      <c r="FJX6" s="28"/>
      <c r="FJY6" s="28"/>
      <c r="FJZ6" s="28"/>
      <c r="FKA6" s="28"/>
      <c r="FKB6" s="28"/>
      <c r="FKC6" s="28"/>
      <c r="FKD6" s="28"/>
      <c r="FKE6" s="28"/>
      <c r="FKF6" s="28"/>
      <c r="FKG6" s="28"/>
      <c r="FKH6" s="28"/>
      <c r="FKI6" s="28"/>
      <c r="FKJ6" s="28"/>
      <c r="FKK6" s="28"/>
      <c r="FKL6" s="28"/>
      <c r="FKM6" s="28"/>
      <c r="FKN6" s="28"/>
      <c r="FKO6" s="28"/>
      <c r="FKP6" s="28"/>
      <c r="FKQ6" s="28"/>
      <c r="FKR6" s="28"/>
      <c r="FKS6" s="28"/>
      <c r="FKT6" s="28"/>
      <c r="FKU6" s="28"/>
      <c r="FKV6" s="28"/>
      <c r="FKW6" s="28"/>
      <c r="FKX6" s="28"/>
      <c r="FKY6" s="28"/>
      <c r="FKZ6" s="28"/>
      <c r="FLA6" s="28"/>
      <c r="FLB6" s="28"/>
      <c r="FLC6" s="28"/>
      <c r="FLD6" s="28"/>
      <c r="FLE6" s="28"/>
      <c r="FLF6" s="28"/>
      <c r="FLG6" s="28"/>
      <c r="FLH6" s="28"/>
      <c r="FLI6" s="28"/>
      <c r="FLJ6" s="28"/>
      <c r="FLK6" s="28"/>
      <c r="FLL6" s="28"/>
      <c r="FLM6" s="28"/>
      <c r="FLN6" s="28"/>
      <c r="FLO6" s="28"/>
      <c r="FLP6" s="28"/>
      <c r="FLQ6" s="28"/>
      <c r="FLR6" s="28"/>
      <c r="FLS6" s="28"/>
      <c r="FLT6" s="28"/>
      <c r="FLU6" s="28"/>
      <c r="FLV6" s="28"/>
      <c r="FLW6" s="28"/>
      <c r="FLX6" s="28"/>
      <c r="FLY6" s="28"/>
      <c r="FLZ6" s="28"/>
      <c r="FMA6" s="28"/>
      <c r="FMB6" s="28"/>
      <c r="FMC6" s="28"/>
      <c r="FMD6" s="28"/>
      <c r="FME6" s="28"/>
      <c r="FMF6" s="28"/>
      <c r="FMG6" s="28"/>
      <c r="FMH6" s="28"/>
      <c r="FMI6" s="28"/>
      <c r="FMJ6" s="28"/>
      <c r="FMK6" s="28"/>
      <c r="FML6" s="28"/>
      <c r="FMM6" s="28"/>
      <c r="FMN6" s="28"/>
      <c r="FMO6" s="28"/>
      <c r="FMP6" s="28"/>
      <c r="FMQ6" s="28"/>
      <c r="FMR6" s="28"/>
      <c r="FMS6" s="28"/>
      <c r="FMT6" s="28"/>
      <c r="FMU6" s="28"/>
      <c r="FMV6" s="28"/>
      <c r="FMW6" s="28"/>
      <c r="FMX6" s="28"/>
      <c r="FMY6" s="28"/>
      <c r="FMZ6" s="28"/>
      <c r="FNA6" s="28"/>
      <c r="FNB6" s="28"/>
      <c r="FNC6" s="28"/>
      <c r="FND6" s="28"/>
      <c r="FNE6" s="28"/>
      <c r="FNF6" s="28"/>
      <c r="FNG6" s="28"/>
      <c r="FNH6" s="28"/>
      <c r="FNI6" s="28"/>
      <c r="FNJ6" s="28"/>
      <c r="FNK6" s="28"/>
      <c r="FNL6" s="28"/>
      <c r="FNM6" s="28"/>
      <c r="FNN6" s="28"/>
      <c r="FNO6" s="28"/>
      <c r="FNP6" s="28"/>
      <c r="FNQ6" s="28"/>
      <c r="FNR6" s="28"/>
      <c r="FNS6" s="28"/>
      <c r="FNT6" s="28"/>
      <c r="FNU6" s="28"/>
      <c r="FNV6" s="28"/>
      <c r="FNW6" s="28"/>
      <c r="FNX6" s="28"/>
      <c r="FNY6" s="28"/>
      <c r="FNZ6" s="28"/>
      <c r="FOA6" s="28"/>
      <c r="FOB6" s="28"/>
      <c r="FOC6" s="28"/>
      <c r="FOD6" s="28"/>
      <c r="FOE6" s="28"/>
      <c r="FOF6" s="28"/>
      <c r="FOG6" s="28"/>
      <c r="FOH6" s="28"/>
      <c r="FOI6" s="28"/>
      <c r="FOJ6" s="28"/>
      <c r="FOK6" s="28"/>
      <c r="FOL6" s="28"/>
      <c r="FOM6" s="28"/>
      <c r="FON6" s="28"/>
      <c r="FOO6" s="28"/>
      <c r="FOP6" s="28"/>
      <c r="FOQ6" s="28"/>
      <c r="FOR6" s="28"/>
      <c r="FOS6" s="28"/>
      <c r="FOT6" s="28"/>
      <c r="FOU6" s="28"/>
      <c r="FOV6" s="28"/>
      <c r="FOW6" s="28"/>
      <c r="FOX6" s="28"/>
      <c r="FOY6" s="28"/>
      <c r="FOZ6" s="28"/>
      <c r="FPA6" s="28"/>
      <c r="FPB6" s="28"/>
      <c r="FPC6" s="28"/>
      <c r="FPD6" s="28"/>
      <c r="FPE6" s="28"/>
      <c r="FPF6" s="28"/>
      <c r="FPG6" s="28"/>
      <c r="FPH6" s="28"/>
      <c r="FPI6" s="28"/>
      <c r="FPJ6" s="28"/>
      <c r="FPK6" s="28"/>
      <c r="FPL6" s="28"/>
      <c r="FPM6" s="28"/>
      <c r="FPN6" s="28"/>
      <c r="FPO6" s="28"/>
      <c r="FPP6" s="28"/>
      <c r="FPQ6" s="28"/>
      <c r="FPR6" s="28"/>
      <c r="FPS6" s="28"/>
      <c r="FPT6" s="28"/>
      <c r="FPU6" s="28"/>
      <c r="FPV6" s="28"/>
      <c r="FPW6" s="28"/>
      <c r="FPX6" s="28"/>
      <c r="FPY6" s="28"/>
      <c r="FPZ6" s="28"/>
      <c r="FQA6" s="28"/>
      <c r="FQB6" s="28"/>
      <c r="FQC6" s="28"/>
      <c r="FQD6" s="28"/>
      <c r="FQE6" s="28"/>
      <c r="FQF6" s="28"/>
      <c r="FQG6" s="28"/>
      <c r="FQH6" s="28"/>
      <c r="FQI6" s="28"/>
      <c r="FQJ6" s="28"/>
      <c r="FQK6" s="28"/>
      <c r="FQL6" s="28"/>
      <c r="FQM6" s="28"/>
      <c r="FQN6" s="28"/>
      <c r="FQO6" s="28"/>
      <c r="FQP6" s="28"/>
      <c r="FQQ6" s="28"/>
      <c r="FQR6" s="28"/>
      <c r="FQS6" s="28"/>
      <c r="FQT6" s="28"/>
      <c r="FQU6" s="28"/>
      <c r="FQV6" s="28"/>
      <c r="FQW6" s="28"/>
      <c r="FQX6" s="28"/>
      <c r="FQY6" s="28"/>
      <c r="FQZ6" s="28"/>
      <c r="FRA6" s="28"/>
      <c r="FRB6" s="28"/>
      <c r="FRC6" s="28"/>
      <c r="FRD6" s="28"/>
      <c r="FRE6" s="28"/>
      <c r="FRF6" s="28"/>
      <c r="FRG6" s="28"/>
      <c r="FRH6" s="28"/>
      <c r="FRI6" s="28"/>
      <c r="FRJ6" s="28"/>
      <c r="FRK6" s="28"/>
      <c r="FRL6" s="28"/>
      <c r="FRM6" s="28"/>
      <c r="FRN6" s="28"/>
      <c r="FRO6" s="28"/>
      <c r="FRP6" s="28"/>
      <c r="FRQ6" s="28"/>
      <c r="FRR6" s="28"/>
      <c r="FRS6" s="28"/>
      <c r="FRT6" s="28"/>
      <c r="FRU6" s="28"/>
      <c r="FRV6" s="28"/>
      <c r="FRW6" s="28"/>
      <c r="FRX6" s="28"/>
      <c r="FRY6" s="28"/>
      <c r="FRZ6" s="28"/>
      <c r="FSA6" s="28"/>
      <c r="FSB6" s="28"/>
      <c r="FSC6" s="28"/>
      <c r="FSD6" s="28"/>
      <c r="FSE6" s="28"/>
      <c r="FSF6" s="28"/>
      <c r="FSG6" s="28"/>
      <c r="FSH6" s="28"/>
      <c r="FSI6" s="28"/>
      <c r="FSJ6" s="28"/>
      <c r="FSK6" s="28"/>
      <c r="FSL6" s="28"/>
      <c r="FSM6" s="28"/>
      <c r="FSN6" s="28"/>
      <c r="FSO6" s="28"/>
      <c r="FSP6" s="28"/>
      <c r="FSQ6" s="28"/>
      <c r="FSR6" s="28"/>
      <c r="FSS6" s="28"/>
      <c r="FST6" s="28"/>
      <c r="FSU6" s="28"/>
      <c r="FSV6" s="28"/>
      <c r="FSW6" s="28"/>
      <c r="FSX6" s="28"/>
      <c r="FSY6" s="28"/>
      <c r="FSZ6" s="28"/>
      <c r="FTA6" s="28"/>
      <c r="FTB6" s="28"/>
      <c r="FTC6" s="28"/>
      <c r="FTD6" s="28"/>
      <c r="FTE6" s="28"/>
      <c r="FTF6" s="28"/>
      <c r="FTG6" s="28"/>
      <c r="FTH6" s="28"/>
      <c r="FTI6" s="28"/>
      <c r="FTJ6" s="28"/>
      <c r="FTK6" s="28"/>
      <c r="FTL6" s="28"/>
      <c r="FTM6" s="28"/>
      <c r="FTN6" s="28"/>
      <c r="FTO6" s="28"/>
      <c r="FTP6" s="28"/>
      <c r="FTQ6" s="28"/>
      <c r="FTR6" s="28"/>
      <c r="FTS6" s="28"/>
      <c r="FTT6" s="28"/>
      <c r="FTU6" s="28"/>
      <c r="FTV6" s="28"/>
      <c r="FTW6" s="28"/>
      <c r="FTX6" s="28"/>
      <c r="FTY6" s="28"/>
      <c r="FTZ6" s="28"/>
      <c r="FUA6" s="28"/>
      <c r="FUB6" s="28"/>
      <c r="FUC6" s="28"/>
      <c r="FUD6" s="28"/>
      <c r="FUE6" s="28"/>
      <c r="FUF6" s="28"/>
      <c r="FUG6" s="28"/>
      <c r="FUH6" s="28"/>
      <c r="FUI6" s="28"/>
      <c r="FUJ6" s="28"/>
      <c r="FUK6" s="28"/>
      <c r="FUL6" s="28"/>
      <c r="FUM6" s="28"/>
      <c r="FUN6" s="28"/>
      <c r="FUO6" s="28"/>
      <c r="FUP6" s="28"/>
      <c r="FUQ6" s="28"/>
      <c r="FUR6" s="28"/>
      <c r="FUS6" s="28"/>
      <c r="FUT6" s="28"/>
      <c r="FUU6" s="28"/>
      <c r="FUV6" s="28"/>
      <c r="FUW6" s="28"/>
      <c r="FUX6" s="28"/>
      <c r="FUY6" s="28"/>
      <c r="FUZ6" s="28"/>
      <c r="FVA6" s="28"/>
      <c r="FVB6" s="28"/>
      <c r="FVC6" s="28"/>
      <c r="FVD6" s="28"/>
      <c r="FVE6" s="28"/>
      <c r="FVF6" s="28"/>
      <c r="FVG6" s="28"/>
      <c r="FVH6" s="28"/>
      <c r="FVI6" s="28"/>
      <c r="FVJ6" s="28"/>
      <c r="FVK6" s="28"/>
      <c r="FVL6" s="28"/>
      <c r="FVM6" s="28"/>
      <c r="FVN6" s="28"/>
      <c r="FVO6" s="28"/>
      <c r="FVP6" s="28"/>
      <c r="FVQ6" s="28"/>
      <c r="FVR6" s="28"/>
      <c r="FVS6" s="28"/>
      <c r="FVT6" s="28"/>
      <c r="FVU6" s="28"/>
      <c r="FVV6" s="28"/>
      <c r="FVW6" s="28"/>
      <c r="FVX6" s="28"/>
      <c r="FVY6" s="28"/>
      <c r="FVZ6" s="28"/>
      <c r="FWA6" s="28"/>
      <c r="FWB6" s="28"/>
      <c r="FWC6" s="28"/>
      <c r="FWD6" s="28"/>
      <c r="FWE6" s="28"/>
      <c r="FWF6" s="28"/>
      <c r="FWG6" s="28"/>
      <c r="FWH6" s="28"/>
      <c r="FWI6" s="28"/>
      <c r="FWJ6" s="28"/>
      <c r="FWK6" s="28"/>
      <c r="FWL6" s="28"/>
      <c r="FWM6" s="28"/>
      <c r="FWN6" s="28"/>
      <c r="FWO6" s="28"/>
      <c r="FWP6" s="28"/>
      <c r="FWQ6" s="28"/>
      <c r="FWR6" s="28"/>
      <c r="FWS6" s="28"/>
      <c r="FWT6" s="28"/>
      <c r="FWU6" s="28"/>
      <c r="FWV6" s="28"/>
      <c r="FWW6" s="28"/>
      <c r="FWX6" s="28"/>
      <c r="FWY6" s="28"/>
      <c r="FWZ6" s="28"/>
      <c r="FXA6" s="28"/>
      <c r="FXB6" s="28"/>
      <c r="FXC6" s="28"/>
      <c r="FXD6" s="28"/>
      <c r="FXE6" s="28"/>
      <c r="FXF6" s="28"/>
      <c r="FXG6" s="28"/>
      <c r="FXH6" s="28"/>
      <c r="FXI6" s="28"/>
      <c r="FXJ6" s="28"/>
      <c r="FXK6" s="28"/>
      <c r="FXL6" s="28"/>
      <c r="FXM6" s="28"/>
      <c r="FXN6" s="28"/>
      <c r="FXO6" s="28"/>
      <c r="FXP6" s="28"/>
      <c r="FXQ6" s="28"/>
      <c r="FXR6" s="28"/>
      <c r="FXS6" s="28"/>
      <c r="FXT6" s="28"/>
      <c r="FXU6" s="28"/>
      <c r="FXV6" s="28"/>
      <c r="FXW6" s="28"/>
      <c r="FXX6" s="28"/>
      <c r="FXY6" s="28"/>
      <c r="FXZ6" s="28"/>
      <c r="FYA6" s="28"/>
      <c r="FYB6" s="28"/>
      <c r="FYC6" s="28"/>
      <c r="FYD6" s="28"/>
      <c r="FYE6" s="28"/>
      <c r="FYF6" s="28"/>
      <c r="FYG6" s="28"/>
      <c r="FYH6" s="28"/>
      <c r="FYI6" s="28"/>
      <c r="FYJ6" s="28"/>
      <c r="FYK6" s="28"/>
      <c r="FYL6" s="28"/>
      <c r="FYM6" s="28"/>
      <c r="FYN6" s="28"/>
      <c r="FYO6" s="28"/>
      <c r="FYP6" s="28"/>
      <c r="FYQ6" s="28"/>
      <c r="FYR6" s="28"/>
      <c r="FYS6" s="28"/>
      <c r="FYT6" s="28"/>
      <c r="FYU6" s="28"/>
      <c r="FYV6" s="28"/>
      <c r="FYW6" s="28"/>
      <c r="FYX6" s="28"/>
      <c r="FYY6" s="28"/>
      <c r="FYZ6" s="28"/>
      <c r="FZA6" s="28"/>
      <c r="FZB6" s="28"/>
      <c r="FZC6" s="28"/>
      <c r="FZD6" s="28"/>
      <c r="FZE6" s="28"/>
      <c r="FZF6" s="28"/>
      <c r="FZG6" s="28"/>
      <c r="FZH6" s="28"/>
      <c r="FZI6" s="28"/>
      <c r="FZJ6" s="28"/>
      <c r="FZK6" s="28"/>
      <c r="FZL6" s="28"/>
      <c r="FZM6" s="28"/>
      <c r="FZN6" s="28"/>
      <c r="FZO6" s="28"/>
      <c r="FZP6" s="28"/>
      <c r="FZQ6" s="28"/>
      <c r="FZR6" s="28"/>
      <c r="FZS6" s="28"/>
      <c r="FZT6" s="28"/>
      <c r="FZU6" s="28"/>
      <c r="FZV6" s="28"/>
      <c r="FZW6" s="28"/>
      <c r="FZX6" s="28"/>
      <c r="FZY6" s="28"/>
      <c r="FZZ6" s="28"/>
      <c r="GAA6" s="28"/>
      <c r="GAB6" s="28"/>
      <c r="GAC6" s="28"/>
      <c r="GAD6" s="28"/>
      <c r="GAE6" s="28"/>
      <c r="GAF6" s="28"/>
      <c r="GAG6" s="28"/>
      <c r="GAH6" s="28"/>
      <c r="GAI6" s="28"/>
      <c r="GAJ6" s="28"/>
      <c r="GAK6" s="28"/>
      <c r="GAL6" s="28"/>
      <c r="GAM6" s="28"/>
      <c r="GAN6" s="28"/>
      <c r="GAO6" s="28"/>
      <c r="GAP6" s="28"/>
      <c r="GAQ6" s="28"/>
      <c r="GAR6" s="28"/>
      <c r="GAS6" s="28"/>
      <c r="GAT6" s="28"/>
      <c r="GAU6" s="28"/>
      <c r="GAV6" s="28"/>
      <c r="GAW6" s="28"/>
      <c r="GAX6" s="28"/>
      <c r="GAY6" s="28"/>
      <c r="GAZ6" s="28"/>
      <c r="GBA6" s="28"/>
      <c r="GBB6" s="28"/>
      <c r="GBC6" s="28"/>
      <c r="GBD6" s="28"/>
      <c r="GBE6" s="28"/>
      <c r="GBF6" s="28"/>
      <c r="GBG6" s="28"/>
      <c r="GBH6" s="28"/>
      <c r="GBI6" s="28"/>
      <c r="GBJ6" s="28"/>
      <c r="GBK6" s="28"/>
      <c r="GBL6" s="28"/>
      <c r="GBM6" s="28"/>
      <c r="GBN6" s="28"/>
      <c r="GBO6" s="28"/>
      <c r="GBP6" s="28"/>
      <c r="GBQ6" s="28"/>
      <c r="GBR6" s="28"/>
      <c r="GBS6" s="28"/>
      <c r="GBT6" s="28"/>
      <c r="GBU6" s="28"/>
      <c r="GBV6" s="28"/>
      <c r="GBW6" s="28"/>
      <c r="GBX6" s="28"/>
      <c r="GBY6" s="28"/>
      <c r="GBZ6" s="28"/>
      <c r="GCA6" s="28"/>
      <c r="GCB6" s="28"/>
      <c r="GCC6" s="28"/>
      <c r="GCD6" s="28"/>
      <c r="GCE6" s="28"/>
      <c r="GCF6" s="28"/>
      <c r="GCG6" s="28"/>
      <c r="GCH6" s="28"/>
      <c r="GCI6" s="28"/>
      <c r="GCJ6" s="28"/>
      <c r="GCK6" s="28"/>
      <c r="GCL6" s="28"/>
      <c r="GCM6" s="28"/>
      <c r="GCN6" s="28"/>
      <c r="GCO6" s="28"/>
      <c r="GCP6" s="28"/>
      <c r="GCQ6" s="28"/>
      <c r="GCR6" s="28"/>
      <c r="GCS6" s="28"/>
      <c r="GCT6" s="28"/>
      <c r="GCU6" s="28"/>
      <c r="GCV6" s="28"/>
      <c r="GCW6" s="28"/>
      <c r="GCX6" s="28"/>
      <c r="GCY6" s="28"/>
      <c r="GCZ6" s="28"/>
      <c r="GDA6" s="28"/>
      <c r="GDB6" s="28"/>
      <c r="GDC6" s="28"/>
      <c r="GDD6" s="28"/>
      <c r="GDE6" s="28"/>
      <c r="GDF6" s="28"/>
      <c r="GDG6" s="28"/>
      <c r="GDH6" s="28"/>
      <c r="GDI6" s="28"/>
      <c r="GDJ6" s="28"/>
      <c r="GDK6" s="28"/>
      <c r="GDL6" s="28"/>
      <c r="GDM6" s="28"/>
      <c r="GDN6" s="28"/>
      <c r="GDO6" s="28"/>
      <c r="GDP6" s="28"/>
      <c r="GDQ6" s="28"/>
      <c r="GDR6" s="28"/>
      <c r="GDS6" s="28"/>
      <c r="GDT6" s="28"/>
      <c r="GDU6" s="28"/>
      <c r="GDV6" s="28"/>
      <c r="GDW6" s="28"/>
      <c r="GDX6" s="28"/>
      <c r="GDY6" s="28"/>
      <c r="GDZ6" s="28"/>
      <c r="GEA6" s="28"/>
      <c r="GEB6" s="28"/>
      <c r="GEC6" s="28"/>
      <c r="GED6" s="28"/>
      <c r="GEE6" s="28"/>
      <c r="GEF6" s="28"/>
      <c r="GEG6" s="28"/>
      <c r="GEH6" s="28"/>
      <c r="GEI6" s="28"/>
      <c r="GEJ6" s="28"/>
      <c r="GEK6" s="28"/>
      <c r="GEL6" s="28"/>
      <c r="GEM6" s="28"/>
      <c r="GEN6" s="28"/>
      <c r="GEO6" s="28"/>
      <c r="GEP6" s="28"/>
      <c r="GEQ6" s="28"/>
      <c r="GER6" s="28"/>
      <c r="GES6" s="28"/>
      <c r="GET6" s="28"/>
      <c r="GEU6" s="28"/>
      <c r="GEV6" s="28"/>
      <c r="GEW6" s="28"/>
      <c r="GEX6" s="28"/>
      <c r="GEY6" s="28"/>
      <c r="GEZ6" s="28"/>
      <c r="GFA6" s="28"/>
      <c r="GFB6" s="28"/>
      <c r="GFC6" s="28"/>
      <c r="GFD6" s="28"/>
      <c r="GFE6" s="28"/>
      <c r="GFF6" s="28"/>
      <c r="GFG6" s="28"/>
      <c r="GFH6" s="28"/>
      <c r="GFI6" s="28"/>
      <c r="GFJ6" s="28"/>
      <c r="GFK6" s="28"/>
      <c r="GFL6" s="28"/>
      <c r="GFM6" s="28"/>
      <c r="GFN6" s="28"/>
      <c r="GFO6" s="28"/>
      <c r="GFP6" s="28"/>
      <c r="GFQ6" s="28"/>
      <c r="GFR6" s="28"/>
      <c r="GFS6" s="28"/>
      <c r="GFT6" s="28"/>
      <c r="GFU6" s="28"/>
      <c r="GFV6" s="28"/>
      <c r="GFW6" s="28"/>
      <c r="GFX6" s="28"/>
      <c r="GFY6" s="28"/>
      <c r="GFZ6" s="28"/>
      <c r="GGA6" s="28"/>
      <c r="GGB6" s="28"/>
      <c r="GGC6" s="28"/>
      <c r="GGD6" s="28"/>
      <c r="GGE6" s="28"/>
      <c r="GGF6" s="28"/>
      <c r="GGG6" s="28"/>
      <c r="GGH6" s="28"/>
      <c r="GGI6" s="28"/>
      <c r="GGJ6" s="28"/>
      <c r="GGK6" s="28"/>
      <c r="GGL6" s="28"/>
      <c r="GGM6" s="28"/>
      <c r="GGN6" s="28"/>
      <c r="GGO6" s="28"/>
      <c r="GGP6" s="28"/>
      <c r="GGQ6" s="28"/>
      <c r="GGR6" s="28"/>
      <c r="GGS6" s="28"/>
      <c r="GGT6" s="28"/>
      <c r="GGU6" s="28"/>
      <c r="GGV6" s="28"/>
      <c r="GGW6" s="28"/>
      <c r="GGX6" s="28"/>
      <c r="GGY6" s="28"/>
      <c r="GGZ6" s="28"/>
      <c r="GHA6" s="28"/>
      <c r="GHB6" s="28"/>
      <c r="GHC6" s="28"/>
      <c r="GHD6" s="28"/>
      <c r="GHE6" s="28"/>
      <c r="GHF6" s="28"/>
      <c r="GHG6" s="28"/>
      <c r="GHH6" s="28"/>
      <c r="GHI6" s="28"/>
      <c r="GHJ6" s="28"/>
      <c r="GHK6" s="28"/>
      <c r="GHL6" s="28"/>
      <c r="GHM6" s="28"/>
      <c r="GHN6" s="28"/>
      <c r="GHO6" s="28"/>
      <c r="GHP6" s="28"/>
      <c r="GHQ6" s="28"/>
      <c r="GHR6" s="28"/>
      <c r="GHS6" s="28"/>
      <c r="GHT6" s="28"/>
      <c r="GHU6" s="28"/>
      <c r="GHV6" s="28"/>
      <c r="GHW6" s="28"/>
      <c r="GHX6" s="28"/>
      <c r="GHY6" s="28"/>
      <c r="GHZ6" s="28"/>
      <c r="GIA6" s="28"/>
      <c r="GIB6" s="28"/>
      <c r="GIC6" s="28"/>
      <c r="GID6" s="28"/>
      <c r="GIE6" s="28"/>
      <c r="GIF6" s="28"/>
      <c r="GIG6" s="28"/>
      <c r="GIH6" s="28"/>
      <c r="GII6" s="28"/>
      <c r="GIJ6" s="28"/>
      <c r="GIK6" s="28"/>
      <c r="GIL6" s="28"/>
      <c r="GIM6" s="28"/>
      <c r="GIN6" s="28"/>
      <c r="GIO6" s="28"/>
      <c r="GIP6" s="28"/>
      <c r="GIQ6" s="28"/>
      <c r="GIR6" s="28"/>
      <c r="GIS6" s="28"/>
      <c r="GIT6" s="28"/>
      <c r="GIU6" s="28"/>
      <c r="GIV6" s="28"/>
      <c r="GIW6" s="28"/>
      <c r="GIX6" s="28"/>
      <c r="GIY6" s="28"/>
      <c r="GIZ6" s="28"/>
      <c r="GJA6" s="28"/>
      <c r="GJB6" s="28"/>
      <c r="GJC6" s="28"/>
      <c r="GJD6" s="28"/>
      <c r="GJE6" s="28"/>
      <c r="GJF6" s="28"/>
      <c r="GJG6" s="28"/>
      <c r="GJH6" s="28"/>
      <c r="GJI6" s="28"/>
      <c r="GJJ6" s="28"/>
      <c r="GJK6" s="28"/>
      <c r="GJL6" s="28"/>
      <c r="GJM6" s="28"/>
      <c r="GJN6" s="28"/>
      <c r="GJO6" s="28"/>
      <c r="GJP6" s="28"/>
      <c r="GJQ6" s="28"/>
      <c r="GJR6" s="28"/>
      <c r="GJS6" s="28"/>
      <c r="GJT6" s="28"/>
      <c r="GJU6" s="28"/>
      <c r="GJV6" s="28"/>
      <c r="GJW6" s="28"/>
      <c r="GJX6" s="28"/>
      <c r="GJY6" s="28"/>
      <c r="GJZ6" s="28"/>
      <c r="GKA6" s="28"/>
      <c r="GKB6" s="28"/>
      <c r="GKC6" s="28"/>
      <c r="GKD6" s="28"/>
      <c r="GKE6" s="28"/>
      <c r="GKF6" s="28"/>
      <c r="GKG6" s="28"/>
      <c r="GKH6" s="28"/>
      <c r="GKI6" s="28"/>
      <c r="GKJ6" s="28"/>
      <c r="GKK6" s="28"/>
      <c r="GKL6" s="28"/>
      <c r="GKM6" s="28"/>
      <c r="GKN6" s="28"/>
      <c r="GKO6" s="28"/>
      <c r="GKP6" s="28"/>
      <c r="GKQ6" s="28"/>
      <c r="GKR6" s="28"/>
      <c r="GKS6" s="28"/>
      <c r="GKT6" s="28"/>
      <c r="GKU6" s="28"/>
      <c r="GKV6" s="28"/>
      <c r="GKW6" s="28"/>
      <c r="GKX6" s="28"/>
      <c r="GKY6" s="28"/>
      <c r="GKZ6" s="28"/>
      <c r="GLA6" s="28"/>
      <c r="GLB6" s="28"/>
      <c r="GLC6" s="28"/>
      <c r="GLD6" s="28"/>
      <c r="GLE6" s="28"/>
      <c r="GLF6" s="28"/>
      <c r="GLG6" s="28"/>
      <c r="GLH6" s="28"/>
      <c r="GLI6" s="28"/>
      <c r="GLJ6" s="28"/>
      <c r="GLK6" s="28"/>
      <c r="GLL6" s="28"/>
      <c r="GLM6" s="28"/>
      <c r="GLN6" s="28"/>
      <c r="GLO6" s="28"/>
      <c r="GLP6" s="28"/>
      <c r="GLQ6" s="28"/>
      <c r="GLR6" s="28"/>
      <c r="GLS6" s="28"/>
      <c r="GLT6" s="28"/>
      <c r="GLU6" s="28"/>
      <c r="GLV6" s="28"/>
      <c r="GLW6" s="28"/>
      <c r="GLX6" s="28"/>
      <c r="GLY6" s="28"/>
      <c r="GLZ6" s="28"/>
      <c r="GMA6" s="28"/>
      <c r="GMB6" s="28"/>
      <c r="GMC6" s="28"/>
      <c r="GMD6" s="28"/>
      <c r="GME6" s="28"/>
      <c r="GMF6" s="28"/>
      <c r="GMG6" s="28"/>
      <c r="GMH6" s="28"/>
      <c r="GMI6" s="28"/>
      <c r="GMJ6" s="28"/>
      <c r="GMK6" s="28"/>
      <c r="GML6" s="28"/>
      <c r="GMM6" s="28"/>
      <c r="GMN6" s="28"/>
      <c r="GMO6" s="28"/>
      <c r="GMP6" s="28"/>
      <c r="GMQ6" s="28"/>
      <c r="GMR6" s="28"/>
      <c r="GMS6" s="28"/>
      <c r="GMT6" s="28"/>
      <c r="GMU6" s="28"/>
      <c r="GMV6" s="28"/>
      <c r="GMW6" s="28"/>
      <c r="GMX6" s="28"/>
      <c r="GMY6" s="28"/>
      <c r="GMZ6" s="28"/>
      <c r="GNA6" s="28"/>
      <c r="GNB6" s="28"/>
      <c r="GNC6" s="28"/>
      <c r="GND6" s="28"/>
      <c r="GNE6" s="28"/>
      <c r="GNF6" s="28"/>
      <c r="GNG6" s="28"/>
      <c r="GNH6" s="28"/>
      <c r="GNI6" s="28"/>
      <c r="GNJ6" s="28"/>
      <c r="GNK6" s="28"/>
      <c r="GNL6" s="28"/>
      <c r="GNM6" s="28"/>
      <c r="GNN6" s="28"/>
      <c r="GNO6" s="28"/>
      <c r="GNP6" s="28"/>
      <c r="GNQ6" s="28"/>
      <c r="GNR6" s="28"/>
      <c r="GNS6" s="28"/>
      <c r="GNT6" s="28"/>
      <c r="GNU6" s="28"/>
      <c r="GNV6" s="28"/>
      <c r="GNW6" s="28"/>
      <c r="GNX6" s="28"/>
      <c r="GNY6" s="28"/>
      <c r="GNZ6" s="28"/>
      <c r="GOA6" s="28"/>
      <c r="GOB6" s="28"/>
      <c r="GOC6" s="28"/>
      <c r="GOD6" s="28"/>
      <c r="GOE6" s="28"/>
      <c r="GOF6" s="28"/>
      <c r="GOG6" s="28"/>
      <c r="GOH6" s="28"/>
      <c r="GOI6" s="28"/>
      <c r="GOJ6" s="28"/>
      <c r="GOK6" s="28"/>
      <c r="GOL6" s="28"/>
      <c r="GOM6" s="28"/>
      <c r="GON6" s="28"/>
      <c r="GOO6" s="28"/>
      <c r="GOP6" s="28"/>
      <c r="GOQ6" s="28"/>
      <c r="GOR6" s="28"/>
      <c r="GOS6" s="28"/>
      <c r="GOT6" s="28"/>
      <c r="GOU6" s="28"/>
      <c r="GOV6" s="28"/>
      <c r="GOW6" s="28"/>
      <c r="GOX6" s="28"/>
      <c r="GOY6" s="28"/>
      <c r="GOZ6" s="28"/>
      <c r="GPA6" s="28"/>
      <c r="GPB6" s="28"/>
      <c r="GPC6" s="28"/>
      <c r="GPD6" s="28"/>
      <c r="GPE6" s="28"/>
      <c r="GPF6" s="28"/>
      <c r="GPG6" s="28"/>
      <c r="GPH6" s="28"/>
      <c r="GPI6" s="28"/>
      <c r="GPJ6" s="28"/>
      <c r="GPK6" s="28"/>
      <c r="GPL6" s="28"/>
      <c r="GPM6" s="28"/>
      <c r="GPN6" s="28"/>
      <c r="GPO6" s="28"/>
      <c r="GPP6" s="28"/>
      <c r="GPQ6" s="28"/>
      <c r="GPR6" s="28"/>
      <c r="GPS6" s="28"/>
      <c r="GPT6" s="28"/>
      <c r="GPU6" s="28"/>
      <c r="GPV6" s="28"/>
      <c r="GPW6" s="28"/>
      <c r="GPX6" s="28"/>
      <c r="GPY6" s="28"/>
      <c r="GPZ6" s="28"/>
      <c r="GQA6" s="28"/>
      <c r="GQB6" s="28"/>
      <c r="GQC6" s="28"/>
      <c r="GQD6" s="28"/>
      <c r="GQE6" s="28"/>
      <c r="GQF6" s="28"/>
      <c r="GQG6" s="28"/>
      <c r="GQH6" s="28"/>
      <c r="GQI6" s="28"/>
      <c r="GQJ6" s="28"/>
      <c r="GQK6" s="28"/>
      <c r="GQL6" s="28"/>
      <c r="GQM6" s="28"/>
      <c r="GQN6" s="28"/>
      <c r="GQO6" s="28"/>
      <c r="GQP6" s="28"/>
      <c r="GQQ6" s="28"/>
      <c r="GQR6" s="28"/>
      <c r="GQS6" s="28"/>
      <c r="GQT6" s="28"/>
      <c r="GQU6" s="28"/>
      <c r="GQV6" s="28"/>
      <c r="GQW6" s="28"/>
      <c r="GQX6" s="28"/>
      <c r="GQY6" s="28"/>
      <c r="GQZ6" s="28"/>
      <c r="GRA6" s="28"/>
      <c r="GRB6" s="28"/>
      <c r="GRC6" s="28"/>
      <c r="GRD6" s="28"/>
      <c r="GRE6" s="28"/>
      <c r="GRF6" s="28"/>
      <c r="GRG6" s="28"/>
      <c r="GRH6" s="28"/>
      <c r="GRI6" s="28"/>
      <c r="GRJ6" s="28"/>
      <c r="GRK6" s="28"/>
      <c r="GRL6" s="28"/>
      <c r="GRM6" s="28"/>
      <c r="GRN6" s="28"/>
      <c r="GRO6" s="28"/>
      <c r="GRP6" s="28"/>
      <c r="GRQ6" s="28"/>
      <c r="GRR6" s="28"/>
      <c r="GRS6" s="28"/>
      <c r="GRT6" s="28"/>
      <c r="GRU6" s="28"/>
      <c r="GRV6" s="28"/>
      <c r="GRW6" s="28"/>
      <c r="GRX6" s="28"/>
      <c r="GRY6" s="28"/>
      <c r="GRZ6" s="28"/>
      <c r="GSA6" s="28"/>
      <c r="GSB6" s="28"/>
      <c r="GSC6" s="28"/>
      <c r="GSD6" s="28"/>
      <c r="GSE6" s="28"/>
      <c r="GSF6" s="28"/>
      <c r="GSG6" s="28"/>
      <c r="GSH6" s="28"/>
      <c r="GSI6" s="28"/>
      <c r="GSJ6" s="28"/>
      <c r="GSK6" s="28"/>
      <c r="GSL6" s="28"/>
      <c r="GSM6" s="28"/>
      <c r="GSN6" s="28"/>
      <c r="GSO6" s="28"/>
      <c r="GSP6" s="28"/>
      <c r="GSQ6" s="28"/>
      <c r="GSR6" s="28"/>
      <c r="GSS6" s="28"/>
      <c r="GST6" s="28"/>
      <c r="GSU6" s="28"/>
      <c r="GSV6" s="28"/>
      <c r="GSW6" s="28"/>
      <c r="GSX6" s="28"/>
      <c r="GSY6" s="28"/>
      <c r="GSZ6" s="28"/>
      <c r="GTA6" s="28"/>
      <c r="GTB6" s="28"/>
      <c r="GTC6" s="28"/>
      <c r="GTD6" s="28"/>
      <c r="GTE6" s="28"/>
      <c r="GTF6" s="28"/>
      <c r="GTG6" s="28"/>
      <c r="GTH6" s="28"/>
      <c r="GTI6" s="28"/>
      <c r="GTJ6" s="28"/>
      <c r="GTK6" s="28"/>
      <c r="GTL6" s="28"/>
      <c r="GTM6" s="28"/>
      <c r="GTN6" s="28"/>
      <c r="GTO6" s="28"/>
      <c r="GTP6" s="28"/>
      <c r="GTQ6" s="28"/>
      <c r="GTR6" s="28"/>
      <c r="GTS6" s="28"/>
      <c r="GTT6" s="28"/>
      <c r="GTU6" s="28"/>
      <c r="GTV6" s="28"/>
      <c r="GTW6" s="28"/>
      <c r="GTX6" s="28"/>
      <c r="GTY6" s="28"/>
      <c r="GTZ6" s="28"/>
      <c r="GUA6" s="28"/>
      <c r="GUB6" s="28"/>
      <c r="GUC6" s="28"/>
      <c r="GUD6" s="28"/>
      <c r="GUE6" s="28"/>
      <c r="GUF6" s="28"/>
      <c r="GUG6" s="28"/>
      <c r="GUH6" s="28"/>
      <c r="GUI6" s="28"/>
      <c r="GUJ6" s="28"/>
      <c r="GUK6" s="28"/>
      <c r="GUL6" s="28"/>
      <c r="GUM6" s="28"/>
      <c r="GUN6" s="28"/>
      <c r="GUO6" s="28"/>
      <c r="GUP6" s="28"/>
      <c r="GUQ6" s="28"/>
      <c r="GUR6" s="28"/>
      <c r="GUS6" s="28"/>
      <c r="GUT6" s="28"/>
      <c r="GUU6" s="28"/>
      <c r="GUV6" s="28"/>
      <c r="GUW6" s="28"/>
      <c r="GUX6" s="28"/>
      <c r="GUY6" s="28"/>
      <c r="GUZ6" s="28"/>
      <c r="GVA6" s="28"/>
      <c r="GVB6" s="28"/>
      <c r="GVC6" s="28"/>
      <c r="GVD6" s="28"/>
      <c r="GVE6" s="28"/>
      <c r="GVF6" s="28"/>
      <c r="GVG6" s="28"/>
      <c r="GVH6" s="28"/>
      <c r="GVI6" s="28"/>
      <c r="GVJ6" s="28"/>
      <c r="GVK6" s="28"/>
      <c r="GVL6" s="28"/>
      <c r="GVM6" s="28"/>
      <c r="GVN6" s="28"/>
      <c r="GVO6" s="28"/>
      <c r="GVP6" s="28"/>
      <c r="GVQ6" s="28"/>
      <c r="GVR6" s="28"/>
      <c r="GVS6" s="28"/>
      <c r="GVT6" s="28"/>
      <c r="GVU6" s="28"/>
      <c r="GVV6" s="28"/>
      <c r="GVW6" s="28"/>
      <c r="GVX6" s="28"/>
      <c r="GVY6" s="28"/>
      <c r="GVZ6" s="28"/>
      <c r="GWA6" s="28"/>
      <c r="GWB6" s="28"/>
      <c r="GWC6" s="28"/>
      <c r="GWD6" s="28"/>
      <c r="GWE6" s="28"/>
      <c r="GWF6" s="28"/>
      <c r="GWG6" s="28"/>
      <c r="GWH6" s="28"/>
      <c r="GWI6" s="28"/>
      <c r="GWJ6" s="28"/>
      <c r="GWK6" s="28"/>
      <c r="GWL6" s="28"/>
      <c r="GWM6" s="28"/>
      <c r="GWN6" s="28"/>
      <c r="GWO6" s="28"/>
      <c r="GWP6" s="28"/>
      <c r="GWQ6" s="28"/>
      <c r="GWR6" s="28"/>
      <c r="GWS6" s="28"/>
      <c r="GWT6" s="28"/>
      <c r="GWU6" s="28"/>
      <c r="GWV6" s="28"/>
      <c r="GWW6" s="28"/>
      <c r="GWX6" s="28"/>
      <c r="GWY6" s="28"/>
      <c r="GWZ6" s="28"/>
      <c r="GXA6" s="28"/>
      <c r="GXB6" s="28"/>
      <c r="GXC6" s="28"/>
      <c r="GXD6" s="28"/>
      <c r="GXE6" s="28"/>
      <c r="GXF6" s="28"/>
      <c r="GXG6" s="28"/>
      <c r="GXH6" s="28"/>
      <c r="GXI6" s="28"/>
      <c r="GXJ6" s="28"/>
      <c r="GXK6" s="28"/>
      <c r="GXL6" s="28"/>
      <c r="GXM6" s="28"/>
      <c r="GXN6" s="28"/>
      <c r="GXO6" s="28"/>
      <c r="GXP6" s="28"/>
      <c r="GXQ6" s="28"/>
      <c r="GXR6" s="28"/>
      <c r="GXS6" s="28"/>
      <c r="GXT6" s="28"/>
      <c r="GXU6" s="28"/>
      <c r="GXV6" s="28"/>
      <c r="GXW6" s="28"/>
      <c r="GXX6" s="28"/>
      <c r="GXY6" s="28"/>
      <c r="GXZ6" s="28"/>
      <c r="GYA6" s="28"/>
      <c r="GYB6" s="28"/>
      <c r="GYC6" s="28"/>
      <c r="GYD6" s="28"/>
      <c r="GYE6" s="28"/>
      <c r="GYF6" s="28"/>
      <c r="GYG6" s="28"/>
      <c r="GYH6" s="28"/>
      <c r="GYI6" s="28"/>
      <c r="GYJ6" s="28"/>
      <c r="GYK6" s="28"/>
      <c r="GYL6" s="28"/>
      <c r="GYM6" s="28"/>
      <c r="GYN6" s="28"/>
      <c r="GYO6" s="28"/>
      <c r="GYP6" s="28"/>
      <c r="GYQ6" s="28"/>
      <c r="GYR6" s="28"/>
      <c r="GYS6" s="28"/>
      <c r="GYT6" s="28"/>
      <c r="GYU6" s="28"/>
      <c r="GYV6" s="28"/>
      <c r="GYW6" s="28"/>
      <c r="GYX6" s="28"/>
      <c r="GYY6" s="28"/>
      <c r="GYZ6" s="28"/>
      <c r="GZA6" s="28"/>
      <c r="GZB6" s="28"/>
      <c r="GZC6" s="28"/>
      <c r="GZD6" s="28"/>
      <c r="GZE6" s="28"/>
      <c r="GZF6" s="28"/>
      <c r="GZG6" s="28"/>
      <c r="GZH6" s="28"/>
      <c r="GZI6" s="28"/>
      <c r="GZJ6" s="28"/>
      <c r="GZK6" s="28"/>
      <c r="GZL6" s="28"/>
      <c r="GZM6" s="28"/>
      <c r="GZN6" s="28"/>
      <c r="GZO6" s="28"/>
      <c r="GZP6" s="28"/>
      <c r="GZQ6" s="28"/>
      <c r="GZR6" s="28"/>
      <c r="GZS6" s="28"/>
      <c r="GZT6" s="28"/>
      <c r="GZU6" s="28"/>
      <c r="GZV6" s="28"/>
      <c r="GZW6" s="28"/>
      <c r="GZX6" s="28"/>
      <c r="GZY6" s="28"/>
      <c r="GZZ6" s="28"/>
      <c r="HAA6" s="28"/>
      <c r="HAB6" s="28"/>
      <c r="HAC6" s="28"/>
      <c r="HAD6" s="28"/>
      <c r="HAE6" s="28"/>
      <c r="HAF6" s="28"/>
      <c r="HAG6" s="28"/>
      <c r="HAH6" s="28"/>
      <c r="HAI6" s="28"/>
      <c r="HAJ6" s="28"/>
      <c r="HAK6" s="28"/>
      <c r="HAL6" s="28"/>
      <c r="HAM6" s="28"/>
      <c r="HAN6" s="28"/>
      <c r="HAO6" s="28"/>
      <c r="HAP6" s="28"/>
      <c r="HAQ6" s="28"/>
      <c r="HAR6" s="28"/>
      <c r="HAS6" s="28"/>
      <c r="HAT6" s="28"/>
      <c r="HAU6" s="28"/>
      <c r="HAV6" s="28"/>
      <c r="HAW6" s="28"/>
      <c r="HAX6" s="28"/>
      <c r="HAY6" s="28"/>
      <c r="HAZ6" s="28"/>
      <c r="HBA6" s="28"/>
      <c r="HBB6" s="28"/>
      <c r="HBC6" s="28"/>
      <c r="HBD6" s="28"/>
      <c r="HBE6" s="28"/>
      <c r="HBF6" s="28"/>
      <c r="HBG6" s="28"/>
      <c r="HBH6" s="28"/>
      <c r="HBI6" s="28"/>
      <c r="HBJ6" s="28"/>
      <c r="HBK6" s="28"/>
      <c r="HBL6" s="28"/>
      <c r="HBM6" s="28"/>
      <c r="HBN6" s="28"/>
      <c r="HBO6" s="28"/>
      <c r="HBP6" s="28"/>
      <c r="HBQ6" s="28"/>
      <c r="HBR6" s="28"/>
      <c r="HBS6" s="28"/>
      <c r="HBT6" s="28"/>
      <c r="HBU6" s="28"/>
      <c r="HBV6" s="28"/>
      <c r="HBW6" s="28"/>
      <c r="HBX6" s="28"/>
      <c r="HBY6" s="28"/>
      <c r="HBZ6" s="28"/>
      <c r="HCA6" s="28"/>
      <c r="HCB6" s="28"/>
      <c r="HCC6" s="28"/>
      <c r="HCD6" s="28"/>
      <c r="HCE6" s="28"/>
      <c r="HCF6" s="28"/>
      <c r="HCG6" s="28"/>
      <c r="HCH6" s="28"/>
      <c r="HCI6" s="28"/>
      <c r="HCJ6" s="28"/>
      <c r="HCK6" s="28"/>
      <c r="HCL6" s="28"/>
      <c r="HCM6" s="28"/>
      <c r="HCN6" s="28"/>
      <c r="HCO6" s="28"/>
      <c r="HCP6" s="28"/>
      <c r="HCQ6" s="28"/>
      <c r="HCR6" s="28"/>
      <c r="HCS6" s="28"/>
      <c r="HCT6" s="28"/>
      <c r="HCU6" s="28"/>
      <c r="HCV6" s="28"/>
      <c r="HCW6" s="28"/>
      <c r="HCX6" s="28"/>
      <c r="HCY6" s="28"/>
      <c r="HCZ6" s="28"/>
      <c r="HDA6" s="28"/>
      <c r="HDB6" s="28"/>
      <c r="HDC6" s="28"/>
      <c r="HDD6" s="28"/>
      <c r="HDE6" s="28"/>
      <c r="HDF6" s="28"/>
      <c r="HDG6" s="28"/>
      <c r="HDH6" s="28"/>
      <c r="HDI6" s="28"/>
      <c r="HDJ6" s="28"/>
      <c r="HDK6" s="28"/>
      <c r="HDL6" s="28"/>
      <c r="HDM6" s="28"/>
      <c r="HDN6" s="28"/>
      <c r="HDO6" s="28"/>
      <c r="HDP6" s="28"/>
      <c r="HDQ6" s="28"/>
      <c r="HDR6" s="28"/>
      <c r="HDS6" s="28"/>
      <c r="HDT6" s="28"/>
      <c r="HDU6" s="28"/>
      <c r="HDV6" s="28"/>
      <c r="HDW6" s="28"/>
      <c r="HDX6" s="28"/>
      <c r="HDY6" s="28"/>
      <c r="HDZ6" s="28"/>
      <c r="HEA6" s="28"/>
      <c r="HEB6" s="28"/>
      <c r="HEC6" s="28"/>
      <c r="HED6" s="28"/>
      <c r="HEE6" s="28"/>
      <c r="HEF6" s="28"/>
      <c r="HEG6" s="28"/>
      <c r="HEH6" s="28"/>
      <c r="HEI6" s="28"/>
      <c r="HEJ6" s="28"/>
      <c r="HEK6" s="28"/>
      <c r="HEL6" s="28"/>
      <c r="HEM6" s="28"/>
      <c r="HEN6" s="28"/>
      <c r="HEO6" s="28"/>
      <c r="HEP6" s="28"/>
      <c r="HEQ6" s="28"/>
      <c r="HER6" s="28"/>
      <c r="HES6" s="28"/>
      <c r="HET6" s="28"/>
      <c r="HEU6" s="28"/>
      <c r="HEV6" s="28"/>
      <c r="HEW6" s="28"/>
      <c r="HEX6" s="28"/>
      <c r="HEY6" s="28"/>
      <c r="HEZ6" s="28"/>
      <c r="HFA6" s="28"/>
      <c r="HFB6" s="28"/>
      <c r="HFC6" s="28"/>
      <c r="HFD6" s="28"/>
      <c r="HFE6" s="28"/>
      <c r="HFF6" s="28"/>
      <c r="HFG6" s="28"/>
      <c r="HFH6" s="28"/>
      <c r="HFI6" s="28"/>
      <c r="HFJ6" s="28"/>
      <c r="HFK6" s="28"/>
      <c r="HFL6" s="28"/>
      <c r="HFM6" s="28"/>
      <c r="HFN6" s="28"/>
      <c r="HFO6" s="28"/>
      <c r="HFP6" s="28"/>
      <c r="HFQ6" s="28"/>
      <c r="HFR6" s="28"/>
      <c r="HFS6" s="28"/>
      <c r="HFT6" s="28"/>
      <c r="HFU6" s="28"/>
      <c r="HFV6" s="28"/>
      <c r="HFW6" s="28"/>
      <c r="HFX6" s="28"/>
      <c r="HFY6" s="28"/>
      <c r="HFZ6" s="28"/>
      <c r="HGA6" s="28"/>
      <c r="HGB6" s="28"/>
      <c r="HGC6" s="28"/>
      <c r="HGD6" s="28"/>
      <c r="HGE6" s="28"/>
      <c r="HGF6" s="28"/>
      <c r="HGG6" s="28"/>
      <c r="HGH6" s="28"/>
      <c r="HGI6" s="28"/>
      <c r="HGJ6" s="28"/>
      <c r="HGK6" s="28"/>
      <c r="HGL6" s="28"/>
      <c r="HGM6" s="28"/>
      <c r="HGN6" s="28"/>
      <c r="HGO6" s="28"/>
      <c r="HGP6" s="28"/>
      <c r="HGQ6" s="28"/>
      <c r="HGR6" s="28"/>
      <c r="HGS6" s="28"/>
      <c r="HGT6" s="28"/>
      <c r="HGU6" s="28"/>
      <c r="HGV6" s="28"/>
      <c r="HGW6" s="28"/>
      <c r="HGX6" s="28"/>
      <c r="HGY6" s="28"/>
      <c r="HGZ6" s="28"/>
      <c r="HHA6" s="28"/>
      <c r="HHB6" s="28"/>
      <c r="HHC6" s="28"/>
      <c r="HHD6" s="28"/>
      <c r="HHE6" s="28"/>
      <c r="HHF6" s="28"/>
      <c r="HHG6" s="28"/>
      <c r="HHH6" s="28"/>
      <c r="HHI6" s="28"/>
      <c r="HHJ6" s="28"/>
      <c r="HHK6" s="28"/>
      <c r="HHL6" s="28"/>
      <c r="HHM6" s="28"/>
      <c r="HHN6" s="28"/>
      <c r="HHO6" s="28"/>
      <c r="HHP6" s="28"/>
      <c r="HHQ6" s="28"/>
      <c r="HHR6" s="28"/>
      <c r="HHS6" s="28"/>
      <c r="HHT6" s="28"/>
      <c r="HHU6" s="28"/>
      <c r="HHV6" s="28"/>
      <c r="HHW6" s="28"/>
      <c r="HHX6" s="28"/>
      <c r="HHY6" s="28"/>
      <c r="HHZ6" s="28"/>
      <c r="HIA6" s="28"/>
      <c r="HIB6" s="28"/>
      <c r="HIC6" s="28"/>
      <c r="HID6" s="28"/>
      <c r="HIE6" s="28"/>
      <c r="HIF6" s="28"/>
      <c r="HIG6" s="28"/>
      <c r="HIH6" s="28"/>
      <c r="HII6" s="28"/>
      <c r="HIJ6" s="28"/>
      <c r="HIK6" s="28"/>
      <c r="HIL6" s="28"/>
      <c r="HIM6" s="28"/>
      <c r="HIN6" s="28"/>
      <c r="HIO6" s="28"/>
      <c r="HIP6" s="28"/>
      <c r="HIQ6" s="28"/>
      <c r="HIR6" s="28"/>
      <c r="HIS6" s="28"/>
      <c r="HIT6" s="28"/>
      <c r="HIU6" s="28"/>
      <c r="HIV6" s="28"/>
      <c r="HIW6" s="28"/>
      <c r="HIX6" s="28"/>
      <c r="HIY6" s="28"/>
      <c r="HIZ6" s="28"/>
      <c r="HJA6" s="28"/>
      <c r="HJB6" s="28"/>
      <c r="HJC6" s="28"/>
      <c r="HJD6" s="28"/>
      <c r="HJE6" s="28"/>
      <c r="HJF6" s="28"/>
      <c r="HJG6" s="28"/>
      <c r="HJH6" s="28"/>
      <c r="HJI6" s="28"/>
      <c r="HJJ6" s="28"/>
      <c r="HJK6" s="28"/>
      <c r="HJL6" s="28"/>
      <c r="HJM6" s="28"/>
      <c r="HJN6" s="28"/>
      <c r="HJO6" s="28"/>
      <c r="HJP6" s="28"/>
      <c r="HJQ6" s="28"/>
      <c r="HJR6" s="28"/>
      <c r="HJS6" s="28"/>
      <c r="HJT6" s="28"/>
      <c r="HJU6" s="28"/>
      <c r="HJV6" s="28"/>
      <c r="HJW6" s="28"/>
      <c r="HJX6" s="28"/>
      <c r="HJY6" s="28"/>
      <c r="HJZ6" s="28"/>
      <c r="HKA6" s="28"/>
      <c r="HKB6" s="28"/>
      <c r="HKC6" s="28"/>
      <c r="HKD6" s="28"/>
      <c r="HKE6" s="28"/>
      <c r="HKF6" s="28"/>
      <c r="HKG6" s="28"/>
      <c r="HKH6" s="28"/>
      <c r="HKI6" s="28"/>
      <c r="HKJ6" s="28"/>
      <c r="HKK6" s="28"/>
      <c r="HKL6" s="28"/>
      <c r="HKM6" s="28"/>
      <c r="HKN6" s="28"/>
      <c r="HKO6" s="28"/>
      <c r="HKP6" s="28"/>
      <c r="HKQ6" s="28"/>
      <c r="HKR6" s="28"/>
      <c r="HKS6" s="28"/>
      <c r="HKT6" s="28"/>
      <c r="HKU6" s="28"/>
      <c r="HKV6" s="28"/>
      <c r="HKW6" s="28"/>
      <c r="HKX6" s="28"/>
      <c r="HKY6" s="28"/>
      <c r="HKZ6" s="28"/>
      <c r="HLA6" s="28"/>
      <c r="HLB6" s="28"/>
      <c r="HLC6" s="28"/>
      <c r="HLD6" s="28"/>
      <c r="HLE6" s="28"/>
      <c r="HLF6" s="28"/>
      <c r="HLG6" s="28"/>
      <c r="HLH6" s="28"/>
      <c r="HLI6" s="28"/>
      <c r="HLJ6" s="28"/>
      <c r="HLK6" s="28"/>
      <c r="HLL6" s="28"/>
      <c r="HLM6" s="28"/>
      <c r="HLN6" s="28"/>
      <c r="HLO6" s="28"/>
      <c r="HLP6" s="28"/>
      <c r="HLQ6" s="28"/>
      <c r="HLR6" s="28"/>
      <c r="HLS6" s="28"/>
      <c r="HLT6" s="28"/>
      <c r="HLU6" s="28"/>
      <c r="HLV6" s="28"/>
      <c r="HLW6" s="28"/>
      <c r="HLX6" s="28"/>
      <c r="HLY6" s="28"/>
      <c r="HLZ6" s="28"/>
      <c r="HMA6" s="28"/>
      <c r="HMB6" s="28"/>
      <c r="HMC6" s="28"/>
      <c r="HMD6" s="28"/>
      <c r="HME6" s="28"/>
      <c r="HMF6" s="28"/>
      <c r="HMG6" s="28"/>
      <c r="HMH6" s="28"/>
      <c r="HMI6" s="28"/>
      <c r="HMJ6" s="28"/>
      <c r="HMK6" s="28"/>
      <c r="HML6" s="28"/>
      <c r="HMM6" s="28"/>
      <c r="HMN6" s="28"/>
      <c r="HMO6" s="28"/>
      <c r="HMP6" s="28"/>
      <c r="HMQ6" s="28"/>
      <c r="HMR6" s="28"/>
      <c r="HMS6" s="28"/>
      <c r="HMT6" s="28"/>
      <c r="HMU6" s="28"/>
      <c r="HMV6" s="28"/>
      <c r="HMW6" s="28"/>
      <c r="HMX6" s="28"/>
      <c r="HMY6" s="28"/>
      <c r="HMZ6" s="28"/>
      <c r="HNA6" s="28"/>
      <c r="HNB6" s="28"/>
      <c r="HNC6" s="28"/>
      <c r="HND6" s="28"/>
      <c r="HNE6" s="28"/>
      <c r="HNF6" s="28"/>
      <c r="HNG6" s="28"/>
      <c r="HNH6" s="28"/>
      <c r="HNI6" s="28"/>
      <c r="HNJ6" s="28"/>
      <c r="HNK6" s="28"/>
      <c r="HNL6" s="28"/>
      <c r="HNM6" s="28"/>
      <c r="HNN6" s="28"/>
      <c r="HNO6" s="28"/>
      <c r="HNP6" s="28"/>
      <c r="HNQ6" s="28"/>
      <c r="HNR6" s="28"/>
      <c r="HNS6" s="28"/>
      <c r="HNT6" s="28"/>
      <c r="HNU6" s="28"/>
      <c r="HNV6" s="28"/>
      <c r="HNW6" s="28"/>
      <c r="HNX6" s="28"/>
      <c r="HNY6" s="28"/>
      <c r="HNZ6" s="28"/>
      <c r="HOA6" s="28"/>
      <c r="HOB6" s="28"/>
      <c r="HOC6" s="28"/>
      <c r="HOD6" s="28"/>
      <c r="HOE6" s="28"/>
      <c r="HOF6" s="28"/>
      <c r="HOG6" s="28"/>
      <c r="HOH6" s="28"/>
      <c r="HOI6" s="28"/>
      <c r="HOJ6" s="28"/>
      <c r="HOK6" s="28"/>
      <c r="HOL6" s="28"/>
      <c r="HOM6" s="28"/>
      <c r="HON6" s="28"/>
      <c r="HOO6" s="28"/>
      <c r="HOP6" s="28"/>
      <c r="HOQ6" s="28"/>
      <c r="HOR6" s="28"/>
      <c r="HOS6" s="28"/>
      <c r="HOT6" s="28"/>
      <c r="HOU6" s="28"/>
      <c r="HOV6" s="28"/>
      <c r="HOW6" s="28"/>
      <c r="HOX6" s="28"/>
      <c r="HOY6" s="28"/>
      <c r="HOZ6" s="28"/>
      <c r="HPA6" s="28"/>
      <c r="HPB6" s="28"/>
      <c r="HPC6" s="28"/>
      <c r="HPD6" s="28"/>
      <c r="HPE6" s="28"/>
      <c r="HPF6" s="28"/>
      <c r="HPG6" s="28"/>
      <c r="HPH6" s="28"/>
      <c r="HPI6" s="28"/>
      <c r="HPJ6" s="28"/>
      <c r="HPK6" s="28"/>
      <c r="HPL6" s="28"/>
      <c r="HPM6" s="28"/>
      <c r="HPN6" s="28"/>
      <c r="HPO6" s="28"/>
      <c r="HPP6" s="28"/>
      <c r="HPQ6" s="28"/>
      <c r="HPR6" s="28"/>
      <c r="HPS6" s="28"/>
      <c r="HPT6" s="28"/>
      <c r="HPU6" s="28"/>
      <c r="HPV6" s="28"/>
      <c r="HPW6" s="28"/>
      <c r="HPX6" s="28"/>
      <c r="HPY6" s="28"/>
      <c r="HPZ6" s="28"/>
      <c r="HQA6" s="28"/>
      <c r="HQB6" s="28"/>
      <c r="HQC6" s="28"/>
      <c r="HQD6" s="28"/>
      <c r="HQE6" s="28"/>
      <c r="HQF6" s="28"/>
      <c r="HQG6" s="28"/>
      <c r="HQH6" s="28"/>
      <c r="HQI6" s="28"/>
      <c r="HQJ6" s="28"/>
      <c r="HQK6" s="28"/>
      <c r="HQL6" s="28"/>
      <c r="HQM6" s="28"/>
      <c r="HQN6" s="28"/>
      <c r="HQO6" s="28"/>
      <c r="HQP6" s="28"/>
      <c r="HQQ6" s="28"/>
      <c r="HQR6" s="28"/>
      <c r="HQS6" s="28"/>
      <c r="HQT6" s="28"/>
      <c r="HQU6" s="28"/>
      <c r="HQV6" s="28"/>
      <c r="HQW6" s="28"/>
      <c r="HQX6" s="28"/>
      <c r="HQY6" s="28"/>
      <c r="HQZ6" s="28"/>
      <c r="HRA6" s="28"/>
      <c r="HRB6" s="28"/>
      <c r="HRC6" s="28"/>
      <c r="HRD6" s="28"/>
      <c r="HRE6" s="28"/>
      <c r="HRF6" s="28"/>
      <c r="HRG6" s="28"/>
      <c r="HRH6" s="28"/>
      <c r="HRI6" s="28"/>
      <c r="HRJ6" s="28"/>
      <c r="HRK6" s="28"/>
      <c r="HRL6" s="28"/>
      <c r="HRM6" s="28"/>
      <c r="HRN6" s="28"/>
      <c r="HRO6" s="28"/>
      <c r="HRP6" s="28"/>
      <c r="HRQ6" s="28"/>
      <c r="HRR6" s="28"/>
      <c r="HRS6" s="28"/>
      <c r="HRT6" s="28"/>
      <c r="HRU6" s="28"/>
      <c r="HRV6" s="28"/>
      <c r="HRW6" s="28"/>
      <c r="HRX6" s="28"/>
      <c r="HRY6" s="28"/>
      <c r="HRZ6" s="28"/>
      <c r="HSA6" s="28"/>
      <c r="HSB6" s="28"/>
      <c r="HSC6" s="28"/>
      <c r="HSD6" s="28"/>
      <c r="HSE6" s="28"/>
      <c r="HSF6" s="28"/>
      <c r="HSG6" s="28"/>
      <c r="HSH6" s="28"/>
      <c r="HSI6" s="28"/>
      <c r="HSJ6" s="28"/>
      <c r="HSK6" s="28"/>
      <c r="HSL6" s="28"/>
      <c r="HSM6" s="28"/>
      <c r="HSN6" s="28"/>
      <c r="HSO6" s="28"/>
      <c r="HSP6" s="28"/>
      <c r="HSQ6" s="28"/>
      <c r="HSR6" s="28"/>
      <c r="HSS6" s="28"/>
      <c r="HST6" s="28"/>
      <c r="HSU6" s="28"/>
      <c r="HSV6" s="28"/>
      <c r="HSW6" s="28"/>
      <c r="HSX6" s="28"/>
      <c r="HSY6" s="28"/>
      <c r="HSZ6" s="28"/>
      <c r="HTA6" s="28"/>
      <c r="HTB6" s="28"/>
      <c r="HTC6" s="28"/>
      <c r="HTD6" s="28"/>
      <c r="HTE6" s="28"/>
      <c r="HTF6" s="28"/>
      <c r="HTG6" s="28"/>
      <c r="HTH6" s="28"/>
      <c r="HTI6" s="28"/>
      <c r="HTJ6" s="28"/>
      <c r="HTK6" s="28"/>
      <c r="HTL6" s="28"/>
      <c r="HTM6" s="28"/>
      <c r="HTN6" s="28"/>
      <c r="HTO6" s="28"/>
      <c r="HTP6" s="28"/>
      <c r="HTQ6" s="28"/>
      <c r="HTR6" s="28"/>
      <c r="HTS6" s="28"/>
      <c r="HTT6" s="28"/>
      <c r="HTU6" s="28"/>
      <c r="HTV6" s="28"/>
      <c r="HTW6" s="28"/>
      <c r="HTX6" s="28"/>
      <c r="HTY6" s="28"/>
      <c r="HTZ6" s="28"/>
      <c r="HUA6" s="28"/>
      <c r="HUB6" s="28"/>
      <c r="HUC6" s="28"/>
      <c r="HUD6" s="28"/>
      <c r="HUE6" s="28"/>
      <c r="HUF6" s="28"/>
      <c r="HUG6" s="28"/>
      <c r="HUH6" s="28"/>
      <c r="HUI6" s="28"/>
      <c r="HUJ6" s="28"/>
      <c r="HUK6" s="28"/>
      <c r="HUL6" s="28"/>
      <c r="HUM6" s="28"/>
      <c r="HUN6" s="28"/>
      <c r="HUO6" s="28"/>
      <c r="HUP6" s="28"/>
      <c r="HUQ6" s="28"/>
      <c r="HUR6" s="28"/>
      <c r="HUS6" s="28"/>
      <c r="HUT6" s="28"/>
      <c r="HUU6" s="28"/>
      <c r="HUV6" s="28"/>
      <c r="HUW6" s="28"/>
      <c r="HUX6" s="28"/>
      <c r="HUY6" s="28"/>
      <c r="HUZ6" s="28"/>
      <c r="HVA6" s="28"/>
      <c r="HVB6" s="28"/>
      <c r="HVC6" s="28"/>
      <c r="HVD6" s="28"/>
      <c r="HVE6" s="28"/>
      <c r="HVF6" s="28"/>
      <c r="HVG6" s="28"/>
      <c r="HVH6" s="28"/>
      <c r="HVI6" s="28"/>
      <c r="HVJ6" s="28"/>
      <c r="HVK6" s="28"/>
      <c r="HVL6" s="28"/>
      <c r="HVM6" s="28"/>
      <c r="HVN6" s="28"/>
      <c r="HVO6" s="28"/>
      <c r="HVP6" s="28"/>
      <c r="HVQ6" s="28"/>
      <c r="HVR6" s="28"/>
      <c r="HVS6" s="28"/>
      <c r="HVT6" s="28"/>
      <c r="HVU6" s="28"/>
      <c r="HVV6" s="28"/>
      <c r="HVW6" s="28"/>
      <c r="HVX6" s="28"/>
      <c r="HVY6" s="28"/>
      <c r="HVZ6" s="28"/>
      <c r="HWA6" s="28"/>
      <c r="HWB6" s="28"/>
      <c r="HWC6" s="28"/>
      <c r="HWD6" s="28"/>
      <c r="HWE6" s="28"/>
      <c r="HWF6" s="28"/>
      <c r="HWG6" s="28"/>
      <c r="HWH6" s="28"/>
      <c r="HWI6" s="28"/>
      <c r="HWJ6" s="28"/>
      <c r="HWK6" s="28"/>
      <c r="HWL6" s="28"/>
      <c r="HWM6" s="28"/>
      <c r="HWN6" s="28"/>
      <c r="HWO6" s="28"/>
      <c r="HWP6" s="28"/>
      <c r="HWQ6" s="28"/>
      <c r="HWR6" s="28"/>
      <c r="HWS6" s="28"/>
      <c r="HWT6" s="28"/>
      <c r="HWU6" s="28"/>
      <c r="HWV6" s="28"/>
      <c r="HWW6" s="28"/>
      <c r="HWX6" s="28"/>
      <c r="HWY6" s="28"/>
      <c r="HWZ6" s="28"/>
      <c r="HXA6" s="28"/>
      <c r="HXB6" s="28"/>
      <c r="HXC6" s="28"/>
      <c r="HXD6" s="28"/>
      <c r="HXE6" s="28"/>
      <c r="HXF6" s="28"/>
      <c r="HXG6" s="28"/>
      <c r="HXH6" s="28"/>
      <c r="HXI6" s="28"/>
      <c r="HXJ6" s="28"/>
      <c r="HXK6" s="28"/>
      <c r="HXL6" s="28"/>
      <c r="HXM6" s="28"/>
      <c r="HXN6" s="28"/>
      <c r="HXO6" s="28"/>
      <c r="HXP6" s="28"/>
      <c r="HXQ6" s="28"/>
      <c r="HXR6" s="28"/>
      <c r="HXS6" s="28"/>
      <c r="HXT6" s="28"/>
      <c r="HXU6" s="28"/>
      <c r="HXV6" s="28"/>
      <c r="HXW6" s="28"/>
      <c r="HXX6" s="28"/>
      <c r="HXY6" s="28"/>
      <c r="HXZ6" s="28"/>
      <c r="HYA6" s="28"/>
      <c r="HYB6" s="28"/>
      <c r="HYC6" s="28"/>
      <c r="HYD6" s="28"/>
      <c r="HYE6" s="28"/>
      <c r="HYF6" s="28"/>
      <c r="HYG6" s="28"/>
      <c r="HYH6" s="28"/>
      <c r="HYI6" s="28"/>
      <c r="HYJ6" s="28"/>
      <c r="HYK6" s="28"/>
      <c r="HYL6" s="28"/>
      <c r="HYM6" s="28"/>
      <c r="HYN6" s="28"/>
      <c r="HYO6" s="28"/>
      <c r="HYP6" s="28"/>
      <c r="HYQ6" s="28"/>
      <c r="HYR6" s="28"/>
      <c r="HYS6" s="28"/>
      <c r="HYT6" s="28"/>
      <c r="HYU6" s="28"/>
      <c r="HYV6" s="28"/>
      <c r="HYW6" s="28"/>
      <c r="HYX6" s="28"/>
      <c r="HYY6" s="28"/>
      <c r="HYZ6" s="28"/>
      <c r="HZA6" s="28"/>
      <c r="HZB6" s="28"/>
      <c r="HZC6" s="28"/>
      <c r="HZD6" s="28"/>
      <c r="HZE6" s="28"/>
      <c r="HZF6" s="28"/>
      <c r="HZG6" s="28"/>
      <c r="HZH6" s="28"/>
      <c r="HZI6" s="28"/>
      <c r="HZJ6" s="28"/>
      <c r="HZK6" s="28"/>
      <c r="HZL6" s="28"/>
      <c r="HZM6" s="28"/>
      <c r="HZN6" s="28"/>
      <c r="HZO6" s="28"/>
      <c r="HZP6" s="28"/>
      <c r="HZQ6" s="28"/>
      <c r="HZR6" s="28"/>
      <c r="HZS6" s="28"/>
      <c r="HZT6" s="28"/>
      <c r="HZU6" s="28"/>
      <c r="HZV6" s="28"/>
      <c r="HZW6" s="28"/>
      <c r="HZX6" s="28"/>
      <c r="HZY6" s="28"/>
      <c r="HZZ6" s="28"/>
      <c r="IAA6" s="28"/>
      <c r="IAB6" s="28"/>
      <c r="IAC6" s="28"/>
      <c r="IAD6" s="28"/>
      <c r="IAE6" s="28"/>
      <c r="IAF6" s="28"/>
      <c r="IAG6" s="28"/>
      <c r="IAH6" s="28"/>
      <c r="IAI6" s="28"/>
      <c r="IAJ6" s="28"/>
      <c r="IAK6" s="28"/>
      <c r="IAL6" s="28"/>
      <c r="IAM6" s="28"/>
      <c r="IAN6" s="28"/>
      <c r="IAO6" s="28"/>
      <c r="IAP6" s="28"/>
      <c r="IAQ6" s="28"/>
      <c r="IAR6" s="28"/>
      <c r="IAS6" s="28"/>
      <c r="IAT6" s="28"/>
      <c r="IAU6" s="28"/>
      <c r="IAV6" s="28"/>
      <c r="IAW6" s="28"/>
      <c r="IAX6" s="28"/>
      <c r="IAY6" s="28"/>
      <c r="IAZ6" s="28"/>
      <c r="IBA6" s="28"/>
      <c r="IBB6" s="28"/>
      <c r="IBC6" s="28"/>
      <c r="IBD6" s="28"/>
      <c r="IBE6" s="28"/>
      <c r="IBF6" s="28"/>
      <c r="IBG6" s="28"/>
      <c r="IBH6" s="28"/>
      <c r="IBI6" s="28"/>
      <c r="IBJ6" s="28"/>
      <c r="IBK6" s="28"/>
      <c r="IBL6" s="28"/>
      <c r="IBM6" s="28"/>
      <c r="IBN6" s="28"/>
      <c r="IBO6" s="28"/>
      <c r="IBP6" s="28"/>
      <c r="IBQ6" s="28"/>
      <c r="IBR6" s="28"/>
      <c r="IBS6" s="28"/>
      <c r="IBT6" s="28"/>
      <c r="IBU6" s="28"/>
      <c r="IBV6" s="28"/>
      <c r="IBW6" s="28"/>
      <c r="IBX6" s="28"/>
      <c r="IBY6" s="28"/>
      <c r="IBZ6" s="28"/>
      <c r="ICA6" s="28"/>
      <c r="ICB6" s="28"/>
      <c r="ICC6" s="28"/>
      <c r="ICD6" s="28"/>
      <c r="ICE6" s="28"/>
      <c r="ICF6" s="28"/>
      <c r="ICG6" s="28"/>
      <c r="ICH6" s="28"/>
      <c r="ICI6" s="28"/>
      <c r="ICJ6" s="28"/>
      <c r="ICK6" s="28"/>
      <c r="ICL6" s="28"/>
      <c r="ICM6" s="28"/>
      <c r="ICN6" s="28"/>
      <c r="ICO6" s="28"/>
      <c r="ICP6" s="28"/>
      <c r="ICQ6" s="28"/>
      <c r="ICR6" s="28"/>
      <c r="ICS6" s="28"/>
      <c r="ICT6" s="28"/>
      <c r="ICU6" s="28"/>
      <c r="ICV6" s="28"/>
      <c r="ICW6" s="28"/>
      <c r="ICX6" s="28"/>
      <c r="ICY6" s="28"/>
      <c r="ICZ6" s="28"/>
      <c r="IDA6" s="28"/>
      <c r="IDB6" s="28"/>
      <c r="IDC6" s="28"/>
      <c r="IDD6" s="28"/>
      <c r="IDE6" s="28"/>
      <c r="IDF6" s="28"/>
      <c r="IDG6" s="28"/>
      <c r="IDH6" s="28"/>
      <c r="IDI6" s="28"/>
      <c r="IDJ6" s="28"/>
      <c r="IDK6" s="28"/>
      <c r="IDL6" s="28"/>
      <c r="IDM6" s="28"/>
      <c r="IDN6" s="28"/>
      <c r="IDO6" s="28"/>
      <c r="IDP6" s="28"/>
      <c r="IDQ6" s="28"/>
      <c r="IDR6" s="28"/>
      <c r="IDS6" s="28"/>
      <c r="IDT6" s="28"/>
      <c r="IDU6" s="28"/>
      <c r="IDV6" s="28"/>
      <c r="IDW6" s="28"/>
      <c r="IDX6" s="28"/>
      <c r="IDY6" s="28"/>
      <c r="IDZ6" s="28"/>
      <c r="IEA6" s="28"/>
      <c r="IEB6" s="28"/>
      <c r="IEC6" s="28"/>
      <c r="IED6" s="28"/>
      <c r="IEE6" s="28"/>
      <c r="IEF6" s="28"/>
      <c r="IEG6" s="28"/>
      <c r="IEH6" s="28"/>
      <c r="IEI6" s="28"/>
      <c r="IEJ6" s="28"/>
      <c r="IEK6" s="28"/>
      <c r="IEL6" s="28"/>
      <c r="IEM6" s="28"/>
      <c r="IEN6" s="28"/>
      <c r="IEO6" s="28"/>
      <c r="IEP6" s="28"/>
      <c r="IEQ6" s="28"/>
      <c r="IER6" s="28"/>
      <c r="IES6" s="28"/>
      <c r="IET6" s="28"/>
      <c r="IEU6" s="28"/>
      <c r="IEV6" s="28"/>
      <c r="IEW6" s="28"/>
      <c r="IEX6" s="28"/>
      <c r="IEY6" s="28"/>
      <c r="IEZ6" s="28"/>
      <c r="IFA6" s="28"/>
      <c r="IFB6" s="28"/>
      <c r="IFC6" s="28"/>
      <c r="IFD6" s="28"/>
      <c r="IFE6" s="28"/>
      <c r="IFF6" s="28"/>
      <c r="IFG6" s="28"/>
      <c r="IFH6" s="28"/>
      <c r="IFI6" s="28"/>
      <c r="IFJ6" s="28"/>
      <c r="IFK6" s="28"/>
      <c r="IFL6" s="28"/>
      <c r="IFM6" s="28"/>
      <c r="IFN6" s="28"/>
      <c r="IFO6" s="28"/>
      <c r="IFP6" s="28"/>
      <c r="IFQ6" s="28"/>
      <c r="IFR6" s="28"/>
      <c r="IFS6" s="28"/>
      <c r="IFT6" s="28"/>
      <c r="IFU6" s="28"/>
      <c r="IFV6" s="28"/>
      <c r="IFW6" s="28"/>
      <c r="IFX6" s="28"/>
      <c r="IFY6" s="28"/>
      <c r="IFZ6" s="28"/>
      <c r="IGA6" s="28"/>
      <c r="IGB6" s="28"/>
      <c r="IGC6" s="28"/>
      <c r="IGD6" s="28"/>
      <c r="IGE6" s="28"/>
      <c r="IGF6" s="28"/>
      <c r="IGG6" s="28"/>
      <c r="IGH6" s="28"/>
      <c r="IGI6" s="28"/>
      <c r="IGJ6" s="28"/>
      <c r="IGK6" s="28"/>
      <c r="IGL6" s="28"/>
      <c r="IGM6" s="28"/>
      <c r="IGN6" s="28"/>
      <c r="IGO6" s="28"/>
      <c r="IGP6" s="28"/>
      <c r="IGQ6" s="28"/>
      <c r="IGR6" s="28"/>
      <c r="IGS6" s="28"/>
      <c r="IGT6" s="28"/>
      <c r="IGU6" s="28"/>
      <c r="IGV6" s="28"/>
      <c r="IGW6" s="28"/>
      <c r="IGX6" s="28"/>
      <c r="IGY6" s="28"/>
      <c r="IGZ6" s="28"/>
      <c r="IHA6" s="28"/>
      <c r="IHB6" s="28"/>
      <c r="IHC6" s="28"/>
      <c r="IHD6" s="28"/>
      <c r="IHE6" s="28"/>
      <c r="IHF6" s="28"/>
      <c r="IHG6" s="28"/>
      <c r="IHH6" s="28"/>
      <c r="IHI6" s="28"/>
      <c r="IHJ6" s="28"/>
      <c r="IHK6" s="28"/>
      <c r="IHL6" s="28"/>
      <c r="IHM6" s="28"/>
      <c r="IHN6" s="28"/>
      <c r="IHO6" s="28"/>
      <c r="IHP6" s="28"/>
      <c r="IHQ6" s="28"/>
      <c r="IHR6" s="28"/>
      <c r="IHS6" s="28"/>
      <c r="IHT6" s="28"/>
      <c r="IHU6" s="28"/>
      <c r="IHV6" s="28"/>
      <c r="IHW6" s="28"/>
      <c r="IHX6" s="28"/>
      <c r="IHY6" s="28"/>
      <c r="IHZ6" s="28"/>
      <c r="IIA6" s="28"/>
      <c r="IIB6" s="28"/>
      <c r="IIC6" s="28"/>
      <c r="IID6" s="28"/>
      <c r="IIE6" s="28"/>
      <c r="IIF6" s="28"/>
      <c r="IIG6" s="28"/>
      <c r="IIH6" s="28"/>
      <c r="III6" s="28"/>
      <c r="IIJ6" s="28"/>
      <c r="IIK6" s="28"/>
      <c r="IIL6" s="28"/>
      <c r="IIM6" s="28"/>
      <c r="IIN6" s="28"/>
      <c r="IIO6" s="28"/>
      <c r="IIP6" s="28"/>
      <c r="IIQ6" s="28"/>
      <c r="IIR6" s="28"/>
      <c r="IIS6" s="28"/>
      <c r="IIT6" s="28"/>
      <c r="IIU6" s="28"/>
      <c r="IIV6" s="28"/>
      <c r="IIW6" s="28"/>
      <c r="IIX6" s="28"/>
      <c r="IIY6" s="28"/>
      <c r="IIZ6" s="28"/>
      <c r="IJA6" s="28"/>
      <c r="IJB6" s="28"/>
      <c r="IJC6" s="28"/>
      <c r="IJD6" s="28"/>
      <c r="IJE6" s="28"/>
      <c r="IJF6" s="28"/>
      <c r="IJG6" s="28"/>
      <c r="IJH6" s="28"/>
      <c r="IJI6" s="28"/>
      <c r="IJJ6" s="28"/>
      <c r="IJK6" s="28"/>
      <c r="IJL6" s="28"/>
      <c r="IJM6" s="28"/>
      <c r="IJN6" s="28"/>
      <c r="IJO6" s="28"/>
      <c r="IJP6" s="28"/>
      <c r="IJQ6" s="28"/>
      <c r="IJR6" s="28"/>
      <c r="IJS6" s="28"/>
      <c r="IJT6" s="28"/>
      <c r="IJU6" s="28"/>
      <c r="IJV6" s="28"/>
      <c r="IJW6" s="28"/>
      <c r="IJX6" s="28"/>
      <c r="IJY6" s="28"/>
      <c r="IJZ6" s="28"/>
      <c r="IKA6" s="28"/>
      <c r="IKB6" s="28"/>
      <c r="IKC6" s="28"/>
      <c r="IKD6" s="28"/>
      <c r="IKE6" s="28"/>
      <c r="IKF6" s="28"/>
      <c r="IKG6" s="28"/>
      <c r="IKH6" s="28"/>
      <c r="IKI6" s="28"/>
      <c r="IKJ6" s="28"/>
      <c r="IKK6" s="28"/>
      <c r="IKL6" s="28"/>
      <c r="IKM6" s="28"/>
      <c r="IKN6" s="28"/>
      <c r="IKO6" s="28"/>
      <c r="IKP6" s="28"/>
      <c r="IKQ6" s="28"/>
      <c r="IKR6" s="28"/>
      <c r="IKS6" s="28"/>
      <c r="IKT6" s="28"/>
      <c r="IKU6" s="28"/>
      <c r="IKV6" s="28"/>
      <c r="IKW6" s="28"/>
      <c r="IKX6" s="28"/>
      <c r="IKY6" s="28"/>
      <c r="IKZ6" s="28"/>
      <c r="ILA6" s="28"/>
      <c r="ILB6" s="28"/>
      <c r="ILC6" s="28"/>
      <c r="ILD6" s="28"/>
      <c r="ILE6" s="28"/>
      <c r="ILF6" s="28"/>
      <c r="ILG6" s="28"/>
      <c r="ILH6" s="28"/>
      <c r="ILI6" s="28"/>
      <c r="ILJ6" s="28"/>
      <c r="ILK6" s="28"/>
      <c r="ILL6" s="28"/>
      <c r="ILM6" s="28"/>
      <c r="ILN6" s="28"/>
      <c r="ILO6" s="28"/>
      <c r="ILP6" s="28"/>
      <c r="ILQ6" s="28"/>
      <c r="ILR6" s="28"/>
      <c r="ILS6" s="28"/>
      <c r="ILT6" s="28"/>
      <c r="ILU6" s="28"/>
      <c r="ILV6" s="28"/>
      <c r="ILW6" s="28"/>
      <c r="ILX6" s="28"/>
      <c r="ILY6" s="28"/>
      <c r="ILZ6" s="28"/>
      <c r="IMA6" s="28"/>
      <c r="IMB6" s="28"/>
      <c r="IMC6" s="28"/>
      <c r="IMD6" s="28"/>
      <c r="IME6" s="28"/>
      <c r="IMF6" s="28"/>
      <c r="IMG6" s="28"/>
      <c r="IMH6" s="28"/>
      <c r="IMI6" s="28"/>
      <c r="IMJ6" s="28"/>
      <c r="IMK6" s="28"/>
      <c r="IML6" s="28"/>
      <c r="IMM6" s="28"/>
      <c r="IMN6" s="28"/>
      <c r="IMO6" s="28"/>
      <c r="IMP6" s="28"/>
      <c r="IMQ6" s="28"/>
      <c r="IMR6" s="28"/>
      <c r="IMS6" s="28"/>
      <c r="IMT6" s="28"/>
      <c r="IMU6" s="28"/>
      <c r="IMV6" s="28"/>
      <c r="IMW6" s="28"/>
      <c r="IMX6" s="28"/>
      <c r="IMY6" s="28"/>
      <c r="IMZ6" s="28"/>
      <c r="INA6" s="28"/>
      <c r="INB6" s="28"/>
      <c r="INC6" s="28"/>
      <c r="IND6" s="28"/>
      <c r="INE6" s="28"/>
      <c r="INF6" s="28"/>
      <c r="ING6" s="28"/>
      <c r="INH6" s="28"/>
      <c r="INI6" s="28"/>
      <c r="INJ6" s="28"/>
      <c r="INK6" s="28"/>
      <c r="INL6" s="28"/>
      <c r="INM6" s="28"/>
      <c r="INN6" s="28"/>
      <c r="INO6" s="28"/>
      <c r="INP6" s="28"/>
      <c r="INQ6" s="28"/>
      <c r="INR6" s="28"/>
      <c r="INS6" s="28"/>
      <c r="INT6" s="28"/>
      <c r="INU6" s="28"/>
      <c r="INV6" s="28"/>
      <c r="INW6" s="28"/>
      <c r="INX6" s="28"/>
      <c r="INY6" s="28"/>
      <c r="INZ6" s="28"/>
      <c r="IOA6" s="28"/>
      <c r="IOB6" s="28"/>
      <c r="IOC6" s="28"/>
      <c r="IOD6" s="28"/>
      <c r="IOE6" s="28"/>
      <c r="IOF6" s="28"/>
      <c r="IOG6" s="28"/>
      <c r="IOH6" s="28"/>
      <c r="IOI6" s="28"/>
      <c r="IOJ6" s="28"/>
      <c r="IOK6" s="28"/>
      <c r="IOL6" s="28"/>
      <c r="IOM6" s="28"/>
      <c r="ION6" s="28"/>
      <c r="IOO6" s="28"/>
      <c r="IOP6" s="28"/>
      <c r="IOQ6" s="28"/>
      <c r="IOR6" s="28"/>
      <c r="IOS6" s="28"/>
      <c r="IOT6" s="28"/>
      <c r="IOU6" s="28"/>
      <c r="IOV6" s="28"/>
      <c r="IOW6" s="28"/>
      <c r="IOX6" s="28"/>
      <c r="IOY6" s="28"/>
      <c r="IOZ6" s="28"/>
      <c r="IPA6" s="28"/>
      <c r="IPB6" s="28"/>
      <c r="IPC6" s="28"/>
      <c r="IPD6" s="28"/>
      <c r="IPE6" s="28"/>
      <c r="IPF6" s="28"/>
      <c r="IPG6" s="28"/>
      <c r="IPH6" s="28"/>
      <c r="IPI6" s="28"/>
      <c r="IPJ6" s="28"/>
      <c r="IPK6" s="28"/>
      <c r="IPL6" s="28"/>
      <c r="IPM6" s="28"/>
      <c r="IPN6" s="28"/>
      <c r="IPO6" s="28"/>
      <c r="IPP6" s="28"/>
      <c r="IPQ6" s="28"/>
      <c r="IPR6" s="28"/>
      <c r="IPS6" s="28"/>
      <c r="IPT6" s="28"/>
      <c r="IPU6" s="28"/>
      <c r="IPV6" s="28"/>
      <c r="IPW6" s="28"/>
      <c r="IPX6" s="28"/>
      <c r="IPY6" s="28"/>
      <c r="IPZ6" s="28"/>
      <c r="IQA6" s="28"/>
      <c r="IQB6" s="28"/>
      <c r="IQC6" s="28"/>
      <c r="IQD6" s="28"/>
      <c r="IQE6" s="28"/>
      <c r="IQF6" s="28"/>
      <c r="IQG6" s="28"/>
      <c r="IQH6" s="28"/>
      <c r="IQI6" s="28"/>
      <c r="IQJ6" s="28"/>
      <c r="IQK6" s="28"/>
      <c r="IQL6" s="28"/>
      <c r="IQM6" s="28"/>
      <c r="IQN6" s="28"/>
      <c r="IQO6" s="28"/>
      <c r="IQP6" s="28"/>
      <c r="IQQ6" s="28"/>
      <c r="IQR6" s="28"/>
      <c r="IQS6" s="28"/>
      <c r="IQT6" s="28"/>
      <c r="IQU6" s="28"/>
      <c r="IQV6" s="28"/>
      <c r="IQW6" s="28"/>
      <c r="IQX6" s="28"/>
      <c r="IQY6" s="28"/>
      <c r="IQZ6" s="28"/>
      <c r="IRA6" s="28"/>
      <c r="IRB6" s="28"/>
      <c r="IRC6" s="28"/>
      <c r="IRD6" s="28"/>
      <c r="IRE6" s="28"/>
      <c r="IRF6" s="28"/>
      <c r="IRG6" s="28"/>
      <c r="IRH6" s="28"/>
      <c r="IRI6" s="28"/>
      <c r="IRJ6" s="28"/>
      <c r="IRK6" s="28"/>
      <c r="IRL6" s="28"/>
      <c r="IRM6" s="28"/>
      <c r="IRN6" s="28"/>
      <c r="IRO6" s="28"/>
      <c r="IRP6" s="28"/>
      <c r="IRQ6" s="28"/>
      <c r="IRR6" s="28"/>
      <c r="IRS6" s="28"/>
      <c r="IRT6" s="28"/>
      <c r="IRU6" s="28"/>
      <c r="IRV6" s="28"/>
      <c r="IRW6" s="28"/>
      <c r="IRX6" s="28"/>
      <c r="IRY6" s="28"/>
      <c r="IRZ6" s="28"/>
      <c r="ISA6" s="28"/>
      <c r="ISB6" s="28"/>
      <c r="ISC6" s="28"/>
      <c r="ISD6" s="28"/>
      <c r="ISE6" s="28"/>
      <c r="ISF6" s="28"/>
      <c r="ISG6" s="28"/>
      <c r="ISH6" s="28"/>
      <c r="ISI6" s="28"/>
      <c r="ISJ6" s="28"/>
      <c r="ISK6" s="28"/>
      <c r="ISL6" s="28"/>
      <c r="ISM6" s="28"/>
      <c r="ISN6" s="28"/>
      <c r="ISO6" s="28"/>
      <c r="ISP6" s="28"/>
      <c r="ISQ6" s="28"/>
      <c r="ISR6" s="28"/>
      <c r="ISS6" s="28"/>
      <c r="IST6" s="28"/>
      <c r="ISU6" s="28"/>
      <c r="ISV6" s="28"/>
      <c r="ISW6" s="28"/>
      <c r="ISX6" s="28"/>
      <c r="ISY6" s="28"/>
      <c r="ISZ6" s="28"/>
      <c r="ITA6" s="28"/>
      <c r="ITB6" s="28"/>
      <c r="ITC6" s="28"/>
      <c r="ITD6" s="28"/>
      <c r="ITE6" s="28"/>
      <c r="ITF6" s="28"/>
      <c r="ITG6" s="28"/>
      <c r="ITH6" s="28"/>
      <c r="ITI6" s="28"/>
      <c r="ITJ6" s="28"/>
      <c r="ITK6" s="28"/>
      <c r="ITL6" s="28"/>
      <c r="ITM6" s="28"/>
      <c r="ITN6" s="28"/>
      <c r="ITO6" s="28"/>
      <c r="ITP6" s="28"/>
      <c r="ITQ6" s="28"/>
      <c r="ITR6" s="28"/>
      <c r="ITS6" s="28"/>
      <c r="ITT6" s="28"/>
      <c r="ITU6" s="28"/>
      <c r="ITV6" s="28"/>
      <c r="ITW6" s="28"/>
      <c r="ITX6" s="28"/>
      <c r="ITY6" s="28"/>
      <c r="ITZ6" s="28"/>
      <c r="IUA6" s="28"/>
      <c r="IUB6" s="28"/>
      <c r="IUC6" s="28"/>
      <c r="IUD6" s="28"/>
      <c r="IUE6" s="28"/>
      <c r="IUF6" s="28"/>
      <c r="IUG6" s="28"/>
      <c r="IUH6" s="28"/>
      <c r="IUI6" s="28"/>
      <c r="IUJ6" s="28"/>
      <c r="IUK6" s="28"/>
      <c r="IUL6" s="28"/>
      <c r="IUM6" s="28"/>
      <c r="IUN6" s="28"/>
      <c r="IUO6" s="28"/>
      <c r="IUP6" s="28"/>
      <c r="IUQ6" s="28"/>
      <c r="IUR6" s="28"/>
      <c r="IUS6" s="28"/>
      <c r="IUT6" s="28"/>
      <c r="IUU6" s="28"/>
      <c r="IUV6" s="28"/>
      <c r="IUW6" s="28"/>
      <c r="IUX6" s="28"/>
      <c r="IUY6" s="28"/>
      <c r="IUZ6" s="28"/>
      <c r="IVA6" s="28"/>
      <c r="IVB6" s="28"/>
      <c r="IVC6" s="28"/>
      <c r="IVD6" s="28"/>
      <c r="IVE6" s="28"/>
      <c r="IVF6" s="28"/>
      <c r="IVG6" s="28"/>
      <c r="IVH6" s="28"/>
      <c r="IVI6" s="28"/>
      <c r="IVJ6" s="28"/>
      <c r="IVK6" s="28"/>
      <c r="IVL6" s="28"/>
      <c r="IVM6" s="28"/>
      <c r="IVN6" s="28"/>
      <c r="IVO6" s="28"/>
      <c r="IVP6" s="28"/>
      <c r="IVQ6" s="28"/>
      <c r="IVR6" s="28"/>
      <c r="IVS6" s="28"/>
      <c r="IVT6" s="28"/>
      <c r="IVU6" s="28"/>
      <c r="IVV6" s="28"/>
      <c r="IVW6" s="28"/>
      <c r="IVX6" s="28"/>
      <c r="IVY6" s="28"/>
      <c r="IVZ6" s="28"/>
      <c r="IWA6" s="28"/>
      <c r="IWB6" s="28"/>
      <c r="IWC6" s="28"/>
      <c r="IWD6" s="28"/>
      <c r="IWE6" s="28"/>
      <c r="IWF6" s="28"/>
      <c r="IWG6" s="28"/>
      <c r="IWH6" s="28"/>
      <c r="IWI6" s="28"/>
      <c r="IWJ6" s="28"/>
      <c r="IWK6" s="28"/>
      <c r="IWL6" s="28"/>
      <c r="IWM6" s="28"/>
      <c r="IWN6" s="28"/>
      <c r="IWO6" s="28"/>
      <c r="IWP6" s="28"/>
      <c r="IWQ6" s="28"/>
      <c r="IWR6" s="28"/>
      <c r="IWS6" s="28"/>
      <c r="IWT6" s="28"/>
      <c r="IWU6" s="28"/>
      <c r="IWV6" s="28"/>
      <c r="IWW6" s="28"/>
      <c r="IWX6" s="28"/>
      <c r="IWY6" s="28"/>
      <c r="IWZ6" s="28"/>
      <c r="IXA6" s="28"/>
      <c r="IXB6" s="28"/>
      <c r="IXC6" s="28"/>
      <c r="IXD6" s="28"/>
      <c r="IXE6" s="28"/>
      <c r="IXF6" s="28"/>
      <c r="IXG6" s="28"/>
      <c r="IXH6" s="28"/>
      <c r="IXI6" s="28"/>
      <c r="IXJ6" s="28"/>
      <c r="IXK6" s="28"/>
      <c r="IXL6" s="28"/>
      <c r="IXM6" s="28"/>
      <c r="IXN6" s="28"/>
      <c r="IXO6" s="28"/>
      <c r="IXP6" s="28"/>
      <c r="IXQ6" s="28"/>
      <c r="IXR6" s="28"/>
      <c r="IXS6" s="28"/>
      <c r="IXT6" s="28"/>
      <c r="IXU6" s="28"/>
      <c r="IXV6" s="28"/>
      <c r="IXW6" s="28"/>
      <c r="IXX6" s="28"/>
      <c r="IXY6" s="28"/>
      <c r="IXZ6" s="28"/>
      <c r="IYA6" s="28"/>
      <c r="IYB6" s="28"/>
      <c r="IYC6" s="28"/>
      <c r="IYD6" s="28"/>
      <c r="IYE6" s="28"/>
      <c r="IYF6" s="28"/>
      <c r="IYG6" s="28"/>
      <c r="IYH6" s="28"/>
      <c r="IYI6" s="28"/>
      <c r="IYJ6" s="28"/>
      <c r="IYK6" s="28"/>
      <c r="IYL6" s="28"/>
      <c r="IYM6" s="28"/>
      <c r="IYN6" s="28"/>
      <c r="IYO6" s="28"/>
      <c r="IYP6" s="28"/>
      <c r="IYQ6" s="28"/>
      <c r="IYR6" s="28"/>
      <c r="IYS6" s="28"/>
      <c r="IYT6" s="28"/>
      <c r="IYU6" s="28"/>
      <c r="IYV6" s="28"/>
      <c r="IYW6" s="28"/>
      <c r="IYX6" s="28"/>
      <c r="IYY6" s="28"/>
      <c r="IYZ6" s="28"/>
      <c r="IZA6" s="28"/>
      <c r="IZB6" s="28"/>
      <c r="IZC6" s="28"/>
      <c r="IZD6" s="28"/>
      <c r="IZE6" s="28"/>
      <c r="IZF6" s="28"/>
      <c r="IZG6" s="28"/>
      <c r="IZH6" s="28"/>
      <c r="IZI6" s="28"/>
      <c r="IZJ6" s="28"/>
      <c r="IZK6" s="28"/>
      <c r="IZL6" s="28"/>
      <c r="IZM6" s="28"/>
      <c r="IZN6" s="28"/>
      <c r="IZO6" s="28"/>
      <c r="IZP6" s="28"/>
      <c r="IZQ6" s="28"/>
      <c r="IZR6" s="28"/>
      <c r="IZS6" s="28"/>
      <c r="IZT6" s="28"/>
      <c r="IZU6" s="28"/>
      <c r="IZV6" s="28"/>
      <c r="IZW6" s="28"/>
      <c r="IZX6" s="28"/>
      <c r="IZY6" s="28"/>
      <c r="IZZ6" s="28"/>
      <c r="JAA6" s="28"/>
      <c r="JAB6" s="28"/>
      <c r="JAC6" s="28"/>
      <c r="JAD6" s="28"/>
      <c r="JAE6" s="28"/>
      <c r="JAF6" s="28"/>
      <c r="JAG6" s="28"/>
      <c r="JAH6" s="28"/>
      <c r="JAI6" s="28"/>
      <c r="JAJ6" s="28"/>
      <c r="JAK6" s="28"/>
      <c r="JAL6" s="28"/>
      <c r="JAM6" s="28"/>
      <c r="JAN6" s="28"/>
      <c r="JAO6" s="28"/>
      <c r="JAP6" s="28"/>
      <c r="JAQ6" s="28"/>
      <c r="JAR6" s="28"/>
      <c r="JAS6" s="28"/>
      <c r="JAT6" s="28"/>
      <c r="JAU6" s="28"/>
      <c r="JAV6" s="28"/>
      <c r="JAW6" s="28"/>
      <c r="JAX6" s="28"/>
      <c r="JAY6" s="28"/>
      <c r="JAZ6" s="28"/>
      <c r="JBA6" s="28"/>
      <c r="JBB6" s="28"/>
      <c r="JBC6" s="28"/>
      <c r="JBD6" s="28"/>
      <c r="JBE6" s="28"/>
      <c r="JBF6" s="28"/>
      <c r="JBG6" s="28"/>
      <c r="JBH6" s="28"/>
      <c r="JBI6" s="28"/>
      <c r="JBJ6" s="28"/>
      <c r="JBK6" s="28"/>
      <c r="JBL6" s="28"/>
      <c r="JBM6" s="28"/>
      <c r="JBN6" s="28"/>
      <c r="JBO6" s="28"/>
      <c r="JBP6" s="28"/>
      <c r="JBQ6" s="28"/>
      <c r="JBR6" s="28"/>
      <c r="JBS6" s="28"/>
      <c r="JBT6" s="28"/>
      <c r="JBU6" s="28"/>
      <c r="JBV6" s="28"/>
      <c r="JBW6" s="28"/>
      <c r="JBX6" s="28"/>
      <c r="JBY6" s="28"/>
      <c r="JBZ6" s="28"/>
      <c r="JCA6" s="28"/>
      <c r="JCB6" s="28"/>
      <c r="JCC6" s="28"/>
      <c r="JCD6" s="28"/>
      <c r="JCE6" s="28"/>
      <c r="JCF6" s="28"/>
      <c r="JCG6" s="28"/>
      <c r="JCH6" s="28"/>
      <c r="JCI6" s="28"/>
      <c r="JCJ6" s="28"/>
      <c r="JCK6" s="28"/>
      <c r="JCL6" s="28"/>
      <c r="JCM6" s="28"/>
      <c r="JCN6" s="28"/>
      <c r="JCO6" s="28"/>
      <c r="JCP6" s="28"/>
      <c r="JCQ6" s="28"/>
      <c r="JCR6" s="28"/>
      <c r="JCS6" s="28"/>
      <c r="JCT6" s="28"/>
      <c r="JCU6" s="28"/>
      <c r="JCV6" s="28"/>
      <c r="JCW6" s="28"/>
      <c r="JCX6" s="28"/>
      <c r="JCY6" s="28"/>
      <c r="JCZ6" s="28"/>
      <c r="JDA6" s="28"/>
      <c r="JDB6" s="28"/>
      <c r="JDC6" s="28"/>
      <c r="JDD6" s="28"/>
      <c r="JDE6" s="28"/>
      <c r="JDF6" s="28"/>
      <c r="JDG6" s="28"/>
      <c r="JDH6" s="28"/>
      <c r="JDI6" s="28"/>
      <c r="JDJ6" s="28"/>
      <c r="JDK6" s="28"/>
      <c r="JDL6" s="28"/>
      <c r="JDM6" s="28"/>
      <c r="JDN6" s="28"/>
      <c r="JDO6" s="28"/>
      <c r="JDP6" s="28"/>
      <c r="JDQ6" s="28"/>
      <c r="JDR6" s="28"/>
      <c r="JDS6" s="28"/>
      <c r="JDT6" s="28"/>
      <c r="JDU6" s="28"/>
      <c r="JDV6" s="28"/>
      <c r="JDW6" s="28"/>
      <c r="JDX6" s="28"/>
      <c r="JDY6" s="28"/>
      <c r="JDZ6" s="28"/>
      <c r="JEA6" s="28"/>
      <c r="JEB6" s="28"/>
      <c r="JEC6" s="28"/>
      <c r="JED6" s="28"/>
      <c r="JEE6" s="28"/>
      <c r="JEF6" s="28"/>
      <c r="JEG6" s="28"/>
      <c r="JEH6" s="28"/>
      <c r="JEI6" s="28"/>
      <c r="JEJ6" s="28"/>
      <c r="JEK6" s="28"/>
      <c r="JEL6" s="28"/>
      <c r="JEM6" s="28"/>
      <c r="JEN6" s="28"/>
      <c r="JEO6" s="28"/>
      <c r="JEP6" s="28"/>
      <c r="JEQ6" s="28"/>
      <c r="JER6" s="28"/>
      <c r="JES6" s="28"/>
      <c r="JET6" s="28"/>
      <c r="JEU6" s="28"/>
      <c r="JEV6" s="28"/>
      <c r="JEW6" s="28"/>
      <c r="JEX6" s="28"/>
      <c r="JEY6" s="28"/>
      <c r="JEZ6" s="28"/>
      <c r="JFA6" s="28"/>
      <c r="JFB6" s="28"/>
      <c r="JFC6" s="28"/>
      <c r="JFD6" s="28"/>
      <c r="JFE6" s="28"/>
      <c r="JFF6" s="28"/>
      <c r="JFG6" s="28"/>
      <c r="JFH6" s="28"/>
      <c r="JFI6" s="28"/>
      <c r="JFJ6" s="28"/>
      <c r="JFK6" s="28"/>
      <c r="JFL6" s="28"/>
      <c r="JFM6" s="28"/>
      <c r="JFN6" s="28"/>
      <c r="JFO6" s="28"/>
      <c r="JFP6" s="28"/>
      <c r="JFQ6" s="28"/>
      <c r="JFR6" s="28"/>
      <c r="JFS6" s="28"/>
      <c r="JFT6" s="28"/>
      <c r="JFU6" s="28"/>
      <c r="JFV6" s="28"/>
      <c r="JFW6" s="28"/>
      <c r="JFX6" s="28"/>
      <c r="JFY6" s="28"/>
      <c r="JFZ6" s="28"/>
      <c r="JGA6" s="28"/>
      <c r="JGB6" s="28"/>
      <c r="JGC6" s="28"/>
      <c r="JGD6" s="28"/>
      <c r="JGE6" s="28"/>
      <c r="JGF6" s="28"/>
      <c r="JGG6" s="28"/>
      <c r="JGH6" s="28"/>
      <c r="JGI6" s="28"/>
      <c r="JGJ6" s="28"/>
      <c r="JGK6" s="28"/>
      <c r="JGL6" s="28"/>
      <c r="JGM6" s="28"/>
      <c r="JGN6" s="28"/>
      <c r="JGO6" s="28"/>
      <c r="JGP6" s="28"/>
      <c r="JGQ6" s="28"/>
      <c r="JGR6" s="28"/>
      <c r="JGS6" s="28"/>
      <c r="JGT6" s="28"/>
      <c r="JGU6" s="28"/>
      <c r="JGV6" s="28"/>
      <c r="JGW6" s="28"/>
      <c r="JGX6" s="28"/>
      <c r="JGY6" s="28"/>
      <c r="JGZ6" s="28"/>
      <c r="JHA6" s="28"/>
      <c r="JHB6" s="28"/>
      <c r="JHC6" s="28"/>
      <c r="JHD6" s="28"/>
      <c r="JHE6" s="28"/>
      <c r="JHF6" s="28"/>
      <c r="JHG6" s="28"/>
      <c r="JHH6" s="28"/>
      <c r="JHI6" s="28"/>
      <c r="JHJ6" s="28"/>
      <c r="JHK6" s="28"/>
      <c r="JHL6" s="28"/>
      <c r="JHM6" s="28"/>
      <c r="JHN6" s="28"/>
      <c r="JHO6" s="28"/>
      <c r="JHP6" s="28"/>
      <c r="JHQ6" s="28"/>
      <c r="JHR6" s="28"/>
      <c r="JHS6" s="28"/>
      <c r="JHT6" s="28"/>
      <c r="JHU6" s="28"/>
      <c r="JHV6" s="28"/>
      <c r="JHW6" s="28"/>
      <c r="JHX6" s="28"/>
      <c r="JHY6" s="28"/>
      <c r="JHZ6" s="28"/>
      <c r="JIA6" s="28"/>
      <c r="JIB6" s="28"/>
      <c r="JIC6" s="28"/>
      <c r="JID6" s="28"/>
      <c r="JIE6" s="28"/>
      <c r="JIF6" s="28"/>
      <c r="JIG6" s="28"/>
      <c r="JIH6" s="28"/>
      <c r="JII6" s="28"/>
      <c r="JIJ6" s="28"/>
      <c r="JIK6" s="28"/>
      <c r="JIL6" s="28"/>
      <c r="JIM6" s="28"/>
      <c r="JIN6" s="28"/>
      <c r="JIO6" s="28"/>
      <c r="JIP6" s="28"/>
      <c r="JIQ6" s="28"/>
      <c r="JIR6" s="28"/>
      <c r="JIS6" s="28"/>
      <c r="JIT6" s="28"/>
      <c r="JIU6" s="28"/>
      <c r="JIV6" s="28"/>
      <c r="JIW6" s="28"/>
      <c r="JIX6" s="28"/>
      <c r="JIY6" s="28"/>
      <c r="JIZ6" s="28"/>
      <c r="JJA6" s="28"/>
      <c r="JJB6" s="28"/>
      <c r="JJC6" s="28"/>
      <c r="JJD6" s="28"/>
      <c r="JJE6" s="28"/>
      <c r="JJF6" s="28"/>
      <c r="JJG6" s="28"/>
      <c r="JJH6" s="28"/>
      <c r="JJI6" s="28"/>
      <c r="JJJ6" s="28"/>
      <c r="JJK6" s="28"/>
      <c r="JJL6" s="28"/>
      <c r="JJM6" s="28"/>
      <c r="JJN6" s="28"/>
      <c r="JJO6" s="28"/>
      <c r="JJP6" s="28"/>
      <c r="JJQ6" s="28"/>
      <c r="JJR6" s="28"/>
      <c r="JJS6" s="28"/>
      <c r="JJT6" s="28"/>
      <c r="JJU6" s="28"/>
      <c r="JJV6" s="28"/>
      <c r="JJW6" s="28"/>
      <c r="JJX6" s="28"/>
      <c r="JJY6" s="28"/>
      <c r="JJZ6" s="28"/>
      <c r="JKA6" s="28"/>
      <c r="JKB6" s="28"/>
      <c r="JKC6" s="28"/>
      <c r="JKD6" s="28"/>
      <c r="JKE6" s="28"/>
      <c r="JKF6" s="28"/>
      <c r="JKG6" s="28"/>
      <c r="JKH6" s="28"/>
      <c r="JKI6" s="28"/>
      <c r="JKJ6" s="28"/>
      <c r="JKK6" s="28"/>
      <c r="JKL6" s="28"/>
      <c r="JKM6" s="28"/>
      <c r="JKN6" s="28"/>
      <c r="JKO6" s="28"/>
      <c r="JKP6" s="28"/>
      <c r="JKQ6" s="28"/>
      <c r="JKR6" s="28"/>
      <c r="JKS6" s="28"/>
      <c r="JKT6" s="28"/>
      <c r="JKU6" s="28"/>
      <c r="JKV6" s="28"/>
      <c r="JKW6" s="28"/>
      <c r="JKX6" s="28"/>
      <c r="JKY6" s="28"/>
      <c r="JKZ6" s="28"/>
      <c r="JLA6" s="28"/>
      <c r="JLB6" s="28"/>
      <c r="JLC6" s="28"/>
      <c r="JLD6" s="28"/>
      <c r="JLE6" s="28"/>
      <c r="JLF6" s="28"/>
      <c r="JLG6" s="28"/>
      <c r="JLH6" s="28"/>
      <c r="JLI6" s="28"/>
      <c r="JLJ6" s="28"/>
      <c r="JLK6" s="28"/>
      <c r="JLL6" s="28"/>
      <c r="JLM6" s="28"/>
      <c r="JLN6" s="28"/>
      <c r="JLO6" s="28"/>
      <c r="JLP6" s="28"/>
      <c r="JLQ6" s="28"/>
      <c r="JLR6" s="28"/>
      <c r="JLS6" s="28"/>
      <c r="JLT6" s="28"/>
      <c r="JLU6" s="28"/>
      <c r="JLV6" s="28"/>
      <c r="JLW6" s="28"/>
      <c r="JLX6" s="28"/>
      <c r="JLY6" s="28"/>
      <c r="JLZ6" s="28"/>
      <c r="JMA6" s="28"/>
      <c r="JMB6" s="28"/>
      <c r="JMC6" s="28"/>
      <c r="JMD6" s="28"/>
      <c r="JME6" s="28"/>
      <c r="JMF6" s="28"/>
      <c r="JMG6" s="28"/>
      <c r="JMH6" s="28"/>
      <c r="JMI6" s="28"/>
      <c r="JMJ6" s="28"/>
      <c r="JMK6" s="28"/>
      <c r="JML6" s="28"/>
      <c r="JMM6" s="28"/>
      <c r="JMN6" s="28"/>
      <c r="JMO6" s="28"/>
      <c r="JMP6" s="28"/>
      <c r="JMQ6" s="28"/>
      <c r="JMR6" s="28"/>
      <c r="JMS6" s="28"/>
      <c r="JMT6" s="28"/>
      <c r="JMU6" s="28"/>
      <c r="JMV6" s="28"/>
      <c r="JMW6" s="28"/>
      <c r="JMX6" s="28"/>
      <c r="JMY6" s="28"/>
      <c r="JMZ6" s="28"/>
      <c r="JNA6" s="28"/>
      <c r="JNB6" s="28"/>
      <c r="JNC6" s="28"/>
      <c r="JND6" s="28"/>
      <c r="JNE6" s="28"/>
      <c r="JNF6" s="28"/>
      <c r="JNG6" s="28"/>
      <c r="JNH6" s="28"/>
      <c r="JNI6" s="28"/>
      <c r="JNJ6" s="28"/>
      <c r="JNK6" s="28"/>
      <c r="JNL6" s="28"/>
      <c r="JNM6" s="28"/>
      <c r="JNN6" s="28"/>
      <c r="JNO6" s="28"/>
      <c r="JNP6" s="28"/>
      <c r="JNQ6" s="28"/>
      <c r="JNR6" s="28"/>
      <c r="JNS6" s="28"/>
      <c r="JNT6" s="28"/>
      <c r="JNU6" s="28"/>
      <c r="JNV6" s="28"/>
      <c r="JNW6" s="28"/>
      <c r="JNX6" s="28"/>
      <c r="JNY6" s="28"/>
      <c r="JNZ6" s="28"/>
      <c r="JOA6" s="28"/>
      <c r="JOB6" s="28"/>
      <c r="JOC6" s="28"/>
      <c r="JOD6" s="28"/>
      <c r="JOE6" s="28"/>
      <c r="JOF6" s="28"/>
      <c r="JOG6" s="28"/>
      <c r="JOH6" s="28"/>
      <c r="JOI6" s="28"/>
      <c r="JOJ6" s="28"/>
      <c r="JOK6" s="28"/>
      <c r="JOL6" s="28"/>
      <c r="JOM6" s="28"/>
      <c r="JON6" s="28"/>
      <c r="JOO6" s="28"/>
      <c r="JOP6" s="28"/>
      <c r="JOQ6" s="28"/>
      <c r="JOR6" s="28"/>
      <c r="JOS6" s="28"/>
      <c r="JOT6" s="28"/>
      <c r="JOU6" s="28"/>
      <c r="JOV6" s="28"/>
      <c r="JOW6" s="28"/>
      <c r="JOX6" s="28"/>
      <c r="JOY6" s="28"/>
      <c r="JOZ6" s="28"/>
      <c r="JPA6" s="28"/>
      <c r="JPB6" s="28"/>
      <c r="JPC6" s="28"/>
      <c r="JPD6" s="28"/>
      <c r="JPE6" s="28"/>
      <c r="JPF6" s="28"/>
      <c r="JPG6" s="28"/>
      <c r="JPH6" s="28"/>
      <c r="JPI6" s="28"/>
      <c r="JPJ6" s="28"/>
      <c r="JPK6" s="28"/>
      <c r="JPL6" s="28"/>
      <c r="JPM6" s="28"/>
      <c r="JPN6" s="28"/>
      <c r="JPO6" s="28"/>
      <c r="JPP6" s="28"/>
      <c r="JPQ6" s="28"/>
      <c r="JPR6" s="28"/>
      <c r="JPS6" s="28"/>
      <c r="JPT6" s="28"/>
      <c r="JPU6" s="28"/>
      <c r="JPV6" s="28"/>
      <c r="JPW6" s="28"/>
      <c r="JPX6" s="28"/>
      <c r="JPY6" s="28"/>
      <c r="JPZ6" s="28"/>
      <c r="JQA6" s="28"/>
      <c r="JQB6" s="28"/>
      <c r="JQC6" s="28"/>
      <c r="JQD6" s="28"/>
      <c r="JQE6" s="28"/>
      <c r="JQF6" s="28"/>
      <c r="JQG6" s="28"/>
      <c r="JQH6" s="28"/>
      <c r="JQI6" s="28"/>
      <c r="JQJ6" s="28"/>
      <c r="JQK6" s="28"/>
      <c r="JQL6" s="28"/>
      <c r="JQM6" s="28"/>
      <c r="JQN6" s="28"/>
      <c r="JQO6" s="28"/>
      <c r="JQP6" s="28"/>
      <c r="JQQ6" s="28"/>
      <c r="JQR6" s="28"/>
      <c r="JQS6" s="28"/>
      <c r="JQT6" s="28"/>
      <c r="JQU6" s="28"/>
      <c r="JQV6" s="28"/>
      <c r="JQW6" s="28"/>
      <c r="JQX6" s="28"/>
      <c r="JQY6" s="28"/>
      <c r="JQZ6" s="28"/>
      <c r="JRA6" s="28"/>
      <c r="JRB6" s="28"/>
      <c r="JRC6" s="28"/>
      <c r="JRD6" s="28"/>
      <c r="JRE6" s="28"/>
      <c r="JRF6" s="28"/>
      <c r="JRG6" s="28"/>
      <c r="JRH6" s="28"/>
      <c r="JRI6" s="28"/>
      <c r="JRJ6" s="28"/>
      <c r="JRK6" s="28"/>
      <c r="JRL6" s="28"/>
      <c r="JRM6" s="28"/>
      <c r="JRN6" s="28"/>
      <c r="JRO6" s="28"/>
      <c r="JRP6" s="28"/>
      <c r="JRQ6" s="28"/>
      <c r="JRR6" s="28"/>
      <c r="JRS6" s="28"/>
      <c r="JRT6" s="28"/>
      <c r="JRU6" s="28"/>
      <c r="JRV6" s="28"/>
      <c r="JRW6" s="28"/>
      <c r="JRX6" s="28"/>
      <c r="JRY6" s="28"/>
      <c r="JRZ6" s="28"/>
      <c r="JSA6" s="28"/>
      <c r="JSB6" s="28"/>
      <c r="JSC6" s="28"/>
      <c r="JSD6" s="28"/>
      <c r="JSE6" s="28"/>
      <c r="JSF6" s="28"/>
      <c r="JSG6" s="28"/>
      <c r="JSH6" s="28"/>
      <c r="JSI6" s="28"/>
      <c r="JSJ6" s="28"/>
      <c r="JSK6" s="28"/>
      <c r="JSL6" s="28"/>
      <c r="JSM6" s="28"/>
      <c r="JSN6" s="28"/>
      <c r="JSO6" s="28"/>
      <c r="JSP6" s="28"/>
      <c r="JSQ6" s="28"/>
      <c r="JSR6" s="28"/>
      <c r="JSS6" s="28"/>
      <c r="JST6" s="28"/>
      <c r="JSU6" s="28"/>
      <c r="JSV6" s="28"/>
      <c r="JSW6" s="28"/>
      <c r="JSX6" s="28"/>
      <c r="JSY6" s="28"/>
      <c r="JSZ6" s="28"/>
      <c r="JTA6" s="28"/>
      <c r="JTB6" s="28"/>
      <c r="JTC6" s="28"/>
      <c r="JTD6" s="28"/>
      <c r="JTE6" s="28"/>
      <c r="JTF6" s="28"/>
      <c r="JTG6" s="28"/>
      <c r="JTH6" s="28"/>
      <c r="JTI6" s="28"/>
      <c r="JTJ6" s="28"/>
      <c r="JTK6" s="28"/>
      <c r="JTL6" s="28"/>
      <c r="JTM6" s="28"/>
      <c r="JTN6" s="28"/>
      <c r="JTO6" s="28"/>
      <c r="JTP6" s="28"/>
      <c r="JTQ6" s="28"/>
      <c r="JTR6" s="28"/>
      <c r="JTS6" s="28"/>
      <c r="JTT6" s="28"/>
      <c r="JTU6" s="28"/>
      <c r="JTV6" s="28"/>
      <c r="JTW6" s="28"/>
      <c r="JTX6" s="28"/>
      <c r="JTY6" s="28"/>
      <c r="JTZ6" s="28"/>
      <c r="JUA6" s="28"/>
      <c r="JUB6" s="28"/>
      <c r="JUC6" s="28"/>
      <c r="JUD6" s="28"/>
      <c r="JUE6" s="28"/>
      <c r="JUF6" s="28"/>
      <c r="JUG6" s="28"/>
      <c r="JUH6" s="28"/>
      <c r="JUI6" s="28"/>
      <c r="JUJ6" s="28"/>
      <c r="JUK6" s="28"/>
      <c r="JUL6" s="28"/>
      <c r="JUM6" s="28"/>
      <c r="JUN6" s="28"/>
      <c r="JUO6" s="28"/>
      <c r="JUP6" s="28"/>
      <c r="JUQ6" s="28"/>
      <c r="JUR6" s="28"/>
      <c r="JUS6" s="28"/>
      <c r="JUT6" s="28"/>
      <c r="JUU6" s="28"/>
      <c r="JUV6" s="28"/>
      <c r="JUW6" s="28"/>
      <c r="JUX6" s="28"/>
      <c r="JUY6" s="28"/>
      <c r="JUZ6" s="28"/>
      <c r="JVA6" s="28"/>
      <c r="JVB6" s="28"/>
      <c r="JVC6" s="28"/>
      <c r="JVD6" s="28"/>
      <c r="JVE6" s="28"/>
      <c r="JVF6" s="28"/>
      <c r="JVG6" s="28"/>
      <c r="JVH6" s="28"/>
      <c r="JVI6" s="28"/>
      <c r="JVJ6" s="28"/>
      <c r="JVK6" s="28"/>
      <c r="JVL6" s="28"/>
      <c r="JVM6" s="28"/>
      <c r="JVN6" s="28"/>
      <c r="JVO6" s="28"/>
      <c r="JVP6" s="28"/>
      <c r="JVQ6" s="28"/>
      <c r="JVR6" s="28"/>
      <c r="JVS6" s="28"/>
      <c r="JVT6" s="28"/>
      <c r="JVU6" s="28"/>
      <c r="JVV6" s="28"/>
      <c r="JVW6" s="28"/>
      <c r="JVX6" s="28"/>
      <c r="JVY6" s="28"/>
      <c r="JVZ6" s="28"/>
      <c r="JWA6" s="28"/>
      <c r="JWB6" s="28"/>
      <c r="JWC6" s="28"/>
      <c r="JWD6" s="28"/>
      <c r="JWE6" s="28"/>
      <c r="JWF6" s="28"/>
      <c r="JWG6" s="28"/>
      <c r="JWH6" s="28"/>
      <c r="JWI6" s="28"/>
      <c r="JWJ6" s="28"/>
      <c r="JWK6" s="28"/>
      <c r="JWL6" s="28"/>
      <c r="JWM6" s="28"/>
      <c r="JWN6" s="28"/>
      <c r="JWO6" s="28"/>
      <c r="JWP6" s="28"/>
      <c r="JWQ6" s="28"/>
      <c r="JWR6" s="28"/>
      <c r="JWS6" s="28"/>
      <c r="JWT6" s="28"/>
      <c r="JWU6" s="28"/>
      <c r="JWV6" s="28"/>
      <c r="JWW6" s="28"/>
      <c r="JWX6" s="28"/>
      <c r="JWY6" s="28"/>
      <c r="JWZ6" s="28"/>
      <c r="JXA6" s="28"/>
      <c r="JXB6" s="28"/>
      <c r="JXC6" s="28"/>
      <c r="JXD6" s="28"/>
      <c r="JXE6" s="28"/>
      <c r="JXF6" s="28"/>
      <c r="JXG6" s="28"/>
      <c r="JXH6" s="28"/>
      <c r="JXI6" s="28"/>
      <c r="JXJ6" s="28"/>
      <c r="JXK6" s="28"/>
      <c r="JXL6" s="28"/>
      <c r="JXM6" s="28"/>
      <c r="JXN6" s="28"/>
      <c r="JXO6" s="28"/>
      <c r="JXP6" s="28"/>
      <c r="JXQ6" s="28"/>
      <c r="JXR6" s="28"/>
      <c r="JXS6" s="28"/>
      <c r="JXT6" s="28"/>
      <c r="JXU6" s="28"/>
      <c r="JXV6" s="28"/>
      <c r="JXW6" s="28"/>
      <c r="JXX6" s="28"/>
      <c r="JXY6" s="28"/>
      <c r="JXZ6" s="28"/>
      <c r="JYA6" s="28"/>
      <c r="JYB6" s="28"/>
      <c r="JYC6" s="28"/>
      <c r="JYD6" s="28"/>
      <c r="JYE6" s="28"/>
      <c r="JYF6" s="28"/>
      <c r="JYG6" s="28"/>
      <c r="JYH6" s="28"/>
      <c r="JYI6" s="28"/>
      <c r="JYJ6" s="28"/>
      <c r="JYK6" s="28"/>
      <c r="JYL6" s="28"/>
      <c r="JYM6" s="28"/>
      <c r="JYN6" s="28"/>
      <c r="JYO6" s="28"/>
      <c r="JYP6" s="28"/>
      <c r="JYQ6" s="28"/>
      <c r="JYR6" s="28"/>
      <c r="JYS6" s="28"/>
      <c r="JYT6" s="28"/>
      <c r="JYU6" s="28"/>
      <c r="JYV6" s="28"/>
      <c r="JYW6" s="28"/>
      <c r="JYX6" s="28"/>
      <c r="JYY6" s="28"/>
      <c r="JYZ6" s="28"/>
      <c r="JZA6" s="28"/>
      <c r="JZB6" s="28"/>
      <c r="JZC6" s="28"/>
      <c r="JZD6" s="28"/>
      <c r="JZE6" s="28"/>
      <c r="JZF6" s="28"/>
      <c r="JZG6" s="28"/>
      <c r="JZH6" s="28"/>
      <c r="JZI6" s="28"/>
      <c r="JZJ6" s="28"/>
      <c r="JZK6" s="28"/>
      <c r="JZL6" s="28"/>
      <c r="JZM6" s="28"/>
      <c r="JZN6" s="28"/>
      <c r="JZO6" s="28"/>
      <c r="JZP6" s="28"/>
      <c r="JZQ6" s="28"/>
      <c r="JZR6" s="28"/>
      <c r="JZS6" s="28"/>
      <c r="JZT6" s="28"/>
      <c r="JZU6" s="28"/>
      <c r="JZV6" s="28"/>
      <c r="JZW6" s="28"/>
      <c r="JZX6" s="28"/>
      <c r="JZY6" s="28"/>
      <c r="JZZ6" s="28"/>
      <c r="KAA6" s="28"/>
      <c r="KAB6" s="28"/>
      <c r="KAC6" s="28"/>
      <c r="KAD6" s="28"/>
      <c r="KAE6" s="28"/>
      <c r="KAF6" s="28"/>
      <c r="KAG6" s="28"/>
      <c r="KAH6" s="28"/>
      <c r="KAI6" s="28"/>
      <c r="KAJ6" s="28"/>
      <c r="KAK6" s="28"/>
      <c r="KAL6" s="28"/>
      <c r="KAM6" s="28"/>
      <c r="KAN6" s="28"/>
      <c r="KAO6" s="28"/>
      <c r="KAP6" s="28"/>
      <c r="KAQ6" s="28"/>
      <c r="KAR6" s="28"/>
      <c r="KAS6" s="28"/>
      <c r="KAT6" s="28"/>
      <c r="KAU6" s="28"/>
      <c r="KAV6" s="28"/>
      <c r="KAW6" s="28"/>
      <c r="KAX6" s="28"/>
      <c r="KAY6" s="28"/>
      <c r="KAZ6" s="28"/>
      <c r="KBA6" s="28"/>
      <c r="KBB6" s="28"/>
      <c r="KBC6" s="28"/>
      <c r="KBD6" s="28"/>
      <c r="KBE6" s="28"/>
      <c r="KBF6" s="28"/>
      <c r="KBG6" s="28"/>
      <c r="KBH6" s="28"/>
      <c r="KBI6" s="28"/>
      <c r="KBJ6" s="28"/>
      <c r="KBK6" s="28"/>
      <c r="KBL6" s="28"/>
      <c r="KBM6" s="28"/>
      <c r="KBN6" s="28"/>
      <c r="KBO6" s="28"/>
      <c r="KBP6" s="28"/>
      <c r="KBQ6" s="28"/>
      <c r="KBR6" s="28"/>
      <c r="KBS6" s="28"/>
      <c r="KBT6" s="28"/>
      <c r="KBU6" s="28"/>
      <c r="KBV6" s="28"/>
      <c r="KBW6" s="28"/>
      <c r="KBX6" s="28"/>
      <c r="KBY6" s="28"/>
      <c r="KBZ6" s="28"/>
      <c r="KCA6" s="28"/>
      <c r="KCB6" s="28"/>
      <c r="KCC6" s="28"/>
      <c r="KCD6" s="28"/>
      <c r="KCE6" s="28"/>
      <c r="KCF6" s="28"/>
      <c r="KCG6" s="28"/>
      <c r="KCH6" s="28"/>
      <c r="KCI6" s="28"/>
      <c r="KCJ6" s="28"/>
      <c r="KCK6" s="28"/>
      <c r="KCL6" s="28"/>
      <c r="KCM6" s="28"/>
      <c r="KCN6" s="28"/>
      <c r="KCO6" s="28"/>
      <c r="KCP6" s="28"/>
      <c r="KCQ6" s="28"/>
      <c r="KCR6" s="28"/>
      <c r="KCS6" s="28"/>
      <c r="KCT6" s="28"/>
      <c r="KCU6" s="28"/>
      <c r="KCV6" s="28"/>
      <c r="KCW6" s="28"/>
      <c r="KCX6" s="28"/>
      <c r="KCY6" s="28"/>
      <c r="KCZ6" s="28"/>
      <c r="KDA6" s="28"/>
      <c r="KDB6" s="28"/>
      <c r="KDC6" s="28"/>
      <c r="KDD6" s="28"/>
      <c r="KDE6" s="28"/>
      <c r="KDF6" s="28"/>
      <c r="KDG6" s="28"/>
      <c r="KDH6" s="28"/>
      <c r="KDI6" s="28"/>
      <c r="KDJ6" s="28"/>
      <c r="KDK6" s="28"/>
      <c r="KDL6" s="28"/>
      <c r="KDM6" s="28"/>
      <c r="KDN6" s="28"/>
      <c r="KDO6" s="28"/>
      <c r="KDP6" s="28"/>
      <c r="KDQ6" s="28"/>
      <c r="KDR6" s="28"/>
      <c r="KDS6" s="28"/>
      <c r="KDT6" s="28"/>
      <c r="KDU6" s="28"/>
      <c r="KDV6" s="28"/>
      <c r="KDW6" s="28"/>
      <c r="KDX6" s="28"/>
      <c r="KDY6" s="28"/>
      <c r="KDZ6" s="28"/>
      <c r="KEA6" s="28"/>
      <c r="KEB6" s="28"/>
      <c r="KEC6" s="28"/>
      <c r="KED6" s="28"/>
      <c r="KEE6" s="28"/>
      <c r="KEF6" s="28"/>
      <c r="KEG6" s="28"/>
      <c r="KEH6" s="28"/>
      <c r="KEI6" s="28"/>
      <c r="KEJ6" s="28"/>
      <c r="KEK6" s="28"/>
      <c r="KEL6" s="28"/>
      <c r="KEM6" s="28"/>
      <c r="KEN6" s="28"/>
      <c r="KEO6" s="28"/>
      <c r="KEP6" s="28"/>
      <c r="KEQ6" s="28"/>
      <c r="KER6" s="28"/>
      <c r="KES6" s="28"/>
      <c r="KET6" s="28"/>
      <c r="KEU6" s="28"/>
      <c r="KEV6" s="28"/>
      <c r="KEW6" s="28"/>
      <c r="KEX6" s="28"/>
      <c r="KEY6" s="28"/>
      <c r="KEZ6" s="28"/>
      <c r="KFA6" s="28"/>
      <c r="KFB6" s="28"/>
      <c r="KFC6" s="28"/>
      <c r="KFD6" s="28"/>
      <c r="KFE6" s="28"/>
      <c r="KFF6" s="28"/>
      <c r="KFG6" s="28"/>
      <c r="KFH6" s="28"/>
      <c r="KFI6" s="28"/>
      <c r="KFJ6" s="28"/>
      <c r="KFK6" s="28"/>
      <c r="KFL6" s="28"/>
      <c r="KFM6" s="28"/>
      <c r="KFN6" s="28"/>
      <c r="KFO6" s="28"/>
      <c r="KFP6" s="28"/>
      <c r="KFQ6" s="28"/>
      <c r="KFR6" s="28"/>
      <c r="KFS6" s="28"/>
      <c r="KFT6" s="28"/>
      <c r="KFU6" s="28"/>
      <c r="KFV6" s="28"/>
      <c r="KFW6" s="28"/>
      <c r="KFX6" s="28"/>
      <c r="KFY6" s="28"/>
      <c r="KFZ6" s="28"/>
      <c r="KGA6" s="28"/>
      <c r="KGB6" s="28"/>
      <c r="KGC6" s="28"/>
      <c r="KGD6" s="28"/>
      <c r="KGE6" s="28"/>
      <c r="KGF6" s="28"/>
      <c r="KGG6" s="28"/>
      <c r="KGH6" s="28"/>
      <c r="KGI6" s="28"/>
      <c r="KGJ6" s="28"/>
      <c r="KGK6" s="28"/>
      <c r="KGL6" s="28"/>
      <c r="KGM6" s="28"/>
      <c r="KGN6" s="28"/>
      <c r="KGO6" s="28"/>
      <c r="KGP6" s="28"/>
      <c r="KGQ6" s="28"/>
      <c r="KGR6" s="28"/>
      <c r="KGS6" s="28"/>
      <c r="KGT6" s="28"/>
      <c r="KGU6" s="28"/>
      <c r="KGV6" s="28"/>
      <c r="KGW6" s="28"/>
      <c r="KGX6" s="28"/>
      <c r="KGY6" s="28"/>
      <c r="KGZ6" s="28"/>
      <c r="KHA6" s="28"/>
      <c r="KHB6" s="28"/>
      <c r="KHC6" s="28"/>
      <c r="KHD6" s="28"/>
      <c r="KHE6" s="28"/>
      <c r="KHF6" s="28"/>
      <c r="KHG6" s="28"/>
      <c r="KHH6" s="28"/>
      <c r="KHI6" s="28"/>
      <c r="KHJ6" s="28"/>
      <c r="KHK6" s="28"/>
      <c r="KHL6" s="28"/>
      <c r="KHM6" s="28"/>
      <c r="KHN6" s="28"/>
      <c r="KHO6" s="28"/>
      <c r="KHP6" s="28"/>
      <c r="KHQ6" s="28"/>
      <c r="KHR6" s="28"/>
      <c r="KHS6" s="28"/>
      <c r="KHT6" s="28"/>
      <c r="KHU6" s="28"/>
      <c r="KHV6" s="28"/>
      <c r="KHW6" s="28"/>
      <c r="KHX6" s="28"/>
      <c r="KHY6" s="28"/>
      <c r="KHZ6" s="28"/>
      <c r="KIA6" s="28"/>
      <c r="KIB6" s="28"/>
      <c r="KIC6" s="28"/>
      <c r="KID6" s="28"/>
      <c r="KIE6" s="28"/>
      <c r="KIF6" s="28"/>
      <c r="KIG6" s="28"/>
      <c r="KIH6" s="28"/>
      <c r="KII6" s="28"/>
      <c r="KIJ6" s="28"/>
      <c r="KIK6" s="28"/>
      <c r="KIL6" s="28"/>
      <c r="KIM6" s="28"/>
      <c r="KIN6" s="28"/>
      <c r="KIO6" s="28"/>
      <c r="KIP6" s="28"/>
      <c r="KIQ6" s="28"/>
      <c r="KIR6" s="28"/>
      <c r="KIS6" s="28"/>
      <c r="KIT6" s="28"/>
      <c r="KIU6" s="28"/>
      <c r="KIV6" s="28"/>
      <c r="KIW6" s="28"/>
      <c r="KIX6" s="28"/>
      <c r="KIY6" s="28"/>
      <c r="KIZ6" s="28"/>
      <c r="KJA6" s="28"/>
      <c r="KJB6" s="28"/>
      <c r="KJC6" s="28"/>
      <c r="KJD6" s="28"/>
      <c r="KJE6" s="28"/>
      <c r="KJF6" s="28"/>
      <c r="KJG6" s="28"/>
      <c r="KJH6" s="28"/>
      <c r="KJI6" s="28"/>
      <c r="KJJ6" s="28"/>
      <c r="KJK6" s="28"/>
      <c r="KJL6" s="28"/>
      <c r="KJM6" s="28"/>
      <c r="KJN6" s="28"/>
      <c r="KJO6" s="28"/>
      <c r="KJP6" s="28"/>
      <c r="KJQ6" s="28"/>
      <c r="KJR6" s="28"/>
      <c r="KJS6" s="28"/>
      <c r="KJT6" s="28"/>
      <c r="KJU6" s="28"/>
      <c r="KJV6" s="28"/>
      <c r="KJW6" s="28"/>
      <c r="KJX6" s="28"/>
      <c r="KJY6" s="28"/>
      <c r="KJZ6" s="28"/>
      <c r="KKA6" s="28"/>
      <c r="KKB6" s="28"/>
      <c r="KKC6" s="28"/>
      <c r="KKD6" s="28"/>
      <c r="KKE6" s="28"/>
      <c r="KKF6" s="28"/>
      <c r="KKG6" s="28"/>
      <c r="KKH6" s="28"/>
      <c r="KKI6" s="28"/>
      <c r="KKJ6" s="28"/>
      <c r="KKK6" s="28"/>
      <c r="KKL6" s="28"/>
      <c r="KKM6" s="28"/>
      <c r="KKN6" s="28"/>
      <c r="KKO6" s="28"/>
      <c r="KKP6" s="28"/>
      <c r="KKQ6" s="28"/>
      <c r="KKR6" s="28"/>
      <c r="KKS6" s="28"/>
      <c r="KKT6" s="28"/>
      <c r="KKU6" s="28"/>
      <c r="KKV6" s="28"/>
      <c r="KKW6" s="28"/>
      <c r="KKX6" s="28"/>
      <c r="KKY6" s="28"/>
      <c r="KKZ6" s="28"/>
      <c r="KLA6" s="28"/>
      <c r="KLB6" s="28"/>
      <c r="KLC6" s="28"/>
      <c r="KLD6" s="28"/>
      <c r="KLE6" s="28"/>
      <c r="KLF6" s="28"/>
      <c r="KLG6" s="28"/>
      <c r="KLH6" s="28"/>
      <c r="KLI6" s="28"/>
      <c r="KLJ6" s="28"/>
      <c r="KLK6" s="28"/>
      <c r="KLL6" s="28"/>
      <c r="KLM6" s="28"/>
      <c r="KLN6" s="28"/>
      <c r="KLO6" s="28"/>
      <c r="KLP6" s="28"/>
      <c r="KLQ6" s="28"/>
      <c r="KLR6" s="28"/>
      <c r="KLS6" s="28"/>
      <c r="KLT6" s="28"/>
      <c r="KLU6" s="28"/>
      <c r="KLV6" s="28"/>
      <c r="KLW6" s="28"/>
      <c r="KLX6" s="28"/>
      <c r="KLY6" s="28"/>
      <c r="KLZ6" s="28"/>
      <c r="KMA6" s="28"/>
      <c r="KMB6" s="28"/>
      <c r="KMC6" s="28"/>
      <c r="KMD6" s="28"/>
      <c r="KME6" s="28"/>
      <c r="KMF6" s="28"/>
      <c r="KMG6" s="28"/>
      <c r="KMH6" s="28"/>
      <c r="KMI6" s="28"/>
      <c r="KMJ6" s="28"/>
      <c r="KMK6" s="28"/>
      <c r="KML6" s="28"/>
      <c r="KMM6" s="28"/>
      <c r="KMN6" s="28"/>
      <c r="KMO6" s="28"/>
      <c r="KMP6" s="28"/>
      <c r="KMQ6" s="28"/>
      <c r="KMR6" s="28"/>
      <c r="KMS6" s="28"/>
      <c r="KMT6" s="28"/>
      <c r="KMU6" s="28"/>
      <c r="KMV6" s="28"/>
      <c r="KMW6" s="28"/>
      <c r="KMX6" s="28"/>
      <c r="KMY6" s="28"/>
      <c r="KMZ6" s="28"/>
      <c r="KNA6" s="28"/>
      <c r="KNB6" s="28"/>
      <c r="KNC6" s="28"/>
      <c r="KND6" s="28"/>
      <c r="KNE6" s="28"/>
      <c r="KNF6" s="28"/>
      <c r="KNG6" s="28"/>
      <c r="KNH6" s="28"/>
      <c r="KNI6" s="28"/>
      <c r="KNJ6" s="28"/>
      <c r="KNK6" s="28"/>
      <c r="KNL6" s="28"/>
      <c r="KNM6" s="28"/>
      <c r="KNN6" s="28"/>
      <c r="KNO6" s="28"/>
      <c r="KNP6" s="28"/>
      <c r="KNQ6" s="28"/>
      <c r="KNR6" s="28"/>
      <c r="KNS6" s="28"/>
      <c r="KNT6" s="28"/>
      <c r="KNU6" s="28"/>
      <c r="KNV6" s="28"/>
      <c r="KNW6" s="28"/>
      <c r="KNX6" s="28"/>
      <c r="KNY6" s="28"/>
      <c r="KNZ6" s="28"/>
      <c r="KOA6" s="28"/>
      <c r="KOB6" s="28"/>
      <c r="KOC6" s="28"/>
      <c r="KOD6" s="28"/>
      <c r="KOE6" s="28"/>
      <c r="KOF6" s="28"/>
      <c r="KOG6" s="28"/>
      <c r="KOH6" s="28"/>
      <c r="KOI6" s="28"/>
      <c r="KOJ6" s="28"/>
      <c r="KOK6" s="28"/>
      <c r="KOL6" s="28"/>
      <c r="KOM6" s="28"/>
      <c r="KON6" s="28"/>
      <c r="KOO6" s="28"/>
      <c r="KOP6" s="28"/>
      <c r="KOQ6" s="28"/>
      <c r="KOR6" s="28"/>
      <c r="KOS6" s="28"/>
      <c r="KOT6" s="28"/>
      <c r="KOU6" s="28"/>
      <c r="KOV6" s="28"/>
      <c r="KOW6" s="28"/>
      <c r="KOX6" s="28"/>
      <c r="KOY6" s="28"/>
      <c r="KOZ6" s="28"/>
      <c r="KPA6" s="28"/>
      <c r="KPB6" s="28"/>
      <c r="KPC6" s="28"/>
      <c r="KPD6" s="28"/>
      <c r="KPE6" s="28"/>
      <c r="KPF6" s="28"/>
      <c r="KPG6" s="28"/>
      <c r="KPH6" s="28"/>
      <c r="KPI6" s="28"/>
      <c r="KPJ6" s="28"/>
      <c r="KPK6" s="28"/>
      <c r="KPL6" s="28"/>
      <c r="KPM6" s="28"/>
      <c r="KPN6" s="28"/>
      <c r="KPO6" s="28"/>
      <c r="KPP6" s="28"/>
      <c r="KPQ6" s="28"/>
      <c r="KPR6" s="28"/>
      <c r="KPS6" s="28"/>
      <c r="KPT6" s="28"/>
      <c r="KPU6" s="28"/>
      <c r="KPV6" s="28"/>
      <c r="KPW6" s="28"/>
      <c r="KPX6" s="28"/>
      <c r="KPY6" s="28"/>
      <c r="KPZ6" s="28"/>
      <c r="KQA6" s="28"/>
      <c r="KQB6" s="28"/>
      <c r="KQC6" s="28"/>
      <c r="KQD6" s="28"/>
      <c r="KQE6" s="28"/>
      <c r="KQF6" s="28"/>
      <c r="KQG6" s="28"/>
      <c r="KQH6" s="28"/>
      <c r="KQI6" s="28"/>
      <c r="KQJ6" s="28"/>
      <c r="KQK6" s="28"/>
      <c r="KQL6" s="28"/>
      <c r="KQM6" s="28"/>
      <c r="KQN6" s="28"/>
      <c r="KQO6" s="28"/>
      <c r="KQP6" s="28"/>
      <c r="KQQ6" s="28"/>
      <c r="KQR6" s="28"/>
      <c r="KQS6" s="28"/>
      <c r="KQT6" s="28"/>
      <c r="KQU6" s="28"/>
      <c r="KQV6" s="28"/>
      <c r="KQW6" s="28"/>
      <c r="KQX6" s="28"/>
      <c r="KQY6" s="28"/>
      <c r="KQZ6" s="28"/>
      <c r="KRA6" s="28"/>
      <c r="KRB6" s="28"/>
      <c r="KRC6" s="28"/>
      <c r="KRD6" s="28"/>
      <c r="KRE6" s="28"/>
      <c r="KRF6" s="28"/>
      <c r="KRG6" s="28"/>
      <c r="KRH6" s="28"/>
      <c r="KRI6" s="28"/>
      <c r="KRJ6" s="28"/>
      <c r="KRK6" s="28"/>
      <c r="KRL6" s="28"/>
      <c r="KRM6" s="28"/>
      <c r="KRN6" s="28"/>
      <c r="KRO6" s="28"/>
      <c r="KRP6" s="28"/>
      <c r="KRQ6" s="28"/>
      <c r="KRR6" s="28"/>
      <c r="KRS6" s="28"/>
      <c r="KRT6" s="28"/>
      <c r="KRU6" s="28"/>
      <c r="KRV6" s="28"/>
      <c r="KRW6" s="28"/>
      <c r="KRX6" s="28"/>
      <c r="KRY6" s="28"/>
      <c r="KRZ6" s="28"/>
      <c r="KSA6" s="28"/>
      <c r="KSB6" s="28"/>
      <c r="KSC6" s="28"/>
      <c r="KSD6" s="28"/>
      <c r="KSE6" s="28"/>
      <c r="KSF6" s="28"/>
      <c r="KSG6" s="28"/>
      <c r="KSH6" s="28"/>
      <c r="KSI6" s="28"/>
      <c r="KSJ6" s="28"/>
      <c r="KSK6" s="28"/>
      <c r="KSL6" s="28"/>
      <c r="KSM6" s="28"/>
      <c r="KSN6" s="28"/>
      <c r="KSO6" s="28"/>
      <c r="KSP6" s="28"/>
      <c r="KSQ6" s="28"/>
      <c r="KSR6" s="28"/>
      <c r="KSS6" s="28"/>
      <c r="KST6" s="28"/>
      <c r="KSU6" s="28"/>
      <c r="KSV6" s="28"/>
      <c r="KSW6" s="28"/>
      <c r="KSX6" s="28"/>
      <c r="KSY6" s="28"/>
      <c r="KSZ6" s="28"/>
      <c r="KTA6" s="28"/>
      <c r="KTB6" s="28"/>
      <c r="KTC6" s="28"/>
      <c r="KTD6" s="28"/>
      <c r="KTE6" s="28"/>
      <c r="KTF6" s="28"/>
      <c r="KTG6" s="28"/>
      <c r="KTH6" s="28"/>
      <c r="KTI6" s="28"/>
      <c r="KTJ6" s="28"/>
      <c r="KTK6" s="28"/>
      <c r="KTL6" s="28"/>
      <c r="KTM6" s="28"/>
      <c r="KTN6" s="28"/>
      <c r="KTO6" s="28"/>
      <c r="KTP6" s="28"/>
      <c r="KTQ6" s="28"/>
      <c r="KTR6" s="28"/>
      <c r="KTS6" s="28"/>
      <c r="KTT6" s="28"/>
      <c r="KTU6" s="28"/>
      <c r="KTV6" s="28"/>
      <c r="KTW6" s="28"/>
      <c r="KTX6" s="28"/>
      <c r="KTY6" s="28"/>
      <c r="KTZ6" s="28"/>
      <c r="KUA6" s="28"/>
      <c r="KUB6" s="28"/>
      <c r="KUC6" s="28"/>
      <c r="KUD6" s="28"/>
      <c r="KUE6" s="28"/>
      <c r="KUF6" s="28"/>
      <c r="KUG6" s="28"/>
      <c r="KUH6" s="28"/>
      <c r="KUI6" s="28"/>
      <c r="KUJ6" s="28"/>
      <c r="KUK6" s="28"/>
      <c r="KUL6" s="28"/>
      <c r="KUM6" s="28"/>
      <c r="KUN6" s="28"/>
      <c r="KUO6" s="28"/>
      <c r="KUP6" s="28"/>
      <c r="KUQ6" s="28"/>
      <c r="KUR6" s="28"/>
      <c r="KUS6" s="28"/>
      <c r="KUT6" s="28"/>
      <c r="KUU6" s="28"/>
      <c r="KUV6" s="28"/>
      <c r="KUW6" s="28"/>
      <c r="KUX6" s="28"/>
      <c r="KUY6" s="28"/>
      <c r="KUZ6" s="28"/>
      <c r="KVA6" s="28"/>
      <c r="KVB6" s="28"/>
      <c r="KVC6" s="28"/>
      <c r="KVD6" s="28"/>
      <c r="KVE6" s="28"/>
      <c r="KVF6" s="28"/>
      <c r="KVG6" s="28"/>
      <c r="KVH6" s="28"/>
      <c r="KVI6" s="28"/>
      <c r="KVJ6" s="28"/>
      <c r="KVK6" s="28"/>
      <c r="KVL6" s="28"/>
      <c r="KVM6" s="28"/>
      <c r="KVN6" s="28"/>
      <c r="KVO6" s="28"/>
      <c r="KVP6" s="28"/>
      <c r="KVQ6" s="28"/>
      <c r="KVR6" s="28"/>
      <c r="KVS6" s="28"/>
      <c r="KVT6" s="28"/>
      <c r="KVU6" s="28"/>
      <c r="KVV6" s="28"/>
      <c r="KVW6" s="28"/>
      <c r="KVX6" s="28"/>
      <c r="KVY6" s="28"/>
      <c r="KVZ6" s="28"/>
      <c r="KWA6" s="28"/>
      <c r="KWB6" s="28"/>
      <c r="KWC6" s="28"/>
      <c r="KWD6" s="28"/>
      <c r="KWE6" s="28"/>
      <c r="KWF6" s="28"/>
      <c r="KWG6" s="28"/>
      <c r="KWH6" s="28"/>
      <c r="KWI6" s="28"/>
      <c r="KWJ6" s="28"/>
      <c r="KWK6" s="28"/>
      <c r="KWL6" s="28"/>
      <c r="KWM6" s="28"/>
      <c r="KWN6" s="28"/>
      <c r="KWO6" s="28"/>
      <c r="KWP6" s="28"/>
      <c r="KWQ6" s="28"/>
      <c r="KWR6" s="28"/>
      <c r="KWS6" s="28"/>
      <c r="KWT6" s="28"/>
      <c r="KWU6" s="28"/>
      <c r="KWV6" s="28"/>
      <c r="KWW6" s="28"/>
      <c r="KWX6" s="28"/>
      <c r="KWY6" s="28"/>
      <c r="KWZ6" s="28"/>
      <c r="KXA6" s="28"/>
      <c r="KXB6" s="28"/>
      <c r="KXC6" s="28"/>
      <c r="KXD6" s="28"/>
      <c r="KXE6" s="28"/>
      <c r="KXF6" s="28"/>
      <c r="KXG6" s="28"/>
      <c r="KXH6" s="28"/>
      <c r="KXI6" s="28"/>
      <c r="KXJ6" s="28"/>
      <c r="KXK6" s="28"/>
      <c r="KXL6" s="28"/>
      <c r="KXM6" s="28"/>
      <c r="KXN6" s="28"/>
      <c r="KXO6" s="28"/>
      <c r="KXP6" s="28"/>
      <c r="KXQ6" s="28"/>
      <c r="KXR6" s="28"/>
      <c r="KXS6" s="28"/>
      <c r="KXT6" s="28"/>
      <c r="KXU6" s="28"/>
      <c r="KXV6" s="28"/>
      <c r="KXW6" s="28"/>
      <c r="KXX6" s="28"/>
      <c r="KXY6" s="28"/>
      <c r="KXZ6" s="28"/>
      <c r="KYA6" s="28"/>
      <c r="KYB6" s="28"/>
      <c r="KYC6" s="28"/>
      <c r="KYD6" s="28"/>
      <c r="KYE6" s="28"/>
      <c r="KYF6" s="28"/>
      <c r="KYG6" s="28"/>
      <c r="KYH6" s="28"/>
      <c r="KYI6" s="28"/>
      <c r="KYJ6" s="28"/>
      <c r="KYK6" s="28"/>
      <c r="KYL6" s="28"/>
      <c r="KYM6" s="28"/>
      <c r="KYN6" s="28"/>
      <c r="KYO6" s="28"/>
      <c r="KYP6" s="28"/>
      <c r="KYQ6" s="28"/>
      <c r="KYR6" s="28"/>
      <c r="KYS6" s="28"/>
      <c r="KYT6" s="28"/>
      <c r="KYU6" s="28"/>
      <c r="KYV6" s="28"/>
      <c r="KYW6" s="28"/>
      <c r="KYX6" s="28"/>
      <c r="KYY6" s="28"/>
      <c r="KYZ6" s="28"/>
      <c r="KZA6" s="28"/>
      <c r="KZB6" s="28"/>
      <c r="KZC6" s="28"/>
      <c r="KZD6" s="28"/>
      <c r="KZE6" s="28"/>
      <c r="KZF6" s="28"/>
      <c r="KZG6" s="28"/>
      <c r="KZH6" s="28"/>
      <c r="KZI6" s="28"/>
      <c r="KZJ6" s="28"/>
      <c r="KZK6" s="28"/>
      <c r="KZL6" s="28"/>
      <c r="KZM6" s="28"/>
      <c r="KZN6" s="28"/>
      <c r="KZO6" s="28"/>
      <c r="KZP6" s="28"/>
      <c r="KZQ6" s="28"/>
      <c r="KZR6" s="28"/>
      <c r="KZS6" s="28"/>
      <c r="KZT6" s="28"/>
      <c r="KZU6" s="28"/>
      <c r="KZV6" s="28"/>
      <c r="KZW6" s="28"/>
      <c r="KZX6" s="28"/>
      <c r="KZY6" s="28"/>
      <c r="KZZ6" s="28"/>
      <c r="LAA6" s="28"/>
      <c r="LAB6" s="28"/>
      <c r="LAC6" s="28"/>
      <c r="LAD6" s="28"/>
      <c r="LAE6" s="28"/>
      <c r="LAF6" s="28"/>
      <c r="LAG6" s="28"/>
      <c r="LAH6" s="28"/>
      <c r="LAI6" s="28"/>
      <c r="LAJ6" s="28"/>
      <c r="LAK6" s="28"/>
      <c r="LAL6" s="28"/>
      <c r="LAM6" s="28"/>
      <c r="LAN6" s="28"/>
      <c r="LAO6" s="28"/>
      <c r="LAP6" s="28"/>
      <c r="LAQ6" s="28"/>
      <c r="LAR6" s="28"/>
      <c r="LAS6" s="28"/>
      <c r="LAT6" s="28"/>
      <c r="LAU6" s="28"/>
      <c r="LAV6" s="28"/>
      <c r="LAW6" s="28"/>
      <c r="LAX6" s="28"/>
      <c r="LAY6" s="28"/>
      <c r="LAZ6" s="28"/>
      <c r="LBA6" s="28"/>
      <c r="LBB6" s="28"/>
      <c r="LBC6" s="28"/>
      <c r="LBD6" s="28"/>
      <c r="LBE6" s="28"/>
      <c r="LBF6" s="28"/>
      <c r="LBG6" s="28"/>
      <c r="LBH6" s="28"/>
      <c r="LBI6" s="28"/>
      <c r="LBJ6" s="28"/>
      <c r="LBK6" s="28"/>
      <c r="LBL6" s="28"/>
      <c r="LBM6" s="28"/>
      <c r="LBN6" s="28"/>
      <c r="LBO6" s="28"/>
      <c r="LBP6" s="28"/>
      <c r="LBQ6" s="28"/>
      <c r="LBR6" s="28"/>
      <c r="LBS6" s="28"/>
      <c r="LBT6" s="28"/>
      <c r="LBU6" s="28"/>
      <c r="LBV6" s="28"/>
      <c r="LBW6" s="28"/>
      <c r="LBX6" s="28"/>
      <c r="LBY6" s="28"/>
      <c r="LBZ6" s="28"/>
      <c r="LCA6" s="28"/>
      <c r="LCB6" s="28"/>
      <c r="LCC6" s="28"/>
      <c r="LCD6" s="28"/>
      <c r="LCE6" s="28"/>
      <c r="LCF6" s="28"/>
      <c r="LCG6" s="28"/>
      <c r="LCH6" s="28"/>
      <c r="LCI6" s="28"/>
      <c r="LCJ6" s="28"/>
      <c r="LCK6" s="28"/>
      <c r="LCL6" s="28"/>
      <c r="LCM6" s="28"/>
      <c r="LCN6" s="28"/>
      <c r="LCO6" s="28"/>
      <c r="LCP6" s="28"/>
      <c r="LCQ6" s="28"/>
      <c r="LCR6" s="28"/>
      <c r="LCS6" s="28"/>
      <c r="LCT6" s="28"/>
      <c r="LCU6" s="28"/>
      <c r="LCV6" s="28"/>
      <c r="LCW6" s="28"/>
      <c r="LCX6" s="28"/>
      <c r="LCY6" s="28"/>
      <c r="LCZ6" s="28"/>
      <c r="LDA6" s="28"/>
      <c r="LDB6" s="28"/>
      <c r="LDC6" s="28"/>
      <c r="LDD6" s="28"/>
      <c r="LDE6" s="28"/>
      <c r="LDF6" s="28"/>
      <c r="LDG6" s="28"/>
      <c r="LDH6" s="28"/>
      <c r="LDI6" s="28"/>
      <c r="LDJ6" s="28"/>
      <c r="LDK6" s="28"/>
      <c r="LDL6" s="28"/>
      <c r="LDM6" s="28"/>
      <c r="LDN6" s="28"/>
      <c r="LDO6" s="28"/>
      <c r="LDP6" s="28"/>
      <c r="LDQ6" s="28"/>
      <c r="LDR6" s="28"/>
      <c r="LDS6" s="28"/>
      <c r="LDT6" s="28"/>
      <c r="LDU6" s="28"/>
      <c r="LDV6" s="28"/>
      <c r="LDW6" s="28"/>
      <c r="LDX6" s="28"/>
      <c r="LDY6" s="28"/>
      <c r="LDZ6" s="28"/>
      <c r="LEA6" s="28"/>
      <c r="LEB6" s="28"/>
      <c r="LEC6" s="28"/>
      <c r="LED6" s="28"/>
      <c r="LEE6" s="28"/>
      <c r="LEF6" s="28"/>
      <c r="LEG6" s="28"/>
      <c r="LEH6" s="28"/>
      <c r="LEI6" s="28"/>
      <c r="LEJ6" s="28"/>
      <c r="LEK6" s="28"/>
      <c r="LEL6" s="28"/>
      <c r="LEM6" s="28"/>
      <c r="LEN6" s="28"/>
      <c r="LEO6" s="28"/>
      <c r="LEP6" s="28"/>
      <c r="LEQ6" s="28"/>
      <c r="LER6" s="28"/>
      <c r="LES6" s="28"/>
      <c r="LET6" s="28"/>
      <c r="LEU6" s="28"/>
      <c r="LEV6" s="28"/>
      <c r="LEW6" s="28"/>
      <c r="LEX6" s="28"/>
      <c r="LEY6" s="28"/>
      <c r="LEZ6" s="28"/>
      <c r="LFA6" s="28"/>
      <c r="LFB6" s="28"/>
      <c r="LFC6" s="28"/>
      <c r="LFD6" s="28"/>
      <c r="LFE6" s="28"/>
      <c r="LFF6" s="28"/>
      <c r="LFG6" s="28"/>
      <c r="LFH6" s="28"/>
      <c r="LFI6" s="28"/>
      <c r="LFJ6" s="28"/>
      <c r="LFK6" s="28"/>
      <c r="LFL6" s="28"/>
      <c r="LFM6" s="28"/>
      <c r="LFN6" s="28"/>
      <c r="LFO6" s="28"/>
      <c r="LFP6" s="28"/>
      <c r="LFQ6" s="28"/>
      <c r="LFR6" s="28"/>
      <c r="LFS6" s="28"/>
      <c r="LFT6" s="28"/>
      <c r="LFU6" s="28"/>
      <c r="LFV6" s="28"/>
      <c r="LFW6" s="28"/>
      <c r="LFX6" s="28"/>
      <c r="LFY6" s="28"/>
      <c r="LFZ6" s="28"/>
      <c r="LGA6" s="28"/>
      <c r="LGB6" s="28"/>
      <c r="LGC6" s="28"/>
      <c r="LGD6" s="28"/>
      <c r="LGE6" s="28"/>
      <c r="LGF6" s="28"/>
      <c r="LGG6" s="28"/>
      <c r="LGH6" s="28"/>
      <c r="LGI6" s="28"/>
      <c r="LGJ6" s="28"/>
      <c r="LGK6" s="28"/>
      <c r="LGL6" s="28"/>
      <c r="LGM6" s="28"/>
      <c r="LGN6" s="28"/>
      <c r="LGO6" s="28"/>
      <c r="LGP6" s="28"/>
      <c r="LGQ6" s="28"/>
      <c r="LGR6" s="28"/>
      <c r="LGS6" s="28"/>
      <c r="LGT6" s="28"/>
      <c r="LGU6" s="28"/>
      <c r="LGV6" s="28"/>
      <c r="LGW6" s="28"/>
      <c r="LGX6" s="28"/>
      <c r="LGY6" s="28"/>
      <c r="LGZ6" s="28"/>
      <c r="LHA6" s="28"/>
      <c r="LHB6" s="28"/>
      <c r="LHC6" s="28"/>
      <c r="LHD6" s="28"/>
      <c r="LHE6" s="28"/>
      <c r="LHF6" s="28"/>
      <c r="LHG6" s="28"/>
      <c r="LHH6" s="28"/>
      <c r="LHI6" s="28"/>
      <c r="LHJ6" s="28"/>
      <c r="LHK6" s="28"/>
      <c r="LHL6" s="28"/>
      <c r="LHM6" s="28"/>
      <c r="LHN6" s="28"/>
      <c r="LHO6" s="28"/>
      <c r="LHP6" s="28"/>
      <c r="LHQ6" s="28"/>
      <c r="LHR6" s="28"/>
      <c r="LHS6" s="28"/>
      <c r="LHT6" s="28"/>
      <c r="LHU6" s="28"/>
      <c r="LHV6" s="28"/>
      <c r="LHW6" s="28"/>
      <c r="LHX6" s="28"/>
      <c r="LHY6" s="28"/>
      <c r="LHZ6" s="28"/>
      <c r="LIA6" s="28"/>
      <c r="LIB6" s="28"/>
      <c r="LIC6" s="28"/>
      <c r="LID6" s="28"/>
      <c r="LIE6" s="28"/>
      <c r="LIF6" s="28"/>
      <c r="LIG6" s="28"/>
      <c r="LIH6" s="28"/>
      <c r="LII6" s="28"/>
      <c r="LIJ6" s="28"/>
      <c r="LIK6" s="28"/>
      <c r="LIL6" s="28"/>
      <c r="LIM6" s="28"/>
      <c r="LIN6" s="28"/>
      <c r="LIO6" s="28"/>
      <c r="LIP6" s="28"/>
      <c r="LIQ6" s="28"/>
      <c r="LIR6" s="28"/>
      <c r="LIS6" s="28"/>
      <c r="LIT6" s="28"/>
      <c r="LIU6" s="28"/>
      <c r="LIV6" s="28"/>
      <c r="LIW6" s="28"/>
      <c r="LIX6" s="28"/>
      <c r="LIY6" s="28"/>
      <c r="LIZ6" s="28"/>
      <c r="LJA6" s="28"/>
      <c r="LJB6" s="28"/>
      <c r="LJC6" s="28"/>
      <c r="LJD6" s="28"/>
      <c r="LJE6" s="28"/>
      <c r="LJF6" s="28"/>
      <c r="LJG6" s="28"/>
      <c r="LJH6" s="28"/>
      <c r="LJI6" s="28"/>
      <c r="LJJ6" s="28"/>
      <c r="LJK6" s="28"/>
      <c r="LJL6" s="28"/>
      <c r="LJM6" s="28"/>
      <c r="LJN6" s="28"/>
      <c r="LJO6" s="28"/>
      <c r="LJP6" s="28"/>
      <c r="LJQ6" s="28"/>
      <c r="LJR6" s="28"/>
      <c r="LJS6" s="28"/>
      <c r="LJT6" s="28"/>
      <c r="LJU6" s="28"/>
      <c r="LJV6" s="28"/>
      <c r="LJW6" s="28"/>
      <c r="LJX6" s="28"/>
      <c r="LJY6" s="28"/>
      <c r="LJZ6" s="28"/>
      <c r="LKA6" s="28"/>
      <c r="LKB6" s="28"/>
      <c r="LKC6" s="28"/>
      <c r="LKD6" s="28"/>
      <c r="LKE6" s="28"/>
      <c r="LKF6" s="28"/>
      <c r="LKG6" s="28"/>
      <c r="LKH6" s="28"/>
      <c r="LKI6" s="28"/>
      <c r="LKJ6" s="28"/>
      <c r="LKK6" s="28"/>
      <c r="LKL6" s="28"/>
      <c r="LKM6" s="28"/>
      <c r="LKN6" s="28"/>
      <c r="LKO6" s="28"/>
      <c r="LKP6" s="28"/>
      <c r="LKQ6" s="28"/>
      <c r="LKR6" s="28"/>
      <c r="LKS6" s="28"/>
      <c r="LKT6" s="28"/>
      <c r="LKU6" s="28"/>
      <c r="LKV6" s="28"/>
      <c r="LKW6" s="28"/>
      <c r="LKX6" s="28"/>
      <c r="LKY6" s="28"/>
      <c r="LKZ6" s="28"/>
      <c r="LLA6" s="28"/>
      <c r="LLB6" s="28"/>
      <c r="LLC6" s="28"/>
      <c r="LLD6" s="28"/>
      <c r="LLE6" s="28"/>
      <c r="LLF6" s="28"/>
      <c r="LLG6" s="28"/>
      <c r="LLH6" s="28"/>
      <c r="LLI6" s="28"/>
      <c r="LLJ6" s="28"/>
      <c r="LLK6" s="28"/>
      <c r="LLL6" s="28"/>
      <c r="LLM6" s="28"/>
      <c r="LLN6" s="28"/>
      <c r="LLO6" s="28"/>
      <c r="LLP6" s="28"/>
      <c r="LLQ6" s="28"/>
      <c r="LLR6" s="28"/>
      <c r="LLS6" s="28"/>
      <c r="LLT6" s="28"/>
      <c r="LLU6" s="28"/>
      <c r="LLV6" s="28"/>
      <c r="LLW6" s="28"/>
      <c r="LLX6" s="28"/>
      <c r="LLY6" s="28"/>
      <c r="LLZ6" s="28"/>
      <c r="LMA6" s="28"/>
      <c r="LMB6" s="28"/>
      <c r="LMC6" s="28"/>
      <c r="LMD6" s="28"/>
      <c r="LME6" s="28"/>
      <c r="LMF6" s="28"/>
      <c r="LMG6" s="28"/>
      <c r="LMH6" s="28"/>
      <c r="LMI6" s="28"/>
      <c r="LMJ6" s="28"/>
      <c r="LMK6" s="28"/>
      <c r="LML6" s="28"/>
      <c r="LMM6" s="28"/>
      <c r="LMN6" s="28"/>
      <c r="LMO6" s="28"/>
      <c r="LMP6" s="28"/>
      <c r="LMQ6" s="28"/>
      <c r="LMR6" s="28"/>
      <c r="LMS6" s="28"/>
      <c r="LMT6" s="28"/>
      <c r="LMU6" s="28"/>
      <c r="LMV6" s="28"/>
      <c r="LMW6" s="28"/>
      <c r="LMX6" s="28"/>
      <c r="LMY6" s="28"/>
      <c r="LMZ6" s="28"/>
      <c r="LNA6" s="28"/>
      <c r="LNB6" s="28"/>
      <c r="LNC6" s="28"/>
      <c r="LND6" s="28"/>
      <c r="LNE6" s="28"/>
      <c r="LNF6" s="28"/>
      <c r="LNG6" s="28"/>
      <c r="LNH6" s="28"/>
      <c r="LNI6" s="28"/>
      <c r="LNJ6" s="28"/>
      <c r="LNK6" s="28"/>
      <c r="LNL6" s="28"/>
      <c r="LNM6" s="28"/>
      <c r="LNN6" s="28"/>
      <c r="LNO6" s="28"/>
      <c r="LNP6" s="28"/>
      <c r="LNQ6" s="28"/>
      <c r="LNR6" s="28"/>
      <c r="LNS6" s="28"/>
      <c r="LNT6" s="28"/>
      <c r="LNU6" s="28"/>
      <c r="LNV6" s="28"/>
      <c r="LNW6" s="28"/>
      <c r="LNX6" s="28"/>
      <c r="LNY6" s="28"/>
      <c r="LNZ6" s="28"/>
      <c r="LOA6" s="28"/>
      <c r="LOB6" s="28"/>
      <c r="LOC6" s="28"/>
      <c r="LOD6" s="28"/>
      <c r="LOE6" s="28"/>
      <c r="LOF6" s="28"/>
      <c r="LOG6" s="28"/>
      <c r="LOH6" s="28"/>
      <c r="LOI6" s="28"/>
      <c r="LOJ6" s="28"/>
      <c r="LOK6" s="28"/>
      <c r="LOL6" s="28"/>
      <c r="LOM6" s="28"/>
      <c r="LON6" s="28"/>
      <c r="LOO6" s="28"/>
      <c r="LOP6" s="28"/>
      <c r="LOQ6" s="28"/>
      <c r="LOR6" s="28"/>
      <c r="LOS6" s="28"/>
      <c r="LOT6" s="28"/>
      <c r="LOU6" s="28"/>
      <c r="LOV6" s="28"/>
      <c r="LOW6" s="28"/>
      <c r="LOX6" s="28"/>
      <c r="LOY6" s="28"/>
      <c r="LOZ6" s="28"/>
      <c r="LPA6" s="28"/>
      <c r="LPB6" s="28"/>
      <c r="LPC6" s="28"/>
      <c r="LPD6" s="28"/>
      <c r="LPE6" s="28"/>
      <c r="LPF6" s="28"/>
      <c r="LPG6" s="28"/>
      <c r="LPH6" s="28"/>
      <c r="LPI6" s="28"/>
      <c r="LPJ6" s="28"/>
      <c r="LPK6" s="28"/>
      <c r="LPL6" s="28"/>
      <c r="LPM6" s="28"/>
      <c r="LPN6" s="28"/>
      <c r="LPO6" s="28"/>
      <c r="LPP6" s="28"/>
      <c r="LPQ6" s="28"/>
      <c r="LPR6" s="28"/>
      <c r="LPS6" s="28"/>
      <c r="LPT6" s="28"/>
      <c r="LPU6" s="28"/>
      <c r="LPV6" s="28"/>
      <c r="LPW6" s="28"/>
      <c r="LPX6" s="28"/>
      <c r="LPY6" s="28"/>
      <c r="LPZ6" s="28"/>
      <c r="LQA6" s="28"/>
      <c r="LQB6" s="28"/>
      <c r="LQC6" s="28"/>
      <c r="LQD6" s="28"/>
      <c r="LQE6" s="28"/>
      <c r="LQF6" s="28"/>
      <c r="LQG6" s="28"/>
      <c r="LQH6" s="28"/>
      <c r="LQI6" s="28"/>
      <c r="LQJ6" s="28"/>
      <c r="LQK6" s="28"/>
      <c r="LQL6" s="28"/>
      <c r="LQM6" s="28"/>
      <c r="LQN6" s="28"/>
      <c r="LQO6" s="28"/>
      <c r="LQP6" s="28"/>
      <c r="LQQ6" s="28"/>
      <c r="LQR6" s="28"/>
      <c r="LQS6" s="28"/>
      <c r="LQT6" s="28"/>
      <c r="LQU6" s="28"/>
      <c r="LQV6" s="28"/>
      <c r="LQW6" s="28"/>
      <c r="LQX6" s="28"/>
      <c r="LQY6" s="28"/>
      <c r="LQZ6" s="28"/>
      <c r="LRA6" s="28"/>
      <c r="LRB6" s="28"/>
      <c r="LRC6" s="28"/>
      <c r="LRD6" s="28"/>
      <c r="LRE6" s="28"/>
      <c r="LRF6" s="28"/>
      <c r="LRG6" s="28"/>
      <c r="LRH6" s="28"/>
      <c r="LRI6" s="28"/>
      <c r="LRJ6" s="28"/>
      <c r="LRK6" s="28"/>
      <c r="LRL6" s="28"/>
      <c r="LRM6" s="28"/>
      <c r="LRN6" s="28"/>
      <c r="LRO6" s="28"/>
      <c r="LRP6" s="28"/>
      <c r="LRQ6" s="28"/>
      <c r="LRR6" s="28"/>
      <c r="LRS6" s="28"/>
      <c r="LRT6" s="28"/>
      <c r="LRU6" s="28"/>
      <c r="LRV6" s="28"/>
      <c r="LRW6" s="28"/>
      <c r="LRX6" s="28"/>
      <c r="LRY6" s="28"/>
      <c r="LRZ6" s="28"/>
      <c r="LSA6" s="28"/>
      <c r="LSB6" s="28"/>
      <c r="LSC6" s="28"/>
      <c r="LSD6" s="28"/>
      <c r="LSE6" s="28"/>
      <c r="LSF6" s="28"/>
      <c r="LSG6" s="28"/>
      <c r="LSH6" s="28"/>
      <c r="LSI6" s="28"/>
      <c r="LSJ6" s="28"/>
      <c r="LSK6" s="28"/>
      <c r="LSL6" s="28"/>
      <c r="LSM6" s="28"/>
      <c r="LSN6" s="28"/>
      <c r="LSO6" s="28"/>
      <c r="LSP6" s="28"/>
      <c r="LSQ6" s="28"/>
      <c r="LSR6" s="28"/>
      <c r="LSS6" s="28"/>
      <c r="LST6" s="28"/>
      <c r="LSU6" s="28"/>
      <c r="LSV6" s="28"/>
      <c r="LSW6" s="28"/>
      <c r="LSX6" s="28"/>
      <c r="LSY6" s="28"/>
      <c r="LSZ6" s="28"/>
      <c r="LTA6" s="28"/>
      <c r="LTB6" s="28"/>
      <c r="LTC6" s="28"/>
      <c r="LTD6" s="28"/>
      <c r="LTE6" s="28"/>
      <c r="LTF6" s="28"/>
      <c r="LTG6" s="28"/>
      <c r="LTH6" s="28"/>
      <c r="LTI6" s="28"/>
      <c r="LTJ6" s="28"/>
      <c r="LTK6" s="28"/>
      <c r="LTL6" s="28"/>
      <c r="LTM6" s="28"/>
      <c r="LTN6" s="28"/>
      <c r="LTO6" s="28"/>
      <c r="LTP6" s="28"/>
      <c r="LTQ6" s="28"/>
      <c r="LTR6" s="28"/>
      <c r="LTS6" s="28"/>
      <c r="LTT6" s="28"/>
      <c r="LTU6" s="28"/>
      <c r="LTV6" s="28"/>
      <c r="LTW6" s="28"/>
      <c r="LTX6" s="28"/>
      <c r="LTY6" s="28"/>
      <c r="LTZ6" s="28"/>
      <c r="LUA6" s="28"/>
      <c r="LUB6" s="28"/>
      <c r="LUC6" s="28"/>
      <c r="LUD6" s="28"/>
      <c r="LUE6" s="28"/>
      <c r="LUF6" s="28"/>
      <c r="LUG6" s="28"/>
      <c r="LUH6" s="28"/>
      <c r="LUI6" s="28"/>
      <c r="LUJ6" s="28"/>
      <c r="LUK6" s="28"/>
      <c r="LUL6" s="28"/>
      <c r="LUM6" s="28"/>
      <c r="LUN6" s="28"/>
      <c r="LUO6" s="28"/>
      <c r="LUP6" s="28"/>
      <c r="LUQ6" s="28"/>
      <c r="LUR6" s="28"/>
      <c r="LUS6" s="28"/>
      <c r="LUT6" s="28"/>
      <c r="LUU6" s="28"/>
      <c r="LUV6" s="28"/>
      <c r="LUW6" s="28"/>
      <c r="LUX6" s="28"/>
      <c r="LUY6" s="28"/>
      <c r="LUZ6" s="28"/>
      <c r="LVA6" s="28"/>
      <c r="LVB6" s="28"/>
      <c r="LVC6" s="28"/>
      <c r="LVD6" s="28"/>
      <c r="LVE6" s="28"/>
      <c r="LVF6" s="28"/>
      <c r="LVG6" s="28"/>
      <c r="LVH6" s="28"/>
      <c r="LVI6" s="28"/>
      <c r="LVJ6" s="28"/>
      <c r="LVK6" s="28"/>
      <c r="LVL6" s="28"/>
      <c r="LVM6" s="28"/>
      <c r="LVN6" s="28"/>
      <c r="LVO6" s="28"/>
      <c r="LVP6" s="28"/>
      <c r="LVQ6" s="28"/>
      <c r="LVR6" s="28"/>
      <c r="LVS6" s="28"/>
      <c r="LVT6" s="28"/>
      <c r="LVU6" s="28"/>
      <c r="LVV6" s="28"/>
      <c r="LVW6" s="28"/>
      <c r="LVX6" s="28"/>
      <c r="LVY6" s="28"/>
      <c r="LVZ6" s="28"/>
      <c r="LWA6" s="28"/>
      <c r="LWB6" s="28"/>
      <c r="LWC6" s="28"/>
      <c r="LWD6" s="28"/>
      <c r="LWE6" s="28"/>
      <c r="LWF6" s="28"/>
      <c r="LWG6" s="28"/>
      <c r="LWH6" s="28"/>
      <c r="LWI6" s="28"/>
      <c r="LWJ6" s="28"/>
      <c r="LWK6" s="28"/>
      <c r="LWL6" s="28"/>
      <c r="LWM6" s="28"/>
      <c r="LWN6" s="28"/>
      <c r="LWO6" s="28"/>
      <c r="LWP6" s="28"/>
      <c r="LWQ6" s="28"/>
      <c r="LWR6" s="28"/>
      <c r="LWS6" s="28"/>
      <c r="LWT6" s="28"/>
      <c r="LWU6" s="28"/>
      <c r="LWV6" s="28"/>
      <c r="LWW6" s="28"/>
      <c r="LWX6" s="28"/>
      <c r="LWY6" s="28"/>
      <c r="LWZ6" s="28"/>
      <c r="LXA6" s="28"/>
      <c r="LXB6" s="28"/>
      <c r="LXC6" s="28"/>
      <c r="LXD6" s="28"/>
      <c r="LXE6" s="28"/>
      <c r="LXF6" s="28"/>
      <c r="LXG6" s="28"/>
      <c r="LXH6" s="28"/>
      <c r="LXI6" s="28"/>
      <c r="LXJ6" s="28"/>
      <c r="LXK6" s="28"/>
      <c r="LXL6" s="28"/>
      <c r="LXM6" s="28"/>
      <c r="LXN6" s="28"/>
      <c r="LXO6" s="28"/>
      <c r="LXP6" s="28"/>
      <c r="LXQ6" s="28"/>
      <c r="LXR6" s="28"/>
      <c r="LXS6" s="28"/>
      <c r="LXT6" s="28"/>
      <c r="LXU6" s="28"/>
      <c r="LXV6" s="28"/>
      <c r="LXW6" s="28"/>
      <c r="LXX6" s="28"/>
      <c r="LXY6" s="28"/>
      <c r="LXZ6" s="28"/>
      <c r="LYA6" s="28"/>
      <c r="LYB6" s="28"/>
      <c r="LYC6" s="28"/>
      <c r="LYD6" s="28"/>
      <c r="LYE6" s="28"/>
      <c r="LYF6" s="28"/>
      <c r="LYG6" s="28"/>
      <c r="LYH6" s="28"/>
      <c r="LYI6" s="28"/>
      <c r="LYJ6" s="28"/>
      <c r="LYK6" s="28"/>
      <c r="LYL6" s="28"/>
      <c r="LYM6" s="28"/>
      <c r="LYN6" s="28"/>
      <c r="LYO6" s="28"/>
      <c r="LYP6" s="28"/>
      <c r="LYQ6" s="28"/>
      <c r="LYR6" s="28"/>
      <c r="LYS6" s="28"/>
      <c r="LYT6" s="28"/>
      <c r="LYU6" s="28"/>
      <c r="LYV6" s="28"/>
      <c r="LYW6" s="28"/>
      <c r="LYX6" s="28"/>
      <c r="LYY6" s="28"/>
      <c r="LYZ6" s="28"/>
      <c r="LZA6" s="28"/>
      <c r="LZB6" s="28"/>
      <c r="LZC6" s="28"/>
      <c r="LZD6" s="28"/>
      <c r="LZE6" s="28"/>
      <c r="LZF6" s="28"/>
      <c r="LZG6" s="28"/>
      <c r="LZH6" s="28"/>
      <c r="LZI6" s="28"/>
      <c r="LZJ6" s="28"/>
      <c r="LZK6" s="28"/>
      <c r="LZL6" s="28"/>
      <c r="LZM6" s="28"/>
      <c r="LZN6" s="28"/>
      <c r="LZO6" s="28"/>
      <c r="LZP6" s="28"/>
      <c r="LZQ6" s="28"/>
      <c r="LZR6" s="28"/>
      <c r="LZS6" s="28"/>
      <c r="LZT6" s="28"/>
      <c r="LZU6" s="28"/>
      <c r="LZV6" s="28"/>
      <c r="LZW6" s="28"/>
      <c r="LZX6" s="28"/>
      <c r="LZY6" s="28"/>
      <c r="LZZ6" s="28"/>
      <c r="MAA6" s="28"/>
      <c r="MAB6" s="28"/>
      <c r="MAC6" s="28"/>
      <c r="MAD6" s="28"/>
      <c r="MAE6" s="28"/>
      <c r="MAF6" s="28"/>
      <c r="MAG6" s="28"/>
      <c r="MAH6" s="28"/>
      <c r="MAI6" s="28"/>
      <c r="MAJ6" s="28"/>
      <c r="MAK6" s="28"/>
      <c r="MAL6" s="28"/>
      <c r="MAM6" s="28"/>
      <c r="MAN6" s="28"/>
      <c r="MAO6" s="28"/>
      <c r="MAP6" s="28"/>
      <c r="MAQ6" s="28"/>
      <c r="MAR6" s="28"/>
      <c r="MAS6" s="28"/>
      <c r="MAT6" s="28"/>
      <c r="MAU6" s="28"/>
      <c r="MAV6" s="28"/>
      <c r="MAW6" s="28"/>
      <c r="MAX6" s="28"/>
      <c r="MAY6" s="28"/>
      <c r="MAZ6" s="28"/>
      <c r="MBA6" s="28"/>
      <c r="MBB6" s="28"/>
      <c r="MBC6" s="28"/>
      <c r="MBD6" s="28"/>
      <c r="MBE6" s="28"/>
      <c r="MBF6" s="28"/>
      <c r="MBG6" s="28"/>
      <c r="MBH6" s="28"/>
      <c r="MBI6" s="28"/>
      <c r="MBJ6" s="28"/>
      <c r="MBK6" s="28"/>
      <c r="MBL6" s="28"/>
      <c r="MBM6" s="28"/>
      <c r="MBN6" s="28"/>
      <c r="MBO6" s="28"/>
      <c r="MBP6" s="28"/>
      <c r="MBQ6" s="28"/>
      <c r="MBR6" s="28"/>
      <c r="MBS6" s="28"/>
      <c r="MBT6" s="28"/>
      <c r="MBU6" s="28"/>
      <c r="MBV6" s="28"/>
      <c r="MBW6" s="28"/>
      <c r="MBX6" s="28"/>
      <c r="MBY6" s="28"/>
      <c r="MBZ6" s="28"/>
      <c r="MCA6" s="28"/>
      <c r="MCB6" s="28"/>
      <c r="MCC6" s="28"/>
      <c r="MCD6" s="28"/>
      <c r="MCE6" s="28"/>
      <c r="MCF6" s="28"/>
      <c r="MCG6" s="28"/>
      <c r="MCH6" s="28"/>
      <c r="MCI6" s="28"/>
      <c r="MCJ6" s="28"/>
      <c r="MCK6" s="28"/>
      <c r="MCL6" s="28"/>
      <c r="MCM6" s="28"/>
      <c r="MCN6" s="28"/>
      <c r="MCO6" s="28"/>
      <c r="MCP6" s="28"/>
      <c r="MCQ6" s="28"/>
      <c r="MCR6" s="28"/>
      <c r="MCS6" s="28"/>
      <c r="MCT6" s="28"/>
      <c r="MCU6" s="28"/>
      <c r="MCV6" s="28"/>
      <c r="MCW6" s="28"/>
      <c r="MCX6" s="28"/>
      <c r="MCY6" s="28"/>
      <c r="MCZ6" s="28"/>
      <c r="MDA6" s="28"/>
      <c r="MDB6" s="28"/>
      <c r="MDC6" s="28"/>
      <c r="MDD6" s="28"/>
      <c r="MDE6" s="28"/>
      <c r="MDF6" s="28"/>
      <c r="MDG6" s="28"/>
      <c r="MDH6" s="28"/>
      <c r="MDI6" s="28"/>
      <c r="MDJ6" s="28"/>
      <c r="MDK6" s="28"/>
      <c r="MDL6" s="28"/>
      <c r="MDM6" s="28"/>
      <c r="MDN6" s="28"/>
      <c r="MDO6" s="28"/>
      <c r="MDP6" s="28"/>
      <c r="MDQ6" s="28"/>
      <c r="MDR6" s="28"/>
      <c r="MDS6" s="28"/>
      <c r="MDT6" s="28"/>
      <c r="MDU6" s="28"/>
      <c r="MDV6" s="28"/>
      <c r="MDW6" s="28"/>
      <c r="MDX6" s="28"/>
      <c r="MDY6" s="28"/>
      <c r="MDZ6" s="28"/>
      <c r="MEA6" s="28"/>
      <c r="MEB6" s="28"/>
      <c r="MEC6" s="28"/>
      <c r="MED6" s="28"/>
      <c r="MEE6" s="28"/>
      <c r="MEF6" s="28"/>
      <c r="MEG6" s="28"/>
      <c r="MEH6" s="28"/>
      <c r="MEI6" s="28"/>
      <c r="MEJ6" s="28"/>
      <c r="MEK6" s="28"/>
      <c r="MEL6" s="28"/>
      <c r="MEM6" s="28"/>
      <c r="MEN6" s="28"/>
      <c r="MEO6" s="28"/>
      <c r="MEP6" s="28"/>
      <c r="MEQ6" s="28"/>
      <c r="MER6" s="28"/>
      <c r="MES6" s="28"/>
      <c r="MET6" s="28"/>
      <c r="MEU6" s="28"/>
      <c r="MEV6" s="28"/>
      <c r="MEW6" s="28"/>
      <c r="MEX6" s="28"/>
      <c r="MEY6" s="28"/>
      <c r="MEZ6" s="28"/>
      <c r="MFA6" s="28"/>
      <c r="MFB6" s="28"/>
      <c r="MFC6" s="28"/>
      <c r="MFD6" s="28"/>
      <c r="MFE6" s="28"/>
      <c r="MFF6" s="28"/>
      <c r="MFG6" s="28"/>
      <c r="MFH6" s="28"/>
      <c r="MFI6" s="28"/>
      <c r="MFJ6" s="28"/>
      <c r="MFK6" s="28"/>
      <c r="MFL6" s="28"/>
      <c r="MFM6" s="28"/>
      <c r="MFN6" s="28"/>
      <c r="MFO6" s="28"/>
      <c r="MFP6" s="28"/>
      <c r="MFQ6" s="28"/>
      <c r="MFR6" s="28"/>
      <c r="MFS6" s="28"/>
      <c r="MFT6" s="28"/>
      <c r="MFU6" s="28"/>
      <c r="MFV6" s="28"/>
      <c r="MFW6" s="28"/>
      <c r="MFX6" s="28"/>
      <c r="MFY6" s="28"/>
      <c r="MFZ6" s="28"/>
      <c r="MGA6" s="28"/>
      <c r="MGB6" s="28"/>
      <c r="MGC6" s="28"/>
      <c r="MGD6" s="28"/>
      <c r="MGE6" s="28"/>
      <c r="MGF6" s="28"/>
      <c r="MGG6" s="28"/>
      <c r="MGH6" s="28"/>
      <c r="MGI6" s="28"/>
      <c r="MGJ6" s="28"/>
      <c r="MGK6" s="28"/>
      <c r="MGL6" s="28"/>
      <c r="MGM6" s="28"/>
      <c r="MGN6" s="28"/>
      <c r="MGO6" s="28"/>
      <c r="MGP6" s="28"/>
      <c r="MGQ6" s="28"/>
      <c r="MGR6" s="28"/>
      <c r="MGS6" s="28"/>
      <c r="MGT6" s="28"/>
      <c r="MGU6" s="28"/>
      <c r="MGV6" s="28"/>
      <c r="MGW6" s="28"/>
      <c r="MGX6" s="28"/>
      <c r="MGY6" s="28"/>
      <c r="MGZ6" s="28"/>
      <c r="MHA6" s="28"/>
      <c r="MHB6" s="28"/>
      <c r="MHC6" s="28"/>
      <c r="MHD6" s="28"/>
      <c r="MHE6" s="28"/>
      <c r="MHF6" s="28"/>
      <c r="MHG6" s="28"/>
      <c r="MHH6" s="28"/>
      <c r="MHI6" s="28"/>
      <c r="MHJ6" s="28"/>
      <c r="MHK6" s="28"/>
      <c r="MHL6" s="28"/>
      <c r="MHM6" s="28"/>
      <c r="MHN6" s="28"/>
      <c r="MHO6" s="28"/>
      <c r="MHP6" s="28"/>
      <c r="MHQ6" s="28"/>
      <c r="MHR6" s="28"/>
      <c r="MHS6" s="28"/>
      <c r="MHT6" s="28"/>
      <c r="MHU6" s="28"/>
      <c r="MHV6" s="28"/>
      <c r="MHW6" s="28"/>
      <c r="MHX6" s="28"/>
      <c r="MHY6" s="28"/>
      <c r="MHZ6" s="28"/>
      <c r="MIA6" s="28"/>
      <c r="MIB6" s="28"/>
      <c r="MIC6" s="28"/>
      <c r="MID6" s="28"/>
      <c r="MIE6" s="28"/>
      <c r="MIF6" s="28"/>
      <c r="MIG6" s="28"/>
      <c r="MIH6" s="28"/>
      <c r="MII6" s="28"/>
      <c r="MIJ6" s="28"/>
      <c r="MIK6" s="28"/>
      <c r="MIL6" s="28"/>
      <c r="MIM6" s="28"/>
      <c r="MIN6" s="28"/>
      <c r="MIO6" s="28"/>
      <c r="MIP6" s="28"/>
      <c r="MIQ6" s="28"/>
      <c r="MIR6" s="28"/>
      <c r="MIS6" s="28"/>
      <c r="MIT6" s="28"/>
      <c r="MIU6" s="28"/>
      <c r="MIV6" s="28"/>
      <c r="MIW6" s="28"/>
      <c r="MIX6" s="28"/>
      <c r="MIY6" s="28"/>
      <c r="MIZ6" s="28"/>
      <c r="MJA6" s="28"/>
      <c r="MJB6" s="28"/>
      <c r="MJC6" s="28"/>
      <c r="MJD6" s="28"/>
      <c r="MJE6" s="28"/>
      <c r="MJF6" s="28"/>
      <c r="MJG6" s="28"/>
      <c r="MJH6" s="28"/>
      <c r="MJI6" s="28"/>
      <c r="MJJ6" s="28"/>
      <c r="MJK6" s="28"/>
      <c r="MJL6" s="28"/>
      <c r="MJM6" s="28"/>
      <c r="MJN6" s="28"/>
      <c r="MJO6" s="28"/>
      <c r="MJP6" s="28"/>
      <c r="MJQ6" s="28"/>
      <c r="MJR6" s="28"/>
      <c r="MJS6" s="28"/>
      <c r="MJT6" s="28"/>
      <c r="MJU6" s="28"/>
      <c r="MJV6" s="28"/>
      <c r="MJW6" s="28"/>
      <c r="MJX6" s="28"/>
      <c r="MJY6" s="28"/>
      <c r="MJZ6" s="28"/>
      <c r="MKA6" s="28"/>
      <c r="MKB6" s="28"/>
      <c r="MKC6" s="28"/>
      <c r="MKD6" s="28"/>
      <c r="MKE6" s="28"/>
      <c r="MKF6" s="28"/>
      <c r="MKG6" s="28"/>
      <c r="MKH6" s="28"/>
      <c r="MKI6" s="28"/>
      <c r="MKJ6" s="28"/>
      <c r="MKK6" s="28"/>
      <c r="MKL6" s="28"/>
      <c r="MKM6" s="28"/>
      <c r="MKN6" s="28"/>
      <c r="MKO6" s="28"/>
      <c r="MKP6" s="28"/>
      <c r="MKQ6" s="28"/>
      <c r="MKR6" s="28"/>
      <c r="MKS6" s="28"/>
      <c r="MKT6" s="28"/>
      <c r="MKU6" s="28"/>
      <c r="MKV6" s="28"/>
      <c r="MKW6" s="28"/>
      <c r="MKX6" s="28"/>
      <c r="MKY6" s="28"/>
      <c r="MKZ6" s="28"/>
      <c r="MLA6" s="28"/>
      <c r="MLB6" s="28"/>
      <c r="MLC6" s="28"/>
      <c r="MLD6" s="28"/>
      <c r="MLE6" s="28"/>
      <c r="MLF6" s="28"/>
      <c r="MLG6" s="28"/>
      <c r="MLH6" s="28"/>
      <c r="MLI6" s="28"/>
      <c r="MLJ6" s="28"/>
      <c r="MLK6" s="28"/>
      <c r="MLL6" s="28"/>
      <c r="MLM6" s="28"/>
      <c r="MLN6" s="28"/>
      <c r="MLO6" s="28"/>
      <c r="MLP6" s="28"/>
      <c r="MLQ6" s="28"/>
      <c r="MLR6" s="28"/>
      <c r="MLS6" s="28"/>
      <c r="MLT6" s="28"/>
      <c r="MLU6" s="28"/>
      <c r="MLV6" s="28"/>
      <c r="MLW6" s="28"/>
      <c r="MLX6" s="28"/>
      <c r="MLY6" s="28"/>
      <c r="MLZ6" s="28"/>
      <c r="MMA6" s="28"/>
      <c r="MMB6" s="28"/>
      <c r="MMC6" s="28"/>
      <c r="MMD6" s="28"/>
      <c r="MME6" s="28"/>
      <c r="MMF6" s="28"/>
      <c r="MMG6" s="28"/>
      <c r="MMH6" s="28"/>
      <c r="MMI6" s="28"/>
      <c r="MMJ6" s="28"/>
      <c r="MMK6" s="28"/>
      <c r="MML6" s="28"/>
      <c r="MMM6" s="28"/>
      <c r="MMN6" s="28"/>
      <c r="MMO6" s="28"/>
      <c r="MMP6" s="28"/>
      <c r="MMQ6" s="28"/>
      <c r="MMR6" s="28"/>
      <c r="MMS6" s="28"/>
      <c r="MMT6" s="28"/>
      <c r="MMU6" s="28"/>
      <c r="MMV6" s="28"/>
      <c r="MMW6" s="28"/>
      <c r="MMX6" s="28"/>
      <c r="MMY6" s="28"/>
      <c r="MMZ6" s="28"/>
      <c r="MNA6" s="28"/>
      <c r="MNB6" s="28"/>
      <c r="MNC6" s="28"/>
      <c r="MND6" s="28"/>
      <c r="MNE6" s="28"/>
      <c r="MNF6" s="28"/>
      <c r="MNG6" s="28"/>
      <c r="MNH6" s="28"/>
      <c r="MNI6" s="28"/>
      <c r="MNJ6" s="28"/>
      <c r="MNK6" s="28"/>
      <c r="MNL6" s="28"/>
      <c r="MNM6" s="28"/>
      <c r="MNN6" s="28"/>
      <c r="MNO6" s="28"/>
      <c r="MNP6" s="28"/>
      <c r="MNQ6" s="28"/>
      <c r="MNR6" s="28"/>
      <c r="MNS6" s="28"/>
      <c r="MNT6" s="28"/>
      <c r="MNU6" s="28"/>
      <c r="MNV6" s="28"/>
      <c r="MNW6" s="28"/>
      <c r="MNX6" s="28"/>
      <c r="MNY6" s="28"/>
      <c r="MNZ6" s="28"/>
      <c r="MOA6" s="28"/>
      <c r="MOB6" s="28"/>
      <c r="MOC6" s="28"/>
      <c r="MOD6" s="28"/>
      <c r="MOE6" s="28"/>
      <c r="MOF6" s="28"/>
      <c r="MOG6" s="28"/>
      <c r="MOH6" s="28"/>
      <c r="MOI6" s="28"/>
      <c r="MOJ6" s="28"/>
      <c r="MOK6" s="28"/>
      <c r="MOL6" s="28"/>
      <c r="MOM6" s="28"/>
      <c r="MON6" s="28"/>
      <c r="MOO6" s="28"/>
      <c r="MOP6" s="28"/>
      <c r="MOQ6" s="28"/>
      <c r="MOR6" s="28"/>
      <c r="MOS6" s="28"/>
      <c r="MOT6" s="28"/>
      <c r="MOU6" s="28"/>
      <c r="MOV6" s="28"/>
      <c r="MOW6" s="28"/>
      <c r="MOX6" s="28"/>
      <c r="MOY6" s="28"/>
      <c r="MOZ6" s="28"/>
      <c r="MPA6" s="28"/>
      <c r="MPB6" s="28"/>
      <c r="MPC6" s="28"/>
      <c r="MPD6" s="28"/>
      <c r="MPE6" s="28"/>
      <c r="MPF6" s="28"/>
      <c r="MPG6" s="28"/>
      <c r="MPH6" s="28"/>
      <c r="MPI6" s="28"/>
      <c r="MPJ6" s="28"/>
      <c r="MPK6" s="28"/>
      <c r="MPL6" s="28"/>
      <c r="MPM6" s="28"/>
      <c r="MPN6" s="28"/>
      <c r="MPO6" s="28"/>
      <c r="MPP6" s="28"/>
      <c r="MPQ6" s="28"/>
      <c r="MPR6" s="28"/>
      <c r="MPS6" s="28"/>
      <c r="MPT6" s="28"/>
      <c r="MPU6" s="28"/>
      <c r="MPV6" s="28"/>
      <c r="MPW6" s="28"/>
      <c r="MPX6" s="28"/>
      <c r="MPY6" s="28"/>
      <c r="MPZ6" s="28"/>
      <c r="MQA6" s="28"/>
      <c r="MQB6" s="28"/>
      <c r="MQC6" s="28"/>
      <c r="MQD6" s="28"/>
      <c r="MQE6" s="28"/>
      <c r="MQF6" s="28"/>
      <c r="MQG6" s="28"/>
      <c r="MQH6" s="28"/>
      <c r="MQI6" s="28"/>
      <c r="MQJ6" s="28"/>
      <c r="MQK6" s="28"/>
      <c r="MQL6" s="28"/>
      <c r="MQM6" s="28"/>
      <c r="MQN6" s="28"/>
      <c r="MQO6" s="28"/>
      <c r="MQP6" s="28"/>
      <c r="MQQ6" s="28"/>
      <c r="MQR6" s="28"/>
      <c r="MQS6" s="28"/>
      <c r="MQT6" s="28"/>
      <c r="MQU6" s="28"/>
      <c r="MQV6" s="28"/>
      <c r="MQW6" s="28"/>
      <c r="MQX6" s="28"/>
      <c r="MQY6" s="28"/>
      <c r="MQZ6" s="28"/>
      <c r="MRA6" s="28"/>
      <c r="MRB6" s="28"/>
      <c r="MRC6" s="28"/>
      <c r="MRD6" s="28"/>
      <c r="MRE6" s="28"/>
      <c r="MRF6" s="28"/>
      <c r="MRG6" s="28"/>
      <c r="MRH6" s="28"/>
      <c r="MRI6" s="28"/>
      <c r="MRJ6" s="28"/>
      <c r="MRK6" s="28"/>
      <c r="MRL6" s="28"/>
      <c r="MRM6" s="28"/>
      <c r="MRN6" s="28"/>
      <c r="MRO6" s="28"/>
      <c r="MRP6" s="28"/>
      <c r="MRQ6" s="28"/>
      <c r="MRR6" s="28"/>
      <c r="MRS6" s="28"/>
      <c r="MRT6" s="28"/>
      <c r="MRU6" s="28"/>
      <c r="MRV6" s="28"/>
      <c r="MRW6" s="28"/>
      <c r="MRX6" s="28"/>
      <c r="MRY6" s="28"/>
      <c r="MRZ6" s="28"/>
      <c r="MSA6" s="28"/>
      <c r="MSB6" s="28"/>
      <c r="MSC6" s="28"/>
      <c r="MSD6" s="28"/>
      <c r="MSE6" s="28"/>
      <c r="MSF6" s="28"/>
      <c r="MSG6" s="28"/>
      <c r="MSH6" s="28"/>
      <c r="MSI6" s="28"/>
      <c r="MSJ6" s="28"/>
      <c r="MSK6" s="28"/>
      <c r="MSL6" s="28"/>
      <c r="MSM6" s="28"/>
      <c r="MSN6" s="28"/>
      <c r="MSO6" s="28"/>
      <c r="MSP6" s="28"/>
      <c r="MSQ6" s="28"/>
      <c r="MSR6" s="28"/>
      <c r="MSS6" s="28"/>
      <c r="MST6" s="28"/>
      <c r="MSU6" s="28"/>
      <c r="MSV6" s="28"/>
      <c r="MSW6" s="28"/>
      <c r="MSX6" s="28"/>
      <c r="MSY6" s="28"/>
      <c r="MSZ6" s="28"/>
      <c r="MTA6" s="28"/>
      <c r="MTB6" s="28"/>
      <c r="MTC6" s="28"/>
      <c r="MTD6" s="28"/>
      <c r="MTE6" s="28"/>
      <c r="MTF6" s="28"/>
      <c r="MTG6" s="28"/>
      <c r="MTH6" s="28"/>
      <c r="MTI6" s="28"/>
      <c r="MTJ6" s="28"/>
      <c r="MTK6" s="28"/>
      <c r="MTL6" s="28"/>
      <c r="MTM6" s="28"/>
      <c r="MTN6" s="28"/>
      <c r="MTO6" s="28"/>
      <c r="MTP6" s="28"/>
      <c r="MTQ6" s="28"/>
      <c r="MTR6" s="28"/>
      <c r="MTS6" s="28"/>
      <c r="MTT6" s="28"/>
      <c r="MTU6" s="28"/>
      <c r="MTV6" s="28"/>
      <c r="MTW6" s="28"/>
      <c r="MTX6" s="28"/>
      <c r="MTY6" s="28"/>
      <c r="MTZ6" s="28"/>
      <c r="MUA6" s="28"/>
      <c r="MUB6" s="28"/>
      <c r="MUC6" s="28"/>
      <c r="MUD6" s="28"/>
      <c r="MUE6" s="28"/>
      <c r="MUF6" s="28"/>
      <c r="MUG6" s="28"/>
      <c r="MUH6" s="28"/>
      <c r="MUI6" s="28"/>
      <c r="MUJ6" s="28"/>
      <c r="MUK6" s="28"/>
      <c r="MUL6" s="28"/>
      <c r="MUM6" s="28"/>
      <c r="MUN6" s="28"/>
      <c r="MUO6" s="28"/>
      <c r="MUP6" s="28"/>
      <c r="MUQ6" s="28"/>
      <c r="MUR6" s="28"/>
      <c r="MUS6" s="28"/>
      <c r="MUT6" s="28"/>
      <c r="MUU6" s="28"/>
      <c r="MUV6" s="28"/>
      <c r="MUW6" s="28"/>
      <c r="MUX6" s="28"/>
      <c r="MUY6" s="28"/>
      <c r="MUZ6" s="28"/>
      <c r="MVA6" s="28"/>
      <c r="MVB6" s="28"/>
      <c r="MVC6" s="28"/>
      <c r="MVD6" s="28"/>
      <c r="MVE6" s="28"/>
      <c r="MVF6" s="28"/>
      <c r="MVG6" s="28"/>
      <c r="MVH6" s="28"/>
      <c r="MVI6" s="28"/>
      <c r="MVJ6" s="28"/>
      <c r="MVK6" s="28"/>
      <c r="MVL6" s="28"/>
      <c r="MVM6" s="28"/>
      <c r="MVN6" s="28"/>
      <c r="MVO6" s="28"/>
      <c r="MVP6" s="28"/>
      <c r="MVQ6" s="28"/>
      <c r="MVR6" s="28"/>
      <c r="MVS6" s="28"/>
      <c r="MVT6" s="28"/>
      <c r="MVU6" s="28"/>
      <c r="MVV6" s="28"/>
      <c r="MVW6" s="28"/>
      <c r="MVX6" s="28"/>
      <c r="MVY6" s="28"/>
      <c r="MVZ6" s="28"/>
      <c r="MWA6" s="28"/>
      <c r="MWB6" s="28"/>
      <c r="MWC6" s="28"/>
      <c r="MWD6" s="28"/>
      <c r="MWE6" s="28"/>
      <c r="MWF6" s="28"/>
      <c r="MWG6" s="28"/>
      <c r="MWH6" s="28"/>
      <c r="MWI6" s="28"/>
      <c r="MWJ6" s="28"/>
      <c r="MWK6" s="28"/>
      <c r="MWL6" s="28"/>
      <c r="MWM6" s="28"/>
      <c r="MWN6" s="28"/>
      <c r="MWO6" s="28"/>
      <c r="MWP6" s="28"/>
      <c r="MWQ6" s="28"/>
      <c r="MWR6" s="28"/>
      <c r="MWS6" s="28"/>
      <c r="MWT6" s="28"/>
      <c r="MWU6" s="28"/>
      <c r="MWV6" s="28"/>
      <c r="MWW6" s="28"/>
      <c r="MWX6" s="28"/>
      <c r="MWY6" s="28"/>
      <c r="MWZ6" s="28"/>
      <c r="MXA6" s="28"/>
      <c r="MXB6" s="28"/>
      <c r="MXC6" s="28"/>
      <c r="MXD6" s="28"/>
      <c r="MXE6" s="28"/>
      <c r="MXF6" s="28"/>
      <c r="MXG6" s="28"/>
      <c r="MXH6" s="28"/>
      <c r="MXI6" s="28"/>
      <c r="MXJ6" s="28"/>
      <c r="MXK6" s="28"/>
      <c r="MXL6" s="28"/>
      <c r="MXM6" s="28"/>
      <c r="MXN6" s="28"/>
      <c r="MXO6" s="28"/>
      <c r="MXP6" s="28"/>
      <c r="MXQ6" s="28"/>
      <c r="MXR6" s="28"/>
      <c r="MXS6" s="28"/>
      <c r="MXT6" s="28"/>
      <c r="MXU6" s="28"/>
      <c r="MXV6" s="28"/>
      <c r="MXW6" s="28"/>
      <c r="MXX6" s="28"/>
      <c r="MXY6" s="28"/>
      <c r="MXZ6" s="28"/>
      <c r="MYA6" s="28"/>
      <c r="MYB6" s="28"/>
      <c r="MYC6" s="28"/>
      <c r="MYD6" s="28"/>
      <c r="MYE6" s="28"/>
      <c r="MYF6" s="28"/>
      <c r="MYG6" s="28"/>
      <c r="MYH6" s="28"/>
      <c r="MYI6" s="28"/>
      <c r="MYJ6" s="28"/>
      <c r="MYK6" s="28"/>
      <c r="MYL6" s="28"/>
      <c r="MYM6" s="28"/>
      <c r="MYN6" s="28"/>
      <c r="MYO6" s="28"/>
      <c r="MYP6" s="28"/>
      <c r="MYQ6" s="28"/>
      <c r="MYR6" s="28"/>
      <c r="MYS6" s="28"/>
      <c r="MYT6" s="28"/>
      <c r="MYU6" s="28"/>
      <c r="MYV6" s="28"/>
      <c r="MYW6" s="28"/>
      <c r="MYX6" s="28"/>
      <c r="MYY6" s="28"/>
      <c r="MYZ6" s="28"/>
      <c r="MZA6" s="28"/>
      <c r="MZB6" s="28"/>
      <c r="MZC6" s="28"/>
      <c r="MZD6" s="28"/>
      <c r="MZE6" s="28"/>
      <c r="MZF6" s="28"/>
      <c r="MZG6" s="28"/>
      <c r="MZH6" s="28"/>
      <c r="MZI6" s="28"/>
      <c r="MZJ6" s="28"/>
      <c r="MZK6" s="28"/>
      <c r="MZL6" s="28"/>
      <c r="MZM6" s="28"/>
      <c r="MZN6" s="28"/>
      <c r="MZO6" s="28"/>
      <c r="MZP6" s="28"/>
      <c r="MZQ6" s="28"/>
      <c r="MZR6" s="28"/>
      <c r="MZS6" s="28"/>
      <c r="MZT6" s="28"/>
      <c r="MZU6" s="28"/>
      <c r="MZV6" s="28"/>
      <c r="MZW6" s="28"/>
      <c r="MZX6" s="28"/>
      <c r="MZY6" s="28"/>
      <c r="MZZ6" s="28"/>
      <c r="NAA6" s="28"/>
      <c r="NAB6" s="28"/>
      <c r="NAC6" s="28"/>
      <c r="NAD6" s="28"/>
      <c r="NAE6" s="28"/>
      <c r="NAF6" s="28"/>
      <c r="NAG6" s="28"/>
      <c r="NAH6" s="28"/>
      <c r="NAI6" s="28"/>
      <c r="NAJ6" s="28"/>
      <c r="NAK6" s="28"/>
      <c r="NAL6" s="28"/>
      <c r="NAM6" s="28"/>
      <c r="NAN6" s="28"/>
      <c r="NAO6" s="28"/>
      <c r="NAP6" s="28"/>
      <c r="NAQ6" s="28"/>
      <c r="NAR6" s="28"/>
      <c r="NAS6" s="28"/>
      <c r="NAT6" s="28"/>
      <c r="NAU6" s="28"/>
      <c r="NAV6" s="28"/>
      <c r="NAW6" s="28"/>
      <c r="NAX6" s="28"/>
      <c r="NAY6" s="28"/>
      <c r="NAZ6" s="28"/>
      <c r="NBA6" s="28"/>
      <c r="NBB6" s="28"/>
      <c r="NBC6" s="28"/>
      <c r="NBD6" s="28"/>
      <c r="NBE6" s="28"/>
      <c r="NBF6" s="28"/>
      <c r="NBG6" s="28"/>
      <c r="NBH6" s="28"/>
      <c r="NBI6" s="28"/>
      <c r="NBJ6" s="28"/>
      <c r="NBK6" s="28"/>
      <c r="NBL6" s="28"/>
      <c r="NBM6" s="28"/>
      <c r="NBN6" s="28"/>
      <c r="NBO6" s="28"/>
      <c r="NBP6" s="28"/>
      <c r="NBQ6" s="28"/>
      <c r="NBR6" s="28"/>
      <c r="NBS6" s="28"/>
      <c r="NBT6" s="28"/>
      <c r="NBU6" s="28"/>
      <c r="NBV6" s="28"/>
      <c r="NBW6" s="28"/>
      <c r="NBX6" s="28"/>
      <c r="NBY6" s="28"/>
      <c r="NBZ6" s="28"/>
      <c r="NCA6" s="28"/>
      <c r="NCB6" s="28"/>
      <c r="NCC6" s="28"/>
      <c r="NCD6" s="28"/>
      <c r="NCE6" s="28"/>
      <c r="NCF6" s="28"/>
      <c r="NCG6" s="28"/>
      <c r="NCH6" s="28"/>
      <c r="NCI6" s="28"/>
      <c r="NCJ6" s="28"/>
      <c r="NCK6" s="28"/>
      <c r="NCL6" s="28"/>
      <c r="NCM6" s="28"/>
      <c r="NCN6" s="28"/>
      <c r="NCO6" s="28"/>
      <c r="NCP6" s="28"/>
      <c r="NCQ6" s="28"/>
      <c r="NCR6" s="28"/>
      <c r="NCS6" s="28"/>
      <c r="NCT6" s="28"/>
      <c r="NCU6" s="28"/>
      <c r="NCV6" s="28"/>
      <c r="NCW6" s="28"/>
      <c r="NCX6" s="28"/>
      <c r="NCY6" s="28"/>
      <c r="NCZ6" s="28"/>
      <c r="NDA6" s="28"/>
      <c r="NDB6" s="28"/>
      <c r="NDC6" s="28"/>
      <c r="NDD6" s="28"/>
      <c r="NDE6" s="28"/>
      <c r="NDF6" s="28"/>
      <c r="NDG6" s="28"/>
      <c r="NDH6" s="28"/>
      <c r="NDI6" s="28"/>
      <c r="NDJ6" s="28"/>
      <c r="NDK6" s="28"/>
      <c r="NDL6" s="28"/>
      <c r="NDM6" s="28"/>
      <c r="NDN6" s="28"/>
      <c r="NDO6" s="28"/>
      <c r="NDP6" s="28"/>
      <c r="NDQ6" s="28"/>
      <c r="NDR6" s="28"/>
      <c r="NDS6" s="28"/>
      <c r="NDT6" s="28"/>
      <c r="NDU6" s="28"/>
      <c r="NDV6" s="28"/>
      <c r="NDW6" s="28"/>
      <c r="NDX6" s="28"/>
      <c r="NDY6" s="28"/>
      <c r="NDZ6" s="28"/>
      <c r="NEA6" s="28"/>
      <c r="NEB6" s="28"/>
      <c r="NEC6" s="28"/>
      <c r="NED6" s="28"/>
      <c r="NEE6" s="28"/>
      <c r="NEF6" s="28"/>
      <c r="NEG6" s="28"/>
      <c r="NEH6" s="28"/>
      <c r="NEI6" s="28"/>
      <c r="NEJ6" s="28"/>
      <c r="NEK6" s="28"/>
      <c r="NEL6" s="28"/>
      <c r="NEM6" s="28"/>
      <c r="NEN6" s="28"/>
      <c r="NEO6" s="28"/>
      <c r="NEP6" s="28"/>
      <c r="NEQ6" s="28"/>
      <c r="NER6" s="28"/>
      <c r="NES6" s="28"/>
      <c r="NET6" s="28"/>
      <c r="NEU6" s="28"/>
      <c r="NEV6" s="28"/>
      <c r="NEW6" s="28"/>
      <c r="NEX6" s="28"/>
      <c r="NEY6" s="28"/>
      <c r="NEZ6" s="28"/>
      <c r="NFA6" s="28"/>
      <c r="NFB6" s="28"/>
      <c r="NFC6" s="28"/>
      <c r="NFD6" s="28"/>
      <c r="NFE6" s="28"/>
      <c r="NFF6" s="28"/>
      <c r="NFG6" s="28"/>
      <c r="NFH6" s="28"/>
      <c r="NFI6" s="28"/>
      <c r="NFJ6" s="28"/>
      <c r="NFK6" s="28"/>
      <c r="NFL6" s="28"/>
      <c r="NFM6" s="28"/>
      <c r="NFN6" s="28"/>
      <c r="NFO6" s="28"/>
      <c r="NFP6" s="28"/>
      <c r="NFQ6" s="28"/>
      <c r="NFR6" s="28"/>
      <c r="NFS6" s="28"/>
      <c r="NFT6" s="28"/>
      <c r="NFU6" s="28"/>
      <c r="NFV6" s="28"/>
      <c r="NFW6" s="28"/>
      <c r="NFX6" s="28"/>
      <c r="NFY6" s="28"/>
      <c r="NFZ6" s="28"/>
      <c r="NGA6" s="28"/>
      <c r="NGB6" s="28"/>
      <c r="NGC6" s="28"/>
      <c r="NGD6" s="28"/>
      <c r="NGE6" s="28"/>
      <c r="NGF6" s="28"/>
      <c r="NGG6" s="28"/>
      <c r="NGH6" s="28"/>
      <c r="NGI6" s="28"/>
      <c r="NGJ6" s="28"/>
      <c r="NGK6" s="28"/>
      <c r="NGL6" s="28"/>
      <c r="NGM6" s="28"/>
      <c r="NGN6" s="28"/>
      <c r="NGO6" s="28"/>
      <c r="NGP6" s="28"/>
      <c r="NGQ6" s="28"/>
      <c r="NGR6" s="28"/>
      <c r="NGS6" s="28"/>
      <c r="NGT6" s="28"/>
      <c r="NGU6" s="28"/>
      <c r="NGV6" s="28"/>
      <c r="NGW6" s="28"/>
      <c r="NGX6" s="28"/>
      <c r="NGY6" s="28"/>
      <c r="NGZ6" s="28"/>
      <c r="NHA6" s="28"/>
      <c r="NHB6" s="28"/>
      <c r="NHC6" s="28"/>
      <c r="NHD6" s="28"/>
      <c r="NHE6" s="28"/>
      <c r="NHF6" s="28"/>
      <c r="NHG6" s="28"/>
      <c r="NHH6" s="28"/>
      <c r="NHI6" s="28"/>
      <c r="NHJ6" s="28"/>
      <c r="NHK6" s="28"/>
      <c r="NHL6" s="28"/>
      <c r="NHM6" s="28"/>
      <c r="NHN6" s="28"/>
      <c r="NHO6" s="28"/>
      <c r="NHP6" s="28"/>
      <c r="NHQ6" s="28"/>
      <c r="NHR6" s="28"/>
      <c r="NHS6" s="28"/>
      <c r="NHT6" s="28"/>
      <c r="NHU6" s="28"/>
      <c r="NHV6" s="28"/>
      <c r="NHW6" s="28"/>
      <c r="NHX6" s="28"/>
      <c r="NHY6" s="28"/>
      <c r="NHZ6" s="28"/>
      <c r="NIA6" s="28"/>
      <c r="NIB6" s="28"/>
      <c r="NIC6" s="28"/>
      <c r="NID6" s="28"/>
      <c r="NIE6" s="28"/>
      <c r="NIF6" s="28"/>
      <c r="NIG6" s="28"/>
      <c r="NIH6" s="28"/>
      <c r="NII6" s="28"/>
      <c r="NIJ6" s="28"/>
      <c r="NIK6" s="28"/>
      <c r="NIL6" s="28"/>
      <c r="NIM6" s="28"/>
      <c r="NIN6" s="28"/>
      <c r="NIO6" s="28"/>
      <c r="NIP6" s="28"/>
      <c r="NIQ6" s="28"/>
      <c r="NIR6" s="28"/>
      <c r="NIS6" s="28"/>
      <c r="NIT6" s="28"/>
      <c r="NIU6" s="28"/>
      <c r="NIV6" s="28"/>
      <c r="NIW6" s="28"/>
      <c r="NIX6" s="28"/>
      <c r="NIY6" s="28"/>
      <c r="NIZ6" s="28"/>
      <c r="NJA6" s="28"/>
      <c r="NJB6" s="28"/>
      <c r="NJC6" s="28"/>
      <c r="NJD6" s="28"/>
      <c r="NJE6" s="28"/>
      <c r="NJF6" s="28"/>
      <c r="NJG6" s="28"/>
      <c r="NJH6" s="28"/>
      <c r="NJI6" s="28"/>
      <c r="NJJ6" s="28"/>
      <c r="NJK6" s="28"/>
      <c r="NJL6" s="28"/>
      <c r="NJM6" s="28"/>
      <c r="NJN6" s="28"/>
      <c r="NJO6" s="28"/>
      <c r="NJP6" s="28"/>
      <c r="NJQ6" s="28"/>
      <c r="NJR6" s="28"/>
      <c r="NJS6" s="28"/>
      <c r="NJT6" s="28"/>
      <c r="NJU6" s="28"/>
      <c r="NJV6" s="28"/>
      <c r="NJW6" s="28"/>
      <c r="NJX6" s="28"/>
      <c r="NJY6" s="28"/>
      <c r="NJZ6" s="28"/>
      <c r="NKA6" s="28"/>
      <c r="NKB6" s="28"/>
      <c r="NKC6" s="28"/>
      <c r="NKD6" s="28"/>
      <c r="NKE6" s="28"/>
      <c r="NKF6" s="28"/>
      <c r="NKG6" s="28"/>
      <c r="NKH6" s="28"/>
      <c r="NKI6" s="28"/>
      <c r="NKJ6" s="28"/>
      <c r="NKK6" s="28"/>
      <c r="NKL6" s="28"/>
      <c r="NKM6" s="28"/>
      <c r="NKN6" s="28"/>
      <c r="NKO6" s="28"/>
      <c r="NKP6" s="28"/>
      <c r="NKQ6" s="28"/>
      <c r="NKR6" s="28"/>
      <c r="NKS6" s="28"/>
      <c r="NKT6" s="28"/>
      <c r="NKU6" s="28"/>
      <c r="NKV6" s="28"/>
      <c r="NKW6" s="28"/>
      <c r="NKX6" s="28"/>
      <c r="NKY6" s="28"/>
      <c r="NKZ6" s="28"/>
      <c r="NLA6" s="28"/>
      <c r="NLB6" s="28"/>
      <c r="NLC6" s="28"/>
      <c r="NLD6" s="28"/>
      <c r="NLE6" s="28"/>
      <c r="NLF6" s="28"/>
      <c r="NLG6" s="28"/>
      <c r="NLH6" s="28"/>
      <c r="NLI6" s="28"/>
      <c r="NLJ6" s="28"/>
      <c r="NLK6" s="28"/>
      <c r="NLL6" s="28"/>
      <c r="NLM6" s="28"/>
      <c r="NLN6" s="28"/>
      <c r="NLO6" s="28"/>
      <c r="NLP6" s="28"/>
      <c r="NLQ6" s="28"/>
      <c r="NLR6" s="28"/>
      <c r="NLS6" s="28"/>
      <c r="NLT6" s="28"/>
      <c r="NLU6" s="28"/>
      <c r="NLV6" s="28"/>
      <c r="NLW6" s="28"/>
      <c r="NLX6" s="28"/>
      <c r="NLY6" s="28"/>
      <c r="NLZ6" s="28"/>
      <c r="NMA6" s="28"/>
      <c r="NMB6" s="28"/>
      <c r="NMC6" s="28"/>
      <c r="NMD6" s="28"/>
      <c r="NME6" s="28"/>
      <c r="NMF6" s="28"/>
      <c r="NMG6" s="28"/>
      <c r="NMH6" s="28"/>
      <c r="NMI6" s="28"/>
      <c r="NMJ6" s="28"/>
      <c r="NMK6" s="28"/>
      <c r="NML6" s="28"/>
      <c r="NMM6" s="28"/>
      <c r="NMN6" s="28"/>
      <c r="NMO6" s="28"/>
      <c r="NMP6" s="28"/>
      <c r="NMQ6" s="28"/>
      <c r="NMR6" s="28"/>
      <c r="NMS6" s="28"/>
      <c r="NMT6" s="28"/>
      <c r="NMU6" s="28"/>
      <c r="NMV6" s="28"/>
      <c r="NMW6" s="28"/>
      <c r="NMX6" s="28"/>
      <c r="NMY6" s="28"/>
      <c r="NMZ6" s="28"/>
      <c r="NNA6" s="28"/>
      <c r="NNB6" s="28"/>
      <c r="NNC6" s="28"/>
      <c r="NND6" s="28"/>
      <c r="NNE6" s="28"/>
      <c r="NNF6" s="28"/>
      <c r="NNG6" s="28"/>
      <c r="NNH6" s="28"/>
      <c r="NNI6" s="28"/>
      <c r="NNJ6" s="28"/>
      <c r="NNK6" s="28"/>
      <c r="NNL6" s="28"/>
      <c r="NNM6" s="28"/>
      <c r="NNN6" s="28"/>
      <c r="NNO6" s="28"/>
      <c r="NNP6" s="28"/>
      <c r="NNQ6" s="28"/>
      <c r="NNR6" s="28"/>
      <c r="NNS6" s="28"/>
      <c r="NNT6" s="28"/>
      <c r="NNU6" s="28"/>
      <c r="NNV6" s="28"/>
      <c r="NNW6" s="28"/>
      <c r="NNX6" s="28"/>
      <c r="NNY6" s="28"/>
      <c r="NNZ6" s="28"/>
      <c r="NOA6" s="28"/>
      <c r="NOB6" s="28"/>
      <c r="NOC6" s="28"/>
      <c r="NOD6" s="28"/>
      <c r="NOE6" s="28"/>
      <c r="NOF6" s="28"/>
      <c r="NOG6" s="28"/>
      <c r="NOH6" s="28"/>
      <c r="NOI6" s="28"/>
      <c r="NOJ6" s="28"/>
      <c r="NOK6" s="28"/>
      <c r="NOL6" s="28"/>
      <c r="NOM6" s="28"/>
      <c r="NON6" s="28"/>
      <c r="NOO6" s="28"/>
      <c r="NOP6" s="28"/>
      <c r="NOQ6" s="28"/>
      <c r="NOR6" s="28"/>
      <c r="NOS6" s="28"/>
      <c r="NOT6" s="28"/>
      <c r="NOU6" s="28"/>
      <c r="NOV6" s="28"/>
      <c r="NOW6" s="28"/>
      <c r="NOX6" s="28"/>
      <c r="NOY6" s="28"/>
      <c r="NOZ6" s="28"/>
      <c r="NPA6" s="28"/>
      <c r="NPB6" s="28"/>
      <c r="NPC6" s="28"/>
      <c r="NPD6" s="28"/>
      <c r="NPE6" s="28"/>
      <c r="NPF6" s="28"/>
      <c r="NPG6" s="28"/>
      <c r="NPH6" s="28"/>
      <c r="NPI6" s="28"/>
      <c r="NPJ6" s="28"/>
      <c r="NPK6" s="28"/>
      <c r="NPL6" s="28"/>
      <c r="NPM6" s="28"/>
      <c r="NPN6" s="28"/>
      <c r="NPO6" s="28"/>
      <c r="NPP6" s="28"/>
      <c r="NPQ6" s="28"/>
      <c r="NPR6" s="28"/>
      <c r="NPS6" s="28"/>
      <c r="NPT6" s="28"/>
      <c r="NPU6" s="28"/>
      <c r="NPV6" s="28"/>
      <c r="NPW6" s="28"/>
      <c r="NPX6" s="28"/>
      <c r="NPY6" s="28"/>
      <c r="NPZ6" s="28"/>
      <c r="NQA6" s="28"/>
      <c r="NQB6" s="28"/>
      <c r="NQC6" s="28"/>
      <c r="NQD6" s="28"/>
      <c r="NQE6" s="28"/>
      <c r="NQF6" s="28"/>
      <c r="NQG6" s="28"/>
      <c r="NQH6" s="28"/>
      <c r="NQI6" s="28"/>
      <c r="NQJ6" s="28"/>
      <c r="NQK6" s="28"/>
      <c r="NQL6" s="28"/>
      <c r="NQM6" s="28"/>
      <c r="NQN6" s="28"/>
      <c r="NQO6" s="28"/>
      <c r="NQP6" s="28"/>
      <c r="NQQ6" s="28"/>
      <c r="NQR6" s="28"/>
      <c r="NQS6" s="28"/>
      <c r="NQT6" s="28"/>
      <c r="NQU6" s="28"/>
      <c r="NQV6" s="28"/>
      <c r="NQW6" s="28"/>
      <c r="NQX6" s="28"/>
      <c r="NQY6" s="28"/>
      <c r="NQZ6" s="28"/>
      <c r="NRA6" s="28"/>
      <c r="NRB6" s="28"/>
      <c r="NRC6" s="28"/>
      <c r="NRD6" s="28"/>
      <c r="NRE6" s="28"/>
      <c r="NRF6" s="28"/>
      <c r="NRG6" s="28"/>
      <c r="NRH6" s="28"/>
      <c r="NRI6" s="28"/>
      <c r="NRJ6" s="28"/>
      <c r="NRK6" s="28"/>
      <c r="NRL6" s="28"/>
      <c r="NRM6" s="28"/>
      <c r="NRN6" s="28"/>
      <c r="NRO6" s="28"/>
      <c r="NRP6" s="28"/>
      <c r="NRQ6" s="28"/>
      <c r="NRR6" s="28"/>
      <c r="NRS6" s="28"/>
      <c r="NRT6" s="28"/>
      <c r="NRU6" s="28"/>
      <c r="NRV6" s="28"/>
      <c r="NRW6" s="28"/>
      <c r="NRX6" s="28"/>
      <c r="NRY6" s="28"/>
      <c r="NRZ6" s="28"/>
      <c r="NSA6" s="28"/>
      <c r="NSB6" s="28"/>
      <c r="NSC6" s="28"/>
      <c r="NSD6" s="28"/>
      <c r="NSE6" s="28"/>
      <c r="NSF6" s="28"/>
      <c r="NSG6" s="28"/>
      <c r="NSH6" s="28"/>
      <c r="NSI6" s="28"/>
      <c r="NSJ6" s="28"/>
      <c r="NSK6" s="28"/>
      <c r="NSL6" s="28"/>
      <c r="NSM6" s="28"/>
      <c r="NSN6" s="28"/>
      <c r="NSO6" s="28"/>
      <c r="NSP6" s="28"/>
      <c r="NSQ6" s="28"/>
      <c r="NSR6" s="28"/>
      <c r="NSS6" s="28"/>
      <c r="NST6" s="28"/>
      <c r="NSU6" s="28"/>
      <c r="NSV6" s="28"/>
      <c r="NSW6" s="28"/>
      <c r="NSX6" s="28"/>
      <c r="NSY6" s="28"/>
      <c r="NSZ6" s="28"/>
      <c r="NTA6" s="28"/>
      <c r="NTB6" s="28"/>
      <c r="NTC6" s="28"/>
      <c r="NTD6" s="28"/>
      <c r="NTE6" s="28"/>
      <c r="NTF6" s="28"/>
      <c r="NTG6" s="28"/>
      <c r="NTH6" s="28"/>
      <c r="NTI6" s="28"/>
      <c r="NTJ6" s="28"/>
      <c r="NTK6" s="28"/>
      <c r="NTL6" s="28"/>
      <c r="NTM6" s="28"/>
      <c r="NTN6" s="28"/>
      <c r="NTO6" s="28"/>
      <c r="NTP6" s="28"/>
      <c r="NTQ6" s="28"/>
      <c r="NTR6" s="28"/>
      <c r="NTS6" s="28"/>
      <c r="NTT6" s="28"/>
      <c r="NTU6" s="28"/>
      <c r="NTV6" s="28"/>
      <c r="NTW6" s="28"/>
      <c r="NTX6" s="28"/>
      <c r="NTY6" s="28"/>
      <c r="NTZ6" s="28"/>
      <c r="NUA6" s="28"/>
      <c r="NUB6" s="28"/>
      <c r="NUC6" s="28"/>
      <c r="NUD6" s="28"/>
      <c r="NUE6" s="28"/>
      <c r="NUF6" s="28"/>
      <c r="NUG6" s="28"/>
      <c r="NUH6" s="28"/>
      <c r="NUI6" s="28"/>
      <c r="NUJ6" s="28"/>
      <c r="NUK6" s="28"/>
      <c r="NUL6" s="28"/>
      <c r="NUM6" s="28"/>
      <c r="NUN6" s="28"/>
      <c r="NUO6" s="28"/>
      <c r="NUP6" s="28"/>
      <c r="NUQ6" s="28"/>
      <c r="NUR6" s="28"/>
      <c r="NUS6" s="28"/>
      <c r="NUT6" s="28"/>
      <c r="NUU6" s="28"/>
      <c r="NUV6" s="28"/>
      <c r="NUW6" s="28"/>
      <c r="NUX6" s="28"/>
      <c r="NUY6" s="28"/>
      <c r="NUZ6" s="28"/>
      <c r="NVA6" s="28"/>
      <c r="NVB6" s="28"/>
      <c r="NVC6" s="28"/>
      <c r="NVD6" s="28"/>
      <c r="NVE6" s="28"/>
      <c r="NVF6" s="28"/>
      <c r="NVG6" s="28"/>
      <c r="NVH6" s="28"/>
      <c r="NVI6" s="28"/>
      <c r="NVJ6" s="28"/>
      <c r="NVK6" s="28"/>
      <c r="NVL6" s="28"/>
      <c r="NVM6" s="28"/>
      <c r="NVN6" s="28"/>
      <c r="NVO6" s="28"/>
      <c r="NVP6" s="28"/>
      <c r="NVQ6" s="28"/>
      <c r="NVR6" s="28"/>
      <c r="NVS6" s="28"/>
      <c r="NVT6" s="28"/>
      <c r="NVU6" s="28"/>
      <c r="NVV6" s="28"/>
      <c r="NVW6" s="28"/>
      <c r="NVX6" s="28"/>
      <c r="NVY6" s="28"/>
      <c r="NVZ6" s="28"/>
      <c r="NWA6" s="28"/>
      <c r="NWB6" s="28"/>
      <c r="NWC6" s="28"/>
      <c r="NWD6" s="28"/>
      <c r="NWE6" s="28"/>
      <c r="NWF6" s="28"/>
      <c r="NWG6" s="28"/>
      <c r="NWH6" s="28"/>
      <c r="NWI6" s="28"/>
      <c r="NWJ6" s="28"/>
      <c r="NWK6" s="28"/>
      <c r="NWL6" s="28"/>
      <c r="NWM6" s="28"/>
      <c r="NWN6" s="28"/>
      <c r="NWO6" s="28"/>
      <c r="NWP6" s="28"/>
      <c r="NWQ6" s="28"/>
      <c r="NWR6" s="28"/>
      <c r="NWS6" s="28"/>
      <c r="NWT6" s="28"/>
      <c r="NWU6" s="28"/>
      <c r="NWV6" s="28"/>
      <c r="NWW6" s="28"/>
      <c r="NWX6" s="28"/>
      <c r="NWY6" s="28"/>
      <c r="NWZ6" s="28"/>
      <c r="NXA6" s="28"/>
      <c r="NXB6" s="28"/>
      <c r="NXC6" s="28"/>
      <c r="NXD6" s="28"/>
      <c r="NXE6" s="28"/>
      <c r="NXF6" s="28"/>
      <c r="NXG6" s="28"/>
      <c r="NXH6" s="28"/>
      <c r="NXI6" s="28"/>
      <c r="NXJ6" s="28"/>
      <c r="NXK6" s="28"/>
      <c r="NXL6" s="28"/>
      <c r="NXM6" s="28"/>
      <c r="NXN6" s="28"/>
      <c r="NXO6" s="28"/>
      <c r="NXP6" s="28"/>
      <c r="NXQ6" s="28"/>
      <c r="NXR6" s="28"/>
      <c r="NXS6" s="28"/>
      <c r="NXT6" s="28"/>
      <c r="NXU6" s="28"/>
      <c r="NXV6" s="28"/>
      <c r="NXW6" s="28"/>
      <c r="NXX6" s="28"/>
      <c r="NXY6" s="28"/>
      <c r="NXZ6" s="28"/>
      <c r="NYA6" s="28"/>
      <c r="NYB6" s="28"/>
      <c r="NYC6" s="28"/>
      <c r="NYD6" s="28"/>
      <c r="NYE6" s="28"/>
      <c r="NYF6" s="28"/>
      <c r="NYG6" s="28"/>
      <c r="NYH6" s="28"/>
      <c r="NYI6" s="28"/>
      <c r="NYJ6" s="28"/>
      <c r="NYK6" s="28"/>
      <c r="NYL6" s="28"/>
      <c r="NYM6" s="28"/>
      <c r="NYN6" s="28"/>
      <c r="NYO6" s="28"/>
      <c r="NYP6" s="28"/>
      <c r="NYQ6" s="28"/>
      <c r="NYR6" s="28"/>
      <c r="NYS6" s="28"/>
      <c r="NYT6" s="28"/>
      <c r="NYU6" s="28"/>
      <c r="NYV6" s="28"/>
      <c r="NYW6" s="28"/>
      <c r="NYX6" s="28"/>
      <c r="NYY6" s="28"/>
      <c r="NYZ6" s="28"/>
      <c r="NZA6" s="28"/>
      <c r="NZB6" s="28"/>
      <c r="NZC6" s="28"/>
      <c r="NZD6" s="28"/>
      <c r="NZE6" s="28"/>
      <c r="NZF6" s="28"/>
      <c r="NZG6" s="28"/>
      <c r="NZH6" s="28"/>
      <c r="NZI6" s="28"/>
      <c r="NZJ6" s="28"/>
      <c r="NZK6" s="28"/>
      <c r="NZL6" s="28"/>
      <c r="NZM6" s="28"/>
      <c r="NZN6" s="28"/>
      <c r="NZO6" s="28"/>
      <c r="NZP6" s="28"/>
      <c r="NZQ6" s="28"/>
      <c r="NZR6" s="28"/>
      <c r="NZS6" s="28"/>
      <c r="NZT6" s="28"/>
      <c r="NZU6" s="28"/>
      <c r="NZV6" s="28"/>
      <c r="NZW6" s="28"/>
      <c r="NZX6" s="28"/>
      <c r="NZY6" s="28"/>
      <c r="NZZ6" s="28"/>
      <c r="OAA6" s="28"/>
      <c r="OAB6" s="28"/>
      <c r="OAC6" s="28"/>
      <c r="OAD6" s="28"/>
      <c r="OAE6" s="28"/>
      <c r="OAF6" s="28"/>
      <c r="OAG6" s="28"/>
      <c r="OAH6" s="28"/>
      <c r="OAI6" s="28"/>
      <c r="OAJ6" s="28"/>
      <c r="OAK6" s="28"/>
      <c r="OAL6" s="28"/>
      <c r="OAM6" s="28"/>
      <c r="OAN6" s="28"/>
      <c r="OAO6" s="28"/>
      <c r="OAP6" s="28"/>
      <c r="OAQ6" s="28"/>
      <c r="OAR6" s="28"/>
      <c r="OAS6" s="28"/>
      <c r="OAT6" s="28"/>
      <c r="OAU6" s="28"/>
      <c r="OAV6" s="28"/>
      <c r="OAW6" s="28"/>
      <c r="OAX6" s="28"/>
      <c r="OAY6" s="28"/>
      <c r="OAZ6" s="28"/>
      <c r="OBA6" s="28"/>
      <c r="OBB6" s="28"/>
      <c r="OBC6" s="28"/>
      <c r="OBD6" s="28"/>
      <c r="OBE6" s="28"/>
      <c r="OBF6" s="28"/>
      <c r="OBG6" s="28"/>
      <c r="OBH6" s="28"/>
      <c r="OBI6" s="28"/>
      <c r="OBJ6" s="28"/>
      <c r="OBK6" s="28"/>
      <c r="OBL6" s="28"/>
      <c r="OBM6" s="28"/>
      <c r="OBN6" s="28"/>
      <c r="OBO6" s="28"/>
      <c r="OBP6" s="28"/>
      <c r="OBQ6" s="28"/>
      <c r="OBR6" s="28"/>
      <c r="OBS6" s="28"/>
      <c r="OBT6" s="28"/>
      <c r="OBU6" s="28"/>
      <c r="OBV6" s="28"/>
      <c r="OBW6" s="28"/>
      <c r="OBX6" s="28"/>
      <c r="OBY6" s="28"/>
      <c r="OBZ6" s="28"/>
      <c r="OCA6" s="28"/>
      <c r="OCB6" s="28"/>
      <c r="OCC6" s="28"/>
      <c r="OCD6" s="28"/>
      <c r="OCE6" s="28"/>
      <c r="OCF6" s="28"/>
      <c r="OCG6" s="28"/>
      <c r="OCH6" s="28"/>
      <c r="OCI6" s="28"/>
      <c r="OCJ6" s="28"/>
      <c r="OCK6" s="28"/>
      <c r="OCL6" s="28"/>
      <c r="OCM6" s="28"/>
      <c r="OCN6" s="28"/>
      <c r="OCO6" s="28"/>
      <c r="OCP6" s="28"/>
      <c r="OCQ6" s="28"/>
      <c r="OCR6" s="28"/>
      <c r="OCS6" s="28"/>
      <c r="OCT6" s="28"/>
      <c r="OCU6" s="28"/>
      <c r="OCV6" s="28"/>
      <c r="OCW6" s="28"/>
      <c r="OCX6" s="28"/>
      <c r="OCY6" s="28"/>
      <c r="OCZ6" s="28"/>
      <c r="ODA6" s="28"/>
      <c r="ODB6" s="28"/>
      <c r="ODC6" s="28"/>
      <c r="ODD6" s="28"/>
      <c r="ODE6" s="28"/>
      <c r="ODF6" s="28"/>
      <c r="ODG6" s="28"/>
      <c r="ODH6" s="28"/>
      <c r="ODI6" s="28"/>
      <c r="ODJ6" s="28"/>
      <c r="ODK6" s="28"/>
      <c r="ODL6" s="28"/>
      <c r="ODM6" s="28"/>
      <c r="ODN6" s="28"/>
      <c r="ODO6" s="28"/>
      <c r="ODP6" s="28"/>
      <c r="ODQ6" s="28"/>
      <c r="ODR6" s="28"/>
      <c r="ODS6" s="28"/>
      <c r="ODT6" s="28"/>
      <c r="ODU6" s="28"/>
      <c r="ODV6" s="28"/>
      <c r="ODW6" s="28"/>
      <c r="ODX6" s="28"/>
      <c r="ODY6" s="28"/>
      <c r="ODZ6" s="28"/>
      <c r="OEA6" s="28"/>
      <c r="OEB6" s="28"/>
      <c r="OEC6" s="28"/>
      <c r="OED6" s="28"/>
      <c r="OEE6" s="28"/>
      <c r="OEF6" s="28"/>
      <c r="OEG6" s="28"/>
      <c r="OEH6" s="28"/>
      <c r="OEI6" s="28"/>
      <c r="OEJ6" s="28"/>
      <c r="OEK6" s="28"/>
      <c r="OEL6" s="28"/>
      <c r="OEM6" s="28"/>
      <c r="OEN6" s="28"/>
      <c r="OEO6" s="28"/>
      <c r="OEP6" s="28"/>
      <c r="OEQ6" s="28"/>
      <c r="OER6" s="28"/>
      <c r="OES6" s="28"/>
      <c r="OET6" s="28"/>
      <c r="OEU6" s="28"/>
      <c r="OEV6" s="28"/>
      <c r="OEW6" s="28"/>
      <c r="OEX6" s="28"/>
      <c r="OEY6" s="28"/>
      <c r="OEZ6" s="28"/>
      <c r="OFA6" s="28"/>
      <c r="OFB6" s="28"/>
      <c r="OFC6" s="28"/>
      <c r="OFD6" s="28"/>
      <c r="OFE6" s="28"/>
      <c r="OFF6" s="28"/>
      <c r="OFG6" s="28"/>
      <c r="OFH6" s="28"/>
      <c r="OFI6" s="28"/>
      <c r="OFJ6" s="28"/>
      <c r="OFK6" s="28"/>
      <c r="OFL6" s="28"/>
      <c r="OFM6" s="28"/>
      <c r="OFN6" s="28"/>
      <c r="OFO6" s="28"/>
      <c r="OFP6" s="28"/>
      <c r="OFQ6" s="28"/>
      <c r="OFR6" s="28"/>
      <c r="OFS6" s="28"/>
      <c r="OFT6" s="28"/>
      <c r="OFU6" s="28"/>
      <c r="OFV6" s="28"/>
      <c r="OFW6" s="28"/>
      <c r="OFX6" s="28"/>
      <c r="OFY6" s="28"/>
      <c r="OFZ6" s="28"/>
      <c r="OGA6" s="28"/>
      <c r="OGB6" s="28"/>
      <c r="OGC6" s="28"/>
      <c r="OGD6" s="28"/>
      <c r="OGE6" s="28"/>
      <c r="OGF6" s="28"/>
      <c r="OGG6" s="28"/>
      <c r="OGH6" s="28"/>
      <c r="OGI6" s="28"/>
      <c r="OGJ6" s="28"/>
      <c r="OGK6" s="28"/>
      <c r="OGL6" s="28"/>
      <c r="OGM6" s="28"/>
      <c r="OGN6" s="28"/>
      <c r="OGO6" s="28"/>
      <c r="OGP6" s="28"/>
      <c r="OGQ6" s="28"/>
      <c r="OGR6" s="28"/>
      <c r="OGS6" s="28"/>
      <c r="OGT6" s="28"/>
      <c r="OGU6" s="28"/>
      <c r="OGV6" s="28"/>
      <c r="OGW6" s="28"/>
      <c r="OGX6" s="28"/>
      <c r="OGY6" s="28"/>
      <c r="OGZ6" s="28"/>
      <c r="OHA6" s="28"/>
      <c r="OHB6" s="28"/>
      <c r="OHC6" s="28"/>
      <c r="OHD6" s="28"/>
      <c r="OHE6" s="28"/>
      <c r="OHF6" s="28"/>
      <c r="OHG6" s="28"/>
      <c r="OHH6" s="28"/>
      <c r="OHI6" s="28"/>
      <c r="OHJ6" s="28"/>
      <c r="OHK6" s="28"/>
      <c r="OHL6" s="28"/>
      <c r="OHM6" s="28"/>
      <c r="OHN6" s="28"/>
      <c r="OHO6" s="28"/>
      <c r="OHP6" s="28"/>
      <c r="OHQ6" s="28"/>
      <c r="OHR6" s="28"/>
      <c r="OHS6" s="28"/>
      <c r="OHT6" s="28"/>
      <c r="OHU6" s="28"/>
      <c r="OHV6" s="28"/>
      <c r="OHW6" s="28"/>
      <c r="OHX6" s="28"/>
      <c r="OHY6" s="28"/>
      <c r="OHZ6" s="28"/>
      <c r="OIA6" s="28"/>
      <c r="OIB6" s="28"/>
      <c r="OIC6" s="28"/>
      <c r="OID6" s="28"/>
      <c r="OIE6" s="28"/>
      <c r="OIF6" s="28"/>
      <c r="OIG6" s="28"/>
      <c r="OIH6" s="28"/>
      <c r="OII6" s="28"/>
      <c r="OIJ6" s="28"/>
      <c r="OIK6" s="28"/>
      <c r="OIL6" s="28"/>
      <c r="OIM6" s="28"/>
      <c r="OIN6" s="28"/>
      <c r="OIO6" s="28"/>
      <c r="OIP6" s="28"/>
      <c r="OIQ6" s="28"/>
      <c r="OIR6" s="28"/>
      <c r="OIS6" s="28"/>
      <c r="OIT6" s="28"/>
      <c r="OIU6" s="28"/>
      <c r="OIV6" s="28"/>
      <c r="OIW6" s="28"/>
      <c r="OIX6" s="28"/>
      <c r="OIY6" s="28"/>
      <c r="OIZ6" s="28"/>
      <c r="OJA6" s="28"/>
      <c r="OJB6" s="28"/>
      <c r="OJC6" s="28"/>
      <c r="OJD6" s="28"/>
      <c r="OJE6" s="28"/>
      <c r="OJF6" s="28"/>
      <c r="OJG6" s="28"/>
      <c r="OJH6" s="28"/>
      <c r="OJI6" s="28"/>
      <c r="OJJ6" s="28"/>
      <c r="OJK6" s="28"/>
      <c r="OJL6" s="28"/>
      <c r="OJM6" s="28"/>
      <c r="OJN6" s="28"/>
      <c r="OJO6" s="28"/>
      <c r="OJP6" s="28"/>
      <c r="OJQ6" s="28"/>
      <c r="OJR6" s="28"/>
      <c r="OJS6" s="28"/>
      <c r="OJT6" s="28"/>
      <c r="OJU6" s="28"/>
      <c r="OJV6" s="28"/>
      <c r="OJW6" s="28"/>
      <c r="OJX6" s="28"/>
      <c r="OJY6" s="28"/>
      <c r="OJZ6" s="28"/>
      <c r="OKA6" s="28"/>
      <c r="OKB6" s="28"/>
      <c r="OKC6" s="28"/>
      <c r="OKD6" s="28"/>
      <c r="OKE6" s="28"/>
      <c r="OKF6" s="28"/>
      <c r="OKG6" s="28"/>
      <c r="OKH6" s="28"/>
      <c r="OKI6" s="28"/>
      <c r="OKJ6" s="28"/>
      <c r="OKK6" s="28"/>
      <c r="OKL6" s="28"/>
      <c r="OKM6" s="28"/>
      <c r="OKN6" s="28"/>
      <c r="OKO6" s="28"/>
      <c r="OKP6" s="28"/>
      <c r="OKQ6" s="28"/>
      <c r="OKR6" s="28"/>
      <c r="OKS6" s="28"/>
      <c r="OKT6" s="28"/>
      <c r="OKU6" s="28"/>
      <c r="OKV6" s="28"/>
      <c r="OKW6" s="28"/>
      <c r="OKX6" s="28"/>
      <c r="OKY6" s="28"/>
      <c r="OKZ6" s="28"/>
      <c r="OLA6" s="28"/>
      <c r="OLB6" s="28"/>
      <c r="OLC6" s="28"/>
      <c r="OLD6" s="28"/>
      <c r="OLE6" s="28"/>
      <c r="OLF6" s="28"/>
      <c r="OLG6" s="28"/>
      <c r="OLH6" s="28"/>
      <c r="OLI6" s="28"/>
      <c r="OLJ6" s="28"/>
      <c r="OLK6" s="28"/>
      <c r="OLL6" s="28"/>
      <c r="OLM6" s="28"/>
      <c r="OLN6" s="28"/>
      <c r="OLO6" s="28"/>
      <c r="OLP6" s="28"/>
      <c r="OLQ6" s="28"/>
      <c r="OLR6" s="28"/>
      <c r="OLS6" s="28"/>
      <c r="OLT6" s="28"/>
      <c r="OLU6" s="28"/>
      <c r="OLV6" s="28"/>
      <c r="OLW6" s="28"/>
      <c r="OLX6" s="28"/>
      <c r="OLY6" s="28"/>
      <c r="OLZ6" s="28"/>
      <c r="OMA6" s="28"/>
      <c r="OMB6" s="28"/>
      <c r="OMC6" s="28"/>
      <c r="OMD6" s="28"/>
      <c r="OME6" s="28"/>
      <c r="OMF6" s="28"/>
      <c r="OMG6" s="28"/>
      <c r="OMH6" s="28"/>
      <c r="OMI6" s="28"/>
      <c r="OMJ6" s="28"/>
      <c r="OMK6" s="28"/>
      <c r="OML6" s="28"/>
      <c r="OMM6" s="28"/>
      <c r="OMN6" s="28"/>
      <c r="OMO6" s="28"/>
      <c r="OMP6" s="28"/>
      <c r="OMQ6" s="28"/>
      <c r="OMR6" s="28"/>
      <c r="OMS6" s="28"/>
      <c r="OMT6" s="28"/>
      <c r="OMU6" s="28"/>
      <c r="OMV6" s="28"/>
      <c r="OMW6" s="28"/>
      <c r="OMX6" s="28"/>
      <c r="OMY6" s="28"/>
      <c r="OMZ6" s="28"/>
      <c r="ONA6" s="28"/>
      <c r="ONB6" s="28"/>
      <c r="ONC6" s="28"/>
      <c r="OND6" s="28"/>
      <c r="ONE6" s="28"/>
      <c r="ONF6" s="28"/>
      <c r="ONG6" s="28"/>
      <c r="ONH6" s="28"/>
      <c r="ONI6" s="28"/>
      <c r="ONJ6" s="28"/>
      <c r="ONK6" s="28"/>
      <c r="ONL6" s="28"/>
      <c r="ONM6" s="28"/>
      <c r="ONN6" s="28"/>
      <c r="ONO6" s="28"/>
      <c r="ONP6" s="28"/>
      <c r="ONQ6" s="28"/>
      <c r="ONR6" s="28"/>
      <c r="ONS6" s="28"/>
      <c r="ONT6" s="28"/>
      <c r="ONU6" s="28"/>
      <c r="ONV6" s="28"/>
      <c r="ONW6" s="28"/>
      <c r="ONX6" s="28"/>
      <c r="ONY6" s="28"/>
      <c r="ONZ6" s="28"/>
      <c r="OOA6" s="28"/>
      <c r="OOB6" s="28"/>
      <c r="OOC6" s="28"/>
      <c r="OOD6" s="28"/>
      <c r="OOE6" s="28"/>
      <c r="OOF6" s="28"/>
      <c r="OOG6" s="28"/>
      <c r="OOH6" s="28"/>
      <c r="OOI6" s="28"/>
      <c r="OOJ6" s="28"/>
      <c r="OOK6" s="28"/>
      <c r="OOL6" s="28"/>
      <c r="OOM6" s="28"/>
      <c r="OON6" s="28"/>
      <c r="OOO6" s="28"/>
      <c r="OOP6" s="28"/>
      <c r="OOQ6" s="28"/>
      <c r="OOR6" s="28"/>
      <c r="OOS6" s="28"/>
      <c r="OOT6" s="28"/>
      <c r="OOU6" s="28"/>
      <c r="OOV6" s="28"/>
      <c r="OOW6" s="28"/>
      <c r="OOX6" s="28"/>
      <c r="OOY6" s="28"/>
      <c r="OOZ6" s="28"/>
      <c r="OPA6" s="28"/>
      <c r="OPB6" s="28"/>
      <c r="OPC6" s="28"/>
      <c r="OPD6" s="28"/>
      <c r="OPE6" s="28"/>
      <c r="OPF6" s="28"/>
      <c r="OPG6" s="28"/>
      <c r="OPH6" s="28"/>
      <c r="OPI6" s="28"/>
      <c r="OPJ6" s="28"/>
      <c r="OPK6" s="28"/>
      <c r="OPL6" s="28"/>
      <c r="OPM6" s="28"/>
      <c r="OPN6" s="28"/>
      <c r="OPO6" s="28"/>
      <c r="OPP6" s="28"/>
      <c r="OPQ6" s="28"/>
      <c r="OPR6" s="28"/>
      <c r="OPS6" s="28"/>
      <c r="OPT6" s="28"/>
      <c r="OPU6" s="28"/>
      <c r="OPV6" s="28"/>
      <c r="OPW6" s="28"/>
      <c r="OPX6" s="28"/>
      <c r="OPY6" s="28"/>
      <c r="OPZ6" s="28"/>
      <c r="OQA6" s="28"/>
      <c r="OQB6" s="28"/>
      <c r="OQC6" s="28"/>
      <c r="OQD6" s="28"/>
      <c r="OQE6" s="28"/>
      <c r="OQF6" s="28"/>
      <c r="OQG6" s="28"/>
      <c r="OQH6" s="28"/>
      <c r="OQI6" s="28"/>
      <c r="OQJ6" s="28"/>
      <c r="OQK6" s="28"/>
      <c r="OQL6" s="28"/>
      <c r="OQM6" s="28"/>
      <c r="OQN6" s="28"/>
      <c r="OQO6" s="28"/>
      <c r="OQP6" s="28"/>
      <c r="OQQ6" s="28"/>
      <c r="OQR6" s="28"/>
      <c r="OQS6" s="28"/>
      <c r="OQT6" s="28"/>
      <c r="OQU6" s="28"/>
      <c r="OQV6" s="28"/>
      <c r="OQW6" s="28"/>
      <c r="OQX6" s="28"/>
      <c r="OQY6" s="28"/>
      <c r="OQZ6" s="28"/>
      <c r="ORA6" s="28"/>
      <c r="ORB6" s="28"/>
      <c r="ORC6" s="28"/>
      <c r="ORD6" s="28"/>
      <c r="ORE6" s="28"/>
      <c r="ORF6" s="28"/>
      <c r="ORG6" s="28"/>
      <c r="ORH6" s="28"/>
      <c r="ORI6" s="28"/>
      <c r="ORJ6" s="28"/>
      <c r="ORK6" s="28"/>
      <c r="ORL6" s="28"/>
      <c r="ORM6" s="28"/>
      <c r="ORN6" s="28"/>
      <c r="ORO6" s="28"/>
      <c r="ORP6" s="28"/>
      <c r="ORQ6" s="28"/>
      <c r="ORR6" s="28"/>
      <c r="ORS6" s="28"/>
      <c r="ORT6" s="28"/>
      <c r="ORU6" s="28"/>
      <c r="ORV6" s="28"/>
      <c r="ORW6" s="28"/>
      <c r="ORX6" s="28"/>
      <c r="ORY6" s="28"/>
      <c r="ORZ6" s="28"/>
      <c r="OSA6" s="28"/>
      <c r="OSB6" s="28"/>
      <c r="OSC6" s="28"/>
      <c r="OSD6" s="28"/>
      <c r="OSE6" s="28"/>
      <c r="OSF6" s="28"/>
      <c r="OSG6" s="28"/>
      <c r="OSH6" s="28"/>
      <c r="OSI6" s="28"/>
      <c r="OSJ6" s="28"/>
      <c r="OSK6" s="28"/>
      <c r="OSL6" s="28"/>
      <c r="OSM6" s="28"/>
      <c r="OSN6" s="28"/>
      <c r="OSO6" s="28"/>
      <c r="OSP6" s="28"/>
      <c r="OSQ6" s="28"/>
      <c r="OSR6" s="28"/>
      <c r="OSS6" s="28"/>
      <c r="OST6" s="28"/>
      <c r="OSU6" s="28"/>
      <c r="OSV6" s="28"/>
      <c r="OSW6" s="28"/>
      <c r="OSX6" s="28"/>
      <c r="OSY6" s="28"/>
      <c r="OSZ6" s="28"/>
      <c r="OTA6" s="28"/>
      <c r="OTB6" s="28"/>
      <c r="OTC6" s="28"/>
      <c r="OTD6" s="28"/>
      <c r="OTE6" s="28"/>
      <c r="OTF6" s="28"/>
      <c r="OTG6" s="28"/>
      <c r="OTH6" s="28"/>
      <c r="OTI6" s="28"/>
      <c r="OTJ6" s="28"/>
      <c r="OTK6" s="28"/>
      <c r="OTL6" s="28"/>
      <c r="OTM6" s="28"/>
      <c r="OTN6" s="28"/>
      <c r="OTO6" s="28"/>
      <c r="OTP6" s="28"/>
      <c r="OTQ6" s="28"/>
      <c r="OTR6" s="28"/>
      <c r="OTS6" s="28"/>
      <c r="OTT6" s="28"/>
      <c r="OTU6" s="28"/>
      <c r="OTV6" s="28"/>
      <c r="OTW6" s="28"/>
      <c r="OTX6" s="28"/>
      <c r="OTY6" s="28"/>
      <c r="OTZ6" s="28"/>
      <c r="OUA6" s="28"/>
      <c r="OUB6" s="28"/>
      <c r="OUC6" s="28"/>
      <c r="OUD6" s="28"/>
      <c r="OUE6" s="28"/>
      <c r="OUF6" s="28"/>
      <c r="OUG6" s="28"/>
      <c r="OUH6" s="28"/>
      <c r="OUI6" s="28"/>
      <c r="OUJ6" s="28"/>
      <c r="OUK6" s="28"/>
      <c r="OUL6" s="28"/>
      <c r="OUM6" s="28"/>
      <c r="OUN6" s="28"/>
      <c r="OUO6" s="28"/>
      <c r="OUP6" s="28"/>
      <c r="OUQ6" s="28"/>
      <c r="OUR6" s="28"/>
      <c r="OUS6" s="28"/>
      <c r="OUT6" s="28"/>
      <c r="OUU6" s="28"/>
      <c r="OUV6" s="28"/>
      <c r="OUW6" s="28"/>
      <c r="OUX6" s="28"/>
      <c r="OUY6" s="28"/>
      <c r="OUZ6" s="28"/>
      <c r="OVA6" s="28"/>
      <c r="OVB6" s="28"/>
      <c r="OVC6" s="28"/>
      <c r="OVD6" s="28"/>
      <c r="OVE6" s="28"/>
      <c r="OVF6" s="28"/>
      <c r="OVG6" s="28"/>
      <c r="OVH6" s="28"/>
      <c r="OVI6" s="28"/>
      <c r="OVJ6" s="28"/>
      <c r="OVK6" s="28"/>
      <c r="OVL6" s="28"/>
      <c r="OVM6" s="28"/>
      <c r="OVN6" s="28"/>
      <c r="OVO6" s="28"/>
      <c r="OVP6" s="28"/>
      <c r="OVQ6" s="28"/>
      <c r="OVR6" s="28"/>
      <c r="OVS6" s="28"/>
      <c r="OVT6" s="28"/>
      <c r="OVU6" s="28"/>
      <c r="OVV6" s="28"/>
      <c r="OVW6" s="28"/>
      <c r="OVX6" s="28"/>
      <c r="OVY6" s="28"/>
      <c r="OVZ6" s="28"/>
      <c r="OWA6" s="28"/>
      <c r="OWB6" s="28"/>
      <c r="OWC6" s="28"/>
      <c r="OWD6" s="28"/>
      <c r="OWE6" s="28"/>
      <c r="OWF6" s="28"/>
      <c r="OWG6" s="28"/>
      <c r="OWH6" s="28"/>
      <c r="OWI6" s="28"/>
      <c r="OWJ6" s="28"/>
      <c r="OWK6" s="28"/>
      <c r="OWL6" s="28"/>
      <c r="OWM6" s="28"/>
      <c r="OWN6" s="28"/>
      <c r="OWO6" s="28"/>
      <c r="OWP6" s="28"/>
      <c r="OWQ6" s="28"/>
      <c r="OWR6" s="28"/>
      <c r="OWS6" s="28"/>
      <c r="OWT6" s="28"/>
      <c r="OWU6" s="28"/>
      <c r="OWV6" s="28"/>
      <c r="OWW6" s="28"/>
      <c r="OWX6" s="28"/>
      <c r="OWY6" s="28"/>
      <c r="OWZ6" s="28"/>
      <c r="OXA6" s="28"/>
      <c r="OXB6" s="28"/>
      <c r="OXC6" s="28"/>
      <c r="OXD6" s="28"/>
      <c r="OXE6" s="28"/>
      <c r="OXF6" s="28"/>
      <c r="OXG6" s="28"/>
      <c r="OXH6" s="28"/>
      <c r="OXI6" s="28"/>
      <c r="OXJ6" s="28"/>
      <c r="OXK6" s="28"/>
      <c r="OXL6" s="28"/>
      <c r="OXM6" s="28"/>
      <c r="OXN6" s="28"/>
      <c r="OXO6" s="28"/>
      <c r="OXP6" s="28"/>
      <c r="OXQ6" s="28"/>
      <c r="OXR6" s="28"/>
      <c r="OXS6" s="28"/>
      <c r="OXT6" s="28"/>
      <c r="OXU6" s="28"/>
      <c r="OXV6" s="28"/>
      <c r="OXW6" s="28"/>
      <c r="OXX6" s="28"/>
      <c r="OXY6" s="28"/>
      <c r="OXZ6" s="28"/>
      <c r="OYA6" s="28"/>
      <c r="OYB6" s="28"/>
      <c r="OYC6" s="28"/>
      <c r="OYD6" s="28"/>
      <c r="OYE6" s="28"/>
      <c r="OYF6" s="28"/>
      <c r="OYG6" s="28"/>
      <c r="OYH6" s="28"/>
      <c r="OYI6" s="28"/>
      <c r="OYJ6" s="28"/>
      <c r="OYK6" s="28"/>
      <c r="OYL6" s="28"/>
      <c r="OYM6" s="28"/>
      <c r="OYN6" s="28"/>
      <c r="OYO6" s="28"/>
      <c r="OYP6" s="28"/>
      <c r="OYQ6" s="28"/>
      <c r="OYR6" s="28"/>
      <c r="OYS6" s="28"/>
      <c r="OYT6" s="28"/>
      <c r="OYU6" s="28"/>
      <c r="OYV6" s="28"/>
      <c r="OYW6" s="28"/>
      <c r="OYX6" s="28"/>
      <c r="OYY6" s="28"/>
      <c r="OYZ6" s="28"/>
      <c r="OZA6" s="28"/>
      <c r="OZB6" s="28"/>
      <c r="OZC6" s="28"/>
      <c r="OZD6" s="28"/>
      <c r="OZE6" s="28"/>
      <c r="OZF6" s="28"/>
      <c r="OZG6" s="28"/>
      <c r="OZH6" s="28"/>
      <c r="OZI6" s="28"/>
      <c r="OZJ6" s="28"/>
      <c r="OZK6" s="28"/>
      <c r="OZL6" s="28"/>
      <c r="OZM6" s="28"/>
      <c r="OZN6" s="28"/>
      <c r="OZO6" s="28"/>
      <c r="OZP6" s="28"/>
      <c r="OZQ6" s="28"/>
      <c r="OZR6" s="28"/>
      <c r="OZS6" s="28"/>
      <c r="OZT6" s="28"/>
      <c r="OZU6" s="28"/>
      <c r="OZV6" s="28"/>
      <c r="OZW6" s="28"/>
      <c r="OZX6" s="28"/>
      <c r="OZY6" s="28"/>
      <c r="OZZ6" s="28"/>
      <c r="PAA6" s="28"/>
      <c r="PAB6" s="28"/>
      <c r="PAC6" s="28"/>
      <c r="PAD6" s="28"/>
      <c r="PAE6" s="28"/>
      <c r="PAF6" s="28"/>
      <c r="PAG6" s="28"/>
      <c r="PAH6" s="28"/>
      <c r="PAI6" s="28"/>
      <c r="PAJ6" s="28"/>
      <c r="PAK6" s="28"/>
      <c r="PAL6" s="28"/>
      <c r="PAM6" s="28"/>
      <c r="PAN6" s="28"/>
      <c r="PAO6" s="28"/>
      <c r="PAP6" s="28"/>
      <c r="PAQ6" s="28"/>
      <c r="PAR6" s="28"/>
      <c r="PAS6" s="28"/>
      <c r="PAT6" s="28"/>
      <c r="PAU6" s="28"/>
      <c r="PAV6" s="28"/>
      <c r="PAW6" s="28"/>
      <c r="PAX6" s="28"/>
      <c r="PAY6" s="28"/>
      <c r="PAZ6" s="28"/>
      <c r="PBA6" s="28"/>
      <c r="PBB6" s="28"/>
      <c r="PBC6" s="28"/>
      <c r="PBD6" s="28"/>
      <c r="PBE6" s="28"/>
      <c r="PBF6" s="28"/>
      <c r="PBG6" s="28"/>
      <c r="PBH6" s="28"/>
      <c r="PBI6" s="28"/>
      <c r="PBJ6" s="28"/>
      <c r="PBK6" s="28"/>
      <c r="PBL6" s="28"/>
      <c r="PBM6" s="28"/>
      <c r="PBN6" s="28"/>
      <c r="PBO6" s="28"/>
      <c r="PBP6" s="28"/>
      <c r="PBQ6" s="28"/>
      <c r="PBR6" s="28"/>
      <c r="PBS6" s="28"/>
      <c r="PBT6" s="28"/>
      <c r="PBU6" s="28"/>
      <c r="PBV6" s="28"/>
      <c r="PBW6" s="28"/>
      <c r="PBX6" s="28"/>
      <c r="PBY6" s="28"/>
      <c r="PBZ6" s="28"/>
      <c r="PCA6" s="28"/>
      <c r="PCB6" s="28"/>
      <c r="PCC6" s="28"/>
      <c r="PCD6" s="28"/>
      <c r="PCE6" s="28"/>
      <c r="PCF6" s="28"/>
      <c r="PCG6" s="28"/>
      <c r="PCH6" s="28"/>
      <c r="PCI6" s="28"/>
      <c r="PCJ6" s="28"/>
      <c r="PCK6" s="28"/>
      <c r="PCL6" s="28"/>
      <c r="PCM6" s="28"/>
      <c r="PCN6" s="28"/>
      <c r="PCO6" s="28"/>
      <c r="PCP6" s="28"/>
      <c r="PCQ6" s="28"/>
      <c r="PCR6" s="28"/>
      <c r="PCS6" s="28"/>
      <c r="PCT6" s="28"/>
      <c r="PCU6" s="28"/>
      <c r="PCV6" s="28"/>
      <c r="PCW6" s="28"/>
      <c r="PCX6" s="28"/>
      <c r="PCY6" s="28"/>
      <c r="PCZ6" s="28"/>
      <c r="PDA6" s="28"/>
      <c r="PDB6" s="28"/>
      <c r="PDC6" s="28"/>
      <c r="PDD6" s="28"/>
      <c r="PDE6" s="28"/>
      <c r="PDF6" s="28"/>
      <c r="PDG6" s="28"/>
      <c r="PDH6" s="28"/>
      <c r="PDI6" s="28"/>
      <c r="PDJ6" s="28"/>
      <c r="PDK6" s="28"/>
      <c r="PDL6" s="28"/>
      <c r="PDM6" s="28"/>
      <c r="PDN6" s="28"/>
      <c r="PDO6" s="28"/>
      <c r="PDP6" s="28"/>
      <c r="PDQ6" s="28"/>
      <c r="PDR6" s="28"/>
      <c r="PDS6" s="28"/>
      <c r="PDT6" s="28"/>
      <c r="PDU6" s="28"/>
      <c r="PDV6" s="28"/>
      <c r="PDW6" s="28"/>
      <c r="PDX6" s="28"/>
      <c r="PDY6" s="28"/>
      <c r="PDZ6" s="28"/>
      <c r="PEA6" s="28"/>
      <c r="PEB6" s="28"/>
      <c r="PEC6" s="28"/>
      <c r="PED6" s="28"/>
      <c r="PEE6" s="28"/>
      <c r="PEF6" s="28"/>
      <c r="PEG6" s="28"/>
      <c r="PEH6" s="28"/>
      <c r="PEI6" s="28"/>
      <c r="PEJ6" s="28"/>
      <c r="PEK6" s="28"/>
      <c r="PEL6" s="28"/>
      <c r="PEM6" s="28"/>
      <c r="PEN6" s="28"/>
      <c r="PEO6" s="28"/>
      <c r="PEP6" s="28"/>
      <c r="PEQ6" s="28"/>
      <c r="PER6" s="28"/>
      <c r="PES6" s="28"/>
      <c r="PET6" s="28"/>
      <c r="PEU6" s="28"/>
      <c r="PEV6" s="28"/>
      <c r="PEW6" s="28"/>
      <c r="PEX6" s="28"/>
      <c r="PEY6" s="28"/>
      <c r="PEZ6" s="28"/>
      <c r="PFA6" s="28"/>
      <c r="PFB6" s="28"/>
      <c r="PFC6" s="28"/>
      <c r="PFD6" s="28"/>
      <c r="PFE6" s="28"/>
      <c r="PFF6" s="28"/>
      <c r="PFG6" s="28"/>
      <c r="PFH6" s="28"/>
      <c r="PFI6" s="28"/>
      <c r="PFJ6" s="28"/>
      <c r="PFK6" s="28"/>
      <c r="PFL6" s="28"/>
      <c r="PFM6" s="28"/>
      <c r="PFN6" s="28"/>
      <c r="PFO6" s="28"/>
      <c r="PFP6" s="28"/>
      <c r="PFQ6" s="28"/>
      <c r="PFR6" s="28"/>
      <c r="PFS6" s="28"/>
      <c r="PFT6" s="28"/>
      <c r="PFU6" s="28"/>
      <c r="PFV6" s="28"/>
      <c r="PFW6" s="28"/>
      <c r="PFX6" s="28"/>
      <c r="PFY6" s="28"/>
      <c r="PFZ6" s="28"/>
      <c r="PGA6" s="28"/>
      <c r="PGB6" s="28"/>
      <c r="PGC6" s="28"/>
      <c r="PGD6" s="28"/>
      <c r="PGE6" s="28"/>
      <c r="PGF6" s="28"/>
      <c r="PGG6" s="28"/>
      <c r="PGH6" s="28"/>
      <c r="PGI6" s="28"/>
      <c r="PGJ6" s="28"/>
      <c r="PGK6" s="28"/>
      <c r="PGL6" s="28"/>
      <c r="PGM6" s="28"/>
      <c r="PGN6" s="28"/>
      <c r="PGO6" s="28"/>
      <c r="PGP6" s="28"/>
      <c r="PGQ6" s="28"/>
      <c r="PGR6" s="28"/>
      <c r="PGS6" s="28"/>
      <c r="PGT6" s="28"/>
      <c r="PGU6" s="28"/>
      <c r="PGV6" s="28"/>
      <c r="PGW6" s="28"/>
      <c r="PGX6" s="28"/>
      <c r="PGY6" s="28"/>
      <c r="PGZ6" s="28"/>
      <c r="PHA6" s="28"/>
      <c r="PHB6" s="28"/>
      <c r="PHC6" s="28"/>
      <c r="PHD6" s="28"/>
      <c r="PHE6" s="28"/>
      <c r="PHF6" s="28"/>
      <c r="PHG6" s="28"/>
      <c r="PHH6" s="28"/>
      <c r="PHI6" s="28"/>
      <c r="PHJ6" s="28"/>
      <c r="PHK6" s="28"/>
      <c r="PHL6" s="28"/>
      <c r="PHM6" s="28"/>
      <c r="PHN6" s="28"/>
      <c r="PHO6" s="28"/>
      <c r="PHP6" s="28"/>
      <c r="PHQ6" s="28"/>
      <c r="PHR6" s="28"/>
      <c r="PHS6" s="28"/>
      <c r="PHT6" s="28"/>
      <c r="PHU6" s="28"/>
      <c r="PHV6" s="28"/>
      <c r="PHW6" s="28"/>
      <c r="PHX6" s="28"/>
      <c r="PHY6" s="28"/>
      <c r="PHZ6" s="28"/>
      <c r="PIA6" s="28"/>
      <c r="PIB6" s="28"/>
      <c r="PIC6" s="28"/>
      <c r="PID6" s="28"/>
      <c r="PIE6" s="28"/>
      <c r="PIF6" s="28"/>
      <c r="PIG6" s="28"/>
      <c r="PIH6" s="28"/>
      <c r="PII6" s="28"/>
      <c r="PIJ6" s="28"/>
      <c r="PIK6" s="28"/>
      <c r="PIL6" s="28"/>
      <c r="PIM6" s="28"/>
      <c r="PIN6" s="28"/>
      <c r="PIO6" s="28"/>
      <c r="PIP6" s="28"/>
      <c r="PIQ6" s="28"/>
      <c r="PIR6" s="28"/>
      <c r="PIS6" s="28"/>
      <c r="PIT6" s="28"/>
      <c r="PIU6" s="28"/>
      <c r="PIV6" s="28"/>
      <c r="PIW6" s="28"/>
      <c r="PIX6" s="28"/>
      <c r="PIY6" s="28"/>
      <c r="PIZ6" s="28"/>
      <c r="PJA6" s="28"/>
      <c r="PJB6" s="28"/>
      <c r="PJC6" s="28"/>
      <c r="PJD6" s="28"/>
      <c r="PJE6" s="28"/>
      <c r="PJF6" s="28"/>
      <c r="PJG6" s="28"/>
      <c r="PJH6" s="28"/>
      <c r="PJI6" s="28"/>
      <c r="PJJ6" s="28"/>
      <c r="PJK6" s="28"/>
      <c r="PJL6" s="28"/>
      <c r="PJM6" s="28"/>
      <c r="PJN6" s="28"/>
      <c r="PJO6" s="28"/>
      <c r="PJP6" s="28"/>
      <c r="PJQ6" s="28"/>
      <c r="PJR6" s="28"/>
      <c r="PJS6" s="28"/>
      <c r="PJT6" s="28"/>
      <c r="PJU6" s="28"/>
      <c r="PJV6" s="28"/>
      <c r="PJW6" s="28"/>
      <c r="PJX6" s="28"/>
      <c r="PJY6" s="28"/>
      <c r="PJZ6" s="28"/>
      <c r="PKA6" s="28"/>
      <c r="PKB6" s="28"/>
      <c r="PKC6" s="28"/>
      <c r="PKD6" s="28"/>
      <c r="PKE6" s="28"/>
      <c r="PKF6" s="28"/>
      <c r="PKG6" s="28"/>
      <c r="PKH6" s="28"/>
      <c r="PKI6" s="28"/>
      <c r="PKJ6" s="28"/>
      <c r="PKK6" s="28"/>
      <c r="PKL6" s="28"/>
      <c r="PKM6" s="28"/>
      <c r="PKN6" s="28"/>
      <c r="PKO6" s="28"/>
      <c r="PKP6" s="28"/>
      <c r="PKQ6" s="28"/>
      <c r="PKR6" s="28"/>
      <c r="PKS6" s="28"/>
      <c r="PKT6" s="28"/>
      <c r="PKU6" s="28"/>
      <c r="PKV6" s="28"/>
      <c r="PKW6" s="28"/>
      <c r="PKX6" s="28"/>
      <c r="PKY6" s="28"/>
      <c r="PKZ6" s="28"/>
      <c r="PLA6" s="28"/>
      <c r="PLB6" s="28"/>
      <c r="PLC6" s="28"/>
      <c r="PLD6" s="28"/>
      <c r="PLE6" s="28"/>
      <c r="PLF6" s="28"/>
      <c r="PLG6" s="28"/>
      <c r="PLH6" s="28"/>
      <c r="PLI6" s="28"/>
      <c r="PLJ6" s="28"/>
      <c r="PLK6" s="28"/>
      <c r="PLL6" s="28"/>
      <c r="PLM6" s="28"/>
      <c r="PLN6" s="28"/>
      <c r="PLO6" s="28"/>
      <c r="PLP6" s="28"/>
      <c r="PLQ6" s="28"/>
      <c r="PLR6" s="28"/>
      <c r="PLS6" s="28"/>
      <c r="PLT6" s="28"/>
      <c r="PLU6" s="28"/>
      <c r="PLV6" s="28"/>
      <c r="PLW6" s="28"/>
      <c r="PLX6" s="28"/>
      <c r="PLY6" s="28"/>
      <c r="PLZ6" s="28"/>
      <c r="PMA6" s="28"/>
      <c r="PMB6" s="28"/>
      <c r="PMC6" s="28"/>
      <c r="PMD6" s="28"/>
      <c r="PME6" s="28"/>
      <c r="PMF6" s="28"/>
      <c r="PMG6" s="28"/>
      <c r="PMH6" s="28"/>
      <c r="PMI6" s="28"/>
      <c r="PMJ6" s="28"/>
      <c r="PMK6" s="28"/>
      <c r="PML6" s="28"/>
      <c r="PMM6" s="28"/>
      <c r="PMN6" s="28"/>
      <c r="PMO6" s="28"/>
      <c r="PMP6" s="28"/>
      <c r="PMQ6" s="28"/>
      <c r="PMR6" s="28"/>
      <c r="PMS6" s="28"/>
      <c r="PMT6" s="28"/>
      <c r="PMU6" s="28"/>
      <c r="PMV6" s="28"/>
      <c r="PMW6" s="28"/>
      <c r="PMX6" s="28"/>
      <c r="PMY6" s="28"/>
      <c r="PMZ6" s="28"/>
      <c r="PNA6" s="28"/>
      <c r="PNB6" s="28"/>
      <c r="PNC6" s="28"/>
      <c r="PND6" s="28"/>
      <c r="PNE6" s="28"/>
      <c r="PNF6" s="28"/>
      <c r="PNG6" s="28"/>
      <c r="PNH6" s="28"/>
      <c r="PNI6" s="28"/>
      <c r="PNJ6" s="28"/>
      <c r="PNK6" s="28"/>
      <c r="PNL6" s="28"/>
      <c r="PNM6" s="28"/>
      <c r="PNN6" s="28"/>
      <c r="PNO6" s="28"/>
      <c r="PNP6" s="28"/>
      <c r="PNQ6" s="28"/>
      <c r="PNR6" s="28"/>
      <c r="PNS6" s="28"/>
      <c r="PNT6" s="28"/>
      <c r="PNU6" s="28"/>
      <c r="PNV6" s="28"/>
      <c r="PNW6" s="28"/>
      <c r="PNX6" s="28"/>
      <c r="PNY6" s="28"/>
      <c r="PNZ6" s="28"/>
      <c r="POA6" s="28"/>
      <c r="POB6" s="28"/>
      <c r="POC6" s="28"/>
      <c r="POD6" s="28"/>
      <c r="POE6" s="28"/>
      <c r="POF6" s="28"/>
      <c r="POG6" s="28"/>
      <c r="POH6" s="28"/>
      <c r="POI6" s="28"/>
      <c r="POJ6" s="28"/>
      <c r="POK6" s="28"/>
      <c r="POL6" s="28"/>
      <c r="POM6" s="28"/>
      <c r="PON6" s="28"/>
      <c r="POO6" s="28"/>
      <c r="POP6" s="28"/>
      <c r="POQ6" s="28"/>
      <c r="POR6" s="28"/>
      <c r="POS6" s="28"/>
      <c r="POT6" s="28"/>
      <c r="POU6" s="28"/>
      <c r="POV6" s="28"/>
      <c r="POW6" s="28"/>
      <c r="POX6" s="28"/>
      <c r="POY6" s="28"/>
      <c r="POZ6" s="28"/>
      <c r="PPA6" s="28"/>
      <c r="PPB6" s="28"/>
      <c r="PPC6" s="28"/>
      <c r="PPD6" s="28"/>
      <c r="PPE6" s="28"/>
      <c r="PPF6" s="28"/>
      <c r="PPG6" s="28"/>
      <c r="PPH6" s="28"/>
      <c r="PPI6" s="28"/>
      <c r="PPJ6" s="28"/>
      <c r="PPK6" s="28"/>
      <c r="PPL6" s="28"/>
      <c r="PPM6" s="28"/>
      <c r="PPN6" s="28"/>
      <c r="PPO6" s="28"/>
      <c r="PPP6" s="28"/>
      <c r="PPQ6" s="28"/>
      <c r="PPR6" s="28"/>
      <c r="PPS6" s="28"/>
      <c r="PPT6" s="28"/>
      <c r="PPU6" s="28"/>
      <c r="PPV6" s="28"/>
      <c r="PPW6" s="28"/>
      <c r="PPX6" s="28"/>
      <c r="PPY6" s="28"/>
      <c r="PPZ6" s="28"/>
      <c r="PQA6" s="28"/>
      <c r="PQB6" s="28"/>
      <c r="PQC6" s="28"/>
      <c r="PQD6" s="28"/>
      <c r="PQE6" s="28"/>
      <c r="PQF6" s="28"/>
      <c r="PQG6" s="28"/>
      <c r="PQH6" s="28"/>
      <c r="PQI6" s="28"/>
      <c r="PQJ6" s="28"/>
      <c r="PQK6" s="28"/>
      <c r="PQL6" s="28"/>
      <c r="PQM6" s="28"/>
      <c r="PQN6" s="28"/>
      <c r="PQO6" s="28"/>
      <c r="PQP6" s="28"/>
      <c r="PQQ6" s="28"/>
      <c r="PQR6" s="28"/>
      <c r="PQS6" s="28"/>
      <c r="PQT6" s="28"/>
      <c r="PQU6" s="28"/>
      <c r="PQV6" s="28"/>
      <c r="PQW6" s="28"/>
      <c r="PQX6" s="28"/>
      <c r="PQY6" s="28"/>
      <c r="PQZ6" s="28"/>
      <c r="PRA6" s="28"/>
      <c r="PRB6" s="28"/>
      <c r="PRC6" s="28"/>
      <c r="PRD6" s="28"/>
      <c r="PRE6" s="28"/>
      <c r="PRF6" s="28"/>
      <c r="PRG6" s="28"/>
      <c r="PRH6" s="28"/>
      <c r="PRI6" s="28"/>
      <c r="PRJ6" s="28"/>
      <c r="PRK6" s="28"/>
      <c r="PRL6" s="28"/>
      <c r="PRM6" s="28"/>
      <c r="PRN6" s="28"/>
      <c r="PRO6" s="28"/>
      <c r="PRP6" s="28"/>
      <c r="PRQ6" s="28"/>
      <c r="PRR6" s="28"/>
      <c r="PRS6" s="28"/>
      <c r="PRT6" s="28"/>
      <c r="PRU6" s="28"/>
      <c r="PRV6" s="28"/>
      <c r="PRW6" s="28"/>
      <c r="PRX6" s="28"/>
      <c r="PRY6" s="28"/>
      <c r="PRZ6" s="28"/>
      <c r="PSA6" s="28"/>
      <c r="PSB6" s="28"/>
      <c r="PSC6" s="28"/>
      <c r="PSD6" s="28"/>
      <c r="PSE6" s="28"/>
      <c r="PSF6" s="28"/>
      <c r="PSG6" s="28"/>
      <c r="PSH6" s="28"/>
      <c r="PSI6" s="28"/>
      <c r="PSJ6" s="28"/>
      <c r="PSK6" s="28"/>
      <c r="PSL6" s="28"/>
      <c r="PSM6" s="28"/>
      <c r="PSN6" s="28"/>
      <c r="PSO6" s="28"/>
      <c r="PSP6" s="28"/>
      <c r="PSQ6" s="28"/>
      <c r="PSR6" s="28"/>
      <c r="PSS6" s="28"/>
      <c r="PST6" s="28"/>
      <c r="PSU6" s="28"/>
      <c r="PSV6" s="28"/>
      <c r="PSW6" s="28"/>
      <c r="PSX6" s="28"/>
      <c r="PSY6" s="28"/>
      <c r="PSZ6" s="28"/>
      <c r="PTA6" s="28"/>
      <c r="PTB6" s="28"/>
      <c r="PTC6" s="28"/>
      <c r="PTD6" s="28"/>
      <c r="PTE6" s="28"/>
      <c r="PTF6" s="28"/>
      <c r="PTG6" s="28"/>
      <c r="PTH6" s="28"/>
      <c r="PTI6" s="28"/>
      <c r="PTJ6" s="28"/>
      <c r="PTK6" s="28"/>
      <c r="PTL6" s="28"/>
      <c r="PTM6" s="28"/>
      <c r="PTN6" s="28"/>
      <c r="PTO6" s="28"/>
      <c r="PTP6" s="28"/>
      <c r="PTQ6" s="28"/>
      <c r="PTR6" s="28"/>
      <c r="PTS6" s="28"/>
      <c r="PTT6" s="28"/>
      <c r="PTU6" s="28"/>
      <c r="PTV6" s="28"/>
      <c r="PTW6" s="28"/>
      <c r="PTX6" s="28"/>
      <c r="PTY6" s="28"/>
      <c r="PTZ6" s="28"/>
      <c r="PUA6" s="28"/>
      <c r="PUB6" s="28"/>
      <c r="PUC6" s="28"/>
      <c r="PUD6" s="28"/>
      <c r="PUE6" s="28"/>
      <c r="PUF6" s="28"/>
      <c r="PUG6" s="28"/>
      <c r="PUH6" s="28"/>
      <c r="PUI6" s="28"/>
      <c r="PUJ6" s="28"/>
      <c r="PUK6" s="28"/>
      <c r="PUL6" s="28"/>
      <c r="PUM6" s="28"/>
      <c r="PUN6" s="28"/>
      <c r="PUO6" s="28"/>
      <c r="PUP6" s="28"/>
      <c r="PUQ6" s="28"/>
      <c r="PUR6" s="28"/>
      <c r="PUS6" s="28"/>
      <c r="PUT6" s="28"/>
      <c r="PUU6" s="28"/>
      <c r="PUV6" s="28"/>
      <c r="PUW6" s="28"/>
      <c r="PUX6" s="28"/>
      <c r="PUY6" s="28"/>
      <c r="PUZ6" s="28"/>
      <c r="PVA6" s="28"/>
      <c r="PVB6" s="28"/>
      <c r="PVC6" s="28"/>
      <c r="PVD6" s="28"/>
      <c r="PVE6" s="28"/>
      <c r="PVF6" s="28"/>
      <c r="PVG6" s="28"/>
      <c r="PVH6" s="28"/>
      <c r="PVI6" s="28"/>
      <c r="PVJ6" s="28"/>
      <c r="PVK6" s="28"/>
      <c r="PVL6" s="28"/>
      <c r="PVM6" s="28"/>
      <c r="PVN6" s="28"/>
      <c r="PVO6" s="28"/>
      <c r="PVP6" s="28"/>
      <c r="PVQ6" s="28"/>
      <c r="PVR6" s="28"/>
      <c r="PVS6" s="28"/>
      <c r="PVT6" s="28"/>
      <c r="PVU6" s="28"/>
      <c r="PVV6" s="28"/>
      <c r="PVW6" s="28"/>
      <c r="PVX6" s="28"/>
      <c r="PVY6" s="28"/>
      <c r="PVZ6" s="28"/>
      <c r="PWA6" s="28"/>
      <c r="PWB6" s="28"/>
      <c r="PWC6" s="28"/>
      <c r="PWD6" s="28"/>
      <c r="PWE6" s="28"/>
      <c r="PWF6" s="28"/>
      <c r="PWG6" s="28"/>
      <c r="PWH6" s="28"/>
      <c r="PWI6" s="28"/>
      <c r="PWJ6" s="28"/>
      <c r="PWK6" s="28"/>
      <c r="PWL6" s="28"/>
      <c r="PWM6" s="28"/>
      <c r="PWN6" s="28"/>
      <c r="PWO6" s="28"/>
      <c r="PWP6" s="28"/>
      <c r="PWQ6" s="28"/>
      <c r="PWR6" s="28"/>
      <c r="PWS6" s="28"/>
      <c r="PWT6" s="28"/>
      <c r="PWU6" s="28"/>
      <c r="PWV6" s="28"/>
      <c r="PWW6" s="28"/>
      <c r="PWX6" s="28"/>
      <c r="PWY6" s="28"/>
      <c r="PWZ6" s="28"/>
      <c r="PXA6" s="28"/>
      <c r="PXB6" s="28"/>
      <c r="PXC6" s="28"/>
      <c r="PXD6" s="28"/>
      <c r="PXE6" s="28"/>
      <c r="PXF6" s="28"/>
      <c r="PXG6" s="28"/>
      <c r="PXH6" s="28"/>
      <c r="PXI6" s="28"/>
      <c r="PXJ6" s="28"/>
      <c r="PXK6" s="28"/>
      <c r="PXL6" s="28"/>
      <c r="PXM6" s="28"/>
      <c r="PXN6" s="28"/>
      <c r="PXO6" s="28"/>
      <c r="PXP6" s="28"/>
      <c r="PXQ6" s="28"/>
      <c r="PXR6" s="28"/>
      <c r="PXS6" s="28"/>
      <c r="PXT6" s="28"/>
      <c r="PXU6" s="28"/>
      <c r="PXV6" s="28"/>
      <c r="PXW6" s="28"/>
      <c r="PXX6" s="28"/>
      <c r="PXY6" s="28"/>
      <c r="PXZ6" s="28"/>
      <c r="PYA6" s="28"/>
      <c r="PYB6" s="28"/>
      <c r="PYC6" s="28"/>
      <c r="PYD6" s="28"/>
      <c r="PYE6" s="28"/>
      <c r="PYF6" s="28"/>
      <c r="PYG6" s="28"/>
      <c r="PYH6" s="28"/>
      <c r="PYI6" s="28"/>
      <c r="PYJ6" s="28"/>
      <c r="PYK6" s="28"/>
      <c r="PYL6" s="28"/>
      <c r="PYM6" s="28"/>
      <c r="PYN6" s="28"/>
      <c r="PYO6" s="28"/>
      <c r="PYP6" s="28"/>
      <c r="PYQ6" s="28"/>
      <c r="PYR6" s="28"/>
      <c r="PYS6" s="28"/>
      <c r="PYT6" s="28"/>
      <c r="PYU6" s="28"/>
      <c r="PYV6" s="28"/>
      <c r="PYW6" s="28"/>
      <c r="PYX6" s="28"/>
      <c r="PYY6" s="28"/>
      <c r="PYZ6" s="28"/>
      <c r="PZA6" s="28"/>
      <c r="PZB6" s="28"/>
      <c r="PZC6" s="28"/>
      <c r="PZD6" s="28"/>
      <c r="PZE6" s="28"/>
      <c r="PZF6" s="28"/>
      <c r="PZG6" s="28"/>
      <c r="PZH6" s="28"/>
      <c r="PZI6" s="28"/>
      <c r="PZJ6" s="28"/>
      <c r="PZK6" s="28"/>
      <c r="PZL6" s="28"/>
      <c r="PZM6" s="28"/>
      <c r="PZN6" s="28"/>
      <c r="PZO6" s="28"/>
      <c r="PZP6" s="28"/>
      <c r="PZQ6" s="28"/>
      <c r="PZR6" s="28"/>
      <c r="PZS6" s="28"/>
      <c r="PZT6" s="28"/>
      <c r="PZU6" s="28"/>
      <c r="PZV6" s="28"/>
      <c r="PZW6" s="28"/>
      <c r="PZX6" s="28"/>
      <c r="PZY6" s="28"/>
      <c r="PZZ6" s="28"/>
      <c r="QAA6" s="28"/>
      <c r="QAB6" s="28"/>
      <c r="QAC6" s="28"/>
      <c r="QAD6" s="28"/>
      <c r="QAE6" s="28"/>
      <c r="QAF6" s="28"/>
      <c r="QAG6" s="28"/>
      <c r="QAH6" s="28"/>
      <c r="QAI6" s="28"/>
      <c r="QAJ6" s="28"/>
      <c r="QAK6" s="28"/>
      <c r="QAL6" s="28"/>
      <c r="QAM6" s="28"/>
      <c r="QAN6" s="28"/>
      <c r="QAO6" s="28"/>
      <c r="QAP6" s="28"/>
      <c r="QAQ6" s="28"/>
      <c r="QAR6" s="28"/>
      <c r="QAS6" s="28"/>
      <c r="QAT6" s="28"/>
      <c r="QAU6" s="28"/>
      <c r="QAV6" s="28"/>
      <c r="QAW6" s="28"/>
      <c r="QAX6" s="28"/>
      <c r="QAY6" s="28"/>
      <c r="QAZ6" s="28"/>
      <c r="QBA6" s="28"/>
      <c r="QBB6" s="28"/>
      <c r="QBC6" s="28"/>
      <c r="QBD6" s="28"/>
      <c r="QBE6" s="28"/>
      <c r="QBF6" s="28"/>
      <c r="QBG6" s="28"/>
      <c r="QBH6" s="28"/>
      <c r="QBI6" s="28"/>
      <c r="QBJ6" s="28"/>
      <c r="QBK6" s="28"/>
      <c r="QBL6" s="28"/>
      <c r="QBM6" s="28"/>
      <c r="QBN6" s="28"/>
      <c r="QBO6" s="28"/>
      <c r="QBP6" s="28"/>
      <c r="QBQ6" s="28"/>
      <c r="QBR6" s="28"/>
      <c r="QBS6" s="28"/>
      <c r="QBT6" s="28"/>
      <c r="QBU6" s="28"/>
      <c r="QBV6" s="28"/>
      <c r="QBW6" s="28"/>
      <c r="QBX6" s="28"/>
      <c r="QBY6" s="28"/>
      <c r="QBZ6" s="28"/>
      <c r="QCA6" s="28"/>
      <c r="QCB6" s="28"/>
      <c r="QCC6" s="28"/>
      <c r="QCD6" s="28"/>
      <c r="QCE6" s="28"/>
      <c r="QCF6" s="28"/>
      <c r="QCG6" s="28"/>
      <c r="QCH6" s="28"/>
      <c r="QCI6" s="28"/>
      <c r="QCJ6" s="28"/>
      <c r="QCK6" s="28"/>
      <c r="QCL6" s="28"/>
      <c r="QCM6" s="28"/>
      <c r="QCN6" s="28"/>
      <c r="QCO6" s="28"/>
      <c r="QCP6" s="28"/>
      <c r="QCQ6" s="28"/>
      <c r="QCR6" s="28"/>
      <c r="QCS6" s="28"/>
      <c r="QCT6" s="28"/>
      <c r="QCU6" s="28"/>
      <c r="QCV6" s="28"/>
      <c r="QCW6" s="28"/>
      <c r="QCX6" s="28"/>
      <c r="QCY6" s="28"/>
      <c r="QCZ6" s="28"/>
      <c r="QDA6" s="28"/>
      <c r="QDB6" s="28"/>
      <c r="QDC6" s="28"/>
      <c r="QDD6" s="28"/>
      <c r="QDE6" s="28"/>
      <c r="QDF6" s="28"/>
      <c r="QDG6" s="28"/>
      <c r="QDH6" s="28"/>
      <c r="QDI6" s="28"/>
      <c r="QDJ6" s="28"/>
      <c r="QDK6" s="28"/>
      <c r="QDL6" s="28"/>
      <c r="QDM6" s="28"/>
      <c r="QDN6" s="28"/>
      <c r="QDO6" s="28"/>
      <c r="QDP6" s="28"/>
      <c r="QDQ6" s="28"/>
      <c r="QDR6" s="28"/>
      <c r="QDS6" s="28"/>
      <c r="QDT6" s="28"/>
      <c r="QDU6" s="28"/>
      <c r="QDV6" s="28"/>
      <c r="QDW6" s="28"/>
      <c r="QDX6" s="28"/>
      <c r="QDY6" s="28"/>
      <c r="QDZ6" s="28"/>
      <c r="QEA6" s="28"/>
      <c r="QEB6" s="28"/>
      <c r="QEC6" s="28"/>
      <c r="QED6" s="28"/>
      <c r="QEE6" s="28"/>
      <c r="QEF6" s="28"/>
      <c r="QEG6" s="28"/>
      <c r="QEH6" s="28"/>
      <c r="QEI6" s="28"/>
      <c r="QEJ6" s="28"/>
      <c r="QEK6" s="28"/>
      <c r="QEL6" s="28"/>
      <c r="QEM6" s="28"/>
      <c r="QEN6" s="28"/>
      <c r="QEO6" s="28"/>
      <c r="QEP6" s="28"/>
      <c r="QEQ6" s="28"/>
      <c r="QER6" s="28"/>
      <c r="QES6" s="28"/>
      <c r="QET6" s="28"/>
      <c r="QEU6" s="28"/>
      <c r="QEV6" s="28"/>
      <c r="QEW6" s="28"/>
      <c r="QEX6" s="28"/>
      <c r="QEY6" s="28"/>
      <c r="QEZ6" s="28"/>
      <c r="QFA6" s="28"/>
      <c r="QFB6" s="28"/>
      <c r="QFC6" s="28"/>
      <c r="QFD6" s="28"/>
      <c r="QFE6" s="28"/>
      <c r="QFF6" s="28"/>
      <c r="QFG6" s="28"/>
      <c r="QFH6" s="28"/>
      <c r="QFI6" s="28"/>
      <c r="QFJ6" s="28"/>
      <c r="QFK6" s="28"/>
      <c r="QFL6" s="28"/>
      <c r="QFM6" s="28"/>
      <c r="QFN6" s="28"/>
      <c r="QFO6" s="28"/>
      <c r="QFP6" s="28"/>
      <c r="QFQ6" s="28"/>
      <c r="QFR6" s="28"/>
      <c r="QFS6" s="28"/>
      <c r="QFT6" s="28"/>
      <c r="QFU6" s="28"/>
      <c r="QFV6" s="28"/>
      <c r="QFW6" s="28"/>
      <c r="QFX6" s="28"/>
      <c r="QFY6" s="28"/>
      <c r="QFZ6" s="28"/>
      <c r="QGA6" s="28"/>
      <c r="QGB6" s="28"/>
      <c r="QGC6" s="28"/>
      <c r="QGD6" s="28"/>
      <c r="QGE6" s="28"/>
      <c r="QGF6" s="28"/>
      <c r="QGG6" s="28"/>
      <c r="QGH6" s="28"/>
      <c r="QGI6" s="28"/>
      <c r="QGJ6" s="28"/>
      <c r="QGK6" s="28"/>
      <c r="QGL6" s="28"/>
      <c r="QGM6" s="28"/>
      <c r="QGN6" s="28"/>
      <c r="QGO6" s="28"/>
      <c r="QGP6" s="28"/>
      <c r="QGQ6" s="28"/>
      <c r="QGR6" s="28"/>
      <c r="QGS6" s="28"/>
      <c r="QGT6" s="28"/>
      <c r="QGU6" s="28"/>
      <c r="QGV6" s="28"/>
      <c r="QGW6" s="28"/>
      <c r="QGX6" s="28"/>
      <c r="QGY6" s="28"/>
      <c r="QGZ6" s="28"/>
      <c r="QHA6" s="28"/>
      <c r="QHB6" s="28"/>
      <c r="QHC6" s="28"/>
      <c r="QHD6" s="28"/>
      <c r="QHE6" s="28"/>
      <c r="QHF6" s="28"/>
      <c r="QHG6" s="28"/>
      <c r="QHH6" s="28"/>
      <c r="QHI6" s="28"/>
      <c r="QHJ6" s="28"/>
      <c r="QHK6" s="28"/>
      <c r="QHL6" s="28"/>
      <c r="QHM6" s="28"/>
      <c r="QHN6" s="28"/>
      <c r="QHO6" s="28"/>
      <c r="QHP6" s="28"/>
      <c r="QHQ6" s="28"/>
      <c r="QHR6" s="28"/>
      <c r="QHS6" s="28"/>
      <c r="QHT6" s="28"/>
      <c r="QHU6" s="28"/>
      <c r="QHV6" s="28"/>
      <c r="QHW6" s="28"/>
      <c r="QHX6" s="28"/>
      <c r="QHY6" s="28"/>
      <c r="QHZ6" s="28"/>
      <c r="QIA6" s="28"/>
      <c r="QIB6" s="28"/>
      <c r="QIC6" s="28"/>
      <c r="QID6" s="28"/>
      <c r="QIE6" s="28"/>
      <c r="QIF6" s="28"/>
      <c r="QIG6" s="28"/>
      <c r="QIH6" s="28"/>
      <c r="QII6" s="28"/>
      <c r="QIJ6" s="28"/>
      <c r="QIK6" s="28"/>
      <c r="QIL6" s="28"/>
      <c r="QIM6" s="28"/>
      <c r="QIN6" s="28"/>
      <c r="QIO6" s="28"/>
      <c r="QIP6" s="28"/>
      <c r="QIQ6" s="28"/>
      <c r="QIR6" s="28"/>
      <c r="QIS6" s="28"/>
      <c r="QIT6" s="28"/>
      <c r="QIU6" s="28"/>
      <c r="QIV6" s="28"/>
      <c r="QIW6" s="28"/>
      <c r="QIX6" s="28"/>
      <c r="QIY6" s="28"/>
      <c r="QIZ6" s="28"/>
      <c r="QJA6" s="28"/>
      <c r="QJB6" s="28"/>
      <c r="QJC6" s="28"/>
      <c r="QJD6" s="28"/>
      <c r="QJE6" s="28"/>
      <c r="QJF6" s="28"/>
      <c r="QJG6" s="28"/>
      <c r="QJH6" s="28"/>
      <c r="QJI6" s="28"/>
      <c r="QJJ6" s="28"/>
      <c r="QJK6" s="28"/>
      <c r="QJL6" s="28"/>
      <c r="QJM6" s="28"/>
      <c r="QJN6" s="28"/>
      <c r="QJO6" s="28"/>
      <c r="QJP6" s="28"/>
      <c r="QJQ6" s="28"/>
      <c r="QJR6" s="28"/>
      <c r="QJS6" s="28"/>
      <c r="QJT6" s="28"/>
      <c r="QJU6" s="28"/>
      <c r="QJV6" s="28"/>
      <c r="QJW6" s="28"/>
      <c r="QJX6" s="28"/>
      <c r="QJY6" s="28"/>
      <c r="QJZ6" s="28"/>
      <c r="QKA6" s="28"/>
      <c r="QKB6" s="28"/>
      <c r="QKC6" s="28"/>
      <c r="QKD6" s="28"/>
      <c r="QKE6" s="28"/>
      <c r="QKF6" s="28"/>
      <c r="QKG6" s="28"/>
      <c r="QKH6" s="28"/>
      <c r="QKI6" s="28"/>
      <c r="QKJ6" s="28"/>
      <c r="QKK6" s="28"/>
      <c r="QKL6" s="28"/>
      <c r="QKM6" s="28"/>
      <c r="QKN6" s="28"/>
      <c r="QKO6" s="28"/>
      <c r="QKP6" s="28"/>
      <c r="QKQ6" s="28"/>
      <c r="QKR6" s="28"/>
      <c r="QKS6" s="28"/>
      <c r="QKT6" s="28"/>
      <c r="QKU6" s="28"/>
      <c r="QKV6" s="28"/>
      <c r="QKW6" s="28"/>
      <c r="QKX6" s="28"/>
      <c r="QKY6" s="28"/>
      <c r="QKZ6" s="28"/>
      <c r="QLA6" s="28"/>
      <c r="QLB6" s="28"/>
      <c r="QLC6" s="28"/>
      <c r="QLD6" s="28"/>
      <c r="QLE6" s="28"/>
      <c r="QLF6" s="28"/>
      <c r="QLG6" s="28"/>
      <c r="QLH6" s="28"/>
      <c r="QLI6" s="28"/>
      <c r="QLJ6" s="28"/>
      <c r="QLK6" s="28"/>
      <c r="QLL6" s="28"/>
      <c r="QLM6" s="28"/>
      <c r="QLN6" s="28"/>
      <c r="QLO6" s="28"/>
      <c r="QLP6" s="28"/>
      <c r="QLQ6" s="28"/>
      <c r="QLR6" s="28"/>
      <c r="QLS6" s="28"/>
      <c r="QLT6" s="28"/>
      <c r="QLU6" s="28"/>
      <c r="QLV6" s="28"/>
      <c r="QLW6" s="28"/>
      <c r="QLX6" s="28"/>
      <c r="QLY6" s="28"/>
      <c r="QLZ6" s="28"/>
      <c r="QMA6" s="28"/>
      <c r="QMB6" s="28"/>
      <c r="QMC6" s="28"/>
      <c r="QMD6" s="28"/>
      <c r="QME6" s="28"/>
      <c r="QMF6" s="28"/>
      <c r="QMG6" s="28"/>
      <c r="QMH6" s="28"/>
      <c r="QMI6" s="28"/>
      <c r="QMJ6" s="28"/>
      <c r="QMK6" s="28"/>
      <c r="QML6" s="28"/>
      <c r="QMM6" s="28"/>
      <c r="QMN6" s="28"/>
      <c r="QMO6" s="28"/>
      <c r="QMP6" s="28"/>
      <c r="QMQ6" s="28"/>
      <c r="QMR6" s="28"/>
      <c r="QMS6" s="28"/>
      <c r="QMT6" s="28"/>
      <c r="QMU6" s="28"/>
      <c r="QMV6" s="28"/>
      <c r="QMW6" s="28"/>
      <c r="QMX6" s="28"/>
      <c r="QMY6" s="28"/>
      <c r="QMZ6" s="28"/>
      <c r="QNA6" s="28"/>
      <c r="QNB6" s="28"/>
      <c r="QNC6" s="28"/>
      <c r="QND6" s="28"/>
      <c r="QNE6" s="28"/>
      <c r="QNF6" s="28"/>
      <c r="QNG6" s="28"/>
      <c r="QNH6" s="28"/>
      <c r="QNI6" s="28"/>
      <c r="QNJ6" s="28"/>
      <c r="QNK6" s="28"/>
      <c r="QNL6" s="28"/>
      <c r="QNM6" s="28"/>
      <c r="QNN6" s="28"/>
      <c r="QNO6" s="28"/>
      <c r="QNP6" s="28"/>
      <c r="QNQ6" s="28"/>
      <c r="QNR6" s="28"/>
      <c r="QNS6" s="28"/>
      <c r="QNT6" s="28"/>
      <c r="QNU6" s="28"/>
      <c r="QNV6" s="28"/>
      <c r="QNW6" s="28"/>
      <c r="QNX6" s="28"/>
      <c r="QNY6" s="28"/>
      <c r="QNZ6" s="28"/>
      <c r="QOA6" s="28"/>
      <c r="QOB6" s="28"/>
      <c r="QOC6" s="28"/>
      <c r="QOD6" s="28"/>
      <c r="QOE6" s="28"/>
      <c r="QOF6" s="28"/>
      <c r="QOG6" s="28"/>
      <c r="QOH6" s="28"/>
      <c r="QOI6" s="28"/>
      <c r="QOJ6" s="28"/>
      <c r="QOK6" s="28"/>
      <c r="QOL6" s="28"/>
      <c r="QOM6" s="28"/>
      <c r="QON6" s="28"/>
      <c r="QOO6" s="28"/>
      <c r="QOP6" s="28"/>
      <c r="QOQ6" s="28"/>
      <c r="QOR6" s="28"/>
      <c r="QOS6" s="28"/>
      <c r="QOT6" s="28"/>
      <c r="QOU6" s="28"/>
      <c r="QOV6" s="28"/>
      <c r="QOW6" s="28"/>
      <c r="QOX6" s="28"/>
      <c r="QOY6" s="28"/>
      <c r="QOZ6" s="28"/>
      <c r="QPA6" s="28"/>
      <c r="QPB6" s="28"/>
      <c r="QPC6" s="28"/>
      <c r="QPD6" s="28"/>
      <c r="QPE6" s="28"/>
      <c r="QPF6" s="28"/>
      <c r="QPG6" s="28"/>
      <c r="QPH6" s="28"/>
      <c r="QPI6" s="28"/>
      <c r="QPJ6" s="28"/>
      <c r="QPK6" s="28"/>
      <c r="QPL6" s="28"/>
      <c r="QPM6" s="28"/>
      <c r="QPN6" s="28"/>
      <c r="QPO6" s="28"/>
      <c r="QPP6" s="28"/>
      <c r="QPQ6" s="28"/>
      <c r="QPR6" s="28"/>
      <c r="QPS6" s="28"/>
      <c r="QPT6" s="28"/>
      <c r="QPU6" s="28"/>
      <c r="QPV6" s="28"/>
      <c r="QPW6" s="28"/>
      <c r="QPX6" s="28"/>
      <c r="QPY6" s="28"/>
      <c r="QPZ6" s="28"/>
      <c r="QQA6" s="28"/>
      <c r="QQB6" s="28"/>
      <c r="QQC6" s="28"/>
      <c r="QQD6" s="28"/>
      <c r="QQE6" s="28"/>
      <c r="QQF6" s="28"/>
      <c r="QQG6" s="28"/>
      <c r="QQH6" s="28"/>
      <c r="QQI6" s="28"/>
      <c r="QQJ6" s="28"/>
      <c r="QQK6" s="28"/>
      <c r="QQL6" s="28"/>
      <c r="QQM6" s="28"/>
      <c r="QQN6" s="28"/>
      <c r="QQO6" s="28"/>
      <c r="QQP6" s="28"/>
      <c r="QQQ6" s="28"/>
      <c r="QQR6" s="28"/>
      <c r="QQS6" s="28"/>
      <c r="QQT6" s="28"/>
      <c r="QQU6" s="28"/>
      <c r="QQV6" s="28"/>
      <c r="QQW6" s="28"/>
      <c r="QQX6" s="28"/>
      <c r="QQY6" s="28"/>
      <c r="QQZ6" s="28"/>
      <c r="QRA6" s="28"/>
      <c r="QRB6" s="28"/>
      <c r="QRC6" s="28"/>
      <c r="QRD6" s="28"/>
      <c r="QRE6" s="28"/>
      <c r="QRF6" s="28"/>
      <c r="QRG6" s="28"/>
      <c r="QRH6" s="28"/>
      <c r="QRI6" s="28"/>
      <c r="QRJ6" s="28"/>
      <c r="QRK6" s="28"/>
      <c r="QRL6" s="28"/>
      <c r="QRM6" s="28"/>
      <c r="QRN6" s="28"/>
      <c r="QRO6" s="28"/>
      <c r="QRP6" s="28"/>
      <c r="QRQ6" s="28"/>
      <c r="QRR6" s="28"/>
      <c r="QRS6" s="28"/>
      <c r="QRT6" s="28"/>
      <c r="QRU6" s="28"/>
      <c r="QRV6" s="28"/>
      <c r="QRW6" s="28"/>
      <c r="QRX6" s="28"/>
      <c r="QRY6" s="28"/>
      <c r="QRZ6" s="28"/>
      <c r="QSA6" s="28"/>
      <c r="QSB6" s="28"/>
      <c r="QSC6" s="28"/>
      <c r="QSD6" s="28"/>
      <c r="QSE6" s="28"/>
      <c r="QSF6" s="28"/>
      <c r="QSG6" s="28"/>
      <c r="QSH6" s="28"/>
      <c r="QSI6" s="28"/>
      <c r="QSJ6" s="28"/>
      <c r="QSK6" s="28"/>
      <c r="QSL6" s="28"/>
      <c r="QSM6" s="28"/>
      <c r="QSN6" s="28"/>
      <c r="QSO6" s="28"/>
      <c r="QSP6" s="28"/>
      <c r="QSQ6" s="28"/>
      <c r="QSR6" s="28"/>
      <c r="QSS6" s="28"/>
      <c r="QST6" s="28"/>
      <c r="QSU6" s="28"/>
      <c r="QSV6" s="28"/>
      <c r="QSW6" s="28"/>
      <c r="QSX6" s="28"/>
      <c r="QSY6" s="28"/>
      <c r="QSZ6" s="28"/>
      <c r="QTA6" s="28"/>
      <c r="QTB6" s="28"/>
      <c r="QTC6" s="28"/>
      <c r="QTD6" s="28"/>
      <c r="QTE6" s="28"/>
      <c r="QTF6" s="28"/>
      <c r="QTG6" s="28"/>
      <c r="QTH6" s="28"/>
      <c r="QTI6" s="28"/>
      <c r="QTJ6" s="28"/>
      <c r="QTK6" s="28"/>
      <c r="QTL6" s="28"/>
      <c r="QTM6" s="28"/>
      <c r="QTN6" s="28"/>
      <c r="QTO6" s="28"/>
      <c r="QTP6" s="28"/>
      <c r="QTQ6" s="28"/>
      <c r="QTR6" s="28"/>
      <c r="QTS6" s="28"/>
      <c r="QTT6" s="28"/>
      <c r="QTU6" s="28"/>
      <c r="QTV6" s="28"/>
      <c r="QTW6" s="28"/>
      <c r="QTX6" s="28"/>
      <c r="QTY6" s="28"/>
      <c r="QTZ6" s="28"/>
      <c r="QUA6" s="28"/>
      <c r="QUB6" s="28"/>
      <c r="QUC6" s="28"/>
      <c r="QUD6" s="28"/>
      <c r="QUE6" s="28"/>
      <c r="QUF6" s="28"/>
      <c r="QUG6" s="28"/>
      <c r="QUH6" s="28"/>
      <c r="QUI6" s="28"/>
      <c r="QUJ6" s="28"/>
      <c r="QUK6" s="28"/>
      <c r="QUL6" s="28"/>
      <c r="QUM6" s="28"/>
      <c r="QUN6" s="28"/>
      <c r="QUO6" s="28"/>
      <c r="QUP6" s="28"/>
      <c r="QUQ6" s="28"/>
      <c r="QUR6" s="28"/>
      <c r="QUS6" s="28"/>
      <c r="QUT6" s="28"/>
      <c r="QUU6" s="28"/>
      <c r="QUV6" s="28"/>
      <c r="QUW6" s="28"/>
      <c r="QUX6" s="28"/>
      <c r="QUY6" s="28"/>
      <c r="QUZ6" s="28"/>
      <c r="QVA6" s="28"/>
      <c r="QVB6" s="28"/>
      <c r="QVC6" s="28"/>
      <c r="QVD6" s="28"/>
      <c r="QVE6" s="28"/>
      <c r="QVF6" s="28"/>
      <c r="QVG6" s="28"/>
      <c r="QVH6" s="28"/>
      <c r="QVI6" s="28"/>
      <c r="QVJ6" s="28"/>
      <c r="QVK6" s="28"/>
      <c r="QVL6" s="28"/>
      <c r="QVM6" s="28"/>
      <c r="QVN6" s="28"/>
      <c r="QVO6" s="28"/>
      <c r="QVP6" s="28"/>
      <c r="QVQ6" s="28"/>
      <c r="QVR6" s="28"/>
      <c r="QVS6" s="28"/>
      <c r="QVT6" s="28"/>
      <c r="QVU6" s="28"/>
      <c r="QVV6" s="28"/>
      <c r="QVW6" s="28"/>
      <c r="QVX6" s="28"/>
      <c r="QVY6" s="28"/>
      <c r="QVZ6" s="28"/>
      <c r="QWA6" s="28"/>
      <c r="QWB6" s="28"/>
      <c r="QWC6" s="28"/>
      <c r="QWD6" s="28"/>
      <c r="QWE6" s="28"/>
      <c r="QWF6" s="28"/>
      <c r="QWG6" s="28"/>
      <c r="QWH6" s="28"/>
      <c r="QWI6" s="28"/>
      <c r="QWJ6" s="28"/>
      <c r="QWK6" s="28"/>
      <c r="QWL6" s="28"/>
      <c r="QWM6" s="28"/>
      <c r="QWN6" s="28"/>
      <c r="QWO6" s="28"/>
      <c r="QWP6" s="28"/>
      <c r="QWQ6" s="28"/>
      <c r="QWR6" s="28"/>
      <c r="QWS6" s="28"/>
      <c r="QWT6" s="28"/>
      <c r="QWU6" s="28"/>
      <c r="QWV6" s="28"/>
      <c r="QWW6" s="28"/>
      <c r="QWX6" s="28"/>
      <c r="QWY6" s="28"/>
      <c r="QWZ6" s="28"/>
      <c r="QXA6" s="28"/>
      <c r="QXB6" s="28"/>
      <c r="QXC6" s="28"/>
      <c r="QXD6" s="28"/>
      <c r="QXE6" s="28"/>
      <c r="QXF6" s="28"/>
      <c r="QXG6" s="28"/>
      <c r="QXH6" s="28"/>
      <c r="QXI6" s="28"/>
      <c r="QXJ6" s="28"/>
      <c r="QXK6" s="28"/>
      <c r="QXL6" s="28"/>
      <c r="QXM6" s="28"/>
      <c r="QXN6" s="28"/>
      <c r="QXO6" s="28"/>
      <c r="QXP6" s="28"/>
      <c r="QXQ6" s="28"/>
      <c r="QXR6" s="28"/>
      <c r="QXS6" s="28"/>
      <c r="QXT6" s="28"/>
      <c r="QXU6" s="28"/>
      <c r="QXV6" s="28"/>
      <c r="QXW6" s="28"/>
      <c r="QXX6" s="28"/>
      <c r="QXY6" s="28"/>
      <c r="QXZ6" s="28"/>
      <c r="QYA6" s="28"/>
      <c r="QYB6" s="28"/>
      <c r="QYC6" s="28"/>
      <c r="QYD6" s="28"/>
      <c r="QYE6" s="28"/>
      <c r="QYF6" s="28"/>
      <c r="QYG6" s="28"/>
      <c r="QYH6" s="28"/>
      <c r="QYI6" s="28"/>
      <c r="QYJ6" s="28"/>
      <c r="QYK6" s="28"/>
      <c r="QYL6" s="28"/>
      <c r="QYM6" s="28"/>
      <c r="QYN6" s="28"/>
      <c r="QYO6" s="28"/>
      <c r="QYP6" s="28"/>
      <c r="QYQ6" s="28"/>
      <c r="QYR6" s="28"/>
      <c r="QYS6" s="28"/>
      <c r="QYT6" s="28"/>
      <c r="QYU6" s="28"/>
      <c r="QYV6" s="28"/>
      <c r="QYW6" s="28"/>
      <c r="QYX6" s="28"/>
      <c r="QYY6" s="28"/>
      <c r="QYZ6" s="28"/>
      <c r="QZA6" s="28"/>
      <c r="QZB6" s="28"/>
      <c r="QZC6" s="28"/>
      <c r="QZD6" s="28"/>
      <c r="QZE6" s="28"/>
      <c r="QZF6" s="28"/>
      <c r="QZG6" s="28"/>
      <c r="QZH6" s="28"/>
      <c r="QZI6" s="28"/>
      <c r="QZJ6" s="28"/>
      <c r="QZK6" s="28"/>
      <c r="QZL6" s="28"/>
      <c r="QZM6" s="28"/>
      <c r="QZN6" s="28"/>
      <c r="QZO6" s="28"/>
      <c r="QZP6" s="28"/>
      <c r="QZQ6" s="28"/>
      <c r="QZR6" s="28"/>
      <c r="QZS6" s="28"/>
      <c r="QZT6" s="28"/>
      <c r="QZU6" s="28"/>
      <c r="QZV6" s="28"/>
      <c r="QZW6" s="28"/>
      <c r="QZX6" s="28"/>
      <c r="QZY6" s="28"/>
      <c r="QZZ6" s="28"/>
      <c r="RAA6" s="28"/>
      <c r="RAB6" s="28"/>
      <c r="RAC6" s="28"/>
      <c r="RAD6" s="28"/>
      <c r="RAE6" s="28"/>
      <c r="RAF6" s="28"/>
      <c r="RAG6" s="28"/>
      <c r="RAH6" s="28"/>
      <c r="RAI6" s="28"/>
      <c r="RAJ6" s="28"/>
      <c r="RAK6" s="28"/>
      <c r="RAL6" s="28"/>
      <c r="RAM6" s="28"/>
      <c r="RAN6" s="28"/>
      <c r="RAO6" s="28"/>
      <c r="RAP6" s="28"/>
      <c r="RAQ6" s="28"/>
      <c r="RAR6" s="28"/>
      <c r="RAS6" s="28"/>
      <c r="RAT6" s="28"/>
      <c r="RAU6" s="28"/>
      <c r="RAV6" s="28"/>
      <c r="RAW6" s="28"/>
      <c r="RAX6" s="28"/>
      <c r="RAY6" s="28"/>
      <c r="RAZ6" s="28"/>
      <c r="RBA6" s="28"/>
      <c r="RBB6" s="28"/>
      <c r="RBC6" s="28"/>
      <c r="RBD6" s="28"/>
      <c r="RBE6" s="28"/>
      <c r="RBF6" s="28"/>
      <c r="RBG6" s="28"/>
      <c r="RBH6" s="28"/>
      <c r="RBI6" s="28"/>
      <c r="RBJ6" s="28"/>
      <c r="RBK6" s="28"/>
      <c r="RBL6" s="28"/>
      <c r="RBM6" s="28"/>
      <c r="RBN6" s="28"/>
      <c r="RBO6" s="28"/>
      <c r="RBP6" s="28"/>
      <c r="RBQ6" s="28"/>
      <c r="RBR6" s="28"/>
      <c r="RBS6" s="28"/>
      <c r="RBT6" s="28"/>
      <c r="RBU6" s="28"/>
      <c r="RBV6" s="28"/>
      <c r="RBW6" s="28"/>
      <c r="RBX6" s="28"/>
      <c r="RBY6" s="28"/>
      <c r="RBZ6" s="28"/>
      <c r="RCA6" s="28"/>
      <c r="RCB6" s="28"/>
      <c r="RCC6" s="28"/>
      <c r="RCD6" s="28"/>
      <c r="RCE6" s="28"/>
      <c r="RCF6" s="28"/>
      <c r="RCG6" s="28"/>
      <c r="RCH6" s="28"/>
      <c r="RCI6" s="28"/>
      <c r="RCJ6" s="28"/>
      <c r="RCK6" s="28"/>
      <c r="RCL6" s="28"/>
      <c r="RCM6" s="28"/>
      <c r="RCN6" s="28"/>
      <c r="RCO6" s="28"/>
      <c r="RCP6" s="28"/>
      <c r="RCQ6" s="28"/>
      <c r="RCR6" s="28"/>
      <c r="RCS6" s="28"/>
      <c r="RCT6" s="28"/>
      <c r="RCU6" s="28"/>
      <c r="RCV6" s="28"/>
      <c r="RCW6" s="28"/>
      <c r="RCX6" s="28"/>
      <c r="RCY6" s="28"/>
      <c r="RCZ6" s="28"/>
      <c r="RDA6" s="28"/>
      <c r="RDB6" s="28"/>
      <c r="RDC6" s="28"/>
      <c r="RDD6" s="28"/>
      <c r="RDE6" s="28"/>
      <c r="RDF6" s="28"/>
      <c r="RDG6" s="28"/>
      <c r="RDH6" s="28"/>
      <c r="RDI6" s="28"/>
      <c r="RDJ6" s="28"/>
      <c r="RDK6" s="28"/>
      <c r="RDL6" s="28"/>
      <c r="RDM6" s="28"/>
      <c r="RDN6" s="28"/>
      <c r="RDO6" s="28"/>
      <c r="RDP6" s="28"/>
      <c r="RDQ6" s="28"/>
      <c r="RDR6" s="28"/>
      <c r="RDS6" s="28"/>
      <c r="RDT6" s="28"/>
      <c r="RDU6" s="28"/>
      <c r="RDV6" s="28"/>
      <c r="RDW6" s="28"/>
      <c r="RDX6" s="28"/>
      <c r="RDY6" s="28"/>
      <c r="RDZ6" s="28"/>
      <c r="REA6" s="28"/>
      <c r="REB6" s="28"/>
      <c r="REC6" s="28"/>
      <c r="RED6" s="28"/>
      <c r="REE6" s="28"/>
      <c r="REF6" s="28"/>
      <c r="REG6" s="28"/>
      <c r="REH6" s="28"/>
      <c r="REI6" s="28"/>
      <c r="REJ6" s="28"/>
      <c r="REK6" s="28"/>
      <c r="REL6" s="28"/>
      <c r="REM6" s="28"/>
      <c r="REN6" s="28"/>
      <c r="REO6" s="28"/>
      <c r="REP6" s="28"/>
      <c r="REQ6" s="28"/>
      <c r="RER6" s="28"/>
      <c r="RES6" s="28"/>
      <c r="RET6" s="28"/>
      <c r="REU6" s="28"/>
      <c r="REV6" s="28"/>
      <c r="REW6" s="28"/>
      <c r="REX6" s="28"/>
      <c r="REY6" s="28"/>
      <c r="REZ6" s="28"/>
      <c r="RFA6" s="28"/>
      <c r="RFB6" s="28"/>
      <c r="RFC6" s="28"/>
      <c r="RFD6" s="28"/>
      <c r="RFE6" s="28"/>
      <c r="RFF6" s="28"/>
      <c r="RFG6" s="28"/>
      <c r="RFH6" s="28"/>
      <c r="RFI6" s="28"/>
      <c r="RFJ6" s="28"/>
      <c r="RFK6" s="28"/>
      <c r="RFL6" s="28"/>
      <c r="RFM6" s="28"/>
      <c r="RFN6" s="28"/>
      <c r="RFO6" s="28"/>
      <c r="RFP6" s="28"/>
      <c r="RFQ6" s="28"/>
      <c r="RFR6" s="28"/>
      <c r="RFS6" s="28"/>
      <c r="RFT6" s="28"/>
      <c r="RFU6" s="28"/>
      <c r="RFV6" s="28"/>
      <c r="RFW6" s="28"/>
      <c r="RFX6" s="28"/>
      <c r="RFY6" s="28"/>
      <c r="RFZ6" s="28"/>
      <c r="RGA6" s="28"/>
      <c r="RGB6" s="28"/>
      <c r="RGC6" s="28"/>
      <c r="RGD6" s="28"/>
      <c r="RGE6" s="28"/>
      <c r="RGF6" s="28"/>
      <c r="RGG6" s="28"/>
      <c r="RGH6" s="28"/>
      <c r="RGI6" s="28"/>
      <c r="RGJ6" s="28"/>
      <c r="RGK6" s="28"/>
      <c r="RGL6" s="28"/>
      <c r="RGM6" s="28"/>
      <c r="RGN6" s="28"/>
      <c r="RGO6" s="28"/>
      <c r="RGP6" s="28"/>
      <c r="RGQ6" s="28"/>
      <c r="RGR6" s="28"/>
      <c r="RGS6" s="28"/>
      <c r="RGT6" s="28"/>
      <c r="RGU6" s="28"/>
      <c r="RGV6" s="28"/>
      <c r="RGW6" s="28"/>
      <c r="RGX6" s="28"/>
      <c r="RGY6" s="28"/>
      <c r="RGZ6" s="28"/>
      <c r="RHA6" s="28"/>
      <c r="RHB6" s="28"/>
      <c r="RHC6" s="28"/>
      <c r="RHD6" s="28"/>
      <c r="RHE6" s="28"/>
      <c r="RHF6" s="28"/>
      <c r="RHG6" s="28"/>
      <c r="RHH6" s="28"/>
      <c r="RHI6" s="28"/>
      <c r="RHJ6" s="28"/>
      <c r="RHK6" s="28"/>
      <c r="RHL6" s="28"/>
      <c r="RHM6" s="28"/>
      <c r="RHN6" s="28"/>
      <c r="RHO6" s="28"/>
      <c r="RHP6" s="28"/>
      <c r="RHQ6" s="28"/>
      <c r="RHR6" s="28"/>
      <c r="RHS6" s="28"/>
      <c r="RHT6" s="28"/>
      <c r="RHU6" s="28"/>
      <c r="RHV6" s="28"/>
      <c r="RHW6" s="28"/>
      <c r="RHX6" s="28"/>
      <c r="RHY6" s="28"/>
      <c r="RHZ6" s="28"/>
      <c r="RIA6" s="28"/>
      <c r="RIB6" s="28"/>
      <c r="RIC6" s="28"/>
      <c r="RID6" s="28"/>
      <c r="RIE6" s="28"/>
      <c r="RIF6" s="28"/>
      <c r="RIG6" s="28"/>
      <c r="RIH6" s="28"/>
      <c r="RII6" s="28"/>
      <c r="RIJ6" s="28"/>
      <c r="RIK6" s="28"/>
      <c r="RIL6" s="28"/>
      <c r="RIM6" s="28"/>
      <c r="RIN6" s="28"/>
      <c r="RIO6" s="28"/>
      <c r="RIP6" s="28"/>
      <c r="RIQ6" s="28"/>
      <c r="RIR6" s="28"/>
      <c r="RIS6" s="28"/>
      <c r="RIT6" s="28"/>
      <c r="RIU6" s="28"/>
      <c r="RIV6" s="28"/>
      <c r="RIW6" s="28"/>
      <c r="RIX6" s="28"/>
      <c r="RIY6" s="28"/>
      <c r="RIZ6" s="28"/>
      <c r="RJA6" s="28"/>
      <c r="RJB6" s="28"/>
      <c r="RJC6" s="28"/>
      <c r="RJD6" s="28"/>
      <c r="RJE6" s="28"/>
      <c r="RJF6" s="28"/>
      <c r="RJG6" s="28"/>
      <c r="RJH6" s="28"/>
      <c r="RJI6" s="28"/>
      <c r="RJJ6" s="28"/>
      <c r="RJK6" s="28"/>
      <c r="RJL6" s="28"/>
      <c r="RJM6" s="28"/>
      <c r="RJN6" s="28"/>
      <c r="RJO6" s="28"/>
      <c r="RJP6" s="28"/>
      <c r="RJQ6" s="28"/>
      <c r="RJR6" s="28"/>
      <c r="RJS6" s="28"/>
      <c r="RJT6" s="28"/>
      <c r="RJU6" s="28"/>
      <c r="RJV6" s="28"/>
      <c r="RJW6" s="28"/>
      <c r="RJX6" s="28"/>
      <c r="RJY6" s="28"/>
      <c r="RJZ6" s="28"/>
      <c r="RKA6" s="28"/>
      <c r="RKB6" s="28"/>
      <c r="RKC6" s="28"/>
      <c r="RKD6" s="28"/>
      <c r="RKE6" s="28"/>
      <c r="RKF6" s="28"/>
      <c r="RKG6" s="28"/>
      <c r="RKH6" s="28"/>
      <c r="RKI6" s="28"/>
      <c r="RKJ6" s="28"/>
      <c r="RKK6" s="28"/>
      <c r="RKL6" s="28"/>
      <c r="RKM6" s="28"/>
      <c r="RKN6" s="28"/>
      <c r="RKO6" s="28"/>
      <c r="RKP6" s="28"/>
      <c r="RKQ6" s="28"/>
      <c r="RKR6" s="28"/>
      <c r="RKS6" s="28"/>
      <c r="RKT6" s="28"/>
      <c r="RKU6" s="28"/>
      <c r="RKV6" s="28"/>
      <c r="RKW6" s="28"/>
      <c r="RKX6" s="28"/>
      <c r="RKY6" s="28"/>
      <c r="RKZ6" s="28"/>
      <c r="RLA6" s="28"/>
      <c r="RLB6" s="28"/>
      <c r="RLC6" s="28"/>
      <c r="RLD6" s="28"/>
      <c r="RLE6" s="28"/>
      <c r="RLF6" s="28"/>
      <c r="RLG6" s="28"/>
      <c r="RLH6" s="28"/>
      <c r="RLI6" s="28"/>
      <c r="RLJ6" s="28"/>
      <c r="RLK6" s="28"/>
      <c r="RLL6" s="28"/>
      <c r="RLM6" s="28"/>
      <c r="RLN6" s="28"/>
      <c r="RLO6" s="28"/>
      <c r="RLP6" s="28"/>
      <c r="RLQ6" s="28"/>
      <c r="RLR6" s="28"/>
      <c r="RLS6" s="28"/>
      <c r="RLT6" s="28"/>
      <c r="RLU6" s="28"/>
      <c r="RLV6" s="28"/>
      <c r="RLW6" s="28"/>
      <c r="RLX6" s="28"/>
      <c r="RLY6" s="28"/>
      <c r="RLZ6" s="28"/>
      <c r="RMA6" s="28"/>
      <c r="RMB6" s="28"/>
      <c r="RMC6" s="28"/>
      <c r="RMD6" s="28"/>
      <c r="RME6" s="28"/>
      <c r="RMF6" s="28"/>
      <c r="RMG6" s="28"/>
      <c r="RMH6" s="28"/>
      <c r="RMI6" s="28"/>
      <c r="RMJ6" s="28"/>
      <c r="RMK6" s="28"/>
      <c r="RML6" s="28"/>
      <c r="RMM6" s="28"/>
      <c r="RMN6" s="28"/>
      <c r="RMO6" s="28"/>
      <c r="RMP6" s="28"/>
      <c r="RMQ6" s="28"/>
      <c r="RMR6" s="28"/>
      <c r="RMS6" s="28"/>
      <c r="RMT6" s="28"/>
      <c r="RMU6" s="28"/>
      <c r="RMV6" s="28"/>
      <c r="RMW6" s="28"/>
      <c r="RMX6" s="28"/>
      <c r="RMY6" s="28"/>
      <c r="RMZ6" s="28"/>
      <c r="RNA6" s="28"/>
      <c r="RNB6" s="28"/>
      <c r="RNC6" s="28"/>
      <c r="RND6" s="28"/>
      <c r="RNE6" s="28"/>
      <c r="RNF6" s="28"/>
      <c r="RNG6" s="28"/>
      <c r="RNH6" s="28"/>
      <c r="RNI6" s="28"/>
      <c r="RNJ6" s="28"/>
      <c r="RNK6" s="28"/>
      <c r="RNL6" s="28"/>
      <c r="RNM6" s="28"/>
      <c r="RNN6" s="28"/>
      <c r="RNO6" s="28"/>
      <c r="RNP6" s="28"/>
      <c r="RNQ6" s="28"/>
      <c r="RNR6" s="28"/>
      <c r="RNS6" s="28"/>
      <c r="RNT6" s="28"/>
      <c r="RNU6" s="28"/>
      <c r="RNV6" s="28"/>
      <c r="RNW6" s="28"/>
      <c r="RNX6" s="28"/>
      <c r="RNY6" s="28"/>
      <c r="RNZ6" s="28"/>
      <c r="ROA6" s="28"/>
      <c r="ROB6" s="28"/>
      <c r="ROC6" s="28"/>
      <c r="ROD6" s="28"/>
      <c r="ROE6" s="28"/>
      <c r="ROF6" s="28"/>
      <c r="ROG6" s="28"/>
      <c r="ROH6" s="28"/>
      <c r="ROI6" s="28"/>
      <c r="ROJ6" s="28"/>
      <c r="ROK6" s="28"/>
      <c r="ROL6" s="28"/>
      <c r="ROM6" s="28"/>
      <c r="RON6" s="28"/>
      <c r="ROO6" s="28"/>
      <c r="ROP6" s="28"/>
      <c r="ROQ6" s="28"/>
      <c r="ROR6" s="28"/>
      <c r="ROS6" s="28"/>
      <c r="ROT6" s="28"/>
      <c r="ROU6" s="28"/>
      <c r="ROV6" s="28"/>
      <c r="ROW6" s="28"/>
      <c r="ROX6" s="28"/>
      <c r="ROY6" s="28"/>
      <c r="ROZ6" s="28"/>
      <c r="RPA6" s="28"/>
      <c r="RPB6" s="28"/>
      <c r="RPC6" s="28"/>
      <c r="RPD6" s="28"/>
      <c r="RPE6" s="28"/>
      <c r="RPF6" s="28"/>
      <c r="RPG6" s="28"/>
      <c r="RPH6" s="28"/>
      <c r="RPI6" s="28"/>
      <c r="RPJ6" s="28"/>
      <c r="RPK6" s="28"/>
      <c r="RPL6" s="28"/>
      <c r="RPM6" s="28"/>
      <c r="RPN6" s="28"/>
      <c r="RPO6" s="28"/>
      <c r="RPP6" s="28"/>
      <c r="RPQ6" s="28"/>
      <c r="RPR6" s="28"/>
      <c r="RPS6" s="28"/>
      <c r="RPT6" s="28"/>
      <c r="RPU6" s="28"/>
      <c r="RPV6" s="28"/>
      <c r="RPW6" s="28"/>
      <c r="RPX6" s="28"/>
      <c r="RPY6" s="28"/>
      <c r="RPZ6" s="28"/>
      <c r="RQA6" s="28"/>
      <c r="RQB6" s="28"/>
      <c r="RQC6" s="28"/>
      <c r="RQD6" s="28"/>
      <c r="RQE6" s="28"/>
      <c r="RQF6" s="28"/>
      <c r="RQG6" s="28"/>
      <c r="RQH6" s="28"/>
      <c r="RQI6" s="28"/>
      <c r="RQJ6" s="28"/>
      <c r="RQK6" s="28"/>
      <c r="RQL6" s="28"/>
      <c r="RQM6" s="28"/>
      <c r="RQN6" s="28"/>
      <c r="RQO6" s="28"/>
      <c r="RQP6" s="28"/>
      <c r="RQQ6" s="28"/>
      <c r="RQR6" s="28"/>
      <c r="RQS6" s="28"/>
      <c r="RQT6" s="28"/>
      <c r="RQU6" s="28"/>
      <c r="RQV6" s="28"/>
      <c r="RQW6" s="28"/>
      <c r="RQX6" s="28"/>
      <c r="RQY6" s="28"/>
      <c r="RQZ6" s="28"/>
      <c r="RRA6" s="28"/>
      <c r="RRB6" s="28"/>
      <c r="RRC6" s="28"/>
      <c r="RRD6" s="28"/>
      <c r="RRE6" s="28"/>
      <c r="RRF6" s="28"/>
      <c r="RRG6" s="28"/>
      <c r="RRH6" s="28"/>
      <c r="RRI6" s="28"/>
      <c r="RRJ6" s="28"/>
      <c r="RRK6" s="28"/>
      <c r="RRL6" s="28"/>
      <c r="RRM6" s="28"/>
      <c r="RRN6" s="28"/>
      <c r="RRO6" s="28"/>
      <c r="RRP6" s="28"/>
      <c r="RRQ6" s="28"/>
      <c r="RRR6" s="28"/>
      <c r="RRS6" s="28"/>
      <c r="RRT6" s="28"/>
      <c r="RRU6" s="28"/>
      <c r="RRV6" s="28"/>
      <c r="RRW6" s="28"/>
      <c r="RRX6" s="28"/>
      <c r="RRY6" s="28"/>
      <c r="RRZ6" s="28"/>
      <c r="RSA6" s="28"/>
      <c r="RSB6" s="28"/>
      <c r="RSC6" s="28"/>
      <c r="RSD6" s="28"/>
      <c r="RSE6" s="28"/>
      <c r="RSF6" s="28"/>
      <c r="RSG6" s="28"/>
      <c r="RSH6" s="28"/>
      <c r="RSI6" s="28"/>
      <c r="RSJ6" s="28"/>
      <c r="RSK6" s="28"/>
      <c r="RSL6" s="28"/>
      <c r="RSM6" s="28"/>
      <c r="RSN6" s="28"/>
      <c r="RSO6" s="28"/>
      <c r="RSP6" s="28"/>
      <c r="RSQ6" s="28"/>
      <c r="RSR6" s="28"/>
      <c r="RSS6" s="28"/>
      <c r="RST6" s="28"/>
      <c r="RSU6" s="28"/>
      <c r="RSV6" s="28"/>
      <c r="RSW6" s="28"/>
      <c r="RSX6" s="28"/>
      <c r="RSY6" s="28"/>
      <c r="RSZ6" s="28"/>
      <c r="RTA6" s="28"/>
      <c r="RTB6" s="28"/>
      <c r="RTC6" s="28"/>
      <c r="RTD6" s="28"/>
      <c r="RTE6" s="28"/>
      <c r="RTF6" s="28"/>
      <c r="RTG6" s="28"/>
      <c r="RTH6" s="28"/>
      <c r="RTI6" s="28"/>
      <c r="RTJ6" s="28"/>
      <c r="RTK6" s="28"/>
      <c r="RTL6" s="28"/>
      <c r="RTM6" s="28"/>
      <c r="RTN6" s="28"/>
      <c r="RTO6" s="28"/>
      <c r="RTP6" s="28"/>
      <c r="RTQ6" s="28"/>
      <c r="RTR6" s="28"/>
      <c r="RTS6" s="28"/>
      <c r="RTT6" s="28"/>
      <c r="RTU6" s="28"/>
      <c r="RTV6" s="28"/>
      <c r="RTW6" s="28"/>
      <c r="RTX6" s="28"/>
      <c r="RTY6" s="28"/>
      <c r="RTZ6" s="28"/>
      <c r="RUA6" s="28"/>
      <c r="RUB6" s="28"/>
      <c r="RUC6" s="28"/>
      <c r="RUD6" s="28"/>
      <c r="RUE6" s="28"/>
      <c r="RUF6" s="28"/>
      <c r="RUG6" s="28"/>
      <c r="RUH6" s="28"/>
      <c r="RUI6" s="28"/>
      <c r="RUJ6" s="28"/>
      <c r="RUK6" s="28"/>
      <c r="RUL6" s="28"/>
      <c r="RUM6" s="28"/>
      <c r="RUN6" s="28"/>
      <c r="RUO6" s="28"/>
      <c r="RUP6" s="28"/>
      <c r="RUQ6" s="28"/>
      <c r="RUR6" s="28"/>
      <c r="RUS6" s="28"/>
      <c r="RUT6" s="28"/>
      <c r="RUU6" s="28"/>
      <c r="RUV6" s="28"/>
      <c r="RUW6" s="28"/>
      <c r="RUX6" s="28"/>
      <c r="RUY6" s="28"/>
      <c r="RUZ6" s="28"/>
      <c r="RVA6" s="28"/>
      <c r="RVB6" s="28"/>
      <c r="RVC6" s="28"/>
      <c r="RVD6" s="28"/>
      <c r="RVE6" s="28"/>
      <c r="RVF6" s="28"/>
      <c r="RVG6" s="28"/>
      <c r="RVH6" s="28"/>
      <c r="RVI6" s="28"/>
      <c r="RVJ6" s="28"/>
      <c r="RVK6" s="28"/>
      <c r="RVL6" s="28"/>
      <c r="RVM6" s="28"/>
      <c r="RVN6" s="28"/>
      <c r="RVO6" s="28"/>
      <c r="RVP6" s="28"/>
      <c r="RVQ6" s="28"/>
      <c r="RVR6" s="28"/>
      <c r="RVS6" s="28"/>
      <c r="RVT6" s="28"/>
      <c r="RVU6" s="28"/>
      <c r="RVV6" s="28"/>
      <c r="RVW6" s="28"/>
      <c r="RVX6" s="28"/>
      <c r="RVY6" s="28"/>
      <c r="RVZ6" s="28"/>
      <c r="RWA6" s="28"/>
      <c r="RWB6" s="28"/>
      <c r="RWC6" s="28"/>
      <c r="RWD6" s="28"/>
      <c r="RWE6" s="28"/>
      <c r="RWF6" s="28"/>
      <c r="RWG6" s="28"/>
      <c r="RWH6" s="28"/>
      <c r="RWI6" s="28"/>
      <c r="RWJ6" s="28"/>
      <c r="RWK6" s="28"/>
      <c r="RWL6" s="28"/>
      <c r="RWM6" s="28"/>
      <c r="RWN6" s="28"/>
      <c r="RWO6" s="28"/>
      <c r="RWP6" s="28"/>
      <c r="RWQ6" s="28"/>
      <c r="RWR6" s="28"/>
      <c r="RWS6" s="28"/>
      <c r="RWT6" s="28"/>
      <c r="RWU6" s="28"/>
      <c r="RWV6" s="28"/>
      <c r="RWW6" s="28"/>
      <c r="RWX6" s="28"/>
      <c r="RWY6" s="28"/>
      <c r="RWZ6" s="28"/>
      <c r="RXA6" s="28"/>
      <c r="RXB6" s="28"/>
      <c r="RXC6" s="28"/>
      <c r="RXD6" s="28"/>
      <c r="RXE6" s="28"/>
      <c r="RXF6" s="28"/>
      <c r="RXG6" s="28"/>
      <c r="RXH6" s="28"/>
      <c r="RXI6" s="28"/>
      <c r="RXJ6" s="28"/>
      <c r="RXK6" s="28"/>
      <c r="RXL6" s="28"/>
      <c r="RXM6" s="28"/>
      <c r="RXN6" s="28"/>
      <c r="RXO6" s="28"/>
      <c r="RXP6" s="28"/>
      <c r="RXQ6" s="28"/>
      <c r="RXR6" s="28"/>
      <c r="RXS6" s="28"/>
      <c r="RXT6" s="28"/>
      <c r="RXU6" s="28"/>
      <c r="RXV6" s="28"/>
      <c r="RXW6" s="28"/>
      <c r="RXX6" s="28"/>
      <c r="RXY6" s="28"/>
      <c r="RXZ6" s="28"/>
      <c r="RYA6" s="28"/>
      <c r="RYB6" s="28"/>
      <c r="RYC6" s="28"/>
      <c r="RYD6" s="28"/>
      <c r="RYE6" s="28"/>
      <c r="RYF6" s="28"/>
      <c r="RYG6" s="28"/>
      <c r="RYH6" s="28"/>
      <c r="RYI6" s="28"/>
      <c r="RYJ6" s="28"/>
      <c r="RYK6" s="28"/>
      <c r="RYL6" s="28"/>
      <c r="RYM6" s="28"/>
      <c r="RYN6" s="28"/>
      <c r="RYO6" s="28"/>
      <c r="RYP6" s="28"/>
      <c r="RYQ6" s="28"/>
      <c r="RYR6" s="28"/>
      <c r="RYS6" s="28"/>
      <c r="RYT6" s="28"/>
      <c r="RYU6" s="28"/>
      <c r="RYV6" s="28"/>
      <c r="RYW6" s="28"/>
      <c r="RYX6" s="28"/>
      <c r="RYY6" s="28"/>
      <c r="RYZ6" s="28"/>
      <c r="RZA6" s="28"/>
      <c r="RZB6" s="28"/>
      <c r="RZC6" s="28"/>
      <c r="RZD6" s="28"/>
      <c r="RZE6" s="28"/>
      <c r="RZF6" s="28"/>
      <c r="RZG6" s="28"/>
      <c r="RZH6" s="28"/>
      <c r="RZI6" s="28"/>
      <c r="RZJ6" s="28"/>
      <c r="RZK6" s="28"/>
      <c r="RZL6" s="28"/>
      <c r="RZM6" s="28"/>
      <c r="RZN6" s="28"/>
      <c r="RZO6" s="28"/>
      <c r="RZP6" s="28"/>
      <c r="RZQ6" s="28"/>
      <c r="RZR6" s="28"/>
      <c r="RZS6" s="28"/>
      <c r="RZT6" s="28"/>
      <c r="RZU6" s="28"/>
      <c r="RZV6" s="28"/>
      <c r="RZW6" s="28"/>
      <c r="RZX6" s="28"/>
      <c r="RZY6" s="28"/>
      <c r="RZZ6" s="28"/>
      <c r="SAA6" s="28"/>
      <c r="SAB6" s="28"/>
      <c r="SAC6" s="28"/>
      <c r="SAD6" s="28"/>
      <c r="SAE6" s="28"/>
      <c r="SAF6" s="28"/>
      <c r="SAG6" s="28"/>
      <c r="SAH6" s="28"/>
      <c r="SAI6" s="28"/>
      <c r="SAJ6" s="28"/>
      <c r="SAK6" s="28"/>
      <c r="SAL6" s="28"/>
      <c r="SAM6" s="28"/>
      <c r="SAN6" s="28"/>
      <c r="SAO6" s="28"/>
      <c r="SAP6" s="28"/>
      <c r="SAQ6" s="28"/>
      <c r="SAR6" s="28"/>
      <c r="SAS6" s="28"/>
      <c r="SAT6" s="28"/>
      <c r="SAU6" s="28"/>
      <c r="SAV6" s="28"/>
      <c r="SAW6" s="28"/>
      <c r="SAX6" s="28"/>
      <c r="SAY6" s="28"/>
      <c r="SAZ6" s="28"/>
      <c r="SBA6" s="28"/>
      <c r="SBB6" s="28"/>
      <c r="SBC6" s="28"/>
      <c r="SBD6" s="28"/>
      <c r="SBE6" s="28"/>
      <c r="SBF6" s="28"/>
      <c r="SBG6" s="28"/>
      <c r="SBH6" s="28"/>
      <c r="SBI6" s="28"/>
      <c r="SBJ6" s="28"/>
      <c r="SBK6" s="28"/>
      <c r="SBL6" s="28"/>
      <c r="SBM6" s="28"/>
      <c r="SBN6" s="28"/>
      <c r="SBO6" s="28"/>
      <c r="SBP6" s="28"/>
      <c r="SBQ6" s="28"/>
      <c r="SBR6" s="28"/>
      <c r="SBS6" s="28"/>
      <c r="SBT6" s="28"/>
      <c r="SBU6" s="28"/>
      <c r="SBV6" s="28"/>
      <c r="SBW6" s="28"/>
      <c r="SBX6" s="28"/>
      <c r="SBY6" s="28"/>
      <c r="SBZ6" s="28"/>
      <c r="SCA6" s="28"/>
      <c r="SCB6" s="28"/>
      <c r="SCC6" s="28"/>
      <c r="SCD6" s="28"/>
      <c r="SCE6" s="28"/>
      <c r="SCF6" s="28"/>
      <c r="SCG6" s="28"/>
      <c r="SCH6" s="28"/>
      <c r="SCI6" s="28"/>
      <c r="SCJ6" s="28"/>
      <c r="SCK6" s="28"/>
      <c r="SCL6" s="28"/>
      <c r="SCM6" s="28"/>
      <c r="SCN6" s="28"/>
      <c r="SCO6" s="28"/>
      <c r="SCP6" s="28"/>
      <c r="SCQ6" s="28"/>
      <c r="SCR6" s="28"/>
      <c r="SCS6" s="28"/>
      <c r="SCT6" s="28"/>
      <c r="SCU6" s="28"/>
      <c r="SCV6" s="28"/>
      <c r="SCW6" s="28"/>
      <c r="SCX6" s="28"/>
      <c r="SCY6" s="28"/>
      <c r="SCZ6" s="28"/>
      <c r="SDA6" s="28"/>
      <c r="SDB6" s="28"/>
      <c r="SDC6" s="28"/>
      <c r="SDD6" s="28"/>
      <c r="SDE6" s="28"/>
      <c r="SDF6" s="28"/>
      <c r="SDG6" s="28"/>
      <c r="SDH6" s="28"/>
      <c r="SDI6" s="28"/>
      <c r="SDJ6" s="28"/>
      <c r="SDK6" s="28"/>
      <c r="SDL6" s="28"/>
      <c r="SDM6" s="28"/>
      <c r="SDN6" s="28"/>
      <c r="SDO6" s="28"/>
      <c r="SDP6" s="28"/>
      <c r="SDQ6" s="28"/>
      <c r="SDR6" s="28"/>
      <c r="SDS6" s="28"/>
      <c r="SDT6" s="28"/>
      <c r="SDU6" s="28"/>
      <c r="SDV6" s="28"/>
      <c r="SDW6" s="28"/>
      <c r="SDX6" s="28"/>
      <c r="SDY6" s="28"/>
      <c r="SDZ6" s="28"/>
      <c r="SEA6" s="28"/>
      <c r="SEB6" s="28"/>
      <c r="SEC6" s="28"/>
      <c r="SED6" s="28"/>
      <c r="SEE6" s="28"/>
      <c r="SEF6" s="28"/>
      <c r="SEG6" s="28"/>
      <c r="SEH6" s="28"/>
      <c r="SEI6" s="28"/>
      <c r="SEJ6" s="28"/>
      <c r="SEK6" s="28"/>
      <c r="SEL6" s="28"/>
      <c r="SEM6" s="28"/>
      <c r="SEN6" s="28"/>
      <c r="SEO6" s="28"/>
      <c r="SEP6" s="28"/>
      <c r="SEQ6" s="28"/>
      <c r="SER6" s="28"/>
      <c r="SES6" s="28"/>
      <c r="SET6" s="28"/>
      <c r="SEU6" s="28"/>
      <c r="SEV6" s="28"/>
      <c r="SEW6" s="28"/>
      <c r="SEX6" s="28"/>
      <c r="SEY6" s="28"/>
      <c r="SEZ6" s="28"/>
      <c r="SFA6" s="28"/>
      <c r="SFB6" s="28"/>
      <c r="SFC6" s="28"/>
      <c r="SFD6" s="28"/>
      <c r="SFE6" s="28"/>
      <c r="SFF6" s="28"/>
      <c r="SFG6" s="28"/>
      <c r="SFH6" s="28"/>
      <c r="SFI6" s="28"/>
      <c r="SFJ6" s="28"/>
      <c r="SFK6" s="28"/>
      <c r="SFL6" s="28"/>
      <c r="SFM6" s="28"/>
      <c r="SFN6" s="28"/>
      <c r="SFO6" s="28"/>
      <c r="SFP6" s="28"/>
      <c r="SFQ6" s="28"/>
      <c r="SFR6" s="28"/>
      <c r="SFS6" s="28"/>
      <c r="SFT6" s="28"/>
      <c r="SFU6" s="28"/>
      <c r="SFV6" s="28"/>
      <c r="SFW6" s="28"/>
      <c r="SFX6" s="28"/>
      <c r="SFY6" s="28"/>
      <c r="SFZ6" s="28"/>
      <c r="SGA6" s="28"/>
      <c r="SGB6" s="28"/>
      <c r="SGC6" s="28"/>
      <c r="SGD6" s="28"/>
      <c r="SGE6" s="28"/>
      <c r="SGF6" s="28"/>
      <c r="SGG6" s="28"/>
      <c r="SGH6" s="28"/>
      <c r="SGI6" s="28"/>
      <c r="SGJ6" s="28"/>
      <c r="SGK6" s="28"/>
      <c r="SGL6" s="28"/>
      <c r="SGM6" s="28"/>
      <c r="SGN6" s="28"/>
      <c r="SGO6" s="28"/>
      <c r="SGP6" s="28"/>
      <c r="SGQ6" s="28"/>
      <c r="SGR6" s="28"/>
      <c r="SGS6" s="28"/>
      <c r="SGT6" s="28"/>
      <c r="SGU6" s="28"/>
      <c r="SGV6" s="28"/>
      <c r="SGW6" s="28"/>
      <c r="SGX6" s="28"/>
      <c r="SGY6" s="28"/>
      <c r="SGZ6" s="28"/>
      <c r="SHA6" s="28"/>
      <c r="SHB6" s="28"/>
      <c r="SHC6" s="28"/>
      <c r="SHD6" s="28"/>
      <c r="SHE6" s="28"/>
      <c r="SHF6" s="28"/>
      <c r="SHG6" s="28"/>
      <c r="SHH6" s="28"/>
      <c r="SHI6" s="28"/>
      <c r="SHJ6" s="28"/>
      <c r="SHK6" s="28"/>
      <c r="SHL6" s="28"/>
      <c r="SHM6" s="28"/>
      <c r="SHN6" s="28"/>
      <c r="SHO6" s="28"/>
      <c r="SHP6" s="28"/>
      <c r="SHQ6" s="28"/>
      <c r="SHR6" s="28"/>
      <c r="SHS6" s="28"/>
      <c r="SHT6" s="28"/>
      <c r="SHU6" s="28"/>
      <c r="SHV6" s="28"/>
      <c r="SHW6" s="28"/>
      <c r="SHX6" s="28"/>
      <c r="SHY6" s="28"/>
      <c r="SHZ6" s="28"/>
      <c r="SIA6" s="28"/>
      <c r="SIB6" s="28"/>
      <c r="SIC6" s="28"/>
      <c r="SID6" s="28"/>
      <c r="SIE6" s="28"/>
      <c r="SIF6" s="28"/>
      <c r="SIG6" s="28"/>
      <c r="SIH6" s="28"/>
      <c r="SII6" s="28"/>
      <c r="SIJ6" s="28"/>
      <c r="SIK6" s="28"/>
      <c r="SIL6" s="28"/>
      <c r="SIM6" s="28"/>
      <c r="SIN6" s="28"/>
      <c r="SIO6" s="28"/>
      <c r="SIP6" s="28"/>
      <c r="SIQ6" s="28"/>
      <c r="SIR6" s="28"/>
      <c r="SIS6" s="28"/>
      <c r="SIT6" s="28"/>
      <c r="SIU6" s="28"/>
      <c r="SIV6" s="28"/>
      <c r="SIW6" s="28"/>
      <c r="SIX6" s="28"/>
      <c r="SIY6" s="28"/>
      <c r="SIZ6" s="28"/>
      <c r="SJA6" s="28"/>
      <c r="SJB6" s="28"/>
      <c r="SJC6" s="28"/>
      <c r="SJD6" s="28"/>
      <c r="SJE6" s="28"/>
      <c r="SJF6" s="28"/>
      <c r="SJG6" s="28"/>
      <c r="SJH6" s="28"/>
      <c r="SJI6" s="28"/>
      <c r="SJJ6" s="28"/>
      <c r="SJK6" s="28"/>
      <c r="SJL6" s="28"/>
      <c r="SJM6" s="28"/>
      <c r="SJN6" s="28"/>
      <c r="SJO6" s="28"/>
      <c r="SJP6" s="28"/>
      <c r="SJQ6" s="28"/>
      <c r="SJR6" s="28"/>
      <c r="SJS6" s="28"/>
      <c r="SJT6" s="28"/>
      <c r="SJU6" s="28"/>
      <c r="SJV6" s="28"/>
      <c r="SJW6" s="28"/>
      <c r="SJX6" s="28"/>
      <c r="SJY6" s="28"/>
      <c r="SJZ6" s="28"/>
      <c r="SKA6" s="28"/>
      <c r="SKB6" s="28"/>
      <c r="SKC6" s="28"/>
      <c r="SKD6" s="28"/>
      <c r="SKE6" s="28"/>
      <c r="SKF6" s="28"/>
      <c r="SKG6" s="28"/>
      <c r="SKH6" s="28"/>
      <c r="SKI6" s="28"/>
      <c r="SKJ6" s="28"/>
      <c r="SKK6" s="28"/>
      <c r="SKL6" s="28"/>
      <c r="SKM6" s="28"/>
      <c r="SKN6" s="28"/>
      <c r="SKO6" s="28"/>
      <c r="SKP6" s="28"/>
      <c r="SKQ6" s="28"/>
      <c r="SKR6" s="28"/>
      <c r="SKS6" s="28"/>
      <c r="SKT6" s="28"/>
      <c r="SKU6" s="28"/>
      <c r="SKV6" s="28"/>
      <c r="SKW6" s="28"/>
      <c r="SKX6" s="28"/>
      <c r="SKY6" s="28"/>
      <c r="SKZ6" s="28"/>
      <c r="SLA6" s="28"/>
      <c r="SLB6" s="28"/>
      <c r="SLC6" s="28"/>
      <c r="SLD6" s="28"/>
      <c r="SLE6" s="28"/>
      <c r="SLF6" s="28"/>
      <c r="SLG6" s="28"/>
      <c r="SLH6" s="28"/>
      <c r="SLI6" s="28"/>
      <c r="SLJ6" s="28"/>
      <c r="SLK6" s="28"/>
      <c r="SLL6" s="28"/>
      <c r="SLM6" s="28"/>
      <c r="SLN6" s="28"/>
      <c r="SLO6" s="28"/>
      <c r="SLP6" s="28"/>
      <c r="SLQ6" s="28"/>
      <c r="SLR6" s="28"/>
      <c r="SLS6" s="28"/>
      <c r="SLT6" s="28"/>
      <c r="SLU6" s="28"/>
      <c r="SLV6" s="28"/>
      <c r="SLW6" s="28"/>
      <c r="SLX6" s="28"/>
      <c r="SLY6" s="28"/>
      <c r="SLZ6" s="28"/>
      <c r="SMA6" s="28"/>
      <c r="SMB6" s="28"/>
      <c r="SMC6" s="28"/>
      <c r="SMD6" s="28"/>
      <c r="SME6" s="28"/>
      <c r="SMF6" s="28"/>
      <c r="SMG6" s="28"/>
      <c r="SMH6" s="28"/>
      <c r="SMI6" s="28"/>
      <c r="SMJ6" s="28"/>
      <c r="SMK6" s="28"/>
      <c r="SML6" s="28"/>
      <c r="SMM6" s="28"/>
      <c r="SMN6" s="28"/>
      <c r="SMO6" s="28"/>
      <c r="SMP6" s="28"/>
      <c r="SMQ6" s="28"/>
      <c r="SMR6" s="28"/>
      <c r="SMS6" s="28"/>
      <c r="SMT6" s="28"/>
      <c r="SMU6" s="28"/>
      <c r="SMV6" s="28"/>
      <c r="SMW6" s="28"/>
      <c r="SMX6" s="28"/>
      <c r="SMY6" s="28"/>
      <c r="SMZ6" s="28"/>
      <c r="SNA6" s="28"/>
      <c r="SNB6" s="28"/>
      <c r="SNC6" s="28"/>
      <c r="SND6" s="28"/>
      <c r="SNE6" s="28"/>
      <c r="SNF6" s="28"/>
      <c r="SNG6" s="28"/>
      <c r="SNH6" s="28"/>
      <c r="SNI6" s="28"/>
      <c r="SNJ6" s="28"/>
      <c r="SNK6" s="28"/>
      <c r="SNL6" s="28"/>
      <c r="SNM6" s="28"/>
      <c r="SNN6" s="28"/>
      <c r="SNO6" s="28"/>
      <c r="SNP6" s="28"/>
      <c r="SNQ6" s="28"/>
      <c r="SNR6" s="28"/>
      <c r="SNS6" s="28"/>
      <c r="SNT6" s="28"/>
      <c r="SNU6" s="28"/>
      <c r="SNV6" s="28"/>
      <c r="SNW6" s="28"/>
      <c r="SNX6" s="28"/>
      <c r="SNY6" s="28"/>
      <c r="SNZ6" s="28"/>
      <c r="SOA6" s="28"/>
      <c r="SOB6" s="28"/>
      <c r="SOC6" s="28"/>
      <c r="SOD6" s="28"/>
      <c r="SOE6" s="28"/>
      <c r="SOF6" s="28"/>
      <c r="SOG6" s="28"/>
      <c r="SOH6" s="28"/>
      <c r="SOI6" s="28"/>
      <c r="SOJ6" s="28"/>
      <c r="SOK6" s="28"/>
      <c r="SOL6" s="28"/>
      <c r="SOM6" s="28"/>
      <c r="SON6" s="28"/>
      <c r="SOO6" s="28"/>
      <c r="SOP6" s="28"/>
      <c r="SOQ6" s="28"/>
      <c r="SOR6" s="28"/>
      <c r="SOS6" s="28"/>
      <c r="SOT6" s="28"/>
      <c r="SOU6" s="28"/>
      <c r="SOV6" s="28"/>
      <c r="SOW6" s="28"/>
      <c r="SOX6" s="28"/>
      <c r="SOY6" s="28"/>
      <c r="SOZ6" s="28"/>
      <c r="SPA6" s="28"/>
      <c r="SPB6" s="28"/>
      <c r="SPC6" s="28"/>
      <c r="SPD6" s="28"/>
      <c r="SPE6" s="28"/>
      <c r="SPF6" s="28"/>
      <c r="SPG6" s="28"/>
      <c r="SPH6" s="28"/>
      <c r="SPI6" s="28"/>
      <c r="SPJ6" s="28"/>
      <c r="SPK6" s="28"/>
      <c r="SPL6" s="28"/>
      <c r="SPM6" s="28"/>
      <c r="SPN6" s="28"/>
      <c r="SPO6" s="28"/>
      <c r="SPP6" s="28"/>
      <c r="SPQ6" s="28"/>
      <c r="SPR6" s="28"/>
      <c r="SPS6" s="28"/>
      <c r="SPT6" s="28"/>
      <c r="SPU6" s="28"/>
      <c r="SPV6" s="28"/>
      <c r="SPW6" s="28"/>
      <c r="SPX6" s="28"/>
      <c r="SPY6" s="28"/>
      <c r="SPZ6" s="28"/>
      <c r="SQA6" s="28"/>
      <c r="SQB6" s="28"/>
      <c r="SQC6" s="28"/>
      <c r="SQD6" s="28"/>
      <c r="SQE6" s="28"/>
      <c r="SQF6" s="28"/>
      <c r="SQG6" s="28"/>
      <c r="SQH6" s="28"/>
      <c r="SQI6" s="28"/>
      <c r="SQJ6" s="28"/>
      <c r="SQK6" s="28"/>
      <c r="SQL6" s="28"/>
      <c r="SQM6" s="28"/>
      <c r="SQN6" s="28"/>
      <c r="SQO6" s="28"/>
      <c r="SQP6" s="28"/>
      <c r="SQQ6" s="28"/>
      <c r="SQR6" s="28"/>
      <c r="SQS6" s="28"/>
      <c r="SQT6" s="28"/>
      <c r="SQU6" s="28"/>
      <c r="SQV6" s="28"/>
      <c r="SQW6" s="28"/>
      <c r="SQX6" s="28"/>
      <c r="SQY6" s="28"/>
      <c r="SQZ6" s="28"/>
      <c r="SRA6" s="28"/>
      <c r="SRB6" s="28"/>
      <c r="SRC6" s="28"/>
      <c r="SRD6" s="28"/>
      <c r="SRE6" s="28"/>
      <c r="SRF6" s="28"/>
      <c r="SRG6" s="28"/>
      <c r="SRH6" s="28"/>
      <c r="SRI6" s="28"/>
      <c r="SRJ6" s="28"/>
      <c r="SRK6" s="28"/>
      <c r="SRL6" s="28"/>
      <c r="SRM6" s="28"/>
      <c r="SRN6" s="28"/>
      <c r="SRO6" s="28"/>
      <c r="SRP6" s="28"/>
      <c r="SRQ6" s="28"/>
      <c r="SRR6" s="28"/>
      <c r="SRS6" s="28"/>
      <c r="SRT6" s="28"/>
      <c r="SRU6" s="28"/>
      <c r="SRV6" s="28"/>
      <c r="SRW6" s="28"/>
      <c r="SRX6" s="28"/>
      <c r="SRY6" s="28"/>
      <c r="SRZ6" s="28"/>
      <c r="SSA6" s="28"/>
      <c r="SSB6" s="28"/>
      <c r="SSC6" s="28"/>
      <c r="SSD6" s="28"/>
      <c r="SSE6" s="28"/>
      <c r="SSF6" s="28"/>
      <c r="SSG6" s="28"/>
      <c r="SSH6" s="28"/>
      <c r="SSI6" s="28"/>
      <c r="SSJ6" s="28"/>
      <c r="SSK6" s="28"/>
      <c r="SSL6" s="28"/>
      <c r="SSM6" s="28"/>
      <c r="SSN6" s="28"/>
      <c r="SSO6" s="28"/>
      <c r="SSP6" s="28"/>
      <c r="SSQ6" s="28"/>
      <c r="SSR6" s="28"/>
      <c r="SSS6" s="28"/>
      <c r="SST6" s="28"/>
      <c r="SSU6" s="28"/>
      <c r="SSV6" s="28"/>
      <c r="SSW6" s="28"/>
      <c r="SSX6" s="28"/>
      <c r="SSY6" s="28"/>
      <c r="SSZ6" s="28"/>
      <c r="STA6" s="28"/>
      <c r="STB6" s="28"/>
      <c r="STC6" s="28"/>
      <c r="STD6" s="28"/>
      <c r="STE6" s="28"/>
      <c r="STF6" s="28"/>
      <c r="STG6" s="28"/>
      <c r="STH6" s="28"/>
      <c r="STI6" s="28"/>
      <c r="STJ6" s="28"/>
      <c r="STK6" s="28"/>
      <c r="STL6" s="28"/>
      <c r="STM6" s="28"/>
      <c r="STN6" s="28"/>
      <c r="STO6" s="28"/>
      <c r="STP6" s="28"/>
      <c r="STQ6" s="28"/>
      <c r="STR6" s="28"/>
      <c r="STS6" s="28"/>
      <c r="STT6" s="28"/>
      <c r="STU6" s="28"/>
      <c r="STV6" s="28"/>
      <c r="STW6" s="28"/>
      <c r="STX6" s="28"/>
      <c r="STY6" s="28"/>
      <c r="STZ6" s="28"/>
      <c r="SUA6" s="28"/>
      <c r="SUB6" s="28"/>
      <c r="SUC6" s="28"/>
      <c r="SUD6" s="28"/>
      <c r="SUE6" s="28"/>
      <c r="SUF6" s="28"/>
      <c r="SUG6" s="28"/>
      <c r="SUH6" s="28"/>
      <c r="SUI6" s="28"/>
      <c r="SUJ6" s="28"/>
      <c r="SUK6" s="28"/>
      <c r="SUL6" s="28"/>
      <c r="SUM6" s="28"/>
      <c r="SUN6" s="28"/>
      <c r="SUO6" s="28"/>
      <c r="SUP6" s="28"/>
      <c r="SUQ6" s="28"/>
      <c r="SUR6" s="28"/>
      <c r="SUS6" s="28"/>
      <c r="SUT6" s="28"/>
      <c r="SUU6" s="28"/>
      <c r="SUV6" s="28"/>
      <c r="SUW6" s="28"/>
      <c r="SUX6" s="28"/>
      <c r="SUY6" s="28"/>
      <c r="SUZ6" s="28"/>
      <c r="SVA6" s="28"/>
      <c r="SVB6" s="28"/>
      <c r="SVC6" s="28"/>
      <c r="SVD6" s="28"/>
      <c r="SVE6" s="28"/>
      <c r="SVF6" s="28"/>
      <c r="SVG6" s="28"/>
      <c r="SVH6" s="28"/>
      <c r="SVI6" s="28"/>
      <c r="SVJ6" s="28"/>
      <c r="SVK6" s="28"/>
      <c r="SVL6" s="28"/>
      <c r="SVM6" s="28"/>
      <c r="SVN6" s="28"/>
      <c r="SVO6" s="28"/>
      <c r="SVP6" s="28"/>
      <c r="SVQ6" s="28"/>
      <c r="SVR6" s="28"/>
      <c r="SVS6" s="28"/>
      <c r="SVT6" s="28"/>
      <c r="SVU6" s="28"/>
      <c r="SVV6" s="28"/>
      <c r="SVW6" s="28"/>
      <c r="SVX6" s="28"/>
      <c r="SVY6" s="28"/>
      <c r="SVZ6" s="28"/>
      <c r="SWA6" s="28"/>
      <c r="SWB6" s="28"/>
      <c r="SWC6" s="28"/>
      <c r="SWD6" s="28"/>
      <c r="SWE6" s="28"/>
      <c r="SWF6" s="28"/>
      <c r="SWG6" s="28"/>
      <c r="SWH6" s="28"/>
      <c r="SWI6" s="28"/>
      <c r="SWJ6" s="28"/>
      <c r="SWK6" s="28"/>
      <c r="SWL6" s="28"/>
      <c r="SWM6" s="28"/>
      <c r="SWN6" s="28"/>
      <c r="SWO6" s="28"/>
      <c r="SWP6" s="28"/>
      <c r="SWQ6" s="28"/>
      <c r="SWR6" s="28"/>
      <c r="SWS6" s="28"/>
      <c r="SWT6" s="28"/>
      <c r="SWU6" s="28"/>
      <c r="SWV6" s="28"/>
      <c r="SWW6" s="28"/>
      <c r="SWX6" s="28"/>
      <c r="SWY6" s="28"/>
      <c r="SWZ6" s="28"/>
      <c r="SXA6" s="28"/>
      <c r="SXB6" s="28"/>
      <c r="SXC6" s="28"/>
      <c r="SXD6" s="28"/>
      <c r="SXE6" s="28"/>
      <c r="SXF6" s="28"/>
      <c r="SXG6" s="28"/>
      <c r="SXH6" s="28"/>
      <c r="SXI6" s="28"/>
      <c r="SXJ6" s="28"/>
      <c r="SXK6" s="28"/>
      <c r="SXL6" s="28"/>
      <c r="SXM6" s="28"/>
      <c r="SXN6" s="28"/>
      <c r="SXO6" s="28"/>
      <c r="SXP6" s="28"/>
      <c r="SXQ6" s="28"/>
      <c r="SXR6" s="28"/>
      <c r="SXS6" s="28"/>
      <c r="SXT6" s="28"/>
      <c r="SXU6" s="28"/>
      <c r="SXV6" s="28"/>
      <c r="SXW6" s="28"/>
      <c r="SXX6" s="28"/>
      <c r="SXY6" s="28"/>
      <c r="SXZ6" s="28"/>
      <c r="SYA6" s="28"/>
      <c r="SYB6" s="28"/>
      <c r="SYC6" s="28"/>
      <c r="SYD6" s="28"/>
      <c r="SYE6" s="28"/>
      <c r="SYF6" s="28"/>
      <c r="SYG6" s="28"/>
      <c r="SYH6" s="28"/>
      <c r="SYI6" s="28"/>
      <c r="SYJ6" s="28"/>
      <c r="SYK6" s="28"/>
      <c r="SYL6" s="28"/>
      <c r="SYM6" s="28"/>
      <c r="SYN6" s="28"/>
      <c r="SYO6" s="28"/>
      <c r="SYP6" s="28"/>
      <c r="SYQ6" s="28"/>
      <c r="SYR6" s="28"/>
      <c r="SYS6" s="28"/>
      <c r="SYT6" s="28"/>
      <c r="SYU6" s="28"/>
      <c r="SYV6" s="28"/>
      <c r="SYW6" s="28"/>
      <c r="SYX6" s="28"/>
      <c r="SYY6" s="28"/>
      <c r="SYZ6" s="28"/>
      <c r="SZA6" s="28"/>
      <c r="SZB6" s="28"/>
      <c r="SZC6" s="28"/>
      <c r="SZD6" s="28"/>
      <c r="SZE6" s="28"/>
      <c r="SZF6" s="28"/>
      <c r="SZG6" s="28"/>
      <c r="SZH6" s="28"/>
      <c r="SZI6" s="28"/>
      <c r="SZJ6" s="28"/>
      <c r="SZK6" s="28"/>
      <c r="SZL6" s="28"/>
      <c r="SZM6" s="28"/>
      <c r="SZN6" s="28"/>
      <c r="SZO6" s="28"/>
      <c r="SZP6" s="28"/>
      <c r="SZQ6" s="28"/>
      <c r="SZR6" s="28"/>
      <c r="SZS6" s="28"/>
      <c r="SZT6" s="28"/>
      <c r="SZU6" s="28"/>
      <c r="SZV6" s="28"/>
      <c r="SZW6" s="28"/>
      <c r="SZX6" s="28"/>
      <c r="SZY6" s="28"/>
      <c r="SZZ6" s="28"/>
      <c r="TAA6" s="28"/>
      <c r="TAB6" s="28"/>
      <c r="TAC6" s="28"/>
      <c r="TAD6" s="28"/>
      <c r="TAE6" s="28"/>
      <c r="TAF6" s="28"/>
      <c r="TAG6" s="28"/>
      <c r="TAH6" s="28"/>
      <c r="TAI6" s="28"/>
      <c r="TAJ6" s="28"/>
      <c r="TAK6" s="28"/>
      <c r="TAL6" s="28"/>
      <c r="TAM6" s="28"/>
      <c r="TAN6" s="28"/>
      <c r="TAO6" s="28"/>
      <c r="TAP6" s="28"/>
      <c r="TAQ6" s="28"/>
      <c r="TAR6" s="28"/>
      <c r="TAS6" s="28"/>
      <c r="TAT6" s="28"/>
      <c r="TAU6" s="28"/>
      <c r="TAV6" s="28"/>
      <c r="TAW6" s="28"/>
      <c r="TAX6" s="28"/>
      <c r="TAY6" s="28"/>
      <c r="TAZ6" s="28"/>
      <c r="TBA6" s="28"/>
      <c r="TBB6" s="28"/>
      <c r="TBC6" s="28"/>
      <c r="TBD6" s="28"/>
      <c r="TBE6" s="28"/>
      <c r="TBF6" s="28"/>
      <c r="TBG6" s="28"/>
      <c r="TBH6" s="28"/>
      <c r="TBI6" s="28"/>
      <c r="TBJ6" s="28"/>
      <c r="TBK6" s="28"/>
      <c r="TBL6" s="28"/>
      <c r="TBM6" s="28"/>
      <c r="TBN6" s="28"/>
      <c r="TBO6" s="28"/>
      <c r="TBP6" s="28"/>
      <c r="TBQ6" s="28"/>
      <c r="TBR6" s="28"/>
      <c r="TBS6" s="28"/>
      <c r="TBT6" s="28"/>
      <c r="TBU6" s="28"/>
      <c r="TBV6" s="28"/>
      <c r="TBW6" s="28"/>
      <c r="TBX6" s="28"/>
      <c r="TBY6" s="28"/>
      <c r="TBZ6" s="28"/>
      <c r="TCA6" s="28"/>
      <c r="TCB6" s="28"/>
      <c r="TCC6" s="28"/>
      <c r="TCD6" s="28"/>
      <c r="TCE6" s="28"/>
      <c r="TCF6" s="28"/>
      <c r="TCG6" s="28"/>
      <c r="TCH6" s="28"/>
      <c r="TCI6" s="28"/>
      <c r="TCJ6" s="28"/>
      <c r="TCK6" s="28"/>
      <c r="TCL6" s="28"/>
      <c r="TCM6" s="28"/>
      <c r="TCN6" s="28"/>
      <c r="TCO6" s="28"/>
      <c r="TCP6" s="28"/>
      <c r="TCQ6" s="28"/>
      <c r="TCR6" s="28"/>
      <c r="TCS6" s="28"/>
      <c r="TCT6" s="28"/>
      <c r="TCU6" s="28"/>
      <c r="TCV6" s="28"/>
      <c r="TCW6" s="28"/>
      <c r="TCX6" s="28"/>
      <c r="TCY6" s="28"/>
      <c r="TCZ6" s="28"/>
      <c r="TDA6" s="28"/>
      <c r="TDB6" s="28"/>
      <c r="TDC6" s="28"/>
      <c r="TDD6" s="28"/>
      <c r="TDE6" s="28"/>
      <c r="TDF6" s="28"/>
      <c r="TDG6" s="28"/>
      <c r="TDH6" s="28"/>
      <c r="TDI6" s="28"/>
      <c r="TDJ6" s="28"/>
      <c r="TDK6" s="28"/>
      <c r="TDL6" s="28"/>
      <c r="TDM6" s="28"/>
      <c r="TDN6" s="28"/>
      <c r="TDO6" s="28"/>
      <c r="TDP6" s="28"/>
      <c r="TDQ6" s="28"/>
      <c r="TDR6" s="28"/>
      <c r="TDS6" s="28"/>
      <c r="TDT6" s="28"/>
      <c r="TDU6" s="28"/>
      <c r="TDV6" s="28"/>
      <c r="TDW6" s="28"/>
      <c r="TDX6" s="28"/>
      <c r="TDY6" s="28"/>
      <c r="TDZ6" s="28"/>
      <c r="TEA6" s="28"/>
      <c r="TEB6" s="28"/>
      <c r="TEC6" s="28"/>
      <c r="TED6" s="28"/>
      <c r="TEE6" s="28"/>
      <c r="TEF6" s="28"/>
      <c r="TEG6" s="28"/>
      <c r="TEH6" s="28"/>
      <c r="TEI6" s="28"/>
      <c r="TEJ6" s="28"/>
      <c r="TEK6" s="28"/>
      <c r="TEL6" s="28"/>
      <c r="TEM6" s="28"/>
      <c r="TEN6" s="28"/>
      <c r="TEO6" s="28"/>
      <c r="TEP6" s="28"/>
      <c r="TEQ6" s="28"/>
      <c r="TER6" s="28"/>
      <c r="TES6" s="28"/>
      <c r="TET6" s="28"/>
      <c r="TEU6" s="28"/>
      <c r="TEV6" s="28"/>
      <c r="TEW6" s="28"/>
      <c r="TEX6" s="28"/>
      <c r="TEY6" s="28"/>
      <c r="TEZ6" s="28"/>
      <c r="TFA6" s="28"/>
      <c r="TFB6" s="28"/>
      <c r="TFC6" s="28"/>
      <c r="TFD6" s="28"/>
      <c r="TFE6" s="28"/>
      <c r="TFF6" s="28"/>
      <c r="TFG6" s="28"/>
      <c r="TFH6" s="28"/>
      <c r="TFI6" s="28"/>
      <c r="TFJ6" s="28"/>
      <c r="TFK6" s="28"/>
      <c r="TFL6" s="28"/>
      <c r="TFM6" s="28"/>
      <c r="TFN6" s="28"/>
      <c r="TFO6" s="28"/>
      <c r="TFP6" s="28"/>
      <c r="TFQ6" s="28"/>
      <c r="TFR6" s="28"/>
      <c r="TFS6" s="28"/>
      <c r="TFT6" s="28"/>
      <c r="TFU6" s="28"/>
      <c r="TFV6" s="28"/>
      <c r="TFW6" s="28"/>
      <c r="TFX6" s="28"/>
      <c r="TFY6" s="28"/>
      <c r="TFZ6" s="28"/>
      <c r="TGA6" s="28"/>
      <c r="TGB6" s="28"/>
      <c r="TGC6" s="28"/>
      <c r="TGD6" s="28"/>
      <c r="TGE6" s="28"/>
      <c r="TGF6" s="28"/>
      <c r="TGG6" s="28"/>
      <c r="TGH6" s="28"/>
      <c r="TGI6" s="28"/>
      <c r="TGJ6" s="28"/>
      <c r="TGK6" s="28"/>
      <c r="TGL6" s="28"/>
      <c r="TGM6" s="28"/>
      <c r="TGN6" s="28"/>
      <c r="TGO6" s="28"/>
      <c r="TGP6" s="28"/>
      <c r="TGQ6" s="28"/>
      <c r="TGR6" s="28"/>
      <c r="TGS6" s="28"/>
      <c r="TGT6" s="28"/>
      <c r="TGU6" s="28"/>
      <c r="TGV6" s="28"/>
      <c r="TGW6" s="28"/>
      <c r="TGX6" s="28"/>
      <c r="TGY6" s="28"/>
      <c r="TGZ6" s="28"/>
      <c r="THA6" s="28"/>
      <c r="THB6" s="28"/>
      <c r="THC6" s="28"/>
      <c r="THD6" s="28"/>
      <c r="THE6" s="28"/>
      <c r="THF6" s="28"/>
      <c r="THG6" s="28"/>
      <c r="THH6" s="28"/>
      <c r="THI6" s="28"/>
      <c r="THJ6" s="28"/>
      <c r="THK6" s="28"/>
      <c r="THL6" s="28"/>
      <c r="THM6" s="28"/>
      <c r="THN6" s="28"/>
      <c r="THO6" s="28"/>
      <c r="THP6" s="28"/>
      <c r="THQ6" s="28"/>
      <c r="THR6" s="28"/>
      <c r="THS6" s="28"/>
      <c r="THT6" s="28"/>
      <c r="THU6" s="28"/>
      <c r="THV6" s="28"/>
      <c r="THW6" s="28"/>
      <c r="THX6" s="28"/>
      <c r="THY6" s="28"/>
      <c r="THZ6" s="28"/>
      <c r="TIA6" s="28"/>
      <c r="TIB6" s="28"/>
      <c r="TIC6" s="28"/>
      <c r="TID6" s="28"/>
      <c r="TIE6" s="28"/>
      <c r="TIF6" s="28"/>
      <c r="TIG6" s="28"/>
      <c r="TIH6" s="28"/>
      <c r="TII6" s="28"/>
      <c r="TIJ6" s="28"/>
      <c r="TIK6" s="28"/>
      <c r="TIL6" s="28"/>
      <c r="TIM6" s="28"/>
      <c r="TIN6" s="28"/>
      <c r="TIO6" s="28"/>
      <c r="TIP6" s="28"/>
      <c r="TIQ6" s="28"/>
      <c r="TIR6" s="28"/>
      <c r="TIS6" s="28"/>
      <c r="TIT6" s="28"/>
      <c r="TIU6" s="28"/>
      <c r="TIV6" s="28"/>
      <c r="TIW6" s="28"/>
      <c r="TIX6" s="28"/>
      <c r="TIY6" s="28"/>
      <c r="TIZ6" s="28"/>
      <c r="TJA6" s="28"/>
      <c r="TJB6" s="28"/>
      <c r="TJC6" s="28"/>
      <c r="TJD6" s="28"/>
      <c r="TJE6" s="28"/>
      <c r="TJF6" s="28"/>
      <c r="TJG6" s="28"/>
      <c r="TJH6" s="28"/>
      <c r="TJI6" s="28"/>
      <c r="TJJ6" s="28"/>
      <c r="TJK6" s="28"/>
      <c r="TJL6" s="28"/>
      <c r="TJM6" s="28"/>
      <c r="TJN6" s="28"/>
      <c r="TJO6" s="28"/>
      <c r="TJP6" s="28"/>
      <c r="TJQ6" s="28"/>
      <c r="TJR6" s="28"/>
      <c r="TJS6" s="28"/>
      <c r="TJT6" s="28"/>
      <c r="TJU6" s="28"/>
      <c r="TJV6" s="28"/>
      <c r="TJW6" s="28"/>
      <c r="TJX6" s="28"/>
      <c r="TJY6" s="28"/>
      <c r="TJZ6" s="28"/>
      <c r="TKA6" s="28"/>
      <c r="TKB6" s="28"/>
      <c r="TKC6" s="28"/>
      <c r="TKD6" s="28"/>
      <c r="TKE6" s="28"/>
      <c r="TKF6" s="28"/>
      <c r="TKG6" s="28"/>
      <c r="TKH6" s="28"/>
      <c r="TKI6" s="28"/>
      <c r="TKJ6" s="28"/>
      <c r="TKK6" s="28"/>
      <c r="TKL6" s="28"/>
      <c r="TKM6" s="28"/>
      <c r="TKN6" s="28"/>
      <c r="TKO6" s="28"/>
      <c r="TKP6" s="28"/>
      <c r="TKQ6" s="28"/>
      <c r="TKR6" s="28"/>
      <c r="TKS6" s="28"/>
      <c r="TKT6" s="28"/>
      <c r="TKU6" s="28"/>
      <c r="TKV6" s="28"/>
      <c r="TKW6" s="28"/>
      <c r="TKX6" s="28"/>
      <c r="TKY6" s="28"/>
      <c r="TKZ6" s="28"/>
      <c r="TLA6" s="28"/>
      <c r="TLB6" s="28"/>
      <c r="TLC6" s="28"/>
      <c r="TLD6" s="28"/>
      <c r="TLE6" s="28"/>
      <c r="TLF6" s="28"/>
      <c r="TLG6" s="28"/>
      <c r="TLH6" s="28"/>
      <c r="TLI6" s="28"/>
      <c r="TLJ6" s="28"/>
      <c r="TLK6" s="28"/>
      <c r="TLL6" s="28"/>
      <c r="TLM6" s="28"/>
      <c r="TLN6" s="28"/>
      <c r="TLO6" s="28"/>
      <c r="TLP6" s="28"/>
      <c r="TLQ6" s="28"/>
      <c r="TLR6" s="28"/>
      <c r="TLS6" s="28"/>
      <c r="TLT6" s="28"/>
      <c r="TLU6" s="28"/>
      <c r="TLV6" s="28"/>
      <c r="TLW6" s="28"/>
      <c r="TLX6" s="28"/>
      <c r="TLY6" s="28"/>
      <c r="TLZ6" s="28"/>
      <c r="TMA6" s="28"/>
      <c r="TMB6" s="28"/>
      <c r="TMC6" s="28"/>
      <c r="TMD6" s="28"/>
      <c r="TME6" s="28"/>
      <c r="TMF6" s="28"/>
      <c r="TMG6" s="28"/>
      <c r="TMH6" s="28"/>
      <c r="TMI6" s="28"/>
      <c r="TMJ6" s="28"/>
      <c r="TMK6" s="28"/>
      <c r="TML6" s="28"/>
      <c r="TMM6" s="28"/>
      <c r="TMN6" s="28"/>
      <c r="TMO6" s="28"/>
      <c r="TMP6" s="28"/>
      <c r="TMQ6" s="28"/>
      <c r="TMR6" s="28"/>
      <c r="TMS6" s="28"/>
      <c r="TMT6" s="28"/>
      <c r="TMU6" s="28"/>
      <c r="TMV6" s="28"/>
      <c r="TMW6" s="28"/>
      <c r="TMX6" s="28"/>
      <c r="TMY6" s="28"/>
      <c r="TMZ6" s="28"/>
      <c r="TNA6" s="28"/>
      <c r="TNB6" s="28"/>
      <c r="TNC6" s="28"/>
      <c r="TND6" s="28"/>
      <c r="TNE6" s="28"/>
      <c r="TNF6" s="28"/>
      <c r="TNG6" s="28"/>
      <c r="TNH6" s="28"/>
      <c r="TNI6" s="28"/>
      <c r="TNJ6" s="28"/>
      <c r="TNK6" s="28"/>
      <c r="TNL6" s="28"/>
      <c r="TNM6" s="28"/>
      <c r="TNN6" s="28"/>
      <c r="TNO6" s="28"/>
      <c r="TNP6" s="28"/>
      <c r="TNQ6" s="28"/>
      <c r="TNR6" s="28"/>
      <c r="TNS6" s="28"/>
      <c r="TNT6" s="28"/>
      <c r="TNU6" s="28"/>
      <c r="TNV6" s="28"/>
      <c r="TNW6" s="28"/>
      <c r="TNX6" s="28"/>
      <c r="TNY6" s="28"/>
      <c r="TNZ6" s="28"/>
      <c r="TOA6" s="28"/>
      <c r="TOB6" s="28"/>
      <c r="TOC6" s="28"/>
      <c r="TOD6" s="28"/>
      <c r="TOE6" s="28"/>
      <c r="TOF6" s="28"/>
      <c r="TOG6" s="28"/>
      <c r="TOH6" s="28"/>
      <c r="TOI6" s="28"/>
      <c r="TOJ6" s="28"/>
      <c r="TOK6" s="28"/>
      <c r="TOL6" s="28"/>
      <c r="TOM6" s="28"/>
      <c r="TON6" s="28"/>
      <c r="TOO6" s="28"/>
      <c r="TOP6" s="28"/>
      <c r="TOQ6" s="28"/>
      <c r="TOR6" s="28"/>
      <c r="TOS6" s="28"/>
      <c r="TOT6" s="28"/>
      <c r="TOU6" s="28"/>
      <c r="TOV6" s="28"/>
      <c r="TOW6" s="28"/>
      <c r="TOX6" s="28"/>
      <c r="TOY6" s="28"/>
      <c r="TOZ6" s="28"/>
      <c r="TPA6" s="28"/>
      <c r="TPB6" s="28"/>
      <c r="TPC6" s="28"/>
      <c r="TPD6" s="28"/>
      <c r="TPE6" s="28"/>
      <c r="TPF6" s="28"/>
      <c r="TPG6" s="28"/>
      <c r="TPH6" s="28"/>
      <c r="TPI6" s="28"/>
      <c r="TPJ6" s="28"/>
      <c r="TPK6" s="28"/>
      <c r="TPL6" s="28"/>
      <c r="TPM6" s="28"/>
      <c r="TPN6" s="28"/>
      <c r="TPO6" s="28"/>
      <c r="TPP6" s="28"/>
      <c r="TPQ6" s="28"/>
      <c r="TPR6" s="28"/>
      <c r="TPS6" s="28"/>
      <c r="TPT6" s="28"/>
      <c r="TPU6" s="28"/>
      <c r="TPV6" s="28"/>
      <c r="TPW6" s="28"/>
      <c r="TPX6" s="28"/>
      <c r="TPY6" s="28"/>
      <c r="TPZ6" s="28"/>
      <c r="TQA6" s="28"/>
      <c r="TQB6" s="28"/>
      <c r="TQC6" s="28"/>
      <c r="TQD6" s="28"/>
      <c r="TQE6" s="28"/>
      <c r="TQF6" s="28"/>
      <c r="TQG6" s="28"/>
      <c r="TQH6" s="28"/>
      <c r="TQI6" s="28"/>
      <c r="TQJ6" s="28"/>
      <c r="TQK6" s="28"/>
      <c r="TQL6" s="28"/>
      <c r="TQM6" s="28"/>
      <c r="TQN6" s="28"/>
      <c r="TQO6" s="28"/>
      <c r="TQP6" s="28"/>
      <c r="TQQ6" s="28"/>
      <c r="TQR6" s="28"/>
      <c r="TQS6" s="28"/>
      <c r="TQT6" s="28"/>
      <c r="TQU6" s="28"/>
      <c r="TQV6" s="28"/>
      <c r="TQW6" s="28"/>
      <c r="TQX6" s="28"/>
      <c r="TQY6" s="28"/>
      <c r="TQZ6" s="28"/>
      <c r="TRA6" s="28"/>
      <c r="TRB6" s="28"/>
      <c r="TRC6" s="28"/>
      <c r="TRD6" s="28"/>
      <c r="TRE6" s="28"/>
      <c r="TRF6" s="28"/>
      <c r="TRG6" s="28"/>
      <c r="TRH6" s="28"/>
      <c r="TRI6" s="28"/>
      <c r="TRJ6" s="28"/>
      <c r="TRK6" s="28"/>
      <c r="TRL6" s="28"/>
      <c r="TRM6" s="28"/>
      <c r="TRN6" s="28"/>
      <c r="TRO6" s="28"/>
      <c r="TRP6" s="28"/>
      <c r="TRQ6" s="28"/>
      <c r="TRR6" s="28"/>
      <c r="TRS6" s="28"/>
      <c r="TRT6" s="28"/>
      <c r="TRU6" s="28"/>
      <c r="TRV6" s="28"/>
      <c r="TRW6" s="28"/>
      <c r="TRX6" s="28"/>
      <c r="TRY6" s="28"/>
      <c r="TRZ6" s="28"/>
      <c r="TSA6" s="28"/>
      <c r="TSB6" s="28"/>
      <c r="TSC6" s="28"/>
      <c r="TSD6" s="28"/>
      <c r="TSE6" s="28"/>
      <c r="TSF6" s="28"/>
      <c r="TSG6" s="28"/>
      <c r="TSH6" s="28"/>
      <c r="TSI6" s="28"/>
      <c r="TSJ6" s="28"/>
      <c r="TSK6" s="28"/>
      <c r="TSL6" s="28"/>
      <c r="TSM6" s="28"/>
      <c r="TSN6" s="28"/>
      <c r="TSO6" s="28"/>
      <c r="TSP6" s="28"/>
      <c r="TSQ6" s="28"/>
      <c r="TSR6" s="28"/>
      <c r="TSS6" s="28"/>
      <c r="TST6" s="28"/>
      <c r="TSU6" s="28"/>
      <c r="TSV6" s="28"/>
      <c r="TSW6" s="28"/>
      <c r="TSX6" s="28"/>
      <c r="TSY6" s="28"/>
      <c r="TSZ6" s="28"/>
      <c r="TTA6" s="28"/>
      <c r="TTB6" s="28"/>
      <c r="TTC6" s="28"/>
      <c r="TTD6" s="28"/>
      <c r="TTE6" s="28"/>
      <c r="TTF6" s="28"/>
      <c r="TTG6" s="28"/>
      <c r="TTH6" s="28"/>
      <c r="TTI6" s="28"/>
      <c r="TTJ6" s="28"/>
      <c r="TTK6" s="28"/>
      <c r="TTL6" s="28"/>
      <c r="TTM6" s="28"/>
      <c r="TTN6" s="28"/>
      <c r="TTO6" s="28"/>
      <c r="TTP6" s="28"/>
      <c r="TTQ6" s="28"/>
      <c r="TTR6" s="28"/>
      <c r="TTS6" s="28"/>
      <c r="TTT6" s="28"/>
      <c r="TTU6" s="28"/>
      <c r="TTV6" s="28"/>
      <c r="TTW6" s="28"/>
      <c r="TTX6" s="28"/>
      <c r="TTY6" s="28"/>
      <c r="TTZ6" s="28"/>
      <c r="TUA6" s="28"/>
      <c r="TUB6" s="28"/>
      <c r="TUC6" s="28"/>
      <c r="TUD6" s="28"/>
      <c r="TUE6" s="28"/>
      <c r="TUF6" s="28"/>
      <c r="TUG6" s="28"/>
      <c r="TUH6" s="28"/>
      <c r="TUI6" s="28"/>
      <c r="TUJ6" s="28"/>
      <c r="TUK6" s="28"/>
      <c r="TUL6" s="28"/>
      <c r="TUM6" s="28"/>
      <c r="TUN6" s="28"/>
      <c r="TUO6" s="28"/>
      <c r="TUP6" s="28"/>
      <c r="TUQ6" s="28"/>
      <c r="TUR6" s="28"/>
      <c r="TUS6" s="28"/>
      <c r="TUT6" s="28"/>
      <c r="TUU6" s="28"/>
      <c r="TUV6" s="28"/>
      <c r="TUW6" s="28"/>
      <c r="TUX6" s="28"/>
      <c r="TUY6" s="28"/>
      <c r="TUZ6" s="28"/>
      <c r="TVA6" s="28"/>
      <c r="TVB6" s="28"/>
      <c r="TVC6" s="28"/>
      <c r="TVD6" s="28"/>
      <c r="TVE6" s="28"/>
      <c r="TVF6" s="28"/>
      <c r="TVG6" s="28"/>
      <c r="TVH6" s="28"/>
      <c r="TVI6" s="28"/>
      <c r="TVJ6" s="28"/>
      <c r="TVK6" s="28"/>
      <c r="TVL6" s="28"/>
      <c r="TVM6" s="28"/>
      <c r="TVN6" s="28"/>
      <c r="TVO6" s="28"/>
      <c r="TVP6" s="28"/>
      <c r="TVQ6" s="28"/>
      <c r="TVR6" s="28"/>
      <c r="TVS6" s="28"/>
      <c r="TVT6" s="28"/>
      <c r="TVU6" s="28"/>
      <c r="TVV6" s="28"/>
      <c r="TVW6" s="28"/>
      <c r="TVX6" s="28"/>
      <c r="TVY6" s="28"/>
      <c r="TVZ6" s="28"/>
      <c r="TWA6" s="28"/>
      <c r="TWB6" s="28"/>
      <c r="TWC6" s="28"/>
      <c r="TWD6" s="28"/>
      <c r="TWE6" s="28"/>
      <c r="TWF6" s="28"/>
      <c r="TWG6" s="28"/>
      <c r="TWH6" s="28"/>
      <c r="TWI6" s="28"/>
      <c r="TWJ6" s="28"/>
      <c r="TWK6" s="28"/>
      <c r="TWL6" s="28"/>
      <c r="TWM6" s="28"/>
      <c r="TWN6" s="28"/>
      <c r="TWO6" s="28"/>
      <c r="TWP6" s="28"/>
      <c r="TWQ6" s="28"/>
      <c r="TWR6" s="28"/>
      <c r="TWS6" s="28"/>
      <c r="TWT6" s="28"/>
      <c r="TWU6" s="28"/>
      <c r="TWV6" s="28"/>
      <c r="TWW6" s="28"/>
      <c r="TWX6" s="28"/>
      <c r="TWY6" s="28"/>
      <c r="TWZ6" s="28"/>
      <c r="TXA6" s="28"/>
      <c r="TXB6" s="28"/>
      <c r="TXC6" s="28"/>
      <c r="TXD6" s="28"/>
      <c r="TXE6" s="28"/>
      <c r="TXF6" s="28"/>
      <c r="TXG6" s="28"/>
      <c r="TXH6" s="28"/>
      <c r="TXI6" s="28"/>
      <c r="TXJ6" s="28"/>
      <c r="TXK6" s="28"/>
      <c r="TXL6" s="28"/>
      <c r="TXM6" s="28"/>
      <c r="TXN6" s="28"/>
      <c r="TXO6" s="28"/>
      <c r="TXP6" s="28"/>
      <c r="TXQ6" s="28"/>
      <c r="TXR6" s="28"/>
      <c r="TXS6" s="28"/>
      <c r="TXT6" s="28"/>
      <c r="TXU6" s="28"/>
      <c r="TXV6" s="28"/>
      <c r="TXW6" s="28"/>
      <c r="TXX6" s="28"/>
      <c r="TXY6" s="28"/>
      <c r="TXZ6" s="28"/>
      <c r="TYA6" s="28"/>
      <c r="TYB6" s="28"/>
      <c r="TYC6" s="28"/>
      <c r="TYD6" s="28"/>
      <c r="TYE6" s="28"/>
      <c r="TYF6" s="28"/>
      <c r="TYG6" s="28"/>
      <c r="TYH6" s="28"/>
      <c r="TYI6" s="28"/>
      <c r="TYJ6" s="28"/>
      <c r="TYK6" s="28"/>
      <c r="TYL6" s="28"/>
      <c r="TYM6" s="28"/>
      <c r="TYN6" s="28"/>
      <c r="TYO6" s="28"/>
      <c r="TYP6" s="28"/>
      <c r="TYQ6" s="28"/>
      <c r="TYR6" s="28"/>
      <c r="TYS6" s="28"/>
      <c r="TYT6" s="28"/>
      <c r="TYU6" s="28"/>
      <c r="TYV6" s="28"/>
      <c r="TYW6" s="28"/>
      <c r="TYX6" s="28"/>
      <c r="TYY6" s="28"/>
      <c r="TYZ6" s="28"/>
      <c r="TZA6" s="28"/>
      <c r="TZB6" s="28"/>
      <c r="TZC6" s="28"/>
      <c r="TZD6" s="28"/>
      <c r="TZE6" s="28"/>
      <c r="TZF6" s="28"/>
      <c r="TZG6" s="28"/>
      <c r="TZH6" s="28"/>
      <c r="TZI6" s="28"/>
      <c r="TZJ6" s="28"/>
      <c r="TZK6" s="28"/>
      <c r="TZL6" s="28"/>
      <c r="TZM6" s="28"/>
      <c r="TZN6" s="28"/>
      <c r="TZO6" s="28"/>
      <c r="TZP6" s="28"/>
      <c r="TZQ6" s="28"/>
      <c r="TZR6" s="28"/>
      <c r="TZS6" s="28"/>
      <c r="TZT6" s="28"/>
      <c r="TZU6" s="28"/>
      <c r="TZV6" s="28"/>
      <c r="TZW6" s="28"/>
      <c r="TZX6" s="28"/>
      <c r="TZY6" s="28"/>
      <c r="TZZ6" s="28"/>
      <c r="UAA6" s="28"/>
      <c r="UAB6" s="28"/>
      <c r="UAC6" s="28"/>
      <c r="UAD6" s="28"/>
      <c r="UAE6" s="28"/>
      <c r="UAF6" s="28"/>
      <c r="UAG6" s="28"/>
      <c r="UAH6" s="28"/>
      <c r="UAI6" s="28"/>
      <c r="UAJ6" s="28"/>
      <c r="UAK6" s="28"/>
      <c r="UAL6" s="28"/>
      <c r="UAM6" s="28"/>
      <c r="UAN6" s="28"/>
      <c r="UAO6" s="28"/>
      <c r="UAP6" s="28"/>
      <c r="UAQ6" s="28"/>
      <c r="UAR6" s="28"/>
      <c r="UAS6" s="28"/>
      <c r="UAT6" s="28"/>
      <c r="UAU6" s="28"/>
      <c r="UAV6" s="28"/>
      <c r="UAW6" s="28"/>
      <c r="UAX6" s="28"/>
      <c r="UAY6" s="28"/>
      <c r="UAZ6" s="28"/>
      <c r="UBA6" s="28"/>
      <c r="UBB6" s="28"/>
      <c r="UBC6" s="28"/>
      <c r="UBD6" s="28"/>
      <c r="UBE6" s="28"/>
      <c r="UBF6" s="28"/>
      <c r="UBG6" s="28"/>
      <c r="UBH6" s="28"/>
      <c r="UBI6" s="28"/>
      <c r="UBJ6" s="28"/>
      <c r="UBK6" s="28"/>
      <c r="UBL6" s="28"/>
      <c r="UBM6" s="28"/>
      <c r="UBN6" s="28"/>
      <c r="UBO6" s="28"/>
      <c r="UBP6" s="28"/>
      <c r="UBQ6" s="28"/>
      <c r="UBR6" s="28"/>
      <c r="UBS6" s="28"/>
      <c r="UBT6" s="28"/>
      <c r="UBU6" s="28"/>
      <c r="UBV6" s="28"/>
      <c r="UBW6" s="28"/>
      <c r="UBX6" s="28"/>
      <c r="UBY6" s="28"/>
      <c r="UBZ6" s="28"/>
      <c r="UCA6" s="28"/>
      <c r="UCB6" s="28"/>
      <c r="UCC6" s="28"/>
      <c r="UCD6" s="28"/>
      <c r="UCE6" s="28"/>
      <c r="UCF6" s="28"/>
      <c r="UCG6" s="28"/>
      <c r="UCH6" s="28"/>
      <c r="UCI6" s="28"/>
      <c r="UCJ6" s="28"/>
      <c r="UCK6" s="28"/>
      <c r="UCL6" s="28"/>
      <c r="UCM6" s="28"/>
      <c r="UCN6" s="28"/>
      <c r="UCO6" s="28"/>
      <c r="UCP6" s="28"/>
      <c r="UCQ6" s="28"/>
      <c r="UCR6" s="28"/>
      <c r="UCS6" s="28"/>
      <c r="UCT6" s="28"/>
      <c r="UCU6" s="28"/>
      <c r="UCV6" s="28"/>
      <c r="UCW6" s="28"/>
      <c r="UCX6" s="28"/>
      <c r="UCY6" s="28"/>
      <c r="UCZ6" s="28"/>
      <c r="UDA6" s="28"/>
      <c r="UDB6" s="28"/>
      <c r="UDC6" s="28"/>
      <c r="UDD6" s="28"/>
      <c r="UDE6" s="28"/>
      <c r="UDF6" s="28"/>
      <c r="UDG6" s="28"/>
      <c r="UDH6" s="28"/>
      <c r="UDI6" s="28"/>
      <c r="UDJ6" s="28"/>
      <c r="UDK6" s="28"/>
      <c r="UDL6" s="28"/>
      <c r="UDM6" s="28"/>
      <c r="UDN6" s="28"/>
      <c r="UDO6" s="28"/>
      <c r="UDP6" s="28"/>
      <c r="UDQ6" s="28"/>
      <c r="UDR6" s="28"/>
      <c r="UDS6" s="28"/>
      <c r="UDT6" s="28"/>
      <c r="UDU6" s="28"/>
      <c r="UDV6" s="28"/>
      <c r="UDW6" s="28"/>
      <c r="UDX6" s="28"/>
      <c r="UDY6" s="28"/>
      <c r="UDZ6" s="28"/>
      <c r="UEA6" s="28"/>
      <c r="UEB6" s="28"/>
      <c r="UEC6" s="28"/>
      <c r="UED6" s="28"/>
      <c r="UEE6" s="28"/>
      <c r="UEF6" s="28"/>
      <c r="UEG6" s="28"/>
      <c r="UEH6" s="28"/>
      <c r="UEI6" s="28"/>
      <c r="UEJ6" s="28"/>
      <c r="UEK6" s="28"/>
      <c r="UEL6" s="28"/>
      <c r="UEM6" s="28"/>
      <c r="UEN6" s="28"/>
      <c r="UEO6" s="28"/>
      <c r="UEP6" s="28"/>
      <c r="UEQ6" s="28"/>
      <c r="UER6" s="28"/>
      <c r="UES6" s="28"/>
      <c r="UET6" s="28"/>
      <c r="UEU6" s="28"/>
      <c r="UEV6" s="28"/>
      <c r="UEW6" s="28"/>
      <c r="UEX6" s="28"/>
      <c r="UEY6" s="28"/>
      <c r="UEZ6" s="28"/>
      <c r="UFA6" s="28"/>
      <c r="UFB6" s="28"/>
      <c r="UFC6" s="28"/>
      <c r="UFD6" s="28"/>
      <c r="UFE6" s="28"/>
      <c r="UFF6" s="28"/>
      <c r="UFG6" s="28"/>
      <c r="UFH6" s="28"/>
      <c r="UFI6" s="28"/>
      <c r="UFJ6" s="28"/>
      <c r="UFK6" s="28"/>
      <c r="UFL6" s="28"/>
      <c r="UFM6" s="28"/>
      <c r="UFN6" s="28"/>
      <c r="UFO6" s="28"/>
      <c r="UFP6" s="28"/>
      <c r="UFQ6" s="28"/>
      <c r="UFR6" s="28"/>
      <c r="UFS6" s="28"/>
      <c r="UFT6" s="28"/>
      <c r="UFU6" s="28"/>
      <c r="UFV6" s="28"/>
      <c r="UFW6" s="28"/>
      <c r="UFX6" s="28"/>
      <c r="UFY6" s="28"/>
      <c r="UFZ6" s="28"/>
      <c r="UGA6" s="28"/>
      <c r="UGB6" s="28"/>
      <c r="UGC6" s="28"/>
      <c r="UGD6" s="28"/>
      <c r="UGE6" s="28"/>
      <c r="UGF6" s="28"/>
      <c r="UGG6" s="28"/>
      <c r="UGH6" s="28"/>
      <c r="UGI6" s="28"/>
      <c r="UGJ6" s="28"/>
      <c r="UGK6" s="28"/>
      <c r="UGL6" s="28"/>
      <c r="UGM6" s="28"/>
      <c r="UGN6" s="28"/>
      <c r="UGO6" s="28"/>
      <c r="UGP6" s="28"/>
      <c r="UGQ6" s="28"/>
      <c r="UGR6" s="28"/>
      <c r="UGS6" s="28"/>
      <c r="UGT6" s="28"/>
      <c r="UGU6" s="28"/>
      <c r="UGV6" s="28"/>
      <c r="UGW6" s="28"/>
      <c r="UGX6" s="28"/>
      <c r="UGY6" s="28"/>
      <c r="UGZ6" s="28"/>
      <c r="UHA6" s="28"/>
      <c r="UHB6" s="28"/>
      <c r="UHC6" s="28"/>
      <c r="UHD6" s="28"/>
      <c r="UHE6" s="28"/>
      <c r="UHF6" s="28"/>
      <c r="UHG6" s="28"/>
      <c r="UHH6" s="28"/>
      <c r="UHI6" s="28"/>
      <c r="UHJ6" s="28"/>
      <c r="UHK6" s="28"/>
      <c r="UHL6" s="28"/>
      <c r="UHM6" s="28"/>
      <c r="UHN6" s="28"/>
      <c r="UHO6" s="28"/>
      <c r="UHP6" s="28"/>
      <c r="UHQ6" s="28"/>
      <c r="UHR6" s="28"/>
      <c r="UHS6" s="28"/>
      <c r="UHT6" s="28"/>
      <c r="UHU6" s="28"/>
      <c r="UHV6" s="28"/>
      <c r="UHW6" s="28"/>
      <c r="UHX6" s="28"/>
      <c r="UHY6" s="28"/>
      <c r="UHZ6" s="28"/>
      <c r="UIA6" s="28"/>
      <c r="UIB6" s="28"/>
      <c r="UIC6" s="28"/>
      <c r="UID6" s="28"/>
      <c r="UIE6" s="28"/>
      <c r="UIF6" s="28"/>
      <c r="UIG6" s="28"/>
      <c r="UIH6" s="28"/>
      <c r="UII6" s="28"/>
      <c r="UIJ6" s="28"/>
      <c r="UIK6" s="28"/>
      <c r="UIL6" s="28"/>
      <c r="UIM6" s="28"/>
      <c r="UIN6" s="28"/>
      <c r="UIO6" s="28"/>
      <c r="UIP6" s="28"/>
      <c r="UIQ6" s="28"/>
      <c r="UIR6" s="28"/>
      <c r="UIS6" s="28"/>
      <c r="UIT6" s="28"/>
      <c r="UIU6" s="28"/>
      <c r="UIV6" s="28"/>
      <c r="UIW6" s="28"/>
      <c r="UIX6" s="28"/>
      <c r="UIY6" s="28"/>
      <c r="UIZ6" s="28"/>
      <c r="UJA6" s="28"/>
      <c r="UJB6" s="28"/>
      <c r="UJC6" s="28"/>
      <c r="UJD6" s="28"/>
      <c r="UJE6" s="28"/>
      <c r="UJF6" s="28"/>
      <c r="UJG6" s="28"/>
      <c r="UJH6" s="28"/>
      <c r="UJI6" s="28"/>
      <c r="UJJ6" s="28"/>
      <c r="UJK6" s="28"/>
      <c r="UJL6" s="28"/>
      <c r="UJM6" s="28"/>
      <c r="UJN6" s="28"/>
      <c r="UJO6" s="28"/>
      <c r="UJP6" s="28"/>
      <c r="UJQ6" s="28"/>
      <c r="UJR6" s="28"/>
      <c r="UJS6" s="28"/>
      <c r="UJT6" s="28"/>
      <c r="UJU6" s="28"/>
      <c r="UJV6" s="28"/>
      <c r="UJW6" s="28"/>
      <c r="UJX6" s="28"/>
      <c r="UJY6" s="28"/>
      <c r="UJZ6" s="28"/>
      <c r="UKA6" s="28"/>
      <c r="UKB6" s="28"/>
      <c r="UKC6" s="28"/>
      <c r="UKD6" s="28"/>
      <c r="UKE6" s="28"/>
      <c r="UKF6" s="28"/>
      <c r="UKG6" s="28"/>
      <c r="UKH6" s="28"/>
      <c r="UKI6" s="28"/>
      <c r="UKJ6" s="28"/>
      <c r="UKK6" s="28"/>
      <c r="UKL6" s="28"/>
      <c r="UKM6" s="28"/>
      <c r="UKN6" s="28"/>
      <c r="UKO6" s="28"/>
      <c r="UKP6" s="28"/>
      <c r="UKQ6" s="28"/>
      <c r="UKR6" s="28"/>
      <c r="UKS6" s="28"/>
      <c r="UKT6" s="28"/>
      <c r="UKU6" s="28"/>
      <c r="UKV6" s="28"/>
      <c r="UKW6" s="28"/>
      <c r="UKX6" s="28"/>
      <c r="UKY6" s="28"/>
      <c r="UKZ6" s="28"/>
      <c r="ULA6" s="28"/>
      <c r="ULB6" s="28"/>
      <c r="ULC6" s="28"/>
      <c r="ULD6" s="28"/>
      <c r="ULE6" s="28"/>
      <c r="ULF6" s="28"/>
      <c r="ULG6" s="28"/>
      <c r="ULH6" s="28"/>
      <c r="ULI6" s="28"/>
      <c r="ULJ6" s="28"/>
      <c r="ULK6" s="28"/>
      <c r="ULL6" s="28"/>
      <c r="ULM6" s="28"/>
      <c r="ULN6" s="28"/>
      <c r="ULO6" s="28"/>
      <c r="ULP6" s="28"/>
      <c r="ULQ6" s="28"/>
      <c r="ULR6" s="28"/>
      <c r="ULS6" s="28"/>
      <c r="ULT6" s="28"/>
      <c r="ULU6" s="28"/>
      <c r="ULV6" s="28"/>
      <c r="ULW6" s="28"/>
      <c r="ULX6" s="28"/>
      <c r="ULY6" s="28"/>
      <c r="ULZ6" s="28"/>
      <c r="UMA6" s="28"/>
      <c r="UMB6" s="28"/>
      <c r="UMC6" s="28"/>
      <c r="UMD6" s="28"/>
      <c r="UME6" s="28"/>
      <c r="UMF6" s="28"/>
      <c r="UMG6" s="28"/>
      <c r="UMH6" s="28"/>
      <c r="UMI6" s="28"/>
      <c r="UMJ6" s="28"/>
      <c r="UMK6" s="28"/>
      <c r="UML6" s="28"/>
      <c r="UMM6" s="28"/>
      <c r="UMN6" s="28"/>
      <c r="UMO6" s="28"/>
      <c r="UMP6" s="28"/>
      <c r="UMQ6" s="28"/>
      <c r="UMR6" s="28"/>
      <c r="UMS6" s="28"/>
      <c r="UMT6" s="28"/>
      <c r="UMU6" s="28"/>
      <c r="UMV6" s="28"/>
      <c r="UMW6" s="28"/>
      <c r="UMX6" s="28"/>
      <c r="UMY6" s="28"/>
      <c r="UMZ6" s="28"/>
      <c r="UNA6" s="28"/>
      <c r="UNB6" s="28"/>
      <c r="UNC6" s="28"/>
      <c r="UND6" s="28"/>
      <c r="UNE6" s="28"/>
      <c r="UNF6" s="28"/>
      <c r="UNG6" s="28"/>
      <c r="UNH6" s="28"/>
      <c r="UNI6" s="28"/>
      <c r="UNJ6" s="28"/>
      <c r="UNK6" s="28"/>
      <c r="UNL6" s="28"/>
      <c r="UNM6" s="28"/>
      <c r="UNN6" s="28"/>
      <c r="UNO6" s="28"/>
      <c r="UNP6" s="28"/>
      <c r="UNQ6" s="28"/>
      <c r="UNR6" s="28"/>
      <c r="UNS6" s="28"/>
      <c r="UNT6" s="28"/>
      <c r="UNU6" s="28"/>
      <c r="UNV6" s="28"/>
      <c r="UNW6" s="28"/>
      <c r="UNX6" s="28"/>
      <c r="UNY6" s="28"/>
      <c r="UNZ6" s="28"/>
      <c r="UOA6" s="28"/>
      <c r="UOB6" s="28"/>
      <c r="UOC6" s="28"/>
      <c r="UOD6" s="28"/>
      <c r="UOE6" s="28"/>
      <c r="UOF6" s="28"/>
      <c r="UOG6" s="28"/>
      <c r="UOH6" s="28"/>
      <c r="UOI6" s="28"/>
      <c r="UOJ6" s="28"/>
      <c r="UOK6" s="28"/>
      <c r="UOL6" s="28"/>
      <c r="UOM6" s="28"/>
      <c r="UON6" s="28"/>
      <c r="UOO6" s="28"/>
      <c r="UOP6" s="28"/>
      <c r="UOQ6" s="28"/>
      <c r="UOR6" s="28"/>
      <c r="UOS6" s="28"/>
      <c r="UOT6" s="28"/>
      <c r="UOU6" s="28"/>
      <c r="UOV6" s="28"/>
      <c r="UOW6" s="28"/>
      <c r="UOX6" s="28"/>
      <c r="UOY6" s="28"/>
      <c r="UOZ6" s="28"/>
      <c r="UPA6" s="28"/>
      <c r="UPB6" s="28"/>
      <c r="UPC6" s="28"/>
      <c r="UPD6" s="28"/>
      <c r="UPE6" s="28"/>
      <c r="UPF6" s="28"/>
      <c r="UPG6" s="28"/>
      <c r="UPH6" s="28"/>
      <c r="UPI6" s="28"/>
      <c r="UPJ6" s="28"/>
      <c r="UPK6" s="28"/>
      <c r="UPL6" s="28"/>
      <c r="UPM6" s="28"/>
      <c r="UPN6" s="28"/>
      <c r="UPO6" s="28"/>
      <c r="UPP6" s="28"/>
      <c r="UPQ6" s="28"/>
      <c r="UPR6" s="28"/>
      <c r="UPS6" s="28"/>
      <c r="UPT6" s="28"/>
      <c r="UPU6" s="28"/>
      <c r="UPV6" s="28"/>
      <c r="UPW6" s="28"/>
      <c r="UPX6" s="28"/>
      <c r="UPY6" s="28"/>
      <c r="UPZ6" s="28"/>
      <c r="UQA6" s="28"/>
      <c r="UQB6" s="28"/>
      <c r="UQC6" s="28"/>
      <c r="UQD6" s="28"/>
      <c r="UQE6" s="28"/>
      <c r="UQF6" s="28"/>
      <c r="UQG6" s="28"/>
      <c r="UQH6" s="28"/>
      <c r="UQI6" s="28"/>
      <c r="UQJ6" s="28"/>
      <c r="UQK6" s="28"/>
      <c r="UQL6" s="28"/>
      <c r="UQM6" s="28"/>
      <c r="UQN6" s="28"/>
      <c r="UQO6" s="28"/>
      <c r="UQP6" s="28"/>
      <c r="UQQ6" s="28"/>
      <c r="UQR6" s="28"/>
      <c r="UQS6" s="28"/>
      <c r="UQT6" s="28"/>
      <c r="UQU6" s="28"/>
      <c r="UQV6" s="28"/>
      <c r="UQW6" s="28"/>
      <c r="UQX6" s="28"/>
      <c r="UQY6" s="28"/>
      <c r="UQZ6" s="28"/>
      <c r="URA6" s="28"/>
      <c r="URB6" s="28"/>
      <c r="URC6" s="28"/>
      <c r="URD6" s="28"/>
      <c r="URE6" s="28"/>
      <c r="URF6" s="28"/>
      <c r="URG6" s="28"/>
      <c r="URH6" s="28"/>
      <c r="URI6" s="28"/>
      <c r="URJ6" s="28"/>
      <c r="URK6" s="28"/>
      <c r="URL6" s="28"/>
      <c r="URM6" s="28"/>
      <c r="URN6" s="28"/>
      <c r="URO6" s="28"/>
      <c r="URP6" s="28"/>
      <c r="URQ6" s="28"/>
      <c r="URR6" s="28"/>
      <c r="URS6" s="28"/>
      <c r="URT6" s="28"/>
      <c r="URU6" s="28"/>
      <c r="URV6" s="28"/>
      <c r="URW6" s="28"/>
      <c r="URX6" s="28"/>
      <c r="URY6" s="28"/>
      <c r="URZ6" s="28"/>
      <c r="USA6" s="28"/>
      <c r="USB6" s="28"/>
      <c r="USC6" s="28"/>
      <c r="USD6" s="28"/>
      <c r="USE6" s="28"/>
      <c r="USF6" s="28"/>
      <c r="USG6" s="28"/>
      <c r="USH6" s="28"/>
      <c r="USI6" s="28"/>
      <c r="USJ6" s="28"/>
      <c r="USK6" s="28"/>
      <c r="USL6" s="28"/>
      <c r="USM6" s="28"/>
      <c r="USN6" s="28"/>
      <c r="USO6" s="28"/>
      <c r="USP6" s="28"/>
      <c r="USQ6" s="28"/>
      <c r="USR6" s="28"/>
      <c r="USS6" s="28"/>
      <c r="UST6" s="28"/>
      <c r="USU6" s="28"/>
      <c r="USV6" s="28"/>
      <c r="USW6" s="28"/>
      <c r="USX6" s="28"/>
      <c r="USY6" s="28"/>
      <c r="USZ6" s="28"/>
      <c r="UTA6" s="28"/>
      <c r="UTB6" s="28"/>
      <c r="UTC6" s="28"/>
      <c r="UTD6" s="28"/>
      <c r="UTE6" s="28"/>
      <c r="UTF6" s="28"/>
      <c r="UTG6" s="28"/>
      <c r="UTH6" s="28"/>
      <c r="UTI6" s="28"/>
      <c r="UTJ6" s="28"/>
      <c r="UTK6" s="28"/>
      <c r="UTL6" s="28"/>
      <c r="UTM6" s="28"/>
      <c r="UTN6" s="28"/>
      <c r="UTO6" s="28"/>
      <c r="UTP6" s="28"/>
      <c r="UTQ6" s="28"/>
      <c r="UTR6" s="28"/>
      <c r="UTS6" s="28"/>
      <c r="UTT6" s="28"/>
      <c r="UTU6" s="28"/>
      <c r="UTV6" s="28"/>
      <c r="UTW6" s="28"/>
      <c r="UTX6" s="28"/>
      <c r="UTY6" s="28"/>
      <c r="UTZ6" s="28"/>
      <c r="UUA6" s="28"/>
      <c r="UUB6" s="28"/>
      <c r="UUC6" s="28"/>
      <c r="UUD6" s="28"/>
      <c r="UUE6" s="28"/>
      <c r="UUF6" s="28"/>
      <c r="UUG6" s="28"/>
      <c r="UUH6" s="28"/>
      <c r="UUI6" s="28"/>
      <c r="UUJ6" s="28"/>
      <c r="UUK6" s="28"/>
      <c r="UUL6" s="28"/>
      <c r="UUM6" s="28"/>
      <c r="UUN6" s="28"/>
      <c r="UUO6" s="28"/>
      <c r="UUP6" s="28"/>
      <c r="UUQ6" s="28"/>
      <c r="UUR6" s="28"/>
      <c r="UUS6" s="28"/>
      <c r="UUT6" s="28"/>
      <c r="UUU6" s="28"/>
      <c r="UUV6" s="28"/>
      <c r="UUW6" s="28"/>
      <c r="UUX6" s="28"/>
      <c r="UUY6" s="28"/>
      <c r="UUZ6" s="28"/>
      <c r="UVA6" s="28"/>
      <c r="UVB6" s="28"/>
      <c r="UVC6" s="28"/>
      <c r="UVD6" s="28"/>
      <c r="UVE6" s="28"/>
      <c r="UVF6" s="28"/>
      <c r="UVG6" s="28"/>
      <c r="UVH6" s="28"/>
      <c r="UVI6" s="28"/>
      <c r="UVJ6" s="28"/>
      <c r="UVK6" s="28"/>
      <c r="UVL6" s="28"/>
      <c r="UVM6" s="28"/>
      <c r="UVN6" s="28"/>
      <c r="UVO6" s="28"/>
      <c r="UVP6" s="28"/>
      <c r="UVQ6" s="28"/>
      <c r="UVR6" s="28"/>
      <c r="UVS6" s="28"/>
      <c r="UVT6" s="28"/>
      <c r="UVU6" s="28"/>
      <c r="UVV6" s="28"/>
      <c r="UVW6" s="28"/>
      <c r="UVX6" s="28"/>
      <c r="UVY6" s="28"/>
      <c r="UVZ6" s="28"/>
      <c r="UWA6" s="28"/>
      <c r="UWB6" s="28"/>
      <c r="UWC6" s="28"/>
      <c r="UWD6" s="28"/>
      <c r="UWE6" s="28"/>
      <c r="UWF6" s="28"/>
      <c r="UWG6" s="28"/>
      <c r="UWH6" s="28"/>
      <c r="UWI6" s="28"/>
      <c r="UWJ6" s="28"/>
      <c r="UWK6" s="28"/>
      <c r="UWL6" s="28"/>
      <c r="UWM6" s="28"/>
      <c r="UWN6" s="28"/>
      <c r="UWO6" s="28"/>
      <c r="UWP6" s="28"/>
      <c r="UWQ6" s="28"/>
      <c r="UWR6" s="28"/>
      <c r="UWS6" s="28"/>
      <c r="UWT6" s="28"/>
      <c r="UWU6" s="28"/>
      <c r="UWV6" s="28"/>
      <c r="UWW6" s="28"/>
      <c r="UWX6" s="28"/>
      <c r="UWY6" s="28"/>
      <c r="UWZ6" s="28"/>
      <c r="UXA6" s="28"/>
      <c r="UXB6" s="28"/>
      <c r="UXC6" s="28"/>
      <c r="UXD6" s="28"/>
      <c r="UXE6" s="28"/>
      <c r="UXF6" s="28"/>
      <c r="UXG6" s="28"/>
      <c r="UXH6" s="28"/>
      <c r="UXI6" s="28"/>
      <c r="UXJ6" s="28"/>
      <c r="UXK6" s="28"/>
      <c r="UXL6" s="28"/>
      <c r="UXM6" s="28"/>
      <c r="UXN6" s="28"/>
      <c r="UXO6" s="28"/>
      <c r="UXP6" s="28"/>
      <c r="UXQ6" s="28"/>
      <c r="UXR6" s="28"/>
      <c r="UXS6" s="28"/>
      <c r="UXT6" s="28"/>
      <c r="UXU6" s="28"/>
      <c r="UXV6" s="28"/>
      <c r="UXW6" s="28"/>
      <c r="UXX6" s="28"/>
      <c r="UXY6" s="28"/>
      <c r="UXZ6" s="28"/>
      <c r="UYA6" s="28"/>
      <c r="UYB6" s="28"/>
      <c r="UYC6" s="28"/>
      <c r="UYD6" s="28"/>
      <c r="UYE6" s="28"/>
      <c r="UYF6" s="28"/>
      <c r="UYG6" s="28"/>
      <c r="UYH6" s="28"/>
      <c r="UYI6" s="28"/>
      <c r="UYJ6" s="28"/>
      <c r="UYK6" s="28"/>
      <c r="UYL6" s="28"/>
      <c r="UYM6" s="28"/>
      <c r="UYN6" s="28"/>
      <c r="UYO6" s="28"/>
      <c r="UYP6" s="28"/>
      <c r="UYQ6" s="28"/>
      <c r="UYR6" s="28"/>
      <c r="UYS6" s="28"/>
      <c r="UYT6" s="28"/>
      <c r="UYU6" s="28"/>
      <c r="UYV6" s="28"/>
      <c r="UYW6" s="28"/>
      <c r="UYX6" s="28"/>
      <c r="UYY6" s="28"/>
      <c r="UYZ6" s="28"/>
      <c r="UZA6" s="28"/>
      <c r="UZB6" s="28"/>
      <c r="UZC6" s="28"/>
      <c r="UZD6" s="28"/>
      <c r="UZE6" s="28"/>
      <c r="UZF6" s="28"/>
      <c r="UZG6" s="28"/>
      <c r="UZH6" s="28"/>
      <c r="UZI6" s="28"/>
      <c r="UZJ6" s="28"/>
      <c r="UZK6" s="28"/>
      <c r="UZL6" s="28"/>
      <c r="UZM6" s="28"/>
      <c r="UZN6" s="28"/>
      <c r="UZO6" s="28"/>
      <c r="UZP6" s="28"/>
      <c r="UZQ6" s="28"/>
      <c r="UZR6" s="28"/>
      <c r="UZS6" s="28"/>
      <c r="UZT6" s="28"/>
      <c r="UZU6" s="28"/>
      <c r="UZV6" s="28"/>
      <c r="UZW6" s="28"/>
      <c r="UZX6" s="28"/>
      <c r="UZY6" s="28"/>
      <c r="UZZ6" s="28"/>
      <c r="VAA6" s="28"/>
      <c r="VAB6" s="28"/>
      <c r="VAC6" s="28"/>
      <c r="VAD6" s="28"/>
      <c r="VAE6" s="28"/>
      <c r="VAF6" s="28"/>
      <c r="VAG6" s="28"/>
      <c r="VAH6" s="28"/>
      <c r="VAI6" s="28"/>
      <c r="VAJ6" s="28"/>
      <c r="VAK6" s="28"/>
      <c r="VAL6" s="28"/>
      <c r="VAM6" s="28"/>
      <c r="VAN6" s="28"/>
      <c r="VAO6" s="28"/>
      <c r="VAP6" s="28"/>
      <c r="VAQ6" s="28"/>
      <c r="VAR6" s="28"/>
      <c r="VAS6" s="28"/>
      <c r="VAT6" s="28"/>
      <c r="VAU6" s="28"/>
      <c r="VAV6" s="28"/>
      <c r="VAW6" s="28"/>
      <c r="VAX6" s="28"/>
      <c r="VAY6" s="28"/>
      <c r="VAZ6" s="28"/>
      <c r="VBA6" s="28"/>
      <c r="VBB6" s="28"/>
      <c r="VBC6" s="28"/>
      <c r="VBD6" s="28"/>
      <c r="VBE6" s="28"/>
      <c r="VBF6" s="28"/>
      <c r="VBG6" s="28"/>
      <c r="VBH6" s="28"/>
      <c r="VBI6" s="28"/>
      <c r="VBJ6" s="28"/>
      <c r="VBK6" s="28"/>
      <c r="VBL6" s="28"/>
      <c r="VBM6" s="28"/>
      <c r="VBN6" s="28"/>
      <c r="VBO6" s="28"/>
      <c r="VBP6" s="28"/>
      <c r="VBQ6" s="28"/>
      <c r="VBR6" s="28"/>
      <c r="VBS6" s="28"/>
      <c r="VBT6" s="28"/>
      <c r="VBU6" s="28"/>
      <c r="VBV6" s="28"/>
      <c r="VBW6" s="28"/>
      <c r="VBX6" s="28"/>
      <c r="VBY6" s="28"/>
      <c r="VBZ6" s="28"/>
      <c r="VCA6" s="28"/>
      <c r="VCB6" s="28"/>
      <c r="VCC6" s="28"/>
      <c r="VCD6" s="28"/>
      <c r="VCE6" s="28"/>
      <c r="VCF6" s="28"/>
      <c r="VCG6" s="28"/>
      <c r="VCH6" s="28"/>
      <c r="VCI6" s="28"/>
      <c r="VCJ6" s="28"/>
      <c r="VCK6" s="28"/>
      <c r="VCL6" s="28"/>
      <c r="VCM6" s="28"/>
      <c r="VCN6" s="28"/>
      <c r="VCO6" s="28"/>
      <c r="VCP6" s="28"/>
      <c r="VCQ6" s="28"/>
      <c r="VCR6" s="28"/>
      <c r="VCS6" s="28"/>
      <c r="VCT6" s="28"/>
      <c r="VCU6" s="28"/>
      <c r="VCV6" s="28"/>
      <c r="VCW6" s="28"/>
      <c r="VCX6" s="28"/>
      <c r="VCY6" s="28"/>
      <c r="VCZ6" s="28"/>
      <c r="VDA6" s="28"/>
      <c r="VDB6" s="28"/>
      <c r="VDC6" s="28"/>
      <c r="VDD6" s="28"/>
      <c r="VDE6" s="28"/>
      <c r="VDF6" s="28"/>
      <c r="VDG6" s="28"/>
      <c r="VDH6" s="28"/>
      <c r="VDI6" s="28"/>
      <c r="VDJ6" s="28"/>
      <c r="VDK6" s="28"/>
      <c r="VDL6" s="28"/>
      <c r="VDM6" s="28"/>
      <c r="VDN6" s="28"/>
      <c r="VDO6" s="28"/>
      <c r="VDP6" s="28"/>
      <c r="VDQ6" s="28"/>
      <c r="VDR6" s="28"/>
      <c r="VDS6" s="28"/>
      <c r="VDT6" s="28"/>
      <c r="VDU6" s="28"/>
      <c r="VDV6" s="28"/>
      <c r="VDW6" s="28"/>
      <c r="VDX6" s="28"/>
      <c r="VDY6" s="28"/>
      <c r="VDZ6" s="28"/>
      <c r="VEA6" s="28"/>
      <c r="VEB6" s="28"/>
      <c r="VEC6" s="28"/>
      <c r="VED6" s="28"/>
      <c r="VEE6" s="28"/>
      <c r="VEF6" s="28"/>
      <c r="VEG6" s="28"/>
      <c r="VEH6" s="28"/>
      <c r="VEI6" s="28"/>
      <c r="VEJ6" s="28"/>
      <c r="VEK6" s="28"/>
      <c r="VEL6" s="28"/>
      <c r="VEM6" s="28"/>
      <c r="VEN6" s="28"/>
      <c r="VEO6" s="28"/>
      <c r="VEP6" s="28"/>
      <c r="VEQ6" s="28"/>
      <c r="VER6" s="28"/>
      <c r="VES6" s="28"/>
      <c r="VET6" s="28"/>
      <c r="VEU6" s="28"/>
      <c r="VEV6" s="28"/>
      <c r="VEW6" s="28"/>
      <c r="VEX6" s="28"/>
      <c r="VEY6" s="28"/>
      <c r="VEZ6" s="28"/>
      <c r="VFA6" s="28"/>
      <c r="VFB6" s="28"/>
      <c r="VFC6" s="28"/>
      <c r="VFD6" s="28"/>
      <c r="VFE6" s="28"/>
      <c r="VFF6" s="28"/>
      <c r="VFG6" s="28"/>
      <c r="VFH6" s="28"/>
      <c r="VFI6" s="28"/>
      <c r="VFJ6" s="28"/>
      <c r="VFK6" s="28"/>
      <c r="VFL6" s="28"/>
      <c r="VFM6" s="28"/>
      <c r="VFN6" s="28"/>
      <c r="VFO6" s="28"/>
      <c r="VFP6" s="28"/>
      <c r="VFQ6" s="28"/>
      <c r="VFR6" s="28"/>
      <c r="VFS6" s="28"/>
      <c r="VFT6" s="28"/>
      <c r="VFU6" s="28"/>
      <c r="VFV6" s="28"/>
      <c r="VFW6" s="28"/>
      <c r="VFX6" s="28"/>
      <c r="VFY6" s="28"/>
      <c r="VFZ6" s="28"/>
      <c r="VGA6" s="28"/>
      <c r="VGB6" s="28"/>
      <c r="VGC6" s="28"/>
      <c r="VGD6" s="28"/>
      <c r="VGE6" s="28"/>
      <c r="VGF6" s="28"/>
      <c r="VGG6" s="28"/>
      <c r="VGH6" s="28"/>
      <c r="VGI6" s="28"/>
      <c r="VGJ6" s="28"/>
      <c r="VGK6" s="28"/>
      <c r="VGL6" s="28"/>
      <c r="VGM6" s="28"/>
      <c r="VGN6" s="28"/>
      <c r="VGO6" s="28"/>
      <c r="VGP6" s="28"/>
      <c r="VGQ6" s="28"/>
      <c r="VGR6" s="28"/>
      <c r="VGS6" s="28"/>
      <c r="VGT6" s="28"/>
      <c r="VGU6" s="28"/>
      <c r="VGV6" s="28"/>
      <c r="VGW6" s="28"/>
      <c r="VGX6" s="28"/>
      <c r="VGY6" s="28"/>
      <c r="VGZ6" s="28"/>
      <c r="VHA6" s="28"/>
      <c r="VHB6" s="28"/>
      <c r="VHC6" s="28"/>
      <c r="VHD6" s="28"/>
      <c r="VHE6" s="28"/>
      <c r="VHF6" s="28"/>
      <c r="VHG6" s="28"/>
      <c r="VHH6" s="28"/>
      <c r="VHI6" s="28"/>
      <c r="VHJ6" s="28"/>
      <c r="VHK6" s="28"/>
      <c r="VHL6" s="28"/>
      <c r="VHM6" s="28"/>
      <c r="VHN6" s="28"/>
      <c r="VHO6" s="28"/>
      <c r="VHP6" s="28"/>
      <c r="VHQ6" s="28"/>
      <c r="VHR6" s="28"/>
      <c r="VHS6" s="28"/>
      <c r="VHT6" s="28"/>
      <c r="VHU6" s="28"/>
      <c r="VHV6" s="28"/>
      <c r="VHW6" s="28"/>
      <c r="VHX6" s="28"/>
      <c r="VHY6" s="28"/>
      <c r="VHZ6" s="28"/>
      <c r="VIA6" s="28"/>
      <c r="VIB6" s="28"/>
      <c r="VIC6" s="28"/>
      <c r="VID6" s="28"/>
      <c r="VIE6" s="28"/>
      <c r="VIF6" s="28"/>
      <c r="VIG6" s="28"/>
      <c r="VIH6" s="28"/>
      <c r="VII6" s="28"/>
      <c r="VIJ6" s="28"/>
      <c r="VIK6" s="28"/>
      <c r="VIL6" s="28"/>
      <c r="VIM6" s="28"/>
      <c r="VIN6" s="28"/>
      <c r="VIO6" s="28"/>
      <c r="VIP6" s="28"/>
      <c r="VIQ6" s="28"/>
      <c r="VIR6" s="28"/>
      <c r="VIS6" s="28"/>
      <c r="VIT6" s="28"/>
      <c r="VIU6" s="28"/>
      <c r="VIV6" s="28"/>
      <c r="VIW6" s="28"/>
      <c r="VIX6" s="28"/>
      <c r="VIY6" s="28"/>
      <c r="VIZ6" s="28"/>
      <c r="VJA6" s="28"/>
      <c r="VJB6" s="28"/>
      <c r="VJC6" s="28"/>
      <c r="VJD6" s="28"/>
      <c r="VJE6" s="28"/>
      <c r="VJF6" s="28"/>
      <c r="VJG6" s="28"/>
      <c r="VJH6" s="28"/>
      <c r="VJI6" s="28"/>
      <c r="VJJ6" s="28"/>
      <c r="VJK6" s="28"/>
      <c r="VJL6" s="28"/>
      <c r="VJM6" s="28"/>
      <c r="VJN6" s="28"/>
      <c r="VJO6" s="28"/>
      <c r="VJP6" s="28"/>
      <c r="VJQ6" s="28"/>
      <c r="VJR6" s="28"/>
      <c r="VJS6" s="28"/>
      <c r="VJT6" s="28"/>
      <c r="VJU6" s="28"/>
      <c r="VJV6" s="28"/>
      <c r="VJW6" s="28"/>
      <c r="VJX6" s="28"/>
      <c r="VJY6" s="28"/>
      <c r="VJZ6" s="28"/>
      <c r="VKA6" s="28"/>
      <c r="VKB6" s="28"/>
      <c r="VKC6" s="28"/>
      <c r="VKD6" s="28"/>
      <c r="VKE6" s="28"/>
      <c r="VKF6" s="28"/>
      <c r="VKG6" s="28"/>
      <c r="VKH6" s="28"/>
      <c r="VKI6" s="28"/>
      <c r="VKJ6" s="28"/>
      <c r="VKK6" s="28"/>
      <c r="VKL6" s="28"/>
      <c r="VKM6" s="28"/>
      <c r="VKN6" s="28"/>
      <c r="VKO6" s="28"/>
      <c r="VKP6" s="28"/>
      <c r="VKQ6" s="28"/>
      <c r="VKR6" s="28"/>
      <c r="VKS6" s="28"/>
      <c r="VKT6" s="28"/>
      <c r="VKU6" s="28"/>
      <c r="VKV6" s="28"/>
      <c r="VKW6" s="28"/>
      <c r="VKX6" s="28"/>
      <c r="VKY6" s="28"/>
      <c r="VKZ6" s="28"/>
      <c r="VLA6" s="28"/>
      <c r="VLB6" s="28"/>
      <c r="VLC6" s="28"/>
      <c r="VLD6" s="28"/>
      <c r="VLE6" s="28"/>
      <c r="VLF6" s="28"/>
      <c r="VLG6" s="28"/>
      <c r="VLH6" s="28"/>
      <c r="VLI6" s="28"/>
      <c r="VLJ6" s="28"/>
      <c r="VLK6" s="28"/>
      <c r="VLL6" s="28"/>
      <c r="VLM6" s="28"/>
      <c r="VLN6" s="28"/>
      <c r="VLO6" s="28"/>
      <c r="VLP6" s="28"/>
      <c r="VLQ6" s="28"/>
      <c r="VLR6" s="28"/>
      <c r="VLS6" s="28"/>
      <c r="VLT6" s="28"/>
      <c r="VLU6" s="28"/>
      <c r="VLV6" s="28"/>
      <c r="VLW6" s="28"/>
      <c r="VLX6" s="28"/>
      <c r="VLY6" s="28"/>
      <c r="VLZ6" s="28"/>
      <c r="VMA6" s="28"/>
      <c r="VMB6" s="28"/>
      <c r="VMC6" s="28"/>
      <c r="VMD6" s="28"/>
      <c r="VME6" s="28"/>
      <c r="VMF6" s="28"/>
      <c r="VMG6" s="28"/>
      <c r="VMH6" s="28"/>
      <c r="VMI6" s="28"/>
      <c r="VMJ6" s="28"/>
      <c r="VMK6" s="28"/>
      <c r="VML6" s="28"/>
      <c r="VMM6" s="28"/>
      <c r="VMN6" s="28"/>
      <c r="VMO6" s="28"/>
      <c r="VMP6" s="28"/>
      <c r="VMQ6" s="28"/>
      <c r="VMR6" s="28"/>
      <c r="VMS6" s="28"/>
      <c r="VMT6" s="28"/>
      <c r="VMU6" s="28"/>
      <c r="VMV6" s="28"/>
      <c r="VMW6" s="28"/>
      <c r="VMX6" s="28"/>
      <c r="VMY6" s="28"/>
      <c r="VMZ6" s="28"/>
      <c r="VNA6" s="28"/>
      <c r="VNB6" s="28"/>
      <c r="VNC6" s="28"/>
      <c r="VND6" s="28"/>
      <c r="VNE6" s="28"/>
      <c r="VNF6" s="28"/>
      <c r="VNG6" s="28"/>
      <c r="VNH6" s="28"/>
      <c r="VNI6" s="28"/>
      <c r="VNJ6" s="28"/>
      <c r="VNK6" s="28"/>
      <c r="VNL6" s="28"/>
      <c r="VNM6" s="28"/>
      <c r="VNN6" s="28"/>
      <c r="VNO6" s="28"/>
      <c r="VNP6" s="28"/>
      <c r="VNQ6" s="28"/>
      <c r="VNR6" s="28"/>
      <c r="VNS6" s="28"/>
      <c r="VNT6" s="28"/>
      <c r="VNU6" s="28"/>
      <c r="VNV6" s="28"/>
      <c r="VNW6" s="28"/>
      <c r="VNX6" s="28"/>
      <c r="VNY6" s="28"/>
      <c r="VNZ6" s="28"/>
      <c r="VOA6" s="28"/>
      <c r="VOB6" s="28"/>
      <c r="VOC6" s="28"/>
      <c r="VOD6" s="28"/>
      <c r="VOE6" s="28"/>
      <c r="VOF6" s="28"/>
      <c r="VOG6" s="28"/>
      <c r="VOH6" s="28"/>
      <c r="VOI6" s="28"/>
      <c r="VOJ6" s="28"/>
      <c r="VOK6" s="28"/>
      <c r="VOL6" s="28"/>
      <c r="VOM6" s="28"/>
      <c r="VON6" s="28"/>
      <c r="VOO6" s="28"/>
      <c r="VOP6" s="28"/>
      <c r="VOQ6" s="28"/>
      <c r="VOR6" s="28"/>
      <c r="VOS6" s="28"/>
      <c r="VOT6" s="28"/>
      <c r="VOU6" s="28"/>
      <c r="VOV6" s="28"/>
      <c r="VOW6" s="28"/>
      <c r="VOX6" s="28"/>
      <c r="VOY6" s="28"/>
      <c r="VOZ6" s="28"/>
      <c r="VPA6" s="28"/>
      <c r="VPB6" s="28"/>
      <c r="VPC6" s="28"/>
      <c r="VPD6" s="28"/>
      <c r="VPE6" s="28"/>
      <c r="VPF6" s="28"/>
      <c r="VPG6" s="28"/>
      <c r="VPH6" s="28"/>
      <c r="VPI6" s="28"/>
      <c r="VPJ6" s="28"/>
      <c r="VPK6" s="28"/>
      <c r="VPL6" s="28"/>
      <c r="VPM6" s="28"/>
      <c r="VPN6" s="28"/>
      <c r="VPO6" s="28"/>
      <c r="VPP6" s="28"/>
      <c r="VPQ6" s="28"/>
      <c r="VPR6" s="28"/>
      <c r="VPS6" s="28"/>
      <c r="VPT6" s="28"/>
      <c r="VPU6" s="28"/>
      <c r="VPV6" s="28"/>
      <c r="VPW6" s="28"/>
      <c r="VPX6" s="28"/>
      <c r="VPY6" s="28"/>
      <c r="VPZ6" s="28"/>
      <c r="VQA6" s="28"/>
      <c r="VQB6" s="28"/>
      <c r="VQC6" s="28"/>
      <c r="VQD6" s="28"/>
      <c r="VQE6" s="28"/>
      <c r="VQF6" s="28"/>
      <c r="VQG6" s="28"/>
      <c r="VQH6" s="28"/>
      <c r="VQI6" s="28"/>
      <c r="VQJ6" s="28"/>
      <c r="VQK6" s="28"/>
      <c r="VQL6" s="28"/>
      <c r="VQM6" s="28"/>
      <c r="VQN6" s="28"/>
      <c r="VQO6" s="28"/>
      <c r="VQP6" s="28"/>
      <c r="VQQ6" s="28"/>
      <c r="VQR6" s="28"/>
      <c r="VQS6" s="28"/>
      <c r="VQT6" s="28"/>
      <c r="VQU6" s="28"/>
      <c r="VQV6" s="28"/>
      <c r="VQW6" s="28"/>
      <c r="VQX6" s="28"/>
      <c r="VQY6" s="28"/>
      <c r="VQZ6" s="28"/>
      <c r="VRA6" s="28"/>
      <c r="VRB6" s="28"/>
      <c r="VRC6" s="28"/>
      <c r="VRD6" s="28"/>
      <c r="VRE6" s="28"/>
      <c r="VRF6" s="28"/>
      <c r="VRG6" s="28"/>
      <c r="VRH6" s="28"/>
      <c r="VRI6" s="28"/>
      <c r="VRJ6" s="28"/>
      <c r="VRK6" s="28"/>
      <c r="VRL6" s="28"/>
      <c r="VRM6" s="28"/>
      <c r="VRN6" s="28"/>
      <c r="VRO6" s="28"/>
      <c r="VRP6" s="28"/>
      <c r="VRQ6" s="28"/>
      <c r="VRR6" s="28"/>
      <c r="VRS6" s="28"/>
      <c r="VRT6" s="28"/>
      <c r="VRU6" s="28"/>
      <c r="VRV6" s="28"/>
      <c r="VRW6" s="28"/>
      <c r="VRX6" s="28"/>
      <c r="VRY6" s="28"/>
      <c r="VRZ6" s="28"/>
      <c r="VSA6" s="28"/>
      <c r="VSB6" s="28"/>
      <c r="VSC6" s="28"/>
      <c r="VSD6" s="28"/>
      <c r="VSE6" s="28"/>
      <c r="VSF6" s="28"/>
      <c r="VSG6" s="28"/>
      <c r="VSH6" s="28"/>
      <c r="VSI6" s="28"/>
      <c r="VSJ6" s="28"/>
      <c r="VSK6" s="28"/>
      <c r="VSL6" s="28"/>
      <c r="VSM6" s="28"/>
      <c r="VSN6" s="28"/>
      <c r="VSO6" s="28"/>
      <c r="VSP6" s="28"/>
      <c r="VSQ6" s="28"/>
      <c r="VSR6" s="28"/>
      <c r="VSS6" s="28"/>
      <c r="VST6" s="28"/>
      <c r="VSU6" s="28"/>
      <c r="VSV6" s="28"/>
      <c r="VSW6" s="28"/>
      <c r="VSX6" s="28"/>
      <c r="VSY6" s="28"/>
      <c r="VSZ6" s="28"/>
      <c r="VTA6" s="28"/>
      <c r="VTB6" s="28"/>
      <c r="VTC6" s="28"/>
      <c r="VTD6" s="28"/>
      <c r="VTE6" s="28"/>
      <c r="VTF6" s="28"/>
      <c r="VTG6" s="28"/>
      <c r="VTH6" s="28"/>
      <c r="VTI6" s="28"/>
      <c r="VTJ6" s="28"/>
      <c r="VTK6" s="28"/>
      <c r="VTL6" s="28"/>
      <c r="VTM6" s="28"/>
      <c r="VTN6" s="28"/>
      <c r="VTO6" s="28"/>
      <c r="VTP6" s="28"/>
      <c r="VTQ6" s="28"/>
      <c r="VTR6" s="28"/>
      <c r="VTS6" s="28"/>
      <c r="VTT6" s="28"/>
      <c r="VTU6" s="28"/>
      <c r="VTV6" s="28"/>
      <c r="VTW6" s="28"/>
      <c r="VTX6" s="28"/>
      <c r="VTY6" s="28"/>
      <c r="VTZ6" s="28"/>
      <c r="VUA6" s="28"/>
      <c r="VUB6" s="28"/>
      <c r="VUC6" s="28"/>
      <c r="VUD6" s="28"/>
      <c r="VUE6" s="28"/>
      <c r="VUF6" s="28"/>
      <c r="VUG6" s="28"/>
      <c r="VUH6" s="28"/>
      <c r="VUI6" s="28"/>
      <c r="VUJ6" s="28"/>
      <c r="VUK6" s="28"/>
      <c r="VUL6" s="28"/>
      <c r="VUM6" s="28"/>
      <c r="VUN6" s="28"/>
      <c r="VUO6" s="28"/>
      <c r="VUP6" s="28"/>
      <c r="VUQ6" s="28"/>
      <c r="VUR6" s="28"/>
      <c r="VUS6" s="28"/>
      <c r="VUT6" s="28"/>
      <c r="VUU6" s="28"/>
      <c r="VUV6" s="28"/>
      <c r="VUW6" s="28"/>
      <c r="VUX6" s="28"/>
      <c r="VUY6" s="28"/>
      <c r="VUZ6" s="28"/>
      <c r="VVA6" s="28"/>
      <c r="VVB6" s="28"/>
      <c r="VVC6" s="28"/>
      <c r="VVD6" s="28"/>
      <c r="VVE6" s="28"/>
      <c r="VVF6" s="28"/>
      <c r="VVG6" s="28"/>
      <c r="VVH6" s="28"/>
      <c r="VVI6" s="28"/>
      <c r="VVJ6" s="28"/>
      <c r="VVK6" s="28"/>
      <c r="VVL6" s="28"/>
      <c r="VVM6" s="28"/>
      <c r="VVN6" s="28"/>
      <c r="VVO6" s="28"/>
      <c r="VVP6" s="28"/>
      <c r="VVQ6" s="28"/>
      <c r="VVR6" s="28"/>
      <c r="VVS6" s="28"/>
      <c r="VVT6" s="28"/>
      <c r="VVU6" s="28"/>
      <c r="VVV6" s="28"/>
      <c r="VVW6" s="28"/>
      <c r="VVX6" s="28"/>
      <c r="VVY6" s="28"/>
      <c r="VVZ6" s="28"/>
      <c r="VWA6" s="28"/>
      <c r="VWB6" s="28"/>
      <c r="VWC6" s="28"/>
      <c r="VWD6" s="28"/>
      <c r="VWE6" s="28"/>
      <c r="VWF6" s="28"/>
      <c r="VWG6" s="28"/>
      <c r="VWH6" s="28"/>
      <c r="VWI6" s="28"/>
      <c r="VWJ6" s="28"/>
      <c r="VWK6" s="28"/>
      <c r="VWL6" s="28"/>
      <c r="VWM6" s="28"/>
      <c r="VWN6" s="28"/>
      <c r="VWO6" s="28"/>
      <c r="VWP6" s="28"/>
      <c r="VWQ6" s="28"/>
      <c r="VWR6" s="28"/>
      <c r="VWS6" s="28"/>
      <c r="VWT6" s="28"/>
      <c r="VWU6" s="28"/>
      <c r="VWV6" s="28"/>
      <c r="VWW6" s="28"/>
      <c r="VWX6" s="28"/>
      <c r="VWY6" s="28"/>
      <c r="VWZ6" s="28"/>
      <c r="VXA6" s="28"/>
      <c r="VXB6" s="28"/>
      <c r="VXC6" s="28"/>
      <c r="VXD6" s="28"/>
      <c r="VXE6" s="28"/>
      <c r="VXF6" s="28"/>
      <c r="VXG6" s="28"/>
      <c r="VXH6" s="28"/>
      <c r="VXI6" s="28"/>
      <c r="VXJ6" s="28"/>
      <c r="VXK6" s="28"/>
      <c r="VXL6" s="28"/>
      <c r="VXM6" s="28"/>
      <c r="VXN6" s="28"/>
      <c r="VXO6" s="28"/>
      <c r="VXP6" s="28"/>
      <c r="VXQ6" s="28"/>
      <c r="VXR6" s="28"/>
      <c r="VXS6" s="28"/>
      <c r="VXT6" s="28"/>
      <c r="VXU6" s="28"/>
      <c r="VXV6" s="28"/>
      <c r="VXW6" s="28"/>
      <c r="VXX6" s="28"/>
      <c r="VXY6" s="28"/>
      <c r="VXZ6" s="28"/>
      <c r="VYA6" s="28"/>
      <c r="VYB6" s="28"/>
      <c r="VYC6" s="28"/>
      <c r="VYD6" s="28"/>
      <c r="VYE6" s="28"/>
      <c r="VYF6" s="28"/>
      <c r="VYG6" s="28"/>
      <c r="VYH6" s="28"/>
      <c r="VYI6" s="28"/>
      <c r="VYJ6" s="28"/>
      <c r="VYK6" s="28"/>
      <c r="VYL6" s="28"/>
      <c r="VYM6" s="28"/>
      <c r="VYN6" s="28"/>
      <c r="VYO6" s="28"/>
      <c r="VYP6" s="28"/>
      <c r="VYQ6" s="28"/>
      <c r="VYR6" s="28"/>
      <c r="VYS6" s="28"/>
      <c r="VYT6" s="28"/>
      <c r="VYU6" s="28"/>
      <c r="VYV6" s="28"/>
      <c r="VYW6" s="28"/>
      <c r="VYX6" s="28"/>
      <c r="VYY6" s="28"/>
      <c r="VYZ6" s="28"/>
      <c r="VZA6" s="28"/>
      <c r="VZB6" s="28"/>
      <c r="VZC6" s="28"/>
      <c r="VZD6" s="28"/>
      <c r="VZE6" s="28"/>
      <c r="VZF6" s="28"/>
      <c r="VZG6" s="28"/>
      <c r="VZH6" s="28"/>
      <c r="VZI6" s="28"/>
      <c r="VZJ6" s="28"/>
      <c r="VZK6" s="28"/>
      <c r="VZL6" s="28"/>
      <c r="VZM6" s="28"/>
      <c r="VZN6" s="28"/>
      <c r="VZO6" s="28"/>
      <c r="VZP6" s="28"/>
      <c r="VZQ6" s="28"/>
      <c r="VZR6" s="28"/>
      <c r="VZS6" s="28"/>
      <c r="VZT6" s="28"/>
      <c r="VZU6" s="28"/>
      <c r="VZV6" s="28"/>
      <c r="VZW6" s="28"/>
      <c r="VZX6" s="28"/>
      <c r="VZY6" s="28"/>
      <c r="VZZ6" s="28"/>
      <c r="WAA6" s="28"/>
      <c r="WAB6" s="28"/>
      <c r="WAC6" s="28"/>
      <c r="WAD6" s="28"/>
      <c r="WAE6" s="28"/>
      <c r="WAF6" s="28"/>
      <c r="WAG6" s="28"/>
      <c r="WAH6" s="28"/>
      <c r="WAI6" s="28"/>
      <c r="WAJ6" s="28"/>
      <c r="WAK6" s="28"/>
      <c r="WAL6" s="28"/>
      <c r="WAM6" s="28"/>
      <c r="WAN6" s="28"/>
      <c r="WAO6" s="28"/>
      <c r="WAP6" s="28"/>
      <c r="WAQ6" s="28"/>
      <c r="WAR6" s="28"/>
      <c r="WAS6" s="28"/>
      <c r="WAT6" s="28"/>
      <c r="WAU6" s="28"/>
      <c r="WAV6" s="28"/>
      <c r="WAW6" s="28"/>
      <c r="WAX6" s="28"/>
      <c r="WAY6" s="28"/>
      <c r="WAZ6" s="28"/>
      <c r="WBA6" s="28"/>
      <c r="WBB6" s="28"/>
      <c r="WBC6" s="28"/>
      <c r="WBD6" s="28"/>
      <c r="WBE6" s="28"/>
      <c r="WBF6" s="28"/>
      <c r="WBG6" s="28"/>
      <c r="WBH6" s="28"/>
      <c r="WBI6" s="28"/>
      <c r="WBJ6" s="28"/>
      <c r="WBK6" s="28"/>
      <c r="WBL6" s="28"/>
      <c r="WBM6" s="28"/>
      <c r="WBN6" s="28"/>
      <c r="WBO6" s="28"/>
      <c r="WBP6" s="28"/>
      <c r="WBQ6" s="28"/>
      <c r="WBR6" s="28"/>
      <c r="WBS6" s="28"/>
      <c r="WBT6" s="28"/>
      <c r="WBU6" s="28"/>
      <c r="WBV6" s="28"/>
      <c r="WBW6" s="28"/>
      <c r="WBX6" s="28"/>
      <c r="WBY6" s="28"/>
      <c r="WBZ6" s="28"/>
      <c r="WCA6" s="28"/>
      <c r="WCB6" s="28"/>
      <c r="WCC6" s="28"/>
      <c r="WCD6" s="28"/>
      <c r="WCE6" s="28"/>
      <c r="WCF6" s="28"/>
      <c r="WCG6" s="28"/>
      <c r="WCH6" s="28"/>
      <c r="WCI6" s="28"/>
      <c r="WCJ6" s="28"/>
      <c r="WCK6" s="28"/>
      <c r="WCL6" s="28"/>
      <c r="WCM6" s="28"/>
      <c r="WCN6" s="28"/>
      <c r="WCO6" s="28"/>
      <c r="WCP6" s="28"/>
      <c r="WCQ6" s="28"/>
      <c r="WCR6" s="28"/>
      <c r="WCS6" s="28"/>
      <c r="WCT6" s="28"/>
      <c r="WCU6" s="28"/>
      <c r="WCV6" s="28"/>
      <c r="WCW6" s="28"/>
      <c r="WCX6" s="28"/>
      <c r="WCY6" s="28"/>
      <c r="WCZ6" s="28"/>
      <c r="WDA6" s="28"/>
      <c r="WDB6" s="28"/>
      <c r="WDC6" s="28"/>
      <c r="WDD6" s="28"/>
      <c r="WDE6" s="28"/>
      <c r="WDF6" s="28"/>
      <c r="WDG6" s="28"/>
      <c r="WDH6" s="28"/>
      <c r="WDI6" s="28"/>
      <c r="WDJ6" s="28"/>
      <c r="WDK6" s="28"/>
      <c r="WDL6" s="28"/>
      <c r="WDM6" s="28"/>
      <c r="WDN6" s="28"/>
      <c r="WDO6" s="28"/>
      <c r="WDP6" s="28"/>
      <c r="WDQ6" s="28"/>
      <c r="WDR6" s="28"/>
      <c r="WDS6" s="28"/>
      <c r="WDT6" s="28"/>
      <c r="WDU6" s="28"/>
      <c r="WDV6" s="28"/>
      <c r="WDW6" s="28"/>
      <c r="WDX6" s="28"/>
      <c r="WDY6" s="28"/>
      <c r="WDZ6" s="28"/>
      <c r="WEA6" s="28"/>
      <c r="WEB6" s="28"/>
      <c r="WEC6" s="28"/>
      <c r="WED6" s="28"/>
      <c r="WEE6" s="28"/>
      <c r="WEF6" s="28"/>
      <c r="WEG6" s="28"/>
      <c r="WEH6" s="28"/>
      <c r="WEI6" s="28"/>
      <c r="WEJ6" s="28"/>
      <c r="WEK6" s="28"/>
      <c r="WEL6" s="28"/>
      <c r="WEM6" s="28"/>
      <c r="WEN6" s="28"/>
      <c r="WEO6" s="28"/>
      <c r="WEP6" s="28"/>
      <c r="WEQ6" s="28"/>
      <c r="WER6" s="28"/>
      <c r="WES6" s="28"/>
      <c r="WET6" s="28"/>
      <c r="WEU6" s="28"/>
      <c r="WEV6" s="28"/>
      <c r="WEW6" s="28"/>
      <c r="WEX6" s="28"/>
      <c r="WEY6" s="28"/>
      <c r="WEZ6" s="28"/>
      <c r="WFA6" s="28"/>
      <c r="WFB6" s="28"/>
      <c r="WFC6" s="28"/>
      <c r="WFD6" s="28"/>
      <c r="WFE6" s="28"/>
      <c r="WFF6" s="28"/>
      <c r="WFG6" s="28"/>
      <c r="WFH6" s="28"/>
      <c r="WFI6" s="28"/>
      <c r="WFJ6" s="28"/>
      <c r="WFK6" s="28"/>
      <c r="WFL6" s="28"/>
      <c r="WFM6" s="28"/>
      <c r="WFN6" s="28"/>
      <c r="WFO6" s="28"/>
      <c r="WFP6" s="28"/>
      <c r="WFQ6" s="28"/>
      <c r="WFR6" s="28"/>
      <c r="WFS6" s="28"/>
      <c r="WFT6" s="28"/>
      <c r="WFU6" s="28"/>
      <c r="WFV6" s="28"/>
      <c r="WFW6" s="28"/>
      <c r="WFX6" s="28"/>
      <c r="WFY6" s="28"/>
      <c r="WFZ6" s="28"/>
      <c r="WGA6" s="28"/>
      <c r="WGB6" s="28"/>
      <c r="WGC6" s="28"/>
      <c r="WGD6" s="28"/>
      <c r="WGE6" s="28"/>
      <c r="WGF6" s="28"/>
      <c r="WGG6" s="28"/>
      <c r="WGH6" s="28"/>
      <c r="WGI6" s="28"/>
      <c r="WGJ6" s="28"/>
      <c r="WGK6" s="28"/>
      <c r="WGL6" s="28"/>
      <c r="WGM6" s="28"/>
      <c r="WGN6" s="28"/>
      <c r="WGO6" s="28"/>
      <c r="WGP6" s="28"/>
      <c r="WGQ6" s="28"/>
      <c r="WGR6" s="28"/>
      <c r="WGS6" s="28"/>
      <c r="WGT6" s="28"/>
      <c r="WGU6" s="28"/>
      <c r="WGV6" s="28"/>
      <c r="WGW6" s="28"/>
      <c r="WGX6" s="28"/>
      <c r="WGY6" s="28"/>
      <c r="WGZ6" s="28"/>
      <c r="WHA6" s="28"/>
      <c r="WHB6" s="28"/>
      <c r="WHC6" s="28"/>
      <c r="WHD6" s="28"/>
      <c r="WHE6" s="28"/>
      <c r="WHF6" s="28"/>
      <c r="WHG6" s="28"/>
      <c r="WHH6" s="28"/>
      <c r="WHI6" s="28"/>
      <c r="WHJ6" s="28"/>
      <c r="WHK6" s="28"/>
      <c r="WHL6" s="28"/>
      <c r="WHM6" s="28"/>
      <c r="WHN6" s="28"/>
      <c r="WHO6" s="28"/>
      <c r="WHP6" s="28"/>
      <c r="WHQ6" s="28"/>
      <c r="WHR6" s="28"/>
      <c r="WHS6" s="28"/>
      <c r="WHT6" s="28"/>
      <c r="WHU6" s="28"/>
      <c r="WHV6" s="28"/>
      <c r="WHW6" s="28"/>
      <c r="WHX6" s="28"/>
      <c r="WHY6" s="28"/>
      <c r="WHZ6" s="28"/>
      <c r="WIA6" s="28"/>
      <c r="WIB6" s="28"/>
      <c r="WIC6" s="28"/>
      <c r="WID6" s="28"/>
      <c r="WIE6" s="28"/>
      <c r="WIF6" s="28"/>
      <c r="WIG6" s="28"/>
      <c r="WIH6" s="28"/>
      <c r="WII6" s="28"/>
      <c r="WIJ6" s="28"/>
      <c r="WIK6" s="28"/>
      <c r="WIL6" s="28"/>
      <c r="WIM6" s="28"/>
      <c r="WIN6" s="28"/>
      <c r="WIO6" s="28"/>
      <c r="WIP6" s="28"/>
      <c r="WIQ6" s="28"/>
      <c r="WIR6" s="28"/>
      <c r="WIS6" s="28"/>
      <c r="WIT6" s="28"/>
      <c r="WIU6" s="28"/>
      <c r="WIV6" s="28"/>
      <c r="WIW6" s="28"/>
      <c r="WIX6" s="28"/>
      <c r="WIY6" s="28"/>
      <c r="WIZ6" s="28"/>
      <c r="WJA6" s="28"/>
      <c r="WJB6" s="28"/>
      <c r="WJC6" s="28"/>
      <c r="WJD6" s="28"/>
      <c r="WJE6" s="28"/>
      <c r="WJF6" s="28"/>
      <c r="WJG6" s="28"/>
      <c r="WJH6" s="28"/>
      <c r="WJI6" s="28"/>
      <c r="WJJ6" s="28"/>
      <c r="WJK6" s="28"/>
      <c r="WJL6" s="28"/>
      <c r="WJM6" s="28"/>
      <c r="WJN6" s="28"/>
      <c r="WJO6" s="28"/>
      <c r="WJP6" s="28"/>
      <c r="WJQ6" s="28"/>
      <c r="WJR6" s="28"/>
      <c r="WJS6" s="28"/>
      <c r="WJT6" s="28"/>
      <c r="WJU6" s="28"/>
      <c r="WJV6" s="28"/>
      <c r="WJW6" s="28"/>
      <c r="WJX6" s="28"/>
      <c r="WJY6" s="28"/>
      <c r="WJZ6" s="28"/>
      <c r="WKA6" s="28"/>
      <c r="WKB6" s="28"/>
      <c r="WKC6" s="28"/>
      <c r="WKD6" s="28"/>
      <c r="WKE6" s="28"/>
      <c r="WKF6" s="28"/>
      <c r="WKG6" s="28"/>
      <c r="WKH6" s="28"/>
      <c r="WKI6" s="28"/>
      <c r="WKJ6" s="28"/>
      <c r="WKK6" s="28"/>
      <c r="WKL6" s="28"/>
      <c r="WKM6" s="28"/>
      <c r="WKN6" s="28"/>
      <c r="WKO6" s="28"/>
      <c r="WKP6" s="28"/>
      <c r="WKQ6" s="28"/>
      <c r="WKR6" s="28"/>
      <c r="WKS6" s="28"/>
      <c r="WKT6" s="28"/>
      <c r="WKU6" s="28"/>
      <c r="WKV6" s="28"/>
      <c r="WKW6" s="28"/>
      <c r="WKX6" s="28"/>
      <c r="WKY6" s="28"/>
      <c r="WKZ6" s="28"/>
      <c r="WLA6" s="28"/>
      <c r="WLB6" s="28"/>
      <c r="WLC6" s="28"/>
      <c r="WLD6" s="28"/>
      <c r="WLE6" s="28"/>
      <c r="WLF6" s="28"/>
      <c r="WLG6" s="28"/>
      <c r="WLH6" s="28"/>
      <c r="WLI6" s="28"/>
      <c r="WLJ6" s="28"/>
      <c r="WLK6" s="28"/>
      <c r="WLL6" s="28"/>
      <c r="WLM6" s="28"/>
      <c r="WLN6" s="28"/>
      <c r="WLO6" s="28"/>
      <c r="WLP6" s="28"/>
      <c r="WLQ6" s="28"/>
      <c r="WLR6" s="28"/>
      <c r="WLS6" s="28"/>
      <c r="WLT6" s="28"/>
      <c r="WLU6" s="28"/>
      <c r="WLV6" s="28"/>
      <c r="WLW6" s="28"/>
      <c r="WLX6" s="28"/>
      <c r="WLY6" s="28"/>
      <c r="WLZ6" s="28"/>
      <c r="WMA6" s="28"/>
      <c r="WMB6" s="28"/>
      <c r="WMC6" s="28"/>
      <c r="WMD6" s="28"/>
      <c r="WME6" s="28"/>
      <c r="WMF6" s="28"/>
      <c r="WMG6" s="28"/>
      <c r="WMH6" s="28"/>
      <c r="WMI6" s="28"/>
      <c r="WMJ6" s="28"/>
      <c r="WMK6" s="28"/>
      <c r="WML6" s="28"/>
      <c r="WMM6" s="28"/>
      <c r="WMN6" s="28"/>
      <c r="WMO6" s="28"/>
      <c r="WMP6" s="28"/>
      <c r="WMQ6" s="28"/>
      <c r="WMR6" s="28"/>
      <c r="WMS6" s="28"/>
      <c r="WMT6" s="28"/>
      <c r="WMU6" s="28"/>
      <c r="WMV6" s="28"/>
      <c r="WMW6" s="28"/>
      <c r="WMX6" s="28"/>
      <c r="WMY6" s="28"/>
      <c r="WMZ6" s="28"/>
      <c r="WNA6" s="28"/>
      <c r="WNB6" s="28"/>
      <c r="WNC6" s="28"/>
      <c r="WND6" s="28"/>
      <c r="WNE6" s="28"/>
      <c r="WNF6" s="28"/>
      <c r="WNG6" s="28"/>
      <c r="WNH6" s="28"/>
      <c r="WNI6" s="28"/>
      <c r="WNJ6" s="28"/>
      <c r="WNK6" s="28"/>
      <c r="WNL6" s="28"/>
      <c r="WNM6" s="28"/>
      <c r="WNN6" s="28"/>
      <c r="WNO6" s="28"/>
      <c r="WNP6" s="28"/>
      <c r="WNQ6" s="28"/>
      <c r="WNR6" s="28"/>
      <c r="WNS6" s="28"/>
      <c r="WNT6" s="28"/>
      <c r="WNU6" s="28"/>
      <c r="WNV6" s="28"/>
      <c r="WNW6" s="28"/>
      <c r="WNX6" s="28"/>
      <c r="WNY6" s="28"/>
      <c r="WNZ6" s="28"/>
      <c r="WOA6" s="28"/>
      <c r="WOB6" s="28"/>
      <c r="WOC6" s="28"/>
      <c r="WOD6" s="28"/>
      <c r="WOE6" s="28"/>
      <c r="WOF6" s="28"/>
      <c r="WOG6" s="28"/>
      <c r="WOH6" s="28"/>
      <c r="WOI6" s="28"/>
      <c r="WOJ6" s="28"/>
      <c r="WOK6" s="28"/>
      <c r="WOL6" s="28"/>
      <c r="WOM6" s="28"/>
      <c r="WON6" s="28"/>
      <c r="WOO6" s="28"/>
      <c r="WOP6" s="28"/>
      <c r="WOQ6" s="28"/>
      <c r="WOR6" s="28"/>
      <c r="WOS6" s="28"/>
      <c r="WOT6" s="28"/>
      <c r="WOU6" s="28"/>
      <c r="WOV6" s="28"/>
      <c r="WOW6" s="28"/>
      <c r="WOX6" s="28"/>
      <c r="WOY6" s="28"/>
      <c r="WOZ6" s="28"/>
      <c r="WPA6" s="28"/>
      <c r="WPB6" s="28"/>
      <c r="WPC6" s="28"/>
      <c r="WPD6" s="28"/>
      <c r="WPE6" s="28"/>
      <c r="WPF6" s="28"/>
      <c r="WPG6" s="28"/>
      <c r="WPH6" s="28"/>
      <c r="WPI6" s="28"/>
      <c r="WPJ6" s="28"/>
      <c r="WPK6" s="28"/>
      <c r="WPL6" s="28"/>
      <c r="WPM6" s="28"/>
      <c r="WPN6" s="28"/>
      <c r="WPO6" s="28"/>
      <c r="WPP6" s="28"/>
      <c r="WPQ6" s="28"/>
      <c r="WPR6" s="28"/>
      <c r="WPS6" s="28"/>
      <c r="WPT6" s="28"/>
      <c r="WPU6" s="28"/>
      <c r="WPV6" s="28"/>
      <c r="WPW6" s="28"/>
      <c r="WPX6" s="28"/>
      <c r="WPY6" s="28"/>
      <c r="WPZ6" s="28"/>
      <c r="WQA6" s="28"/>
      <c r="WQB6" s="28"/>
      <c r="WQC6" s="28"/>
      <c r="WQD6" s="28"/>
      <c r="WQE6" s="28"/>
      <c r="WQF6" s="28"/>
      <c r="WQG6" s="28"/>
      <c r="WQH6" s="28"/>
      <c r="WQI6" s="28"/>
      <c r="WQJ6" s="28"/>
      <c r="WQK6" s="28"/>
      <c r="WQL6" s="28"/>
      <c r="WQM6" s="28"/>
      <c r="WQN6" s="28"/>
      <c r="WQO6" s="28"/>
      <c r="WQP6" s="28"/>
      <c r="WQQ6" s="28"/>
      <c r="WQR6" s="28"/>
      <c r="WQS6" s="28"/>
      <c r="WQT6" s="28"/>
      <c r="WQU6" s="28"/>
      <c r="WQV6" s="28"/>
      <c r="WQW6" s="28"/>
      <c r="WQX6" s="28"/>
      <c r="WQY6" s="28"/>
      <c r="WQZ6" s="28"/>
      <c r="WRA6" s="28"/>
      <c r="WRB6" s="28"/>
      <c r="WRC6" s="28"/>
      <c r="WRD6" s="28"/>
      <c r="WRE6" s="28"/>
      <c r="WRF6" s="28"/>
      <c r="WRG6" s="28"/>
      <c r="WRH6" s="28"/>
      <c r="WRI6" s="28"/>
      <c r="WRJ6" s="28"/>
      <c r="WRK6" s="28"/>
      <c r="WRL6" s="28"/>
      <c r="WRM6" s="28"/>
      <c r="WRN6" s="28"/>
      <c r="WRO6" s="28"/>
      <c r="WRP6" s="28"/>
      <c r="WRQ6" s="28"/>
      <c r="WRR6" s="28"/>
      <c r="WRS6" s="28"/>
      <c r="WRT6" s="28"/>
      <c r="WRU6" s="28"/>
      <c r="WRV6" s="28"/>
      <c r="WRW6" s="28"/>
      <c r="WRX6" s="28"/>
      <c r="WRY6" s="28"/>
      <c r="WRZ6" s="28"/>
      <c r="WSA6" s="28"/>
      <c r="WSB6" s="28"/>
      <c r="WSC6" s="28"/>
      <c r="WSD6" s="28"/>
      <c r="WSE6" s="28"/>
      <c r="WSF6" s="28"/>
      <c r="WSG6" s="28"/>
      <c r="WSH6" s="28"/>
      <c r="WSI6" s="28"/>
      <c r="WSJ6" s="28"/>
      <c r="WSK6" s="28"/>
      <c r="WSL6" s="28"/>
      <c r="WSM6" s="28"/>
      <c r="WSN6" s="28"/>
      <c r="WSO6" s="28"/>
      <c r="WSP6" s="28"/>
      <c r="WSQ6" s="28"/>
      <c r="WSR6" s="28"/>
      <c r="WSS6" s="28"/>
      <c r="WST6" s="28"/>
      <c r="WSU6" s="28"/>
      <c r="WSV6" s="28"/>
      <c r="WSW6" s="28"/>
      <c r="WSX6" s="28"/>
      <c r="WSY6" s="28"/>
      <c r="WSZ6" s="28"/>
      <c r="WTA6" s="28"/>
      <c r="WTB6" s="28"/>
      <c r="WTC6" s="28"/>
      <c r="WTD6" s="28"/>
      <c r="WTE6" s="28"/>
      <c r="WTF6" s="28"/>
      <c r="WTG6" s="28"/>
      <c r="WTH6" s="28"/>
      <c r="WTI6" s="28"/>
      <c r="WTJ6" s="28"/>
      <c r="WTK6" s="28"/>
      <c r="WTL6" s="28"/>
      <c r="WTM6" s="28"/>
      <c r="WTN6" s="28"/>
      <c r="WTO6" s="28"/>
      <c r="WTP6" s="28"/>
      <c r="WTQ6" s="28"/>
      <c r="WTR6" s="28"/>
      <c r="WTS6" s="28"/>
      <c r="WTT6" s="28"/>
      <c r="WTU6" s="28"/>
      <c r="WTV6" s="28"/>
      <c r="WTW6" s="28"/>
      <c r="WTX6" s="28"/>
      <c r="WTY6" s="28"/>
      <c r="WTZ6" s="28"/>
      <c r="WUA6" s="28"/>
      <c r="WUB6" s="28"/>
      <c r="WUC6" s="28"/>
      <c r="WUD6" s="28"/>
      <c r="WUE6" s="28"/>
      <c r="WUF6" s="28"/>
      <c r="WUG6" s="28"/>
      <c r="WUH6" s="28"/>
      <c r="WUI6" s="28"/>
      <c r="WUJ6" s="28"/>
      <c r="WUK6" s="28"/>
      <c r="WUL6" s="28"/>
      <c r="WUM6" s="28"/>
      <c r="WUN6" s="28"/>
      <c r="WUO6" s="28"/>
      <c r="WUP6" s="28"/>
      <c r="WUQ6" s="28"/>
      <c r="WUR6" s="28"/>
      <c r="WUS6" s="28"/>
      <c r="WUT6" s="28"/>
      <c r="WUU6" s="28"/>
      <c r="WUV6" s="28"/>
      <c r="WUW6" s="28"/>
      <c r="WUX6" s="28"/>
      <c r="WUY6" s="28"/>
      <c r="WUZ6" s="28"/>
      <c r="WVA6" s="28"/>
      <c r="WVB6" s="28"/>
      <c r="WVC6" s="28"/>
      <c r="WVD6" s="28"/>
      <c r="WVE6" s="28"/>
      <c r="WVF6" s="28"/>
      <c r="WVG6" s="28"/>
      <c r="WVH6" s="28"/>
      <c r="WVI6" s="28"/>
      <c r="WVJ6" s="28"/>
      <c r="WVK6" s="28"/>
      <c r="WVL6" s="28"/>
      <c r="WVM6" s="28"/>
      <c r="WVN6" s="28"/>
      <c r="WVO6" s="28"/>
      <c r="WVP6" s="28"/>
      <c r="WVQ6" s="28"/>
      <c r="WVR6" s="28"/>
      <c r="WVS6" s="28"/>
      <c r="WVT6" s="28"/>
      <c r="WVU6" s="28"/>
      <c r="WVV6" s="28"/>
      <c r="WVW6" s="28"/>
      <c r="WVX6" s="28"/>
      <c r="WVY6" s="28"/>
      <c r="WVZ6" s="28"/>
      <c r="WWA6" s="28"/>
      <c r="WWB6" s="28"/>
      <c r="WWC6" s="28"/>
      <c r="WWD6" s="28"/>
      <c r="WWE6" s="28"/>
      <c r="WWF6" s="28"/>
      <c r="WWG6" s="28"/>
      <c r="WWH6" s="28"/>
      <c r="WWI6" s="28"/>
      <c r="WWJ6" s="28"/>
      <c r="WWK6" s="28"/>
      <c r="WWL6" s="28"/>
      <c r="WWM6" s="28"/>
      <c r="WWN6" s="28"/>
      <c r="WWO6" s="28"/>
      <c r="WWP6" s="28"/>
      <c r="WWQ6" s="28"/>
      <c r="WWR6" s="28"/>
      <c r="WWS6" s="28"/>
      <c r="WWT6" s="28"/>
      <c r="WWU6" s="28"/>
      <c r="WWV6" s="28"/>
      <c r="WWW6" s="28"/>
      <c r="WWX6" s="28"/>
      <c r="WWY6" s="28"/>
      <c r="WWZ6" s="28"/>
      <c r="WXA6" s="28"/>
      <c r="WXB6" s="28"/>
      <c r="WXC6" s="28"/>
      <c r="WXD6" s="28"/>
      <c r="WXE6" s="28"/>
      <c r="WXF6" s="28"/>
      <c r="WXG6" s="28"/>
      <c r="WXH6" s="28"/>
      <c r="WXI6" s="28"/>
      <c r="WXJ6" s="28"/>
      <c r="WXK6" s="28"/>
      <c r="WXL6" s="28"/>
      <c r="WXM6" s="28"/>
      <c r="WXN6" s="28"/>
      <c r="WXO6" s="28"/>
      <c r="WXP6" s="28"/>
      <c r="WXQ6" s="28"/>
      <c r="WXR6" s="28"/>
      <c r="WXS6" s="28"/>
      <c r="WXT6" s="28"/>
      <c r="WXU6" s="28"/>
      <c r="WXV6" s="28"/>
      <c r="WXW6" s="28"/>
      <c r="WXX6" s="28"/>
      <c r="WXY6" s="28"/>
      <c r="WXZ6" s="28"/>
      <c r="WYA6" s="28"/>
      <c r="WYB6" s="28"/>
      <c r="WYC6" s="28"/>
      <c r="WYD6" s="28"/>
      <c r="WYE6" s="28"/>
      <c r="WYF6" s="28"/>
      <c r="WYG6" s="28"/>
      <c r="WYH6" s="28"/>
      <c r="WYI6" s="28"/>
      <c r="WYJ6" s="28"/>
      <c r="WYK6" s="28"/>
      <c r="WYL6" s="28"/>
      <c r="WYM6" s="28"/>
      <c r="WYN6" s="28"/>
      <c r="WYO6" s="28"/>
      <c r="WYP6" s="28"/>
      <c r="WYQ6" s="28"/>
      <c r="WYR6" s="28"/>
      <c r="WYS6" s="28"/>
      <c r="WYT6" s="28"/>
      <c r="WYU6" s="28"/>
      <c r="WYV6" s="28"/>
      <c r="WYW6" s="28"/>
      <c r="WYX6" s="28"/>
      <c r="WYY6" s="28"/>
      <c r="WYZ6" s="28"/>
      <c r="WZA6" s="28"/>
      <c r="WZB6" s="28"/>
      <c r="WZC6" s="28"/>
      <c r="WZD6" s="28"/>
      <c r="WZE6" s="28"/>
      <c r="WZF6" s="28"/>
      <c r="WZG6" s="28"/>
      <c r="WZH6" s="28"/>
      <c r="WZI6" s="28"/>
      <c r="WZJ6" s="28"/>
      <c r="WZK6" s="28"/>
      <c r="WZL6" s="28"/>
      <c r="WZM6" s="28"/>
      <c r="WZN6" s="28"/>
      <c r="WZO6" s="28"/>
      <c r="WZP6" s="28"/>
      <c r="WZQ6" s="28"/>
      <c r="WZR6" s="28"/>
      <c r="WZS6" s="28"/>
      <c r="WZT6" s="28"/>
      <c r="WZU6" s="28"/>
      <c r="WZV6" s="28"/>
      <c r="WZW6" s="28"/>
      <c r="WZX6" s="28"/>
      <c r="WZY6" s="28"/>
      <c r="WZZ6" s="28"/>
      <c r="XAA6" s="28"/>
      <c r="XAB6" s="28"/>
      <c r="XAC6" s="28"/>
      <c r="XAD6" s="28"/>
      <c r="XAE6" s="28"/>
      <c r="XAF6" s="28"/>
      <c r="XAG6" s="28"/>
      <c r="XAH6" s="28"/>
      <c r="XAI6" s="28"/>
      <c r="XAJ6" s="28"/>
      <c r="XAK6" s="28"/>
      <c r="XAL6" s="28"/>
      <c r="XAM6" s="28"/>
      <c r="XAN6" s="28"/>
      <c r="XAO6" s="28"/>
      <c r="XAP6" s="28"/>
      <c r="XAQ6" s="28"/>
      <c r="XAR6" s="28"/>
      <c r="XAS6" s="28"/>
      <c r="XAT6" s="28"/>
      <c r="XAU6" s="28"/>
      <c r="XAV6" s="28"/>
      <c r="XAW6" s="28"/>
      <c r="XAX6" s="28"/>
      <c r="XAY6" s="28"/>
      <c r="XAZ6" s="28"/>
      <c r="XBA6" s="28"/>
      <c r="XBB6" s="28"/>
      <c r="XBC6" s="28"/>
      <c r="XBD6" s="28"/>
      <c r="XBE6" s="28"/>
      <c r="XBF6" s="28"/>
      <c r="XBG6" s="28"/>
      <c r="XBH6" s="28"/>
      <c r="XBI6" s="28"/>
      <c r="XBJ6" s="28"/>
      <c r="XBK6" s="28"/>
      <c r="XBL6" s="28"/>
      <c r="XBM6" s="28"/>
      <c r="XBN6" s="28"/>
      <c r="XBO6" s="28"/>
      <c r="XBP6" s="28"/>
      <c r="XBQ6" s="28"/>
      <c r="XBR6" s="28"/>
      <c r="XBS6" s="28"/>
      <c r="XBT6" s="28"/>
      <c r="XBU6" s="28"/>
      <c r="XBV6" s="28"/>
      <c r="XBW6" s="28"/>
      <c r="XBX6" s="28"/>
      <c r="XBY6" s="28"/>
      <c r="XBZ6" s="28"/>
      <c r="XCA6" s="28"/>
      <c r="XCB6" s="28"/>
      <c r="XCC6" s="28"/>
      <c r="XCD6" s="28"/>
      <c r="XCE6" s="28"/>
      <c r="XCF6" s="28"/>
      <c r="XCG6" s="28"/>
      <c r="XCH6" s="28"/>
      <c r="XCI6" s="28"/>
      <c r="XCJ6" s="28"/>
      <c r="XCK6" s="28"/>
      <c r="XCL6" s="28"/>
      <c r="XCM6" s="28"/>
      <c r="XCN6" s="28"/>
      <c r="XCO6" s="28"/>
      <c r="XCP6" s="28"/>
      <c r="XCQ6" s="28"/>
      <c r="XCR6" s="28"/>
      <c r="XCS6" s="28"/>
      <c r="XCT6" s="28"/>
      <c r="XCU6" s="28"/>
      <c r="XCV6" s="28"/>
      <c r="XCW6" s="28"/>
      <c r="XCX6" s="28"/>
      <c r="XCY6" s="28"/>
      <c r="XCZ6" s="28"/>
      <c r="XDA6" s="28"/>
      <c r="XDB6" s="28"/>
      <c r="XDC6" s="28"/>
      <c r="XDD6" s="28"/>
      <c r="XDE6" s="28"/>
      <c r="XDF6" s="28"/>
      <c r="XDG6" s="28"/>
      <c r="XDH6" s="28"/>
      <c r="XDI6" s="28"/>
      <c r="XDJ6" s="28"/>
      <c r="XDK6" s="28"/>
      <c r="XDL6" s="28"/>
      <c r="XDM6" s="28"/>
      <c r="XDN6" s="28"/>
      <c r="XDO6" s="28"/>
      <c r="XDP6" s="28"/>
      <c r="XDQ6" s="28"/>
      <c r="XDR6" s="28"/>
      <c r="XDS6" s="28"/>
      <c r="XDT6" s="28"/>
      <c r="XDU6" s="28"/>
      <c r="XDV6" s="28"/>
      <c r="XDW6" s="28"/>
      <c r="XDX6" s="28"/>
      <c r="XDY6" s="28"/>
      <c r="XDZ6" s="28"/>
      <c r="XEA6" s="28"/>
      <c r="XEB6" s="28"/>
      <c r="XEC6" s="28"/>
      <c r="XED6" s="28"/>
      <c r="XEE6" s="28"/>
      <c r="XEF6" s="28"/>
      <c r="XEG6" s="28"/>
      <c r="XEH6" s="28"/>
      <c r="XEI6" s="28"/>
      <c r="XEJ6" s="28"/>
      <c r="XEK6" s="28"/>
      <c r="XEL6" s="28"/>
      <c r="XEM6" s="28"/>
      <c r="XEN6" s="28"/>
      <c r="XEO6" s="28"/>
      <c r="XEP6" s="28"/>
      <c r="XEQ6" s="28"/>
      <c r="XER6" s="28"/>
      <c r="XES6" s="28"/>
      <c r="XET6" s="28"/>
      <c r="XEU6" s="28"/>
      <c r="XEV6" s="28"/>
      <c r="XEW6" s="28"/>
      <c r="XEX6" s="28"/>
      <c r="XEY6" s="28"/>
      <c r="XEZ6" s="28"/>
      <c r="XFA6" s="28"/>
      <c r="XFB6" s="28"/>
    </row>
    <row r="7" spans="1:16382" ht="16.5" thickBot="1" x14ac:dyDescent="0.3">
      <c r="B7" s="166"/>
      <c r="C7" s="47"/>
      <c r="D7" s="22">
        <v>17653.269999999997</v>
      </c>
      <c r="E7" s="22">
        <v>23327.979999999992</v>
      </c>
      <c r="F7" s="22">
        <v>11878.259999999998</v>
      </c>
      <c r="G7" s="22">
        <v>16090.42</v>
      </c>
      <c r="H7" s="22">
        <v>16391.920000000002</v>
      </c>
      <c r="I7" s="22">
        <v>15482.340000000004</v>
      </c>
      <c r="J7" s="22">
        <v>17305.879999999994</v>
      </c>
      <c r="K7" s="22">
        <v>21417.39</v>
      </c>
      <c r="L7" s="22">
        <v>25366.260000000006</v>
      </c>
      <c r="M7" s="22">
        <f>16637.79+18402.15</f>
        <v>35039.94</v>
      </c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  <c r="NK7" s="28"/>
      <c r="NL7" s="28"/>
      <c r="NM7" s="28"/>
      <c r="NN7" s="28"/>
      <c r="NO7" s="28"/>
      <c r="NP7" s="28"/>
      <c r="NQ7" s="28"/>
      <c r="NR7" s="28"/>
      <c r="NS7" s="28"/>
      <c r="NT7" s="28"/>
      <c r="NU7" s="28"/>
      <c r="NV7" s="28"/>
      <c r="NW7" s="28"/>
      <c r="NX7" s="28"/>
      <c r="NY7" s="28"/>
      <c r="NZ7" s="28"/>
      <c r="OA7" s="28"/>
      <c r="OB7" s="28"/>
      <c r="OC7" s="28"/>
      <c r="OD7" s="28"/>
      <c r="OE7" s="28"/>
      <c r="OF7" s="28"/>
      <c r="OG7" s="28"/>
      <c r="OH7" s="28"/>
      <c r="OI7" s="28"/>
      <c r="OJ7" s="28"/>
      <c r="OK7" s="28"/>
      <c r="OL7" s="28"/>
      <c r="OM7" s="28"/>
      <c r="ON7" s="28"/>
      <c r="OO7" s="28"/>
      <c r="OP7" s="28"/>
      <c r="OQ7" s="28"/>
      <c r="OR7" s="28"/>
      <c r="OS7" s="28"/>
      <c r="OT7" s="28"/>
      <c r="OU7" s="28"/>
      <c r="OV7" s="28"/>
      <c r="OW7" s="28"/>
      <c r="OX7" s="28"/>
      <c r="OY7" s="28"/>
      <c r="OZ7" s="28"/>
      <c r="PA7" s="28"/>
      <c r="PB7" s="28"/>
      <c r="PC7" s="28"/>
      <c r="PD7" s="28"/>
      <c r="PE7" s="28"/>
      <c r="PF7" s="28"/>
      <c r="PG7" s="28"/>
      <c r="PH7" s="28"/>
      <c r="PI7" s="28"/>
      <c r="PJ7" s="28"/>
      <c r="PK7" s="28"/>
      <c r="PL7" s="28"/>
      <c r="PM7" s="28"/>
      <c r="PN7" s="28"/>
      <c r="PO7" s="28"/>
      <c r="PP7" s="28"/>
      <c r="PQ7" s="28"/>
      <c r="PR7" s="28"/>
      <c r="PS7" s="28"/>
      <c r="PT7" s="28"/>
      <c r="PU7" s="28"/>
      <c r="PV7" s="28"/>
      <c r="PW7" s="28"/>
      <c r="PX7" s="28"/>
      <c r="PY7" s="28"/>
      <c r="PZ7" s="28"/>
      <c r="QA7" s="28"/>
      <c r="QB7" s="28"/>
      <c r="QC7" s="28"/>
      <c r="QD7" s="28"/>
      <c r="QE7" s="28"/>
      <c r="QF7" s="28"/>
      <c r="QG7" s="28"/>
      <c r="QH7" s="28"/>
      <c r="QI7" s="28"/>
      <c r="QJ7" s="28"/>
      <c r="QK7" s="28"/>
      <c r="QL7" s="28"/>
      <c r="QM7" s="28"/>
      <c r="QN7" s="28"/>
      <c r="QO7" s="28"/>
      <c r="QP7" s="28"/>
      <c r="QQ7" s="28"/>
      <c r="QR7" s="28"/>
      <c r="QS7" s="28"/>
      <c r="QT7" s="28"/>
      <c r="QU7" s="28"/>
      <c r="QV7" s="28"/>
      <c r="QW7" s="28"/>
      <c r="QX7" s="28"/>
      <c r="QY7" s="28"/>
      <c r="QZ7" s="28"/>
      <c r="RA7" s="28"/>
      <c r="RB7" s="28"/>
      <c r="RC7" s="28"/>
      <c r="RD7" s="28"/>
      <c r="RE7" s="28"/>
      <c r="RF7" s="28"/>
      <c r="RG7" s="28"/>
      <c r="RH7" s="28"/>
      <c r="RI7" s="28"/>
      <c r="RJ7" s="28"/>
      <c r="RK7" s="28"/>
      <c r="RL7" s="28"/>
      <c r="RM7" s="28"/>
      <c r="RN7" s="28"/>
      <c r="RO7" s="28"/>
      <c r="RP7" s="28"/>
      <c r="RQ7" s="28"/>
      <c r="RR7" s="28"/>
      <c r="RS7" s="28"/>
      <c r="RT7" s="28"/>
      <c r="RU7" s="28"/>
      <c r="RV7" s="28"/>
      <c r="RW7" s="28"/>
      <c r="RX7" s="28"/>
      <c r="RY7" s="28"/>
      <c r="RZ7" s="28"/>
      <c r="SA7" s="28"/>
      <c r="SB7" s="28"/>
      <c r="SC7" s="28"/>
      <c r="SD7" s="28"/>
      <c r="SE7" s="28"/>
      <c r="SF7" s="28"/>
      <c r="SG7" s="28"/>
      <c r="SH7" s="28"/>
      <c r="SI7" s="28"/>
      <c r="SJ7" s="28"/>
      <c r="SK7" s="28"/>
      <c r="SL7" s="28"/>
      <c r="SM7" s="28"/>
      <c r="SN7" s="28"/>
      <c r="SO7" s="28"/>
      <c r="SP7" s="28"/>
      <c r="SQ7" s="28"/>
      <c r="SR7" s="28"/>
      <c r="SS7" s="28"/>
      <c r="ST7" s="28"/>
      <c r="SU7" s="28"/>
      <c r="SV7" s="28"/>
      <c r="SW7" s="28"/>
      <c r="SX7" s="28"/>
      <c r="SY7" s="28"/>
      <c r="SZ7" s="28"/>
      <c r="TA7" s="28"/>
      <c r="TB7" s="28"/>
      <c r="TC7" s="28"/>
      <c r="TD7" s="28"/>
      <c r="TE7" s="28"/>
      <c r="TF7" s="28"/>
      <c r="TG7" s="28"/>
      <c r="TH7" s="28"/>
      <c r="TI7" s="28"/>
      <c r="TJ7" s="28"/>
      <c r="TK7" s="28"/>
      <c r="TL7" s="28"/>
      <c r="TM7" s="28"/>
      <c r="TN7" s="28"/>
      <c r="TO7" s="28"/>
      <c r="TP7" s="28"/>
      <c r="TQ7" s="28"/>
      <c r="TR7" s="28"/>
      <c r="TS7" s="28"/>
      <c r="TT7" s="28"/>
      <c r="TU7" s="28"/>
      <c r="TV7" s="28"/>
      <c r="TW7" s="28"/>
      <c r="TX7" s="28"/>
      <c r="TY7" s="28"/>
      <c r="TZ7" s="28"/>
      <c r="UA7" s="28"/>
      <c r="UB7" s="28"/>
      <c r="UC7" s="28"/>
      <c r="UD7" s="28"/>
      <c r="UE7" s="28"/>
      <c r="UF7" s="28"/>
      <c r="UG7" s="28"/>
      <c r="UH7" s="28"/>
      <c r="UI7" s="28"/>
      <c r="UJ7" s="28"/>
      <c r="UK7" s="28"/>
      <c r="UL7" s="28"/>
      <c r="UM7" s="28"/>
      <c r="UN7" s="28"/>
      <c r="UO7" s="28"/>
      <c r="UP7" s="28"/>
      <c r="UQ7" s="28"/>
      <c r="UR7" s="28"/>
      <c r="US7" s="28"/>
      <c r="UT7" s="28"/>
      <c r="UU7" s="28"/>
      <c r="UV7" s="28"/>
      <c r="UW7" s="28"/>
      <c r="UX7" s="28"/>
      <c r="UY7" s="28"/>
      <c r="UZ7" s="28"/>
      <c r="VA7" s="28"/>
      <c r="VB7" s="28"/>
      <c r="VC7" s="28"/>
      <c r="VD7" s="28"/>
      <c r="VE7" s="28"/>
      <c r="VF7" s="28"/>
      <c r="VG7" s="28"/>
      <c r="VH7" s="28"/>
      <c r="VI7" s="28"/>
      <c r="VJ7" s="28"/>
      <c r="VK7" s="28"/>
      <c r="VL7" s="28"/>
      <c r="VM7" s="28"/>
      <c r="VN7" s="28"/>
      <c r="VO7" s="28"/>
      <c r="VP7" s="28"/>
      <c r="VQ7" s="28"/>
      <c r="VR7" s="28"/>
      <c r="VS7" s="28"/>
      <c r="VT7" s="28"/>
      <c r="VU7" s="28"/>
      <c r="VV7" s="28"/>
      <c r="VW7" s="28"/>
      <c r="VX7" s="28"/>
      <c r="VY7" s="28"/>
      <c r="VZ7" s="28"/>
      <c r="WA7" s="28"/>
      <c r="WB7" s="28"/>
      <c r="WC7" s="28"/>
      <c r="WD7" s="28"/>
      <c r="WE7" s="28"/>
      <c r="WF7" s="28"/>
      <c r="WG7" s="28"/>
      <c r="WH7" s="28"/>
      <c r="WI7" s="28"/>
      <c r="WJ7" s="28"/>
      <c r="WK7" s="28"/>
      <c r="WL7" s="28"/>
      <c r="WM7" s="28"/>
      <c r="WN7" s="28"/>
      <c r="WO7" s="28"/>
      <c r="WP7" s="28"/>
      <c r="WQ7" s="28"/>
      <c r="WR7" s="28"/>
      <c r="WS7" s="28"/>
      <c r="WT7" s="28"/>
      <c r="WU7" s="28"/>
      <c r="WV7" s="28"/>
      <c r="WW7" s="28"/>
      <c r="WX7" s="28"/>
      <c r="WY7" s="28"/>
      <c r="WZ7" s="28"/>
      <c r="XA7" s="28"/>
      <c r="XB7" s="28"/>
      <c r="XC7" s="28"/>
      <c r="XD7" s="28"/>
      <c r="XE7" s="28"/>
      <c r="XF7" s="28"/>
      <c r="XG7" s="28"/>
      <c r="XH7" s="28"/>
      <c r="XI7" s="28"/>
      <c r="XJ7" s="28"/>
      <c r="XK7" s="28"/>
      <c r="XL7" s="28"/>
      <c r="XM7" s="28"/>
      <c r="XN7" s="28"/>
      <c r="XO7" s="28"/>
      <c r="XP7" s="28"/>
      <c r="XQ7" s="28"/>
      <c r="XR7" s="28"/>
      <c r="XS7" s="28"/>
      <c r="XT7" s="28"/>
      <c r="XU7" s="28"/>
      <c r="XV7" s="28"/>
      <c r="XW7" s="28"/>
      <c r="XX7" s="28"/>
      <c r="XY7" s="28"/>
      <c r="XZ7" s="28"/>
      <c r="YA7" s="28"/>
      <c r="YB7" s="28"/>
      <c r="YC7" s="28"/>
      <c r="YD7" s="28"/>
      <c r="YE7" s="28"/>
      <c r="YF7" s="28"/>
      <c r="YG7" s="28"/>
      <c r="YH7" s="28"/>
      <c r="YI7" s="28"/>
      <c r="YJ7" s="28"/>
      <c r="YK7" s="28"/>
      <c r="YL7" s="28"/>
      <c r="YM7" s="28"/>
      <c r="YN7" s="28"/>
      <c r="YO7" s="28"/>
      <c r="YP7" s="28"/>
      <c r="YQ7" s="28"/>
      <c r="YR7" s="28"/>
      <c r="YS7" s="28"/>
      <c r="YT7" s="28"/>
      <c r="YU7" s="28"/>
      <c r="YV7" s="28"/>
      <c r="YW7" s="28"/>
      <c r="YX7" s="28"/>
      <c r="YY7" s="28"/>
      <c r="YZ7" s="28"/>
      <c r="ZA7" s="28"/>
      <c r="ZB7" s="28"/>
      <c r="ZC7" s="28"/>
      <c r="ZD7" s="28"/>
      <c r="ZE7" s="28"/>
      <c r="ZF7" s="28"/>
      <c r="ZG7" s="28"/>
      <c r="ZH7" s="28"/>
      <c r="ZI7" s="28"/>
      <c r="ZJ7" s="28"/>
      <c r="ZK7" s="28"/>
      <c r="ZL7" s="28"/>
      <c r="ZM7" s="28"/>
      <c r="ZN7" s="28"/>
      <c r="ZO7" s="28"/>
      <c r="ZP7" s="28"/>
      <c r="ZQ7" s="28"/>
      <c r="ZR7" s="28"/>
      <c r="ZS7" s="28"/>
      <c r="ZT7" s="28"/>
      <c r="ZU7" s="28"/>
      <c r="ZV7" s="28"/>
      <c r="ZW7" s="28"/>
      <c r="ZX7" s="28"/>
      <c r="ZY7" s="28"/>
      <c r="ZZ7" s="28"/>
      <c r="AAA7" s="28"/>
      <c r="AAB7" s="28"/>
      <c r="AAC7" s="28"/>
      <c r="AAD7" s="28"/>
      <c r="AAE7" s="28"/>
      <c r="AAF7" s="28"/>
      <c r="AAG7" s="28"/>
      <c r="AAH7" s="28"/>
      <c r="AAI7" s="28"/>
      <c r="AAJ7" s="28"/>
      <c r="AAK7" s="28"/>
      <c r="AAL7" s="28"/>
      <c r="AAM7" s="28"/>
      <c r="AAN7" s="28"/>
      <c r="AAO7" s="28"/>
      <c r="AAP7" s="28"/>
      <c r="AAQ7" s="28"/>
      <c r="AAR7" s="28"/>
      <c r="AAS7" s="28"/>
      <c r="AAT7" s="28"/>
      <c r="AAU7" s="28"/>
      <c r="AAV7" s="28"/>
      <c r="AAW7" s="28"/>
      <c r="AAX7" s="28"/>
      <c r="AAY7" s="28"/>
      <c r="AAZ7" s="28"/>
      <c r="ABA7" s="28"/>
      <c r="ABB7" s="28"/>
      <c r="ABC7" s="28"/>
      <c r="ABD7" s="28"/>
      <c r="ABE7" s="28"/>
      <c r="ABF7" s="28"/>
      <c r="ABG7" s="28"/>
      <c r="ABH7" s="28"/>
      <c r="ABI7" s="28"/>
      <c r="ABJ7" s="28"/>
      <c r="ABK7" s="28"/>
      <c r="ABL7" s="28"/>
      <c r="ABM7" s="28"/>
      <c r="ABN7" s="28"/>
      <c r="ABO7" s="28"/>
      <c r="ABP7" s="28"/>
      <c r="ABQ7" s="28"/>
      <c r="ABR7" s="28"/>
      <c r="ABS7" s="28"/>
      <c r="ABT7" s="28"/>
      <c r="ABU7" s="28"/>
      <c r="ABV7" s="28"/>
      <c r="ABW7" s="28"/>
      <c r="ABX7" s="28"/>
      <c r="ABY7" s="28"/>
      <c r="ABZ7" s="28"/>
      <c r="ACA7" s="28"/>
      <c r="ACB7" s="28"/>
      <c r="ACC7" s="28"/>
      <c r="ACD7" s="28"/>
      <c r="ACE7" s="28"/>
      <c r="ACF7" s="28"/>
      <c r="ACG7" s="28"/>
      <c r="ACH7" s="28"/>
      <c r="ACI7" s="28"/>
      <c r="ACJ7" s="28"/>
      <c r="ACK7" s="28"/>
      <c r="ACL7" s="28"/>
      <c r="ACM7" s="28"/>
      <c r="ACN7" s="28"/>
      <c r="ACO7" s="28"/>
      <c r="ACP7" s="28"/>
      <c r="ACQ7" s="28"/>
      <c r="ACR7" s="28"/>
      <c r="ACS7" s="28"/>
      <c r="ACT7" s="28"/>
      <c r="ACU7" s="28"/>
      <c r="ACV7" s="28"/>
      <c r="ACW7" s="28"/>
      <c r="ACX7" s="28"/>
      <c r="ACY7" s="28"/>
      <c r="ACZ7" s="28"/>
      <c r="ADA7" s="28"/>
      <c r="ADB7" s="28"/>
      <c r="ADC7" s="28"/>
      <c r="ADD7" s="28"/>
      <c r="ADE7" s="28"/>
      <c r="ADF7" s="28"/>
      <c r="ADG7" s="28"/>
      <c r="ADH7" s="28"/>
      <c r="ADI7" s="28"/>
      <c r="ADJ7" s="28"/>
      <c r="ADK7" s="28"/>
      <c r="ADL7" s="28"/>
      <c r="ADM7" s="28"/>
      <c r="ADN7" s="28"/>
      <c r="ADO7" s="28"/>
      <c r="ADP7" s="28"/>
      <c r="ADQ7" s="28"/>
      <c r="ADR7" s="28"/>
      <c r="ADS7" s="28"/>
      <c r="ADT7" s="28"/>
      <c r="ADU7" s="28"/>
      <c r="ADV7" s="28"/>
      <c r="ADW7" s="28"/>
      <c r="ADX7" s="28"/>
      <c r="ADY7" s="28"/>
      <c r="ADZ7" s="28"/>
      <c r="AEA7" s="28"/>
      <c r="AEB7" s="28"/>
      <c r="AEC7" s="28"/>
      <c r="AED7" s="28"/>
      <c r="AEE7" s="28"/>
      <c r="AEF7" s="28"/>
      <c r="AEG7" s="28"/>
      <c r="AEH7" s="28"/>
      <c r="AEI7" s="28"/>
      <c r="AEJ7" s="28"/>
      <c r="AEK7" s="28"/>
      <c r="AEL7" s="28"/>
      <c r="AEM7" s="28"/>
      <c r="AEN7" s="28"/>
      <c r="AEO7" s="28"/>
      <c r="AEP7" s="28"/>
      <c r="AEQ7" s="28"/>
      <c r="AER7" s="28"/>
      <c r="AES7" s="28"/>
      <c r="AET7" s="28"/>
      <c r="AEU7" s="28"/>
      <c r="AEV7" s="28"/>
      <c r="AEW7" s="28"/>
      <c r="AEX7" s="28"/>
      <c r="AEY7" s="28"/>
      <c r="AEZ7" s="28"/>
      <c r="AFA7" s="28"/>
      <c r="AFB7" s="28"/>
      <c r="AFC7" s="28"/>
      <c r="AFD7" s="28"/>
      <c r="AFE7" s="28"/>
      <c r="AFF7" s="28"/>
      <c r="AFG7" s="28"/>
      <c r="AFH7" s="28"/>
      <c r="AFI7" s="28"/>
      <c r="AFJ7" s="28"/>
      <c r="AFK7" s="28"/>
      <c r="AFL7" s="28"/>
      <c r="AFM7" s="28"/>
      <c r="AFN7" s="28"/>
      <c r="AFO7" s="28"/>
      <c r="AFP7" s="28"/>
      <c r="AFQ7" s="28"/>
      <c r="AFR7" s="28"/>
      <c r="AFS7" s="28"/>
      <c r="AFT7" s="28"/>
      <c r="AFU7" s="28"/>
      <c r="AFV7" s="28"/>
      <c r="AFW7" s="28"/>
      <c r="AFX7" s="28"/>
      <c r="AFY7" s="28"/>
      <c r="AFZ7" s="28"/>
      <c r="AGA7" s="28"/>
      <c r="AGB7" s="28"/>
      <c r="AGC7" s="28"/>
      <c r="AGD7" s="28"/>
      <c r="AGE7" s="28"/>
      <c r="AGF7" s="28"/>
      <c r="AGG7" s="28"/>
      <c r="AGH7" s="28"/>
      <c r="AGI7" s="28"/>
      <c r="AGJ7" s="28"/>
      <c r="AGK7" s="28"/>
      <c r="AGL7" s="28"/>
      <c r="AGM7" s="28"/>
      <c r="AGN7" s="28"/>
      <c r="AGO7" s="28"/>
      <c r="AGP7" s="28"/>
      <c r="AGQ7" s="28"/>
      <c r="AGR7" s="28"/>
      <c r="AGS7" s="28"/>
      <c r="AGT7" s="28"/>
      <c r="AGU7" s="28"/>
      <c r="AGV7" s="28"/>
      <c r="AGW7" s="28"/>
      <c r="AGX7" s="28"/>
      <c r="AGY7" s="28"/>
      <c r="AGZ7" s="28"/>
      <c r="AHA7" s="28"/>
      <c r="AHB7" s="28"/>
      <c r="AHC7" s="28"/>
      <c r="AHD7" s="28"/>
      <c r="AHE7" s="28"/>
      <c r="AHF7" s="28"/>
      <c r="AHG7" s="28"/>
      <c r="AHH7" s="28"/>
      <c r="AHI7" s="28"/>
      <c r="AHJ7" s="28"/>
      <c r="AHK7" s="28"/>
      <c r="AHL7" s="28"/>
      <c r="AHM7" s="28"/>
      <c r="AHN7" s="28"/>
      <c r="AHO7" s="28"/>
      <c r="AHP7" s="28"/>
      <c r="AHQ7" s="28"/>
      <c r="AHR7" s="28"/>
      <c r="AHS7" s="28"/>
      <c r="AHT7" s="28"/>
      <c r="AHU7" s="28"/>
      <c r="AHV7" s="28"/>
      <c r="AHW7" s="28"/>
      <c r="AHX7" s="28"/>
      <c r="AHY7" s="28"/>
      <c r="AHZ7" s="28"/>
      <c r="AIA7" s="28"/>
      <c r="AIB7" s="28"/>
      <c r="AIC7" s="28"/>
      <c r="AID7" s="28"/>
      <c r="AIE7" s="28"/>
      <c r="AIF7" s="28"/>
      <c r="AIG7" s="28"/>
      <c r="AIH7" s="28"/>
      <c r="AII7" s="28"/>
      <c r="AIJ7" s="28"/>
      <c r="AIK7" s="28"/>
      <c r="AIL7" s="28"/>
      <c r="AIM7" s="28"/>
      <c r="AIN7" s="28"/>
      <c r="AIO7" s="28"/>
      <c r="AIP7" s="28"/>
      <c r="AIQ7" s="28"/>
      <c r="AIR7" s="28"/>
      <c r="AIS7" s="28"/>
      <c r="AIT7" s="28"/>
      <c r="AIU7" s="28"/>
      <c r="AIV7" s="28"/>
      <c r="AIW7" s="28"/>
      <c r="AIX7" s="28"/>
      <c r="AIY7" s="28"/>
      <c r="AIZ7" s="28"/>
      <c r="AJA7" s="28"/>
      <c r="AJB7" s="28"/>
      <c r="AJC7" s="28"/>
      <c r="AJD7" s="28"/>
      <c r="AJE7" s="28"/>
      <c r="AJF7" s="28"/>
      <c r="AJG7" s="28"/>
      <c r="AJH7" s="28"/>
      <c r="AJI7" s="28"/>
      <c r="AJJ7" s="28"/>
      <c r="AJK7" s="28"/>
      <c r="AJL7" s="28"/>
      <c r="AJM7" s="28"/>
      <c r="AJN7" s="28"/>
      <c r="AJO7" s="28"/>
      <c r="AJP7" s="28"/>
      <c r="AJQ7" s="28"/>
      <c r="AJR7" s="28"/>
      <c r="AJS7" s="28"/>
      <c r="AJT7" s="28"/>
      <c r="AJU7" s="28"/>
      <c r="AJV7" s="28"/>
      <c r="AJW7" s="28"/>
      <c r="AJX7" s="28"/>
      <c r="AJY7" s="28"/>
      <c r="AJZ7" s="28"/>
      <c r="AKA7" s="28"/>
      <c r="AKB7" s="28"/>
      <c r="AKC7" s="28"/>
      <c r="AKD7" s="28"/>
      <c r="AKE7" s="28"/>
      <c r="AKF7" s="28"/>
      <c r="AKG7" s="28"/>
      <c r="AKH7" s="28"/>
      <c r="AKI7" s="28"/>
      <c r="AKJ7" s="28"/>
      <c r="AKK7" s="28"/>
      <c r="AKL7" s="28"/>
      <c r="AKM7" s="28"/>
      <c r="AKN7" s="28"/>
      <c r="AKO7" s="28"/>
      <c r="AKP7" s="28"/>
      <c r="AKQ7" s="28"/>
      <c r="AKR7" s="28"/>
      <c r="AKS7" s="28"/>
      <c r="AKT7" s="28"/>
      <c r="AKU7" s="28"/>
      <c r="AKV7" s="28"/>
      <c r="AKW7" s="28"/>
      <c r="AKX7" s="28"/>
      <c r="AKY7" s="28"/>
      <c r="AKZ7" s="28"/>
      <c r="ALA7" s="28"/>
      <c r="ALB7" s="28"/>
      <c r="ALC7" s="28"/>
      <c r="ALD7" s="28"/>
      <c r="ALE7" s="28"/>
      <c r="ALF7" s="28"/>
      <c r="ALG7" s="28"/>
      <c r="ALH7" s="28"/>
      <c r="ALI7" s="28"/>
      <c r="ALJ7" s="28"/>
      <c r="ALK7" s="28"/>
      <c r="ALL7" s="28"/>
      <c r="ALM7" s="28"/>
      <c r="ALN7" s="28"/>
      <c r="ALO7" s="28"/>
      <c r="ALP7" s="28"/>
      <c r="ALQ7" s="28"/>
      <c r="ALR7" s="28"/>
      <c r="ALS7" s="28"/>
      <c r="ALT7" s="28"/>
      <c r="ALU7" s="28"/>
      <c r="ALV7" s="28"/>
      <c r="ALW7" s="28"/>
      <c r="ALX7" s="28"/>
      <c r="ALY7" s="28"/>
      <c r="ALZ7" s="28"/>
      <c r="AMA7" s="28"/>
      <c r="AMB7" s="28"/>
      <c r="AMC7" s="28"/>
      <c r="AMD7" s="28"/>
      <c r="AME7" s="28"/>
      <c r="AMF7" s="28"/>
      <c r="AMG7" s="28"/>
      <c r="AMH7" s="28"/>
      <c r="AMI7" s="28"/>
      <c r="AMJ7" s="28"/>
      <c r="AMK7" s="28"/>
      <c r="AML7" s="28"/>
      <c r="AMM7" s="28"/>
      <c r="AMN7" s="28"/>
      <c r="AMO7" s="28"/>
      <c r="AMP7" s="28"/>
      <c r="AMQ7" s="28"/>
      <c r="AMR7" s="28"/>
      <c r="AMS7" s="28"/>
      <c r="AMT7" s="28"/>
      <c r="AMU7" s="28"/>
      <c r="AMV7" s="28"/>
      <c r="AMW7" s="28"/>
      <c r="AMX7" s="28"/>
      <c r="AMY7" s="28"/>
      <c r="AMZ7" s="28"/>
      <c r="ANA7" s="28"/>
      <c r="ANB7" s="28"/>
      <c r="ANC7" s="28"/>
      <c r="AND7" s="28"/>
      <c r="ANE7" s="28"/>
      <c r="ANF7" s="28"/>
      <c r="ANG7" s="28"/>
      <c r="ANH7" s="28"/>
      <c r="ANI7" s="28"/>
      <c r="ANJ7" s="28"/>
      <c r="ANK7" s="28"/>
      <c r="ANL7" s="28"/>
      <c r="ANM7" s="28"/>
      <c r="ANN7" s="28"/>
      <c r="ANO7" s="28"/>
      <c r="ANP7" s="28"/>
      <c r="ANQ7" s="28"/>
      <c r="ANR7" s="28"/>
      <c r="ANS7" s="28"/>
      <c r="ANT7" s="28"/>
      <c r="ANU7" s="28"/>
      <c r="ANV7" s="28"/>
      <c r="ANW7" s="28"/>
      <c r="ANX7" s="28"/>
      <c r="ANY7" s="28"/>
      <c r="ANZ7" s="28"/>
      <c r="AOA7" s="28"/>
      <c r="AOB7" s="28"/>
      <c r="AOC7" s="28"/>
      <c r="AOD7" s="28"/>
      <c r="AOE7" s="28"/>
      <c r="AOF7" s="28"/>
      <c r="AOG7" s="28"/>
      <c r="AOH7" s="28"/>
      <c r="AOI7" s="28"/>
      <c r="AOJ7" s="28"/>
      <c r="AOK7" s="28"/>
      <c r="AOL7" s="28"/>
      <c r="AOM7" s="28"/>
      <c r="AON7" s="28"/>
      <c r="AOO7" s="28"/>
      <c r="AOP7" s="28"/>
      <c r="AOQ7" s="28"/>
      <c r="AOR7" s="28"/>
      <c r="AOS7" s="28"/>
      <c r="AOT7" s="28"/>
      <c r="AOU7" s="28"/>
      <c r="AOV7" s="28"/>
      <c r="AOW7" s="28"/>
      <c r="AOX7" s="28"/>
      <c r="AOY7" s="28"/>
      <c r="AOZ7" s="28"/>
      <c r="APA7" s="28"/>
      <c r="APB7" s="28"/>
      <c r="APC7" s="28"/>
      <c r="APD7" s="28"/>
      <c r="APE7" s="28"/>
      <c r="APF7" s="28"/>
      <c r="APG7" s="28"/>
      <c r="APH7" s="28"/>
      <c r="API7" s="28"/>
      <c r="APJ7" s="28"/>
      <c r="APK7" s="28"/>
      <c r="APL7" s="28"/>
      <c r="APM7" s="28"/>
      <c r="APN7" s="28"/>
      <c r="APO7" s="28"/>
      <c r="APP7" s="28"/>
      <c r="APQ7" s="28"/>
      <c r="APR7" s="28"/>
      <c r="APS7" s="28"/>
      <c r="APT7" s="28"/>
      <c r="APU7" s="28"/>
      <c r="APV7" s="28"/>
      <c r="APW7" s="28"/>
      <c r="APX7" s="28"/>
      <c r="APY7" s="28"/>
      <c r="APZ7" s="28"/>
      <c r="AQA7" s="28"/>
      <c r="AQB7" s="28"/>
      <c r="AQC7" s="28"/>
      <c r="AQD7" s="28"/>
      <c r="AQE7" s="28"/>
      <c r="AQF7" s="28"/>
      <c r="AQG7" s="28"/>
      <c r="AQH7" s="28"/>
      <c r="AQI7" s="28"/>
      <c r="AQJ7" s="28"/>
      <c r="AQK7" s="28"/>
      <c r="AQL7" s="28"/>
      <c r="AQM7" s="28"/>
      <c r="AQN7" s="28"/>
      <c r="AQO7" s="28"/>
      <c r="AQP7" s="28"/>
      <c r="AQQ7" s="28"/>
      <c r="AQR7" s="28"/>
      <c r="AQS7" s="28"/>
      <c r="AQT7" s="28"/>
      <c r="AQU7" s="28"/>
      <c r="AQV7" s="28"/>
      <c r="AQW7" s="28"/>
      <c r="AQX7" s="28"/>
      <c r="AQY7" s="28"/>
      <c r="AQZ7" s="28"/>
      <c r="ARA7" s="28"/>
      <c r="ARB7" s="28"/>
      <c r="ARC7" s="28"/>
      <c r="ARD7" s="28"/>
      <c r="ARE7" s="28"/>
      <c r="ARF7" s="28"/>
      <c r="ARG7" s="28"/>
      <c r="ARH7" s="28"/>
      <c r="ARI7" s="28"/>
      <c r="ARJ7" s="28"/>
      <c r="ARK7" s="28"/>
      <c r="ARL7" s="28"/>
      <c r="ARM7" s="28"/>
      <c r="ARN7" s="28"/>
      <c r="ARO7" s="28"/>
      <c r="ARP7" s="28"/>
      <c r="ARQ7" s="28"/>
      <c r="ARR7" s="28"/>
      <c r="ARS7" s="28"/>
      <c r="ART7" s="28"/>
      <c r="ARU7" s="28"/>
      <c r="ARV7" s="28"/>
      <c r="ARW7" s="28"/>
      <c r="ARX7" s="28"/>
      <c r="ARY7" s="28"/>
      <c r="ARZ7" s="28"/>
      <c r="ASA7" s="28"/>
      <c r="ASB7" s="28"/>
      <c r="ASC7" s="28"/>
      <c r="ASD7" s="28"/>
      <c r="ASE7" s="28"/>
      <c r="ASF7" s="28"/>
      <c r="ASG7" s="28"/>
      <c r="ASH7" s="28"/>
      <c r="ASI7" s="28"/>
      <c r="ASJ7" s="28"/>
      <c r="ASK7" s="28"/>
      <c r="ASL7" s="28"/>
      <c r="ASM7" s="28"/>
      <c r="ASN7" s="28"/>
      <c r="ASO7" s="28"/>
      <c r="ASP7" s="28"/>
      <c r="ASQ7" s="28"/>
      <c r="ASR7" s="28"/>
      <c r="ASS7" s="28"/>
      <c r="AST7" s="28"/>
      <c r="ASU7" s="28"/>
      <c r="ASV7" s="28"/>
      <c r="ASW7" s="28"/>
      <c r="ASX7" s="28"/>
      <c r="ASY7" s="28"/>
      <c r="ASZ7" s="28"/>
      <c r="ATA7" s="28"/>
      <c r="ATB7" s="28"/>
      <c r="ATC7" s="28"/>
      <c r="ATD7" s="28"/>
      <c r="ATE7" s="28"/>
      <c r="ATF7" s="28"/>
      <c r="ATG7" s="28"/>
      <c r="ATH7" s="28"/>
      <c r="ATI7" s="28"/>
      <c r="ATJ7" s="28"/>
      <c r="ATK7" s="28"/>
      <c r="ATL7" s="28"/>
      <c r="ATM7" s="28"/>
      <c r="ATN7" s="28"/>
      <c r="ATO7" s="28"/>
      <c r="ATP7" s="28"/>
      <c r="ATQ7" s="28"/>
      <c r="ATR7" s="28"/>
      <c r="ATS7" s="28"/>
      <c r="ATT7" s="28"/>
      <c r="ATU7" s="28"/>
      <c r="ATV7" s="28"/>
      <c r="ATW7" s="28"/>
      <c r="ATX7" s="28"/>
      <c r="ATY7" s="28"/>
      <c r="ATZ7" s="28"/>
      <c r="AUA7" s="28"/>
      <c r="AUB7" s="28"/>
      <c r="AUC7" s="28"/>
      <c r="AUD7" s="28"/>
      <c r="AUE7" s="28"/>
      <c r="AUF7" s="28"/>
      <c r="AUG7" s="28"/>
      <c r="AUH7" s="28"/>
      <c r="AUI7" s="28"/>
      <c r="AUJ7" s="28"/>
      <c r="AUK7" s="28"/>
      <c r="AUL7" s="28"/>
      <c r="AUM7" s="28"/>
      <c r="AUN7" s="28"/>
      <c r="AUO7" s="28"/>
      <c r="AUP7" s="28"/>
      <c r="AUQ7" s="28"/>
      <c r="AUR7" s="28"/>
      <c r="AUS7" s="28"/>
      <c r="AUT7" s="28"/>
      <c r="AUU7" s="28"/>
      <c r="AUV7" s="28"/>
      <c r="AUW7" s="28"/>
      <c r="AUX7" s="28"/>
      <c r="AUY7" s="28"/>
      <c r="AUZ7" s="28"/>
      <c r="AVA7" s="28"/>
      <c r="AVB7" s="28"/>
      <c r="AVC7" s="28"/>
      <c r="AVD7" s="28"/>
      <c r="AVE7" s="28"/>
      <c r="AVF7" s="28"/>
      <c r="AVG7" s="28"/>
      <c r="AVH7" s="28"/>
      <c r="AVI7" s="28"/>
      <c r="AVJ7" s="28"/>
      <c r="AVK7" s="28"/>
      <c r="AVL7" s="28"/>
      <c r="AVM7" s="28"/>
      <c r="AVN7" s="28"/>
      <c r="AVO7" s="28"/>
      <c r="AVP7" s="28"/>
      <c r="AVQ7" s="28"/>
      <c r="AVR7" s="28"/>
      <c r="AVS7" s="28"/>
      <c r="AVT7" s="28"/>
      <c r="AVU7" s="28"/>
      <c r="AVV7" s="28"/>
      <c r="AVW7" s="28"/>
      <c r="AVX7" s="28"/>
      <c r="AVY7" s="28"/>
      <c r="AVZ7" s="28"/>
      <c r="AWA7" s="28"/>
      <c r="AWB7" s="28"/>
      <c r="AWC7" s="28"/>
      <c r="AWD7" s="28"/>
      <c r="AWE7" s="28"/>
      <c r="AWF7" s="28"/>
      <c r="AWG7" s="28"/>
      <c r="AWH7" s="28"/>
      <c r="AWI7" s="28"/>
      <c r="AWJ7" s="28"/>
      <c r="AWK7" s="28"/>
      <c r="AWL7" s="28"/>
      <c r="AWM7" s="28"/>
      <c r="AWN7" s="28"/>
      <c r="AWO7" s="28"/>
      <c r="AWP7" s="28"/>
      <c r="AWQ7" s="28"/>
      <c r="AWR7" s="28"/>
      <c r="AWS7" s="28"/>
      <c r="AWT7" s="28"/>
      <c r="AWU7" s="28"/>
      <c r="AWV7" s="28"/>
      <c r="AWW7" s="28"/>
      <c r="AWX7" s="28"/>
      <c r="AWY7" s="28"/>
      <c r="AWZ7" s="28"/>
      <c r="AXA7" s="28"/>
      <c r="AXB7" s="28"/>
      <c r="AXC7" s="28"/>
      <c r="AXD7" s="28"/>
      <c r="AXE7" s="28"/>
      <c r="AXF7" s="28"/>
      <c r="AXG7" s="28"/>
      <c r="AXH7" s="28"/>
      <c r="AXI7" s="28"/>
      <c r="AXJ7" s="28"/>
      <c r="AXK7" s="28"/>
      <c r="AXL7" s="28"/>
      <c r="AXM7" s="28"/>
      <c r="AXN7" s="28"/>
      <c r="AXO7" s="28"/>
      <c r="AXP7" s="28"/>
      <c r="AXQ7" s="28"/>
      <c r="AXR7" s="28"/>
      <c r="AXS7" s="28"/>
      <c r="AXT7" s="28"/>
      <c r="AXU7" s="28"/>
      <c r="AXV7" s="28"/>
      <c r="AXW7" s="28"/>
      <c r="AXX7" s="28"/>
      <c r="AXY7" s="28"/>
      <c r="AXZ7" s="28"/>
      <c r="AYA7" s="28"/>
      <c r="AYB7" s="28"/>
      <c r="AYC7" s="28"/>
      <c r="AYD7" s="28"/>
      <c r="AYE7" s="28"/>
      <c r="AYF7" s="28"/>
      <c r="AYG7" s="28"/>
      <c r="AYH7" s="28"/>
      <c r="AYI7" s="28"/>
      <c r="AYJ7" s="28"/>
      <c r="AYK7" s="28"/>
      <c r="AYL7" s="28"/>
      <c r="AYM7" s="28"/>
      <c r="AYN7" s="28"/>
      <c r="AYO7" s="28"/>
      <c r="AYP7" s="28"/>
      <c r="AYQ7" s="28"/>
      <c r="AYR7" s="28"/>
      <c r="AYS7" s="28"/>
      <c r="AYT7" s="28"/>
      <c r="AYU7" s="28"/>
      <c r="AYV7" s="28"/>
      <c r="AYW7" s="28"/>
      <c r="AYX7" s="28"/>
      <c r="AYY7" s="28"/>
      <c r="AYZ7" s="28"/>
      <c r="AZA7" s="28"/>
      <c r="AZB7" s="28"/>
      <c r="AZC7" s="28"/>
      <c r="AZD7" s="28"/>
      <c r="AZE7" s="28"/>
      <c r="AZF7" s="28"/>
      <c r="AZG7" s="28"/>
      <c r="AZH7" s="28"/>
      <c r="AZI7" s="28"/>
      <c r="AZJ7" s="28"/>
      <c r="AZK7" s="28"/>
      <c r="AZL7" s="28"/>
      <c r="AZM7" s="28"/>
      <c r="AZN7" s="28"/>
      <c r="AZO7" s="28"/>
      <c r="AZP7" s="28"/>
      <c r="AZQ7" s="28"/>
      <c r="AZR7" s="28"/>
      <c r="AZS7" s="28"/>
      <c r="AZT7" s="28"/>
      <c r="AZU7" s="28"/>
      <c r="AZV7" s="28"/>
      <c r="AZW7" s="28"/>
      <c r="AZX7" s="28"/>
      <c r="AZY7" s="28"/>
      <c r="AZZ7" s="28"/>
      <c r="BAA7" s="28"/>
      <c r="BAB7" s="28"/>
      <c r="BAC7" s="28"/>
      <c r="BAD7" s="28"/>
      <c r="BAE7" s="28"/>
      <c r="BAF7" s="28"/>
      <c r="BAG7" s="28"/>
      <c r="BAH7" s="28"/>
      <c r="BAI7" s="28"/>
      <c r="BAJ7" s="28"/>
      <c r="BAK7" s="28"/>
      <c r="BAL7" s="28"/>
      <c r="BAM7" s="28"/>
      <c r="BAN7" s="28"/>
      <c r="BAO7" s="28"/>
      <c r="BAP7" s="28"/>
      <c r="BAQ7" s="28"/>
      <c r="BAR7" s="28"/>
      <c r="BAS7" s="28"/>
      <c r="BAT7" s="28"/>
      <c r="BAU7" s="28"/>
      <c r="BAV7" s="28"/>
      <c r="BAW7" s="28"/>
      <c r="BAX7" s="28"/>
      <c r="BAY7" s="28"/>
      <c r="BAZ7" s="28"/>
      <c r="BBA7" s="28"/>
      <c r="BBB7" s="28"/>
      <c r="BBC7" s="28"/>
      <c r="BBD7" s="28"/>
      <c r="BBE7" s="28"/>
      <c r="BBF7" s="28"/>
      <c r="BBG7" s="28"/>
      <c r="BBH7" s="28"/>
      <c r="BBI7" s="28"/>
      <c r="BBJ7" s="28"/>
      <c r="BBK7" s="28"/>
      <c r="BBL7" s="28"/>
      <c r="BBM7" s="28"/>
      <c r="BBN7" s="28"/>
      <c r="BBO7" s="28"/>
      <c r="BBP7" s="28"/>
      <c r="BBQ7" s="28"/>
      <c r="BBR7" s="28"/>
      <c r="BBS7" s="28"/>
      <c r="BBT7" s="28"/>
      <c r="BBU7" s="28"/>
      <c r="BBV7" s="28"/>
      <c r="BBW7" s="28"/>
      <c r="BBX7" s="28"/>
      <c r="BBY7" s="28"/>
      <c r="BBZ7" s="28"/>
      <c r="BCA7" s="28"/>
      <c r="BCB7" s="28"/>
      <c r="BCC7" s="28"/>
      <c r="BCD7" s="28"/>
      <c r="BCE7" s="28"/>
      <c r="BCF7" s="28"/>
      <c r="BCG7" s="28"/>
      <c r="BCH7" s="28"/>
      <c r="BCI7" s="28"/>
      <c r="BCJ7" s="28"/>
      <c r="BCK7" s="28"/>
      <c r="BCL7" s="28"/>
      <c r="BCM7" s="28"/>
      <c r="BCN7" s="28"/>
      <c r="BCO7" s="28"/>
      <c r="BCP7" s="28"/>
      <c r="BCQ7" s="28"/>
      <c r="BCR7" s="28"/>
      <c r="BCS7" s="28"/>
      <c r="BCT7" s="28"/>
      <c r="BCU7" s="28"/>
      <c r="BCV7" s="28"/>
      <c r="BCW7" s="28"/>
      <c r="BCX7" s="28"/>
      <c r="BCY7" s="28"/>
      <c r="BCZ7" s="28"/>
      <c r="BDA7" s="28"/>
      <c r="BDB7" s="28"/>
      <c r="BDC7" s="28"/>
      <c r="BDD7" s="28"/>
      <c r="BDE7" s="28"/>
      <c r="BDF7" s="28"/>
      <c r="BDG7" s="28"/>
      <c r="BDH7" s="28"/>
      <c r="BDI7" s="28"/>
      <c r="BDJ7" s="28"/>
      <c r="BDK7" s="28"/>
      <c r="BDL7" s="28"/>
      <c r="BDM7" s="28"/>
      <c r="BDN7" s="28"/>
      <c r="BDO7" s="28"/>
      <c r="BDP7" s="28"/>
      <c r="BDQ7" s="28"/>
      <c r="BDR7" s="28"/>
      <c r="BDS7" s="28"/>
      <c r="BDT7" s="28"/>
      <c r="BDU7" s="28"/>
      <c r="BDV7" s="28"/>
      <c r="BDW7" s="28"/>
      <c r="BDX7" s="28"/>
      <c r="BDY7" s="28"/>
      <c r="BDZ7" s="28"/>
      <c r="BEA7" s="28"/>
      <c r="BEB7" s="28"/>
      <c r="BEC7" s="28"/>
      <c r="BED7" s="28"/>
      <c r="BEE7" s="28"/>
      <c r="BEF7" s="28"/>
      <c r="BEG7" s="28"/>
      <c r="BEH7" s="28"/>
      <c r="BEI7" s="28"/>
      <c r="BEJ7" s="28"/>
      <c r="BEK7" s="28"/>
      <c r="BEL7" s="28"/>
      <c r="BEM7" s="28"/>
      <c r="BEN7" s="28"/>
      <c r="BEO7" s="28"/>
      <c r="BEP7" s="28"/>
      <c r="BEQ7" s="28"/>
      <c r="BER7" s="28"/>
      <c r="BES7" s="28"/>
      <c r="BET7" s="28"/>
      <c r="BEU7" s="28"/>
      <c r="BEV7" s="28"/>
      <c r="BEW7" s="28"/>
      <c r="BEX7" s="28"/>
      <c r="BEY7" s="28"/>
      <c r="BEZ7" s="28"/>
      <c r="BFA7" s="28"/>
      <c r="BFB7" s="28"/>
      <c r="BFC7" s="28"/>
      <c r="BFD7" s="28"/>
      <c r="BFE7" s="28"/>
      <c r="BFF7" s="28"/>
      <c r="BFG7" s="28"/>
      <c r="BFH7" s="28"/>
      <c r="BFI7" s="28"/>
      <c r="BFJ7" s="28"/>
      <c r="BFK7" s="28"/>
      <c r="BFL7" s="28"/>
      <c r="BFM7" s="28"/>
      <c r="BFN7" s="28"/>
      <c r="BFO7" s="28"/>
      <c r="BFP7" s="28"/>
      <c r="BFQ7" s="28"/>
      <c r="BFR7" s="28"/>
      <c r="BFS7" s="28"/>
      <c r="BFT7" s="28"/>
      <c r="BFU7" s="28"/>
      <c r="BFV7" s="28"/>
      <c r="BFW7" s="28"/>
      <c r="BFX7" s="28"/>
      <c r="BFY7" s="28"/>
      <c r="BFZ7" s="28"/>
      <c r="BGA7" s="28"/>
      <c r="BGB7" s="28"/>
      <c r="BGC7" s="28"/>
      <c r="BGD7" s="28"/>
      <c r="BGE7" s="28"/>
      <c r="BGF7" s="28"/>
      <c r="BGG7" s="28"/>
      <c r="BGH7" s="28"/>
      <c r="BGI7" s="28"/>
      <c r="BGJ7" s="28"/>
      <c r="BGK7" s="28"/>
      <c r="BGL7" s="28"/>
      <c r="BGM7" s="28"/>
      <c r="BGN7" s="28"/>
      <c r="BGO7" s="28"/>
      <c r="BGP7" s="28"/>
      <c r="BGQ7" s="28"/>
      <c r="BGR7" s="28"/>
      <c r="BGS7" s="28"/>
      <c r="BGT7" s="28"/>
      <c r="BGU7" s="28"/>
      <c r="BGV7" s="28"/>
      <c r="BGW7" s="28"/>
      <c r="BGX7" s="28"/>
      <c r="BGY7" s="28"/>
      <c r="BGZ7" s="28"/>
      <c r="BHA7" s="28"/>
      <c r="BHB7" s="28"/>
      <c r="BHC7" s="28"/>
      <c r="BHD7" s="28"/>
      <c r="BHE7" s="28"/>
      <c r="BHF7" s="28"/>
      <c r="BHG7" s="28"/>
      <c r="BHH7" s="28"/>
      <c r="BHI7" s="28"/>
      <c r="BHJ7" s="28"/>
      <c r="BHK7" s="28"/>
      <c r="BHL7" s="28"/>
      <c r="BHM7" s="28"/>
      <c r="BHN7" s="28"/>
      <c r="BHO7" s="28"/>
      <c r="BHP7" s="28"/>
      <c r="BHQ7" s="28"/>
      <c r="BHR7" s="28"/>
      <c r="BHS7" s="28"/>
      <c r="BHT7" s="28"/>
      <c r="BHU7" s="28"/>
      <c r="BHV7" s="28"/>
      <c r="BHW7" s="28"/>
      <c r="BHX7" s="28"/>
      <c r="BHY7" s="28"/>
      <c r="BHZ7" s="28"/>
      <c r="BIA7" s="28"/>
      <c r="BIB7" s="28"/>
      <c r="BIC7" s="28"/>
      <c r="BID7" s="28"/>
      <c r="BIE7" s="28"/>
      <c r="BIF7" s="28"/>
      <c r="BIG7" s="28"/>
      <c r="BIH7" s="28"/>
      <c r="BII7" s="28"/>
      <c r="BIJ7" s="28"/>
      <c r="BIK7" s="28"/>
      <c r="BIL7" s="28"/>
      <c r="BIM7" s="28"/>
      <c r="BIN7" s="28"/>
      <c r="BIO7" s="28"/>
      <c r="BIP7" s="28"/>
      <c r="BIQ7" s="28"/>
      <c r="BIR7" s="28"/>
      <c r="BIS7" s="28"/>
      <c r="BIT7" s="28"/>
      <c r="BIU7" s="28"/>
      <c r="BIV7" s="28"/>
      <c r="BIW7" s="28"/>
      <c r="BIX7" s="28"/>
      <c r="BIY7" s="28"/>
      <c r="BIZ7" s="28"/>
      <c r="BJA7" s="28"/>
      <c r="BJB7" s="28"/>
      <c r="BJC7" s="28"/>
      <c r="BJD7" s="28"/>
      <c r="BJE7" s="28"/>
      <c r="BJF7" s="28"/>
      <c r="BJG7" s="28"/>
      <c r="BJH7" s="28"/>
      <c r="BJI7" s="28"/>
      <c r="BJJ7" s="28"/>
      <c r="BJK7" s="28"/>
      <c r="BJL7" s="28"/>
      <c r="BJM7" s="28"/>
      <c r="BJN7" s="28"/>
      <c r="BJO7" s="28"/>
      <c r="BJP7" s="28"/>
      <c r="BJQ7" s="28"/>
      <c r="BJR7" s="28"/>
      <c r="BJS7" s="28"/>
      <c r="BJT7" s="28"/>
      <c r="BJU7" s="28"/>
      <c r="BJV7" s="28"/>
      <c r="BJW7" s="28"/>
      <c r="BJX7" s="28"/>
      <c r="BJY7" s="28"/>
      <c r="BJZ7" s="28"/>
      <c r="BKA7" s="28"/>
      <c r="BKB7" s="28"/>
      <c r="BKC7" s="28"/>
      <c r="BKD7" s="28"/>
      <c r="BKE7" s="28"/>
      <c r="BKF7" s="28"/>
      <c r="BKG7" s="28"/>
      <c r="BKH7" s="28"/>
      <c r="BKI7" s="28"/>
      <c r="BKJ7" s="28"/>
      <c r="BKK7" s="28"/>
      <c r="BKL7" s="28"/>
      <c r="BKM7" s="28"/>
      <c r="BKN7" s="28"/>
      <c r="BKO7" s="28"/>
      <c r="BKP7" s="28"/>
      <c r="BKQ7" s="28"/>
      <c r="BKR7" s="28"/>
      <c r="BKS7" s="28"/>
      <c r="BKT7" s="28"/>
      <c r="BKU7" s="28"/>
      <c r="BKV7" s="28"/>
      <c r="BKW7" s="28"/>
      <c r="BKX7" s="28"/>
      <c r="BKY7" s="28"/>
      <c r="BKZ7" s="28"/>
      <c r="BLA7" s="28"/>
      <c r="BLB7" s="28"/>
      <c r="BLC7" s="28"/>
      <c r="BLD7" s="28"/>
      <c r="BLE7" s="28"/>
      <c r="BLF7" s="28"/>
      <c r="BLG7" s="28"/>
      <c r="BLH7" s="28"/>
      <c r="BLI7" s="28"/>
      <c r="BLJ7" s="28"/>
      <c r="BLK7" s="28"/>
      <c r="BLL7" s="28"/>
      <c r="BLM7" s="28"/>
      <c r="BLN7" s="28"/>
      <c r="BLO7" s="28"/>
      <c r="BLP7" s="28"/>
      <c r="BLQ7" s="28"/>
      <c r="BLR7" s="28"/>
      <c r="BLS7" s="28"/>
      <c r="BLT7" s="28"/>
      <c r="BLU7" s="28"/>
      <c r="BLV7" s="28"/>
      <c r="BLW7" s="28"/>
      <c r="BLX7" s="28"/>
      <c r="BLY7" s="28"/>
      <c r="BLZ7" s="28"/>
      <c r="BMA7" s="28"/>
      <c r="BMB7" s="28"/>
      <c r="BMC7" s="28"/>
      <c r="BMD7" s="28"/>
      <c r="BME7" s="28"/>
      <c r="BMF7" s="28"/>
      <c r="BMG7" s="28"/>
      <c r="BMH7" s="28"/>
      <c r="BMI7" s="28"/>
      <c r="BMJ7" s="28"/>
      <c r="BMK7" s="28"/>
      <c r="BML7" s="28"/>
      <c r="BMM7" s="28"/>
      <c r="BMN7" s="28"/>
      <c r="BMO7" s="28"/>
      <c r="BMP7" s="28"/>
      <c r="BMQ7" s="28"/>
      <c r="BMR7" s="28"/>
      <c r="BMS7" s="28"/>
      <c r="BMT7" s="28"/>
      <c r="BMU7" s="28"/>
      <c r="BMV7" s="28"/>
      <c r="BMW7" s="28"/>
      <c r="BMX7" s="28"/>
      <c r="BMY7" s="28"/>
      <c r="BMZ7" s="28"/>
      <c r="BNA7" s="28"/>
      <c r="BNB7" s="28"/>
      <c r="BNC7" s="28"/>
      <c r="BND7" s="28"/>
      <c r="BNE7" s="28"/>
      <c r="BNF7" s="28"/>
      <c r="BNG7" s="28"/>
      <c r="BNH7" s="28"/>
      <c r="BNI7" s="28"/>
      <c r="BNJ7" s="28"/>
      <c r="BNK7" s="28"/>
      <c r="BNL7" s="28"/>
      <c r="BNM7" s="28"/>
      <c r="BNN7" s="28"/>
      <c r="BNO7" s="28"/>
      <c r="BNP7" s="28"/>
      <c r="BNQ7" s="28"/>
      <c r="BNR7" s="28"/>
      <c r="BNS7" s="28"/>
      <c r="BNT7" s="28"/>
      <c r="BNU7" s="28"/>
      <c r="BNV7" s="28"/>
      <c r="BNW7" s="28"/>
      <c r="BNX7" s="28"/>
      <c r="BNY7" s="28"/>
      <c r="BNZ7" s="28"/>
      <c r="BOA7" s="28"/>
      <c r="BOB7" s="28"/>
      <c r="BOC7" s="28"/>
      <c r="BOD7" s="28"/>
      <c r="BOE7" s="28"/>
      <c r="BOF7" s="28"/>
      <c r="BOG7" s="28"/>
      <c r="BOH7" s="28"/>
      <c r="BOI7" s="28"/>
      <c r="BOJ7" s="28"/>
      <c r="BOK7" s="28"/>
      <c r="BOL7" s="28"/>
      <c r="BOM7" s="28"/>
      <c r="BON7" s="28"/>
      <c r="BOO7" s="28"/>
      <c r="BOP7" s="28"/>
      <c r="BOQ7" s="28"/>
      <c r="BOR7" s="28"/>
      <c r="BOS7" s="28"/>
      <c r="BOT7" s="28"/>
      <c r="BOU7" s="28"/>
      <c r="BOV7" s="28"/>
      <c r="BOW7" s="28"/>
      <c r="BOX7" s="28"/>
      <c r="BOY7" s="28"/>
      <c r="BOZ7" s="28"/>
      <c r="BPA7" s="28"/>
      <c r="BPB7" s="28"/>
      <c r="BPC7" s="28"/>
      <c r="BPD7" s="28"/>
      <c r="BPE7" s="28"/>
      <c r="BPF7" s="28"/>
      <c r="BPG7" s="28"/>
      <c r="BPH7" s="28"/>
      <c r="BPI7" s="28"/>
      <c r="BPJ7" s="28"/>
      <c r="BPK7" s="28"/>
      <c r="BPL7" s="28"/>
      <c r="BPM7" s="28"/>
      <c r="BPN7" s="28"/>
      <c r="BPO7" s="28"/>
      <c r="BPP7" s="28"/>
      <c r="BPQ7" s="28"/>
      <c r="BPR7" s="28"/>
      <c r="BPS7" s="28"/>
      <c r="BPT7" s="28"/>
      <c r="BPU7" s="28"/>
      <c r="BPV7" s="28"/>
      <c r="BPW7" s="28"/>
      <c r="BPX7" s="28"/>
      <c r="BPY7" s="28"/>
      <c r="BPZ7" s="28"/>
      <c r="BQA7" s="28"/>
      <c r="BQB7" s="28"/>
      <c r="BQC7" s="28"/>
      <c r="BQD7" s="28"/>
      <c r="BQE7" s="28"/>
      <c r="BQF7" s="28"/>
      <c r="BQG7" s="28"/>
      <c r="BQH7" s="28"/>
      <c r="BQI7" s="28"/>
      <c r="BQJ7" s="28"/>
      <c r="BQK7" s="28"/>
      <c r="BQL7" s="28"/>
      <c r="BQM7" s="28"/>
      <c r="BQN7" s="28"/>
      <c r="BQO7" s="28"/>
      <c r="BQP7" s="28"/>
      <c r="BQQ7" s="28"/>
      <c r="BQR7" s="28"/>
      <c r="BQS7" s="28"/>
      <c r="BQT7" s="28"/>
      <c r="BQU7" s="28"/>
      <c r="BQV7" s="28"/>
      <c r="BQW7" s="28"/>
      <c r="BQX7" s="28"/>
      <c r="BQY7" s="28"/>
      <c r="BQZ7" s="28"/>
      <c r="BRA7" s="28"/>
      <c r="BRB7" s="28"/>
      <c r="BRC7" s="28"/>
      <c r="BRD7" s="28"/>
      <c r="BRE7" s="28"/>
      <c r="BRF7" s="28"/>
      <c r="BRG7" s="28"/>
      <c r="BRH7" s="28"/>
      <c r="BRI7" s="28"/>
      <c r="BRJ7" s="28"/>
      <c r="BRK7" s="28"/>
      <c r="BRL7" s="28"/>
      <c r="BRM7" s="28"/>
      <c r="BRN7" s="28"/>
      <c r="BRO7" s="28"/>
      <c r="BRP7" s="28"/>
      <c r="BRQ7" s="28"/>
      <c r="BRR7" s="28"/>
      <c r="BRS7" s="28"/>
      <c r="BRT7" s="28"/>
      <c r="BRU7" s="28"/>
      <c r="BRV7" s="28"/>
      <c r="BRW7" s="28"/>
      <c r="BRX7" s="28"/>
      <c r="BRY7" s="28"/>
      <c r="BRZ7" s="28"/>
      <c r="BSA7" s="28"/>
      <c r="BSB7" s="28"/>
      <c r="BSC7" s="28"/>
      <c r="BSD7" s="28"/>
      <c r="BSE7" s="28"/>
      <c r="BSF7" s="28"/>
      <c r="BSG7" s="28"/>
      <c r="BSH7" s="28"/>
      <c r="BSI7" s="28"/>
      <c r="BSJ7" s="28"/>
      <c r="BSK7" s="28"/>
      <c r="BSL7" s="28"/>
      <c r="BSM7" s="28"/>
      <c r="BSN7" s="28"/>
      <c r="BSO7" s="28"/>
      <c r="BSP7" s="28"/>
      <c r="BSQ7" s="28"/>
      <c r="BSR7" s="28"/>
      <c r="BSS7" s="28"/>
      <c r="BST7" s="28"/>
      <c r="BSU7" s="28"/>
      <c r="BSV7" s="28"/>
      <c r="BSW7" s="28"/>
      <c r="BSX7" s="28"/>
      <c r="BSY7" s="28"/>
      <c r="BSZ7" s="28"/>
      <c r="BTA7" s="28"/>
      <c r="BTB7" s="28"/>
      <c r="BTC7" s="28"/>
      <c r="BTD7" s="28"/>
      <c r="BTE7" s="28"/>
      <c r="BTF7" s="28"/>
      <c r="BTG7" s="28"/>
      <c r="BTH7" s="28"/>
      <c r="BTI7" s="28"/>
      <c r="BTJ7" s="28"/>
      <c r="BTK7" s="28"/>
      <c r="BTL7" s="28"/>
      <c r="BTM7" s="28"/>
      <c r="BTN7" s="28"/>
      <c r="BTO7" s="28"/>
      <c r="BTP7" s="28"/>
      <c r="BTQ7" s="28"/>
      <c r="BTR7" s="28"/>
      <c r="BTS7" s="28"/>
      <c r="BTT7" s="28"/>
      <c r="BTU7" s="28"/>
      <c r="BTV7" s="28"/>
      <c r="BTW7" s="28"/>
      <c r="BTX7" s="28"/>
      <c r="BTY7" s="28"/>
      <c r="BTZ7" s="28"/>
      <c r="BUA7" s="28"/>
      <c r="BUB7" s="28"/>
      <c r="BUC7" s="28"/>
      <c r="BUD7" s="28"/>
      <c r="BUE7" s="28"/>
      <c r="BUF7" s="28"/>
      <c r="BUG7" s="28"/>
      <c r="BUH7" s="28"/>
      <c r="BUI7" s="28"/>
      <c r="BUJ7" s="28"/>
      <c r="BUK7" s="28"/>
      <c r="BUL7" s="28"/>
      <c r="BUM7" s="28"/>
      <c r="BUN7" s="28"/>
      <c r="BUO7" s="28"/>
      <c r="BUP7" s="28"/>
      <c r="BUQ7" s="28"/>
      <c r="BUR7" s="28"/>
      <c r="BUS7" s="28"/>
      <c r="BUT7" s="28"/>
      <c r="BUU7" s="28"/>
      <c r="BUV7" s="28"/>
      <c r="BUW7" s="28"/>
      <c r="BUX7" s="28"/>
      <c r="BUY7" s="28"/>
      <c r="BUZ7" s="28"/>
      <c r="BVA7" s="28"/>
      <c r="BVB7" s="28"/>
      <c r="BVC7" s="28"/>
      <c r="BVD7" s="28"/>
      <c r="BVE7" s="28"/>
      <c r="BVF7" s="28"/>
      <c r="BVG7" s="28"/>
      <c r="BVH7" s="28"/>
      <c r="BVI7" s="28"/>
      <c r="BVJ7" s="28"/>
      <c r="BVK7" s="28"/>
      <c r="BVL7" s="28"/>
      <c r="BVM7" s="28"/>
      <c r="BVN7" s="28"/>
      <c r="BVO7" s="28"/>
      <c r="BVP7" s="28"/>
      <c r="BVQ7" s="28"/>
      <c r="BVR7" s="28"/>
      <c r="BVS7" s="28"/>
      <c r="BVT7" s="28"/>
      <c r="BVU7" s="28"/>
      <c r="BVV7" s="28"/>
      <c r="BVW7" s="28"/>
      <c r="BVX7" s="28"/>
      <c r="BVY7" s="28"/>
      <c r="BVZ7" s="28"/>
      <c r="BWA7" s="28"/>
      <c r="BWB7" s="28"/>
      <c r="BWC7" s="28"/>
      <c r="BWD7" s="28"/>
      <c r="BWE7" s="28"/>
      <c r="BWF7" s="28"/>
      <c r="BWG7" s="28"/>
      <c r="BWH7" s="28"/>
      <c r="BWI7" s="28"/>
      <c r="BWJ7" s="28"/>
      <c r="BWK7" s="28"/>
      <c r="BWL7" s="28"/>
      <c r="BWM7" s="28"/>
      <c r="BWN7" s="28"/>
      <c r="BWO7" s="28"/>
      <c r="BWP7" s="28"/>
      <c r="BWQ7" s="28"/>
      <c r="BWR7" s="28"/>
      <c r="BWS7" s="28"/>
      <c r="BWT7" s="28"/>
      <c r="BWU7" s="28"/>
      <c r="BWV7" s="28"/>
      <c r="BWW7" s="28"/>
      <c r="BWX7" s="28"/>
      <c r="BWY7" s="28"/>
      <c r="BWZ7" s="28"/>
      <c r="BXA7" s="28"/>
      <c r="BXB7" s="28"/>
      <c r="BXC7" s="28"/>
      <c r="BXD7" s="28"/>
      <c r="BXE7" s="28"/>
      <c r="BXF7" s="28"/>
      <c r="BXG7" s="28"/>
      <c r="BXH7" s="28"/>
      <c r="BXI7" s="28"/>
      <c r="BXJ7" s="28"/>
      <c r="BXK7" s="28"/>
      <c r="BXL7" s="28"/>
      <c r="BXM7" s="28"/>
      <c r="BXN7" s="28"/>
      <c r="BXO7" s="28"/>
      <c r="BXP7" s="28"/>
      <c r="BXQ7" s="28"/>
      <c r="BXR7" s="28"/>
      <c r="BXS7" s="28"/>
      <c r="BXT7" s="28"/>
      <c r="BXU7" s="28"/>
      <c r="BXV7" s="28"/>
      <c r="BXW7" s="28"/>
      <c r="BXX7" s="28"/>
      <c r="BXY7" s="28"/>
      <c r="BXZ7" s="28"/>
      <c r="BYA7" s="28"/>
      <c r="BYB7" s="28"/>
      <c r="BYC7" s="28"/>
      <c r="BYD7" s="28"/>
      <c r="BYE7" s="28"/>
      <c r="BYF7" s="28"/>
      <c r="BYG7" s="28"/>
      <c r="BYH7" s="28"/>
      <c r="BYI7" s="28"/>
      <c r="BYJ7" s="28"/>
      <c r="BYK7" s="28"/>
      <c r="BYL7" s="28"/>
      <c r="BYM7" s="28"/>
      <c r="BYN7" s="28"/>
      <c r="BYO7" s="28"/>
      <c r="BYP7" s="28"/>
      <c r="BYQ7" s="28"/>
      <c r="BYR7" s="28"/>
      <c r="BYS7" s="28"/>
      <c r="BYT7" s="28"/>
      <c r="BYU7" s="28"/>
      <c r="BYV7" s="28"/>
      <c r="BYW7" s="28"/>
      <c r="BYX7" s="28"/>
      <c r="BYY7" s="28"/>
      <c r="BYZ7" s="28"/>
      <c r="BZA7" s="28"/>
      <c r="BZB7" s="28"/>
      <c r="BZC7" s="28"/>
      <c r="BZD7" s="28"/>
      <c r="BZE7" s="28"/>
      <c r="BZF7" s="28"/>
      <c r="BZG7" s="28"/>
      <c r="BZH7" s="28"/>
      <c r="BZI7" s="28"/>
      <c r="BZJ7" s="28"/>
      <c r="BZK7" s="28"/>
      <c r="BZL7" s="28"/>
      <c r="BZM7" s="28"/>
      <c r="BZN7" s="28"/>
      <c r="BZO7" s="28"/>
      <c r="BZP7" s="28"/>
      <c r="BZQ7" s="28"/>
      <c r="BZR7" s="28"/>
      <c r="BZS7" s="28"/>
      <c r="BZT7" s="28"/>
      <c r="BZU7" s="28"/>
      <c r="BZV7" s="28"/>
      <c r="BZW7" s="28"/>
      <c r="BZX7" s="28"/>
      <c r="BZY7" s="28"/>
      <c r="BZZ7" s="28"/>
      <c r="CAA7" s="28"/>
      <c r="CAB7" s="28"/>
      <c r="CAC7" s="28"/>
      <c r="CAD7" s="28"/>
      <c r="CAE7" s="28"/>
      <c r="CAF7" s="28"/>
      <c r="CAG7" s="28"/>
      <c r="CAH7" s="28"/>
      <c r="CAI7" s="28"/>
      <c r="CAJ7" s="28"/>
      <c r="CAK7" s="28"/>
      <c r="CAL7" s="28"/>
      <c r="CAM7" s="28"/>
      <c r="CAN7" s="28"/>
      <c r="CAO7" s="28"/>
      <c r="CAP7" s="28"/>
      <c r="CAQ7" s="28"/>
      <c r="CAR7" s="28"/>
      <c r="CAS7" s="28"/>
      <c r="CAT7" s="28"/>
      <c r="CAU7" s="28"/>
      <c r="CAV7" s="28"/>
      <c r="CAW7" s="28"/>
      <c r="CAX7" s="28"/>
      <c r="CAY7" s="28"/>
      <c r="CAZ7" s="28"/>
      <c r="CBA7" s="28"/>
      <c r="CBB7" s="28"/>
      <c r="CBC7" s="28"/>
      <c r="CBD7" s="28"/>
      <c r="CBE7" s="28"/>
      <c r="CBF7" s="28"/>
      <c r="CBG7" s="28"/>
      <c r="CBH7" s="28"/>
      <c r="CBI7" s="28"/>
      <c r="CBJ7" s="28"/>
      <c r="CBK7" s="28"/>
      <c r="CBL7" s="28"/>
      <c r="CBM7" s="28"/>
      <c r="CBN7" s="28"/>
      <c r="CBO7" s="28"/>
      <c r="CBP7" s="28"/>
      <c r="CBQ7" s="28"/>
      <c r="CBR7" s="28"/>
      <c r="CBS7" s="28"/>
      <c r="CBT7" s="28"/>
      <c r="CBU7" s="28"/>
      <c r="CBV7" s="28"/>
      <c r="CBW7" s="28"/>
      <c r="CBX7" s="28"/>
      <c r="CBY7" s="28"/>
      <c r="CBZ7" s="28"/>
      <c r="CCA7" s="28"/>
      <c r="CCB7" s="28"/>
      <c r="CCC7" s="28"/>
      <c r="CCD7" s="28"/>
      <c r="CCE7" s="28"/>
      <c r="CCF7" s="28"/>
      <c r="CCG7" s="28"/>
      <c r="CCH7" s="28"/>
      <c r="CCI7" s="28"/>
      <c r="CCJ7" s="28"/>
      <c r="CCK7" s="28"/>
      <c r="CCL7" s="28"/>
      <c r="CCM7" s="28"/>
      <c r="CCN7" s="28"/>
      <c r="CCO7" s="28"/>
      <c r="CCP7" s="28"/>
      <c r="CCQ7" s="28"/>
      <c r="CCR7" s="28"/>
      <c r="CCS7" s="28"/>
      <c r="CCT7" s="28"/>
      <c r="CCU7" s="28"/>
      <c r="CCV7" s="28"/>
      <c r="CCW7" s="28"/>
      <c r="CCX7" s="28"/>
      <c r="CCY7" s="28"/>
      <c r="CCZ7" s="28"/>
      <c r="CDA7" s="28"/>
      <c r="CDB7" s="28"/>
      <c r="CDC7" s="28"/>
      <c r="CDD7" s="28"/>
      <c r="CDE7" s="28"/>
      <c r="CDF7" s="28"/>
      <c r="CDG7" s="28"/>
      <c r="CDH7" s="28"/>
      <c r="CDI7" s="28"/>
      <c r="CDJ7" s="28"/>
      <c r="CDK7" s="28"/>
      <c r="CDL7" s="28"/>
      <c r="CDM7" s="28"/>
      <c r="CDN7" s="28"/>
      <c r="CDO7" s="28"/>
      <c r="CDP7" s="28"/>
      <c r="CDQ7" s="28"/>
      <c r="CDR7" s="28"/>
      <c r="CDS7" s="28"/>
      <c r="CDT7" s="28"/>
      <c r="CDU7" s="28"/>
      <c r="CDV7" s="28"/>
      <c r="CDW7" s="28"/>
      <c r="CDX7" s="28"/>
      <c r="CDY7" s="28"/>
      <c r="CDZ7" s="28"/>
      <c r="CEA7" s="28"/>
      <c r="CEB7" s="28"/>
      <c r="CEC7" s="28"/>
      <c r="CED7" s="28"/>
      <c r="CEE7" s="28"/>
      <c r="CEF7" s="28"/>
      <c r="CEG7" s="28"/>
      <c r="CEH7" s="28"/>
      <c r="CEI7" s="28"/>
      <c r="CEJ7" s="28"/>
      <c r="CEK7" s="28"/>
      <c r="CEL7" s="28"/>
      <c r="CEM7" s="28"/>
      <c r="CEN7" s="28"/>
      <c r="CEO7" s="28"/>
      <c r="CEP7" s="28"/>
      <c r="CEQ7" s="28"/>
      <c r="CER7" s="28"/>
      <c r="CES7" s="28"/>
      <c r="CET7" s="28"/>
      <c r="CEU7" s="28"/>
      <c r="CEV7" s="28"/>
      <c r="CEW7" s="28"/>
      <c r="CEX7" s="28"/>
      <c r="CEY7" s="28"/>
      <c r="CEZ7" s="28"/>
      <c r="CFA7" s="28"/>
      <c r="CFB7" s="28"/>
      <c r="CFC7" s="28"/>
      <c r="CFD7" s="28"/>
      <c r="CFE7" s="28"/>
      <c r="CFF7" s="28"/>
      <c r="CFG7" s="28"/>
      <c r="CFH7" s="28"/>
      <c r="CFI7" s="28"/>
      <c r="CFJ7" s="28"/>
      <c r="CFK7" s="28"/>
      <c r="CFL7" s="28"/>
      <c r="CFM7" s="28"/>
      <c r="CFN7" s="28"/>
      <c r="CFO7" s="28"/>
      <c r="CFP7" s="28"/>
      <c r="CFQ7" s="28"/>
      <c r="CFR7" s="28"/>
      <c r="CFS7" s="28"/>
      <c r="CFT7" s="28"/>
      <c r="CFU7" s="28"/>
      <c r="CFV7" s="28"/>
      <c r="CFW7" s="28"/>
      <c r="CFX7" s="28"/>
      <c r="CFY7" s="28"/>
      <c r="CFZ7" s="28"/>
      <c r="CGA7" s="28"/>
      <c r="CGB7" s="28"/>
      <c r="CGC7" s="28"/>
      <c r="CGD7" s="28"/>
      <c r="CGE7" s="28"/>
      <c r="CGF7" s="28"/>
      <c r="CGG7" s="28"/>
      <c r="CGH7" s="28"/>
      <c r="CGI7" s="28"/>
      <c r="CGJ7" s="28"/>
      <c r="CGK7" s="28"/>
      <c r="CGL7" s="28"/>
      <c r="CGM7" s="28"/>
      <c r="CGN7" s="28"/>
      <c r="CGO7" s="28"/>
      <c r="CGP7" s="28"/>
      <c r="CGQ7" s="28"/>
      <c r="CGR7" s="28"/>
      <c r="CGS7" s="28"/>
      <c r="CGT7" s="28"/>
      <c r="CGU7" s="28"/>
      <c r="CGV7" s="28"/>
      <c r="CGW7" s="28"/>
      <c r="CGX7" s="28"/>
      <c r="CGY7" s="28"/>
      <c r="CGZ7" s="28"/>
      <c r="CHA7" s="28"/>
      <c r="CHB7" s="28"/>
      <c r="CHC7" s="28"/>
      <c r="CHD7" s="28"/>
      <c r="CHE7" s="28"/>
      <c r="CHF7" s="28"/>
      <c r="CHG7" s="28"/>
      <c r="CHH7" s="28"/>
      <c r="CHI7" s="28"/>
      <c r="CHJ7" s="28"/>
      <c r="CHK7" s="28"/>
      <c r="CHL7" s="28"/>
      <c r="CHM7" s="28"/>
      <c r="CHN7" s="28"/>
      <c r="CHO7" s="28"/>
      <c r="CHP7" s="28"/>
      <c r="CHQ7" s="28"/>
      <c r="CHR7" s="28"/>
      <c r="CHS7" s="28"/>
      <c r="CHT7" s="28"/>
      <c r="CHU7" s="28"/>
      <c r="CHV7" s="28"/>
      <c r="CHW7" s="28"/>
      <c r="CHX7" s="28"/>
      <c r="CHY7" s="28"/>
      <c r="CHZ7" s="28"/>
      <c r="CIA7" s="28"/>
      <c r="CIB7" s="28"/>
      <c r="CIC7" s="28"/>
      <c r="CID7" s="28"/>
      <c r="CIE7" s="28"/>
      <c r="CIF7" s="28"/>
      <c r="CIG7" s="28"/>
      <c r="CIH7" s="28"/>
      <c r="CII7" s="28"/>
      <c r="CIJ7" s="28"/>
      <c r="CIK7" s="28"/>
      <c r="CIL7" s="28"/>
      <c r="CIM7" s="28"/>
      <c r="CIN7" s="28"/>
      <c r="CIO7" s="28"/>
      <c r="CIP7" s="28"/>
      <c r="CIQ7" s="28"/>
      <c r="CIR7" s="28"/>
      <c r="CIS7" s="28"/>
      <c r="CIT7" s="28"/>
      <c r="CIU7" s="28"/>
      <c r="CIV7" s="28"/>
      <c r="CIW7" s="28"/>
      <c r="CIX7" s="28"/>
      <c r="CIY7" s="28"/>
      <c r="CIZ7" s="28"/>
      <c r="CJA7" s="28"/>
      <c r="CJB7" s="28"/>
      <c r="CJC7" s="28"/>
      <c r="CJD7" s="28"/>
      <c r="CJE7" s="28"/>
      <c r="CJF7" s="28"/>
      <c r="CJG7" s="28"/>
      <c r="CJH7" s="28"/>
      <c r="CJI7" s="28"/>
      <c r="CJJ7" s="28"/>
      <c r="CJK7" s="28"/>
      <c r="CJL7" s="28"/>
      <c r="CJM7" s="28"/>
      <c r="CJN7" s="28"/>
      <c r="CJO7" s="28"/>
      <c r="CJP7" s="28"/>
      <c r="CJQ7" s="28"/>
      <c r="CJR7" s="28"/>
      <c r="CJS7" s="28"/>
      <c r="CJT7" s="28"/>
      <c r="CJU7" s="28"/>
      <c r="CJV7" s="28"/>
      <c r="CJW7" s="28"/>
      <c r="CJX7" s="28"/>
      <c r="CJY7" s="28"/>
      <c r="CJZ7" s="28"/>
      <c r="CKA7" s="28"/>
      <c r="CKB7" s="28"/>
      <c r="CKC7" s="28"/>
      <c r="CKD7" s="28"/>
      <c r="CKE7" s="28"/>
      <c r="CKF7" s="28"/>
      <c r="CKG7" s="28"/>
      <c r="CKH7" s="28"/>
      <c r="CKI7" s="28"/>
      <c r="CKJ7" s="28"/>
      <c r="CKK7" s="28"/>
      <c r="CKL7" s="28"/>
      <c r="CKM7" s="28"/>
      <c r="CKN7" s="28"/>
      <c r="CKO7" s="28"/>
      <c r="CKP7" s="28"/>
      <c r="CKQ7" s="28"/>
      <c r="CKR7" s="28"/>
      <c r="CKS7" s="28"/>
      <c r="CKT7" s="28"/>
      <c r="CKU7" s="28"/>
      <c r="CKV7" s="28"/>
      <c r="CKW7" s="28"/>
      <c r="CKX7" s="28"/>
      <c r="CKY7" s="28"/>
      <c r="CKZ7" s="28"/>
      <c r="CLA7" s="28"/>
      <c r="CLB7" s="28"/>
      <c r="CLC7" s="28"/>
      <c r="CLD7" s="28"/>
      <c r="CLE7" s="28"/>
      <c r="CLF7" s="28"/>
      <c r="CLG7" s="28"/>
      <c r="CLH7" s="28"/>
      <c r="CLI7" s="28"/>
      <c r="CLJ7" s="28"/>
      <c r="CLK7" s="28"/>
      <c r="CLL7" s="28"/>
      <c r="CLM7" s="28"/>
      <c r="CLN7" s="28"/>
      <c r="CLO7" s="28"/>
      <c r="CLP7" s="28"/>
      <c r="CLQ7" s="28"/>
      <c r="CLR7" s="28"/>
      <c r="CLS7" s="28"/>
      <c r="CLT7" s="28"/>
      <c r="CLU7" s="28"/>
      <c r="CLV7" s="28"/>
      <c r="CLW7" s="28"/>
      <c r="CLX7" s="28"/>
      <c r="CLY7" s="28"/>
      <c r="CLZ7" s="28"/>
      <c r="CMA7" s="28"/>
      <c r="CMB7" s="28"/>
      <c r="CMC7" s="28"/>
      <c r="CMD7" s="28"/>
      <c r="CME7" s="28"/>
      <c r="CMF7" s="28"/>
      <c r="CMG7" s="28"/>
      <c r="CMH7" s="28"/>
      <c r="CMI7" s="28"/>
      <c r="CMJ7" s="28"/>
      <c r="CMK7" s="28"/>
      <c r="CML7" s="28"/>
      <c r="CMM7" s="28"/>
      <c r="CMN7" s="28"/>
      <c r="CMO7" s="28"/>
      <c r="CMP7" s="28"/>
      <c r="CMQ7" s="28"/>
      <c r="CMR7" s="28"/>
      <c r="CMS7" s="28"/>
      <c r="CMT7" s="28"/>
      <c r="CMU7" s="28"/>
      <c r="CMV7" s="28"/>
      <c r="CMW7" s="28"/>
      <c r="CMX7" s="28"/>
      <c r="CMY7" s="28"/>
      <c r="CMZ7" s="28"/>
      <c r="CNA7" s="28"/>
      <c r="CNB7" s="28"/>
      <c r="CNC7" s="28"/>
      <c r="CND7" s="28"/>
      <c r="CNE7" s="28"/>
      <c r="CNF7" s="28"/>
      <c r="CNG7" s="28"/>
      <c r="CNH7" s="28"/>
      <c r="CNI7" s="28"/>
      <c r="CNJ7" s="28"/>
      <c r="CNK7" s="28"/>
      <c r="CNL7" s="28"/>
      <c r="CNM7" s="28"/>
      <c r="CNN7" s="28"/>
      <c r="CNO7" s="28"/>
      <c r="CNP7" s="28"/>
      <c r="CNQ7" s="28"/>
      <c r="CNR7" s="28"/>
      <c r="CNS7" s="28"/>
      <c r="CNT7" s="28"/>
      <c r="CNU7" s="28"/>
      <c r="CNV7" s="28"/>
      <c r="CNW7" s="28"/>
      <c r="CNX7" s="28"/>
      <c r="CNY7" s="28"/>
      <c r="CNZ7" s="28"/>
      <c r="COA7" s="28"/>
      <c r="COB7" s="28"/>
      <c r="COC7" s="28"/>
      <c r="COD7" s="28"/>
      <c r="COE7" s="28"/>
      <c r="COF7" s="28"/>
      <c r="COG7" s="28"/>
      <c r="COH7" s="28"/>
      <c r="COI7" s="28"/>
      <c r="COJ7" s="28"/>
      <c r="COK7" s="28"/>
      <c r="COL7" s="28"/>
      <c r="COM7" s="28"/>
      <c r="CON7" s="28"/>
      <c r="COO7" s="28"/>
      <c r="COP7" s="28"/>
      <c r="COQ7" s="28"/>
      <c r="COR7" s="28"/>
      <c r="COS7" s="28"/>
      <c r="COT7" s="28"/>
      <c r="COU7" s="28"/>
      <c r="COV7" s="28"/>
      <c r="COW7" s="28"/>
      <c r="COX7" s="28"/>
      <c r="COY7" s="28"/>
      <c r="COZ7" s="28"/>
      <c r="CPA7" s="28"/>
      <c r="CPB7" s="28"/>
      <c r="CPC7" s="28"/>
      <c r="CPD7" s="28"/>
      <c r="CPE7" s="28"/>
      <c r="CPF7" s="28"/>
      <c r="CPG7" s="28"/>
      <c r="CPH7" s="28"/>
      <c r="CPI7" s="28"/>
      <c r="CPJ7" s="28"/>
      <c r="CPK7" s="28"/>
      <c r="CPL7" s="28"/>
      <c r="CPM7" s="28"/>
      <c r="CPN7" s="28"/>
      <c r="CPO7" s="28"/>
      <c r="CPP7" s="28"/>
      <c r="CPQ7" s="28"/>
      <c r="CPR7" s="28"/>
      <c r="CPS7" s="28"/>
      <c r="CPT7" s="28"/>
      <c r="CPU7" s="28"/>
      <c r="CPV7" s="28"/>
      <c r="CPW7" s="28"/>
      <c r="CPX7" s="28"/>
      <c r="CPY7" s="28"/>
      <c r="CPZ7" s="28"/>
      <c r="CQA7" s="28"/>
      <c r="CQB7" s="28"/>
      <c r="CQC7" s="28"/>
      <c r="CQD7" s="28"/>
      <c r="CQE7" s="28"/>
      <c r="CQF7" s="28"/>
      <c r="CQG7" s="28"/>
      <c r="CQH7" s="28"/>
      <c r="CQI7" s="28"/>
      <c r="CQJ7" s="28"/>
      <c r="CQK7" s="28"/>
      <c r="CQL7" s="28"/>
      <c r="CQM7" s="28"/>
      <c r="CQN7" s="28"/>
      <c r="CQO7" s="28"/>
      <c r="CQP7" s="28"/>
      <c r="CQQ7" s="28"/>
      <c r="CQR7" s="28"/>
      <c r="CQS7" s="28"/>
      <c r="CQT7" s="28"/>
      <c r="CQU7" s="28"/>
      <c r="CQV7" s="28"/>
      <c r="CQW7" s="28"/>
      <c r="CQX7" s="28"/>
      <c r="CQY7" s="28"/>
      <c r="CQZ7" s="28"/>
      <c r="CRA7" s="28"/>
      <c r="CRB7" s="28"/>
      <c r="CRC7" s="28"/>
      <c r="CRD7" s="28"/>
      <c r="CRE7" s="28"/>
      <c r="CRF7" s="28"/>
      <c r="CRG7" s="28"/>
      <c r="CRH7" s="28"/>
      <c r="CRI7" s="28"/>
      <c r="CRJ7" s="28"/>
      <c r="CRK7" s="28"/>
      <c r="CRL7" s="28"/>
      <c r="CRM7" s="28"/>
      <c r="CRN7" s="28"/>
      <c r="CRO7" s="28"/>
      <c r="CRP7" s="28"/>
      <c r="CRQ7" s="28"/>
      <c r="CRR7" s="28"/>
      <c r="CRS7" s="28"/>
      <c r="CRT7" s="28"/>
      <c r="CRU7" s="28"/>
      <c r="CRV7" s="28"/>
      <c r="CRW7" s="28"/>
      <c r="CRX7" s="28"/>
      <c r="CRY7" s="28"/>
      <c r="CRZ7" s="28"/>
      <c r="CSA7" s="28"/>
      <c r="CSB7" s="28"/>
      <c r="CSC7" s="28"/>
      <c r="CSD7" s="28"/>
      <c r="CSE7" s="28"/>
      <c r="CSF7" s="28"/>
      <c r="CSG7" s="28"/>
      <c r="CSH7" s="28"/>
      <c r="CSI7" s="28"/>
      <c r="CSJ7" s="28"/>
      <c r="CSK7" s="28"/>
      <c r="CSL7" s="28"/>
      <c r="CSM7" s="28"/>
      <c r="CSN7" s="28"/>
      <c r="CSO7" s="28"/>
      <c r="CSP7" s="28"/>
      <c r="CSQ7" s="28"/>
      <c r="CSR7" s="28"/>
      <c r="CSS7" s="28"/>
      <c r="CST7" s="28"/>
      <c r="CSU7" s="28"/>
      <c r="CSV7" s="28"/>
      <c r="CSW7" s="28"/>
      <c r="CSX7" s="28"/>
      <c r="CSY7" s="28"/>
      <c r="CSZ7" s="28"/>
      <c r="CTA7" s="28"/>
      <c r="CTB7" s="28"/>
      <c r="CTC7" s="28"/>
      <c r="CTD7" s="28"/>
      <c r="CTE7" s="28"/>
      <c r="CTF7" s="28"/>
      <c r="CTG7" s="28"/>
      <c r="CTH7" s="28"/>
      <c r="CTI7" s="28"/>
      <c r="CTJ7" s="28"/>
      <c r="CTK7" s="28"/>
      <c r="CTL7" s="28"/>
      <c r="CTM7" s="28"/>
      <c r="CTN7" s="28"/>
      <c r="CTO7" s="28"/>
      <c r="CTP7" s="28"/>
      <c r="CTQ7" s="28"/>
      <c r="CTR7" s="28"/>
      <c r="CTS7" s="28"/>
      <c r="CTT7" s="28"/>
      <c r="CTU7" s="28"/>
      <c r="CTV7" s="28"/>
      <c r="CTW7" s="28"/>
      <c r="CTX7" s="28"/>
      <c r="CTY7" s="28"/>
      <c r="CTZ7" s="28"/>
      <c r="CUA7" s="28"/>
      <c r="CUB7" s="28"/>
      <c r="CUC7" s="28"/>
      <c r="CUD7" s="28"/>
      <c r="CUE7" s="28"/>
      <c r="CUF7" s="28"/>
      <c r="CUG7" s="28"/>
      <c r="CUH7" s="28"/>
      <c r="CUI7" s="28"/>
      <c r="CUJ7" s="28"/>
      <c r="CUK7" s="28"/>
      <c r="CUL7" s="28"/>
      <c r="CUM7" s="28"/>
      <c r="CUN7" s="28"/>
      <c r="CUO7" s="28"/>
      <c r="CUP7" s="28"/>
      <c r="CUQ7" s="28"/>
      <c r="CUR7" s="28"/>
      <c r="CUS7" s="28"/>
      <c r="CUT7" s="28"/>
      <c r="CUU7" s="28"/>
      <c r="CUV7" s="28"/>
      <c r="CUW7" s="28"/>
      <c r="CUX7" s="28"/>
      <c r="CUY7" s="28"/>
      <c r="CUZ7" s="28"/>
      <c r="CVA7" s="28"/>
      <c r="CVB7" s="28"/>
      <c r="CVC7" s="28"/>
      <c r="CVD7" s="28"/>
      <c r="CVE7" s="28"/>
      <c r="CVF7" s="28"/>
      <c r="CVG7" s="28"/>
      <c r="CVH7" s="28"/>
      <c r="CVI7" s="28"/>
      <c r="CVJ7" s="28"/>
      <c r="CVK7" s="28"/>
      <c r="CVL7" s="28"/>
      <c r="CVM7" s="28"/>
      <c r="CVN7" s="28"/>
      <c r="CVO7" s="28"/>
      <c r="CVP7" s="28"/>
      <c r="CVQ7" s="28"/>
      <c r="CVR7" s="28"/>
      <c r="CVS7" s="28"/>
      <c r="CVT7" s="28"/>
      <c r="CVU7" s="28"/>
      <c r="CVV7" s="28"/>
      <c r="CVW7" s="28"/>
      <c r="CVX7" s="28"/>
      <c r="CVY7" s="28"/>
      <c r="CVZ7" s="28"/>
      <c r="CWA7" s="28"/>
      <c r="CWB7" s="28"/>
      <c r="CWC7" s="28"/>
      <c r="CWD7" s="28"/>
      <c r="CWE7" s="28"/>
      <c r="CWF7" s="28"/>
      <c r="CWG7" s="28"/>
      <c r="CWH7" s="28"/>
      <c r="CWI7" s="28"/>
      <c r="CWJ7" s="28"/>
      <c r="CWK7" s="28"/>
      <c r="CWL7" s="28"/>
      <c r="CWM7" s="28"/>
      <c r="CWN7" s="28"/>
      <c r="CWO7" s="28"/>
      <c r="CWP7" s="28"/>
      <c r="CWQ7" s="28"/>
      <c r="CWR7" s="28"/>
      <c r="CWS7" s="28"/>
      <c r="CWT7" s="28"/>
      <c r="CWU7" s="28"/>
      <c r="CWV7" s="28"/>
      <c r="CWW7" s="28"/>
      <c r="CWX7" s="28"/>
      <c r="CWY7" s="28"/>
      <c r="CWZ7" s="28"/>
      <c r="CXA7" s="28"/>
      <c r="CXB7" s="28"/>
      <c r="CXC7" s="28"/>
      <c r="CXD7" s="28"/>
      <c r="CXE7" s="28"/>
      <c r="CXF7" s="28"/>
      <c r="CXG7" s="28"/>
      <c r="CXH7" s="28"/>
      <c r="CXI7" s="28"/>
      <c r="CXJ7" s="28"/>
      <c r="CXK7" s="28"/>
      <c r="CXL7" s="28"/>
      <c r="CXM7" s="28"/>
      <c r="CXN7" s="28"/>
      <c r="CXO7" s="28"/>
      <c r="CXP7" s="28"/>
      <c r="CXQ7" s="28"/>
      <c r="CXR7" s="28"/>
      <c r="CXS7" s="28"/>
      <c r="CXT7" s="28"/>
      <c r="CXU7" s="28"/>
      <c r="CXV7" s="28"/>
      <c r="CXW7" s="28"/>
      <c r="CXX7" s="28"/>
      <c r="CXY7" s="28"/>
      <c r="CXZ7" s="28"/>
      <c r="CYA7" s="28"/>
      <c r="CYB7" s="28"/>
      <c r="CYC7" s="28"/>
      <c r="CYD7" s="28"/>
      <c r="CYE7" s="28"/>
      <c r="CYF7" s="28"/>
      <c r="CYG7" s="28"/>
      <c r="CYH7" s="28"/>
      <c r="CYI7" s="28"/>
      <c r="CYJ7" s="28"/>
      <c r="CYK7" s="28"/>
      <c r="CYL7" s="28"/>
      <c r="CYM7" s="28"/>
      <c r="CYN7" s="28"/>
      <c r="CYO7" s="28"/>
      <c r="CYP7" s="28"/>
      <c r="CYQ7" s="28"/>
      <c r="CYR7" s="28"/>
      <c r="CYS7" s="28"/>
      <c r="CYT7" s="28"/>
      <c r="CYU7" s="28"/>
      <c r="CYV7" s="28"/>
      <c r="CYW7" s="28"/>
      <c r="CYX7" s="28"/>
      <c r="CYY7" s="28"/>
      <c r="CYZ7" s="28"/>
      <c r="CZA7" s="28"/>
      <c r="CZB7" s="28"/>
      <c r="CZC7" s="28"/>
      <c r="CZD7" s="28"/>
      <c r="CZE7" s="28"/>
      <c r="CZF7" s="28"/>
      <c r="CZG7" s="28"/>
      <c r="CZH7" s="28"/>
      <c r="CZI7" s="28"/>
      <c r="CZJ7" s="28"/>
      <c r="CZK7" s="28"/>
      <c r="CZL7" s="28"/>
      <c r="CZM7" s="28"/>
      <c r="CZN7" s="28"/>
      <c r="CZO7" s="28"/>
      <c r="CZP7" s="28"/>
      <c r="CZQ7" s="28"/>
      <c r="CZR7" s="28"/>
      <c r="CZS7" s="28"/>
      <c r="CZT7" s="28"/>
      <c r="CZU7" s="28"/>
      <c r="CZV7" s="28"/>
      <c r="CZW7" s="28"/>
      <c r="CZX7" s="28"/>
      <c r="CZY7" s="28"/>
      <c r="CZZ7" s="28"/>
      <c r="DAA7" s="28"/>
      <c r="DAB7" s="28"/>
      <c r="DAC7" s="28"/>
      <c r="DAD7" s="28"/>
      <c r="DAE7" s="28"/>
      <c r="DAF7" s="28"/>
      <c r="DAG7" s="28"/>
      <c r="DAH7" s="28"/>
      <c r="DAI7" s="28"/>
      <c r="DAJ7" s="28"/>
      <c r="DAK7" s="28"/>
      <c r="DAL7" s="28"/>
      <c r="DAM7" s="28"/>
      <c r="DAN7" s="28"/>
      <c r="DAO7" s="28"/>
      <c r="DAP7" s="28"/>
      <c r="DAQ7" s="28"/>
      <c r="DAR7" s="28"/>
      <c r="DAS7" s="28"/>
      <c r="DAT7" s="28"/>
      <c r="DAU7" s="28"/>
      <c r="DAV7" s="28"/>
      <c r="DAW7" s="28"/>
      <c r="DAX7" s="28"/>
      <c r="DAY7" s="28"/>
      <c r="DAZ7" s="28"/>
      <c r="DBA7" s="28"/>
      <c r="DBB7" s="28"/>
      <c r="DBC7" s="28"/>
      <c r="DBD7" s="28"/>
      <c r="DBE7" s="28"/>
      <c r="DBF7" s="28"/>
      <c r="DBG7" s="28"/>
      <c r="DBH7" s="28"/>
      <c r="DBI7" s="28"/>
      <c r="DBJ7" s="28"/>
      <c r="DBK7" s="28"/>
      <c r="DBL7" s="28"/>
      <c r="DBM7" s="28"/>
      <c r="DBN7" s="28"/>
      <c r="DBO7" s="28"/>
      <c r="DBP7" s="28"/>
      <c r="DBQ7" s="28"/>
      <c r="DBR7" s="28"/>
      <c r="DBS7" s="28"/>
      <c r="DBT7" s="28"/>
      <c r="DBU7" s="28"/>
      <c r="DBV7" s="28"/>
      <c r="DBW7" s="28"/>
      <c r="DBX7" s="28"/>
      <c r="DBY7" s="28"/>
      <c r="DBZ7" s="28"/>
      <c r="DCA7" s="28"/>
      <c r="DCB7" s="28"/>
      <c r="DCC7" s="28"/>
      <c r="DCD7" s="28"/>
      <c r="DCE7" s="28"/>
      <c r="DCF7" s="28"/>
      <c r="DCG7" s="28"/>
      <c r="DCH7" s="28"/>
      <c r="DCI7" s="28"/>
      <c r="DCJ7" s="28"/>
      <c r="DCK7" s="28"/>
      <c r="DCL7" s="28"/>
      <c r="DCM7" s="28"/>
      <c r="DCN7" s="28"/>
      <c r="DCO7" s="28"/>
      <c r="DCP7" s="28"/>
      <c r="DCQ7" s="28"/>
      <c r="DCR7" s="28"/>
      <c r="DCS7" s="28"/>
      <c r="DCT7" s="28"/>
      <c r="DCU7" s="28"/>
      <c r="DCV7" s="28"/>
      <c r="DCW7" s="28"/>
      <c r="DCX7" s="28"/>
      <c r="DCY7" s="28"/>
      <c r="DCZ7" s="28"/>
      <c r="DDA7" s="28"/>
      <c r="DDB7" s="28"/>
      <c r="DDC7" s="28"/>
      <c r="DDD7" s="28"/>
      <c r="DDE7" s="28"/>
      <c r="DDF7" s="28"/>
      <c r="DDG7" s="28"/>
      <c r="DDH7" s="28"/>
      <c r="DDI7" s="28"/>
      <c r="DDJ7" s="28"/>
      <c r="DDK7" s="28"/>
      <c r="DDL7" s="28"/>
      <c r="DDM7" s="28"/>
      <c r="DDN7" s="28"/>
      <c r="DDO7" s="28"/>
      <c r="DDP7" s="28"/>
      <c r="DDQ7" s="28"/>
      <c r="DDR7" s="28"/>
      <c r="DDS7" s="28"/>
      <c r="DDT7" s="28"/>
      <c r="DDU7" s="28"/>
      <c r="DDV7" s="28"/>
      <c r="DDW7" s="28"/>
      <c r="DDX7" s="28"/>
      <c r="DDY7" s="28"/>
      <c r="DDZ7" s="28"/>
      <c r="DEA7" s="28"/>
      <c r="DEB7" s="28"/>
      <c r="DEC7" s="28"/>
      <c r="DED7" s="28"/>
      <c r="DEE7" s="28"/>
      <c r="DEF7" s="28"/>
      <c r="DEG7" s="28"/>
      <c r="DEH7" s="28"/>
      <c r="DEI7" s="28"/>
      <c r="DEJ7" s="28"/>
      <c r="DEK7" s="28"/>
      <c r="DEL7" s="28"/>
      <c r="DEM7" s="28"/>
      <c r="DEN7" s="28"/>
      <c r="DEO7" s="28"/>
      <c r="DEP7" s="28"/>
      <c r="DEQ7" s="28"/>
      <c r="DER7" s="28"/>
      <c r="DES7" s="28"/>
      <c r="DET7" s="28"/>
      <c r="DEU7" s="28"/>
      <c r="DEV7" s="28"/>
      <c r="DEW7" s="28"/>
      <c r="DEX7" s="28"/>
      <c r="DEY7" s="28"/>
      <c r="DEZ7" s="28"/>
      <c r="DFA7" s="28"/>
      <c r="DFB7" s="28"/>
      <c r="DFC7" s="28"/>
      <c r="DFD7" s="28"/>
      <c r="DFE7" s="28"/>
      <c r="DFF7" s="28"/>
      <c r="DFG7" s="28"/>
      <c r="DFH7" s="28"/>
      <c r="DFI7" s="28"/>
      <c r="DFJ7" s="28"/>
      <c r="DFK7" s="28"/>
      <c r="DFL7" s="28"/>
      <c r="DFM7" s="28"/>
      <c r="DFN7" s="28"/>
      <c r="DFO7" s="28"/>
      <c r="DFP7" s="28"/>
      <c r="DFQ7" s="28"/>
      <c r="DFR7" s="28"/>
      <c r="DFS7" s="28"/>
      <c r="DFT7" s="28"/>
      <c r="DFU7" s="28"/>
      <c r="DFV7" s="28"/>
      <c r="DFW7" s="28"/>
      <c r="DFX7" s="28"/>
      <c r="DFY7" s="28"/>
      <c r="DFZ7" s="28"/>
      <c r="DGA7" s="28"/>
      <c r="DGB7" s="28"/>
      <c r="DGC7" s="28"/>
      <c r="DGD7" s="28"/>
      <c r="DGE7" s="28"/>
      <c r="DGF7" s="28"/>
      <c r="DGG7" s="28"/>
      <c r="DGH7" s="28"/>
      <c r="DGI7" s="28"/>
      <c r="DGJ7" s="28"/>
      <c r="DGK7" s="28"/>
      <c r="DGL7" s="28"/>
      <c r="DGM7" s="28"/>
      <c r="DGN7" s="28"/>
      <c r="DGO7" s="28"/>
      <c r="DGP7" s="28"/>
      <c r="DGQ7" s="28"/>
      <c r="DGR7" s="28"/>
      <c r="DGS7" s="28"/>
      <c r="DGT7" s="28"/>
      <c r="DGU7" s="28"/>
      <c r="DGV7" s="28"/>
      <c r="DGW7" s="28"/>
      <c r="DGX7" s="28"/>
      <c r="DGY7" s="28"/>
      <c r="DGZ7" s="28"/>
      <c r="DHA7" s="28"/>
      <c r="DHB7" s="28"/>
      <c r="DHC7" s="28"/>
      <c r="DHD7" s="28"/>
      <c r="DHE7" s="28"/>
      <c r="DHF7" s="28"/>
      <c r="DHG7" s="28"/>
      <c r="DHH7" s="28"/>
      <c r="DHI7" s="28"/>
      <c r="DHJ7" s="28"/>
      <c r="DHK7" s="28"/>
      <c r="DHL7" s="28"/>
      <c r="DHM7" s="28"/>
      <c r="DHN7" s="28"/>
      <c r="DHO7" s="28"/>
      <c r="DHP7" s="28"/>
      <c r="DHQ7" s="28"/>
      <c r="DHR7" s="28"/>
      <c r="DHS7" s="28"/>
      <c r="DHT7" s="28"/>
      <c r="DHU7" s="28"/>
      <c r="DHV7" s="28"/>
      <c r="DHW7" s="28"/>
      <c r="DHX7" s="28"/>
      <c r="DHY7" s="28"/>
      <c r="DHZ7" s="28"/>
      <c r="DIA7" s="28"/>
      <c r="DIB7" s="28"/>
      <c r="DIC7" s="28"/>
      <c r="DID7" s="28"/>
      <c r="DIE7" s="28"/>
      <c r="DIF7" s="28"/>
      <c r="DIG7" s="28"/>
      <c r="DIH7" s="28"/>
      <c r="DII7" s="28"/>
      <c r="DIJ7" s="28"/>
      <c r="DIK7" s="28"/>
      <c r="DIL7" s="28"/>
      <c r="DIM7" s="28"/>
      <c r="DIN7" s="28"/>
      <c r="DIO7" s="28"/>
      <c r="DIP7" s="28"/>
      <c r="DIQ7" s="28"/>
      <c r="DIR7" s="28"/>
      <c r="DIS7" s="28"/>
      <c r="DIT7" s="28"/>
      <c r="DIU7" s="28"/>
      <c r="DIV7" s="28"/>
      <c r="DIW7" s="28"/>
      <c r="DIX7" s="28"/>
      <c r="DIY7" s="28"/>
      <c r="DIZ7" s="28"/>
      <c r="DJA7" s="28"/>
      <c r="DJB7" s="28"/>
      <c r="DJC7" s="28"/>
      <c r="DJD7" s="28"/>
      <c r="DJE7" s="28"/>
      <c r="DJF7" s="28"/>
      <c r="DJG7" s="28"/>
      <c r="DJH7" s="28"/>
      <c r="DJI7" s="28"/>
      <c r="DJJ7" s="28"/>
      <c r="DJK7" s="28"/>
      <c r="DJL7" s="28"/>
      <c r="DJM7" s="28"/>
      <c r="DJN7" s="28"/>
      <c r="DJO7" s="28"/>
      <c r="DJP7" s="28"/>
      <c r="DJQ7" s="28"/>
      <c r="DJR7" s="28"/>
      <c r="DJS7" s="28"/>
      <c r="DJT7" s="28"/>
      <c r="DJU7" s="28"/>
      <c r="DJV7" s="28"/>
      <c r="DJW7" s="28"/>
      <c r="DJX7" s="28"/>
      <c r="DJY7" s="28"/>
      <c r="DJZ7" s="28"/>
      <c r="DKA7" s="28"/>
      <c r="DKB7" s="28"/>
      <c r="DKC7" s="28"/>
      <c r="DKD7" s="28"/>
      <c r="DKE7" s="28"/>
      <c r="DKF7" s="28"/>
      <c r="DKG7" s="28"/>
      <c r="DKH7" s="28"/>
      <c r="DKI7" s="28"/>
      <c r="DKJ7" s="28"/>
      <c r="DKK7" s="28"/>
      <c r="DKL7" s="28"/>
      <c r="DKM7" s="28"/>
      <c r="DKN7" s="28"/>
      <c r="DKO7" s="28"/>
      <c r="DKP7" s="28"/>
      <c r="DKQ7" s="28"/>
      <c r="DKR7" s="28"/>
      <c r="DKS7" s="28"/>
      <c r="DKT7" s="28"/>
      <c r="DKU7" s="28"/>
      <c r="DKV7" s="28"/>
      <c r="DKW7" s="28"/>
      <c r="DKX7" s="28"/>
      <c r="DKY7" s="28"/>
      <c r="DKZ7" s="28"/>
      <c r="DLA7" s="28"/>
      <c r="DLB7" s="28"/>
      <c r="DLC7" s="28"/>
      <c r="DLD7" s="28"/>
      <c r="DLE7" s="28"/>
      <c r="DLF7" s="28"/>
      <c r="DLG7" s="28"/>
      <c r="DLH7" s="28"/>
      <c r="DLI7" s="28"/>
      <c r="DLJ7" s="28"/>
      <c r="DLK7" s="28"/>
      <c r="DLL7" s="28"/>
      <c r="DLM7" s="28"/>
      <c r="DLN7" s="28"/>
      <c r="DLO7" s="28"/>
      <c r="DLP7" s="28"/>
      <c r="DLQ7" s="28"/>
      <c r="DLR7" s="28"/>
      <c r="DLS7" s="28"/>
      <c r="DLT7" s="28"/>
      <c r="DLU7" s="28"/>
      <c r="DLV7" s="28"/>
      <c r="DLW7" s="28"/>
      <c r="DLX7" s="28"/>
      <c r="DLY7" s="28"/>
      <c r="DLZ7" s="28"/>
      <c r="DMA7" s="28"/>
      <c r="DMB7" s="28"/>
      <c r="DMC7" s="28"/>
      <c r="DMD7" s="28"/>
      <c r="DME7" s="28"/>
      <c r="DMF7" s="28"/>
      <c r="DMG7" s="28"/>
      <c r="DMH7" s="28"/>
      <c r="DMI7" s="28"/>
      <c r="DMJ7" s="28"/>
      <c r="DMK7" s="28"/>
      <c r="DML7" s="28"/>
      <c r="DMM7" s="28"/>
      <c r="DMN7" s="28"/>
      <c r="DMO7" s="28"/>
      <c r="DMP7" s="28"/>
      <c r="DMQ7" s="28"/>
      <c r="DMR7" s="28"/>
      <c r="DMS7" s="28"/>
      <c r="DMT7" s="28"/>
      <c r="DMU7" s="28"/>
      <c r="DMV7" s="28"/>
      <c r="DMW7" s="28"/>
      <c r="DMX7" s="28"/>
      <c r="DMY7" s="28"/>
      <c r="DMZ7" s="28"/>
      <c r="DNA7" s="28"/>
      <c r="DNB7" s="28"/>
      <c r="DNC7" s="28"/>
      <c r="DND7" s="28"/>
      <c r="DNE7" s="28"/>
      <c r="DNF7" s="28"/>
      <c r="DNG7" s="28"/>
      <c r="DNH7" s="28"/>
      <c r="DNI7" s="28"/>
      <c r="DNJ7" s="28"/>
      <c r="DNK7" s="28"/>
      <c r="DNL7" s="28"/>
      <c r="DNM7" s="28"/>
      <c r="DNN7" s="28"/>
      <c r="DNO7" s="28"/>
      <c r="DNP7" s="28"/>
      <c r="DNQ7" s="28"/>
      <c r="DNR7" s="28"/>
      <c r="DNS7" s="28"/>
      <c r="DNT7" s="28"/>
      <c r="DNU7" s="28"/>
      <c r="DNV7" s="28"/>
      <c r="DNW7" s="28"/>
      <c r="DNX7" s="28"/>
      <c r="DNY7" s="28"/>
      <c r="DNZ7" s="28"/>
      <c r="DOA7" s="28"/>
      <c r="DOB7" s="28"/>
      <c r="DOC7" s="28"/>
      <c r="DOD7" s="28"/>
      <c r="DOE7" s="28"/>
      <c r="DOF7" s="28"/>
      <c r="DOG7" s="28"/>
      <c r="DOH7" s="28"/>
      <c r="DOI7" s="28"/>
      <c r="DOJ7" s="28"/>
      <c r="DOK7" s="28"/>
      <c r="DOL7" s="28"/>
      <c r="DOM7" s="28"/>
      <c r="DON7" s="28"/>
      <c r="DOO7" s="28"/>
      <c r="DOP7" s="28"/>
      <c r="DOQ7" s="28"/>
      <c r="DOR7" s="28"/>
      <c r="DOS7" s="28"/>
      <c r="DOT7" s="28"/>
      <c r="DOU7" s="28"/>
      <c r="DOV7" s="28"/>
      <c r="DOW7" s="28"/>
      <c r="DOX7" s="28"/>
      <c r="DOY7" s="28"/>
      <c r="DOZ7" s="28"/>
      <c r="DPA7" s="28"/>
      <c r="DPB7" s="28"/>
      <c r="DPC7" s="28"/>
      <c r="DPD7" s="28"/>
      <c r="DPE7" s="28"/>
      <c r="DPF7" s="28"/>
      <c r="DPG7" s="28"/>
      <c r="DPH7" s="28"/>
      <c r="DPI7" s="28"/>
      <c r="DPJ7" s="28"/>
      <c r="DPK7" s="28"/>
      <c r="DPL7" s="28"/>
      <c r="DPM7" s="28"/>
      <c r="DPN7" s="28"/>
      <c r="DPO7" s="28"/>
      <c r="DPP7" s="28"/>
      <c r="DPQ7" s="28"/>
      <c r="DPR7" s="28"/>
      <c r="DPS7" s="28"/>
      <c r="DPT7" s="28"/>
      <c r="DPU7" s="28"/>
      <c r="DPV7" s="28"/>
      <c r="DPW7" s="28"/>
      <c r="DPX7" s="28"/>
      <c r="DPY7" s="28"/>
      <c r="DPZ7" s="28"/>
      <c r="DQA7" s="28"/>
      <c r="DQB7" s="28"/>
      <c r="DQC7" s="28"/>
      <c r="DQD7" s="28"/>
      <c r="DQE7" s="28"/>
      <c r="DQF7" s="28"/>
      <c r="DQG7" s="28"/>
      <c r="DQH7" s="28"/>
      <c r="DQI7" s="28"/>
      <c r="DQJ7" s="28"/>
      <c r="DQK7" s="28"/>
      <c r="DQL7" s="28"/>
      <c r="DQM7" s="28"/>
      <c r="DQN7" s="28"/>
      <c r="DQO7" s="28"/>
      <c r="DQP7" s="28"/>
      <c r="DQQ7" s="28"/>
      <c r="DQR7" s="28"/>
      <c r="DQS7" s="28"/>
      <c r="DQT7" s="28"/>
      <c r="DQU7" s="28"/>
      <c r="DQV7" s="28"/>
      <c r="DQW7" s="28"/>
      <c r="DQX7" s="28"/>
      <c r="DQY7" s="28"/>
      <c r="DQZ7" s="28"/>
      <c r="DRA7" s="28"/>
      <c r="DRB7" s="28"/>
      <c r="DRC7" s="28"/>
      <c r="DRD7" s="28"/>
      <c r="DRE7" s="28"/>
      <c r="DRF7" s="28"/>
      <c r="DRG7" s="28"/>
      <c r="DRH7" s="28"/>
      <c r="DRI7" s="28"/>
      <c r="DRJ7" s="28"/>
      <c r="DRK7" s="28"/>
      <c r="DRL7" s="28"/>
      <c r="DRM7" s="28"/>
      <c r="DRN7" s="28"/>
      <c r="DRO7" s="28"/>
      <c r="DRP7" s="28"/>
      <c r="DRQ7" s="28"/>
      <c r="DRR7" s="28"/>
      <c r="DRS7" s="28"/>
      <c r="DRT7" s="28"/>
      <c r="DRU7" s="28"/>
      <c r="DRV7" s="28"/>
      <c r="DRW7" s="28"/>
      <c r="DRX7" s="28"/>
      <c r="DRY7" s="28"/>
      <c r="DRZ7" s="28"/>
      <c r="DSA7" s="28"/>
      <c r="DSB7" s="28"/>
      <c r="DSC7" s="28"/>
      <c r="DSD7" s="28"/>
      <c r="DSE7" s="28"/>
      <c r="DSF7" s="28"/>
      <c r="DSG7" s="28"/>
      <c r="DSH7" s="28"/>
      <c r="DSI7" s="28"/>
      <c r="DSJ7" s="28"/>
      <c r="DSK7" s="28"/>
      <c r="DSL7" s="28"/>
      <c r="DSM7" s="28"/>
      <c r="DSN7" s="28"/>
      <c r="DSO7" s="28"/>
      <c r="DSP7" s="28"/>
      <c r="DSQ7" s="28"/>
      <c r="DSR7" s="28"/>
      <c r="DSS7" s="28"/>
      <c r="DST7" s="28"/>
      <c r="DSU7" s="28"/>
      <c r="DSV7" s="28"/>
      <c r="DSW7" s="28"/>
      <c r="DSX7" s="28"/>
      <c r="DSY7" s="28"/>
      <c r="DSZ7" s="28"/>
      <c r="DTA7" s="28"/>
      <c r="DTB7" s="28"/>
      <c r="DTC7" s="28"/>
      <c r="DTD7" s="28"/>
      <c r="DTE7" s="28"/>
      <c r="DTF7" s="28"/>
      <c r="DTG7" s="28"/>
      <c r="DTH7" s="28"/>
      <c r="DTI7" s="28"/>
      <c r="DTJ7" s="28"/>
      <c r="DTK7" s="28"/>
      <c r="DTL7" s="28"/>
      <c r="DTM7" s="28"/>
      <c r="DTN7" s="28"/>
      <c r="DTO7" s="28"/>
      <c r="DTP7" s="28"/>
      <c r="DTQ7" s="28"/>
      <c r="DTR7" s="28"/>
      <c r="DTS7" s="28"/>
      <c r="DTT7" s="28"/>
      <c r="DTU7" s="28"/>
      <c r="DTV7" s="28"/>
      <c r="DTW7" s="28"/>
      <c r="DTX7" s="28"/>
      <c r="DTY7" s="28"/>
      <c r="DTZ7" s="28"/>
      <c r="DUA7" s="28"/>
      <c r="DUB7" s="28"/>
      <c r="DUC7" s="28"/>
      <c r="DUD7" s="28"/>
      <c r="DUE7" s="28"/>
      <c r="DUF7" s="28"/>
      <c r="DUG7" s="28"/>
      <c r="DUH7" s="28"/>
      <c r="DUI7" s="28"/>
      <c r="DUJ7" s="28"/>
      <c r="DUK7" s="28"/>
      <c r="DUL7" s="28"/>
      <c r="DUM7" s="28"/>
      <c r="DUN7" s="28"/>
      <c r="DUO7" s="28"/>
      <c r="DUP7" s="28"/>
      <c r="DUQ7" s="28"/>
      <c r="DUR7" s="28"/>
      <c r="DUS7" s="28"/>
      <c r="DUT7" s="28"/>
      <c r="DUU7" s="28"/>
      <c r="DUV7" s="28"/>
      <c r="DUW7" s="28"/>
      <c r="DUX7" s="28"/>
      <c r="DUY7" s="28"/>
      <c r="DUZ7" s="28"/>
      <c r="DVA7" s="28"/>
      <c r="DVB7" s="28"/>
      <c r="DVC7" s="28"/>
      <c r="DVD7" s="28"/>
      <c r="DVE7" s="28"/>
      <c r="DVF7" s="28"/>
      <c r="DVG7" s="28"/>
      <c r="DVH7" s="28"/>
      <c r="DVI7" s="28"/>
      <c r="DVJ7" s="28"/>
      <c r="DVK7" s="28"/>
      <c r="DVL7" s="28"/>
      <c r="DVM7" s="28"/>
      <c r="DVN7" s="28"/>
      <c r="DVO7" s="28"/>
      <c r="DVP7" s="28"/>
      <c r="DVQ7" s="28"/>
      <c r="DVR7" s="28"/>
      <c r="DVS7" s="28"/>
      <c r="DVT7" s="28"/>
      <c r="DVU7" s="28"/>
      <c r="DVV7" s="28"/>
      <c r="DVW7" s="28"/>
      <c r="DVX7" s="28"/>
      <c r="DVY7" s="28"/>
      <c r="DVZ7" s="28"/>
      <c r="DWA7" s="28"/>
      <c r="DWB7" s="28"/>
      <c r="DWC7" s="28"/>
      <c r="DWD7" s="28"/>
      <c r="DWE7" s="28"/>
      <c r="DWF7" s="28"/>
      <c r="DWG7" s="28"/>
      <c r="DWH7" s="28"/>
      <c r="DWI7" s="28"/>
      <c r="DWJ7" s="28"/>
      <c r="DWK7" s="28"/>
      <c r="DWL7" s="28"/>
      <c r="DWM7" s="28"/>
      <c r="DWN7" s="28"/>
      <c r="DWO7" s="28"/>
      <c r="DWP7" s="28"/>
      <c r="DWQ7" s="28"/>
      <c r="DWR7" s="28"/>
      <c r="DWS7" s="28"/>
      <c r="DWT7" s="28"/>
      <c r="DWU7" s="28"/>
      <c r="DWV7" s="28"/>
      <c r="DWW7" s="28"/>
      <c r="DWX7" s="28"/>
      <c r="DWY7" s="28"/>
      <c r="DWZ7" s="28"/>
      <c r="DXA7" s="28"/>
      <c r="DXB7" s="28"/>
      <c r="DXC7" s="28"/>
      <c r="DXD7" s="28"/>
      <c r="DXE7" s="28"/>
      <c r="DXF7" s="28"/>
      <c r="DXG7" s="28"/>
      <c r="DXH7" s="28"/>
      <c r="DXI7" s="28"/>
      <c r="DXJ7" s="28"/>
      <c r="DXK7" s="28"/>
      <c r="DXL7" s="28"/>
      <c r="DXM7" s="28"/>
      <c r="DXN7" s="28"/>
      <c r="DXO7" s="28"/>
      <c r="DXP7" s="28"/>
      <c r="DXQ7" s="28"/>
      <c r="DXR7" s="28"/>
      <c r="DXS7" s="28"/>
      <c r="DXT7" s="28"/>
      <c r="DXU7" s="28"/>
      <c r="DXV7" s="28"/>
      <c r="DXW7" s="28"/>
      <c r="DXX7" s="28"/>
      <c r="DXY7" s="28"/>
      <c r="DXZ7" s="28"/>
      <c r="DYA7" s="28"/>
      <c r="DYB7" s="28"/>
      <c r="DYC7" s="28"/>
      <c r="DYD7" s="28"/>
      <c r="DYE7" s="28"/>
      <c r="DYF7" s="28"/>
      <c r="DYG7" s="28"/>
      <c r="DYH7" s="28"/>
      <c r="DYI7" s="28"/>
      <c r="DYJ7" s="28"/>
      <c r="DYK7" s="28"/>
      <c r="DYL7" s="28"/>
      <c r="DYM7" s="28"/>
      <c r="DYN7" s="28"/>
      <c r="DYO7" s="28"/>
      <c r="DYP7" s="28"/>
      <c r="DYQ7" s="28"/>
      <c r="DYR7" s="28"/>
      <c r="DYS7" s="28"/>
      <c r="DYT7" s="28"/>
      <c r="DYU7" s="28"/>
      <c r="DYV7" s="28"/>
      <c r="DYW7" s="28"/>
      <c r="DYX7" s="28"/>
      <c r="DYY7" s="28"/>
      <c r="DYZ7" s="28"/>
      <c r="DZA7" s="28"/>
      <c r="DZB7" s="28"/>
      <c r="DZC7" s="28"/>
      <c r="DZD7" s="28"/>
      <c r="DZE7" s="28"/>
      <c r="DZF7" s="28"/>
      <c r="DZG7" s="28"/>
      <c r="DZH7" s="28"/>
      <c r="DZI7" s="28"/>
      <c r="DZJ7" s="28"/>
      <c r="DZK7" s="28"/>
      <c r="DZL7" s="28"/>
      <c r="DZM7" s="28"/>
      <c r="DZN7" s="28"/>
      <c r="DZO7" s="28"/>
      <c r="DZP7" s="28"/>
      <c r="DZQ7" s="28"/>
      <c r="DZR7" s="28"/>
      <c r="DZS7" s="28"/>
      <c r="DZT7" s="28"/>
      <c r="DZU7" s="28"/>
      <c r="DZV7" s="28"/>
      <c r="DZW7" s="28"/>
      <c r="DZX7" s="28"/>
      <c r="DZY7" s="28"/>
      <c r="DZZ7" s="28"/>
      <c r="EAA7" s="28"/>
      <c r="EAB7" s="28"/>
      <c r="EAC7" s="28"/>
      <c r="EAD7" s="28"/>
      <c r="EAE7" s="28"/>
      <c r="EAF7" s="28"/>
      <c r="EAG7" s="28"/>
      <c r="EAH7" s="28"/>
      <c r="EAI7" s="28"/>
      <c r="EAJ7" s="28"/>
      <c r="EAK7" s="28"/>
      <c r="EAL7" s="28"/>
      <c r="EAM7" s="28"/>
      <c r="EAN7" s="28"/>
      <c r="EAO7" s="28"/>
      <c r="EAP7" s="28"/>
      <c r="EAQ7" s="28"/>
      <c r="EAR7" s="28"/>
      <c r="EAS7" s="28"/>
      <c r="EAT7" s="28"/>
      <c r="EAU7" s="28"/>
      <c r="EAV7" s="28"/>
      <c r="EAW7" s="28"/>
      <c r="EAX7" s="28"/>
      <c r="EAY7" s="28"/>
      <c r="EAZ7" s="28"/>
      <c r="EBA7" s="28"/>
      <c r="EBB7" s="28"/>
      <c r="EBC7" s="28"/>
      <c r="EBD7" s="28"/>
      <c r="EBE7" s="28"/>
      <c r="EBF7" s="28"/>
      <c r="EBG7" s="28"/>
      <c r="EBH7" s="28"/>
      <c r="EBI7" s="28"/>
      <c r="EBJ7" s="28"/>
      <c r="EBK7" s="28"/>
      <c r="EBL7" s="28"/>
      <c r="EBM7" s="28"/>
      <c r="EBN7" s="28"/>
      <c r="EBO7" s="28"/>
      <c r="EBP7" s="28"/>
      <c r="EBQ7" s="28"/>
      <c r="EBR7" s="28"/>
      <c r="EBS7" s="28"/>
      <c r="EBT7" s="28"/>
      <c r="EBU7" s="28"/>
      <c r="EBV7" s="28"/>
      <c r="EBW7" s="28"/>
      <c r="EBX7" s="28"/>
      <c r="EBY7" s="28"/>
      <c r="EBZ7" s="28"/>
      <c r="ECA7" s="28"/>
      <c r="ECB7" s="28"/>
      <c r="ECC7" s="28"/>
      <c r="ECD7" s="28"/>
      <c r="ECE7" s="28"/>
      <c r="ECF7" s="28"/>
      <c r="ECG7" s="28"/>
      <c r="ECH7" s="28"/>
      <c r="ECI7" s="28"/>
      <c r="ECJ7" s="28"/>
      <c r="ECK7" s="28"/>
      <c r="ECL7" s="28"/>
      <c r="ECM7" s="28"/>
      <c r="ECN7" s="28"/>
      <c r="ECO7" s="28"/>
      <c r="ECP7" s="28"/>
      <c r="ECQ7" s="28"/>
      <c r="ECR7" s="28"/>
      <c r="ECS7" s="28"/>
      <c r="ECT7" s="28"/>
      <c r="ECU7" s="28"/>
      <c r="ECV7" s="28"/>
      <c r="ECW7" s="28"/>
      <c r="ECX7" s="28"/>
      <c r="ECY7" s="28"/>
      <c r="ECZ7" s="28"/>
      <c r="EDA7" s="28"/>
      <c r="EDB7" s="28"/>
      <c r="EDC7" s="28"/>
      <c r="EDD7" s="28"/>
      <c r="EDE7" s="28"/>
      <c r="EDF7" s="28"/>
      <c r="EDG7" s="28"/>
      <c r="EDH7" s="28"/>
      <c r="EDI7" s="28"/>
      <c r="EDJ7" s="28"/>
      <c r="EDK7" s="28"/>
      <c r="EDL7" s="28"/>
      <c r="EDM7" s="28"/>
      <c r="EDN7" s="28"/>
      <c r="EDO7" s="28"/>
      <c r="EDP7" s="28"/>
      <c r="EDQ7" s="28"/>
      <c r="EDR7" s="28"/>
      <c r="EDS7" s="28"/>
      <c r="EDT7" s="28"/>
      <c r="EDU7" s="28"/>
      <c r="EDV7" s="28"/>
      <c r="EDW7" s="28"/>
      <c r="EDX7" s="28"/>
      <c r="EDY7" s="28"/>
      <c r="EDZ7" s="28"/>
      <c r="EEA7" s="28"/>
      <c r="EEB7" s="28"/>
      <c r="EEC7" s="28"/>
      <c r="EED7" s="28"/>
      <c r="EEE7" s="28"/>
      <c r="EEF7" s="28"/>
      <c r="EEG7" s="28"/>
      <c r="EEH7" s="28"/>
      <c r="EEI7" s="28"/>
      <c r="EEJ7" s="28"/>
      <c r="EEK7" s="28"/>
      <c r="EEL7" s="28"/>
      <c r="EEM7" s="28"/>
      <c r="EEN7" s="28"/>
      <c r="EEO7" s="28"/>
      <c r="EEP7" s="28"/>
      <c r="EEQ7" s="28"/>
      <c r="EER7" s="28"/>
      <c r="EES7" s="28"/>
      <c r="EET7" s="28"/>
      <c r="EEU7" s="28"/>
      <c r="EEV7" s="28"/>
      <c r="EEW7" s="28"/>
      <c r="EEX7" s="28"/>
      <c r="EEY7" s="28"/>
      <c r="EEZ7" s="28"/>
      <c r="EFA7" s="28"/>
      <c r="EFB7" s="28"/>
      <c r="EFC7" s="28"/>
      <c r="EFD7" s="28"/>
      <c r="EFE7" s="28"/>
      <c r="EFF7" s="28"/>
      <c r="EFG7" s="28"/>
      <c r="EFH7" s="28"/>
      <c r="EFI7" s="28"/>
      <c r="EFJ7" s="28"/>
      <c r="EFK7" s="28"/>
      <c r="EFL7" s="28"/>
      <c r="EFM7" s="28"/>
      <c r="EFN7" s="28"/>
      <c r="EFO7" s="28"/>
      <c r="EFP7" s="28"/>
      <c r="EFQ7" s="28"/>
      <c r="EFR7" s="28"/>
      <c r="EFS7" s="28"/>
      <c r="EFT7" s="28"/>
      <c r="EFU7" s="28"/>
      <c r="EFV7" s="28"/>
      <c r="EFW7" s="28"/>
      <c r="EFX7" s="28"/>
      <c r="EFY7" s="28"/>
      <c r="EFZ7" s="28"/>
      <c r="EGA7" s="28"/>
      <c r="EGB7" s="28"/>
      <c r="EGC7" s="28"/>
      <c r="EGD7" s="28"/>
      <c r="EGE7" s="28"/>
      <c r="EGF7" s="28"/>
      <c r="EGG7" s="28"/>
      <c r="EGH7" s="28"/>
      <c r="EGI7" s="28"/>
      <c r="EGJ7" s="28"/>
      <c r="EGK7" s="28"/>
      <c r="EGL7" s="28"/>
      <c r="EGM7" s="28"/>
      <c r="EGN7" s="28"/>
      <c r="EGO7" s="28"/>
      <c r="EGP7" s="28"/>
      <c r="EGQ7" s="28"/>
      <c r="EGR7" s="28"/>
      <c r="EGS7" s="28"/>
      <c r="EGT7" s="28"/>
      <c r="EGU7" s="28"/>
      <c r="EGV7" s="28"/>
      <c r="EGW7" s="28"/>
      <c r="EGX7" s="28"/>
      <c r="EGY7" s="28"/>
      <c r="EGZ7" s="28"/>
      <c r="EHA7" s="28"/>
      <c r="EHB7" s="28"/>
      <c r="EHC7" s="28"/>
      <c r="EHD7" s="28"/>
      <c r="EHE7" s="28"/>
      <c r="EHF7" s="28"/>
      <c r="EHG7" s="28"/>
      <c r="EHH7" s="28"/>
      <c r="EHI7" s="28"/>
      <c r="EHJ7" s="28"/>
      <c r="EHK7" s="28"/>
      <c r="EHL7" s="28"/>
      <c r="EHM7" s="28"/>
      <c r="EHN7" s="28"/>
      <c r="EHO7" s="28"/>
      <c r="EHP7" s="28"/>
      <c r="EHQ7" s="28"/>
      <c r="EHR7" s="28"/>
      <c r="EHS7" s="28"/>
      <c r="EHT7" s="28"/>
      <c r="EHU7" s="28"/>
      <c r="EHV7" s="28"/>
      <c r="EHW7" s="28"/>
      <c r="EHX7" s="28"/>
      <c r="EHY7" s="28"/>
      <c r="EHZ7" s="28"/>
      <c r="EIA7" s="28"/>
      <c r="EIB7" s="28"/>
      <c r="EIC7" s="28"/>
      <c r="EID7" s="28"/>
      <c r="EIE7" s="28"/>
      <c r="EIF7" s="28"/>
      <c r="EIG7" s="28"/>
      <c r="EIH7" s="28"/>
      <c r="EII7" s="28"/>
      <c r="EIJ7" s="28"/>
      <c r="EIK7" s="28"/>
      <c r="EIL7" s="28"/>
      <c r="EIM7" s="28"/>
      <c r="EIN7" s="28"/>
      <c r="EIO7" s="28"/>
      <c r="EIP7" s="28"/>
      <c r="EIQ7" s="28"/>
      <c r="EIR7" s="28"/>
      <c r="EIS7" s="28"/>
      <c r="EIT7" s="28"/>
      <c r="EIU7" s="28"/>
      <c r="EIV7" s="28"/>
      <c r="EIW7" s="28"/>
      <c r="EIX7" s="28"/>
      <c r="EIY7" s="28"/>
      <c r="EIZ7" s="28"/>
      <c r="EJA7" s="28"/>
      <c r="EJB7" s="28"/>
      <c r="EJC7" s="28"/>
      <c r="EJD7" s="28"/>
      <c r="EJE7" s="28"/>
      <c r="EJF7" s="28"/>
      <c r="EJG7" s="28"/>
      <c r="EJH7" s="28"/>
      <c r="EJI7" s="28"/>
      <c r="EJJ7" s="28"/>
      <c r="EJK7" s="28"/>
      <c r="EJL7" s="28"/>
      <c r="EJM7" s="28"/>
      <c r="EJN7" s="28"/>
      <c r="EJO7" s="28"/>
      <c r="EJP7" s="28"/>
      <c r="EJQ7" s="28"/>
      <c r="EJR7" s="28"/>
      <c r="EJS7" s="28"/>
      <c r="EJT7" s="28"/>
      <c r="EJU7" s="28"/>
      <c r="EJV7" s="28"/>
      <c r="EJW7" s="28"/>
      <c r="EJX7" s="28"/>
      <c r="EJY7" s="28"/>
      <c r="EJZ7" s="28"/>
      <c r="EKA7" s="28"/>
      <c r="EKB7" s="28"/>
      <c r="EKC7" s="28"/>
      <c r="EKD7" s="28"/>
      <c r="EKE7" s="28"/>
      <c r="EKF7" s="28"/>
      <c r="EKG7" s="28"/>
      <c r="EKH7" s="28"/>
      <c r="EKI7" s="28"/>
      <c r="EKJ7" s="28"/>
      <c r="EKK7" s="28"/>
      <c r="EKL7" s="28"/>
      <c r="EKM7" s="28"/>
      <c r="EKN7" s="28"/>
      <c r="EKO7" s="28"/>
      <c r="EKP7" s="28"/>
      <c r="EKQ7" s="28"/>
      <c r="EKR7" s="28"/>
      <c r="EKS7" s="28"/>
      <c r="EKT7" s="28"/>
      <c r="EKU7" s="28"/>
      <c r="EKV7" s="28"/>
      <c r="EKW7" s="28"/>
      <c r="EKX7" s="28"/>
      <c r="EKY7" s="28"/>
      <c r="EKZ7" s="28"/>
      <c r="ELA7" s="28"/>
      <c r="ELB7" s="28"/>
      <c r="ELC7" s="28"/>
      <c r="ELD7" s="28"/>
      <c r="ELE7" s="28"/>
      <c r="ELF7" s="28"/>
      <c r="ELG7" s="28"/>
      <c r="ELH7" s="28"/>
      <c r="ELI7" s="28"/>
      <c r="ELJ7" s="28"/>
      <c r="ELK7" s="28"/>
      <c r="ELL7" s="28"/>
      <c r="ELM7" s="28"/>
      <c r="ELN7" s="28"/>
      <c r="ELO7" s="28"/>
      <c r="ELP7" s="28"/>
      <c r="ELQ7" s="28"/>
      <c r="ELR7" s="28"/>
      <c r="ELS7" s="28"/>
      <c r="ELT7" s="28"/>
      <c r="ELU7" s="28"/>
      <c r="ELV7" s="28"/>
      <c r="ELW7" s="28"/>
      <c r="ELX7" s="28"/>
      <c r="ELY7" s="28"/>
      <c r="ELZ7" s="28"/>
      <c r="EMA7" s="28"/>
      <c r="EMB7" s="28"/>
      <c r="EMC7" s="28"/>
      <c r="EMD7" s="28"/>
      <c r="EME7" s="28"/>
      <c r="EMF7" s="28"/>
      <c r="EMG7" s="28"/>
      <c r="EMH7" s="28"/>
      <c r="EMI7" s="28"/>
      <c r="EMJ7" s="28"/>
      <c r="EMK7" s="28"/>
      <c r="EML7" s="28"/>
      <c r="EMM7" s="28"/>
      <c r="EMN7" s="28"/>
      <c r="EMO7" s="28"/>
      <c r="EMP7" s="28"/>
      <c r="EMQ7" s="28"/>
      <c r="EMR7" s="28"/>
      <c r="EMS7" s="28"/>
      <c r="EMT7" s="28"/>
      <c r="EMU7" s="28"/>
      <c r="EMV7" s="28"/>
      <c r="EMW7" s="28"/>
      <c r="EMX7" s="28"/>
      <c r="EMY7" s="28"/>
      <c r="EMZ7" s="28"/>
      <c r="ENA7" s="28"/>
      <c r="ENB7" s="28"/>
      <c r="ENC7" s="28"/>
      <c r="END7" s="28"/>
      <c r="ENE7" s="28"/>
      <c r="ENF7" s="28"/>
      <c r="ENG7" s="28"/>
      <c r="ENH7" s="28"/>
      <c r="ENI7" s="28"/>
      <c r="ENJ7" s="28"/>
      <c r="ENK7" s="28"/>
      <c r="ENL7" s="28"/>
      <c r="ENM7" s="28"/>
      <c r="ENN7" s="28"/>
      <c r="ENO7" s="28"/>
      <c r="ENP7" s="28"/>
      <c r="ENQ7" s="28"/>
      <c r="ENR7" s="28"/>
      <c r="ENS7" s="28"/>
      <c r="ENT7" s="28"/>
      <c r="ENU7" s="28"/>
      <c r="ENV7" s="28"/>
      <c r="ENW7" s="28"/>
      <c r="ENX7" s="28"/>
      <c r="ENY7" s="28"/>
      <c r="ENZ7" s="28"/>
      <c r="EOA7" s="28"/>
      <c r="EOB7" s="28"/>
      <c r="EOC7" s="28"/>
      <c r="EOD7" s="28"/>
      <c r="EOE7" s="28"/>
      <c r="EOF7" s="28"/>
      <c r="EOG7" s="28"/>
      <c r="EOH7" s="28"/>
      <c r="EOI7" s="28"/>
      <c r="EOJ7" s="28"/>
      <c r="EOK7" s="28"/>
      <c r="EOL7" s="28"/>
      <c r="EOM7" s="28"/>
      <c r="EON7" s="28"/>
      <c r="EOO7" s="28"/>
      <c r="EOP7" s="28"/>
      <c r="EOQ7" s="28"/>
      <c r="EOR7" s="28"/>
      <c r="EOS7" s="28"/>
      <c r="EOT7" s="28"/>
      <c r="EOU7" s="28"/>
      <c r="EOV7" s="28"/>
      <c r="EOW7" s="28"/>
      <c r="EOX7" s="28"/>
      <c r="EOY7" s="28"/>
      <c r="EOZ7" s="28"/>
      <c r="EPA7" s="28"/>
      <c r="EPB7" s="28"/>
      <c r="EPC7" s="28"/>
      <c r="EPD7" s="28"/>
      <c r="EPE7" s="28"/>
      <c r="EPF7" s="28"/>
      <c r="EPG7" s="28"/>
      <c r="EPH7" s="28"/>
      <c r="EPI7" s="28"/>
      <c r="EPJ7" s="28"/>
      <c r="EPK7" s="28"/>
      <c r="EPL7" s="28"/>
      <c r="EPM7" s="28"/>
      <c r="EPN7" s="28"/>
      <c r="EPO7" s="28"/>
      <c r="EPP7" s="28"/>
      <c r="EPQ7" s="28"/>
      <c r="EPR7" s="28"/>
      <c r="EPS7" s="28"/>
      <c r="EPT7" s="28"/>
      <c r="EPU7" s="28"/>
      <c r="EPV7" s="28"/>
      <c r="EPW7" s="28"/>
      <c r="EPX7" s="28"/>
      <c r="EPY7" s="28"/>
      <c r="EPZ7" s="28"/>
      <c r="EQA7" s="28"/>
      <c r="EQB7" s="28"/>
      <c r="EQC7" s="28"/>
      <c r="EQD7" s="28"/>
      <c r="EQE7" s="28"/>
      <c r="EQF7" s="28"/>
      <c r="EQG7" s="28"/>
      <c r="EQH7" s="28"/>
      <c r="EQI7" s="28"/>
      <c r="EQJ7" s="28"/>
      <c r="EQK7" s="28"/>
      <c r="EQL7" s="28"/>
      <c r="EQM7" s="28"/>
      <c r="EQN7" s="28"/>
      <c r="EQO7" s="28"/>
      <c r="EQP7" s="28"/>
      <c r="EQQ7" s="28"/>
      <c r="EQR7" s="28"/>
      <c r="EQS7" s="28"/>
      <c r="EQT7" s="28"/>
      <c r="EQU7" s="28"/>
      <c r="EQV7" s="28"/>
      <c r="EQW7" s="28"/>
      <c r="EQX7" s="28"/>
      <c r="EQY7" s="28"/>
      <c r="EQZ7" s="28"/>
      <c r="ERA7" s="28"/>
      <c r="ERB7" s="28"/>
      <c r="ERC7" s="28"/>
      <c r="ERD7" s="28"/>
      <c r="ERE7" s="28"/>
      <c r="ERF7" s="28"/>
      <c r="ERG7" s="28"/>
      <c r="ERH7" s="28"/>
      <c r="ERI7" s="28"/>
      <c r="ERJ7" s="28"/>
      <c r="ERK7" s="28"/>
      <c r="ERL7" s="28"/>
      <c r="ERM7" s="28"/>
      <c r="ERN7" s="28"/>
      <c r="ERO7" s="28"/>
      <c r="ERP7" s="28"/>
      <c r="ERQ7" s="28"/>
      <c r="ERR7" s="28"/>
      <c r="ERS7" s="28"/>
      <c r="ERT7" s="28"/>
      <c r="ERU7" s="28"/>
      <c r="ERV7" s="28"/>
      <c r="ERW7" s="28"/>
      <c r="ERX7" s="28"/>
      <c r="ERY7" s="28"/>
      <c r="ERZ7" s="28"/>
      <c r="ESA7" s="28"/>
      <c r="ESB7" s="28"/>
      <c r="ESC7" s="28"/>
      <c r="ESD7" s="28"/>
      <c r="ESE7" s="28"/>
      <c r="ESF7" s="28"/>
      <c r="ESG7" s="28"/>
      <c r="ESH7" s="28"/>
      <c r="ESI7" s="28"/>
      <c r="ESJ7" s="28"/>
      <c r="ESK7" s="28"/>
      <c r="ESL7" s="28"/>
      <c r="ESM7" s="28"/>
      <c r="ESN7" s="28"/>
      <c r="ESO7" s="28"/>
      <c r="ESP7" s="28"/>
      <c r="ESQ7" s="28"/>
      <c r="ESR7" s="28"/>
      <c r="ESS7" s="28"/>
      <c r="EST7" s="28"/>
      <c r="ESU7" s="28"/>
      <c r="ESV7" s="28"/>
      <c r="ESW7" s="28"/>
      <c r="ESX7" s="28"/>
      <c r="ESY7" s="28"/>
      <c r="ESZ7" s="28"/>
      <c r="ETA7" s="28"/>
      <c r="ETB7" s="28"/>
      <c r="ETC7" s="28"/>
      <c r="ETD7" s="28"/>
      <c r="ETE7" s="28"/>
      <c r="ETF7" s="28"/>
      <c r="ETG7" s="28"/>
      <c r="ETH7" s="28"/>
      <c r="ETI7" s="28"/>
      <c r="ETJ7" s="28"/>
      <c r="ETK7" s="28"/>
      <c r="ETL7" s="28"/>
      <c r="ETM7" s="28"/>
      <c r="ETN7" s="28"/>
      <c r="ETO7" s="28"/>
      <c r="ETP7" s="28"/>
      <c r="ETQ7" s="28"/>
      <c r="ETR7" s="28"/>
      <c r="ETS7" s="28"/>
      <c r="ETT7" s="28"/>
      <c r="ETU7" s="28"/>
      <c r="ETV7" s="28"/>
      <c r="ETW7" s="28"/>
      <c r="ETX7" s="28"/>
      <c r="ETY7" s="28"/>
      <c r="ETZ7" s="28"/>
      <c r="EUA7" s="28"/>
      <c r="EUB7" s="28"/>
      <c r="EUC7" s="28"/>
      <c r="EUD7" s="28"/>
      <c r="EUE7" s="28"/>
      <c r="EUF7" s="28"/>
      <c r="EUG7" s="28"/>
      <c r="EUH7" s="28"/>
      <c r="EUI7" s="28"/>
      <c r="EUJ7" s="28"/>
      <c r="EUK7" s="28"/>
      <c r="EUL7" s="28"/>
      <c r="EUM7" s="28"/>
      <c r="EUN7" s="28"/>
      <c r="EUO7" s="28"/>
      <c r="EUP7" s="28"/>
      <c r="EUQ7" s="28"/>
      <c r="EUR7" s="28"/>
      <c r="EUS7" s="28"/>
      <c r="EUT7" s="28"/>
      <c r="EUU7" s="28"/>
      <c r="EUV7" s="28"/>
      <c r="EUW7" s="28"/>
      <c r="EUX7" s="28"/>
      <c r="EUY7" s="28"/>
      <c r="EUZ7" s="28"/>
      <c r="EVA7" s="28"/>
      <c r="EVB7" s="28"/>
      <c r="EVC7" s="28"/>
      <c r="EVD7" s="28"/>
      <c r="EVE7" s="28"/>
      <c r="EVF7" s="28"/>
      <c r="EVG7" s="28"/>
      <c r="EVH7" s="28"/>
      <c r="EVI7" s="28"/>
      <c r="EVJ7" s="28"/>
      <c r="EVK7" s="28"/>
      <c r="EVL7" s="28"/>
      <c r="EVM7" s="28"/>
      <c r="EVN7" s="28"/>
      <c r="EVO7" s="28"/>
      <c r="EVP7" s="28"/>
      <c r="EVQ7" s="28"/>
      <c r="EVR7" s="28"/>
      <c r="EVS7" s="28"/>
      <c r="EVT7" s="28"/>
      <c r="EVU7" s="28"/>
      <c r="EVV7" s="28"/>
      <c r="EVW7" s="28"/>
      <c r="EVX7" s="28"/>
      <c r="EVY7" s="28"/>
      <c r="EVZ7" s="28"/>
      <c r="EWA7" s="28"/>
      <c r="EWB7" s="28"/>
      <c r="EWC7" s="28"/>
      <c r="EWD7" s="28"/>
      <c r="EWE7" s="28"/>
      <c r="EWF7" s="28"/>
      <c r="EWG7" s="28"/>
      <c r="EWH7" s="28"/>
      <c r="EWI7" s="28"/>
      <c r="EWJ7" s="28"/>
      <c r="EWK7" s="28"/>
      <c r="EWL7" s="28"/>
      <c r="EWM7" s="28"/>
      <c r="EWN7" s="28"/>
      <c r="EWO7" s="28"/>
      <c r="EWP7" s="28"/>
      <c r="EWQ7" s="28"/>
      <c r="EWR7" s="28"/>
      <c r="EWS7" s="28"/>
      <c r="EWT7" s="28"/>
      <c r="EWU7" s="28"/>
      <c r="EWV7" s="28"/>
      <c r="EWW7" s="28"/>
      <c r="EWX7" s="28"/>
      <c r="EWY7" s="28"/>
      <c r="EWZ7" s="28"/>
      <c r="EXA7" s="28"/>
      <c r="EXB7" s="28"/>
      <c r="EXC7" s="28"/>
      <c r="EXD7" s="28"/>
      <c r="EXE7" s="28"/>
      <c r="EXF7" s="28"/>
      <c r="EXG7" s="28"/>
      <c r="EXH7" s="28"/>
      <c r="EXI7" s="28"/>
      <c r="EXJ7" s="28"/>
      <c r="EXK7" s="28"/>
      <c r="EXL7" s="28"/>
      <c r="EXM7" s="28"/>
      <c r="EXN7" s="28"/>
      <c r="EXO7" s="28"/>
      <c r="EXP7" s="28"/>
      <c r="EXQ7" s="28"/>
      <c r="EXR7" s="28"/>
      <c r="EXS7" s="28"/>
      <c r="EXT7" s="28"/>
      <c r="EXU7" s="28"/>
      <c r="EXV7" s="28"/>
      <c r="EXW7" s="28"/>
      <c r="EXX7" s="28"/>
      <c r="EXY7" s="28"/>
      <c r="EXZ7" s="28"/>
      <c r="EYA7" s="28"/>
      <c r="EYB7" s="28"/>
      <c r="EYC7" s="28"/>
      <c r="EYD7" s="28"/>
      <c r="EYE7" s="28"/>
      <c r="EYF7" s="28"/>
      <c r="EYG7" s="28"/>
      <c r="EYH7" s="28"/>
      <c r="EYI7" s="28"/>
      <c r="EYJ7" s="28"/>
      <c r="EYK7" s="28"/>
      <c r="EYL7" s="28"/>
      <c r="EYM7" s="28"/>
      <c r="EYN7" s="28"/>
      <c r="EYO7" s="28"/>
      <c r="EYP7" s="28"/>
      <c r="EYQ7" s="28"/>
      <c r="EYR7" s="28"/>
      <c r="EYS7" s="28"/>
      <c r="EYT7" s="28"/>
      <c r="EYU7" s="28"/>
      <c r="EYV7" s="28"/>
      <c r="EYW7" s="28"/>
      <c r="EYX7" s="28"/>
      <c r="EYY7" s="28"/>
      <c r="EYZ7" s="28"/>
      <c r="EZA7" s="28"/>
      <c r="EZB7" s="28"/>
      <c r="EZC7" s="28"/>
      <c r="EZD7" s="28"/>
      <c r="EZE7" s="28"/>
      <c r="EZF7" s="28"/>
      <c r="EZG7" s="28"/>
      <c r="EZH7" s="28"/>
      <c r="EZI7" s="28"/>
      <c r="EZJ7" s="28"/>
      <c r="EZK7" s="28"/>
      <c r="EZL7" s="28"/>
      <c r="EZM7" s="28"/>
      <c r="EZN7" s="28"/>
      <c r="EZO7" s="28"/>
      <c r="EZP7" s="28"/>
      <c r="EZQ7" s="28"/>
      <c r="EZR7" s="28"/>
      <c r="EZS7" s="28"/>
      <c r="EZT7" s="28"/>
      <c r="EZU7" s="28"/>
      <c r="EZV7" s="28"/>
      <c r="EZW7" s="28"/>
      <c r="EZX7" s="28"/>
      <c r="EZY7" s="28"/>
      <c r="EZZ7" s="28"/>
      <c r="FAA7" s="28"/>
      <c r="FAB7" s="28"/>
      <c r="FAC7" s="28"/>
      <c r="FAD7" s="28"/>
      <c r="FAE7" s="28"/>
      <c r="FAF7" s="28"/>
      <c r="FAG7" s="28"/>
      <c r="FAH7" s="28"/>
      <c r="FAI7" s="28"/>
      <c r="FAJ7" s="28"/>
      <c r="FAK7" s="28"/>
      <c r="FAL7" s="28"/>
      <c r="FAM7" s="28"/>
      <c r="FAN7" s="28"/>
      <c r="FAO7" s="28"/>
      <c r="FAP7" s="28"/>
      <c r="FAQ7" s="28"/>
      <c r="FAR7" s="28"/>
      <c r="FAS7" s="28"/>
      <c r="FAT7" s="28"/>
      <c r="FAU7" s="28"/>
      <c r="FAV7" s="28"/>
      <c r="FAW7" s="28"/>
      <c r="FAX7" s="28"/>
      <c r="FAY7" s="28"/>
      <c r="FAZ7" s="28"/>
      <c r="FBA7" s="28"/>
      <c r="FBB7" s="28"/>
      <c r="FBC7" s="28"/>
      <c r="FBD7" s="28"/>
      <c r="FBE7" s="28"/>
      <c r="FBF7" s="28"/>
      <c r="FBG7" s="28"/>
      <c r="FBH7" s="28"/>
      <c r="FBI7" s="28"/>
      <c r="FBJ7" s="28"/>
      <c r="FBK7" s="28"/>
      <c r="FBL7" s="28"/>
      <c r="FBM7" s="28"/>
      <c r="FBN7" s="28"/>
      <c r="FBO7" s="28"/>
      <c r="FBP7" s="28"/>
      <c r="FBQ7" s="28"/>
      <c r="FBR7" s="28"/>
      <c r="FBS7" s="28"/>
      <c r="FBT7" s="28"/>
      <c r="FBU7" s="28"/>
      <c r="FBV7" s="28"/>
      <c r="FBW7" s="28"/>
      <c r="FBX7" s="28"/>
      <c r="FBY7" s="28"/>
      <c r="FBZ7" s="28"/>
      <c r="FCA7" s="28"/>
      <c r="FCB7" s="28"/>
      <c r="FCC7" s="28"/>
      <c r="FCD7" s="28"/>
      <c r="FCE7" s="28"/>
      <c r="FCF7" s="28"/>
      <c r="FCG7" s="28"/>
      <c r="FCH7" s="28"/>
      <c r="FCI7" s="28"/>
      <c r="FCJ7" s="28"/>
      <c r="FCK7" s="28"/>
      <c r="FCL7" s="28"/>
      <c r="FCM7" s="28"/>
      <c r="FCN7" s="28"/>
      <c r="FCO7" s="28"/>
      <c r="FCP7" s="28"/>
      <c r="FCQ7" s="28"/>
      <c r="FCR7" s="28"/>
      <c r="FCS7" s="28"/>
      <c r="FCT7" s="28"/>
      <c r="FCU7" s="28"/>
      <c r="FCV7" s="28"/>
      <c r="FCW7" s="28"/>
      <c r="FCX7" s="28"/>
      <c r="FCY7" s="28"/>
      <c r="FCZ7" s="28"/>
      <c r="FDA7" s="28"/>
      <c r="FDB7" s="28"/>
      <c r="FDC7" s="28"/>
      <c r="FDD7" s="28"/>
      <c r="FDE7" s="28"/>
      <c r="FDF7" s="28"/>
      <c r="FDG7" s="28"/>
      <c r="FDH7" s="28"/>
      <c r="FDI7" s="28"/>
      <c r="FDJ7" s="28"/>
      <c r="FDK7" s="28"/>
      <c r="FDL7" s="28"/>
      <c r="FDM7" s="28"/>
      <c r="FDN7" s="28"/>
      <c r="FDO7" s="28"/>
      <c r="FDP7" s="28"/>
      <c r="FDQ7" s="28"/>
      <c r="FDR7" s="28"/>
      <c r="FDS7" s="28"/>
      <c r="FDT7" s="28"/>
      <c r="FDU7" s="28"/>
      <c r="FDV7" s="28"/>
      <c r="FDW7" s="28"/>
      <c r="FDX7" s="28"/>
      <c r="FDY7" s="28"/>
      <c r="FDZ7" s="28"/>
      <c r="FEA7" s="28"/>
      <c r="FEB7" s="28"/>
      <c r="FEC7" s="28"/>
      <c r="FED7" s="28"/>
      <c r="FEE7" s="28"/>
      <c r="FEF7" s="28"/>
      <c r="FEG7" s="28"/>
      <c r="FEH7" s="28"/>
      <c r="FEI7" s="28"/>
      <c r="FEJ7" s="28"/>
      <c r="FEK7" s="28"/>
      <c r="FEL7" s="28"/>
      <c r="FEM7" s="28"/>
      <c r="FEN7" s="28"/>
      <c r="FEO7" s="28"/>
      <c r="FEP7" s="28"/>
      <c r="FEQ7" s="28"/>
      <c r="FER7" s="28"/>
      <c r="FES7" s="28"/>
      <c r="FET7" s="28"/>
      <c r="FEU7" s="28"/>
      <c r="FEV7" s="28"/>
      <c r="FEW7" s="28"/>
      <c r="FEX7" s="28"/>
      <c r="FEY7" s="28"/>
      <c r="FEZ7" s="28"/>
      <c r="FFA7" s="28"/>
      <c r="FFB7" s="28"/>
      <c r="FFC7" s="28"/>
      <c r="FFD7" s="28"/>
      <c r="FFE7" s="28"/>
      <c r="FFF7" s="28"/>
      <c r="FFG7" s="28"/>
      <c r="FFH7" s="28"/>
      <c r="FFI7" s="28"/>
      <c r="FFJ7" s="28"/>
      <c r="FFK7" s="28"/>
      <c r="FFL7" s="28"/>
      <c r="FFM7" s="28"/>
      <c r="FFN7" s="28"/>
      <c r="FFO7" s="28"/>
      <c r="FFP7" s="28"/>
      <c r="FFQ7" s="28"/>
      <c r="FFR7" s="28"/>
      <c r="FFS7" s="28"/>
      <c r="FFT7" s="28"/>
      <c r="FFU7" s="28"/>
      <c r="FFV7" s="28"/>
      <c r="FFW7" s="28"/>
      <c r="FFX7" s="28"/>
      <c r="FFY7" s="28"/>
      <c r="FFZ7" s="28"/>
      <c r="FGA7" s="28"/>
      <c r="FGB7" s="28"/>
      <c r="FGC7" s="28"/>
      <c r="FGD7" s="28"/>
      <c r="FGE7" s="28"/>
      <c r="FGF7" s="28"/>
      <c r="FGG7" s="28"/>
      <c r="FGH7" s="28"/>
      <c r="FGI7" s="28"/>
      <c r="FGJ7" s="28"/>
      <c r="FGK7" s="28"/>
      <c r="FGL7" s="28"/>
      <c r="FGM7" s="28"/>
      <c r="FGN7" s="28"/>
      <c r="FGO7" s="28"/>
      <c r="FGP7" s="28"/>
      <c r="FGQ7" s="28"/>
      <c r="FGR7" s="28"/>
      <c r="FGS7" s="28"/>
      <c r="FGT7" s="28"/>
      <c r="FGU7" s="28"/>
      <c r="FGV7" s="28"/>
      <c r="FGW7" s="28"/>
      <c r="FGX7" s="28"/>
      <c r="FGY7" s="28"/>
      <c r="FGZ7" s="28"/>
      <c r="FHA7" s="28"/>
      <c r="FHB7" s="28"/>
      <c r="FHC7" s="28"/>
      <c r="FHD7" s="28"/>
      <c r="FHE7" s="28"/>
      <c r="FHF7" s="28"/>
      <c r="FHG7" s="28"/>
      <c r="FHH7" s="28"/>
      <c r="FHI7" s="28"/>
      <c r="FHJ7" s="28"/>
      <c r="FHK7" s="28"/>
      <c r="FHL7" s="28"/>
      <c r="FHM7" s="28"/>
      <c r="FHN7" s="28"/>
      <c r="FHO7" s="28"/>
      <c r="FHP7" s="28"/>
      <c r="FHQ7" s="28"/>
      <c r="FHR7" s="28"/>
      <c r="FHS7" s="28"/>
      <c r="FHT7" s="28"/>
      <c r="FHU7" s="28"/>
      <c r="FHV7" s="28"/>
      <c r="FHW7" s="28"/>
      <c r="FHX7" s="28"/>
      <c r="FHY7" s="28"/>
      <c r="FHZ7" s="28"/>
      <c r="FIA7" s="28"/>
      <c r="FIB7" s="28"/>
      <c r="FIC7" s="28"/>
      <c r="FID7" s="28"/>
      <c r="FIE7" s="28"/>
      <c r="FIF7" s="28"/>
      <c r="FIG7" s="28"/>
      <c r="FIH7" s="28"/>
      <c r="FII7" s="28"/>
      <c r="FIJ7" s="28"/>
      <c r="FIK7" s="28"/>
      <c r="FIL7" s="28"/>
      <c r="FIM7" s="28"/>
      <c r="FIN7" s="28"/>
      <c r="FIO7" s="28"/>
      <c r="FIP7" s="28"/>
      <c r="FIQ7" s="28"/>
      <c r="FIR7" s="28"/>
      <c r="FIS7" s="28"/>
      <c r="FIT7" s="28"/>
      <c r="FIU7" s="28"/>
      <c r="FIV7" s="28"/>
      <c r="FIW7" s="28"/>
      <c r="FIX7" s="28"/>
      <c r="FIY7" s="28"/>
      <c r="FIZ7" s="28"/>
      <c r="FJA7" s="28"/>
      <c r="FJB7" s="28"/>
      <c r="FJC7" s="28"/>
      <c r="FJD7" s="28"/>
      <c r="FJE7" s="28"/>
      <c r="FJF7" s="28"/>
      <c r="FJG7" s="28"/>
      <c r="FJH7" s="28"/>
      <c r="FJI7" s="28"/>
      <c r="FJJ7" s="28"/>
      <c r="FJK7" s="28"/>
      <c r="FJL7" s="28"/>
      <c r="FJM7" s="28"/>
      <c r="FJN7" s="28"/>
      <c r="FJO7" s="28"/>
      <c r="FJP7" s="28"/>
      <c r="FJQ7" s="28"/>
      <c r="FJR7" s="28"/>
      <c r="FJS7" s="28"/>
      <c r="FJT7" s="28"/>
      <c r="FJU7" s="28"/>
      <c r="FJV7" s="28"/>
      <c r="FJW7" s="28"/>
      <c r="FJX7" s="28"/>
      <c r="FJY7" s="28"/>
      <c r="FJZ7" s="28"/>
      <c r="FKA7" s="28"/>
      <c r="FKB7" s="28"/>
      <c r="FKC7" s="28"/>
      <c r="FKD7" s="28"/>
      <c r="FKE7" s="28"/>
      <c r="FKF7" s="28"/>
      <c r="FKG7" s="28"/>
      <c r="FKH7" s="28"/>
      <c r="FKI7" s="28"/>
      <c r="FKJ7" s="28"/>
      <c r="FKK7" s="28"/>
      <c r="FKL7" s="28"/>
      <c r="FKM7" s="28"/>
      <c r="FKN7" s="28"/>
      <c r="FKO7" s="28"/>
      <c r="FKP7" s="28"/>
      <c r="FKQ7" s="28"/>
      <c r="FKR7" s="28"/>
      <c r="FKS7" s="28"/>
      <c r="FKT7" s="28"/>
      <c r="FKU7" s="28"/>
      <c r="FKV7" s="28"/>
      <c r="FKW7" s="28"/>
      <c r="FKX7" s="28"/>
      <c r="FKY7" s="28"/>
      <c r="FKZ7" s="28"/>
      <c r="FLA7" s="28"/>
      <c r="FLB7" s="28"/>
      <c r="FLC7" s="28"/>
      <c r="FLD7" s="28"/>
      <c r="FLE7" s="28"/>
      <c r="FLF7" s="28"/>
      <c r="FLG7" s="28"/>
      <c r="FLH7" s="28"/>
      <c r="FLI7" s="28"/>
      <c r="FLJ7" s="28"/>
      <c r="FLK7" s="28"/>
      <c r="FLL7" s="28"/>
      <c r="FLM7" s="28"/>
      <c r="FLN7" s="28"/>
      <c r="FLO7" s="28"/>
      <c r="FLP7" s="28"/>
      <c r="FLQ7" s="28"/>
      <c r="FLR7" s="28"/>
      <c r="FLS7" s="28"/>
      <c r="FLT7" s="28"/>
      <c r="FLU7" s="28"/>
      <c r="FLV7" s="28"/>
      <c r="FLW7" s="28"/>
      <c r="FLX7" s="28"/>
      <c r="FLY7" s="28"/>
      <c r="FLZ7" s="28"/>
      <c r="FMA7" s="28"/>
      <c r="FMB7" s="28"/>
      <c r="FMC7" s="28"/>
      <c r="FMD7" s="28"/>
      <c r="FME7" s="28"/>
      <c r="FMF7" s="28"/>
      <c r="FMG7" s="28"/>
      <c r="FMH7" s="28"/>
      <c r="FMI7" s="28"/>
      <c r="FMJ7" s="28"/>
      <c r="FMK7" s="28"/>
      <c r="FML7" s="28"/>
      <c r="FMM7" s="28"/>
      <c r="FMN7" s="28"/>
      <c r="FMO7" s="28"/>
      <c r="FMP7" s="28"/>
      <c r="FMQ7" s="28"/>
      <c r="FMR7" s="28"/>
      <c r="FMS7" s="28"/>
      <c r="FMT7" s="28"/>
      <c r="FMU7" s="28"/>
      <c r="FMV7" s="28"/>
      <c r="FMW7" s="28"/>
      <c r="FMX7" s="28"/>
      <c r="FMY7" s="28"/>
      <c r="FMZ7" s="28"/>
      <c r="FNA7" s="28"/>
      <c r="FNB7" s="28"/>
      <c r="FNC7" s="28"/>
      <c r="FND7" s="28"/>
      <c r="FNE7" s="28"/>
      <c r="FNF7" s="28"/>
      <c r="FNG7" s="28"/>
      <c r="FNH7" s="28"/>
      <c r="FNI7" s="28"/>
      <c r="FNJ7" s="28"/>
      <c r="FNK7" s="28"/>
      <c r="FNL7" s="28"/>
      <c r="FNM7" s="28"/>
      <c r="FNN7" s="28"/>
      <c r="FNO7" s="28"/>
      <c r="FNP7" s="28"/>
      <c r="FNQ7" s="28"/>
      <c r="FNR7" s="28"/>
      <c r="FNS7" s="28"/>
      <c r="FNT7" s="28"/>
      <c r="FNU7" s="28"/>
      <c r="FNV7" s="28"/>
      <c r="FNW7" s="28"/>
      <c r="FNX7" s="28"/>
      <c r="FNY7" s="28"/>
      <c r="FNZ7" s="28"/>
      <c r="FOA7" s="28"/>
      <c r="FOB7" s="28"/>
      <c r="FOC7" s="28"/>
      <c r="FOD7" s="28"/>
      <c r="FOE7" s="28"/>
      <c r="FOF7" s="28"/>
      <c r="FOG7" s="28"/>
      <c r="FOH7" s="28"/>
      <c r="FOI7" s="28"/>
      <c r="FOJ7" s="28"/>
      <c r="FOK7" s="28"/>
      <c r="FOL7" s="28"/>
      <c r="FOM7" s="28"/>
      <c r="FON7" s="28"/>
      <c r="FOO7" s="28"/>
      <c r="FOP7" s="28"/>
      <c r="FOQ7" s="28"/>
      <c r="FOR7" s="28"/>
      <c r="FOS7" s="28"/>
      <c r="FOT7" s="28"/>
      <c r="FOU7" s="28"/>
      <c r="FOV7" s="28"/>
      <c r="FOW7" s="28"/>
      <c r="FOX7" s="28"/>
      <c r="FOY7" s="28"/>
      <c r="FOZ7" s="28"/>
      <c r="FPA7" s="28"/>
      <c r="FPB7" s="28"/>
      <c r="FPC7" s="28"/>
      <c r="FPD7" s="28"/>
      <c r="FPE7" s="28"/>
      <c r="FPF7" s="28"/>
      <c r="FPG7" s="28"/>
      <c r="FPH7" s="28"/>
      <c r="FPI7" s="28"/>
      <c r="FPJ7" s="28"/>
      <c r="FPK7" s="28"/>
      <c r="FPL7" s="28"/>
      <c r="FPM7" s="28"/>
      <c r="FPN7" s="28"/>
      <c r="FPO7" s="28"/>
      <c r="FPP7" s="28"/>
      <c r="FPQ7" s="28"/>
      <c r="FPR7" s="28"/>
      <c r="FPS7" s="28"/>
      <c r="FPT7" s="28"/>
      <c r="FPU7" s="28"/>
      <c r="FPV7" s="28"/>
      <c r="FPW7" s="28"/>
      <c r="FPX7" s="28"/>
      <c r="FPY7" s="28"/>
      <c r="FPZ7" s="28"/>
      <c r="FQA7" s="28"/>
      <c r="FQB7" s="28"/>
      <c r="FQC7" s="28"/>
      <c r="FQD7" s="28"/>
      <c r="FQE7" s="28"/>
      <c r="FQF7" s="28"/>
      <c r="FQG7" s="28"/>
      <c r="FQH7" s="28"/>
      <c r="FQI7" s="28"/>
      <c r="FQJ7" s="28"/>
      <c r="FQK7" s="28"/>
      <c r="FQL7" s="28"/>
      <c r="FQM7" s="28"/>
      <c r="FQN7" s="28"/>
      <c r="FQO7" s="28"/>
      <c r="FQP7" s="28"/>
      <c r="FQQ7" s="28"/>
      <c r="FQR7" s="28"/>
      <c r="FQS7" s="28"/>
      <c r="FQT7" s="28"/>
      <c r="FQU7" s="28"/>
      <c r="FQV7" s="28"/>
      <c r="FQW7" s="28"/>
      <c r="FQX7" s="28"/>
      <c r="FQY7" s="28"/>
      <c r="FQZ7" s="28"/>
      <c r="FRA7" s="28"/>
      <c r="FRB7" s="28"/>
      <c r="FRC7" s="28"/>
      <c r="FRD7" s="28"/>
      <c r="FRE7" s="28"/>
      <c r="FRF7" s="28"/>
      <c r="FRG7" s="28"/>
      <c r="FRH7" s="28"/>
      <c r="FRI7" s="28"/>
      <c r="FRJ7" s="28"/>
      <c r="FRK7" s="28"/>
      <c r="FRL7" s="28"/>
      <c r="FRM7" s="28"/>
      <c r="FRN7" s="28"/>
      <c r="FRO7" s="28"/>
      <c r="FRP7" s="28"/>
      <c r="FRQ7" s="28"/>
      <c r="FRR7" s="28"/>
      <c r="FRS7" s="28"/>
      <c r="FRT7" s="28"/>
      <c r="FRU7" s="28"/>
      <c r="FRV7" s="28"/>
      <c r="FRW7" s="28"/>
      <c r="FRX7" s="28"/>
      <c r="FRY7" s="28"/>
      <c r="FRZ7" s="28"/>
      <c r="FSA7" s="28"/>
      <c r="FSB7" s="28"/>
      <c r="FSC7" s="28"/>
      <c r="FSD7" s="28"/>
      <c r="FSE7" s="28"/>
      <c r="FSF7" s="28"/>
      <c r="FSG7" s="28"/>
      <c r="FSH7" s="28"/>
      <c r="FSI7" s="28"/>
      <c r="FSJ7" s="28"/>
      <c r="FSK7" s="28"/>
      <c r="FSL7" s="28"/>
      <c r="FSM7" s="28"/>
      <c r="FSN7" s="28"/>
      <c r="FSO7" s="28"/>
      <c r="FSP7" s="28"/>
      <c r="FSQ7" s="28"/>
      <c r="FSR7" s="28"/>
      <c r="FSS7" s="28"/>
      <c r="FST7" s="28"/>
      <c r="FSU7" s="28"/>
      <c r="FSV7" s="28"/>
      <c r="FSW7" s="28"/>
      <c r="FSX7" s="28"/>
      <c r="FSY7" s="28"/>
      <c r="FSZ7" s="28"/>
      <c r="FTA7" s="28"/>
      <c r="FTB7" s="28"/>
      <c r="FTC7" s="28"/>
      <c r="FTD7" s="28"/>
      <c r="FTE7" s="28"/>
      <c r="FTF7" s="28"/>
      <c r="FTG7" s="28"/>
      <c r="FTH7" s="28"/>
      <c r="FTI7" s="28"/>
      <c r="FTJ7" s="28"/>
      <c r="FTK7" s="28"/>
      <c r="FTL7" s="28"/>
      <c r="FTM7" s="28"/>
      <c r="FTN7" s="28"/>
      <c r="FTO7" s="28"/>
      <c r="FTP7" s="28"/>
      <c r="FTQ7" s="28"/>
      <c r="FTR7" s="28"/>
      <c r="FTS7" s="28"/>
      <c r="FTT7" s="28"/>
      <c r="FTU7" s="28"/>
      <c r="FTV7" s="28"/>
      <c r="FTW7" s="28"/>
      <c r="FTX7" s="28"/>
      <c r="FTY7" s="28"/>
      <c r="FTZ7" s="28"/>
      <c r="FUA7" s="28"/>
      <c r="FUB7" s="28"/>
      <c r="FUC7" s="28"/>
      <c r="FUD7" s="28"/>
      <c r="FUE7" s="28"/>
      <c r="FUF7" s="28"/>
      <c r="FUG7" s="28"/>
      <c r="FUH7" s="28"/>
      <c r="FUI7" s="28"/>
      <c r="FUJ7" s="28"/>
      <c r="FUK7" s="28"/>
      <c r="FUL7" s="28"/>
      <c r="FUM7" s="28"/>
      <c r="FUN7" s="28"/>
      <c r="FUO7" s="28"/>
      <c r="FUP7" s="28"/>
      <c r="FUQ7" s="28"/>
      <c r="FUR7" s="28"/>
      <c r="FUS7" s="28"/>
      <c r="FUT7" s="28"/>
      <c r="FUU7" s="28"/>
      <c r="FUV7" s="28"/>
      <c r="FUW7" s="28"/>
      <c r="FUX7" s="28"/>
      <c r="FUY7" s="28"/>
      <c r="FUZ7" s="28"/>
      <c r="FVA7" s="28"/>
      <c r="FVB7" s="28"/>
      <c r="FVC7" s="28"/>
      <c r="FVD7" s="28"/>
      <c r="FVE7" s="28"/>
      <c r="FVF7" s="28"/>
      <c r="FVG7" s="28"/>
      <c r="FVH7" s="28"/>
      <c r="FVI7" s="28"/>
      <c r="FVJ7" s="28"/>
      <c r="FVK7" s="28"/>
      <c r="FVL7" s="28"/>
      <c r="FVM7" s="28"/>
      <c r="FVN7" s="28"/>
      <c r="FVO7" s="28"/>
      <c r="FVP7" s="28"/>
      <c r="FVQ7" s="28"/>
      <c r="FVR7" s="28"/>
      <c r="FVS7" s="28"/>
      <c r="FVT7" s="28"/>
      <c r="FVU7" s="28"/>
      <c r="FVV7" s="28"/>
      <c r="FVW7" s="28"/>
      <c r="FVX7" s="28"/>
      <c r="FVY7" s="28"/>
      <c r="FVZ7" s="28"/>
      <c r="FWA7" s="28"/>
      <c r="FWB7" s="28"/>
      <c r="FWC7" s="28"/>
      <c r="FWD7" s="28"/>
      <c r="FWE7" s="28"/>
      <c r="FWF7" s="28"/>
      <c r="FWG7" s="28"/>
      <c r="FWH7" s="28"/>
      <c r="FWI7" s="28"/>
      <c r="FWJ7" s="28"/>
      <c r="FWK7" s="28"/>
      <c r="FWL7" s="28"/>
      <c r="FWM7" s="28"/>
      <c r="FWN7" s="28"/>
      <c r="FWO7" s="28"/>
      <c r="FWP7" s="28"/>
      <c r="FWQ7" s="28"/>
      <c r="FWR7" s="28"/>
      <c r="FWS7" s="28"/>
      <c r="FWT7" s="28"/>
      <c r="FWU7" s="28"/>
      <c r="FWV7" s="28"/>
      <c r="FWW7" s="28"/>
      <c r="FWX7" s="28"/>
      <c r="FWY7" s="28"/>
      <c r="FWZ7" s="28"/>
      <c r="FXA7" s="28"/>
      <c r="FXB7" s="28"/>
      <c r="FXC7" s="28"/>
      <c r="FXD7" s="28"/>
      <c r="FXE7" s="28"/>
      <c r="FXF7" s="28"/>
      <c r="FXG7" s="28"/>
      <c r="FXH7" s="28"/>
      <c r="FXI7" s="28"/>
      <c r="FXJ7" s="28"/>
      <c r="FXK7" s="28"/>
      <c r="FXL7" s="28"/>
      <c r="FXM7" s="28"/>
      <c r="FXN7" s="28"/>
      <c r="FXO7" s="28"/>
      <c r="FXP7" s="28"/>
      <c r="FXQ7" s="28"/>
      <c r="FXR7" s="28"/>
      <c r="FXS7" s="28"/>
      <c r="FXT7" s="28"/>
      <c r="FXU7" s="28"/>
      <c r="FXV7" s="28"/>
      <c r="FXW7" s="28"/>
      <c r="FXX7" s="28"/>
      <c r="FXY7" s="28"/>
      <c r="FXZ7" s="28"/>
      <c r="FYA7" s="28"/>
      <c r="FYB7" s="28"/>
      <c r="FYC7" s="28"/>
      <c r="FYD7" s="28"/>
      <c r="FYE7" s="28"/>
      <c r="FYF7" s="28"/>
      <c r="FYG7" s="28"/>
      <c r="FYH7" s="28"/>
      <c r="FYI7" s="28"/>
      <c r="FYJ7" s="28"/>
      <c r="FYK7" s="28"/>
      <c r="FYL7" s="28"/>
      <c r="FYM7" s="28"/>
      <c r="FYN7" s="28"/>
      <c r="FYO7" s="28"/>
      <c r="FYP7" s="28"/>
      <c r="FYQ7" s="28"/>
      <c r="FYR7" s="28"/>
      <c r="FYS7" s="28"/>
      <c r="FYT7" s="28"/>
      <c r="FYU7" s="28"/>
      <c r="FYV7" s="28"/>
      <c r="FYW7" s="28"/>
      <c r="FYX7" s="28"/>
      <c r="FYY7" s="28"/>
      <c r="FYZ7" s="28"/>
      <c r="FZA7" s="28"/>
      <c r="FZB7" s="28"/>
      <c r="FZC7" s="28"/>
      <c r="FZD7" s="28"/>
      <c r="FZE7" s="28"/>
      <c r="FZF7" s="28"/>
      <c r="FZG7" s="28"/>
      <c r="FZH7" s="28"/>
      <c r="FZI7" s="28"/>
      <c r="FZJ7" s="28"/>
      <c r="FZK7" s="28"/>
      <c r="FZL7" s="28"/>
      <c r="FZM7" s="28"/>
      <c r="FZN7" s="28"/>
      <c r="FZO7" s="28"/>
      <c r="FZP7" s="28"/>
      <c r="FZQ7" s="28"/>
      <c r="FZR7" s="28"/>
      <c r="FZS7" s="28"/>
      <c r="FZT7" s="28"/>
      <c r="FZU7" s="28"/>
      <c r="FZV7" s="28"/>
      <c r="FZW7" s="28"/>
      <c r="FZX7" s="28"/>
      <c r="FZY7" s="28"/>
      <c r="FZZ7" s="28"/>
      <c r="GAA7" s="28"/>
      <c r="GAB7" s="28"/>
      <c r="GAC7" s="28"/>
      <c r="GAD7" s="28"/>
      <c r="GAE7" s="28"/>
      <c r="GAF7" s="28"/>
      <c r="GAG7" s="28"/>
      <c r="GAH7" s="28"/>
      <c r="GAI7" s="28"/>
      <c r="GAJ7" s="28"/>
      <c r="GAK7" s="28"/>
      <c r="GAL7" s="28"/>
      <c r="GAM7" s="28"/>
      <c r="GAN7" s="28"/>
      <c r="GAO7" s="28"/>
      <c r="GAP7" s="28"/>
      <c r="GAQ7" s="28"/>
      <c r="GAR7" s="28"/>
      <c r="GAS7" s="28"/>
      <c r="GAT7" s="28"/>
      <c r="GAU7" s="28"/>
      <c r="GAV7" s="28"/>
      <c r="GAW7" s="28"/>
      <c r="GAX7" s="28"/>
      <c r="GAY7" s="28"/>
      <c r="GAZ7" s="28"/>
      <c r="GBA7" s="28"/>
      <c r="GBB7" s="28"/>
      <c r="GBC7" s="28"/>
      <c r="GBD7" s="28"/>
      <c r="GBE7" s="28"/>
      <c r="GBF7" s="28"/>
      <c r="GBG7" s="28"/>
      <c r="GBH7" s="28"/>
      <c r="GBI7" s="28"/>
      <c r="GBJ7" s="28"/>
      <c r="GBK7" s="28"/>
      <c r="GBL7" s="28"/>
      <c r="GBM7" s="28"/>
      <c r="GBN7" s="28"/>
      <c r="GBO7" s="28"/>
      <c r="GBP7" s="28"/>
      <c r="GBQ7" s="28"/>
      <c r="GBR7" s="28"/>
      <c r="GBS7" s="28"/>
      <c r="GBT7" s="28"/>
      <c r="GBU7" s="28"/>
      <c r="GBV7" s="28"/>
      <c r="GBW7" s="28"/>
      <c r="GBX7" s="28"/>
      <c r="GBY7" s="28"/>
      <c r="GBZ7" s="28"/>
      <c r="GCA7" s="28"/>
      <c r="GCB7" s="28"/>
      <c r="GCC7" s="28"/>
      <c r="GCD7" s="28"/>
      <c r="GCE7" s="28"/>
      <c r="GCF7" s="28"/>
      <c r="GCG7" s="28"/>
      <c r="GCH7" s="28"/>
      <c r="GCI7" s="28"/>
      <c r="GCJ7" s="28"/>
      <c r="GCK7" s="28"/>
      <c r="GCL7" s="28"/>
      <c r="GCM7" s="28"/>
      <c r="GCN7" s="28"/>
      <c r="GCO7" s="28"/>
      <c r="GCP7" s="28"/>
      <c r="GCQ7" s="28"/>
      <c r="GCR7" s="28"/>
      <c r="GCS7" s="28"/>
      <c r="GCT7" s="28"/>
      <c r="GCU7" s="28"/>
      <c r="GCV7" s="28"/>
      <c r="GCW7" s="28"/>
      <c r="GCX7" s="28"/>
      <c r="GCY7" s="28"/>
      <c r="GCZ7" s="28"/>
      <c r="GDA7" s="28"/>
      <c r="GDB7" s="28"/>
      <c r="GDC7" s="28"/>
      <c r="GDD7" s="28"/>
      <c r="GDE7" s="28"/>
      <c r="GDF7" s="28"/>
      <c r="GDG7" s="28"/>
      <c r="GDH7" s="28"/>
      <c r="GDI7" s="28"/>
      <c r="GDJ7" s="28"/>
      <c r="GDK7" s="28"/>
      <c r="GDL7" s="28"/>
      <c r="GDM7" s="28"/>
      <c r="GDN7" s="28"/>
      <c r="GDO7" s="28"/>
      <c r="GDP7" s="28"/>
      <c r="GDQ7" s="28"/>
      <c r="GDR7" s="28"/>
      <c r="GDS7" s="28"/>
      <c r="GDT7" s="28"/>
      <c r="GDU7" s="28"/>
      <c r="GDV7" s="28"/>
      <c r="GDW7" s="28"/>
      <c r="GDX7" s="28"/>
      <c r="GDY7" s="28"/>
      <c r="GDZ7" s="28"/>
      <c r="GEA7" s="28"/>
      <c r="GEB7" s="28"/>
      <c r="GEC7" s="28"/>
      <c r="GED7" s="28"/>
      <c r="GEE7" s="28"/>
      <c r="GEF7" s="28"/>
      <c r="GEG7" s="28"/>
      <c r="GEH7" s="28"/>
      <c r="GEI7" s="28"/>
      <c r="GEJ7" s="28"/>
      <c r="GEK7" s="28"/>
      <c r="GEL7" s="28"/>
      <c r="GEM7" s="28"/>
      <c r="GEN7" s="28"/>
      <c r="GEO7" s="28"/>
      <c r="GEP7" s="28"/>
      <c r="GEQ7" s="28"/>
      <c r="GER7" s="28"/>
      <c r="GES7" s="28"/>
      <c r="GET7" s="28"/>
      <c r="GEU7" s="28"/>
      <c r="GEV7" s="28"/>
      <c r="GEW7" s="28"/>
      <c r="GEX7" s="28"/>
      <c r="GEY7" s="28"/>
      <c r="GEZ7" s="28"/>
      <c r="GFA7" s="28"/>
      <c r="GFB7" s="28"/>
      <c r="GFC7" s="28"/>
      <c r="GFD7" s="28"/>
      <c r="GFE7" s="28"/>
      <c r="GFF7" s="28"/>
      <c r="GFG7" s="28"/>
      <c r="GFH7" s="28"/>
      <c r="GFI7" s="28"/>
      <c r="GFJ7" s="28"/>
      <c r="GFK7" s="28"/>
      <c r="GFL7" s="28"/>
      <c r="GFM7" s="28"/>
      <c r="GFN7" s="28"/>
      <c r="GFO7" s="28"/>
      <c r="GFP7" s="28"/>
      <c r="GFQ7" s="28"/>
      <c r="GFR7" s="28"/>
      <c r="GFS7" s="28"/>
      <c r="GFT7" s="28"/>
      <c r="GFU7" s="28"/>
      <c r="GFV7" s="28"/>
      <c r="GFW7" s="28"/>
      <c r="GFX7" s="28"/>
      <c r="GFY7" s="28"/>
      <c r="GFZ7" s="28"/>
      <c r="GGA7" s="28"/>
      <c r="GGB7" s="28"/>
      <c r="GGC7" s="28"/>
      <c r="GGD7" s="28"/>
      <c r="GGE7" s="28"/>
      <c r="GGF7" s="28"/>
      <c r="GGG7" s="28"/>
      <c r="GGH7" s="28"/>
      <c r="GGI7" s="28"/>
      <c r="GGJ7" s="28"/>
      <c r="GGK7" s="28"/>
      <c r="GGL7" s="28"/>
      <c r="GGM7" s="28"/>
      <c r="GGN7" s="28"/>
      <c r="GGO7" s="28"/>
      <c r="GGP7" s="28"/>
      <c r="GGQ7" s="28"/>
      <c r="GGR7" s="28"/>
      <c r="GGS7" s="28"/>
      <c r="GGT7" s="28"/>
      <c r="GGU7" s="28"/>
      <c r="GGV7" s="28"/>
      <c r="GGW7" s="28"/>
      <c r="GGX7" s="28"/>
      <c r="GGY7" s="28"/>
      <c r="GGZ7" s="28"/>
      <c r="GHA7" s="28"/>
      <c r="GHB7" s="28"/>
      <c r="GHC7" s="28"/>
      <c r="GHD7" s="28"/>
      <c r="GHE7" s="28"/>
      <c r="GHF7" s="28"/>
      <c r="GHG7" s="28"/>
      <c r="GHH7" s="28"/>
      <c r="GHI7" s="28"/>
      <c r="GHJ7" s="28"/>
      <c r="GHK7" s="28"/>
      <c r="GHL7" s="28"/>
      <c r="GHM7" s="28"/>
      <c r="GHN7" s="28"/>
      <c r="GHO7" s="28"/>
      <c r="GHP7" s="28"/>
      <c r="GHQ7" s="28"/>
      <c r="GHR7" s="28"/>
      <c r="GHS7" s="28"/>
      <c r="GHT7" s="28"/>
      <c r="GHU7" s="28"/>
      <c r="GHV7" s="28"/>
      <c r="GHW7" s="28"/>
      <c r="GHX7" s="28"/>
      <c r="GHY7" s="28"/>
      <c r="GHZ7" s="28"/>
      <c r="GIA7" s="28"/>
      <c r="GIB7" s="28"/>
      <c r="GIC7" s="28"/>
      <c r="GID7" s="28"/>
      <c r="GIE7" s="28"/>
      <c r="GIF7" s="28"/>
      <c r="GIG7" s="28"/>
      <c r="GIH7" s="28"/>
      <c r="GII7" s="28"/>
      <c r="GIJ7" s="28"/>
      <c r="GIK7" s="28"/>
      <c r="GIL7" s="28"/>
      <c r="GIM7" s="28"/>
      <c r="GIN7" s="28"/>
      <c r="GIO7" s="28"/>
      <c r="GIP7" s="28"/>
      <c r="GIQ7" s="28"/>
      <c r="GIR7" s="28"/>
      <c r="GIS7" s="28"/>
      <c r="GIT7" s="28"/>
      <c r="GIU7" s="28"/>
      <c r="GIV7" s="28"/>
      <c r="GIW7" s="28"/>
      <c r="GIX7" s="28"/>
      <c r="GIY7" s="28"/>
      <c r="GIZ7" s="28"/>
      <c r="GJA7" s="28"/>
      <c r="GJB7" s="28"/>
      <c r="GJC7" s="28"/>
      <c r="GJD7" s="28"/>
      <c r="GJE7" s="28"/>
      <c r="GJF7" s="28"/>
      <c r="GJG7" s="28"/>
      <c r="GJH7" s="28"/>
      <c r="GJI7" s="28"/>
      <c r="GJJ7" s="28"/>
      <c r="GJK7" s="28"/>
      <c r="GJL7" s="28"/>
      <c r="GJM7" s="28"/>
      <c r="GJN7" s="28"/>
      <c r="GJO7" s="28"/>
      <c r="GJP7" s="28"/>
      <c r="GJQ7" s="28"/>
      <c r="GJR7" s="28"/>
      <c r="GJS7" s="28"/>
      <c r="GJT7" s="28"/>
      <c r="GJU7" s="28"/>
      <c r="GJV7" s="28"/>
      <c r="GJW7" s="28"/>
      <c r="GJX7" s="28"/>
      <c r="GJY7" s="28"/>
      <c r="GJZ7" s="28"/>
      <c r="GKA7" s="28"/>
      <c r="GKB7" s="28"/>
      <c r="GKC7" s="28"/>
      <c r="GKD7" s="28"/>
      <c r="GKE7" s="28"/>
      <c r="GKF7" s="28"/>
      <c r="GKG7" s="28"/>
      <c r="GKH7" s="28"/>
      <c r="GKI7" s="28"/>
      <c r="GKJ7" s="28"/>
      <c r="GKK7" s="28"/>
      <c r="GKL7" s="28"/>
      <c r="GKM7" s="28"/>
      <c r="GKN7" s="28"/>
      <c r="GKO7" s="28"/>
      <c r="GKP7" s="28"/>
      <c r="GKQ7" s="28"/>
      <c r="GKR7" s="28"/>
      <c r="GKS7" s="28"/>
      <c r="GKT7" s="28"/>
      <c r="GKU7" s="28"/>
      <c r="GKV7" s="28"/>
      <c r="GKW7" s="28"/>
      <c r="GKX7" s="28"/>
      <c r="GKY7" s="28"/>
      <c r="GKZ7" s="28"/>
      <c r="GLA7" s="28"/>
      <c r="GLB7" s="28"/>
      <c r="GLC7" s="28"/>
      <c r="GLD7" s="28"/>
      <c r="GLE7" s="28"/>
      <c r="GLF7" s="28"/>
      <c r="GLG7" s="28"/>
      <c r="GLH7" s="28"/>
      <c r="GLI7" s="28"/>
      <c r="GLJ7" s="28"/>
      <c r="GLK7" s="28"/>
      <c r="GLL7" s="28"/>
      <c r="GLM7" s="28"/>
      <c r="GLN7" s="28"/>
      <c r="GLO7" s="28"/>
      <c r="GLP7" s="28"/>
      <c r="GLQ7" s="28"/>
      <c r="GLR7" s="28"/>
      <c r="GLS7" s="28"/>
      <c r="GLT7" s="28"/>
      <c r="GLU7" s="28"/>
      <c r="GLV7" s="28"/>
      <c r="GLW7" s="28"/>
      <c r="GLX7" s="28"/>
      <c r="GLY7" s="28"/>
      <c r="GLZ7" s="28"/>
      <c r="GMA7" s="28"/>
      <c r="GMB7" s="28"/>
      <c r="GMC7" s="28"/>
      <c r="GMD7" s="28"/>
      <c r="GME7" s="28"/>
      <c r="GMF7" s="28"/>
      <c r="GMG7" s="28"/>
      <c r="GMH7" s="28"/>
      <c r="GMI7" s="28"/>
      <c r="GMJ7" s="28"/>
      <c r="GMK7" s="28"/>
      <c r="GML7" s="28"/>
      <c r="GMM7" s="28"/>
      <c r="GMN7" s="28"/>
      <c r="GMO7" s="28"/>
      <c r="GMP7" s="28"/>
      <c r="GMQ7" s="28"/>
      <c r="GMR7" s="28"/>
      <c r="GMS7" s="28"/>
      <c r="GMT7" s="28"/>
      <c r="GMU7" s="28"/>
      <c r="GMV7" s="28"/>
      <c r="GMW7" s="28"/>
      <c r="GMX7" s="28"/>
      <c r="GMY7" s="28"/>
      <c r="GMZ7" s="28"/>
      <c r="GNA7" s="28"/>
      <c r="GNB7" s="28"/>
      <c r="GNC7" s="28"/>
      <c r="GND7" s="28"/>
      <c r="GNE7" s="28"/>
      <c r="GNF7" s="28"/>
      <c r="GNG7" s="28"/>
      <c r="GNH7" s="28"/>
      <c r="GNI7" s="28"/>
      <c r="GNJ7" s="28"/>
      <c r="GNK7" s="28"/>
      <c r="GNL7" s="28"/>
      <c r="GNM7" s="28"/>
      <c r="GNN7" s="28"/>
      <c r="GNO7" s="28"/>
      <c r="GNP7" s="28"/>
      <c r="GNQ7" s="28"/>
      <c r="GNR7" s="28"/>
      <c r="GNS7" s="28"/>
      <c r="GNT7" s="28"/>
      <c r="GNU7" s="28"/>
      <c r="GNV7" s="28"/>
      <c r="GNW7" s="28"/>
      <c r="GNX7" s="28"/>
      <c r="GNY7" s="28"/>
      <c r="GNZ7" s="28"/>
      <c r="GOA7" s="28"/>
      <c r="GOB7" s="28"/>
      <c r="GOC7" s="28"/>
      <c r="GOD7" s="28"/>
      <c r="GOE7" s="28"/>
      <c r="GOF7" s="28"/>
      <c r="GOG7" s="28"/>
      <c r="GOH7" s="28"/>
      <c r="GOI7" s="28"/>
      <c r="GOJ7" s="28"/>
      <c r="GOK7" s="28"/>
      <c r="GOL7" s="28"/>
      <c r="GOM7" s="28"/>
      <c r="GON7" s="28"/>
      <c r="GOO7" s="28"/>
      <c r="GOP7" s="28"/>
      <c r="GOQ7" s="28"/>
      <c r="GOR7" s="28"/>
      <c r="GOS7" s="28"/>
      <c r="GOT7" s="28"/>
      <c r="GOU7" s="28"/>
      <c r="GOV7" s="28"/>
      <c r="GOW7" s="28"/>
      <c r="GOX7" s="28"/>
      <c r="GOY7" s="28"/>
      <c r="GOZ7" s="28"/>
      <c r="GPA7" s="28"/>
      <c r="GPB7" s="28"/>
      <c r="GPC7" s="28"/>
      <c r="GPD7" s="28"/>
      <c r="GPE7" s="28"/>
      <c r="GPF7" s="28"/>
      <c r="GPG7" s="28"/>
      <c r="GPH7" s="28"/>
      <c r="GPI7" s="28"/>
      <c r="GPJ7" s="28"/>
      <c r="GPK7" s="28"/>
      <c r="GPL7" s="28"/>
      <c r="GPM7" s="28"/>
      <c r="GPN7" s="28"/>
      <c r="GPO7" s="28"/>
      <c r="GPP7" s="28"/>
      <c r="GPQ7" s="28"/>
      <c r="GPR7" s="28"/>
      <c r="GPS7" s="28"/>
      <c r="GPT7" s="28"/>
      <c r="GPU7" s="28"/>
      <c r="GPV7" s="28"/>
      <c r="GPW7" s="28"/>
      <c r="GPX7" s="28"/>
      <c r="GPY7" s="28"/>
      <c r="GPZ7" s="28"/>
      <c r="GQA7" s="28"/>
      <c r="GQB7" s="28"/>
      <c r="GQC7" s="28"/>
      <c r="GQD7" s="28"/>
      <c r="GQE7" s="28"/>
      <c r="GQF7" s="28"/>
      <c r="GQG7" s="28"/>
      <c r="GQH7" s="28"/>
      <c r="GQI7" s="28"/>
      <c r="GQJ7" s="28"/>
      <c r="GQK7" s="28"/>
      <c r="GQL7" s="28"/>
      <c r="GQM7" s="28"/>
      <c r="GQN7" s="28"/>
      <c r="GQO7" s="28"/>
      <c r="GQP7" s="28"/>
      <c r="GQQ7" s="28"/>
      <c r="GQR7" s="28"/>
      <c r="GQS7" s="28"/>
      <c r="GQT7" s="28"/>
      <c r="GQU7" s="28"/>
      <c r="GQV7" s="28"/>
      <c r="GQW7" s="28"/>
      <c r="GQX7" s="28"/>
      <c r="GQY7" s="28"/>
      <c r="GQZ7" s="28"/>
      <c r="GRA7" s="28"/>
      <c r="GRB7" s="28"/>
      <c r="GRC7" s="28"/>
      <c r="GRD7" s="28"/>
      <c r="GRE7" s="28"/>
      <c r="GRF7" s="28"/>
      <c r="GRG7" s="28"/>
      <c r="GRH7" s="28"/>
      <c r="GRI7" s="28"/>
      <c r="GRJ7" s="28"/>
      <c r="GRK7" s="28"/>
      <c r="GRL7" s="28"/>
      <c r="GRM7" s="28"/>
      <c r="GRN7" s="28"/>
      <c r="GRO7" s="28"/>
      <c r="GRP7" s="28"/>
      <c r="GRQ7" s="28"/>
      <c r="GRR7" s="28"/>
      <c r="GRS7" s="28"/>
      <c r="GRT7" s="28"/>
      <c r="GRU7" s="28"/>
      <c r="GRV7" s="28"/>
      <c r="GRW7" s="28"/>
      <c r="GRX7" s="28"/>
      <c r="GRY7" s="28"/>
      <c r="GRZ7" s="28"/>
      <c r="GSA7" s="28"/>
      <c r="GSB7" s="28"/>
      <c r="GSC7" s="28"/>
      <c r="GSD7" s="28"/>
      <c r="GSE7" s="28"/>
      <c r="GSF7" s="28"/>
      <c r="GSG7" s="28"/>
      <c r="GSH7" s="28"/>
      <c r="GSI7" s="28"/>
      <c r="GSJ7" s="28"/>
      <c r="GSK7" s="28"/>
      <c r="GSL7" s="28"/>
      <c r="GSM7" s="28"/>
      <c r="GSN7" s="28"/>
      <c r="GSO7" s="28"/>
      <c r="GSP7" s="28"/>
      <c r="GSQ7" s="28"/>
      <c r="GSR7" s="28"/>
      <c r="GSS7" s="28"/>
      <c r="GST7" s="28"/>
      <c r="GSU7" s="28"/>
      <c r="GSV7" s="28"/>
      <c r="GSW7" s="28"/>
      <c r="GSX7" s="28"/>
      <c r="GSY7" s="28"/>
      <c r="GSZ7" s="28"/>
      <c r="GTA7" s="28"/>
      <c r="GTB7" s="28"/>
      <c r="GTC7" s="28"/>
      <c r="GTD7" s="28"/>
      <c r="GTE7" s="28"/>
      <c r="GTF7" s="28"/>
      <c r="GTG7" s="28"/>
      <c r="GTH7" s="28"/>
      <c r="GTI7" s="28"/>
      <c r="GTJ7" s="28"/>
      <c r="GTK7" s="28"/>
      <c r="GTL7" s="28"/>
      <c r="GTM7" s="28"/>
      <c r="GTN7" s="28"/>
      <c r="GTO7" s="28"/>
      <c r="GTP7" s="28"/>
      <c r="GTQ7" s="28"/>
      <c r="GTR7" s="28"/>
      <c r="GTS7" s="28"/>
      <c r="GTT7" s="28"/>
      <c r="GTU7" s="28"/>
      <c r="GTV7" s="28"/>
      <c r="GTW7" s="28"/>
      <c r="GTX7" s="28"/>
      <c r="GTY7" s="28"/>
      <c r="GTZ7" s="28"/>
      <c r="GUA7" s="28"/>
      <c r="GUB7" s="28"/>
      <c r="GUC7" s="28"/>
      <c r="GUD7" s="28"/>
      <c r="GUE7" s="28"/>
      <c r="GUF7" s="28"/>
      <c r="GUG7" s="28"/>
      <c r="GUH7" s="28"/>
      <c r="GUI7" s="28"/>
      <c r="GUJ7" s="28"/>
      <c r="GUK7" s="28"/>
      <c r="GUL7" s="28"/>
      <c r="GUM7" s="28"/>
      <c r="GUN7" s="28"/>
      <c r="GUO7" s="28"/>
      <c r="GUP7" s="28"/>
      <c r="GUQ7" s="28"/>
      <c r="GUR7" s="28"/>
      <c r="GUS7" s="28"/>
      <c r="GUT7" s="28"/>
      <c r="GUU7" s="28"/>
      <c r="GUV7" s="28"/>
      <c r="GUW7" s="28"/>
      <c r="GUX7" s="28"/>
      <c r="GUY7" s="28"/>
      <c r="GUZ7" s="28"/>
      <c r="GVA7" s="28"/>
      <c r="GVB7" s="28"/>
      <c r="GVC7" s="28"/>
      <c r="GVD7" s="28"/>
      <c r="GVE7" s="28"/>
      <c r="GVF7" s="28"/>
      <c r="GVG7" s="28"/>
      <c r="GVH7" s="28"/>
      <c r="GVI7" s="28"/>
      <c r="GVJ7" s="28"/>
      <c r="GVK7" s="28"/>
      <c r="GVL7" s="28"/>
      <c r="GVM7" s="28"/>
      <c r="GVN7" s="28"/>
      <c r="GVO7" s="28"/>
      <c r="GVP7" s="28"/>
      <c r="GVQ7" s="28"/>
      <c r="GVR7" s="28"/>
      <c r="GVS7" s="28"/>
      <c r="GVT7" s="28"/>
      <c r="GVU7" s="28"/>
      <c r="GVV7" s="28"/>
      <c r="GVW7" s="28"/>
      <c r="GVX7" s="28"/>
      <c r="GVY7" s="28"/>
      <c r="GVZ7" s="28"/>
      <c r="GWA7" s="28"/>
      <c r="GWB7" s="28"/>
      <c r="GWC7" s="28"/>
      <c r="GWD7" s="28"/>
      <c r="GWE7" s="28"/>
      <c r="GWF7" s="28"/>
      <c r="GWG7" s="28"/>
      <c r="GWH7" s="28"/>
      <c r="GWI7" s="28"/>
      <c r="GWJ7" s="28"/>
      <c r="GWK7" s="28"/>
      <c r="GWL7" s="28"/>
      <c r="GWM7" s="28"/>
      <c r="GWN7" s="28"/>
      <c r="GWO7" s="28"/>
      <c r="GWP7" s="28"/>
      <c r="GWQ7" s="28"/>
      <c r="GWR7" s="28"/>
      <c r="GWS7" s="28"/>
      <c r="GWT7" s="28"/>
      <c r="GWU7" s="28"/>
      <c r="GWV7" s="28"/>
      <c r="GWW7" s="28"/>
      <c r="GWX7" s="28"/>
      <c r="GWY7" s="28"/>
      <c r="GWZ7" s="28"/>
      <c r="GXA7" s="28"/>
      <c r="GXB7" s="28"/>
      <c r="GXC7" s="28"/>
      <c r="GXD7" s="28"/>
      <c r="GXE7" s="28"/>
      <c r="GXF7" s="28"/>
      <c r="GXG7" s="28"/>
      <c r="GXH7" s="28"/>
      <c r="GXI7" s="28"/>
      <c r="GXJ7" s="28"/>
      <c r="GXK7" s="28"/>
      <c r="GXL7" s="28"/>
      <c r="GXM7" s="28"/>
      <c r="GXN7" s="28"/>
      <c r="GXO7" s="28"/>
      <c r="GXP7" s="28"/>
      <c r="GXQ7" s="28"/>
      <c r="GXR7" s="28"/>
      <c r="GXS7" s="28"/>
      <c r="GXT7" s="28"/>
      <c r="GXU7" s="28"/>
      <c r="GXV7" s="28"/>
      <c r="GXW7" s="28"/>
      <c r="GXX7" s="28"/>
      <c r="GXY7" s="28"/>
      <c r="GXZ7" s="28"/>
      <c r="GYA7" s="28"/>
      <c r="GYB7" s="28"/>
      <c r="GYC7" s="28"/>
      <c r="GYD7" s="28"/>
      <c r="GYE7" s="28"/>
      <c r="GYF7" s="28"/>
      <c r="GYG7" s="28"/>
      <c r="GYH7" s="28"/>
      <c r="GYI7" s="28"/>
      <c r="GYJ7" s="28"/>
      <c r="GYK7" s="28"/>
      <c r="GYL7" s="28"/>
      <c r="GYM7" s="28"/>
      <c r="GYN7" s="28"/>
      <c r="GYO7" s="28"/>
      <c r="GYP7" s="28"/>
      <c r="GYQ7" s="28"/>
      <c r="GYR7" s="28"/>
      <c r="GYS7" s="28"/>
      <c r="GYT7" s="28"/>
      <c r="GYU7" s="28"/>
      <c r="GYV7" s="28"/>
      <c r="GYW7" s="28"/>
      <c r="GYX7" s="28"/>
      <c r="GYY7" s="28"/>
      <c r="GYZ7" s="28"/>
      <c r="GZA7" s="28"/>
      <c r="GZB7" s="28"/>
      <c r="GZC7" s="28"/>
      <c r="GZD7" s="28"/>
      <c r="GZE7" s="28"/>
      <c r="GZF7" s="28"/>
      <c r="GZG7" s="28"/>
      <c r="GZH7" s="28"/>
      <c r="GZI7" s="28"/>
      <c r="GZJ7" s="28"/>
      <c r="GZK7" s="28"/>
      <c r="GZL7" s="28"/>
      <c r="GZM7" s="28"/>
      <c r="GZN7" s="28"/>
      <c r="GZO7" s="28"/>
      <c r="GZP7" s="28"/>
      <c r="GZQ7" s="28"/>
      <c r="GZR7" s="28"/>
      <c r="GZS7" s="28"/>
      <c r="GZT7" s="28"/>
      <c r="GZU7" s="28"/>
      <c r="GZV7" s="28"/>
      <c r="GZW7" s="28"/>
      <c r="GZX7" s="28"/>
      <c r="GZY7" s="28"/>
      <c r="GZZ7" s="28"/>
      <c r="HAA7" s="28"/>
      <c r="HAB7" s="28"/>
      <c r="HAC7" s="28"/>
      <c r="HAD7" s="28"/>
      <c r="HAE7" s="28"/>
      <c r="HAF7" s="28"/>
      <c r="HAG7" s="28"/>
      <c r="HAH7" s="28"/>
      <c r="HAI7" s="28"/>
      <c r="HAJ7" s="28"/>
      <c r="HAK7" s="28"/>
      <c r="HAL7" s="28"/>
      <c r="HAM7" s="28"/>
      <c r="HAN7" s="28"/>
      <c r="HAO7" s="28"/>
      <c r="HAP7" s="28"/>
      <c r="HAQ7" s="28"/>
      <c r="HAR7" s="28"/>
      <c r="HAS7" s="28"/>
      <c r="HAT7" s="28"/>
      <c r="HAU7" s="28"/>
      <c r="HAV7" s="28"/>
      <c r="HAW7" s="28"/>
      <c r="HAX7" s="28"/>
      <c r="HAY7" s="28"/>
      <c r="HAZ7" s="28"/>
      <c r="HBA7" s="28"/>
      <c r="HBB7" s="28"/>
      <c r="HBC7" s="28"/>
      <c r="HBD7" s="28"/>
      <c r="HBE7" s="28"/>
      <c r="HBF7" s="28"/>
      <c r="HBG7" s="28"/>
      <c r="HBH7" s="28"/>
      <c r="HBI7" s="28"/>
      <c r="HBJ7" s="28"/>
      <c r="HBK7" s="28"/>
      <c r="HBL7" s="28"/>
      <c r="HBM7" s="28"/>
      <c r="HBN7" s="28"/>
      <c r="HBO7" s="28"/>
      <c r="HBP7" s="28"/>
      <c r="HBQ7" s="28"/>
      <c r="HBR7" s="28"/>
      <c r="HBS7" s="28"/>
      <c r="HBT7" s="28"/>
      <c r="HBU7" s="28"/>
      <c r="HBV7" s="28"/>
      <c r="HBW7" s="28"/>
      <c r="HBX7" s="28"/>
      <c r="HBY7" s="28"/>
      <c r="HBZ7" s="28"/>
      <c r="HCA7" s="28"/>
      <c r="HCB7" s="28"/>
      <c r="HCC7" s="28"/>
      <c r="HCD7" s="28"/>
      <c r="HCE7" s="28"/>
      <c r="HCF7" s="28"/>
      <c r="HCG7" s="28"/>
      <c r="HCH7" s="28"/>
      <c r="HCI7" s="28"/>
      <c r="HCJ7" s="28"/>
      <c r="HCK7" s="28"/>
      <c r="HCL7" s="28"/>
      <c r="HCM7" s="28"/>
      <c r="HCN7" s="28"/>
      <c r="HCO7" s="28"/>
      <c r="HCP7" s="28"/>
      <c r="HCQ7" s="28"/>
      <c r="HCR7" s="28"/>
      <c r="HCS7" s="28"/>
      <c r="HCT7" s="28"/>
      <c r="HCU7" s="28"/>
      <c r="HCV7" s="28"/>
      <c r="HCW7" s="28"/>
      <c r="HCX7" s="28"/>
      <c r="HCY7" s="28"/>
      <c r="HCZ7" s="28"/>
      <c r="HDA7" s="28"/>
      <c r="HDB7" s="28"/>
      <c r="HDC7" s="28"/>
      <c r="HDD7" s="28"/>
      <c r="HDE7" s="28"/>
      <c r="HDF7" s="28"/>
      <c r="HDG7" s="28"/>
      <c r="HDH7" s="28"/>
      <c r="HDI7" s="28"/>
      <c r="HDJ7" s="28"/>
      <c r="HDK7" s="28"/>
      <c r="HDL7" s="28"/>
      <c r="HDM7" s="28"/>
      <c r="HDN7" s="28"/>
      <c r="HDO7" s="28"/>
      <c r="HDP7" s="28"/>
      <c r="HDQ7" s="28"/>
      <c r="HDR7" s="28"/>
      <c r="HDS7" s="28"/>
      <c r="HDT7" s="28"/>
      <c r="HDU7" s="28"/>
      <c r="HDV7" s="28"/>
      <c r="HDW7" s="28"/>
      <c r="HDX7" s="28"/>
      <c r="HDY7" s="28"/>
      <c r="HDZ7" s="28"/>
      <c r="HEA7" s="28"/>
      <c r="HEB7" s="28"/>
      <c r="HEC7" s="28"/>
      <c r="HED7" s="28"/>
      <c r="HEE7" s="28"/>
      <c r="HEF7" s="28"/>
      <c r="HEG7" s="28"/>
      <c r="HEH7" s="28"/>
      <c r="HEI7" s="28"/>
      <c r="HEJ7" s="28"/>
      <c r="HEK7" s="28"/>
      <c r="HEL7" s="28"/>
      <c r="HEM7" s="28"/>
      <c r="HEN7" s="28"/>
      <c r="HEO7" s="28"/>
      <c r="HEP7" s="28"/>
      <c r="HEQ7" s="28"/>
      <c r="HER7" s="28"/>
      <c r="HES7" s="28"/>
      <c r="HET7" s="28"/>
      <c r="HEU7" s="28"/>
      <c r="HEV7" s="28"/>
      <c r="HEW7" s="28"/>
      <c r="HEX7" s="28"/>
      <c r="HEY7" s="28"/>
      <c r="HEZ7" s="28"/>
      <c r="HFA7" s="28"/>
      <c r="HFB7" s="28"/>
      <c r="HFC7" s="28"/>
      <c r="HFD7" s="28"/>
      <c r="HFE7" s="28"/>
      <c r="HFF7" s="28"/>
      <c r="HFG7" s="28"/>
      <c r="HFH7" s="28"/>
      <c r="HFI7" s="28"/>
      <c r="HFJ7" s="28"/>
      <c r="HFK7" s="28"/>
      <c r="HFL7" s="28"/>
      <c r="HFM7" s="28"/>
      <c r="HFN7" s="28"/>
      <c r="HFO7" s="28"/>
      <c r="HFP7" s="28"/>
      <c r="HFQ7" s="28"/>
      <c r="HFR7" s="28"/>
      <c r="HFS7" s="28"/>
      <c r="HFT7" s="28"/>
      <c r="HFU7" s="28"/>
      <c r="HFV7" s="28"/>
      <c r="HFW7" s="28"/>
      <c r="HFX7" s="28"/>
      <c r="HFY7" s="28"/>
      <c r="HFZ7" s="28"/>
      <c r="HGA7" s="28"/>
      <c r="HGB7" s="28"/>
      <c r="HGC7" s="28"/>
      <c r="HGD7" s="28"/>
      <c r="HGE7" s="28"/>
      <c r="HGF7" s="28"/>
      <c r="HGG7" s="28"/>
      <c r="HGH7" s="28"/>
      <c r="HGI7" s="28"/>
      <c r="HGJ7" s="28"/>
      <c r="HGK7" s="28"/>
      <c r="HGL7" s="28"/>
      <c r="HGM7" s="28"/>
      <c r="HGN7" s="28"/>
      <c r="HGO7" s="28"/>
      <c r="HGP7" s="28"/>
      <c r="HGQ7" s="28"/>
      <c r="HGR7" s="28"/>
      <c r="HGS7" s="28"/>
      <c r="HGT7" s="28"/>
      <c r="HGU7" s="28"/>
      <c r="HGV7" s="28"/>
      <c r="HGW7" s="28"/>
      <c r="HGX7" s="28"/>
      <c r="HGY7" s="28"/>
      <c r="HGZ7" s="28"/>
      <c r="HHA7" s="28"/>
      <c r="HHB7" s="28"/>
      <c r="HHC7" s="28"/>
      <c r="HHD7" s="28"/>
      <c r="HHE7" s="28"/>
      <c r="HHF7" s="28"/>
      <c r="HHG7" s="28"/>
      <c r="HHH7" s="28"/>
      <c r="HHI7" s="28"/>
      <c r="HHJ7" s="28"/>
      <c r="HHK7" s="28"/>
      <c r="HHL7" s="28"/>
      <c r="HHM7" s="28"/>
      <c r="HHN7" s="28"/>
      <c r="HHO7" s="28"/>
      <c r="HHP7" s="28"/>
      <c r="HHQ7" s="28"/>
      <c r="HHR7" s="28"/>
      <c r="HHS7" s="28"/>
      <c r="HHT7" s="28"/>
      <c r="HHU7" s="28"/>
      <c r="HHV7" s="28"/>
      <c r="HHW7" s="28"/>
      <c r="HHX7" s="28"/>
      <c r="HHY7" s="28"/>
      <c r="HHZ7" s="28"/>
      <c r="HIA7" s="28"/>
      <c r="HIB7" s="28"/>
      <c r="HIC7" s="28"/>
      <c r="HID7" s="28"/>
      <c r="HIE7" s="28"/>
      <c r="HIF7" s="28"/>
      <c r="HIG7" s="28"/>
      <c r="HIH7" s="28"/>
      <c r="HII7" s="28"/>
      <c r="HIJ7" s="28"/>
      <c r="HIK7" s="28"/>
      <c r="HIL7" s="28"/>
      <c r="HIM7" s="28"/>
      <c r="HIN7" s="28"/>
      <c r="HIO7" s="28"/>
      <c r="HIP7" s="28"/>
      <c r="HIQ7" s="28"/>
      <c r="HIR7" s="28"/>
      <c r="HIS7" s="28"/>
      <c r="HIT7" s="28"/>
      <c r="HIU7" s="28"/>
      <c r="HIV7" s="28"/>
      <c r="HIW7" s="28"/>
      <c r="HIX7" s="28"/>
      <c r="HIY7" s="28"/>
      <c r="HIZ7" s="28"/>
      <c r="HJA7" s="28"/>
      <c r="HJB7" s="28"/>
      <c r="HJC7" s="28"/>
      <c r="HJD7" s="28"/>
      <c r="HJE7" s="28"/>
      <c r="HJF7" s="28"/>
      <c r="HJG7" s="28"/>
      <c r="HJH7" s="28"/>
      <c r="HJI7" s="28"/>
      <c r="HJJ7" s="28"/>
      <c r="HJK7" s="28"/>
      <c r="HJL7" s="28"/>
      <c r="HJM7" s="28"/>
      <c r="HJN7" s="28"/>
      <c r="HJO7" s="28"/>
      <c r="HJP7" s="28"/>
      <c r="HJQ7" s="28"/>
      <c r="HJR7" s="28"/>
      <c r="HJS7" s="28"/>
      <c r="HJT7" s="28"/>
      <c r="HJU7" s="28"/>
      <c r="HJV7" s="28"/>
      <c r="HJW7" s="28"/>
      <c r="HJX7" s="28"/>
      <c r="HJY7" s="28"/>
      <c r="HJZ7" s="28"/>
      <c r="HKA7" s="28"/>
      <c r="HKB7" s="28"/>
      <c r="HKC7" s="28"/>
      <c r="HKD7" s="28"/>
      <c r="HKE7" s="28"/>
      <c r="HKF7" s="28"/>
      <c r="HKG7" s="28"/>
      <c r="HKH7" s="28"/>
      <c r="HKI7" s="28"/>
      <c r="HKJ7" s="28"/>
      <c r="HKK7" s="28"/>
      <c r="HKL7" s="28"/>
      <c r="HKM7" s="28"/>
      <c r="HKN7" s="28"/>
      <c r="HKO7" s="28"/>
      <c r="HKP7" s="28"/>
      <c r="HKQ7" s="28"/>
      <c r="HKR7" s="28"/>
      <c r="HKS7" s="28"/>
      <c r="HKT7" s="28"/>
      <c r="HKU7" s="28"/>
      <c r="HKV7" s="28"/>
      <c r="HKW7" s="28"/>
      <c r="HKX7" s="28"/>
      <c r="HKY7" s="28"/>
      <c r="HKZ7" s="28"/>
      <c r="HLA7" s="28"/>
      <c r="HLB7" s="28"/>
      <c r="HLC7" s="28"/>
      <c r="HLD7" s="28"/>
      <c r="HLE7" s="28"/>
      <c r="HLF7" s="28"/>
      <c r="HLG7" s="28"/>
      <c r="HLH7" s="28"/>
      <c r="HLI7" s="28"/>
      <c r="HLJ7" s="28"/>
      <c r="HLK7" s="28"/>
      <c r="HLL7" s="28"/>
      <c r="HLM7" s="28"/>
      <c r="HLN7" s="28"/>
      <c r="HLO7" s="28"/>
      <c r="HLP7" s="28"/>
      <c r="HLQ7" s="28"/>
      <c r="HLR7" s="28"/>
      <c r="HLS7" s="28"/>
      <c r="HLT7" s="28"/>
      <c r="HLU7" s="28"/>
      <c r="HLV7" s="28"/>
      <c r="HLW7" s="28"/>
      <c r="HLX7" s="28"/>
      <c r="HLY7" s="28"/>
      <c r="HLZ7" s="28"/>
      <c r="HMA7" s="28"/>
      <c r="HMB7" s="28"/>
      <c r="HMC7" s="28"/>
      <c r="HMD7" s="28"/>
      <c r="HME7" s="28"/>
      <c r="HMF7" s="28"/>
      <c r="HMG7" s="28"/>
      <c r="HMH7" s="28"/>
      <c r="HMI7" s="28"/>
      <c r="HMJ7" s="28"/>
      <c r="HMK7" s="28"/>
      <c r="HML7" s="28"/>
      <c r="HMM7" s="28"/>
      <c r="HMN7" s="28"/>
      <c r="HMO7" s="28"/>
      <c r="HMP7" s="28"/>
      <c r="HMQ7" s="28"/>
      <c r="HMR7" s="28"/>
      <c r="HMS7" s="28"/>
      <c r="HMT7" s="28"/>
      <c r="HMU7" s="28"/>
      <c r="HMV7" s="28"/>
      <c r="HMW7" s="28"/>
      <c r="HMX7" s="28"/>
      <c r="HMY7" s="28"/>
      <c r="HMZ7" s="28"/>
      <c r="HNA7" s="28"/>
      <c r="HNB7" s="28"/>
      <c r="HNC7" s="28"/>
      <c r="HND7" s="28"/>
      <c r="HNE7" s="28"/>
      <c r="HNF7" s="28"/>
      <c r="HNG7" s="28"/>
      <c r="HNH7" s="28"/>
      <c r="HNI7" s="28"/>
      <c r="HNJ7" s="28"/>
      <c r="HNK7" s="28"/>
      <c r="HNL7" s="28"/>
      <c r="HNM7" s="28"/>
      <c r="HNN7" s="28"/>
      <c r="HNO7" s="28"/>
      <c r="HNP7" s="28"/>
      <c r="HNQ7" s="28"/>
      <c r="HNR7" s="28"/>
      <c r="HNS7" s="28"/>
      <c r="HNT7" s="28"/>
      <c r="HNU7" s="28"/>
      <c r="HNV7" s="28"/>
      <c r="HNW7" s="28"/>
      <c r="HNX7" s="28"/>
      <c r="HNY7" s="28"/>
      <c r="HNZ7" s="28"/>
      <c r="HOA7" s="28"/>
      <c r="HOB7" s="28"/>
      <c r="HOC7" s="28"/>
      <c r="HOD7" s="28"/>
      <c r="HOE7" s="28"/>
      <c r="HOF7" s="28"/>
      <c r="HOG7" s="28"/>
      <c r="HOH7" s="28"/>
      <c r="HOI7" s="28"/>
      <c r="HOJ7" s="28"/>
      <c r="HOK7" s="28"/>
      <c r="HOL7" s="28"/>
      <c r="HOM7" s="28"/>
      <c r="HON7" s="28"/>
      <c r="HOO7" s="28"/>
      <c r="HOP7" s="28"/>
      <c r="HOQ7" s="28"/>
      <c r="HOR7" s="28"/>
      <c r="HOS7" s="28"/>
      <c r="HOT7" s="28"/>
      <c r="HOU7" s="28"/>
      <c r="HOV7" s="28"/>
      <c r="HOW7" s="28"/>
      <c r="HOX7" s="28"/>
      <c r="HOY7" s="28"/>
      <c r="HOZ7" s="28"/>
      <c r="HPA7" s="28"/>
      <c r="HPB7" s="28"/>
      <c r="HPC7" s="28"/>
      <c r="HPD7" s="28"/>
      <c r="HPE7" s="28"/>
      <c r="HPF7" s="28"/>
      <c r="HPG7" s="28"/>
      <c r="HPH7" s="28"/>
      <c r="HPI7" s="28"/>
      <c r="HPJ7" s="28"/>
      <c r="HPK7" s="28"/>
      <c r="HPL7" s="28"/>
      <c r="HPM7" s="28"/>
      <c r="HPN7" s="28"/>
      <c r="HPO7" s="28"/>
      <c r="HPP7" s="28"/>
      <c r="HPQ7" s="28"/>
      <c r="HPR7" s="28"/>
      <c r="HPS7" s="28"/>
      <c r="HPT7" s="28"/>
      <c r="HPU7" s="28"/>
      <c r="HPV7" s="28"/>
      <c r="HPW7" s="28"/>
      <c r="HPX7" s="28"/>
      <c r="HPY7" s="28"/>
      <c r="HPZ7" s="28"/>
      <c r="HQA7" s="28"/>
      <c r="HQB7" s="28"/>
      <c r="HQC7" s="28"/>
      <c r="HQD7" s="28"/>
      <c r="HQE7" s="28"/>
      <c r="HQF7" s="28"/>
      <c r="HQG7" s="28"/>
      <c r="HQH7" s="28"/>
      <c r="HQI7" s="28"/>
      <c r="HQJ7" s="28"/>
      <c r="HQK7" s="28"/>
      <c r="HQL7" s="28"/>
      <c r="HQM7" s="28"/>
      <c r="HQN7" s="28"/>
      <c r="HQO7" s="28"/>
      <c r="HQP7" s="28"/>
      <c r="HQQ7" s="28"/>
      <c r="HQR7" s="28"/>
      <c r="HQS7" s="28"/>
      <c r="HQT7" s="28"/>
      <c r="HQU7" s="28"/>
      <c r="HQV7" s="28"/>
      <c r="HQW7" s="28"/>
      <c r="HQX7" s="28"/>
      <c r="HQY7" s="28"/>
      <c r="HQZ7" s="28"/>
      <c r="HRA7" s="28"/>
      <c r="HRB7" s="28"/>
      <c r="HRC7" s="28"/>
      <c r="HRD7" s="28"/>
      <c r="HRE7" s="28"/>
      <c r="HRF7" s="28"/>
      <c r="HRG7" s="28"/>
      <c r="HRH7" s="28"/>
      <c r="HRI7" s="28"/>
      <c r="HRJ7" s="28"/>
      <c r="HRK7" s="28"/>
      <c r="HRL7" s="28"/>
      <c r="HRM7" s="28"/>
      <c r="HRN7" s="28"/>
      <c r="HRO7" s="28"/>
      <c r="HRP7" s="28"/>
      <c r="HRQ7" s="28"/>
      <c r="HRR7" s="28"/>
      <c r="HRS7" s="28"/>
      <c r="HRT7" s="28"/>
      <c r="HRU7" s="28"/>
      <c r="HRV7" s="28"/>
      <c r="HRW7" s="28"/>
      <c r="HRX7" s="28"/>
      <c r="HRY7" s="28"/>
      <c r="HRZ7" s="28"/>
      <c r="HSA7" s="28"/>
      <c r="HSB7" s="28"/>
      <c r="HSC7" s="28"/>
      <c r="HSD7" s="28"/>
      <c r="HSE7" s="28"/>
      <c r="HSF7" s="28"/>
      <c r="HSG7" s="28"/>
      <c r="HSH7" s="28"/>
      <c r="HSI7" s="28"/>
      <c r="HSJ7" s="28"/>
      <c r="HSK7" s="28"/>
      <c r="HSL7" s="28"/>
      <c r="HSM7" s="28"/>
      <c r="HSN7" s="28"/>
      <c r="HSO7" s="28"/>
      <c r="HSP7" s="28"/>
      <c r="HSQ7" s="28"/>
      <c r="HSR7" s="28"/>
      <c r="HSS7" s="28"/>
      <c r="HST7" s="28"/>
      <c r="HSU7" s="28"/>
      <c r="HSV7" s="28"/>
      <c r="HSW7" s="28"/>
      <c r="HSX7" s="28"/>
      <c r="HSY7" s="28"/>
      <c r="HSZ7" s="28"/>
      <c r="HTA7" s="28"/>
      <c r="HTB7" s="28"/>
      <c r="HTC7" s="28"/>
      <c r="HTD7" s="28"/>
      <c r="HTE7" s="28"/>
      <c r="HTF7" s="28"/>
      <c r="HTG7" s="28"/>
      <c r="HTH7" s="28"/>
      <c r="HTI7" s="28"/>
      <c r="HTJ7" s="28"/>
      <c r="HTK7" s="28"/>
      <c r="HTL7" s="28"/>
      <c r="HTM7" s="28"/>
      <c r="HTN7" s="28"/>
      <c r="HTO7" s="28"/>
      <c r="HTP7" s="28"/>
      <c r="HTQ7" s="28"/>
      <c r="HTR7" s="28"/>
      <c r="HTS7" s="28"/>
      <c r="HTT7" s="28"/>
      <c r="HTU7" s="28"/>
      <c r="HTV7" s="28"/>
      <c r="HTW7" s="28"/>
      <c r="HTX7" s="28"/>
      <c r="HTY7" s="28"/>
      <c r="HTZ7" s="28"/>
      <c r="HUA7" s="28"/>
      <c r="HUB7" s="28"/>
      <c r="HUC7" s="28"/>
      <c r="HUD7" s="28"/>
      <c r="HUE7" s="28"/>
      <c r="HUF7" s="28"/>
      <c r="HUG7" s="28"/>
      <c r="HUH7" s="28"/>
      <c r="HUI7" s="28"/>
      <c r="HUJ7" s="28"/>
      <c r="HUK7" s="28"/>
      <c r="HUL7" s="28"/>
      <c r="HUM7" s="28"/>
      <c r="HUN7" s="28"/>
      <c r="HUO7" s="28"/>
      <c r="HUP7" s="28"/>
      <c r="HUQ7" s="28"/>
      <c r="HUR7" s="28"/>
      <c r="HUS7" s="28"/>
      <c r="HUT7" s="28"/>
      <c r="HUU7" s="28"/>
      <c r="HUV7" s="28"/>
      <c r="HUW7" s="28"/>
      <c r="HUX7" s="28"/>
      <c r="HUY7" s="28"/>
      <c r="HUZ7" s="28"/>
      <c r="HVA7" s="28"/>
      <c r="HVB7" s="28"/>
      <c r="HVC7" s="28"/>
      <c r="HVD7" s="28"/>
      <c r="HVE7" s="28"/>
      <c r="HVF7" s="28"/>
      <c r="HVG7" s="28"/>
      <c r="HVH7" s="28"/>
      <c r="HVI7" s="28"/>
      <c r="HVJ7" s="28"/>
      <c r="HVK7" s="28"/>
      <c r="HVL7" s="28"/>
      <c r="HVM7" s="28"/>
      <c r="HVN7" s="28"/>
      <c r="HVO7" s="28"/>
      <c r="HVP7" s="28"/>
      <c r="HVQ7" s="28"/>
      <c r="HVR7" s="28"/>
      <c r="HVS7" s="28"/>
      <c r="HVT7" s="28"/>
      <c r="HVU7" s="28"/>
      <c r="HVV7" s="28"/>
      <c r="HVW7" s="28"/>
      <c r="HVX7" s="28"/>
      <c r="HVY7" s="28"/>
      <c r="HVZ7" s="28"/>
      <c r="HWA7" s="28"/>
      <c r="HWB7" s="28"/>
      <c r="HWC7" s="28"/>
      <c r="HWD7" s="28"/>
      <c r="HWE7" s="28"/>
      <c r="HWF7" s="28"/>
      <c r="HWG7" s="28"/>
      <c r="HWH7" s="28"/>
      <c r="HWI7" s="28"/>
      <c r="HWJ7" s="28"/>
      <c r="HWK7" s="28"/>
      <c r="HWL7" s="28"/>
      <c r="HWM7" s="28"/>
      <c r="HWN7" s="28"/>
      <c r="HWO7" s="28"/>
      <c r="HWP7" s="28"/>
      <c r="HWQ7" s="28"/>
      <c r="HWR7" s="28"/>
      <c r="HWS7" s="28"/>
      <c r="HWT7" s="28"/>
      <c r="HWU7" s="28"/>
      <c r="HWV7" s="28"/>
      <c r="HWW7" s="28"/>
      <c r="HWX7" s="28"/>
      <c r="HWY7" s="28"/>
      <c r="HWZ7" s="28"/>
      <c r="HXA7" s="28"/>
      <c r="HXB7" s="28"/>
      <c r="HXC7" s="28"/>
      <c r="HXD7" s="28"/>
      <c r="HXE7" s="28"/>
      <c r="HXF7" s="28"/>
      <c r="HXG7" s="28"/>
      <c r="HXH7" s="28"/>
      <c r="HXI7" s="28"/>
      <c r="HXJ7" s="28"/>
      <c r="HXK7" s="28"/>
      <c r="HXL7" s="28"/>
      <c r="HXM7" s="28"/>
      <c r="HXN7" s="28"/>
      <c r="HXO7" s="28"/>
      <c r="HXP7" s="28"/>
      <c r="HXQ7" s="28"/>
      <c r="HXR7" s="28"/>
      <c r="HXS7" s="28"/>
      <c r="HXT7" s="28"/>
      <c r="HXU7" s="28"/>
      <c r="HXV7" s="28"/>
      <c r="HXW7" s="28"/>
      <c r="HXX7" s="28"/>
      <c r="HXY7" s="28"/>
      <c r="HXZ7" s="28"/>
      <c r="HYA7" s="28"/>
      <c r="HYB7" s="28"/>
      <c r="HYC7" s="28"/>
      <c r="HYD7" s="28"/>
      <c r="HYE7" s="28"/>
      <c r="HYF7" s="28"/>
      <c r="HYG7" s="28"/>
      <c r="HYH7" s="28"/>
      <c r="HYI7" s="28"/>
      <c r="HYJ7" s="28"/>
      <c r="HYK7" s="28"/>
      <c r="HYL7" s="28"/>
      <c r="HYM7" s="28"/>
      <c r="HYN7" s="28"/>
      <c r="HYO7" s="28"/>
      <c r="HYP7" s="28"/>
      <c r="HYQ7" s="28"/>
      <c r="HYR7" s="28"/>
      <c r="HYS7" s="28"/>
      <c r="HYT7" s="28"/>
      <c r="HYU7" s="28"/>
      <c r="HYV7" s="28"/>
      <c r="HYW7" s="28"/>
      <c r="HYX7" s="28"/>
      <c r="HYY7" s="28"/>
      <c r="HYZ7" s="28"/>
      <c r="HZA7" s="28"/>
      <c r="HZB7" s="28"/>
      <c r="HZC7" s="28"/>
      <c r="HZD7" s="28"/>
      <c r="HZE7" s="28"/>
      <c r="HZF7" s="28"/>
      <c r="HZG7" s="28"/>
      <c r="HZH7" s="28"/>
      <c r="HZI7" s="28"/>
      <c r="HZJ7" s="28"/>
      <c r="HZK7" s="28"/>
      <c r="HZL7" s="28"/>
      <c r="HZM7" s="28"/>
      <c r="HZN7" s="28"/>
      <c r="HZO7" s="28"/>
      <c r="HZP7" s="28"/>
      <c r="HZQ7" s="28"/>
      <c r="HZR7" s="28"/>
      <c r="HZS7" s="28"/>
      <c r="HZT7" s="28"/>
      <c r="HZU7" s="28"/>
      <c r="HZV7" s="28"/>
      <c r="HZW7" s="28"/>
      <c r="HZX7" s="28"/>
      <c r="HZY7" s="28"/>
      <c r="HZZ7" s="28"/>
      <c r="IAA7" s="28"/>
      <c r="IAB7" s="28"/>
      <c r="IAC7" s="28"/>
      <c r="IAD7" s="28"/>
      <c r="IAE7" s="28"/>
      <c r="IAF7" s="28"/>
      <c r="IAG7" s="28"/>
      <c r="IAH7" s="28"/>
      <c r="IAI7" s="28"/>
      <c r="IAJ7" s="28"/>
      <c r="IAK7" s="28"/>
      <c r="IAL7" s="28"/>
      <c r="IAM7" s="28"/>
      <c r="IAN7" s="28"/>
      <c r="IAO7" s="28"/>
      <c r="IAP7" s="28"/>
      <c r="IAQ7" s="28"/>
      <c r="IAR7" s="28"/>
      <c r="IAS7" s="28"/>
      <c r="IAT7" s="28"/>
      <c r="IAU7" s="28"/>
      <c r="IAV7" s="28"/>
      <c r="IAW7" s="28"/>
      <c r="IAX7" s="28"/>
      <c r="IAY7" s="28"/>
      <c r="IAZ7" s="28"/>
      <c r="IBA7" s="28"/>
      <c r="IBB7" s="28"/>
      <c r="IBC7" s="28"/>
      <c r="IBD7" s="28"/>
      <c r="IBE7" s="28"/>
      <c r="IBF7" s="28"/>
      <c r="IBG7" s="28"/>
      <c r="IBH7" s="28"/>
      <c r="IBI7" s="28"/>
      <c r="IBJ7" s="28"/>
      <c r="IBK7" s="28"/>
      <c r="IBL7" s="28"/>
      <c r="IBM7" s="28"/>
      <c r="IBN7" s="28"/>
      <c r="IBO7" s="28"/>
      <c r="IBP7" s="28"/>
      <c r="IBQ7" s="28"/>
      <c r="IBR7" s="28"/>
      <c r="IBS7" s="28"/>
      <c r="IBT7" s="28"/>
      <c r="IBU7" s="28"/>
      <c r="IBV7" s="28"/>
      <c r="IBW7" s="28"/>
      <c r="IBX7" s="28"/>
      <c r="IBY7" s="28"/>
      <c r="IBZ7" s="28"/>
      <c r="ICA7" s="28"/>
      <c r="ICB7" s="28"/>
      <c r="ICC7" s="28"/>
      <c r="ICD7" s="28"/>
      <c r="ICE7" s="28"/>
      <c r="ICF7" s="28"/>
      <c r="ICG7" s="28"/>
      <c r="ICH7" s="28"/>
      <c r="ICI7" s="28"/>
      <c r="ICJ7" s="28"/>
      <c r="ICK7" s="28"/>
      <c r="ICL7" s="28"/>
      <c r="ICM7" s="28"/>
      <c r="ICN7" s="28"/>
      <c r="ICO7" s="28"/>
      <c r="ICP7" s="28"/>
      <c r="ICQ7" s="28"/>
      <c r="ICR7" s="28"/>
      <c r="ICS7" s="28"/>
      <c r="ICT7" s="28"/>
      <c r="ICU7" s="28"/>
      <c r="ICV7" s="28"/>
      <c r="ICW7" s="28"/>
      <c r="ICX7" s="28"/>
      <c r="ICY7" s="28"/>
      <c r="ICZ7" s="28"/>
      <c r="IDA7" s="28"/>
      <c r="IDB7" s="28"/>
      <c r="IDC7" s="28"/>
      <c r="IDD7" s="28"/>
      <c r="IDE7" s="28"/>
      <c r="IDF7" s="28"/>
      <c r="IDG7" s="28"/>
      <c r="IDH7" s="28"/>
      <c r="IDI7" s="28"/>
      <c r="IDJ7" s="28"/>
      <c r="IDK7" s="28"/>
      <c r="IDL7" s="28"/>
      <c r="IDM7" s="28"/>
      <c r="IDN7" s="28"/>
      <c r="IDO7" s="28"/>
      <c r="IDP7" s="28"/>
      <c r="IDQ7" s="28"/>
      <c r="IDR7" s="28"/>
      <c r="IDS7" s="28"/>
      <c r="IDT7" s="28"/>
      <c r="IDU7" s="28"/>
      <c r="IDV7" s="28"/>
      <c r="IDW7" s="28"/>
      <c r="IDX7" s="28"/>
      <c r="IDY7" s="28"/>
      <c r="IDZ7" s="28"/>
      <c r="IEA7" s="28"/>
      <c r="IEB7" s="28"/>
      <c r="IEC7" s="28"/>
      <c r="IED7" s="28"/>
      <c r="IEE7" s="28"/>
      <c r="IEF7" s="28"/>
      <c r="IEG7" s="28"/>
      <c r="IEH7" s="28"/>
      <c r="IEI7" s="28"/>
      <c r="IEJ7" s="28"/>
      <c r="IEK7" s="28"/>
      <c r="IEL7" s="28"/>
      <c r="IEM7" s="28"/>
      <c r="IEN7" s="28"/>
      <c r="IEO7" s="28"/>
      <c r="IEP7" s="28"/>
      <c r="IEQ7" s="28"/>
      <c r="IER7" s="28"/>
      <c r="IES7" s="28"/>
      <c r="IET7" s="28"/>
      <c r="IEU7" s="28"/>
      <c r="IEV7" s="28"/>
      <c r="IEW7" s="28"/>
      <c r="IEX7" s="28"/>
      <c r="IEY7" s="28"/>
      <c r="IEZ7" s="28"/>
      <c r="IFA7" s="28"/>
      <c r="IFB7" s="28"/>
      <c r="IFC7" s="28"/>
      <c r="IFD7" s="28"/>
      <c r="IFE7" s="28"/>
      <c r="IFF7" s="28"/>
      <c r="IFG7" s="28"/>
      <c r="IFH7" s="28"/>
      <c r="IFI7" s="28"/>
      <c r="IFJ7" s="28"/>
      <c r="IFK7" s="28"/>
      <c r="IFL7" s="28"/>
      <c r="IFM7" s="28"/>
      <c r="IFN7" s="28"/>
      <c r="IFO7" s="28"/>
      <c r="IFP7" s="28"/>
      <c r="IFQ7" s="28"/>
      <c r="IFR7" s="28"/>
      <c r="IFS7" s="28"/>
      <c r="IFT7" s="28"/>
      <c r="IFU7" s="28"/>
      <c r="IFV7" s="28"/>
      <c r="IFW7" s="28"/>
      <c r="IFX7" s="28"/>
      <c r="IFY7" s="28"/>
      <c r="IFZ7" s="28"/>
      <c r="IGA7" s="28"/>
      <c r="IGB7" s="28"/>
      <c r="IGC7" s="28"/>
      <c r="IGD7" s="28"/>
      <c r="IGE7" s="28"/>
      <c r="IGF7" s="28"/>
      <c r="IGG7" s="28"/>
      <c r="IGH7" s="28"/>
      <c r="IGI7" s="28"/>
      <c r="IGJ7" s="28"/>
      <c r="IGK7" s="28"/>
      <c r="IGL7" s="28"/>
      <c r="IGM7" s="28"/>
      <c r="IGN7" s="28"/>
      <c r="IGO7" s="28"/>
      <c r="IGP7" s="28"/>
      <c r="IGQ7" s="28"/>
      <c r="IGR7" s="28"/>
      <c r="IGS7" s="28"/>
      <c r="IGT7" s="28"/>
      <c r="IGU7" s="28"/>
      <c r="IGV7" s="28"/>
      <c r="IGW7" s="28"/>
      <c r="IGX7" s="28"/>
      <c r="IGY7" s="28"/>
      <c r="IGZ7" s="28"/>
      <c r="IHA7" s="28"/>
      <c r="IHB7" s="28"/>
      <c r="IHC7" s="28"/>
      <c r="IHD7" s="28"/>
      <c r="IHE7" s="28"/>
      <c r="IHF7" s="28"/>
      <c r="IHG7" s="28"/>
      <c r="IHH7" s="28"/>
      <c r="IHI7" s="28"/>
      <c r="IHJ7" s="28"/>
      <c r="IHK7" s="28"/>
      <c r="IHL7" s="28"/>
      <c r="IHM7" s="28"/>
      <c r="IHN7" s="28"/>
      <c r="IHO7" s="28"/>
      <c r="IHP7" s="28"/>
      <c r="IHQ7" s="28"/>
      <c r="IHR7" s="28"/>
      <c r="IHS7" s="28"/>
      <c r="IHT7" s="28"/>
      <c r="IHU7" s="28"/>
      <c r="IHV7" s="28"/>
      <c r="IHW7" s="28"/>
      <c r="IHX7" s="28"/>
      <c r="IHY7" s="28"/>
      <c r="IHZ7" s="28"/>
      <c r="IIA7" s="28"/>
      <c r="IIB7" s="28"/>
      <c r="IIC7" s="28"/>
      <c r="IID7" s="28"/>
      <c r="IIE7" s="28"/>
      <c r="IIF7" s="28"/>
      <c r="IIG7" s="28"/>
      <c r="IIH7" s="28"/>
      <c r="III7" s="28"/>
      <c r="IIJ7" s="28"/>
      <c r="IIK7" s="28"/>
      <c r="IIL7" s="28"/>
      <c r="IIM7" s="28"/>
      <c r="IIN7" s="28"/>
      <c r="IIO7" s="28"/>
      <c r="IIP7" s="28"/>
      <c r="IIQ7" s="28"/>
      <c r="IIR7" s="28"/>
      <c r="IIS7" s="28"/>
      <c r="IIT7" s="28"/>
      <c r="IIU7" s="28"/>
      <c r="IIV7" s="28"/>
      <c r="IIW7" s="28"/>
      <c r="IIX7" s="28"/>
      <c r="IIY7" s="28"/>
      <c r="IIZ7" s="28"/>
      <c r="IJA7" s="28"/>
      <c r="IJB7" s="28"/>
      <c r="IJC7" s="28"/>
      <c r="IJD7" s="28"/>
      <c r="IJE7" s="28"/>
      <c r="IJF7" s="28"/>
      <c r="IJG7" s="28"/>
      <c r="IJH7" s="28"/>
      <c r="IJI7" s="28"/>
      <c r="IJJ7" s="28"/>
      <c r="IJK7" s="28"/>
      <c r="IJL7" s="28"/>
      <c r="IJM7" s="28"/>
      <c r="IJN7" s="28"/>
      <c r="IJO7" s="28"/>
      <c r="IJP7" s="28"/>
      <c r="IJQ7" s="28"/>
      <c r="IJR7" s="28"/>
      <c r="IJS7" s="28"/>
      <c r="IJT7" s="28"/>
      <c r="IJU7" s="28"/>
      <c r="IJV7" s="28"/>
      <c r="IJW7" s="28"/>
      <c r="IJX7" s="28"/>
      <c r="IJY7" s="28"/>
      <c r="IJZ7" s="28"/>
      <c r="IKA7" s="28"/>
      <c r="IKB7" s="28"/>
      <c r="IKC7" s="28"/>
      <c r="IKD7" s="28"/>
      <c r="IKE7" s="28"/>
      <c r="IKF7" s="28"/>
      <c r="IKG7" s="28"/>
      <c r="IKH7" s="28"/>
      <c r="IKI7" s="28"/>
      <c r="IKJ7" s="28"/>
      <c r="IKK7" s="28"/>
      <c r="IKL7" s="28"/>
      <c r="IKM7" s="28"/>
      <c r="IKN7" s="28"/>
      <c r="IKO7" s="28"/>
      <c r="IKP7" s="28"/>
      <c r="IKQ7" s="28"/>
      <c r="IKR7" s="28"/>
      <c r="IKS7" s="28"/>
      <c r="IKT7" s="28"/>
      <c r="IKU7" s="28"/>
      <c r="IKV7" s="28"/>
      <c r="IKW7" s="28"/>
      <c r="IKX7" s="28"/>
      <c r="IKY7" s="28"/>
      <c r="IKZ7" s="28"/>
      <c r="ILA7" s="28"/>
      <c r="ILB7" s="28"/>
      <c r="ILC7" s="28"/>
      <c r="ILD7" s="28"/>
      <c r="ILE7" s="28"/>
      <c r="ILF7" s="28"/>
      <c r="ILG7" s="28"/>
      <c r="ILH7" s="28"/>
      <c r="ILI7" s="28"/>
      <c r="ILJ7" s="28"/>
      <c r="ILK7" s="28"/>
      <c r="ILL7" s="28"/>
      <c r="ILM7" s="28"/>
      <c r="ILN7" s="28"/>
      <c r="ILO7" s="28"/>
      <c r="ILP7" s="28"/>
      <c r="ILQ7" s="28"/>
      <c r="ILR7" s="28"/>
      <c r="ILS7" s="28"/>
      <c r="ILT7" s="28"/>
      <c r="ILU7" s="28"/>
      <c r="ILV7" s="28"/>
      <c r="ILW7" s="28"/>
      <c r="ILX7" s="28"/>
      <c r="ILY7" s="28"/>
      <c r="ILZ7" s="28"/>
      <c r="IMA7" s="28"/>
      <c r="IMB7" s="28"/>
      <c r="IMC7" s="28"/>
      <c r="IMD7" s="28"/>
      <c r="IME7" s="28"/>
      <c r="IMF7" s="28"/>
      <c r="IMG7" s="28"/>
      <c r="IMH7" s="28"/>
      <c r="IMI7" s="28"/>
      <c r="IMJ7" s="28"/>
      <c r="IMK7" s="28"/>
      <c r="IML7" s="28"/>
      <c r="IMM7" s="28"/>
      <c r="IMN7" s="28"/>
      <c r="IMO7" s="28"/>
      <c r="IMP7" s="28"/>
      <c r="IMQ7" s="28"/>
      <c r="IMR7" s="28"/>
      <c r="IMS7" s="28"/>
      <c r="IMT7" s="28"/>
      <c r="IMU7" s="28"/>
      <c r="IMV7" s="28"/>
      <c r="IMW7" s="28"/>
      <c r="IMX7" s="28"/>
      <c r="IMY7" s="28"/>
      <c r="IMZ7" s="28"/>
      <c r="INA7" s="28"/>
      <c r="INB7" s="28"/>
      <c r="INC7" s="28"/>
      <c r="IND7" s="28"/>
      <c r="INE7" s="28"/>
      <c r="INF7" s="28"/>
      <c r="ING7" s="28"/>
      <c r="INH7" s="28"/>
      <c r="INI7" s="28"/>
      <c r="INJ7" s="28"/>
      <c r="INK7" s="28"/>
      <c r="INL7" s="28"/>
      <c r="INM7" s="28"/>
      <c r="INN7" s="28"/>
      <c r="INO7" s="28"/>
      <c r="INP7" s="28"/>
      <c r="INQ7" s="28"/>
      <c r="INR7" s="28"/>
      <c r="INS7" s="28"/>
      <c r="INT7" s="28"/>
      <c r="INU7" s="28"/>
      <c r="INV7" s="28"/>
      <c r="INW7" s="28"/>
      <c r="INX7" s="28"/>
      <c r="INY7" s="28"/>
      <c r="INZ7" s="28"/>
      <c r="IOA7" s="28"/>
      <c r="IOB7" s="28"/>
      <c r="IOC7" s="28"/>
      <c r="IOD7" s="28"/>
      <c r="IOE7" s="28"/>
      <c r="IOF7" s="28"/>
      <c r="IOG7" s="28"/>
      <c r="IOH7" s="28"/>
      <c r="IOI7" s="28"/>
      <c r="IOJ7" s="28"/>
      <c r="IOK7" s="28"/>
      <c r="IOL7" s="28"/>
      <c r="IOM7" s="28"/>
      <c r="ION7" s="28"/>
      <c r="IOO7" s="28"/>
      <c r="IOP7" s="28"/>
      <c r="IOQ7" s="28"/>
      <c r="IOR7" s="28"/>
      <c r="IOS7" s="28"/>
      <c r="IOT7" s="28"/>
      <c r="IOU7" s="28"/>
      <c r="IOV7" s="28"/>
      <c r="IOW7" s="28"/>
      <c r="IOX7" s="28"/>
      <c r="IOY7" s="28"/>
      <c r="IOZ7" s="28"/>
      <c r="IPA7" s="28"/>
      <c r="IPB7" s="28"/>
      <c r="IPC7" s="28"/>
      <c r="IPD7" s="28"/>
      <c r="IPE7" s="28"/>
      <c r="IPF7" s="28"/>
      <c r="IPG7" s="28"/>
      <c r="IPH7" s="28"/>
      <c r="IPI7" s="28"/>
      <c r="IPJ7" s="28"/>
      <c r="IPK7" s="28"/>
      <c r="IPL7" s="28"/>
      <c r="IPM7" s="28"/>
      <c r="IPN7" s="28"/>
      <c r="IPO7" s="28"/>
      <c r="IPP7" s="28"/>
      <c r="IPQ7" s="28"/>
      <c r="IPR7" s="28"/>
      <c r="IPS7" s="28"/>
      <c r="IPT7" s="28"/>
      <c r="IPU7" s="28"/>
      <c r="IPV7" s="28"/>
      <c r="IPW7" s="28"/>
      <c r="IPX7" s="28"/>
      <c r="IPY7" s="28"/>
      <c r="IPZ7" s="28"/>
      <c r="IQA7" s="28"/>
      <c r="IQB7" s="28"/>
      <c r="IQC7" s="28"/>
      <c r="IQD7" s="28"/>
      <c r="IQE7" s="28"/>
      <c r="IQF7" s="28"/>
      <c r="IQG7" s="28"/>
      <c r="IQH7" s="28"/>
      <c r="IQI7" s="28"/>
      <c r="IQJ7" s="28"/>
      <c r="IQK7" s="28"/>
      <c r="IQL7" s="28"/>
      <c r="IQM7" s="28"/>
      <c r="IQN7" s="28"/>
      <c r="IQO7" s="28"/>
      <c r="IQP7" s="28"/>
      <c r="IQQ7" s="28"/>
      <c r="IQR7" s="28"/>
      <c r="IQS7" s="28"/>
      <c r="IQT7" s="28"/>
      <c r="IQU7" s="28"/>
      <c r="IQV7" s="28"/>
      <c r="IQW7" s="28"/>
      <c r="IQX7" s="28"/>
      <c r="IQY7" s="28"/>
      <c r="IQZ7" s="28"/>
      <c r="IRA7" s="28"/>
      <c r="IRB7" s="28"/>
      <c r="IRC7" s="28"/>
      <c r="IRD7" s="28"/>
      <c r="IRE7" s="28"/>
      <c r="IRF7" s="28"/>
      <c r="IRG7" s="28"/>
      <c r="IRH7" s="28"/>
      <c r="IRI7" s="28"/>
      <c r="IRJ7" s="28"/>
      <c r="IRK7" s="28"/>
      <c r="IRL7" s="28"/>
      <c r="IRM7" s="28"/>
      <c r="IRN7" s="28"/>
      <c r="IRO7" s="28"/>
      <c r="IRP7" s="28"/>
      <c r="IRQ7" s="28"/>
      <c r="IRR7" s="28"/>
      <c r="IRS7" s="28"/>
      <c r="IRT7" s="28"/>
      <c r="IRU7" s="28"/>
      <c r="IRV7" s="28"/>
      <c r="IRW7" s="28"/>
      <c r="IRX7" s="28"/>
      <c r="IRY7" s="28"/>
      <c r="IRZ7" s="28"/>
      <c r="ISA7" s="28"/>
      <c r="ISB7" s="28"/>
      <c r="ISC7" s="28"/>
      <c r="ISD7" s="28"/>
      <c r="ISE7" s="28"/>
      <c r="ISF7" s="28"/>
      <c r="ISG7" s="28"/>
      <c r="ISH7" s="28"/>
      <c r="ISI7" s="28"/>
      <c r="ISJ7" s="28"/>
      <c r="ISK7" s="28"/>
      <c r="ISL7" s="28"/>
      <c r="ISM7" s="28"/>
      <c r="ISN7" s="28"/>
      <c r="ISO7" s="28"/>
      <c r="ISP7" s="28"/>
      <c r="ISQ7" s="28"/>
      <c r="ISR7" s="28"/>
      <c r="ISS7" s="28"/>
      <c r="IST7" s="28"/>
      <c r="ISU7" s="28"/>
      <c r="ISV7" s="28"/>
      <c r="ISW7" s="28"/>
      <c r="ISX7" s="28"/>
      <c r="ISY7" s="28"/>
      <c r="ISZ7" s="28"/>
      <c r="ITA7" s="28"/>
      <c r="ITB7" s="28"/>
      <c r="ITC7" s="28"/>
      <c r="ITD7" s="28"/>
      <c r="ITE7" s="28"/>
      <c r="ITF7" s="28"/>
      <c r="ITG7" s="28"/>
      <c r="ITH7" s="28"/>
      <c r="ITI7" s="28"/>
      <c r="ITJ7" s="28"/>
      <c r="ITK7" s="28"/>
      <c r="ITL7" s="28"/>
      <c r="ITM7" s="28"/>
      <c r="ITN7" s="28"/>
      <c r="ITO7" s="28"/>
      <c r="ITP7" s="28"/>
      <c r="ITQ7" s="28"/>
      <c r="ITR7" s="28"/>
      <c r="ITS7" s="28"/>
      <c r="ITT7" s="28"/>
      <c r="ITU7" s="28"/>
      <c r="ITV7" s="28"/>
      <c r="ITW7" s="28"/>
      <c r="ITX7" s="28"/>
      <c r="ITY7" s="28"/>
      <c r="ITZ7" s="28"/>
      <c r="IUA7" s="28"/>
      <c r="IUB7" s="28"/>
      <c r="IUC7" s="28"/>
      <c r="IUD7" s="28"/>
      <c r="IUE7" s="28"/>
      <c r="IUF7" s="28"/>
      <c r="IUG7" s="28"/>
      <c r="IUH7" s="28"/>
      <c r="IUI7" s="28"/>
      <c r="IUJ7" s="28"/>
      <c r="IUK7" s="28"/>
      <c r="IUL7" s="28"/>
      <c r="IUM7" s="28"/>
      <c r="IUN7" s="28"/>
      <c r="IUO7" s="28"/>
      <c r="IUP7" s="28"/>
      <c r="IUQ7" s="28"/>
      <c r="IUR7" s="28"/>
      <c r="IUS7" s="28"/>
      <c r="IUT7" s="28"/>
      <c r="IUU7" s="28"/>
      <c r="IUV7" s="28"/>
      <c r="IUW7" s="28"/>
      <c r="IUX7" s="28"/>
      <c r="IUY7" s="28"/>
      <c r="IUZ7" s="28"/>
      <c r="IVA7" s="28"/>
      <c r="IVB7" s="28"/>
      <c r="IVC7" s="28"/>
      <c r="IVD7" s="28"/>
      <c r="IVE7" s="28"/>
      <c r="IVF7" s="28"/>
      <c r="IVG7" s="28"/>
      <c r="IVH7" s="28"/>
      <c r="IVI7" s="28"/>
      <c r="IVJ7" s="28"/>
      <c r="IVK7" s="28"/>
      <c r="IVL7" s="28"/>
      <c r="IVM7" s="28"/>
      <c r="IVN7" s="28"/>
      <c r="IVO7" s="28"/>
      <c r="IVP7" s="28"/>
      <c r="IVQ7" s="28"/>
      <c r="IVR7" s="28"/>
      <c r="IVS7" s="28"/>
      <c r="IVT7" s="28"/>
      <c r="IVU7" s="28"/>
      <c r="IVV7" s="28"/>
      <c r="IVW7" s="28"/>
      <c r="IVX7" s="28"/>
      <c r="IVY7" s="28"/>
      <c r="IVZ7" s="28"/>
      <c r="IWA7" s="28"/>
      <c r="IWB7" s="28"/>
      <c r="IWC7" s="28"/>
      <c r="IWD7" s="28"/>
      <c r="IWE7" s="28"/>
      <c r="IWF7" s="28"/>
      <c r="IWG7" s="28"/>
      <c r="IWH7" s="28"/>
      <c r="IWI7" s="28"/>
      <c r="IWJ7" s="28"/>
      <c r="IWK7" s="28"/>
      <c r="IWL7" s="28"/>
      <c r="IWM7" s="28"/>
      <c r="IWN7" s="28"/>
      <c r="IWO7" s="28"/>
      <c r="IWP7" s="28"/>
      <c r="IWQ7" s="28"/>
      <c r="IWR7" s="28"/>
      <c r="IWS7" s="28"/>
      <c r="IWT7" s="28"/>
      <c r="IWU7" s="28"/>
      <c r="IWV7" s="28"/>
      <c r="IWW7" s="28"/>
      <c r="IWX7" s="28"/>
      <c r="IWY7" s="28"/>
      <c r="IWZ7" s="28"/>
      <c r="IXA7" s="28"/>
      <c r="IXB7" s="28"/>
      <c r="IXC7" s="28"/>
      <c r="IXD7" s="28"/>
      <c r="IXE7" s="28"/>
      <c r="IXF7" s="28"/>
      <c r="IXG7" s="28"/>
      <c r="IXH7" s="28"/>
      <c r="IXI7" s="28"/>
      <c r="IXJ7" s="28"/>
      <c r="IXK7" s="28"/>
      <c r="IXL7" s="28"/>
      <c r="IXM7" s="28"/>
      <c r="IXN7" s="28"/>
      <c r="IXO7" s="28"/>
      <c r="IXP7" s="28"/>
      <c r="IXQ7" s="28"/>
      <c r="IXR7" s="28"/>
      <c r="IXS7" s="28"/>
      <c r="IXT7" s="28"/>
      <c r="IXU7" s="28"/>
      <c r="IXV7" s="28"/>
      <c r="IXW7" s="28"/>
      <c r="IXX7" s="28"/>
      <c r="IXY7" s="28"/>
      <c r="IXZ7" s="28"/>
      <c r="IYA7" s="28"/>
      <c r="IYB7" s="28"/>
      <c r="IYC7" s="28"/>
      <c r="IYD7" s="28"/>
      <c r="IYE7" s="28"/>
      <c r="IYF7" s="28"/>
      <c r="IYG7" s="28"/>
      <c r="IYH7" s="28"/>
      <c r="IYI7" s="28"/>
      <c r="IYJ7" s="28"/>
      <c r="IYK7" s="28"/>
      <c r="IYL7" s="28"/>
      <c r="IYM7" s="28"/>
      <c r="IYN7" s="28"/>
      <c r="IYO7" s="28"/>
      <c r="IYP7" s="28"/>
      <c r="IYQ7" s="28"/>
      <c r="IYR7" s="28"/>
      <c r="IYS7" s="28"/>
      <c r="IYT7" s="28"/>
      <c r="IYU7" s="28"/>
      <c r="IYV7" s="28"/>
      <c r="IYW7" s="28"/>
      <c r="IYX7" s="28"/>
      <c r="IYY7" s="28"/>
      <c r="IYZ7" s="28"/>
      <c r="IZA7" s="28"/>
      <c r="IZB7" s="28"/>
      <c r="IZC7" s="28"/>
      <c r="IZD7" s="28"/>
      <c r="IZE7" s="28"/>
      <c r="IZF7" s="28"/>
      <c r="IZG7" s="28"/>
      <c r="IZH7" s="28"/>
      <c r="IZI7" s="28"/>
      <c r="IZJ7" s="28"/>
      <c r="IZK7" s="28"/>
      <c r="IZL7" s="28"/>
      <c r="IZM7" s="28"/>
      <c r="IZN7" s="28"/>
      <c r="IZO7" s="28"/>
      <c r="IZP7" s="28"/>
      <c r="IZQ7" s="28"/>
      <c r="IZR7" s="28"/>
      <c r="IZS7" s="28"/>
      <c r="IZT7" s="28"/>
      <c r="IZU7" s="28"/>
      <c r="IZV7" s="28"/>
      <c r="IZW7" s="28"/>
      <c r="IZX7" s="28"/>
      <c r="IZY7" s="28"/>
      <c r="IZZ7" s="28"/>
      <c r="JAA7" s="28"/>
      <c r="JAB7" s="28"/>
      <c r="JAC7" s="28"/>
      <c r="JAD7" s="28"/>
      <c r="JAE7" s="28"/>
      <c r="JAF7" s="28"/>
      <c r="JAG7" s="28"/>
      <c r="JAH7" s="28"/>
      <c r="JAI7" s="28"/>
      <c r="JAJ7" s="28"/>
      <c r="JAK7" s="28"/>
      <c r="JAL7" s="28"/>
      <c r="JAM7" s="28"/>
      <c r="JAN7" s="28"/>
      <c r="JAO7" s="28"/>
      <c r="JAP7" s="28"/>
      <c r="JAQ7" s="28"/>
      <c r="JAR7" s="28"/>
      <c r="JAS7" s="28"/>
      <c r="JAT7" s="28"/>
      <c r="JAU7" s="28"/>
      <c r="JAV7" s="28"/>
      <c r="JAW7" s="28"/>
      <c r="JAX7" s="28"/>
      <c r="JAY7" s="28"/>
      <c r="JAZ7" s="28"/>
      <c r="JBA7" s="28"/>
      <c r="JBB7" s="28"/>
      <c r="JBC7" s="28"/>
      <c r="JBD7" s="28"/>
      <c r="JBE7" s="28"/>
      <c r="JBF7" s="28"/>
      <c r="JBG7" s="28"/>
      <c r="JBH7" s="28"/>
      <c r="JBI7" s="28"/>
      <c r="JBJ7" s="28"/>
      <c r="JBK7" s="28"/>
      <c r="JBL7" s="28"/>
      <c r="JBM7" s="28"/>
      <c r="JBN7" s="28"/>
      <c r="JBO7" s="28"/>
      <c r="JBP7" s="28"/>
      <c r="JBQ7" s="28"/>
      <c r="JBR7" s="28"/>
      <c r="JBS7" s="28"/>
      <c r="JBT7" s="28"/>
      <c r="JBU7" s="28"/>
      <c r="JBV7" s="28"/>
      <c r="JBW7" s="28"/>
      <c r="JBX7" s="28"/>
      <c r="JBY7" s="28"/>
      <c r="JBZ7" s="28"/>
      <c r="JCA7" s="28"/>
      <c r="JCB7" s="28"/>
      <c r="JCC7" s="28"/>
      <c r="JCD7" s="28"/>
      <c r="JCE7" s="28"/>
      <c r="JCF7" s="28"/>
      <c r="JCG7" s="28"/>
      <c r="JCH7" s="28"/>
      <c r="JCI7" s="28"/>
      <c r="JCJ7" s="28"/>
      <c r="JCK7" s="28"/>
      <c r="JCL7" s="28"/>
      <c r="JCM7" s="28"/>
      <c r="JCN7" s="28"/>
      <c r="JCO7" s="28"/>
      <c r="JCP7" s="28"/>
      <c r="JCQ7" s="28"/>
      <c r="JCR7" s="28"/>
      <c r="JCS7" s="28"/>
      <c r="JCT7" s="28"/>
      <c r="JCU7" s="28"/>
      <c r="JCV7" s="28"/>
      <c r="JCW7" s="28"/>
      <c r="JCX7" s="28"/>
      <c r="JCY7" s="28"/>
      <c r="JCZ7" s="28"/>
      <c r="JDA7" s="28"/>
      <c r="JDB7" s="28"/>
      <c r="JDC7" s="28"/>
      <c r="JDD7" s="28"/>
      <c r="JDE7" s="28"/>
      <c r="JDF7" s="28"/>
      <c r="JDG7" s="28"/>
      <c r="JDH7" s="28"/>
      <c r="JDI7" s="28"/>
      <c r="JDJ7" s="28"/>
      <c r="JDK7" s="28"/>
      <c r="JDL7" s="28"/>
      <c r="JDM7" s="28"/>
      <c r="JDN7" s="28"/>
      <c r="JDO7" s="28"/>
      <c r="JDP7" s="28"/>
      <c r="JDQ7" s="28"/>
      <c r="JDR7" s="28"/>
      <c r="JDS7" s="28"/>
      <c r="JDT7" s="28"/>
      <c r="JDU7" s="28"/>
      <c r="JDV7" s="28"/>
      <c r="JDW7" s="28"/>
      <c r="JDX7" s="28"/>
      <c r="JDY7" s="28"/>
      <c r="JDZ7" s="28"/>
      <c r="JEA7" s="28"/>
      <c r="JEB7" s="28"/>
      <c r="JEC7" s="28"/>
      <c r="JED7" s="28"/>
      <c r="JEE7" s="28"/>
      <c r="JEF7" s="28"/>
      <c r="JEG7" s="28"/>
      <c r="JEH7" s="28"/>
      <c r="JEI7" s="28"/>
      <c r="JEJ7" s="28"/>
      <c r="JEK7" s="28"/>
      <c r="JEL7" s="28"/>
      <c r="JEM7" s="28"/>
      <c r="JEN7" s="28"/>
      <c r="JEO7" s="28"/>
      <c r="JEP7" s="28"/>
      <c r="JEQ7" s="28"/>
      <c r="JER7" s="28"/>
      <c r="JES7" s="28"/>
      <c r="JET7" s="28"/>
      <c r="JEU7" s="28"/>
      <c r="JEV7" s="28"/>
      <c r="JEW7" s="28"/>
      <c r="JEX7" s="28"/>
      <c r="JEY7" s="28"/>
      <c r="JEZ7" s="28"/>
      <c r="JFA7" s="28"/>
      <c r="JFB7" s="28"/>
      <c r="JFC7" s="28"/>
      <c r="JFD7" s="28"/>
      <c r="JFE7" s="28"/>
      <c r="JFF7" s="28"/>
      <c r="JFG7" s="28"/>
      <c r="JFH7" s="28"/>
      <c r="JFI7" s="28"/>
      <c r="JFJ7" s="28"/>
      <c r="JFK7" s="28"/>
      <c r="JFL7" s="28"/>
      <c r="JFM7" s="28"/>
      <c r="JFN7" s="28"/>
      <c r="JFO7" s="28"/>
      <c r="JFP7" s="28"/>
      <c r="JFQ7" s="28"/>
      <c r="JFR7" s="28"/>
      <c r="JFS7" s="28"/>
      <c r="JFT7" s="28"/>
      <c r="JFU7" s="28"/>
      <c r="JFV7" s="28"/>
      <c r="JFW7" s="28"/>
      <c r="JFX7" s="28"/>
      <c r="JFY7" s="28"/>
      <c r="JFZ7" s="28"/>
      <c r="JGA7" s="28"/>
      <c r="JGB7" s="28"/>
      <c r="JGC7" s="28"/>
      <c r="JGD7" s="28"/>
      <c r="JGE7" s="28"/>
      <c r="JGF7" s="28"/>
      <c r="JGG7" s="28"/>
      <c r="JGH7" s="28"/>
      <c r="JGI7" s="28"/>
      <c r="JGJ7" s="28"/>
      <c r="JGK7" s="28"/>
      <c r="JGL7" s="28"/>
      <c r="JGM7" s="28"/>
      <c r="JGN7" s="28"/>
      <c r="JGO7" s="28"/>
      <c r="JGP7" s="28"/>
      <c r="JGQ7" s="28"/>
      <c r="JGR7" s="28"/>
      <c r="JGS7" s="28"/>
      <c r="JGT7" s="28"/>
      <c r="JGU7" s="28"/>
      <c r="JGV7" s="28"/>
      <c r="JGW7" s="28"/>
      <c r="JGX7" s="28"/>
      <c r="JGY7" s="28"/>
      <c r="JGZ7" s="28"/>
      <c r="JHA7" s="28"/>
      <c r="JHB7" s="28"/>
      <c r="JHC7" s="28"/>
      <c r="JHD7" s="28"/>
      <c r="JHE7" s="28"/>
      <c r="JHF7" s="28"/>
      <c r="JHG7" s="28"/>
      <c r="JHH7" s="28"/>
      <c r="JHI7" s="28"/>
      <c r="JHJ7" s="28"/>
      <c r="JHK7" s="28"/>
      <c r="JHL7" s="28"/>
      <c r="JHM7" s="28"/>
      <c r="JHN7" s="28"/>
      <c r="JHO7" s="28"/>
      <c r="JHP7" s="28"/>
      <c r="JHQ7" s="28"/>
      <c r="JHR7" s="28"/>
      <c r="JHS7" s="28"/>
      <c r="JHT7" s="28"/>
      <c r="JHU7" s="28"/>
      <c r="JHV7" s="28"/>
      <c r="JHW7" s="28"/>
      <c r="JHX7" s="28"/>
      <c r="JHY7" s="28"/>
      <c r="JHZ7" s="28"/>
      <c r="JIA7" s="28"/>
      <c r="JIB7" s="28"/>
      <c r="JIC7" s="28"/>
      <c r="JID7" s="28"/>
      <c r="JIE7" s="28"/>
      <c r="JIF7" s="28"/>
      <c r="JIG7" s="28"/>
      <c r="JIH7" s="28"/>
      <c r="JII7" s="28"/>
      <c r="JIJ7" s="28"/>
      <c r="JIK7" s="28"/>
      <c r="JIL7" s="28"/>
      <c r="JIM7" s="28"/>
      <c r="JIN7" s="28"/>
      <c r="JIO7" s="28"/>
      <c r="JIP7" s="28"/>
      <c r="JIQ7" s="28"/>
      <c r="JIR7" s="28"/>
      <c r="JIS7" s="28"/>
      <c r="JIT7" s="28"/>
      <c r="JIU7" s="28"/>
      <c r="JIV7" s="28"/>
      <c r="JIW7" s="28"/>
      <c r="JIX7" s="28"/>
      <c r="JIY7" s="28"/>
      <c r="JIZ7" s="28"/>
      <c r="JJA7" s="28"/>
      <c r="JJB7" s="28"/>
      <c r="JJC7" s="28"/>
      <c r="JJD7" s="28"/>
      <c r="JJE7" s="28"/>
      <c r="JJF7" s="28"/>
      <c r="JJG7" s="28"/>
      <c r="JJH7" s="28"/>
      <c r="JJI7" s="28"/>
      <c r="JJJ7" s="28"/>
      <c r="JJK7" s="28"/>
      <c r="JJL7" s="28"/>
      <c r="JJM7" s="28"/>
      <c r="JJN7" s="28"/>
      <c r="JJO7" s="28"/>
      <c r="JJP7" s="28"/>
      <c r="JJQ7" s="28"/>
      <c r="JJR7" s="28"/>
      <c r="JJS7" s="28"/>
      <c r="JJT7" s="28"/>
      <c r="JJU7" s="28"/>
      <c r="JJV7" s="28"/>
      <c r="JJW7" s="28"/>
      <c r="JJX7" s="28"/>
      <c r="JJY7" s="28"/>
      <c r="JJZ7" s="28"/>
      <c r="JKA7" s="28"/>
      <c r="JKB7" s="28"/>
      <c r="JKC7" s="28"/>
      <c r="JKD7" s="28"/>
      <c r="JKE7" s="28"/>
      <c r="JKF7" s="28"/>
      <c r="JKG7" s="28"/>
      <c r="JKH7" s="28"/>
      <c r="JKI7" s="28"/>
      <c r="JKJ7" s="28"/>
      <c r="JKK7" s="28"/>
      <c r="JKL7" s="28"/>
      <c r="JKM7" s="28"/>
      <c r="JKN7" s="28"/>
      <c r="JKO7" s="28"/>
      <c r="JKP7" s="28"/>
      <c r="JKQ7" s="28"/>
      <c r="JKR7" s="28"/>
      <c r="JKS7" s="28"/>
      <c r="JKT7" s="28"/>
      <c r="JKU7" s="28"/>
      <c r="JKV7" s="28"/>
      <c r="JKW7" s="28"/>
      <c r="JKX7" s="28"/>
      <c r="JKY7" s="28"/>
      <c r="JKZ7" s="28"/>
      <c r="JLA7" s="28"/>
      <c r="JLB7" s="28"/>
      <c r="JLC7" s="28"/>
      <c r="JLD7" s="28"/>
      <c r="JLE7" s="28"/>
      <c r="JLF7" s="28"/>
      <c r="JLG7" s="28"/>
      <c r="JLH7" s="28"/>
      <c r="JLI7" s="28"/>
      <c r="JLJ7" s="28"/>
      <c r="JLK7" s="28"/>
      <c r="JLL7" s="28"/>
      <c r="JLM7" s="28"/>
      <c r="JLN7" s="28"/>
      <c r="JLO7" s="28"/>
      <c r="JLP7" s="28"/>
      <c r="JLQ7" s="28"/>
      <c r="JLR7" s="28"/>
      <c r="JLS7" s="28"/>
      <c r="JLT7" s="28"/>
      <c r="JLU7" s="28"/>
      <c r="JLV7" s="28"/>
      <c r="JLW7" s="28"/>
      <c r="JLX7" s="28"/>
      <c r="JLY7" s="28"/>
      <c r="JLZ7" s="28"/>
      <c r="JMA7" s="28"/>
      <c r="JMB7" s="28"/>
      <c r="JMC7" s="28"/>
      <c r="JMD7" s="28"/>
      <c r="JME7" s="28"/>
      <c r="JMF7" s="28"/>
      <c r="JMG7" s="28"/>
      <c r="JMH7" s="28"/>
      <c r="JMI7" s="28"/>
      <c r="JMJ7" s="28"/>
      <c r="JMK7" s="28"/>
      <c r="JML7" s="28"/>
      <c r="JMM7" s="28"/>
      <c r="JMN7" s="28"/>
      <c r="JMO7" s="28"/>
      <c r="JMP7" s="28"/>
      <c r="JMQ7" s="28"/>
      <c r="JMR7" s="28"/>
      <c r="JMS7" s="28"/>
      <c r="JMT7" s="28"/>
      <c r="JMU7" s="28"/>
      <c r="JMV7" s="28"/>
      <c r="JMW7" s="28"/>
      <c r="JMX7" s="28"/>
      <c r="JMY7" s="28"/>
      <c r="JMZ7" s="28"/>
      <c r="JNA7" s="28"/>
      <c r="JNB7" s="28"/>
      <c r="JNC7" s="28"/>
      <c r="JND7" s="28"/>
      <c r="JNE7" s="28"/>
      <c r="JNF7" s="28"/>
      <c r="JNG7" s="28"/>
      <c r="JNH7" s="28"/>
      <c r="JNI7" s="28"/>
      <c r="JNJ7" s="28"/>
      <c r="JNK7" s="28"/>
      <c r="JNL7" s="28"/>
      <c r="JNM7" s="28"/>
      <c r="JNN7" s="28"/>
      <c r="JNO7" s="28"/>
      <c r="JNP7" s="28"/>
      <c r="JNQ7" s="28"/>
      <c r="JNR7" s="28"/>
      <c r="JNS7" s="28"/>
      <c r="JNT7" s="28"/>
      <c r="JNU7" s="28"/>
      <c r="JNV7" s="28"/>
      <c r="JNW7" s="28"/>
      <c r="JNX7" s="28"/>
      <c r="JNY7" s="28"/>
      <c r="JNZ7" s="28"/>
      <c r="JOA7" s="28"/>
      <c r="JOB7" s="28"/>
      <c r="JOC7" s="28"/>
      <c r="JOD7" s="28"/>
      <c r="JOE7" s="28"/>
      <c r="JOF7" s="28"/>
      <c r="JOG7" s="28"/>
      <c r="JOH7" s="28"/>
      <c r="JOI7" s="28"/>
      <c r="JOJ7" s="28"/>
      <c r="JOK7" s="28"/>
      <c r="JOL7" s="28"/>
      <c r="JOM7" s="28"/>
      <c r="JON7" s="28"/>
      <c r="JOO7" s="28"/>
      <c r="JOP7" s="28"/>
      <c r="JOQ7" s="28"/>
      <c r="JOR7" s="28"/>
      <c r="JOS7" s="28"/>
      <c r="JOT7" s="28"/>
      <c r="JOU7" s="28"/>
      <c r="JOV7" s="28"/>
      <c r="JOW7" s="28"/>
      <c r="JOX7" s="28"/>
      <c r="JOY7" s="28"/>
      <c r="JOZ7" s="28"/>
      <c r="JPA7" s="28"/>
      <c r="JPB7" s="28"/>
      <c r="JPC7" s="28"/>
      <c r="JPD7" s="28"/>
      <c r="JPE7" s="28"/>
      <c r="JPF7" s="28"/>
      <c r="JPG7" s="28"/>
      <c r="JPH7" s="28"/>
      <c r="JPI7" s="28"/>
      <c r="JPJ7" s="28"/>
      <c r="JPK7" s="28"/>
      <c r="JPL7" s="28"/>
      <c r="JPM7" s="28"/>
      <c r="JPN7" s="28"/>
      <c r="JPO7" s="28"/>
      <c r="JPP7" s="28"/>
      <c r="JPQ7" s="28"/>
      <c r="JPR7" s="28"/>
      <c r="JPS7" s="28"/>
      <c r="JPT7" s="28"/>
      <c r="JPU7" s="28"/>
      <c r="JPV7" s="28"/>
      <c r="JPW7" s="28"/>
      <c r="JPX7" s="28"/>
      <c r="JPY7" s="28"/>
      <c r="JPZ7" s="28"/>
      <c r="JQA7" s="28"/>
      <c r="JQB7" s="28"/>
      <c r="JQC7" s="28"/>
      <c r="JQD7" s="28"/>
      <c r="JQE7" s="28"/>
      <c r="JQF7" s="28"/>
      <c r="JQG7" s="28"/>
      <c r="JQH7" s="28"/>
      <c r="JQI7" s="28"/>
      <c r="JQJ7" s="28"/>
      <c r="JQK7" s="28"/>
      <c r="JQL7" s="28"/>
      <c r="JQM7" s="28"/>
      <c r="JQN7" s="28"/>
      <c r="JQO7" s="28"/>
      <c r="JQP7" s="28"/>
      <c r="JQQ7" s="28"/>
      <c r="JQR7" s="28"/>
      <c r="JQS7" s="28"/>
      <c r="JQT7" s="28"/>
      <c r="JQU7" s="28"/>
      <c r="JQV7" s="28"/>
      <c r="JQW7" s="28"/>
      <c r="JQX7" s="28"/>
      <c r="JQY7" s="28"/>
      <c r="JQZ7" s="28"/>
      <c r="JRA7" s="28"/>
      <c r="JRB7" s="28"/>
      <c r="JRC7" s="28"/>
      <c r="JRD7" s="28"/>
      <c r="JRE7" s="28"/>
      <c r="JRF7" s="28"/>
      <c r="JRG7" s="28"/>
      <c r="JRH7" s="28"/>
      <c r="JRI7" s="28"/>
      <c r="JRJ7" s="28"/>
      <c r="JRK7" s="28"/>
      <c r="JRL7" s="28"/>
      <c r="JRM7" s="28"/>
      <c r="JRN7" s="28"/>
      <c r="JRO7" s="28"/>
      <c r="JRP7" s="28"/>
      <c r="JRQ7" s="28"/>
      <c r="JRR7" s="28"/>
      <c r="JRS7" s="28"/>
      <c r="JRT7" s="28"/>
      <c r="JRU7" s="28"/>
      <c r="JRV7" s="28"/>
      <c r="JRW7" s="28"/>
      <c r="JRX7" s="28"/>
      <c r="JRY7" s="28"/>
      <c r="JRZ7" s="28"/>
      <c r="JSA7" s="28"/>
      <c r="JSB7" s="28"/>
      <c r="JSC7" s="28"/>
      <c r="JSD7" s="28"/>
      <c r="JSE7" s="28"/>
      <c r="JSF7" s="28"/>
      <c r="JSG7" s="28"/>
      <c r="JSH7" s="28"/>
      <c r="JSI7" s="28"/>
      <c r="JSJ7" s="28"/>
      <c r="JSK7" s="28"/>
      <c r="JSL7" s="28"/>
      <c r="JSM7" s="28"/>
      <c r="JSN7" s="28"/>
      <c r="JSO7" s="28"/>
      <c r="JSP7" s="28"/>
      <c r="JSQ7" s="28"/>
      <c r="JSR7" s="28"/>
      <c r="JSS7" s="28"/>
      <c r="JST7" s="28"/>
      <c r="JSU7" s="28"/>
      <c r="JSV7" s="28"/>
      <c r="JSW7" s="28"/>
      <c r="JSX7" s="28"/>
      <c r="JSY7" s="28"/>
      <c r="JSZ7" s="28"/>
      <c r="JTA7" s="28"/>
      <c r="JTB7" s="28"/>
      <c r="JTC7" s="28"/>
      <c r="JTD7" s="28"/>
      <c r="JTE7" s="28"/>
      <c r="JTF7" s="28"/>
      <c r="JTG7" s="28"/>
      <c r="JTH7" s="28"/>
      <c r="JTI7" s="28"/>
      <c r="JTJ7" s="28"/>
      <c r="JTK7" s="28"/>
      <c r="JTL7" s="28"/>
      <c r="JTM7" s="28"/>
      <c r="JTN7" s="28"/>
      <c r="JTO7" s="28"/>
      <c r="JTP7" s="28"/>
      <c r="JTQ7" s="28"/>
      <c r="JTR7" s="28"/>
      <c r="JTS7" s="28"/>
      <c r="JTT7" s="28"/>
      <c r="JTU7" s="28"/>
      <c r="JTV7" s="28"/>
      <c r="JTW7" s="28"/>
      <c r="JTX7" s="28"/>
      <c r="JTY7" s="28"/>
      <c r="JTZ7" s="28"/>
      <c r="JUA7" s="28"/>
      <c r="JUB7" s="28"/>
      <c r="JUC7" s="28"/>
      <c r="JUD7" s="28"/>
      <c r="JUE7" s="28"/>
      <c r="JUF7" s="28"/>
      <c r="JUG7" s="28"/>
      <c r="JUH7" s="28"/>
      <c r="JUI7" s="28"/>
      <c r="JUJ7" s="28"/>
      <c r="JUK7" s="28"/>
      <c r="JUL7" s="28"/>
      <c r="JUM7" s="28"/>
      <c r="JUN7" s="28"/>
      <c r="JUO7" s="28"/>
      <c r="JUP7" s="28"/>
      <c r="JUQ7" s="28"/>
      <c r="JUR7" s="28"/>
      <c r="JUS7" s="28"/>
      <c r="JUT7" s="28"/>
      <c r="JUU7" s="28"/>
      <c r="JUV7" s="28"/>
      <c r="JUW7" s="28"/>
      <c r="JUX7" s="28"/>
      <c r="JUY7" s="28"/>
      <c r="JUZ7" s="28"/>
      <c r="JVA7" s="28"/>
      <c r="JVB7" s="28"/>
      <c r="JVC7" s="28"/>
      <c r="JVD7" s="28"/>
      <c r="JVE7" s="28"/>
      <c r="JVF7" s="28"/>
      <c r="JVG7" s="28"/>
      <c r="JVH7" s="28"/>
      <c r="JVI7" s="28"/>
      <c r="JVJ7" s="28"/>
      <c r="JVK7" s="28"/>
      <c r="JVL7" s="28"/>
      <c r="JVM7" s="28"/>
      <c r="JVN7" s="28"/>
      <c r="JVO7" s="28"/>
      <c r="JVP7" s="28"/>
      <c r="JVQ7" s="28"/>
      <c r="JVR7" s="28"/>
      <c r="JVS7" s="28"/>
      <c r="JVT7" s="28"/>
      <c r="JVU7" s="28"/>
      <c r="JVV7" s="28"/>
      <c r="JVW7" s="28"/>
      <c r="JVX7" s="28"/>
      <c r="JVY7" s="28"/>
      <c r="JVZ7" s="28"/>
      <c r="JWA7" s="28"/>
      <c r="JWB7" s="28"/>
      <c r="JWC7" s="28"/>
      <c r="JWD7" s="28"/>
      <c r="JWE7" s="28"/>
      <c r="JWF7" s="28"/>
      <c r="JWG7" s="28"/>
      <c r="JWH7" s="28"/>
      <c r="JWI7" s="28"/>
      <c r="JWJ7" s="28"/>
      <c r="JWK7" s="28"/>
      <c r="JWL7" s="28"/>
      <c r="JWM7" s="28"/>
      <c r="JWN7" s="28"/>
      <c r="JWO7" s="28"/>
      <c r="JWP7" s="28"/>
      <c r="JWQ7" s="28"/>
      <c r="JWR7" s="28"/>
      <c r="JWS7" s="28"/>
      <c r="JWT7" s="28"/>
      <c r="JWU7" s="28"/>
      <c r="JWV7" s="28"/>
      <c r="JWW7" s="28"/>
      <c r="JWX7" s="28"/>
      <c r="JWY7" s="28"/>
      <c r="JWZ7" s="28"/>
      <c r="JXA7" s="28"/>
      <c r="JXB7" s="28"/>
      <c r="JXC7" s="28"/>
      <c r="JXD7" s="28"/>
      <c r="JXE7" s="28"/>
      <c r="JXF7" s="28"/>
      <c r="JXG7" s="28"/>
      <c r="JXH7" s="28"/>
      <c r="JXI7" s="28"/>
      <c r="JXJ7" s="28"/>
      <c r="JXK7" s="28"/>
      <c r="JXL7" s="28"/>
      <c r="JXM7" s="28"/>
      <c r="JXN7" s="28"/>
      <c r="JXO7" s="28"/>
      <c r="JXP7" s="28"/>
      <c r="JXQ7" s="28"/>
      <c r="JXR7" s="28"/>
      <c r="JXS7" s="28"/>
      <c r="JXT7" s="28"/>
      <c r="JXU7" s="28"/>
      <c r="JXV7" s="28"/>
      <c r="JXW7" s="28"/>
      <c r="JXX7" s="28"/>
      <c r="JXY7" s="28"/>
      <c r="JXZ7" s="28"/>
      <c r="JYA7" s="28"/>
      <c r="JYB7" s="28"/>
      <c r="JYC7" s="28"/>
      <c r="JYD7" s="28"/>
      <c r="JYE7" s="28"/>
      <c r="JYF7" s="28"/>
      <c r="JYG7" s="28"/>
      <c r="JYH7" s="28"/>
      <c r="JYI7" s="28"/>
      <c r="JYJ7" s="28"/>
      <c r="JYK7" s="28"/>
      <c r="JYL7" s="28"/>
      <c r="JYM7" s="28"/>
      <c r="JYN7" s="28"/>
      <c r="JYO7" s="28"/>
      <c r="JYP7" s="28"/>
      <c r="JYQ7" s="28"/>
      <c r="JYR7" s="28"/>
      <c r="JYS7" s="28"/>
      <c r="JYT7" s="28"/>
      <c r="JYU7" s="28"/>
      <c r="JYV7" s="28"/>
      <c r="JYW7" s="28"/>
      <c r="JYX7" s="28"/>
      <c r="JYY7" s="28"/>
      <c r="JYZ7" s="28"/>
      <c r="JZA7" s="28"/>
      <c r="JZB7" s="28"/>
      <c r="JZC7" s="28"/>
      <c r="JZD7" s="28"/>
      <c r="JZE7" s="28"/>
      <c r="JZF7" s="28"/>
      <c r="JZG7" s="28"/>
      <c r="JZH7" s="28"/>
      <c r="JZI7" s="28"/>
      <c r="JZJ7" s="28"/>
      <c r="JZK7" s="28"/>
      <c r="JZL7" s="28"/>
      <c r="JZM7" s="28"/>
      <c r="JZN7" s="28"/>
      <c r="JZO7" s="28"/>
      <c r="JZP7" s="28"/>
      <c r="JZQ7" s="28"/>
      <c r="JZR7" s="28"/>
      <c r="JZS7" s="28"/>
      <c r="JZT7" s="28"/>
      <c r="JZU7" s="28"/>
      <c r="JZV7" s="28"/>
      <c r="JZW7" s="28"/>
      <c r="JZX7" s="28"/>
      <c r="JZY7" s="28"/>
      <c r="JZZ7" s="28"/>
      <c r="KAA7" s="28"/>
      <c r="KAB7" s="28"/>
      <c r="KAC7" s="28"/>
      <c r="KAD7" s="28"/>
      <c r="KAE7" s="28"/>
      <c r="KAF7" s="28"/>
      <c r="KAG7" s="28"/>
      <c r="KAH7" s="28"/>
      <c r="KAI7" s="28"/>
      <c r="KAJ7" s="28"/>
      <c r="KAK7" s="28"/>
      <c r="KAL7" s="28"/>
      <c r="KAM7" s="28"/>
      <c r="KAN7" s="28"/>
      <c r="KAO7" s="28"/>
      <c r="KAP7" s="28"/>
      <c r="KAQ7" s="28"/>
      <c r="KAR7" s="28"/>
      <c r="KAS7" s="28"/>
      <c r="KAT7" s="28"/>
      <c r="KAU7" s="28"/>
      <c r="KAV7" s="28"/>
      <c r="KAW7" s="28"/>
      <c r="KAX7" s="28"/>
      <c r="KAY7" s="28"/>
      <c r="KAZ7" s="28"/>
      <c r="KBA7" s="28"/>
      <c r="KBB7" s="28"/>
      <c r="KBC7" s="28"/>
      <c r="KBD7" s="28"/>
      <c r="KBE7" s="28"/>
      <c r="KBF7" s="28"/>
      <c r="KBG7" s="28"/>
      <c r="KBH7" s="28"/>
      <c r="KBI7" s="28"/>
      <c r="KBJ7" s="28"/>
      <c r="KBK7" s="28"/>
      <c r="KBL7" s="28"/>
      <c r="KBM7" s="28"/>
      <c r="KBN7" s="28"/>
      <c r="KBO7" s="28"/>
      <c r="KBP7" s="28"/>
      <c r="KBQ7" s="28"/>
      <c r="KBR7" s="28"/>
      <c r="KBS7" s="28"/>
      <c r="KBT7" s="28"/>
      <c r="KBU7" s="28"/>
      <c r="KBV7" s="28"/>
      <c r="KBW7" s="28"/>
      <c r="KBX7" s="28"/>
      <c r="KBY7" s="28"/>
      <c r="KBZ7" s="28"/>
      <c r="KCA7" s="28"/>
      <c r="KCB7" s="28"/>
      <c r="KCC7" s="28"/>
      <c r="KCD7" s="28"/>
      <c r="KCE7" s="28"/>
      <c r="KCF7" s="28"/>
      <c r="KCG7" s="28"/>
      <c r="KCH7" s="28"/>
      <c r="KCI7" s="28"/>
      <c r="KCJ7" s="28"/>
      <c r="KCK7" s="28"/>
      <c r="KCL7" s="28"/>
      <c r="KCM7" s="28"/>
      <c r="KCN7" s="28"/>
      <c r="KCO7" s="28"/>
      <c r="KCP7" s="28"/>
      <c r="KCQ7" s="28"/>
      <c r="KCR7" s="28"/>
      <c r="KCS7" s="28"/>
      <c r="KCT7" s="28"/>
      <c r="KCU7" s="28"/>
      <c r="KCV7" s="28"/>
      <c r="KCW7" s="28"/>
      <c r="KCX7" s="28"/>
      <c r="KCY7" s="28"/>
      <c r="KCZ7" s="28"/>
      <c r="KDA7" s="28"/>
      <c r="KDB7" s="28"/>
      <c r="KDC7" s="28"/>
      <c r="KDD7" s="28"/>
      <c r="KDE7" s="28"/>
      <c r="KDF7" s="28"/>
      <c r="KDG7" s="28"/>
      <c r="KDH7" s="28"/>
      <c r="KDI7" s="28"/>
      <c r="KDJ7" s="28"/>
      <c r="KDK7" s="28"/>
      <c r="KDL7" s="28"/>
      <c r="KDM7" s="28"/>
      <c r="KDN7" s="28"/>
      <c r="KDO7" s="28"/>
      <c r="KDP7" s="28"/>
      <c r="KDQ7" s="28"/>
      <c r="KDR7" s="28"/>
      <c r="KDS7" s="28"/>
      <c r="KDT7" s="28"/>
      <c r="KDU7" s="28"/>
      <c r="KDV7" s="28"/>
      <c r="KDW7" s="28"/>
      <c r="KDX7" s="28"/>
      <c r="KDY7" s="28"/>
      <c r="KDZ7" s="28"/>
      <c r="KEA7" s="28"/>
      <c r="KEB7" s="28"/>
      <c r="KEC7" s="28"/>
      <c r="KED7" s="28"/>
      <c r="KEE7" s="28"/>
      <c r="KEF7" s="28"/>
      <c r="KEG7" s="28"/>
      <c r="KEH7" s="28"/>
      <c r="KEI7" s="28"/>
      <c r="KEJ7" s="28"/>
      <c r="KEK7" s="28"/>
      <c r="KEL7" s="28"/>
      <c r="KEM7" s="28"/>
      <c r="KEN7" s="28"/>
      <c r="KEO7" s="28"/>
      <c r="KEP7" s="28"/>
      <c r="KEQ7" s="28"/>
      <c r="KER7" s="28"/>
      <c r="KES7" s="28"/>
      <c r="KET7" s="28"/>
      <c r="KEU7" s="28"/>
      <c r="KEV7" s="28"/>
      <c r="KEW7" s="28"/>
      <c r="KEX7" s="28"/>
      <c r="KEY7" s="28"/>
      <c r="KEZ7" s="28"/>
      <c r="KFA7" s="28"/>
      <c r="KFB7" s="28"/>
      <c r="KFC7" s="28"/>
      <c r="KFD7" s="28"/>
      <c r="KFE7" s="28"/>
      <c r="KFF7" s="28"/>
      <c r="KFG7" s="28"/>
      <c r="KFH7" s="28"/>
      <c r="KFI7" s="28"/>
      <c r="KFJ7" s="28"/>
      <c r="KFK7" s="28"/>
      <c r="KFL7" s="28"/>
      <c r="KFM7" s="28"/>
      <c r="KFN7" s="28"/>
      <c r="KFO7" s="28"/>
      <c r="KFP7" s="28"/>
      <c r="KFQ7" s="28"/>
      <c r="KFR7" s="28"/>
      <c r="KFS7" s="28"/>
      <c r="KFT7" s="28"/>
      <c r="KFU7" s="28"/>
      <c r="KFV7" s="28"/>
      <c r="KFW7" s="28"/>
      <c r="KFX7" s="28"/>
      <c r="KFY7" s="28"/>
      <c r="KFZ7" s="28"/>
      <c r="KGA7" s="28"/>
      <c r="KGB7" s="28"/>
      <c r="KGC7" s="28"/>
      <c r="KGD7" s="28"/>
      <c r="KGE7" s="28"/>
      <c r="KGF7" s="28"/>
      <c r="KGG7" s="28"/>
      <c r="KGH7" s="28"/>
      <c r="KGI7" s="28"/>
      <c r="KGJ7" s="28"/>
      <c r="KGK7" s="28"/>
      <c r="KGL7" s="28"/>
      <c r="KGM7" s="28"/>
      <c r="KGN7" s="28"/>
      <c r="KGO7" s="28"/>
      <c r="KGP7" s="28"/>
      <c r="KGQ7" s="28"/>
      <c r="KGR7" s="28"/>
      <c r="KGS7" s="28"/>
      <c r="KGT7" s="28"/>
      <c r="KGU7" s="28"/>
      <c r="KGV7" s="28"/>
      <c r="KGW7" s="28"/>
      <c r="KGX7" s="28"/>
      <c r="KGY7" s="28"/>
      <c r="KGZ7" s="28"/>
      <c r="KHA7" s="28"/>
      <c r="KHB7" s="28"/>
      <c r="KHC7" s="28"/>
      <c r="KHD7" s="28"/>
      <c r="KHE7" s="28"/>
      <c r="KHF7" s="28"/>
      <c r="KHG7" s="28"/>
      <c r="KHH7" s="28"/>
      <c r="KHI7" s="28"/>
      <c r="KHJ7" s="28"/>
      <c r="KHK7" s="28"/>
      <c r="KHL7" s="28"/>
      <c r="KHM7" s="28"/>
      <c r="KHN7" s="28"/>
      <c r="KHO7" s="28"/>
      <c r="KHP7" s="28"/>
      <c r="KHQ7" s="28"/>
      <c r="KHR7" s="28"/>
      <c r="KHS7" s="28"/>
      <c r="KHT7" s="28"/>
      <c r="KHU7" s="28"/>
      <c r="KHV7" s="28"/>
      <c r="KHW7" s="28"/>
      <c r="KHX7" s="28"/>
      <c r="KHY7" s="28"/>
      <c r="KHZ7" s="28"/>
      <c r="KIA7" s="28"/>
      <c r="KIB7" s="28"/>
      <c r="KIC7" s="28"/>
      <c r="KID7" s="28"/>
      <c r="KIE7" s="28"/>
      <c r="KIF7" s="28"/>
      <c r="KIG7" s="28"/>
      <c r="KIH7" s="28"/>
      <c r="KII7" s="28"/>
      <c r="KIJ7" s="28"/>
      <c r="KIK7" s="28"/>
      <c r="KIL7" s="28"/>
      <c r="KIM7" s="28"/>
      <c r="KIN7" s="28"/>
      <c r="KIO7" s="28"/>
      <c r="KIP7" s="28"/>
      <c r="KIQ7" s="28"/>
      <c r="KIR7" s="28"/>
      <c r="KIS7" s="28"/>
      <c r="KIT7" s="28"/>
      <c r="KIU7" s="28"/>
      <c r="KIV7" s="28"/>
      <c r="KIW7" s="28"/>
      <c r="KIX7" s="28"/>
      <c r="KIY7" s="28"/>
      <c r="KIZ7" s="28"/>
      <c r="KJA7" s="28"/>
      <c r="KJB7" s="28"/>
      <c r="KJC7" s="28"/>
      <c r="KJD7" s="28"/>
      <c r="KJE7" s="28"/>
      <c r="KJF7" s="28"/>
      <c r="KJG7" s="28"/>
      <c r="KJH7" s="28"/>
      <c r="KJI7" s="28"/>
      <c r="KJJ7" s="28"/>
      <c r="KJK7" s="28"/>
      <c r="KJL7" s="28"/>
      <c r="KJM7" s="28"/>
      <c r="KJN7" s="28"/>
      <c r="KJO7" s="28"/>
      <c r="KJP7" s="28"/>
      <c r="KJQ7" s="28"/>
      <c r="KJR7" s="28"/>
      <c r="KJS7" s="28"/>
      <c r="KJT7" s="28"/>
      <c r="KJU7" s="28"/>
      <c r="KJV7" s="28"/>
      <c r="KJW7" s="28"/>
      <c r="KJX7" s="28"/>
      <c r="KJY7" s="28"/>
      <c r="KJZ7" s="28"/>
      <c r="KKA7" s="28"/>
      <c r="KKB7" s="28"/>
      <c r="KKC7" s="28"/>
      <c r="KKD7" s="28"/>
      <c r="KKE7" s="28"/>
      <c r="KKF7" s="28"/>
      <c r="KKG7" s="28"/>
      <c r="KKH7" s="28"/>
      <c r="KKI7" s="28"/>
      <c r="KKJ7" s="28"/>
      <c r="KKK7" s="28"/>
      <c r="KKL7" s="28"/>
      <c r="KKM7" s="28"/>
      <c r="KKN7" s="28"/>
      <c r="KKO7" s="28"/>
      <c r="KKP7" s="28"/>
      <c r="KKQ7" s="28"/>
      <c r="KKR7" s="28"/>
      <c r="KKS7" s="28"/>
      <c r="KKT7" s="28"/>
      <c r="KKU7" s="28"/>
      <c r="KKV7" s="28"/>
      <c r="KKW7" s="28"/>
      <c r="KKX7" s="28"/>
      <c r="KKY7" s="28"/>
      <c r="KKZ7" s="28"/>
      <c r="KLA7" s="28"/>
      <c r="KLB7" s="28"/>
      <c r="KLC7" s="28"/>
      <c r="KLD7" s="28"/>
      <c r="KLE7" s="28"/>
      <c r="KLF7" s="28"/>
      <c r="KLG7" s="28"/>
      <c r="KLH7" s="28"/>
      <c r="KLI7" s="28"/>
      <c r="KLJ7" s="28"/>
      <c r="KLK7" s="28"/>
      <c r="KLL7" s="28"/>
      <c r="KLM7" s="28"/>
      <c r="KLN7" s="28"/>
      <c r="KLO7" s="28"/>
      <c r="KLP7" s="28"/>
      <c r="KLQ7" s="28"/>
      <c r="KLR7" s="28"/>
      <c r="KLS7" s="28"/>
      <c r="KLT7" s="28"/>
      <c r="KLU7" s="28"/>
      <c r="KLV7" s="28"/>
      <c r="KLW7" s="28"/>
      <c r="KLX7" s="28"/>
      <c r="KLY7" s="28"/>
      <c r="KLZ7" s="28"/>
      <c r="KMA7" s="28"/>
      <c r="KMB7" s="28"/>
      <c r="KMC7" s="28"/>
      <c r="KMD7" s="28"/>
      <c r="KME7" s="28"/>
      <c r="KMF7" s="28"/>
      <c r="KMG7" s="28"/>
      <c r="KMH7" s="28"/>
      <c r="KMI7" s="28"/>
      <c r="KMJ7" s="28"/>
      <c r="KMK7" s="28"/>
      <c r="KML7" s="28"/>
      <c r="KMM7" s="28"/>
      <c r="KMN7" s="28"/>
      <c r="KMO7" s="28"/>
      <c r="KMP7" s="28"/>
      <c r="KMQ7" s="28"/>
      <c r="KMR7" s="28"/>
      <c r="KMS7" s="28"/>
      <c r="KMT7" s="28"/>
      <c r="KMU7" s="28"/>
      <c r="KMV7" s="28"/>
      <c r="KMW7" s="28"/>
      <c r="KMX7" s="28"/>
      <c r="KMY7" s="28"/>
      <c r="KMZ7" s="28"/>
      <c r="KNA7" s="28"/>
      <c r="KNB7" s="28"/>
      <c r="KNC7" s="28"/>
      <c r="KND7" s="28"/>
      <c r="KNE7" s="28"/>
      <c r="KNF7" s="28"/>
      <c r="KNG7" s="28"/>
      <c r="KNH7" s="28"/>
      <c r="KNI7" s="28"/>
      <c r="KNJ7" s="28"/>
      <c r="KNK7" s="28"/>
      <c r="KNL7" s="28"/>
      <c r="KNM7" s="28"/>
      <c r="KNN7" s="28"/>
      <c r="KNO7" s="28"/>
      <c r="KNP7" s="28"/>
      <c r="KNQ7" s="28"/>
      <c r="KNR7" s="28"/>
      <c r="KNS7" s="28"/>
      <c r="KNT7" s="28"/>
      <c r="KNU7" s="28"/>
      <c r="KNV7" s="28"/>
      <c r="KNW7" s="28"/>
      <c r="KNX7" s="28"/>
      <c r="KNY7" s="28"/>
      <c r="KNZ7" s="28"/>
      <c r="KOA7" s="28"/>
      <c r="KOB7" s="28"/>
      <c r="KOC7" s="28"/>
      <c r="KOD7" s="28"/>
      <c r="KOE7" s="28"/>
      <c r="KOF7" s="28"/>
      <c r="KOG7" s="28"/>
      <c r="KOH7" s="28"/>
      <c r="KOI7" s="28"/>
      <c r="KOJ7" s="28"/>
      <c r="KOK7" s="28"/>
      <c r="KOL7" s="28"/>
      <c r="KOM7" s="28"/>
      <c r="KON7" s="28"/>
      <c r="KOO7" s="28"/>
      <c r="KOP7" s="28"/>
      <c r="KOQ7" s="28"/>
      <c r="KOR7" s="28"/>
      <c r="KOS7" s="28"/>
      <c r="KOT7" s="28"/>
      <c r="KOU7" s="28"/>
      <c r="KOV7" s="28"/>
      <c r="KOW7" s="28"/>
      <c r="KOX7" s="28"/>
      <c r="KOY7" s="28"/>
      <c r="KOZ7" s="28"/>
      <c r="KPA7" s="28"/>
      <c r="KPB7" s="28"/>
      <c r="KPC7" s="28"/>
      <c r="KPD7" s="28"/>
      <c r="KPE7" s="28"/>
      <c r="KPF7" s="28"/>
      <c r="KPG7" s="28"/>
      <c r="KPH7" s="28"/>
      <c r="KPI7" s="28"/>
      <c r="KPJ7" s="28"/>
      <c r="KPK7" s="28"/>
      <c r="KPL7" s="28"/>
      <c r="KPM7" s="28"/>
      <c r="KPN7" s="28"/>
      <c r="KPO7" s="28"/>
      <c r="KPP7" s="28"/>
      <c r="KPQ7" s="28"/>
      <c r="KPR7" s="28"/>
      <c r="KPS7" s="28"/>
      <c r="KPT7" s="28"/>
      <c r="KPU7" s="28"/>
      <c r="KPV7" s="28"/>
      <c r="KPW7" s="28"/>
      <c r="KPX7" s="28"/>
      <c r="KPY7" s="28"/>
      <c r="KPZ7" s="28"/>
      <c r="KQA7" s="28"/>
      <c r="KQB7" s="28"/>
      <c r="KQC7" s="28"/>
      <c r="KQD7" s="28"/>
      <c r="KQE7" s="28"/>
      <c r="KQF7" s="28"/>
      <c r="KQG7" s="28"/>
      <c r="KQH7" s="28"/>
      <c r="KQI7" s="28"/>
      <c r="KQJ7" s="28"/>
      <c r="KQK7" s="28"/>
      <c r="KQL7" s="28"/>
      <c r="KQM7" s="28"/>
      <c r="KQN7" s="28"/>
      <c r="KQO7" s="28"/>
      <c r="KQP7" s="28"/>
      <c r="KQQ7" s="28"/>
      <c r="KQR7" s="28"/>
      <c r="KQS7" s="28"/>
      <c r="KQT7" s="28"/>
      <c r="KQU7" s="28"/>
      <c r="KQV7" s="28"/>
      <c r="KQW7" s="28"/>
      <c r="KQX7" s="28"/>
      <c r="KQY7" s="28"/>
      <c r="KQZ7" s="28"/>
      <c r="KRA7" s="28"/>
      <c r="KRB7" s="28"/>
      <c r="KRC7" s="28"/>
      <c r="KRD7" s="28"/>
      <c r="KRE7" s="28"/>
      <c r="KRF7" s="28"/>
      <c r="KRG7" s="28"/>
      <c r="KRH7" s="28"/>
      <c r="KRI7" s="28"/>
      <c r="KRJ7" s="28"/>
      <c r="KRK7" s="28"/>
      <c r="KRL7" s="28"/>
      <c r="KRM7" s="28"/>
      <c r="KRN7" s="28"/>
      <c r="KRO7" s="28"/>
      <c r="KRP7" s="28"/>
      <c r="KRQ7" s="28"/>
      <c r="KRR7" s="28"/>
      <c r="KRS7" s="28"/>
      <c r="KRT7" s="28"/>
      <c r="KRU7" s="28"/>
      <c r="KRV7" s="28"/>
      <c r="KRW7" s="28"/>
      <c r="KRX7" s="28"/>
      <c r="KRY7" s="28"/>
      <c r="KRZ7" s="28"/>
      <c r="KSA7" s="28"/>
      <c r="KSB7" s="28"/>
      <c r="KSC7" s="28"/>
      <c r="KSD7" s="28"/>
      <c r="KSE7" s="28"/>
      <c r="KSF7" s="28"/>
      <c r="KSG7" s="28"/>
      <c r="KSH7" s="28"/>
      <c r="KSI7" s="28"/>
      <c r="KSJ7" s="28"/>
      <c r="KSK7" s="28"/>
      <c r="KSL7" s="28"/>
      <c r="KSM7" s="28"/>
      <c r="KSN7" s="28"/>
      <c r="KSO7" s="28"/>
      <c r="KSP7" s="28"/>
      <c r="KSQ7" s="28"/>
      <c r="KSR7" s="28"/>
      <c r="KSS7" s="28"/>
      <c r="KST7" s="28"/>
      <c r="KSU7" s="28"/>
      <c r="KSV7" s="28"/>
      <c r="KSW7" s="28"/>
      <c r="KSX7" s="28"/>
      <c r="KSY7" s="28"/>
      <c r="KSZ7" s="28"/>
      <c r="KTA7" s="28"/>
      <c r="KTB7" s="28"/>
      <c r="KTC7" s="28"/>
      <c r="KTD7" s="28"/>
      <c r="KTE7" s="28"/>
      <c r="KTF7" s="28"/>
      <c r="KTG7" s="28"/>
      <c r="KTH7" s="28"/>
      <c r="KTI7" s="28"/>
      <c r="KTJ7" s="28"/>
      <c r="KTK7" s="28"/>
      <c r="KTL7" s="28"/>
      <c r="KTM7" s="28"/>
      <c r="KTN7" s="28"/>
      <c r="KTO7" s="28"/>
      <c r="KTP7" s="28"/>
      <c r="KTQ7" s="28"/>
      <c r="KTR7" s="28"/>
      <c r="KTS7" s="28"/>
      <c r="KTT7" s="28"/>
      <c r="KTU7" s="28"/>
      <c r="KTV7" s="28"/>
      <c r="KTW7" s="28"/>
      <c r="KTX7" s="28"/>
      <c r="KTY7" s="28"/>
      <c r="KTZ7" s="28"/>
      <c r="KUA7" s="28"/>
      <c r="KUB7" s="28"/>
      <c r="KUC7" s="28"/>
      <c r="KUD7" s="28"/>
      <c r="KUE7" s="28"/>
      <c r="KUF7" s="28"/>
      <c r="KUG7" s="28"/>
      <c r="KUH7" s="28"/>
      <c r="KUI7" s="28"/>
      <c r="KUJ7" s="28"/>
      <c r="KUK7" s="28"/>
      <c r="KUL7" s="28"/>
      <c r="KUM7" s="28"/>
      <c r="KUN7" s="28"/>
      <c r="KUO7" s="28"/>
      <c r="KUP7" s="28"/>
      <c r="KUQ7" s="28"/>
      <c r="KUR7" s="28"/>
      <c r="KUS7" s="28"/>
      <c r="KUT7" s="28"/>
      <c r="KUU7" s="28"/>
      <c r="KUV7" s="28"/>
      <c r="KUW7" s="28"/>
      <c r="KUX7" s="28"/>
      <c r="KUY7" s="28"/>
      <c r="KUZ7" s="28"/>
      <c r="KVA7" s="28"/>
      <c r="KVB7" s="28"/>
      <c r="KVC7" s="28"/>
      <c r="KVD7" s="28"/>
      <c r="KVE7" s="28"/>
      <c r="KVF7" s="28"/>
      <c r="KVG7" s="28"/>
      <c r="KVH7" s="28"/>
      <c r="KVI7" s="28"/>
      <c r="KVJ7" s="28"/>
      <c r="KVK7" s="28"/>
      <c r="KVL7" s="28"/>
      <c r="KVM7" s="28"/>
      <c r="KVN7" s="28"/>
      <c r="KVO7" s="28"/>
      <c r="KVP7" s="28"/>
      <c r="KVQ7" s="28"/>
      <c r="KVR7" s="28"/>
      <c r="KVS7" s="28"/>
      <c r="KVT7" s="28"/>
      <c r="KVU7" s="28"/>
      <c r="KVV7" s="28"/>
      <c r="KVW7" s="28"/>
      <c r="KVX7" s="28"/>
      <c r="KVY7" s="28"/>
      <c r="KVZ7" s="28"/>
      <c r="KWA7" s="28"/>
      <c r="KWB7" s="28"/>
      <c r="KWC7" s="28"/>
      <c r="KWD7" s="28"/>
      <c r="KWE7" s="28"/>
      <c r="KWF7" s="28"/>
      <c r="KWG7" s="28"/>
      <c r="KWH7" s="28"/>
      <c r="KWI7" s="28"/>
      <c r="KWJ7" s="28"/>
      <c r="KWK7" s="28"/>
      <c r="KWL7" s="28"/>
      <c r="KWM7" s="28"/>
      <c r="KWN7" s="28"/>
      <c r="KWO7" s="28"/>
      <c r="KWP7" s="28"/>
      <c r="KWQ7" s="28"/>
      <c r="KWR7" s="28"/>
      <c r="KWS7" s="28"/>
      <c r="KWT7" s="28"/>
      <c r="KWU7" s="28"/>
      <c r="KWV7" s="28"/>
      <c r="KWW7" s="28"/>
      <c r="KWX7" s="28"/>
      <c r="KWY7" s="28"/>
      <c r="KWZ7" s="28"/>
      <c r="KXA7" s="28"/>
      <c r="KXB7" s="28"/>
      <c r="KXC7" s="28"/>
      <c r="KXD7" s="28"/>
      <c r="KXE7" s="28"/>
      <c r="KXF7" s="28"/>
      <c r="KXG7" s="28"/>
      <c r="KXH7" s="28"/>
      <c r="KXI7" s="28"/>
      <c r="KXJ7" s="28"/>
      <c r="KXK7" s="28"/>
      <c r="KXL7" s="28"/>
      <c r="KXM7" s="28"/>
      <c r="KXN7" s="28"/>
      <c r="KXO7" s="28"/>
      <c r="KXP7" s="28"/>
      <c r="KXQ7" s="28"/>
      <c r="KXR7" s="28"/>
      <c r="KXS7" s="28"/>
      <c r="KXT7" s="28"/>
      <c r="KXU7" s="28"/>
      <c r="KXV7" s="28"/>
      <c r="KXW7" s="28"/>
      <c r="KXX7" s="28"/>
      <c r="KXY7" s="28"/>
      <c r="KXZ7" s="28"/>
      <c r="KYA7" s="28"/>
      <c r="KYB7" s="28"/>
      <c r="KYC7" s="28"/>
      <c r="KYD7" s="28"/>
      <c r="KYE7" s="28"/>
      <c r="KYF7" s="28"/>
      <c r="KYG7" s="28"/>
      <c r="KYH7" s="28"/>
      <c r="KYI7" s="28"/>
      <c r="KYJ7" s="28"/>
      <c r="KYK7" s="28"/>
      <c r="KYL7" s="28"/>
      <c r="KYM7" s="28"/>
      <c r="KYN7" s="28"/>
      <c r="KYO7" s="28"/>
      <c r="KYP7" s="28"/>
      <c r="KYQ7" s="28"/>
      <c r="KYR7" s="28"/>
      <c r="KYS7" s="28"/>
      <c r="KYT7" s="28"/>
      <c r="KYU7" s="28"/>
      <c r="KYV7" s="28"/>
      <c r="KYW7" s="28"/>
      <c r="KYX7" s="28"/>
      <c r="KYY7" s="28"/>
      <c r="KYZ7" s="28"/>
      <c r="KZA7" s="28"/>
      <c r="KZB7" s="28"/>
      <c r="KZC7" s="28"/>
      <c r="KZD7" s="28"/>
      <c r="KZE7" s="28"/>
      <c r="KZF7" s="28"/>
      <c r="KZG7" s="28"/>
      <c r="KZH7" s="28"/>
      <c r="KZI7" s="28"/>
      <c r="KZJ7" s="28"/>
      <c r="KZK7" s="28"/>
      <c r="KZL7" s="28"/>
      <c r="KZM7" s="28"/>
      <c r="KZN7" s="28"/>
      <c r="KZO7" s="28"/>
      <c r="KZP7" s="28"/>
      <c r="KZQ7" s="28"/>
      <c r="KZR7" s="28"/>
      <c r="KZS7" s="28"/>
      <c r="KZT7" s="28"/>
      <c r="KZU7" s="28"/>
      <c r="KZV7" s="28"/>
      <c r="KZW7" s="28"/>
      <c r="KZX7" s="28"/>
      <c r="KZY7" s="28"/>
      <c r="KZZ7" s="28"/>
      <c r="LAA7" s="28"/>
      <c r="LAB7" s="28"/>
      <c r="LAC7" s="28"/>
      <c r="LAD7" s="28"/>
      <c r="LAE7" s="28"/>
      <c r="LAF7" s="28"/>
      <c r="LAG7" s="28"/>
      <c r="LAH7" s="28"/>
      <c r="LAI7" s="28"/>
      <c r="LAJ7" s="28"/>
      <c r="LAK7" s="28"/>
      <c r="LAL7" s="28"/>
      <c r="LAM7" s="28"/>
      <c r="LAN7" s="28"/>
      <c r="LAO7" s="28"/>
      <c r="LAP7" s="28"/>
      <c r="LAQ7" s="28"/>
      <c r="LAR7" s="28"/>
      <c r="LAS7" s="28"/>
      <c r="LAT7" s="28"/>
      <c r="LAU7" s="28"/>
      <c r="LAV7" s="28"/>
      <c r="LAW7" s="28"/>
      <c r="LAX7" s="28"/>
      <c r="LAY7" s="28"/>
      <c r="LAZ7" s="28"/>
      <c r="LBA7" s="28"/>
      <c r="LBB7" s="28"/>
      <c r="LBC7" s="28"/>
      <c r="LBD7" s="28"/>
      <c r="LBE7" s="28"/>
      <c r="LBF7" s="28"/>
      <c r="LBG7" s="28"/>
      <c r="LBH7" s="28"/>
      <c r="LBI7" s="28"/>
      <c r="LBJ7" s="28"/>
      <c r="LBK7" s="28"/>
      <c r="LBL7" s="28"/>
      <c r="LBM7" s="28"/>
      <c r="LBN7" s="28"/>
      <c r="LBO7" s="28"/>
      <c r="LBP7" s="28"/>
      <c r="LBQ7" s="28"/>
      <c r="LBR7" s="28"/>
      <c r="LBS7" s="28"/>
      <c r="LBT7" s="28"/>
      <c r="LBU7" s="28"/>
      <c r="LBV7" s="28"/>
      <c r="LBW7" s="28"/>
      <c r="LBX7" s="28"/>
      <c r="LBY7" s="28"/>
      <c r="LBZ7" s="28"/>
      <c r="LCA7" s="28"/>
      <c r="LCB7" s="28"/>
      <c r="LCC7" s="28"/>
      <c r="LCD7" s="28"/>
      <c r="LCE7" s="28"/>
      <c r="LCF7" s="28"/>
      <c r="LCG7" s="28"/>
      <c r="LCH7" s="28"/>
      <c r="LCI7" s="28"/>
      <c r="LCJ7" s="28"/>
      <c r="LCK7" s="28"/>
      <c r="LCL7" s="28"/>
      <c r="LCM7" s="28"/>
      <c r="LCN7" s="28"/>
      <c r="LCO7" s="28"/>
      <c r="LCP7" s="28"/>
      <c r="LCQ7" s="28"/>
      <c r="LCR7" s="28"/>
      <c r="LCS7" s="28"/>
      <c r="LCT7" s="28"/>
      <c r="LCU7" s="28"/>
      <c r="LCV7" s="28"/>
      <c r="LCW7" s="28"/>
      <c r="LCX7" s="28"/>
      <c r="LCY7" s="28"/>
      <c r="LCZ7" s="28"/>
      <c r="LDA7" s="28"/>
      <c r="LDB7" s="28"/>
      <c r="LDC7" s="28"/>
      <c r="LDD7" s="28"/>
      <c r="LDE7" s="28"/>
      <c r="LDF7" s="28"/>
      <c r="LDG7" s="28"/>
      <c r="LDH7" s="28"/>
      <c r="LDI7" s="28"/>
      <c r="LDJ7" s="28"/>
      <c r="LDK7" s="28"/>
      <c r="LDL7" s="28"/>
      <c r="LDM7" s="28"/>
      <c r="LDN7" s="28"/>
      <c r="LDO7" s="28"/>
      <c r="LDP7" s="28"/>
      <c r="LDQ7" s="28"/>
      <c r="LDR7" s="28"/>
      <c r="LDS7" s="28"/>
      <c r="LDT7" s="28"/>
      <c r="LDU7" s="28"/>
      <c r="LDV7" s="28"/>
      <c r="LDW7" s="28"/>
      <c r="LDX7" s="28"/>
      <c r="LDY7" s="28"/>
      <c r="LDZ7" s="28"/>
      <c r="LEA7" s="28"/>
      <c r="LEB7" s="28"/>
      <c r="LEC7" s="28"/>
      <c r="LED7" s="28"/>
      <c r="LEE7" s="28"/>
      <c r="LEF7" s="28"/>
      <c r="LEG7" s="28"/>
      <c r="LEH7" s="28"/>
      <c r="LEI7" s="28"/>
      <c r="LEJ7" s="28"/>
      <c r="LEK7" s="28"/>
      <c r="LEL7" s="28"/>
      <c r="LEM7" s="28"/>
      <c r="LEN7" s="28"/>
      <c r="LEO7" s="28"/>
      <c r="LEP7" s="28"/>
      <c r="LEQ7" s="28"/>
      <c r="LER7" s="28"/>
      <c r="LES7" s="28"/>
      <c r="LET7" s="28"/>
      <c r="LEU7" s="28"/>
      <c r="LEV7" s="28"/>
      <c r="LEW7" s="28"/>
      <c r="LEX7" s="28"/>
      <c r="LEY7" s="28"/>
      <c r="LEZ7" s="28"/>
      <c r="LFA7" s="28"/>
      <c r="LFB7" s="28"/>
      <c r="LFC7" s="28"/>
      <c r="LFD7" s="28"/>
      <c r="LFE7" s="28"/>
      <c r="LFF7" s="28"/>
      <c r="LFG7" s="28"/>
      <c r="LFH7" s="28"/>
      <c r="LFI7" s="28"/>
      <c r="LFJ7" s="28"/>
      <c r="LFK7" s="28"/>
      <c r="LFL7" s="28"/>
      <c r="LFM7" s="28"/>
      <c r="LFN7" s="28"/>
      <c r="LFO7" s="28"/>
      <c r="LFP7" s="28"/>
      <c r="LFQ7" s="28"/>
      <c r="LFR7" s="28"/>
      <c r="LFS7" s="28"/>
      <c r="LFT7" s="28"/>
      <c r="LFU7" s="28"/>
      <c r="LFV7" s="28"/>
      <c r="LFW7" s="28"/>
      <c r="LFX7" s="28"/>
      <c r="LFY7" s="28"/>
      <c r="LFZ7" s="28"/>
      <c r="LGA7" s="28"/>
      <c r="LGB7" s="28"/>
      <c r="LGC7" s="28"/>
      <c r="LGD7" s="28"/>
      <c r="LGE7" s="28"/>
      <c r="LGF7" s="28"/>
      <c r="LGG7" s="28"/>
      <c r="LGH7" s="28"/>
      <c r="LGI7" s="28"/>
      <c r="LGJ7" s="28"/>
      <c r="LGK7" s="28"/>
      <c r="LGL7" s="28"/>
      <c r="LGM7" s="28"/>
      <c r="LGN7" s="28"/>
      <c r="LGO7" s="28"/>
      <c r="LGP7" s="28"/>
      <c r="LGQ7" s="28"/>
      <c r="LGR7" s="28"/>
      <c r="LGS7" s="28"/>
      <c r="LGT7" s="28"/>
      <c r="LGU7" s="28"/>
      <c r="LGV7" s="28"/>
      <c r="LGW7" s="28"/>
      <c r="LGX7" s="28"/>
      <c r="LGY7" s="28"/>
      <c r="LGZ7" s="28"/>
      <c r="LHA7" s="28"/>
      <c r="LHB7" s="28"/>
      <c r="LHC7" s="28"/>
      <c r="LHD7" s="28"/>
      <c r="LHE7" s="28"/>
      <c r="LHF7" s="28"/>
      <c r="LHG7" s="28"/>
      <c r="LHH7" s="28"/>
      <c r="LHI7" s="28"/>
      <c r="LHJ7" s="28"/>
      <c r="LHK7" s="28"/>
      <c r="LHL7" s="28"/>
      <c r="LHM7" s="28"/>
      <c r="LHN7" s="28"/>
      <c r="LHO7" s="28"/>
      <c r="LHP7" s="28"/>
      <c r="LHQ7" s="28"/>
      <c r="LHR7" s="28"/>
      <c r="LHS7" s="28"/>
      <c r="LHT7" s="28"/>
      <c r="LHU7" s="28"/>
      <c r="LHV7" s="28"/>
      <c r="LHW7" s="28"/>
      <c r="LHX7" s="28"/>
      <c r="LHY7" s="28"/>
      <c r="LHZ7" s="28"/>
      <c r="LIA7" s="28"/>
      <c r="LIB7" s="28"/>
      <c r="LIC7" s="28"/>
      <c r="LID7" s="28"/>
      <c r="LIE7" s="28"/>
      <c r="LIF7" s="28"/>
      <c r="LIG7" s="28"/>
      <c r="LIH7" s="28"/>
      <c r="LII7" s="28"/>
      <c r="LIJ7" s="28"/>
      <c r="LIK7" s="28"/>
      <c r="LIL7" s="28"/>
      <c r="LIM7" s="28"/>
      <c r="LIN7" s="28"/>
      <c r="LIO7" s="28"/>
      <c r="LIP7" s="28"/>
      <c r="LIQ7" s="28"/>
      <c r="LIR7" s="28"/>
      <c r="LIS7" s="28"/>
      <c r="LIT7" s="28"/>
      <c r="LIU7" s="28"/>
      <c r="LIV7" s="28"/>
      <c r="LIW7" s="28"/>
      <c r="LIX7" s="28"/>
      <c r="LIY7" s="28"/>
      <c r="LIZ7" s="28"/>
      <c r="LJA7" s="28"/>
      <c r="LJB7" s="28"/>
      <c r="LJC7" s="28"/>
      <c r="LJD7" s="28"/>
      <c r="LJE7" s="28"/>
      <c r="LJF7" s="28"/>
      <c r="LJG7" s="28"/>
      <c r="LJH7" s="28"/>
      <c r="LJI7" s="28"/>
      <c r="LJJ7" s="28"/>
      <c r="LJK7" s="28"/>
      <c r="LJL7" s="28"/>
      <c r="LJM7" s="28"/>
      <c r="LJN7" s="28"/>
      <c r="LJO7" s="28"/>
      <c r="LJP7" s="28"/>
      <c r="LJQ7" s="28"/>
      <c r="LJR7" s="28"/>
      <c r="LJS7" s="28"/>
      <c r="LJT7" s="28"/>
      <c r="LJU7" s="28"/>
      <c r="LJV7" s="28"/>
      <c r="LJW7" s="28"/>
      <c r="LJX7" s="28"/>
      <c r="LJY7" s="28"/>
      <c r="LJZ7" s="28"/>
      <c r="LKA7" s="28"/>
      <c r="LKB7" s="28"/>
      <c r="LKC7" s="28"/>
      <c r="LKD7" s="28"/>
      <c r="LKE7" s="28"/>
      <c r="LKF7" s="28"/>
      <c r="LKG7" s="28"/>
      <c r="LKH7" s="28"/>
      <c r="LKI7" s="28"/>
      <c r="LKJ7" s="28"/>
      <c r="LKK7" s="28"/>
      <c r="LKL7" s="28"/>
      <c r="LKM7" s="28"/>
      <c r="LKN7" s="28"/>
      <c r="LKO7" s="28"/>
      <c r="LKP7" s="28"/>
      <c r="LKQ7" s="28"/>
      <c r="LKR7" s="28"/>
      <c r="LKS7" s="28"/>
      <c r="LKT7" s="28"/>
      <c r="LKU7" s="28"/>
      <c r="LKV7" s="28"/>
      <c r="LKW7" s="28"/>
      <c r="LKX7" s="28"/>
      <c r="LKY7" s="28"/>
      <c r="LKZ7" s="28"/>
      <c r="LLA7" s="28"/>
      <c r="LLB7" s="28"/>
      <c r="LLC7" s="28"/>
      <c r="LLD7" s="28"/>
      <c r="LLE7" s="28"/>
      <c r="LLF7" s="28"/>
      <c r="LLG7" s="28"/>
      <c r="LLH7" s="28"/>
      <c r="LLI7" s="28"/>
      <c r="LLJ7" s="28"/>
      <c r="LLK7" s="28"/>
      <c r="LLL7" s="28"/>
      <c r="LLM7" s="28"/>
      <c r="LLN7" s="28"/>
      <c r="LLO7" s="28"/>
      <c r="LLP7" s="28"/>
      <c r="LLQ7" s="28"/>
      <c r="LLR7" s="28"/>
      <c r="LLS7" s="28"/>
      <c r="LLT7" s="28"/>
      <c r="LLU7" s="28"/>
      <c r="LLV7" s="28"/>
      <c r="LLW7" s="28"/>
      <c r="LLX7" s="28"/>
      <c r="LLY7" s="28"/>
      <c r="LLZ7" s="28"/>
      <c r="LMA7" s="28"/>
      <c r="LMB7" s="28"/>
      <c r="LMC7" s="28"/>
      <c r="LMD7" s="28"/>
      <c r="LME7" s="28"/>
      <c r="LMF7" s="28"/>
      <c r="LMG7" s="28"/>
      <c r="LMH7" s="28"/>
      <c r="LMI7" s="28"/>
      <c r="LMJ7" s="28"/>
      <c r="LMK7" s="28"/>
      <c r="LML7" s="28"/>
      <c r="LMM7" s="28"/>
      <c r="LMN7" s="28"/>
      <c r="LMO7" s="28"/>
      <c r="LMP7" s="28"/>
      <c r="LMQ7" s="28"/>
      <c r="LMR7" s="28"/>
      <c r="LMS7" s="28"/>
      <c r="LMT7" s="28"/>
      <c r="LMU7" s="28"/>
      <c r="LMV7" s="28"/>
      <c r="LMW7" s="28"/>
      <c r="LMX7" s="28"/>
      <c r="LMY7" s="28"/>
      <c r="LMZ7" s="28"/>
      <c r="LNA7" s="28"/>
      <c r="LNB7" s="28"/>
      <c r="LNC7" s="28"/>
      <c r="LND7" s="28"/>
      <c r="LNE7" s="28"/>
      <c r="LNF7" s="28"/>
      <c r="LNG7" s="28"/>
      <c r="LNH7" s="28"/>
      <c r="LNI7" s="28"/>
      <c r="LNJ7" s="28"/>
      <c r="LNK7" s="28"/>
      <c r="LNL7" s="28"/>
      <c r="LNM7" s="28"/>
      <c r="LNN7" s="28"/>
      <c r="LNO7" s="28"/>
      <c r="LNP7" s="28"/>
      <c r="LNQ7" s="28"/>
      <c r="LNR7" s="28"/>
      <c r="LNS7" s="28"/>
      <c r="LNT7" s="28"/>
      <c r="LNU7" s="28"/>
      <c r="LNV7" s="28"/>
      <c r="LNW7" s="28"/>
      <c r="LNX7" s="28"/>
      <c r="LNY7" s="28"/>
      <c r="LNZ7" s="28"/>
      <c r="LOA7" s="28"/>
      <c r="LOB7" s="28"/>
      <c r="LOC7" s="28"/>
      <c r="LOD7" s="28"/>
      <c r="LOE7" s="28"/>
      <c r="LOF7" s="28"/>
      <c r="LOG7" s="28"/>
      <c r="LOH7" s="28"/>
      <c r="LOI7" s="28"/>
      <c r="LOJ7" s="28"/>
      <c r="LOK7" s="28"/>
      <c r="LOL7" s="28"/>
      <c r="LOM7" s="28"/>
      <c r="LON7" s="28"/>
      <c r="LOO7" s="28"/>
      <c r="LOP7" s="28"/>
      <c r="LOQ7" s="28"/>
      <c r="LOR7" s="28"/>
      <c r="LOS7" s="28"/>
      <c r="LOT7" s="28"/>
      <c r="LOU7" s="28"/>
      <c r="LOV7" s="28"/>
      <c r="LOW7" s="28"/>
      <c r="LOX7" s="28"/>
      <c r="LOY7" s="28"/>
      <c r="LOZ7" s="28"/>
      <c r="LPA7" s="28"/>
      <c r="LPB7" s="28"/>
      <c r="LPC7" s="28"/>
      <c r="LPD7" s="28"/>
      <c r="LPE7" s="28"/>
      <c r="LPF7" s="28"/>
      <c r="LPG7" s="28"/>
      <c r="LPH7" s="28"/>
      <c r="LPI7" s="28"/>
      <c r="LPJ7" s="28"/>
      <c r="LPK7" s="28"/>
      <c r="LPL7" s="28"/>
      <c r="LPM7" s="28"/>
      <c r="LPN7" s="28"/>
      <c r="LPO7" s="28"/>
      <c r="LPP7" s="28"/>
      <c r="LPQ7" s="28"/>
      <c r="LPR7" s="28"/>
      <c r="LPS7" s="28"/>
      <c r="LPT7" s="28"/>
      <c r="LPU7" s="28"/>
      <c r="LPV7" s="28"/>
      <c r="LPW7" s="28"/>
      <c r="LPX7" s="28"/>
      <c r="LPY7" s="28"/>
      <c r="LPZ7" s="28"/>
      <c r="LQA7" s="28"/>
      <c r="LQB7" s="28"/>
      <c r="LQC7" s="28"/>
      <c r="LQD7" s="28"/>
      <c r="LQE7" s="28"/>
      <c r="LQF7" s="28"/>
      <c r="LQG7" s="28"/>
      <c r="LQH7" s="28"/>
      <c r="LQI7" s="28"/>
      <c r="LQJ7" s="28"/>
      <c r="LQK7" s="28"/>
      <c r="LQL7" s="28"/>
      <c r="LQM7" s="28"/>
      <c r="LQN7" s="28"/>
      <c r="LQO7" s="28"/>
      <c r="LQP7" s="28"/>
      <c r="LQQ7" s="28"/>
      <c r="LQR7" s="28"/>
      <c r="LQS7" s="28"/>
      <c r="LQT7" s="28"/>
      <c r="LQU7" s="28"/>
      <c r="LQV7" s="28"/>
      <c r="LQW7" s="28"/>
      <c r="LQX7" s="28"/>
      <c r="LQY7" s="28"/>
      <c r="LQZ7" s="28"/>
      <c r="LRA7" s="28"/>
      <c r="LRB7" s="28"/>
      <c r="LRC7" s="28"/>
      <c r="LRD7" s="28"/>
      <c r="LRE7" s="28"/>
      <c r="LRF7" s="28"/>
      <c r="LRG7" s="28"/>
      <c r="LRH7" s="28"/>
      <c r="LRI7" s="28"/>
      <c r="LRJ7" s="28"/>
      <c r="LRK7" s="28"/>
      <c r="LRL7" s="28"/>
      <c r="LRM7" s="28"/>
      <c r="LRN7" s="28"/>
      <c r="LRO7" s="28"/>
      <c r="LRP7" s="28"/>
      <c r="LRQ7" s="28"/>
      <c r="LRR7" s="28"/>
      <c r="LRS7" s="28"/>
      <c r="LRT7" s="28"/>
      <c r="LRU7" s="28"/>
      <c r="LRV7" s="28"/>
      <c r="LRW7" s="28"/>
      <c r="LRX7" s="28"/>
      <c r="LRY7" s="28"/>
      <c r="LRZ7" s="28"/>
      <c r="LSA7" s="28"/>
      <c r="LSB7" s="28"/>
      <c r="LSC7" s="28"/>
      <c r="LSD7" s="28"/>
      <c r="LSE7" s="28"/>
      <c r="LSF7" s="28"/>
      <c r="LSG7" s="28"/>
      <c r="LSH7" s="28"/>
      <c r="LSI7" s="28"/>
      <c r="LSJ7" s="28"/>
      <c r="LSK7" s="28"/>
      <c r="LSL7" s="28"/>
      <c r="LSM7" s="28"/>
      <c r="LSN7" s="28"/>
      <c r="LSO7" s="28"/>
      <c r="LSP7" s="28"/>
      <c r="LSQ7" s="28"/>
      <c r="LSR7" s="28"/>
      <c r="LSS7" s="28"/>
      <c r="LST7" s="28"/>
      <c r="LSU7" s="28"/>
      <c r="LSV7" s="28"/>
      <c r="LSW7" s="28"/>
      <c r="LSX7" s="28"/>
      <c r="LSY7" s="28"/>
      <c r="LSZ7" s="28"/>
      <c r="LTA7" s="28"/>
      <c r="LTB7" s="28"/>
      <c r="LTC7" s="28"/>
      <c r="LTD7" s="28"/>
      <c r="LTE7" s="28"/>
      <c r="LTF7" s="28"/>
      <c r="LTG7" s="28"/>
      <c r="LTH7" s="28"/>
      <c r="LTI7" s="28"/>
      <c r="LTJ7" s="28"/>
      <c r="LTK7" s="28"/>
      <c r="LTL7" s="28"/>
      <c r="LTM7" s="28"/>
      <c r="LTN7" s="28"/>
      <c r="LTO7" s="28"/>
      <c r="LTP7" s="28"/>
      <c r="LTQ7" s="28"/>
      <c r="LTR7" s="28"/>
      <c r="LTS7" s="28"/>
      <c r="LTT7" s="28"/>
      <c r="LTU7" s="28"/>
      <c r="LTV7" s="28"/>
      <c r="LTW7" s="28"/>
      <c r="LTX7" s="28"/>
      <c r="LTY7" s="28"/>
      <c r="LTZ7" s="28"/>
      <c r="LUA7" s="28"/>
      <c r="LUB7" s="28"/>
      <c r="LUC7" s="28"/>
      <c r="LUD7" s="28"/>
      <c r="LUE7" s="28"/>
      <c r="LUF7" s="28"/>
      <c r="LUG7" s="28"/>
      <c r="LUH7" s="28"/>
      <c r="LUI7" s="28"/>
      <c r="LUJ7" s="28"/>
      <c r="LUK7" s="28"/>
      <c r="LUL7" s="28"/>
      <c r="LUM7" s="28"/>
      <c r="LUN7" s="28"/>
      <c r="LUO7" s="28"/>
      <c r="LUP7" s="28"/>
      <c r="LUQ7" s="28"/>
      <c r="LUR7" s="28"/>
      <c r="LUS7" s="28"/>
      <c r="LUT7" s="28"/>
      <c r="LUU7" s="28"/>
      <c r="LUV7" s="28"/>
      <c r="LUW7" s="28"/>
      <c r="LUX7" s="28"/>
      <c r="LUY7" s="28"/>
      <c r="LUZ7" s="28"/>
      <c r="LVA7" s="28"/>
      <c r="LVB7" s="28"/>
      <c r="LVC7" s="28"/>
      <c r="LVD7" s="28"/>
      <c r="LVE7" s="28"/>
      <c r="LVF7" s="28"/>
      <c r="LVG7" s="28"/>
      <c r="LVH7" s="28"/>
      <c r="LVI7" s="28"/>
      <c r="LVJ7" s="28"/>
      <c r="LVK7" s="28"/>
      <c r="LVL7" s="28"/>
      <c r="LVM7" s="28"/>
      <c r="LVN7" s="28"/>
      <c r="LVO7" s="28"/>
      <c r="LVP7" s="28"/>
      <c r="LVQ7" s="28"/>
      <c r="LVR7" s="28"/>
      <c r="LVS7" s="28"/>
      <c r="LVT7" s="28"/>
      <c r="LVU7" s="28"/>
      <c r="LVV7" s="28"/>
      <c r="LVW7" s="28"/>
      <c r="LVX7" s="28"/>
      <c r="LVY7" s="28"/>
      <c r="LVZ7" s="28"/>
      <c r="LWA7" s="28"/>
      <c r="LWB7" s="28"/>
      <c r="LWC7" s="28"/>
      <c r="LWD7" s="28"/>
      <c r="LWE7" s="28"/>
      <c r="LWF7" s="28"/>
      <c r="LWG7" s="28"/>
      <c r="LWH7" s="28"/>
      <c r="LWI7" s="28"/>
      <c r="LWJ7" s="28"/>
      <c r="LWK7" s="28"/>
      <c r="LWL7" s="28"/>
      <c r="LWM7" s="28"/>
      <c r="LWN7" s="28"/>
      <c r="LWO7" s="28"/>
      <c r="LWP7" s="28"/>
      <c r="LWQ7" s="28"/>
      <c r="LWR7" s="28"/>
      <c r="LWS7" s="28"/>
      <c r="LWT7" s="28"/>
      <c r="LWU7" s="28"/>
      <c r="LWV7" s="28"/>
      <c r="LWW7" s="28"/>
      <c r="LWX7" s="28"/>
      <c r="LWY7" s="28"/>
      <c r="LWZ7" s="28"/>
      <c r="LXA7" s="28"/>
      <c r="LXB7" s="28"/>
      <c r="LXC7" s="28"/>
      <c r="LXD7" s="28"/>
      <c r="LXE7" s="28"/>
      <c r="LXF7" s="28"/>
      <c r="LXG7" s="28"/>
      <c r="LXH7" s="28"/>
      <c r="LXI7" s="28"/>
      <c r="LXJ7" s="28"/>
      <c r="LXK7" s="28"/>
      <c r="LXL7" s="28"/>
      <c r="LXM7" s="28"/>
      <c r="LXN7" s="28"/>
      <c r="LXO7" s="28"/>
      <c r="LXP7" s="28"/>
      <c r="LXQ7" s="28"/>
      <c r="LXR7" s="28"/>
      <c r="LXS7" s="28"/>
      <c r="LXT7" s="28"/>
      <c r="LXU7" s="28"/>
      <c r="LXV7" s="28"/>
      <c r="LXW7" s="28"/>
      <c r="LXX7" s="28"/>
      <c r="LXY7" s="28"/>
      <c r="LXZ7" s="28"/>
      <c r="LYA7" s="28"/>
      <c r="LYB7" s="28"/>
      <c r="LYC7" s="28"/>
      <c r="LYD7" s="28"/>
      <c r="LYE7" s="28"/>
      <c r="LYF7" s="28"/>
      <c r="LYG7" s="28"/>
      <c r="LYH7" s="28"/>
      <c r="LYI7" s="28"/>
      <c r="LYJ7" s="28"/>
      <c r="LYK7" s="28"/>
      <c r="LYL7" s="28"/>
      <c r="LYM7" s="28"/>
      <c r="LYN7" s="28"/>
      <c r="LYO7" s="28"/>
      <c r="LYP7" s="28"/>
      <c r="LYQ7" s="28"/>
      <c r="LYR7" s="28"/>
      <c r="LYS7" s="28"/>
      <c r="LYT7" s="28"/>
      <c r="LYU7" s="28"/>
      <c r="LYV7" s="28"/>
      <c r="LYW7" s="28"/>
      <c r="LYX7" s="28"/>
      <c r="LYY7" s="28"/>
      <c r="LYZ7" s="28"/>
      <c r="LZA7" s="28"/>
      <c r="LZB7" s="28"/>
      <c r="LZC7" s="28"/>
      <c r="LZD7" s="28"/>
      <c r="LZE7" s="28"/>
      <c r="LZF7" s="28"/>
      <c r="LZG7" s="28"/>
      <c r="LZH7" s="28"/>
      <c r="LZI7" s="28"/>
      <c r="LZJ7" s="28"/>
      <c r="LZK7" s="28"/>
      <c r="LZL7" s="28"/>
      <c r="LZM7" s="28"/>
      <c r="LZN7" s="28"/>
      <c r="LZO7" s="28"/>
      <c r="LZP7" s="28"/>
      <c r="LZQ7" s="28"/>
      <c r="LZR7" s="28"/>
      <c r="LZS7" s="28"/>
      <c r="LZT7" s="28"/>
      <c r="LZU7" s="28"/>
      <c r="LZV7" s="28"/>
      <c r="LZW7" s="28"/>
      <c r="LZX7" s="28"/>
      <c r="LZY7" s="28"/>
      <c r="LZZ7" s="28"/>
      <c r="MAA7" s="28"/>
      <c r="MAB7" s="28"/>
      <c r="MAC7" s="28"/>
      <c r="MAD7" s="28"/>
      <c r="MAE7" s="28"/>
      <c r="MAF7" s="28"/>
      <c r="MAG7" s="28"/>
      <c r="MAH7" s="28"/>
      <c r="MAI7" s="28"/>
      <c r="MAJ7" s="28"/>
      <c r="MAK7" s="28"/>
      <c r="MAL7" s="28"/>
      <c r="MAM7" s="28"/>
      <c r="MAN7" s="28"/>
      <c r="MAO7" s="28"/>
      <c r="MAP7" s="28"/>
      <c r="MAQ7" s="28"/>
      <c r="MAR7" s="28"/>
      <c r="MAS7" s="28"/>
      <c r="MAT7" s="28"/>
      <c r="MAU7" s="28"/>
      <c r="MAV7" s="28"/>
      <c r="MAW7" s="28"/>
      <c r="MAX7" s="28"/>
      <c r="MAY7" s="28"/>
      <c r="MAZ7" s="28"/>
      <c r="MBA7" s="28"/>
      <c r="MBB7" s="28"/>
      <c r="MBC7" s="28"/>
      <c r="MBD7" s="28"/>
      <c r="MBE7" s="28"/>
      <c r="MBF7" s="28"/>
      <c r="MBG7" s="28"/>
      <c r="MBH7" s="28"/>
      <c r="MBI7" s="28"/>
      <c r="MBJ7" s="28"/>
      <c r="MBK7" s="28"/>
      <c r="MBL7" s="28"/>
      <c r="MBM7" s="28"/>
      <c r="MBN7" s="28"/>
      <c r="MBO7" s="28"/>
      <c r="MBP7" s="28"/>
      <c r="MBQ7" s="28"/>
      <c r="MBR7" s="28"/>
      <c r="MBS7" s="28"/>
      <c r="MBT7" s="28"/>
      <c r="MBU7" s="28"/>
      <c r="MBV7" s="28"/>
      <c r="MBW7" s="28"/>
      <c r="MBX7" s="28"/>
      <c r="MBY7" s="28"/>
      <c r="MBZ7" s="28"/>
      <c r="MCA7" s="28"/>
      <c r="MCB7" s="28"/>
      <c r="MCC7" s="28"/>
      <c r="MCD7" s="28"/>
      <c r="MCE7" s="28"/>
      <c r="MCF7" s="28"/>
      <c r="MCG7" s="28"/>
      <c r="MCH7" s="28"/>
      <c r="MCI7" s="28"/>
      <c r="MCJ7" s="28"/>
      <c r="MCK7" s="28"/>
      <c r="MCL7" s="28"/>
      <c r="MCM7" s="28"/>
      <c r="MCN7" s="28"/>
      <c r="MCO7" s="28"/>
      <c r="MCP7" s="28"/>
      <c r="MCQ7" s="28"/>
      <c r="MCR7" s="28"/>
      <c r="MCS7" s="28"/>
      <c r="MCT7" s="28"/>
      <c r="MCU7" s="28"/>
      <c r="MCV7" s="28"/>
      <c r="MCW7" s="28"/>
      <c r="MCX7" s="28"/>
      <c r="MCY7" s="28"/>
      <c r="MCZ7" s="28"/>
      <c r="MDA7" s="28"/>
      <c r="MDB7" s="28"/>
      <c r="MDC7" s="28"/>
      <c r="MDD7" s="28"/>
      <c r="MDE7" s="28"/>
      <c r="MDF7" s="28"/>
      <c r="MDG7" s="28"/>
      <c r="MDH7" s="28"/>
      <c r="MDI7" s="28"/>
      <c r="MDJ7" s="28"/>
      <c r="MDK7" s="28"/>
      <c r="MDL7" s="28"/>
      <c r="MDM7" s="28"/>
      <c r="MDN7" s="28"/>
      <c r="MDO7" s="28"/>
      <c r="MDP7" s="28"/>
      <c r="MDQ7" s="28"/>
      <c r="MDR7" s="28"/>
      <c r="MDS7" s="28"/>
      <c r="MDT7" s="28"/>
      <c r="MDU7" s="28"/>
      <c r="MDV7" s="28"/>
      <c r="MDW7" s="28"/>
      <c r="MDX7" s="28"/>
      <c r="MDY7" s="28"/>
      <c r="MDZ7" s="28"/>
      <c r="MEA7" s="28"/>
      <c r="MEB7" s="28"/>
      <c r="MEC7" s="28"/>
      <c r="MED7" s="28"/>
      <c r="MEE7" s="28"/>
      <c r="MEF7" s="28"/>
      <c r="MEG7" s="28"/>
      <c r="MEH7" s="28"/>
      <c r="MEI7" s="28"/>
      <c r="MEJ7" s="28"/>
      <c r="MEK7" s="28"/>
      <c r="MEL7" s="28"/>
      <c r="MEM7" s="28"/>
      <c r="MEN7" s="28"/>
      <c r="MEO7" s="28"/>
      <c r="MEP7" s="28"/>
      <c r="MEQ7" s="28"/>
      <c r="MER7" s="28"/>
      <c r="MES7" s="28"/>
      <c r="MET7" s="28"/>
      <c r="MEU7" s="28"/>
      <c r="MEV7" s="28"/>
      <c r="MEW7" s="28"/>
      <c r="MEX7" s="28"/>
      <c r="MEY7" s="28"/>
      <c r="MEZ7" s="28"/>
      <c r="MFA7" s="28"/>
      <c r="MFB7" s="28"/>
      <c r="MFC7" s="28"/>
      <c r="MFD7" s="28"/>
      <c r="MFE7" s="28"/>
      <c r="MFF7" s="28"/>
      <c r="MFG7" s="28"/>
      <c r="MFH7" s="28"/>
      <c r="MFI7" s="28"/>
      <c r="MFJ7" s="28"/>
      <c r="MFK7" s="28"/>
      <c r="MFL7" s="28"/>
      <c r="MFM7" s="28"/>
      <c r="MFN7" s="28"/>
      <c r="MFO7" s="28"/>
      <c r="MFP7" s="28"/>
      <c r="MFQ7" s="28"/>
      <c r="MFR7" s="28"/>
      <c r="MFS7" s="28"/>
      <c r="MFT7" s="28"/>
      <c r="MFU7" s="28"/>
      <c r="MFV7" s="28"/>
      <c r="MFW7" s="28"/>
      <c r="MFX7" s="28"/>
      <c r="MFY7" s="28"/>
      <c r="MFZ7" s="28"/>
      <c r="MGA7" s="28"/>
      <c r="MGB7" s="28"/>
      <c r="MGC7" s="28"/>
      <c r="MGD7" s="28"/>
      <c r="MGE7" s="28"/>
      <c r="MGF7" s="28"/>
      <c r="MGG7" s="28"/>
      <c r="MGH7" s="28"/>
      <c r="MGI7" s="28"/>
      <c r="MGJ7" s="28"/>
      <c r="MGK7" s="28"/>
      <c r="MGL7" s="28"/>
      <c r="MGM7" s="28"/>
      <c r="MGN7" s="28"/>
      <c r="MGO7" s="28"/>
      <c r="MGP7" s="28"/>
      <c r="MGQ7" s="28"/>
      <c r="MGR7" s="28"/>
      <c r="MGS7" s="28"/>
      <c r="MGT7" s="28"/>
      <c r="MGU7" s="28"/>
      <c r="MGV7" s="28"/>
      <c r="MGW7" s="28"/>
      <c r="MGX7" s="28"/>
      <c r="MGY7" s="28"/>
      <c r="MGZ7" s="28"/>
      <c r="MHA7" s="28"/>
      <c r="MHB7" s="28"/>
      <c r="MHC7" s="28"/>
      <c r="MHD7" s="28"/>
      <c r="MHE7" s="28"/>
      <c r="MHF7" s="28"/>
      <c r="MHG7" s="28"/>
      <c r="MHH7" s="28"/>
      <c r="MHI7" s="28"/>
      <c r="MHJ7" s="28"/>
      <c r="MHK7" s="28"/>
      <c r="MHL7" s="28"/>
      <c r="MHM7" s="28"/>
      <c r="MHN7" s="28"/>
      <c r="MHO7" s="28"/>
      <c r="MHP7" s="28"/>
      <c r="MHQ7" s="28"/>
      <c r="MHR7" s="28"/>
      <c r="MHS7" s="28"/>
      <c r="MHT7" s="28"/>
      <c r="MHU7" s="28"/>
      <c r="MHV7" s="28"/>
      <c r="MHW7" s="28"/>
      <c r="MHX7" s="28"/>
      <c r="MHY7" s="28"/>
      <c r="MHZ7" s="28"/>
      <c r="MIA7" s="28"/>
      <c r="MIB7" s="28"/>
      <c r="MIC7" s="28"/>
      <c r="MID7" s="28"/>
      <c r="MIE7" s="28"/>
      <c r="MIF7" s="28"/>
      <c r="MIG7" s="28"/>
      <c r="MIH7" s="28"/>
      <c r="MII7" s="28"/>
      <c r="MIJ7" s="28"/>
      <c r="MIK7" s="28"/>
      <c r="MIL7" s="28"/>
      <c r="MIM7" s="28"/>
      <c r="MIN7" s="28"/>
      <c r="MIO7" s="28"/>
      <c r="MIP7" s="28"/>
      <c r="MIQ7" s="28"/>
      <c r="MIR7" s="28"/>
      <c r="MIS7" s="28"/>
      <c r="MIT7" s="28"/>
      <c r="MIU7" s="28"/>
      <c r="MIV7" s="28"/>
      <c r="MIW7" s="28"/>
      <c r="MIX7" s="28"/>
      <c r="MIY7" s="28"/>
      <c r="MIZ7" s="28"/>
      <c r="MJA7" s="28"/>
      <c r="MJB7" s="28"/>
      <c r="MJC7" s="28"/>
      <c r="MJD7" s="28"/>
      <c r="MJE7" s="28"/>
      <c r="MJF7" s="28"/>
      <c r="MJG7" s="28"/>
      <c r="MJH7" s="28"/>
      <c r="MJI7" s="28"/>
      <c r="MJJ7" s="28"/>
      <c r="MJK7" s="28"/>
      <c r="MJL7" s="28"/>
      <c r="MJM7" s="28"/>
      <c r="MJN7" s="28"/>
      <c r="MJO7" s="28"/>
      <c r="MJP7" s="28"/>
      <c r="MJQ7" s="28"/>
      <c r="MJR7" s="28"/>
      <c r="MJS7" s="28"/>
      <c r="MJT7" s="28"/>
      <c r="MJU7" s="28"/>
      <c r="MJV7" s="28"/>
      <c r="MJW7" s="28"/>
      <c r="MJX7" s="28"/>
      <c r="MJY7" s="28"/>
      <c r="MJZ7" s="28"/>
      <c r="MKA7" s="28"/>
      <c r="MKB7" s="28"/>
      <c r="MKC7" s="28"/>
      <c r="MKD7" s="28"/>
      <c r="MKE7" s="28"/>
      <c r="MKF7" s="28"/>
      <c r="MKG7" s="28"/>
      <c r="MKH7" s="28"/>
      <c r="MKI7" s="28"/>
      <c r="MKJ7" s="28"/>
      <c r="MKK7" s="28"/>
      <c r="MKL7" s="28"/>
      <c r="MKM7" s="28"/>
      <c r="MKN7" s="28"/>
      <c r="MKO7" s="28"/>
      <c r="MKP7" s="28"/>
      <c r="MKQ7" s="28"/>
      <c r="MKR7" s="28"/>
      <c r="MKS7" s="28"/>
      <c r="MKT7" s="28"/>
      <c r="MKU7" s="28"/>
      <c r="MKV7" s="28"/>
      <c r="MKW7" s="28"/>
      <c r="MKX7" s="28"/>
      <c r="MKY7" s="28"/>
      <c r="MKZ7" s="28"/>
      <c r="MLA7" s="28"/>
      <c r="MLB7" s="28"/>
      <c r="MLC7" s="28"/>
      <c r="MLD7" s="28"/>
      <c r="MLE7" s="28"/>
      <c r="MLF7" s="28"/>
      <c r="MLG7" s="28"/>
      <c r="MLH7" s="28"/>
      <c r="MLI7" s="28"/>
      <c r="MLJ7" s="28"/>
      <c r="MLK7" s="28"/>
      <c r="MLL7" s="28"/>
      <c r="MLM7" s="28"/>
      <c r="MLN7" s="28"/>
      <c r="MLO7" s="28"/>
      <c r="MLP7" s="28"/>
      <c r="MLQ7" s="28"/>
      <c r="MLR7" s="28"/>
      <c r="MLS7" s="28"/>
      <c r="MLT7" s="28"/>
      <c r="MLU7" s="28"/>
      <c r="MLV7" s="28"/>
      <c r="MLW7" s="28"/>
      <c r="MLX7" s="28"/>
      <c r="MLY7" s="28"/>
      <c r="MLZ7" s="28"/>
      <c r="MMA7" s="28"/>
      <c r="MMB7" s="28"/>
      <c r="MMC7" s="28"/>
      <c r="MMD7" s="28"/>
      <c r="MME7" s="28"/>
      <c r="MMF7" s="28"/>
      <c r="MMG7" s="28"/>
      <c r="MMH7" s="28"/>
      <c r="MMI7" s="28"/>
      <c r="MMJ7" s="28"/>
      <c r="MMK7" s="28"/>
      <c r="MML7" s="28"/>
      <c r="MMM7" s="28"/>
      <c r="MMN7" s="28"/>
      <c r="MMO7" s="28"/>
      <c r="MMP7" s="28"/>
      <c r="MMQ7" s="28"/>
      <c r="MMR7" s="28"/>
      <c r="MMS7" s="28"/>
      <c r="MMT7" s="28"/>
      <c r="MMU7" s="28"/>
      <c r="MMV7" s="28"/>
      <c r="MMW7" s="28"/>
      <c r="MMX7" s="28"/>
      <c r="MMY7" s="28"/>
      <c r="MMZ7" s="28"/>
      <c r="MNA7" s="28"/>
      <c r="MNB7" s="28"/>
      <c r="MNC7" s="28"/>
      <c r="MND7" s="28"/>
      <c r="MNE7" s="28"/>
      <c r="MNF7" s="28"/>
      <c r="MNG7" s="28"/>
      <c r="MNH7" s="28"/>
      <c r="MNI7" s="28"/>
      <c r="MNJ7" s="28"/>
      <c r="MNK7" s="28"/>
      <c r="MNL7" s="28"/>
      <c r="MNM7" s="28"/>
      <c r="MNN7" s="28"/>
      <c r="MNO7" s="28"/>
      <c r="MNP7" s="28"/>
      <c r="MNQ7" s="28"/>
      <c r="MNR7" s="28"/>
      <c r="MNS7" s="28"/>
      <c r="MNT7" s="28"/>
      <c r="MNU7" s="28"/>
      <c r="MNV7" s="28"/>
      <c r="MNW7" s="28"/>
      <c r="MNX7" s="28"/>
      <c r="MNY7" s="28"/>
      <c r="MNZ7" s="28"/>
      <c r="MOA7" s="28"/>
      <c r="MOB7" s="28"/>
      <c r="MOC7" s="28"/>
      <c r="MOD7" s="28"/>
      <c r="MOE7" s="28"/>
      <c r="MOF7" s="28"/>
      <c r="MOG7" s="28"/>
      <c r="MOH7" s="28"/>
      <c r="MOI7" s="28"/>
      <c r="MOJ7" s="28"/>
      <c r="MOK7" s="28"/>
      <c r="MOL7" s="28"/>
      <c r="MOM7" s="28"/>
      <c r="MON7" s="28"/>
      <c r="MOO7" s="28"/>
      <c r="MOP7" s="28"/>
      <c r="MOQ7" s="28"/>
      <c r="MOR7" s="28"/>
      <c r="MOS7" s="28"/>
      <c r="MOT7" s="28"/>
      <c r="MOU7" s="28"/>
      <c r="MOV7" s="28"/>
      <c r="MOW7" s="28"/>
      <c r="MOX7" s="28"/>
      <c r="MOY7" s="28"/>
      <c r="MOZ7" s="28"/>
      <c r="MPA7" s="28"/>
      <c r="MPB7" s="28"/>
      <c r="MPC7" s="28"/>
      <c r="MPD7" s="28"/>
      <c r="MPE7" s="28"/>
      <c r="MPF7" s="28"/>
      <c r="MPG7" s="28"/>
      <c r="MPH7" s="28"/>
      <c r="MPI7" s="28"/>
      <c r="MPJ7" s="28"/>
      <c r="MPK7" s="28"/>
      <c r="MPL7" s="28"/>
      <c r="MPM7" s="28"/>
      <c r="MPN7" s="28"/>
      <c r="MPO7" s="28"/>
      <c r="MPP7" s="28"/>
      <c r="MPQ7" s="28"/>
      <c r="MPR7" s="28"/>
      <c r="MPS7" s="28"/>
      <c r="MPT7" s="28"/>
      <c r="MPU7" s="28"/>
      <c r="MPV7" s="28"/>
      <c r="MPW7" s="28"/>
      <c r="MPX7" s="28"/>
      <c r="MPY7" s="28"/>
      <c r="MPZ7" s="28"/>
      <c r="MQA7" s="28"/>
      <c r="MQB7" s="28"/>
      <c r="MQC7" s="28"/>
      <c r="MQD7" s="28"/>
      <c r="MQE7" s="28"/>
      <c r="MQF7" s="28"/>
      <c r="MQG7" s="28"/>
      <c r="MQH7" s="28"/>
      <c r="MQI7" s="28"/>
      <c r="MQJ7" s="28"/>
      <c r="MQK7" s="28"/>
      <c r="MQL7" s="28"/>
      <c r="MQM7" s="28"/>
      <c r="MQN7" s="28"/>
      <c r="MQO7" s="28"/>
      <c r="MQP7" s="28"/>
      <c r="MQQ7" s="28"/>
      <c r="MQR7" s="28"/>
      <c r="MQS7" s="28"/>
      <c r="MQT7" s="28"/>
      <c r="MQU7" s="28"/>
      <c r="MQV7" s="28"/>
      <c r="MQW7" s="28"/>
      <c r="MQX7" s="28"/>
      <c r="MQY7" s="28"/>
      <c r="MQZ7" s="28"/>
      <c r="MRA7" s="28"/>
      <c r="MRB7" s="28"/>
      <c r="MRC7" s="28"/>
      <c r="MRD7" s="28"/>
      <c r="MRE7" s="28"/>
      <c r="MRF7" s="28"/>
      <c r="MRG7" s="28"/>
      <c r="MRH7" s="28"/>
      <c r="MRI7" s="28"/>
      <c r="MRJ7" s="28"/>
      <c r="MRK7" s="28"/>
      <c r="MRL7" s="28"/>
      <c r="MRM7" s="28"/>
      <c r="MRN7" s="28"/>
      <c r="MRO7" s="28"/>
      <c r="MRP7" s="28"/>
      <c r="MRQ7" s="28"/>
      <c r="MRR7" s="28"/>
      <c r="MRS7" s="28"/>
      <c r="MRT7" s="28"/>
      <c r="MRU7" s="28"/>
      <c r="MRV7" s="28"/>
      <c r="MRW7" s="28"/>
      <c r="MRX7" s="28"/>
      <c r="MRY7" s="28"/>
      <c r="MRZ7" s="28"/>
      <c r="MSA7" s="28"/>
      <c r="MSB7" s="28"/>
      <c r="MSC7" s="28"/>
      <c r="MSD7" s="28"/>
      <c r="MSE7" s="28"/>
      <c r="MSF7" s="28"/>
      <c r="MSG7" s="28"/>
      <c r="MSH7" s="28"/>
      <c r="MSI7" s="28"/>
      <c r="MSJ7" s="28"/>
      <c r="MSK7" s="28"/>
      <c r="MSL7" s="28"/>
      <c r="MSM7" s="28"/>
      <c r="MSN7" s="28"/>
      <c r="MSO7" s="28"/>
      <c r="MSP7" s="28"/>
      <c r="MSQ7" s="28"/>
      <c r="MSR7" s="28"/>
      <c r="MSS7" s="28"/>
      <c r="MST7" s="28"/>
      <c r="MSU7" s="28"/>
      <c r="MSV7" s="28"/>
      <c r="MSW7" s="28"/>
      <c r="MSX7" s="28"/>
      <c r="MSY7" s="28"/>
      <c r="MSZ7" s="28"/>
      <c r="MTA7" s="28"/>
      <c r="MTB7" s="28"/>
      <c r="MTC7" s="28"/>
      <c r="MTD7" s="28"/>
      <c r="MTE7" s="28"/>
      <c r="MTF7" s="28"/>
      <c r="MTG7" s="28"/>
      <c r="MTH7" s="28"/>
      <c r="MTI7" s="28"/>
      <c r="MTJ7" s="28"/>
      <c r="MTK7" s="28"/>
      <c r="MTL7" s="28"/>
      <c r="MTM7" s="28"/>
      <c r="MTN7" s="28"/>
      <c r="MTO7" s="28"/>
      <c r="MTP7" s="28"/>
      <c r="MTQ7" s="28"/>
      <c r="MTR7" s="28"/>
      <c r="MTS7" s="28"/>
      <c r="MTT7" s="28"/>
      <c r="MTU7" s="28"/>
      <c r="MTV7" s="28"/>
      <c r="MTW7" s="28"/>
      <c r="MTX7" s="28"/>
      <c r="MTY7" s="28"/>
      <c r="MTZ7" s="28"/>
      <c r="MUA7" s="28"/>
      <c r="MUB7" s="28"/>
      <c r="MUC7" s="28"/>
      <c r="MUD7" s="28"/>
      <c r="MUE7" s="28"/>
      <c r="MUF7" s="28"/>
      <c r="MUG7" s="28"/>
      <c r="MUH7" s="28"/>
      <c r="MUI7" s="28"/>
      <c r="MUJ7" s="28"/>
      <c r="MUK7" s="28"/>
      <c r="MUL7" s="28"/>
      <c r="MUM7" s="28"/>
      <c r="MUN7" s="28"/>
      <c r="MUO7" s="28"/>
      <c r="MUP7" s="28"/>
      <c r="MUQ7" s="28"/>
      <c r="MUR7" s="28"/>
      <c r="MUS7" s="28"/>
      <c r="MUT7" s="28"/>
      <c r="MUU7" s="28"/>
      <c r="MUV7" s="28"/>
      <c r="MUW7" s="28"/>
      <c r="MUX7" s="28"/>
      <c r="MUY7" s="28"/>
      <c r="MUZ7" s="28"/>
      <c r="MVA7" s="28"/>
      <c r="MVB7" s="28"/>
      <c r="MVC7" s="28"/>
      <c r="MVD7" s="28"/>
      <c r="MVE7" s="28"/>
      <c r="MVF7" s="28"/>
      <c r="MVG7" s="28"/>
      <c r="MVH7" s="28"/>
      <c r="MVI7" s="28"/>
      <c r="MVJ7" s="28"/>
      <c r="MVK7" s="28"/>
      <c r="MVL7" s="28"/>
      <c r="MVM7" s="28"/>
      <c r="MVN7" s="28"/>
      <c r="MVO7" s="28"/>
      <c r="MVP7" s="28"/>
      <c r="MVQ7" s="28"/>
      <c r="MVR7" s="28"/>
      <c r="MVS7" s="28"/>
      <c r="MVT7" s="28"/>
      <c r="MVU7" s="28"/>
      <c r="MVV7" s="28"/>
      <c r="MVW7" s="28"/>
      <c r="MVX7" s="28"/>
      <c r="MVY7" s="28"/>
      <c r="MVZ7" s="28"/>
      <c r="MWA7" s="28"/>
      <c r="MWB7" s="28"/>
      <c r="MWC7" s="28"/>
      <c r="MWD7" s="28"/>
      <c r="MWE7" s="28"/>
      <c r="MWF7" s="28"/>
      <c r="MWG7" s="28"/>
      <c r="MWH7" s="28"/>
      <c r="MWI7" s="28"/>
      <c r="MWJ7" s="28"/>
      <c r="MWK7" s="28"/>
      <c r="MWL7" s="28"/>
      <c r="MWM7" s="28"/>
      <c r="MWN7" s="28"/>
      <c r="MWO7" s="28"/>
      <c r="MWP7" s="28"/>
      <c r="MWQ7" s="28"/>
      <c r="MWR7" s="28"/>
      <c r="MWS7" s="28"/>
      <c r="MWT7" s="28"/>
      <c r="MWU7" s="28"/>
      <c r="MWV7" s="28"/>
      <c r="MWW7" s="28"/>
      <c r="MWX7" s="28"/>
      <c r="MWY7" s="28"/>
      <c r="MWZ7" s="28"/>
      <c r="MXA7" s="28"/>
      <c r="MXB7" s="28"/>
      <c r="MXC7" s="28"/>
      <c r="MXD7" s="28"/>
      <c r="MXE7" s="28"/>
      <c r="MXF7" s="28"/>
      <c r="MXG7" s="28"/>
      <c r="MXH7" s="28"/>
      <c r="MXI7" s="28"/>
      <c r="MXJ7" s="28"/>
      <c r="MXK7" s="28"/>
      <c r="MXL7" s="28"/>
      <c r="MXM7" s="28"/>
      <c r="MXN7" s="28"/>
      <c r="MXO7" s="28"/>
      <c r="MXP7" s="28"/>
      <c r="MXQ7" s="28"/>
      <c r="MXR7" s="28"/>
      <c r="MXS7" s="28"/>
      <c r="MXT7" s="28"/>
      <c r="MXU7" s="28"/>
      <c r="MXV7" s="28"/>
      <c r="MXW7" s="28"/>
      <c r="MXX7" s="28"/>
      <c r="MXY7" s="28"/>
      <c r="MXZ7" s="28"/>
      <c r="MYA7" s="28"/>
      <c r="MYB7" s="28"/>
      <c r="MYC7" s="28"/>
      <c r="MYD7" s="28"/>
      <c r="MYE7" s="28"/>
      <c r="MYF7" s="28"/>
      <c r="MYG7" s="28"/>
      <c r="MYH7" s="28"/>
      <c r="MYI7" s="28"/>
      <c r="MYJ7" s="28"/>
      <c r="MYK7" s="28"/>
      <c r="MYL7" s="28"/>
      <c r="MYM7" s="28"/>
      <c r="MYN7" s="28"/>
      <c r="MYO7" s="28"/>
      <c r="MYP7" s="28"/>
      <c r="MYQ7" s="28"/>
      <c r="MYR7" s="28"/>
      <c r="MYS7" s="28"/>
      <c r="MYT7" s="28"/>
      <c r="MYU7" s="28"/>
      <c r="MYV7" s="28"/>
      <c r="MYW7" s="28"/>
      <c r="MYX7" s="28"/>
      <c r="MYY7" s="28"/>
      <c r="MYZ7" s="28"/>
      <c r="MZA7" s="28"/>
      <c r="MZB7" s="28"/>
      <c r="MZC7" s="28"/>
      <c r="MZD7" s="28"/>
      <c r="MZE7" s="28"/>
      <c r="MZF7" s="28"/>
      <c r="MZG7" s="28"/>
      <c r="MZH7" s="28"/>
      <c r="MZI7" s="28"/>
      <c r="MZJ7" s="28"/>
      <c r="MZK7" s="28"/>
      <c r="MZL7" s="28"/>
      <c r="MZM7" s="28"/>
      <c r="MZN7" s="28"/>
      <c r="MZO7" s="28"/>
      <c r="MZP7" s="28"/>
      <c r="MZQ7" s="28"/>
      <c r="MZR7" s="28"/>
      <c r="MZS7" s="28"/>
      <c r="MZT7" s="28"/>
      <c r="MZU7" s="28"/>
      <c r="MZV7" s="28"/>
      <c r="MZW7" s="28"/>
      <c r="MZX7" s="28"/>
      <c r="MZY7" s="28"/>
      <c r="MZZ7" s="28"/>
      <c r="NAA7" s="28"/>
      <c r="NAB7" s="28"/>
      <c r="NAC7" s="28"/>
      <c r="NAD7" s="28"/>
      <c r="NAE7" s="28"/>
      <c r="NAF7" s="28"/>
      <c r="NAG7" s="28"/>
      <c r="NAH7" s="28"/>
      <c r="NAI7" s="28"/>
      <c r="NAJ7" s="28"/>
      <c r="NAK7" s="28"/>
      <c r="NAL7" s="28"/>
      <c r="NAM7" s="28"/>
      <c r="NAN7" s="28"/>
      <c r="NAO7" s="28"/>
      <c r="NAP7" s="28"/>
      <c r="NAQ7" s="28"/>
      <c r="NAR7" s="28"/>
      <c r="NAS7" s="28"/>
      <c r="NAT7" s="28"/>
      <c r="NAU7" s="28"/>
      <c r="NAV7" s="28"/>
      <c r="NAW7" s="28"/>
      <c r="NAX7" s="28"/>
      <c r="NAY7" s="28"/>
      <c r="NAZ7" s="28"/>
      <c r="NBA7" s="28"/>
      <c r="NBB7" s="28"/>
      <c r="NBC7" s="28"/>
      <c r="NBD7" s="28"/>
      <c r="NBE7" s="28"/>
      <c r="NBF7" s="28"/>
      <c r="NBG7" s="28"/>
      <c r="NBH7" s="28"/>
      <c r="NBI7" s="28"/>
      <c r="NBJ7" s="28"/>
      <c r="NBK7" s="28"/>
      <c r="NBL7" s="28"/>
      <c r="NBM7" s="28"/>
      <c r="NBN7" s="28"/>
      <c r="NBO7" s="28"/>
      <c r="NBP7" s="28"/>
      <c r="NBQ7" s="28"/>
      <c r="NBR7" s="28"/>
      <c r="NBS7" s="28"/>
      <c r="NBT7" s="28"/>
      <c r="NBU7" s="28"/>
      <c r="NBV7" s="28"/>
      <c r="NBW7" s="28"/>
      <c r="NBX7" s="28"/>
      <c r="NBY7" s="28"/>
      <c r="NBZ7" s="28"/>
      <c r="NCA7" s="28"/>
      <c r="NCB7" s="28"/>
      <c r="NCC7" s="28"/>
      <c r="NCD7" s="28"/>
      <c r="NCE7" s="28"/>
      <c r="NCF7" s="28"/>
      <c r="NCG7" s="28"/>
      <c r="NCH7" s="28"/>
      <c r="NCI7" s="28"/>
      <c r="NCJ7" s="28"/>
      <c r="NCK7" s="28"/>
      <c r="NCL7" s="28"/>
      <c r="NCM7" s="28"/>
      <c r="NCN7" s="28"/>
      <c r="NCO7" s="28"/>
      <c r="NCP7" s="28"/>
      <c r="NCQ7" s="28"/>
      <c r="NCR7" s="28"/>
      <c r="NCS7" s="28"/>
      <c r="NCT7" s="28"/>
      <c r="NCU7" s="28"/>
      <c r="NCV7" s="28"/>
      <c r="NCW7" s="28"/>
      <c r="NCX7" s="28"/>
      <c r="NCY7" s="28"/>
      <c r="NCZ7" s="28"/>
      <c r="NDA7" s="28"/>
      <c r="NDB7" s="28"/>
      <c r="NDC7" s="28"/>
      <c r="NDD7" s="28"/>
      <c r="NDE7" s="28"/>
      <c r="NDF7" s="28"/>
      <c r="NDG7" s="28"/>
      <c r="NDH7" s="28"/>
      <c r="NDI7" s="28"/>
      <c r="NDJ7" s="28"/>
      <c r="NDK7" s="28"/>
      <c r="NDL7" s="28"/>
      <c r="NDM7" s="28"/>
      <c r="NDN7" s="28"/>
      <c r="NDO7" s="28"/>
      <c r="NDP7" s="28"/>
      <c r="NDQ7" s="28"/>
      <c r="NDR7" s="28"/>
      <c r="NDS7" s="28"/>
      <c r="NDT7" s="28"/>
      <c r="NDU7" s="28"/>
      <c r="NDV7" s="28"/>
      <c r="NDW7" s="28"/>
      <c r="NDX7" s="28"/>
      <c r="NDY7" s="28"/>
      <c r="NDZ7" s="28"/>
      <c r="NEA7" s="28"/>
      <c r="NEB7" s="28"/>
      <c r="NEC7" s="28"/>
      <c r="NED7" s="28"/>
      <c r="NEE7" s="28"/>
      <c r="NEF7" s="28"/>
      <c r="NEG7" s="28"/>
      <c r="NEH7" s="28"/>
      <c r="NEI7" s="28"/>
      <c r="NEJ7" s="28"/>
      <c r="NEK7" s="28"/>
      <c r="NEL7" s="28"/>
      <c r="NEM7" s="28"/>
      <c r="NEN7" s="28"/>
      <c r="NEO7" s="28"/>
      <c r="NEP7" s="28"/>
      <c r="NEQ7" s="28"/>
      <c r="NER7" s="28"/>
      <c r="NES7" s="28"/>
      <c r="NET7" s="28"/>
      <c r="NEU7" s="28"/>
      <c r="NEV7" s="28"/>
      <c r="NEW7" s="28"/>
      <c r="NEX7" s="28"/>
      <c r="NEY7" s="28"/>
      <c r="NEZ7" s="28"/>
      <c r="NFA7" s="28"/>
      <c r="NFB7" s="28"/>
      <c r="NFC7" s="28"/>
      <c r="NFD7" s="28"/>
      <c r="NFE7" s="28"/>
      <c r="NFF7" s="28"/>
      <c r="NFG7" s="28"/>
      <c r="NFH7" s="28"/>
      <c r="NFI7" s="28"/>
      <c r="NFJ7" s="28"/>
      <c r="NFK7" s="28"/>
      <c r="NFL7" s="28"/>
      <c r="NFM7" s="28"/>
      <c r="NFN7" s="28"/>
      <c r="NFO7" s="28"/>
      <c r="NFP7" s="28"/>
      <c r="NFQ7" s="28"/>
      <c r="NFR7" s="28"/>
      <c r="NFS7" s="28"/>
      <c r="NFT7" s="28"/>
      <c r="NFU7" s="28"/>
      <c r="NFV7" s="28"/>
      <c r="NFW7" s="28"/>
      <c r="NFX7" s="28"/>
      <c r="NFY7" s="28"/>
      <c r="NFZ7" s="28"/>
      <c r="NGA7" s="28"/>
      <c r="NGB7" s="28"/>
      <c r="NGC7" s="28"/>
      <c r="NGD7" s="28"/>
      <c r="NGE7" s="28"/>
      <c r="NGF7" s="28"/>
      <c r="NGG7" s="28"/>
      <c r="NGH7" s="28"/>
      <c r="NGI7" s="28"/>
      <c r="NGJ7" s="28"/>
      <c r="NGK7" s="28"/>
      <c r="NGL7" s="28"/>
      <c r="NGM7" s="28"/>
      <c r="NGN7" s="28"/>
      <c r="NGO7" s="28"/>
      <c r="NGP7" s="28"/>
      <c r="NGQ7" s="28"/>
      <c r="NGR7" s="28"/>
      <c r="NGS7" s="28"/>
      <c r="NGT7" s="28"/>
      <c r="NGU7" s="28"/>
      <c r="NGV7" s="28"/>
      <c r="NGW7" s="28"/>
      <c r="NGX7" s="28"/>
      <c r="NGY7" s="28"/>
      <c r="NGZ7" s="28"/>
      <c r="NHA7" s="28"/>
      <c r="NHB7" s="28"/>
      <c r="NHC7" s="28"/>
      <c r="NHD7" s="28"/>
      <c r="NHE7" s="28"/>
      <c r="NHF7" s="28"/>
      <c r="NHG7" s="28"/>
      <c r="NHH7" s="28"/>
      <c r="NHI7" s="28"/>
      <c r="NHJ7" s="28"/>
      <c r="NHK7" s="28"/>
      <c r="NHL7" s="28"/>
      <c r="NHM7" s="28"/>
      <c r="NHN7" s="28"/>
      <c r="NHO7" s="28"/>
      <c r="NHP7" s="28"/>
      <c r="NHQ7" s="28"/>
      <c r="NHR7" s="28"/>
      <c r="NHS7" s="28"/>
      <c r="NHT7" s="28"/>
      <c r="NHU7" s="28"/>
      <c r="NHV7" s="28"/>
      <c r="NHW7" s="28"/>
      <c r="NHX7" s="28"/>
      <c r="NHY7" s="28"/>
      <c r="NHZ7" s="28"/>
      <c r="NIA7" s="28"/>
      <c r="NIB7" s="28"/>
      <c r="NIC7" s="28"/>
      <c r="NID7" s="28"/>
      <c r="NIE7" s="28"/>
      <c r="NIF7" s="28"/>
      <c r="NIG7" s="28"/>
      <c r="NIH7" s="28"/>
      <c r="NII7" s="28"/>
      <c r="NIJ7" s="28"/>
      <c r="NIK7" s="28"/>
      <c r="NIL7" s="28"/>
      <c r="NIM7" s="28"/>
      <c r="NIN7" s="28"/>
      <c r="NIO7" s="28"/>
      <c r="NIP7" s="28"/>
      <c r="NIQ7" s="28"/>
      <c r="NIR7" s="28"/>
      <c r="NIS7" s="28"/>
      <c r="NIT7" s="28"/>
      <c r="NIU7" s="28"/>
      <c r="NIV7" s="28"/>
      <c r="NIW7" s="28"/>
      <c r="NIX7" s="28"/>
      <c r="NIY7" s="28"/>
      <c r="NIZ7" s="28"/>
      <c r="NJA7" s="28"/>
      <c r="NJB7" s="28"/>
      <c r="NJC7" s="28"/>
      <c r="NJD7" s="28"/>
      <c r="NJE7" s="28"/>
      <c r="NJF7" s="28"/>
      <c r="NJG7" s="28"/>
      <c r="NJH7" s="28"/>
      <c r="NJI7" s="28"/>
      <c r="NJJ7" s="28"/>
      <c r="NJK7" s="28"/>
      <c r="NJL7" s="28"/>
      <c r="NJM7" s="28"/>
      <c r="NJN7" s="28"/>
      <c r="NJO7" s="28"/>
      <c r="NJP7" s="28"/>
      <c r="NJQ7" s="28"/>
      <c r="NJR7" s="28"/>
      <c r="NJS7" s="28"/>
      <c r="NJT7" s="28"/>
      <c r="NJU7" s="28"/>
      <c r="NJV7" s="28"/>
      <c r="NJW7" s="28"/>
      <c r="NJX7" s="28"/>
      <c r="NJY7" s="28"/>
      <c r="NJZ7" s="28"/>
      <c r="NKA7" s="28"/>
      <c r="NKB7" s="28"/>
      <c r="NKC7" s="28"/>
      <c r="NKD7" s="28"/>
      <c r="NKE7" s="28"/>
      <c r="NKF7" s="28"/>
      <c r="NKG7" s="28"/>
      <c r="NKH7" s="28"/>
      <c r="NKI7" s="28"/>
      <c r="NKJ7" s="28"/>
      <c r="NKK7" s="28"/>
      <c r="NKL7" s="28"/>
      <c r="NKM7" s="28"/>
      <c r="NKN7" s="28"/>
      <c r="NKO7" s="28"/>
      <c r="NKP7" s="28"/>
      <c r="NKQ7" s="28"/>
      <c r="NKR7" s="28"/>
      <c r="NKS7" s="28"/>
      <c r="NKT7" s="28"/>
      <c r="NKU7" s="28"/>
      <c r="NKV7" s="28"/>
      <c r="NKW7" s="28"/>
      <c r="NKX7" s="28"/>
      <c r="NKY7" s="28"/>
      <c r="NKZ7" s="28"/>
      <c r="NLA7" s="28"/>
      <c r="NLB7" s="28"/>
      <c r="NLC7" s="28"/>
      <c r="NLD7" s="28"/>
      <c r="NLE7" s="28"/>
      <c r="NLF7" s="28"/>
      <c r="NLG7" s="28"/>
      <c r="NLH7" s="28"/>
      <c r="NLI7" s="28"/>
      <c r="NLJ7" s="28"/>
      <c r="NLK7" s="28"/>
      <c r="NLL7" s="28"/>
      <c r="NLM7" s="28"/>
      <c r="NLN7" s="28"/>
      <c r="NLO7" s="28"/>
      <c r="NLP7" s="28"/>
      <c r="NLQ7" s="28"/>
      <c r="NLR7" s="28"/>
      <c r="NLS7" s="28"/>
      <c r="NLT7" s="28"/>
      <c r="NLU7" s="28"/>
      <c r="NLV7" s="28"/>
      <c r="NLW7" s="28"/>
      <c r="NLX7" s="28"/>
      <c r="NLY7" s="28"/>
      <c r="NLZ7" s="28"/>
      <c r="NMA7" s="28"/>
      <c r="NMB7" s="28"/>
      <c r="NMC7" s="28"/>
      <c r="NMD7" s="28"/>
      <c r="NME7" s="28"/>
      <c r="NMF7" s="28"/>
      <c r="NMG7" s="28"/>
      <c r="NMH7" s="28"/>
      <c r="NMI7" s="28"/>
      <c r="NMJ7" s="28"/>
      <c r="NMK7" s="28"/>
      <c r="NML7" s="28"/>
      <c r="NMM7" s="28"/>
      <c r="NMN7" s="28"/>
      <c r="NMO7" s="28"/>
      <c r="NMP7" s="28"/>
      <c r="NMQ7" s="28"/>
      <c r="NMR7" s="28"/>
      <c r="NMS7" s="28"/>
      <c r="NMT7" s="28"/>
      <c r="NMU7" s="28"/>
      <c r="NMV7" s="28"/>
      <c r="NMW7" s="28"/>
      <c r="NMX7" s="28"/>
      <c r="NMY7" s="28"/>
      <c r="NMZ7" s="28"/>
      <c r="NNA7" s="28"/>
      <c r="NNB7" s="28"/>
      <c r="NNC7" s="28"/>
      <c r="NND7" s="28"/>
      <c r="NNE7" s="28"/>
      <c r="NNF7" s="28"/>
      <c r="NNG7" s="28"/>
      <c r="NNH7" s="28"/>
      <c r="NNI7" s="28"/>
      <c r="NNJ7" s="28"/>
      <c r="NNK7" s="28"/>
      <c r="NNL7" s="28"/>
      <c r="NNM7" s="28"/>
      <c r="NNN7" s="28"/>
      <c r="NNO7" s="28"/>
      <c r="NNP7" s="28"/>
      <c r="NNQ7" s="28"/>
      <c r="NNR7" s="28"/>
      <c r="NNS7" s="28"/>
      <c r="NNT7" s="28"/>
      <c r="NNU7" s="28"/>
      <c r="NNV7" s="28"/>
      <c r="NNW7" s="28"/>
      <c r="NNX7" s="28"/>
      <c r="NNY7" s="28"/>
      <c r="NNZ7" s="28"/>
      <c r="NOA7" s="28"/>
      <c r="NOB7" s="28"/>
      <c r="NOC7" s="28"/>
      <c r="NOD7" s="28"/>
      <c r="NOE7" s="28"/>
      <c r="NOF7" s="28"/>
      <c r="NOG7" s="28"/>
      <c r="NOH7" s="28"/>
      <c r="NOI7" s="28"/>
      <c r="NOJ7" s="28"/>
      <c r="NOK7" s="28"/>
      <c r="NOL7" s="28"/>
      <c r="NOM7" s="28"/>
      <c r="NON7" s="28"/>
      <c r="NOO7" s="28"/>
      <c r="NOP7" s="28"/>
      <c r="NOQ7" s="28"/>
      <c r="NOR7" s="28"/>
      <c r="NOS7" s="28"/>
      <c r="NOT7" s="28"/>
      <c r="NOU7" s="28"/>
      <c r="NOV7" s="28"/>
      <c r="NOW7" s="28"/>
      <c r="NOX7" s="28"/>
      <c r="NOY7" s="28"/>
      <c r="NOZ7" s="28"/>
      <c r="NPA7" s="28"/>
      <c r="NPB7" s="28"/>
      <c r="NPC7" s="28"/>
      <c r="NPD7" s="28"/>
      <c r="NPE7" s="28"/>
      <c r="NPF7" s="28"/>
      <c r="NPG7" s="28"/>
      <c r="NPH7" s="28"/>
      <c r="NPI7" s="28"/>
      <c r="NPJ7" s="28"/>
      <c r="NPK7" s="28"/>
      <c r="NPL7" s="28"/>
      <c r="NPM7" s="28"/>
      <c r="NPN7" s="28"/>
      <c r="NPO7" s="28"/>
      <c r="NPP7" s="28"/>
      <c r="NPQ7" s="28"/>
      <c r="NPR7" s="28"/>
      <c r="NPS7" s="28"/>
      <c r="NPT7" s="28"/>
      <c r="NPU7" s="28"/>
      <c r="NPV7" s="28"/>
      <c r="NPW7" s="28"/>
      <c r="NPX7" s="28"/>
      <c r="NPY7" s="28"/>
      <c r="NPZ7" s="28"/>
      <c r="NQA7" s="28"/>
      <c r="NQB7" s="28"/>
      <c r="NQC7" s="28"/>
      <c r="NQD7" s="28"/>
      <c r="NQE7" s="28"/>
      <c r="NQF7" s="28"/>
      <c r="NQG7" s="28"/>
      <c r="NQH7" s="28"/>
      <c r="NQI7" s="28"/>
      <c r="NQJ7" s="28"/>
      <c r="NQK7" s="28"/>
      <c r="NQL7" s="28"/>
      <c r="NQM7" s="28"/>
      <c r="NQN7" s="28"/>
      <c r="NQO7" s="28"/>
      <c r="NQP7" s="28"/>
      <c r="NQQ7" s="28"/>
      <c r="NQR7" s="28"/>
      <c r="NQS7" s="28"/>
      <c r="NQT7" s="28"/>
      <c r="NQU7" s="28"/>
      <c r="NQV7" s="28"/>
      <c r="NQW7" s="28"/>
      <c r="NQX7" s="28"/>
      <c r="NQY7" s="28"/>
      <c r="NQZ7" s="28"/>
      <c r="NRA7" s="28"/>
      <c r="NRB7" s="28"/>
      <c r="NRC7" s="28"/>
      <c r="NRD7" s="28"/>
      <c r="NRE7" s="28"/>
      <c r="NRF7" s="28"/>
      <c r="NRG7" s="28"/>
      <c r="NRH7" s="28"/>
      <c r="NRI7" s="28"/>
      <c r="NRJ7" s="28"/>
      <c r="NRK7" s="28"/>
      <c r="NRL7" s="28"/>
      <c r="NRM7" s="28"/>
      <c r="NRN7" s="28"/>
      <c r="NRO7" s="28"/>
      <c r="NRP7" s="28"/>
      <c r="NRQ7" s="28"/>
      <c r="NRR7" s="28"/>
      <c r="NRS7" s="28"/>
      <c r="NRT7" s="28"/>
      <c r="NRU7" s="28"/>
      <c r="NRV7" s="28"/>
      <c r="NRW7" s="28"/>
      <c r="NRX7" s="28"/>
      <c r="NRY7" s="28"/>
      <c r="NRZ7" s="28"/>
      <c r="NSA7" s="28"/>
      <c r="NSB7" s="28"/>
      <c r="NSC7" s="28"/>
      <c r="NSD7" s="28"/>
      <c r="NSE7" s="28"/>
      <c r="NSF7" s="28"/>
      <c r="NSG7" s="28"/>
      <c r="NSH7" s="28"/>
      <c r="NSI7" s="28"/>
      <c r="NSJ7" s="28"/>
      <c r="NSK7" s="28"/>
      <c r="NSL7" s="28"/>
      <c r="NSM7" s="28"/>
      <c r="NSN7" s="28"/>
      <c r="NSO7" s="28"/>
      <c r="NSP7" s="28"/>
      <c r="NSQ7" s="28"/>
      <c r="NSR7" s="28"/>
      <c r="NSS7" s="28"/>
      <c r="NST7" s="28"/>
      <c r="NSU7" s="28"/>
      <c r="NSV7" s="28"/>
      <c r="NSW7" s="28"/>
      <c r="NSX7" s="28"/>
      <c r="NSY7" s="28"/>
      <c r="NSZ7" s="28"/>
      <c r="NTA7" s="28"/>
      <c r="NTB7" s="28"/>
      <c r="NTC7" s="28"/>
      <c r="NTD7" s="28"/>
      <c r="NTE7" s="28"/>
      <c r="NTF7" s="28"/>
      <c r="NTG7" s="28"/>
      <c r="NTH7" s="28"/>
      <c r="NTI7" s="28"/>
      <c r="NTJ7" s="28"/>
      <c r="NTK7" s="28"/>
      <c r="NTL7" s="28"/>
      <c r="NTM7" s="28"/>
      <c r="NTN7" s="28"/>
      <c r="NTO7" s="28"/>
      <c r="NTP7" s="28"/>
      <c r="NTQ7" s="28"/>
      <c r="NTR7" s="28"/>
      <c r="NTS7" s="28"/>
      <c r="NTT7" s="28"/>
      <c r="NTU7" s="28"/>
      <c r="NTV7" s="28"/>
      <c r="NTW7" s="28"/>
      <c r="NTX7" s="28"/>
      <c r="NTY7" s="28"/>
      <c r="NTZ7" s="28"/>
      <c r="NUA7" s="28"/>
      <c r="NUB7" s="28"/>
      <c r="NUC7" s="28"/>
      <c r="NUD7" s="28"/>
      <c r="NUE7" s="28"/>
      <c r="NUF7" s="28"/>
      <c r="NUG7" s="28"/>
      <c r="NUH7" s="28"/>
      <c r="NUI7" s="28"/>
      <c r="NUJ7" s="28"/>
      <c r="NUK7" s="28"/>
      <c r="NUL7" s="28"/>
      <c r="NUM7" s="28"/>
      <c r="NUN7" s="28"/>
      <c r="NUO7" s="28"/>
      <c r="NUP7" s="28"/>
      <c r="NUQ7" s="28"/>
      <c r="NUR7" s="28"/>
      <c r="NUS7" s="28"/>
      <c r="NUT7" s="28"/>
      <c r="NUU7" s="28"/>
      <c r="NUV7" s="28"/>
      <c r="NUW7" s="28"/>
      <c r="NUX7" s="28"/>
      <c r="NUY7" s="28"/>
      <c r="NUZ7" s="28"/>
      <c r="NVA7" s="28"/>
      <c r="NVB7" s="28"/>
      <c r="NVC7" s="28"/>
      <c r="NVD7" s="28"/>
      <c r="NVE7" s="28"/>
      <c r="NVF7" s="28"/>
      <c r="NVG7" s="28"/>
      <c r="NVH7" s="28"/>
      <c r="NVI7" s="28"/>
      <c r="NVJ7" s="28"/>
      <c r="NVK7" s="28"/>
      <c r="NVL7" s="28"/>
      <c r="NVM7" s="28"/>
      <c r="NVN7" s="28"/>
      <c r="NVO7" s="28"/>
      <c r="NVP7" s="28"/>
      <c r="NVQ7" s="28"/>
      <c r="NVR7" s="28"/>
      <c r="NVS7" s="28"/>
      <c r="NVT7" s="28"/>
      <c r="NVU7" s="28"/>
      <c r="NVV7" s="28"/>
      <c r="NVW7" s="28"/>
      <c r="NVX7" s="28"/>
      <c r="NVY7" s="28"/>
      <c r="NVZ7" s="28"/>
      <c r="NWA7" s="28"/>
      <c r="NWB7" s="28"/>
      <c r="NWC7" s="28"/>
      <c r="NWD7" s="28"/>
      <c r="NWE7" s="28"/>
      <c r="NWF7" s="28"/>
      <c r="NWG7" s="28"/>
      <c r="NWH7" s="28"/>
      <c r="NWI7" s="28"/>
      <c r="NWJ7" s="28"/>
      <c r="NWK7" s="28"/>
      <c r="NWL7" s="28"/>
      <c r="NWM7" s="28"/>
      <c r="NWN7" s="28"/>
      <c r="NWO7" s="28"/>
      <c r="NWP7" s="28"/>
      <c r="NWQ7" s="28"/>
      <c r="NWR7" s="28"/>
      <c r="NWS7" s="28"/>
      <c r="NWT7" s="28"/>
      <c r="NWU7" s="28"/>
      <c r="NWV7" s="28"/>
      <c r="NWW7" s="28"/>
      <c r="NWX7" s="28"/>
      <c r="NWY7" s="28"/>
      <c r="NWZ7" s="28"/>
      <c r="NXA7" s="28"/>
      <c r="NXB7" s="28"/>
      <c r="NXC7" s="28"/>
      <c r="NXD7" s="28"/>
      <c r="NXE7" s="28"/>
      <c r="NXF7" s="28"/>
      <c r="NXG7" s="28"/>
      <c r="NXH7" s="28"/>
      <c r="NXI7" s="28"/>
      <c r="NXJ7" s="28"/>
      <c r="NXK7" s="28"/>
      <c r="NXL7" s="28"/>
      <c r="NXM7" s="28"/>
      <c r="NXN7" s="28"/>
      <c r="NXO7" s="28"/>
      <c r="NXP7" s="28"/>
      <c r="NXQ7" s="28"/>
      <c r="NXR7" s="28"/>
      <c r="NXS7" s="28"/>
      <c r="NXT7" s="28"/>
      <c r="NXU7" s="28"/>
      <c r="NXV7" s="28"/>
      <c r="NXW7" s="28"/>
      <c r="NXX7" s="28"/>
      <c r="NXY7" s="28"/>
      <c r="NXZ7" s="28"/>
      <c r="NYA7" s="28"/>
      <c r="NYB7" s="28"/>
      <c r="NYC7" s="28"/>
      <c r="NYD7" s="28"/>
      <c r="NYE7" s="28"/>
      <c r="NYF7" s="28"/>
      <c r="NYG7" s="28"/>
      <c r="NYH7" s="28"/>
      <c r="NYI7" s="28"/>
      <c r="NYJ7" s="28"/>
      <c r="NYK7" s="28"/>
      <c r="NYL7" s="28"/>
      <c r="NYM7" s="28"/>
      <c r="NYN7" s="28"/>
      <c r="NYO7" s="28"/>
      <c r="NYP7" s="28"/>
      <c r="NYQ7" s="28"/>
      <c r="NYR7" s="28"/>
      <c r="NYS7" s="28"/>
      <c r="NYT7" s="28"/>
      <c r="NYU7" s="28"/>
      <c r="NYV7" s="28"/>
      <c r="NYW7" s="28"/>
      <c r="NYX7" s="28"/>
      <c r="NYY7" s="28"/>
      <c r="NYZ7" s="28"/>
      <c r="NZA7" s="28"/>
      <c r="NZB7" s="28"/>
      <c r="NZC7" s="28"/>
      <c r="NZD7" s="28"/>
      <c r="NZE7" s="28"/>
      <c r="NZF7" s="28"/>
      <c r="NZG7" s="28"/>
      <c r="NZH7" s="28"/>
      <c r="NZI7" s="28"/>
      <c r="NZJ7" s="28"/>
      <c r="NZK7" s="28"/>
      <c r="NZL7" s="28"/>
      <c r="NZM7" s="28"/>
      <c r="NZN7" s="28"/>
      <c r="NZO7" s="28"/>
      <c r="NZP7" s="28"/>
      <c r="NZQ7" s="28"/>
      <c r="NZR7" s="28"/>
      <c r="NZS7" s="28"/>
      <c r="NZT7" s="28"/>
      <c r="NZU7" s="28"/>
      <c r="NZV7" s="28"/>
      <c r="NZW7" s="28"/>
      <c r="NZX7" s="28"/>
      <c r="NZY7" s="28"/>
      <c r="NZZ7" s="28"/>
      <c r="OAA7" s="28"/>
      <c r="OAB7" s="28"/>
      <c r="OAC7" s="28"/>
      <c r="OAD7" s="28"/>
      <c r="OAE7" s="28"/>
      <c r="OAF7" s="28"/>
      <c r="OAG7" s="28"/>
      <c r="OAH7" s="28"/>
      <c r="OAI7" s="28"/>
      <c r="OAJ7" s="28"/>
      <c r="OAK7" s="28"/>
      <c r="OAL7" s="28"/>
      <c r="OAM7" s="28"/>
      <c r="OAN7" s="28"/>
      <c r="OAO7" s="28"/>
      <c r="OAP7" s="28"/>
      <c r="OAQ7" s="28"/>
      <c r="OAR7" s="28"/>
      <c r="OAS7" s="28"/>
      <c r="OAT7" s="28"/>
      <c r="OAU7" s="28"/>
      <c r="OAV7" s="28"/>
      <c r="OAW7" s="28"/>
      <c r="OAX7" s="28"/>
      <c r="OAY7" s="28"/>
      <c r="OAZ7" s="28"/>
      <c r="OBA7" s="28"/>
      <c r="OBB7" s="28"/>
      <c r="OBC7" s="28"/>
      <c r="OBD7" s="28"/>
      <c r="OBE7" s="28"/>
      <c r="OBF7" s="28"/>
      <c r="OBG7" s="28"/>
      <c r="OBH7" s="28"/>
      <c r="OBI7" s="28"/>
      <c r="OBJ7" s="28"/>
      <c r="OBK7" s="28"/>
      <c r="OBL7" s="28"/>
      <c r="OBM7" s="28"/>
      <c r="OBN7" s="28"/>
      <c r="OBO7" s="28"/>
      <c r="OBP7" s="28"/>
      <c r="OBQ7" s="28"/>
      <c r="OBR7" s="28"/>
      <c r="OBS7" s="28"/>
      <c r="OBT7" s="28"/>
      <c r="OBU7" s="28"/>
      <c r="OBV7" s="28"/>
      <c r="OBW7" s="28"/>
      <c r="OBX7" s="28"/>
      <c r="OBY7" s="28"/>
      <c r="OBZ7" s="28"/>
      <c r="OCA7" s="28"/>
      <c r="OCB7" s="28"/>
      <c r="OCC7" s="28"/>
      <c r="OCD7" s="28"/>
      <c r="OCE7" s="28"/>
      <c r="OCF7" s="28"/>
      <c r="OCG7" s="28"/>
      <c r="OCH7" s="28"/>
      <c r="OCI7" s="28"/>
      <c r="OCJ7" s="28"/>
      <c r="OCK7" s="28"/>
      <c r="OCL7" s="28"/>
      <c r="OCM7" s="28"/>
      <c r="OCN7" s="28"/>
      <c r="OCO7" s="28"/>
      <c r="OCP7" s="28"/>
      <c r="OCQ7" s="28"/>
      <c r="OCR7" s="28"/>
      <c r="OCS7" s="28"/>
      <c r="OCT7" s="28"/>
      <c r="OCU7" s="28"/>
      <c r="OCV7" s="28"/>
      <c r="OCW7" s="28"/>
      <c r="OCX7" s="28"/>
      <c r="OCY7" s="28"/>
      <c r="OCZ7" s="28"/>
      <c r="ODA7" s="28"/>
      <c r="ODB7" s="28"/>
      <c r="ODC7" s="28"/>
      <c r="ODD7" s="28"/>
      <c r="ODE7" s="28"/>
      <c r="ODF7" s="28"/>
      <c r="ODG7" s="28"/>
      <c r="ODH7" s="28"/>
      <c r="ODI7" s="28"/>
      <c r="ODJ7" s="28"/>
      <c r="ODK7" s="28"/>
      <c r="ODL7" s="28"/>
      <c r="ODM7" s="28"/>
      <c r="ODN7" s="28"/>
      <c r="ODO7" s="28"/>
      <c r="ODP7" s="28"/>
      <c r="ODQ7" s="28"/>
      <c r="ODR7" s="28"/>
      <c r="ODS7" s="28"/>
      <c r="ODT7" s="28"/>
      <c r="ODU7" s="28"/>
      <c r="ODV7" s="28"/>
      <c r="ODW7" s="28"/>
      <c r="ODX7" s="28"/>
      <c r="ODY7" s="28"/>
      <c r="ODZ7" s="28"/>
      <c r="OEA7" s="28"/>
      <c r="OEB7" s="28"/>
      <c r="OEC7" s="28"/>
      <c r="OED7" s="28"/>
      <c r="OEE7" s="28"/>
      <c r="OEF7" s="28"/>
      <c r="OEG7" s="28"/>
      <c r="OEH7" s="28"/>
      <c r="OEI7" s="28"/>
      <c r="OEJ7" s="28"/>
      <c r="OEK7" s="28"/>
      <c r="OEL7" s="28"/>
      <c r="OEM7" s="28"/>
      <c r="OEN7" s="28"/>
      <c r="OEO7" s="28"/>
      <c r="OEP7" s="28"/>
      <c r="OEQ7" s="28"/>
      <c r="OER7" s="28"/>
      <c r="OES7" s="28"/>
      <c r="OET7" s="28"/>
      <c r="OEU7" s="28"/>
      <c r="OEV7" s="28"/>
      <c r="OEW7" s="28"/>
      <c r="OEX7" s="28"/>
      <c r="OEY7" s="28"/>
      <c r="OEZ7" s="28"/>
      <c r="OFA7" s="28"/>
      <c r="OFB7" s="28"/>
      <c r="OFC7" s="28"/>
      <c r="OFD7" s="28"/>
      <c r="OFE7" s="28"/>
      <c r="OFF7" s="28"/>
      <c r="OFG7" s="28"/>
      <c r="OFH7" s="28"/>
      <c r="OFI7" s="28"/>
      <c r="OFJ7" s="28"/>
      <c r="OFK7" s="28"/>
      <c r="OFL7" s="28"/>
      <c r="OFM7" s="28"/>
      <c r="OFN7" s="28"/>
      <c r="OFO7" s="28"/>
      <c r="OFP7" s="28"/>
      <c r="OFQ7" s="28"/>
      <c r="OFR7" s="28"/>
      <c r="OFS7" s="28"/>
      <c r="OFT7" s="28"/>
      <c r="OFU7" s="28"/>
      <c r="OFV7" s="28"/>
      <c r="OFW7" s="28"/>
      <c r="OFX7" s="28"/>
      <c r="OFY7" s="28"/>
      <c r="OFZ7" s="28"/>
      <c r="OGA7" s="28"/>
      <c r="OGB7" s="28"/>
      <c r="OGC7" s="28"/>
      <c r="OGD7" s="28"/>
      <c r="OGE7" s="28"/>
      <c r="OGF7" s="28"/>
      <c r="OGG7" s="28"/>
      <c r="OGH7" s="28"/>
      <c r="OGI7" s="28"/>
      <c r="OGJ7" s="28"/>
      <c r="OGK7" s="28"/>
      <c r="OGL7" s="28"/>
      <c r="OGM7" s="28"/>
      <c r="OGN7" s="28"/>
      <c r="OGO7" s="28"/>
      <c r="OGP7" s="28"/>
      <c r="OGQ7" s="28"/>
      <c r="OGR7" s="28"/>
      <c r="OGS7" s="28"/>
      <c r="OGT7" s="28"/>
      <c r="OGU7" s="28"/>
      <c r="OGV7" s="28"/>
      <c r="OGW7" s="28"/>
      <c r="OGX7" s="28"/>
      <c r="OGY7" s="28"/>
      <c r="OGZ7" s="28"/>
      <c r="OHA7" s="28"/>
      <c r="OHB7" s="28"/>
      <c r="OHC7" s="28"/>
      <c r="OHD7" s="28"/>
      <c r="OHE7" s="28"/>
      <c r="OHF7" s="28"/>
      <c r="OHG7" s="28"/>
      <c r="OHH7" s="28"/>
      <c r="OHI7" s="28"/>
      <c r="OHJ7" s="28"/>
      <c r="OHK7" s="28"/>
      <c r="OHL7" s="28"/>
      <c r="OHM7" s="28"/>
      <c r="OHN7" s="28"/>
      <c r="OHO7" s="28"/>
      <c r="OHP7" s="28"/>
      <c r="OHQ7" s="28"/>
      <c r="OHR7" s="28"/>
      <c r="OHS7" s="28"/>
      <c r="OHT7" s="28"/>
      <c r="OHU7" s="28"/>
      <c r="OHV7" s="28"/>
      <c r="OHW7" s="28"/>
      <c r="OHX7" s="28"/>
      <c r="OHY7" s="28"/>
      <c r="OHZ7" s="28"/>
      <c r="OIA7" s="28"/>
      <c r="OIB7" s="28"/>
      <c r="OIC7" s="28"/>
      <c r="OID7" s="28"/>
      <c r="OIE7" s="28"/>
      <c r="OIF7" s="28"/>
      <c r="OIG7" s="28"/>
      <c r="OIH7" s="28"/>
      <c r="OII7" s="28"/>
      <c r="OIJ7" s="28"/>
      <c r="OIK7" s="28"/>
      <c r="OIL7" s="28"/>
      <c r="OIM7" s="28"/>
      <c r="OIN7" s="28"/>
      <c r="OIO7" s="28"/>
      <c r="OIP7" s="28"/>
      <c r="OIQ7" s="28"/>
      <c r="OIR7" s="28"/>
      <c r="OIS7" s="28"/>
      <c r="OIT7" s="28"/>
      <c r="OIU7" s="28"/>
      <c r="OIV7" s="28"/>
      <c r="OIW7" s="28"/>
      <c r="OIX7" s="28"/>
      <c r="OIY7" s="28"/>
      <c r="OIZ7" s="28"/>
      <c r="OJA7" s="28"/>
      <c r="OJB7" s="28"/>
      <c r="OJC7" s="28"/>
      <c r="OJD7" s="28"/>
      <c r="OJE7" s="28"/>
      <c r="OJF7" s="28"/>
      <c r="OJG7" s="28"/>
      <c r="OJH7" s="28"/>
      <c r="OJI7" s="28"/>
      <c r="OJJ7" s="28"/>
      <c r="OJK7" s="28"/>
      <c r="OJL7" s="28"/>
      <c r="OJM7" s="28"/>
      <c r="OJN7" s="28"/>
      <c r="OJO7" s="28"/>
      <c r="OJP7" s="28"/>
      <c r="OJQ7" s="28"/>
      <c r="OJR7" s="28"/>
      <c r="OJS7" s="28"/>
      <c r="OJT7" s="28"/>
      <c r="OJU7" s="28"/>
      <c r="OJV7" s="28"/>
      <c r="OJW7" s="28"/>
      <c r="OJX7" s="28"/>
      <c r="OJY7" s="28"/>
      <c r="OJZ7" s="28"/>
      <c r="OKA7" s="28"/>
      <c r="OKB7" s="28"/>
      <c r="OKC7" s="28"/>
      <c r="OKD7" s="28"/>
      <c r="OKE7" s="28"/>
      <c r="OKF7" s="28"/>
      <c r="OKG7" s="28"/>
      <c r="OKH7" s="28"/>
      <c r="OKI7" s="28"/>
      <c r="OKJ7" s="28"/>
      <c r="OKK7" s="28"/>
      <c r="OKL7" s="28"/>
      <c r="OKM7" s="28"/>
      <c r="OKN7" s="28"/>
      <c r="OKO7" s="28"/>
      <c r="OKP7" s="28"/>
      <c r="OKQ7" s="28"/>
      <c r="OKR7" s="28"/>
      <c r="OKS7" s="28"/>
      <c r="OKT7" s="28"/>
      <c r="OKU7" s="28"/>
      <c r="OKV7" s="28"/>
      <c r="OKW7" s="28"/>
      <c r="OKX7" s="28"/>
      <c r="OKY7" s="28"/>
      <c r="OKZ7" s="28"/>
      <c r="OLA7" s="28"/>
      <c r="OLB7" s="28"/>
      <c r="OLC7" s="28"/>
      <c r="OLD7" s="28"/>
      <c r="OLE7" s="28"/>
      <c r="OLF7" s="28"/>
      <c r="OLG7" s="28"/>
      <c r="OLH7" s="28"/>
      <c r="OLI7" s="28"/>
      <c r="OLJ7" s="28"/>
      <c r="OLK7" s="28"/>
      <c r="OLL7" s="28"/>
      <c r="OLM7" s="28"/>
      <c r="OLN7" s="28"/>
      <c r="OLO7" s="28"/>
      <c r="OLP7" s="28"/>
      <c r="OLQ7" s="28"/>
      <c r="OLR7" s="28"/>
      <c r="OLS7" s="28"/>
      <c r="OLT7" s="28"/>
      <c r="OLU7" s="28"/>
      <c r="OLV7" s="28"/>
      <c r="OLW7" s="28"/>
      <c r="OLX7" s="28"/>
      <c r="OLY7" s="28"/>
      <c r="OLZ7" s="28"/>
      <c r="OMA7" s="28"/>
      <c r="OMB7" s="28"/>
      <c r="OMC7" s="28"/>
      <c r="OMD7" s="28"/>
      <c r="OME7" s="28"/>
      <c r="OMF7" s="28"/>
      <c r="OMG7" s="28"/>
      <c r="OMH7" s="28"/>
      <c r="OMI7" s="28"/>
      <c r="OMJ7" s="28"/>
      <c r="OMK7" s="28"/>
      <c r="OML7" s="28"/>
      <c r="OMM7" s="28"/>
      <c r="OMN7" s="28"/>
      <c r="OMO7" s="28"/>
      <c r="OMP7" s="28"/>
      <c r="OMQ7" s="28"/>
      <c r="OMR7" s="28"/>
      <c r="OMS7" s="28"/>
      <c r="OMT7" s="28"/>
      <c r="OMU7" s="28"/>
      <c r="OMV7" s="28"/>
      <c r="OMW7" s="28"/>
      <c r="OMX7" s="28"/>
      <c r="OMY7" s="28"/>
      <c r="OMZ7" s="28"/>
      <c r="ONA7" s="28"/>
      <c r="ONB7" s="28"/>
      <c r="ONC7" s="28"/>
      <c r="OND7" s="28"/>
      <c r="ONE7" s="28"/>
      <c r="ONF7" s="28"/>
      <c r="ONG7" s="28"/>
      <c r="ONH7" s="28"/>
      <c r="ONI7" s="28"/>
      <c r="ONJ7" s="28"/>
      <c r="ONK7" s="28"/>
      <c r="ONL7" s="28"/>
      <c r="ONM7" s="28"/>
      <c r="ONN7" s="28"/>
      <c r="ONO7" s="28"/>
      <c r="ONP7" s="28"/>
      <c r="ONQ7" s="28"/>
      <c r="ONR7" s="28"/>
      <c r="ONS7" s="28"/>
      <c r="ONT7" s="28"/>
      <c r="ONU7" s="28"/>
      <c r="ONV7" s="28"/>
      <c r="ONW7" s="28"/>
      <c r="ONX7" s="28"/>
      <c r="ONY7" s="28"/>
      <c r="ONZ7" s="28"/>
      <c r="OOA7" s="28"/>
      <c r="OOB7" s="28"/>
      <c r="OOC7" s="28"/>
      <c r="OOD7" s="28"/>
      <c r="OOE7" s="28"/>
      <c r="OOF7" s="28"/>
      <c r="OOG7" s="28"/>
      <c r="OOH7" s="28"/>
      <c r="OOI7" s="28"/>
      <c r="OOJ7" s="28"/>
      <c r="OOK7" s="28"/>
      <c r="OOL7" s="28"/>
      <c r="OOM7" s="28"/>
      <c r="OON7" s="28"/>
      <c r="OOO7" s="28"/>
      <c r="OOP7" s="28"/>
      <c r="OOQ7" s="28"/>
      <c r="OOR7" s="28"/>
      <c r="OOS7" s="28"/>
      <c r="OOT7" s="28"/>
      <c r="OOU7" s="28"/>
      <c r="OOV7" s="28"/>
      <c r="OOW7" s="28"/>
      <c r="OOX7" s="28"/>
      <c r="OOY7" s="28"/>
      <c r="OOZ7" s="28"/>
      <c r="OPA7" s="28"/>
      <c r="OPB7" s="28"/>
      <c r="OPC7" s="28"/>
      <c r="OPD7" s="28"/>
      <c r="OPE7" s="28"/>
      <c r="OPF7" s="28"/>
      <c r="OPG7" s="28"/>
      <c r="OPH7" s="28"/>
      <c r="OPI7" s="28"/>
      <c r="OPJ7" s="28"/>
      <c r="OPK7" s="28"/>
      <c r="OPL7" s="28"/>
      <c r="OPM7" s="28"/>
      <c r="OPN7" s="28"/>
      <c r="OPO7" s="28"/>
      <c r="OPP7" s="28"/>
      <c r="OPQ7" s="28"/>
      <c r="OPR7" s="28"/>
      <c r="OPS7" s="28"/>
      <c r="OPT7" s="28"/>
      <c r="OPU7" s="28"/>
      <c r="OPV7" s="28"/>
      <c r="OPW7" s="28"/>
      <c r="OPX7" s="28"/>
      <c r="OPY7" s="28"/>
      <c r="OPZ7" s="28"/>
      <c r="OQA7" s="28"/>
      <c r="OQB7" s="28"/>
      <c r="OQC7" s="28"/>
      <c r="OQD7" s="28"/>
      <c r="OQE7" s="28"/>
      <c r="OQF7" s="28"/>
      <c r="OQG7" s="28"/>
      <c r="OQH7" s="28"/>
      <c r="OQI7" s="28"/>
      <c r="OQJ7" s="28"/>
      <c r="OQK7" s="28"/>
      <c r="OQL7" s="28"/>
      <c r="OQM7" s="28"/>
      <c r="OQN7" s="28"/>
      <c r="OQO7" s="28"/>
      <c r="OQP7" s="28"/>
      <c r="OQQ7" s="28"/>
      <c r="OQR7" s="28"/>
      <c r="OQS7" s="28"/>
      <c r="OQT7" s="28"/>
      <c r="OQU7" s="28"/>
      <c r="OQV7" s="28"/>
      <c r="OQW7" s="28"/>
      <c r="OQX7" s="28"/>
      <c r="OQY7" s="28"/>
      <c r="OQZ7" s="28"/>
      <c r="ORA7" s="28"/>
      <c r="ORB7" s="28"/>
      <c r="ORC7" s="28"/>
      <c r="ORD7" s="28"/>
      <c r="ORE7" s="28"/>
      <c r="ORF7" s="28"/>
      <c r="ORG7" s="28"/>
      <c r="ORH7" s="28"/>
      <c r="ORI7" s="28"/>
      <c r="ORJ7" s="28"/>
      <c r="ORK7" s="28"/>
      <c r="ORL7" s="28"/>
      <c r="ORM7" s="28"/>
      <c r="ORN7" s="28"/>
      <c r="ORO7" s="28"/>
      <c r="ORP7" s="28"/>
      <c r="ORQ7" s="28"/>
      <c r="ORR7" s="28"/>
      <c r="ORS7" s="28"/>
      <c r="ORT7" s="28"/>
      <c r="ORU7" s="28"/>
      <c r="ORV7" s="28"/>
      <c r="ORW7" s="28"/>
      <c r="ORX7" s="28"/>
      <c r="ORY7" s="28"/>
      <c r="ORZ7" s="28"/>
      <c r="OSA7" s="28"/>
      <c r="OSB7" s="28"/>
      <c r="OSC7" s="28"/>
      <c r="OSD7" s="28"/>
      <c r="OSE7" s="28"/>
      <c r="OSF7" s="28"/>
      <c r="OSG7" s="28"/>
      <c r="OSH7" s="28"/>
      <c r="OSI7" s="28"/>
      <c r="OSJ7" s="28"/>
      <c r="OSK7" s="28"/>
      <c r="OSL7" s="28"/>
      <c r="OSM7" s="28"/>
      <c r="OSN7" s="28"/>
      <c r="OSO7" s="28"/>
      <c r="OSP7" s="28"/>
      <c r="OSQ7" s="28"/>
      <c r="OSR7" s="28"/>
      <c r="OSS7" s="28"/>
      <c r="OST7" s="28"/>
      <c r="OSU7" s="28"/>
      <c r="OSV7" s="28"/>
      <c r="OSW7" s="28"/>
      <c r="OSX7" s="28"/>
      <c r="OSY7" s="28"/>
      <c r="OSZ7" s="28"/>
      <c r="OTA7" s="28"/>
      <c r="OTB7" s="28"/>
      <c r="OTC7" s="28"/>
      <c r="OTD7" s="28"/>
      <c r="OTE7" s="28"/>
      <c r="OTF7" s="28"/>
      <c r="OTG7" s="28"/>
      <c r="OTH7" s="28"/>
      <c r="OTI7" s="28"/>
      <c r="OTJ7" s="28"/>
      <c r="OTK7" s="28"/>
      <c r="OTL7" s="28"/>
      <c r="OTM7" s="28"/>
      <c r="OTN7" s="28"/>
      <c r="OTO7" s="28"/>
      <c r="OTP7" s="28"/>
      <c r="OTQ7" s="28"/>
      <c r="OTR7" s="28"/>
      <c r="OTS7" s="28"/>
      <c r="OTT7" s="28"/>
      <c r="OTU7" s="28"/>
      <c r="OTV7" s="28"/>
      <c r="OTW7" s="28"/>
      <c r="OTX7" s="28"/>
      <c r="OTY7" s="28"/>
      <c r="OTZ7" s="28"/>
      <c r="OUA7" s="28"/>
      <c r="OUB7" s="28"/>
      <c r="OUC7" s="28"/>
      <c r="OUD7" s="28"/>
      <c r="OUE7" s="28"/>
      <c r="OUF7" s="28"/>
      <c r="OUG7" s="28"/>
      <c r="OUH7" s="28"/>
      <c r="OUI7" s="28"/>
      <c r="OUJ7" s="28"/>
      <c r="OUK7" s="28"/>
      <c r="OUL7" s="28"/>
      <c r="OUM7" s="28"/>
      <c r="OUN7" s="28"/>
      <c r="OUO7" s="28"/>
      <c r="OUP7" s="28"/>
      <c r="OUQ7" s="28"/>
      <c r="OUR7" s="28"/>
      <c r="OUS7" s="28"/>
      <c r="OUT7" s="28"/>
      <c r="OUU7" s="28"/>
      <c r="OUV7" s="28"/>
      <c r="OUW7" s="28"/>
      <c r="OUX7" s="28"/>
      <c r="OUY7" s="28"/>
      <c r="OUZ7" s="28"/>
      <c r="OVA7" s="28"/>
      <c r="OVB7" s="28"/>
      <c r="OVC7" s="28"/>
      <c r="OVD7" s="28"/>
      <c r="OVE7" s="28"/>
      <c r="OVF7" s="28"/>
      <c r="OVG7" s="28"/>
      <c r="OVH7" s="28"/>
      <c r="OVI7" s="28"/>
      <c r="OVJ7" s="28"/>
      <c r="OVK7" s="28"/>
      <c r="OVL7" s="28"/>
      <c r="OVM7" s="28"/>
      <c r="OVN7" s="28"/>
      <c r="OVO7" s="28"/>
      <c r="OVP7" s="28"/>
      <c r="OVQ7" s="28"/>
      <c r="OVR7" s="28"/>
      <c r="OVS7" s="28"/>
      <c r="OVT7" s="28"/>
      <c r="OVU7" s="28"/>
      <c r="OVV7" s="28"/>
      <c r="OVW7" s="28"/>
      <c r="OVX7" s="28"/>
      <c r="OVY7" s="28"/>
      <c r="OVZ7" s="28"/>
      <c r="OWA7" s="28"/>
      <c r="OWB7" s="28"/>
      <c r="OWC7" s="28"/>
      <c r="OWD7" s="28"/>
      <c r="OWE7" s="28"/>
      <c r="OWF7" s="28"/>
      <c r="OWG7" s="28"/>
      <c r="OWH7" s="28"/>
      <c r="OWI7" s="28"/>
      <c r="OWJ7" s="28"/>
      <c r="OWK7" s="28"/>
      <c r="OWL7" s="28"/>
      <c r="OWM7" s="28"/>
      <c r="OWN7" s="28"/>
      <c r="OWO7" s="28"/>
      <c r="OWP7" s="28"/>
      <c r="OWQ7" s="28"/>
      <c r="OWR7" s="28"/>
      <c r="OWS7" s="28"/>
      <c r="OWT7" s="28"/>
      <c r="OWU7" s="28"/>
      <c r="OWV7" s="28"/>
      <c r="OWW7" s="28"/>
      <c r="OWX7" s="28"/>
      <c r="OWY7" s="28"/>
      <c r="OWZ7" s="28"/>
      <c r="OXA7" s="28"/>
      <c r="OXB7" s="28"/>
      <c r="OXC7" s="28"/>
      <c r="OXD7" s="28"/>
      <c r="OXE7" s="28"/>
      <c r="OXF7" s="28"/>
      <c r="OXG7" s="28"/>
      <c r="OXH7" s="28"/>
      <c r="OXI7" s="28"/>
      <c r="OXJ7" s="28"/>
      <c r="OXK7" s="28"/>
      <c r="OXL7" s="28"/>
      <c r="OXM7" s="28"/>
      <c r="OXN7" s="28"/>
      <c r="OXO7" s="28"/>
      <c r="OXP7" s="28"/>
      <c r="OXQ7" s="28"/>
      <c r="OXR7" s="28"/>
      <c r="OXS7" s="28"/>
      <c r="OXT7" s="28"/>
      <c r="OXU7" s="28"/>
      <c r="OXV7" s="28"/>
      <c r="OXW7" s="28"/>
      <c r="OXX7" s="28"/>
      <c r="OXY7" s="28"/>
      <c r="OXZ7" s="28"/>
      <c r="OYA7" s="28"/>
      <c r="OYB7" s="28"/>
      <c r="OYC7" s="28"/>
      <c r="OYD7" s="28"/>
      <c r="OYE7" s="28"/>
      <c r="OYF7" s="28"/>
      <c r="OYG7" s="28"/>
      <c r="OYH7" s="28"/>
      <c r="OYI7" s="28"/>
      <c r="OYJ7" s="28"/>
      <c r="OYK7" s="28"/>
      <c r="OYL7" s="28"/>
      <c r="OYM7" s="28"/>
      <c r="OYN7" s="28"/>
      <c r="OYO7" s="28"/>
      <c r="OYP7" s="28"/>
      <c r="OYQ7" s="28"/>
      <c r="OYR7" s="28"/>
      <c r="OYS7" s="28"/>
      <c r="OYT7" s="28"/>
      <c r="OYU7" s="28"/>
      <c r="OYV7" s="28"/>
      <c r="OYW7" s="28"/>
      <c r="OYX7" s="28"/>
      <c r="OYY7" s="28"/>
      <c r="OYZ7" s="28"/>
      <c r="OZA7" s="28"/>
      <c r="OZB7" s="28"/>
      <c r="OZC7" s="28"/>
      <c r="OZD7" s="28"/>
      <c r="OZE7" s="28"/>
      <c r="OZF7" s="28"/>
      <c r="OZG7" s="28"/>
      <c r="OZH7" s="28"/>
      <c r="OZI7" s="28"/>
      <c r="OZJ7" s="28"/>
      <c r="OZK7" s="28"/>
      <c r="OZL7" s="28"/>
      <c r="OZM7" s="28"/>
      <c r="OZN7" s="28"/>
      <c r="OZO7" s="28"/>
      <c r="OZP7" s="28"/>
      <c r="OZQ7" s="28"/>
      <c r="OZR7" s="28"/>
      <c r="OZS7" s="28"/>
      <c r="OZT7" s="28"/>
      <c r="OZU7" s="28"/>
      <c r="OZV7" s="28"/>
      <c r="OZW7" s="28"/>
      <c r="OZX7" s="28"/>
      <c r="OZY7" s="28"/>
      <c r="OZZ7" s="28"/>
      <c r="PAA7" s="28"/>
      <c r="PAB7" s="28"/>
      <c r="PAC7" s="28"/>
      <c r="PAD7" s="28"/>
      <c r="PAE7" s="28"/>
      <c r="PAF7" s="28"/>
      <c r="PAG7" s="28"/>
      <c r="PAH7" s="28"/>
      <c r="PAI7" s="28"/>
      <c r="PAJ7" s="28"/>
      <c r="PAK7" s="28"/>
      <c r="PAL7" s="28"/>
      <c r="PAM7" s="28"/>
      <c r="PAN7" s="28"/>
      <c r="PAO7" s="28"/>
      <c r="PAP7" s="28"/>
      <c r="PAQ7" s="28"/>
      <c r="PAR7" s="28"/>
      <c r="PAS7" s="28"/>
      <c r="PAT7" s="28"/>
      <c r="PAU7" s="28"/>
      <c r="PAV7" s="28"/>
      <c r="PAW7" s="28"/>
      <c r="PAX7" s="28"/>
      <c r="PAY7" s="28"/>
      <c r="PAZ7" s="28"/>
      <c r="PBA7" s="28"/>
      <c r="PBB7" s="28"/>
      <c r="PBC7" s="28"/>
      <c r="PBD7" s="28"/>
      <c r="PBE7" s="28"/>
      <c r="PBF7" s="28"/>
      <c r="PBG7" s="28"/>
      <c r="PBH7" s="28"/>
      <c r="PBI7" s="28"/>
      <c r="PBJ7" s="28"/>
      <c r="PBK7" s="28"/>
      <c r="PBL7" s="28"/>
      <c r="PBM7" s="28"/>
      <c r="PBN7" s="28"/>
      <c r="PBO7" s="28"/>
      <c r="PBP7" s="28"/>
      <c r="PBQ7" s="28"/>
      <c r="PBR7" s="28"/>
      <c r="PBS7" s="28"/>
      <c r="PBT7" s="28"/>
      <c r="PBU7" s="28"/>
      <c r="PBV7" s="28"/>
      <c r="PBW7" s="28"/>
      <c r="PBX7" s="28"/>
      <c r="PBY7" s="28"/>
      <c r="PBZ7" s="28"/>
      <c r="PCA7" s="28"/>
      <c r="PCB7" s="28"/>
      <c r="PCC7" s="28"/>
      <c r="PCD7" s="28"/>
      <c r="PCE7" s="28"/>
      <c r="PCF7" s="28"/>
      <c r="PCG7" s="28"/>
      <c r="PCH7" s="28"/>
      <c r="PCI7" s="28"/>
      <c r="PCJ7" s="28"/>
      <c r="PCK7" s="28"/>
      <c r="PCL7" s="28"/>
      <c r="PCM7" s="28"/>
      <c r="PCN7" s="28"/>
      <c r="PCO7" s="28"/>
      <c r="PCP7" s="28"/>
      <c r="PCQ7" s="28"/>
      <c r="PCR7" s="28"/>
      <c r="PCS7" s="28"/>
      <c r="PCT7" s="28"/>
      <c r="PCU7" s="28"/>
      <c r="PCV7" s="28"/>
      <c r="PCW7" s="28"/>
      <c r="PCX7" s="28"/>
      <c r="PCY7" s="28"/>
      <c r="PCZ7" s="28"/>
      <c r="PDA7" s="28"/>
      <c r="PDB7" s="28"/>
      <c r="PDC7" s="28"/>
      <c r="PDD7" s="28"/>
      <c r="PDE7" s="28"/>
      <c r="PDF7" s="28"/>
      <c r="PDG7" s="28"/>
      <c r="PDH7" s="28"/>
      <c r="PDI7" s="28"/>
      <c r="PDJ7" s="28"/>
      <c r="PDK7" s="28"/>
      <c r="PDL7" s="28"/>
      <c r="PDM7" s="28"/>
      <c r="PDN7" s="28"/>
      <c r="PDO7" s="28"/>
      <c r="PDP7" s="28"/>
      <c r="PDQ7" s="28"/>
      <c r="PDR7" s="28"/>
      <c r="PDS7" s="28"/>
      <c r="PDT7" s="28"/>
      <c r="PDU7" s="28"/>
      <c r="PDV7" s="28"/>
      <c r="PDW7" s="28"/>
      <c r="PDX7" s="28"/>
      <c r="PDY7" s="28"/>
      <c r="PDZ7" s="28"/>
      <c r="PEA7" s="28"/>
      <c r="PEB7" s="28"/>
      <c r="PEC7" s="28"/>
      <c r="PED7" s="28"/>
      <c r="PEE7" s="28"/>
      <c r="PEF7" s="28"/>
      <c r="PEG7" s="28"/>
      <c r="PEH7" s="28"/>
      <c r="PEI7" s="28"/>
      <c r="PEJ7" s="28"/>
      <c r="PEK7" s="28"/>
      <c r="PEL7" s="28"/>
      <c r="PEM7" s="28"/>
      <c r="PEN7" s="28"/>
      <c r="PEO7" s="28"/>
      <c r="PEP7" s="28"/>
      <c r="PEQ7" s="28"/>
      <c r="PER7" s="28"/>
      <c r="PES7" s="28"/>
      <c r="PET7" s="28"/>
      <c r="PEU7" s="28"/>
      <c r="PEV7" s="28"/>
      <c r="PEW7" s="28"/>
      <c r="PEX7" s="28"/>
      <c r="PEY7" s="28"/>
      <c r="PEZ7" s="28"/>
      <c r="PFA7" s="28"/>
      <c r="PFB7" s="28"/>
      <c r="PFC7" s="28"/>
      <c r="PFD7" s="28"/>
      <c r="PFE7" s="28"/>
      <c r="PFF7" s="28"/>
      <c r="PFG7" s="28"/>
      <c r="PFH7" s="28"/>
      <c r="PFI7" s="28"/>
      <c r="PFJ7" s="28"/>
      <c r="PFK7" s="28"/>
      <c r="PFL7" s="28"/>
      <c r="PFM7" s="28"/>
      <c r="PFN7" s="28"/>
      <c r="PFO7" s="28"/>
      <c r="PFP7" s="28"/>
      <c r="PFQ7" s="28"/>
      <c r="PFR7" s="28"/>
      <c r="PFS7" s="28"/>
      <c r="PFT7" s="28"/>
      <c r="PFU7" s="28"/>
      <c r="PFV7" s="28"/>
      <c r="PFW7" s="28"/>
      <c r="PFX7" s="28"/>
      <c r="PFY7" s="28"/>
      <c r="PFZ7" s="28"/>
      <c r="PGA7" s="28"/>
      <c r="PGB7" s="28"/>
      <c r="PGC7" s="28"/>
      <c r="PGD7" s="28"/>
      <c r="PGE7" s="28"/>
      <c r="PGF7" s="28"/>
      <c r="PGG7" s="28"/>
      <c r="PGH7" s="28"/>
      <c r="PGI7" s="28"/>
      <c r="PGJ7" s="28"/>
      <c r="PGK7" s="28"/>
      <c r="PGL7" s="28"/>
      <c r="PGM7" s="28"/>
      <c r="PGN7" s="28"/>
      <c r="PGO7" s="28"/>
      <c r="PGP7" s="28"/>
      <c r="PGQ7" s="28"/>
      <c r="PGR7" s="28"/>
      <c r="PGS7" s="28"/>
      <c r="PGT7" s="28"/>
      <c r="PGU7" s="28"/>
      <c r="PGV7" s="28"/>
      <c r="PGW7" s="28"/>
      <c r="PGX7" s="28"/>
      <c r="PGY7" s="28"/>
      <c r="PGZ7" s="28"/>
      <c r="PHA7" s="28"/>
      <c r="PHB7" s="28"/>
      <c r="PHC7" s="28"/>
      <c r="PHD7" s="28"/>
      <c r="PHE7" s="28"/>
      <c r="PHF7" s="28"/>
      <c r="PHG7" s="28"/>
      <c r="PHH7" s="28"/>
      <c r="PHI7" s="28"/>
      <c r="PHJ7" s="28"/>
      <c r="PHK7" s="28"/>
      <c r="PHL7" s="28"/>
      <c r="PHM7" s="28"/>
      <c r="PHN7" s="28"/>
      <c r="PHO7" s="28"/>
      <c r="PHP7" s="28"/>
      <c r="PHQ7" s="28"/>
      <c r="PHR7" s="28"/>
      <c r="PHS7" s="28"/>
      <c r="PHT7" s="28"/>
      <c r="PHU7" s="28"/>
      <c r="PHV7" s="28"/>
      <c r="PHW7" s="28"/>
      <c r="PHX7" s="28"/>
      <c r="PHY7" s="28"/>
      <c r="PHZ7" s="28"/>
      <c r="PIA7" s="28"/>
      <c r="PIB7" s="28"/>
      <c r="PIC7" s="28"/>
      <c r="PID7" s="28"/>
      <c r="PIE7" s="28"/>
      <c r="PIF7" s="28"/>
      <c r="PIG7" s="28"/>
      <c r="PIH7" s="28"/>
      <c r="PII7" s="28"/>
      <c r="PIJ7" s="28"/>
      <c r="PIK7" s="28"/>
      <c r="PIL7" s="28"/>
      <c r="PIM7" s="28"/>
      <c r="PIN7" s="28"/>
      <c r="PIO7" s="28"/>
      <c r="PIP7" s="28"/>
      <c r="PIQ7" s="28"/>
      <c r="PIR7" s="28"/>
      <c r="PIS7" s="28"/>
      <c r="PIT7" s="28"/>
      <c r="PIU7" s="28"/>
      <c r="PIV7" s="28"/>
      <c r="PIW7" s="28"/>
      <c r="PIX7" s="28"/>
      <c r="PIY7" s="28"/>
      <c r="PIZ7" s="28"/>
      <c r="PJA7" s="28"/>
      <c r="PJB7" s="28"/>
      <c r="PJC7" s="28"/>
      <c r="PJD7" s="28"/>
      <c r="PJE7" s="28"/>
      <c r="PJF7" s="28"/>
      <c r="PJG7" s="28"/>
      <c r="PJH7" s="28"/>
      <c r="PJI7" s="28"/>
      <c r="PJJ7" s="28"/>
      <c r="PJK7" s="28"/>
      <c r="PJL7" s="28"/>
      <c r="PJM7" s="28"/>
      <c r="PJN7" s="28"/>
      <c r="PJO7" s="28"/>
      <c r="PJP7" s="28"/>
      <c r="PJQ7" s="28"/>
      <c r="PJR7" s="28"/>
      <c r="PJS7" s="28"/>
      <c r="PJT7" s="28"/>
      <c r="PJU7" s="28"/>
      <c r="PJV7" s="28"/>
      <c r="PJW7" s="28"/>
      <c r="PJX7" s="28"/>
      <c r="PJY7" s="28"/>
      <c r="PJZ7" s="28"/>
      <c r="PKA7" s="28"/>
      <c r="PKB7" s="28"/>
      <c r="PKC7" s="28"/>
      <c r="PKD7" s="28"/>
      <c r="PKE7" s="28"/>
      <c r="PKF7" s="28"/>
      <c r="PKG7" s="28"/>
      <c r="PKH7" s="28"/>
      <c r="PKI7" s="28"/>
      <c r="PKJ7" s="28"/>
      <c r="PKK7" s="28"/>
      <c r="PKL7" s="28"/>
      <c r="PKM7" s="28"/>
      <c r="PKN7" s="28"/>
      <c r="PKO7" s="28"/>
      <c r="PKP7" s="28"/>
      <c r="PKQ7" s="28"/>
      <c r="PKR7" s="28"/>
      <c r="PKS7" s="28"/>
      <c r="PKT7" s="28"/>
      <c r="PKU7" s="28"/>
      <c r="PKV7" s="28"/>
      <c r="PKW7" s="28"/>
      <c r="PKX7" s="28"/>
      <c r="PKY7" s="28"/>
      <c r="PKZ7" s="28"/>
      <c r="PLA7" s="28"/>
      <c r="PLB7" s="28"/>
      <c r="PLC7" s="28"/>
      <c r="PLD7" s="28"/>
      <c r="PLE7" s="28"/>
      <c r="PLF7" s="28"/>
      <c r="PLG7" s="28"/>
      <c r="PLH7" s="28"/>
      <c r="PLI7" s="28"/>
      <c r="PLJ7" s="28"/>
      <c r="PLK7" s="28"/>
      <c r="PLL7" s="28"/>
      <c r="PLM7" s="28"/>
      <c r="PLN7" s="28"/>
      <c r="PLO7" s="28"/>
      <c r="PLP7" s="28"/>
      <c r="PLQ7" s="28"/>
      <c r="PLR7" s="28"/>
      <c r="PLS7" s="28"/>
      <c r="PLT7" s="28"/>
      <c r="PLU7" s="28"/>
      <c r="PLV7" s="28"/>
      <c r="PLW7" s="28"/>
      <c r="PLX7" s="28"/>
      <c r="PLY7" s="28"/>
      <c r="PLZ7" s="28"/>
      <c r="PMA7" s="28"/>
      <c r="PMB7" s="28"/>
      <c r="PMC7" s="28"/>
      <c r="PMD7" s="28"/>
      <c r="PME7" s="28"/>
      <c r="PMF7" s="28"/>
      <c r="PMG7" s="28"/>
      <c r="PMH7" s="28"/>
      <c r="PMI7" s="28"/>
      <c r="PMJ7" s="28"/>
      <c r="PMK7" s="28"/>
      <c r="PML7" s="28"/>
      <c r="PMM7" s="28"/>
      <c r="PMN7" s="28"/>
      <c r="PMO7" s="28"/>
      <c r="PMP7" s="28"/>
      <c r="PMQ7" s="28"/>
      <c r="PMR7" s="28"/>
      <c r="PMS7" s="28"/>
      <c r="PMT7" s="28"/>
      <c r="PMU7" s="28"/>
      <c r="PMV7" s="28"/>
      <c r="PMW7" s="28"/>
      <c r="PMX7" s="28"/>
      <c r="PMY7" s="28"/>
      <c r="PMZ7" s="28"/>
      <c r="PNA7" s="28"/>
      <c r="PNB7" s="28"/>
      <c r="PNC7" s="28"/>
      <c r="PND7" s="28"/>
      <c r="PNE7" s="28"/>
      <c r="PNF7" s="28"/>
      <c r="PNG7" s="28"/>
      <c r="PNH7" s="28"/>
      <c r="PNI7" s="28"/>
      <c r="PNJ7" s="28"/>
      <c r="PNK7" s="28"/>
      <c r="PNL7" s="28"/>
      <c r="PNM7" s="28"/>
      <c r="PNN7" s="28"/>
      <c r="PNO7" s="28"/>
      <c r="PNP7" s="28"/>
      <c r="PNQ7" s="28"/>
      <c r="PNR7" s="28"/>
      <c r="PNS7" s="28"/>
      <c r="PNT7" s="28"/>
      <c r="PNU7" s="28"/>
      <c r="PNV7" s="28"/>
      <c r="PNW7" s="28"/>
      <c r="PNX7" s="28"/>
      <c r="PNY7" s="28"/>
      <c r="PNZ7" s="28"/>
      <c r="POA7" s="28"/>
      <c r="POB7" s="28"/>
      <c r="POC7" s="28"/>
      <c r="POD7" s="28"/>
      <c r="POE7" s="28"/>
      <c r="POF7" s="28"/>
      <c r="POG7" s="28"/>
      <c r="POH7" s="28"/>
      <c r="POI7" s="28"/>
      <c r="POJ7" s="28"/>
      <c r="POK7" s="28"/>
      <c r="POL7" s="28"/>
      <c r="POM7" s="28"/>
      <c r="PON7" s="28"/>
      <c r="POO7" s="28"/>
      <c r="POP7" s="28"/>
      <c r="POQ7" s="28"/>
      <c r="POR7" s="28"/>
      <c r="POS7" s="28"/>
      <c r="POT7" s="28"/>
      <c r="POU7" s="28"/>
      <c r="POV7" s="28"/>
      <c r="POW7" s="28"/>
      <c r="POX7" s="28"/>
      <c r="POY7" s="28"/>
      <c r="POZ7" s="28"/>
      <c r="PPA7" s="28"/>
      <c r="PPB7" s="28"/>
      <c r="PPC7" s="28"/>
      <c r="PPD7" s="28"/>
      <c r="PPE7" s="28"/>
      <c r="PPF7" s="28"/>
      <c r="PPG7" s="28"/>
      <c r="PPH7" s="28"/>
      <c r="PPI7" s="28"/>
      <c r="PPJ7" s="28"/>
      <c r="PPK7" s="28"/>
      <c r="PPL7" s="28"/>
      <c r="PPM7" s="28"/>
      <c r="PPN7" s="28"/>
      <c r="PPO7" s="28"/>
      <c r="PPP7" s="28"/>
      <c r="PPQ7" s="28"/>
      <c r="PPR7" s="28"/>
      <c r="PPS7" s="28"/>
      <c r="PPT7" s="28"/>
      <c r="PPU7" s="28"/>
      <c r="PPV7" s="28"/>
      <c r="PPW7" s="28"/>
      <c r="PPX7" s="28"/>
      <c r="PPY7" s="28"/>
      <c r="PPZ7" s="28"/>
      <c r="PQA7" s="28"/>
      <c r="PQB7" s="28"/>
      <c r="PQC7" s="28"/>
      <c r="PQD7" s="28"/>
      <c r="PQE7" s="28"/>
      <c r="PQF7" s="28"/>
      <c r="PQG7" s="28"/>
      <c r="PQH7" s="28"/>
      <c r="PQI7" s="28"/>
      <c r="PQJ7" s="28"/>
      <c r="PQK7" s="28"/>
      <c r="PQL7" s="28"/>
      <c r="PQM7" s="28"/>
      <c r="PQN7" s="28"/>
      <c r="PQO7" s="28"/>
      <c r="PQP7" s="28"/>
      <c r="PQQ7" s="28"/>
      <c r="PQR7" s="28"/>
      <c r="PQS7" s="28"/>
      <c r="PQT7" s="28"/>
      <c r="PQU7" s="28"/>
      <c r="PQV7" s="28"/>
      <c r="PQW7" s="28"/>
      <c r="PQX7" s="28"/>
      <c r="PQY7" s="28"/>
      <c r="PQZ7" s="28"/>
      <c r="PRA7" s="28"/>
      <c r="PRB7" s="28"/>
      <c r="PRC7" s="28"/>
      <c r="PRD7" s="28"/>
      <c r="PRE7" s="28"/>
      <c r="PRF7" s="28"/>
      <c r="PRG7" s="28"/>
      <c r="PRH7" s="28"/>
      <c r="PRI7" s="28"/>
      <c r="PRJ7" s="28"/>
      <c r="PRK7" s="28"/>
      <c r="PRL7" s="28"/>
      <c r="PRM7" s="28"/>
      <c r="PRN7" s="28"/>
      <c r="PRO7" s="28"/>
      <c r="PRP7" s="28"/>
      <c r="PRQ7" s="28"/>
      <c r="PRR7" s="28"/>
      <c r="PRS7" s="28"/>
      <c r="PRT7" s="28"/>
      <c r="PRU7" s="28"/>
      <c r="PRV7" s="28"/>
      <c r="PRW7" s="28"/>
      <c r="PRX7" s="28"/>
      <c r="PRY7" s="28"/>
      <c r="PRZ7" s="28"/>
      <c r="PSA7" s="28"/>
      <c r="PSB7" s="28"/>
      <c r="PSC7" s="28"/>
      <c r="PSD7" s="28"/>
      <c r="PSE7" s="28"/>
      <c r="PSF7" s="28"/>
      <c r="PSG7" s="28"/>
      <c r="PSH7" s="28"/>
      <c r="PSI7" s="28"/>
      <c r="PSJ7" s="28"/>
      <c r="PSK7" s="28"/>
      <c r="PSL7" s="28"/>
      <c r="PSM7" s="28"/>
      <c r="PSN7" s="28"/>
      <c r="PSO7" s="28"/>
      <c r="PSP7" s="28"/>
      <c r="PSQ7" s="28"/>
      <c r="PSR7" s="28"/>
      <c r="PSS7" s="28"/>
      <c r="PST7" s="28"/>
      <c r="PSU7" s="28"/>
      <c r="PSV7" s="28"/>
      <c r="PSW7" s="28"/>
      <c r="PSX7" s="28"/>
      <c r="PSY7" s="28"/>
      <c r="PSZ7" s="28"/>
      <c r="PTA7" s="28"/>
      <c r="PTB7" s="28"/>
      <c r="PTC7" s="28"/>
      <c r="PTD7" s="28"/>
      <c r="PTE7" s="28"/>
      <c r="PTF7" s="28"/>
      <c r="PTG7" s="28"/>
      <c r="PTH7" s="28"/>
      <c r="PTI7" s="28"/>
      <c r="PTJ7" s="28"/>
      <c r="PTK7" s="28"/>
      <c r="PTL7" s="28"/>
      <c r="PTM7" s="28"/>
      <c r="PTN7" s="28"/>
      <c r="PTO7" s="28"/>
      <c r="PTP7" s="28"/>
      <c r="PTQ7" s="28"/>
      <c r="PTR7" s="28"/>
      <c r="PTS7" s="28"/>
      <c r="PTT7" s="28"/>
      <c r="PTU7" s="28"/>
      <c r="PTV7" s="28"/>
      <c r="PTW7" s="28"/>
      <c r="PTX7" s="28"/>
      <c r="PTY7" s="28"/>
      <c r="PTZ7" s="28"/>
      <c r="PUA7" s="28"/>
      <c r="PUB7" s="28"/>
      <c r="PUC7" s="28"/>
      <c r="PUD7" s="28"/>
      <c r="PUE7" s="28"/>
      <c r="PUF7" s="28"/>
      <c r="PUG7" s="28"/>
      <c r="PUH7" s="28"/>
      <c r="PUI7" s="28"/>
      <c r="PUJ7" s="28"/>
      <c r="PUK7" s="28"/>
      <c r="PUL7" s="28"/>
      <c r="PUM7" s="28"/>
      <c r="PUN7" s="28"/>
      <c r="PUO7" s="28"/>
      <c r="PUP7" s="28"/>
      <c r="PUQ7" s="28"/>
      <c r="PUR7" s="28"/>
      <c r="PUS7" s="28"/>
      <c r="PUT7" s="28"/>
      <c r="PUU7" s="28"/>
      <c r="PUV7" s="28"/>
      <c r="PUW7" s="28"/>
      <c r="PUX7" s="28"/>
      <c r="PUY7" s="28"/>
      <c r="PUZ7" s="28"/>
      <c r="PVA7" s="28"/>
      <c r="PVB7" s="28"/>
      <c r="PVC7" s="28"/>
      <c r="PVD7" s="28"/>
      <c r="PVE7" s="28"/>
      <c r="PVF7" s="28"/>
      <c r="PVG7" s="28"/>
      <c r="PVH7" s="28"/>
      <c r="PVI7" s="28"/>
      <c r="PVJ7" s="28"/>
      <c r="PVK7" s="28"/>
      <c r="PVL7" s="28"/>
      <c r="PVM7" s="28"/>
      <c r="PVN7" s="28"/>
      <c r="PVO7" s="28"/>
      <c r="PVP7" s="28"/>
      <c r="PVQ7" s="28"/>
      <c r="PVR7" s="28"/>
      <c r="PVS7" s="28"/>
      <c r="PVT7" s="28"/>
      <c r="PVU7" s="28"/>
      <c r="PVV7" s="28"/>
      <c r="PVW7" s="28"/>
      <c r="PVX7" s="28"/>
      <c r="PVY7" s="28"/>
      <c r="PVZ7" s="28"/>
      <c r="PWA7" s="28"/>
      <c r="PWB7" s="28"/>
      <c r="PWC7" s="28"/>
      <c r="PWD7" s="28"/>
      <c r="PWE7" s="28"/>
      <c r="PWF7" s="28"/>
      <c r="PWG7" s="28"/>
      <c r="PWH7" s="28"/>
      <c r="PWI7" s="28"/>
      <c r="PWJ7" s="28"/>
      <c r="PWK7" s="28"/>
      <c r="PWL7" s="28"/>
      <c r="PWM7" s="28"/>
      <c r="PWN7" s="28"/>
      <c r="PWO7" s="28"/>
      <c r="PWP7" s="28"/>
      <c r="PWQ7" s="28"/>
      <c r="PWR7" s="28"/>
      <c r="PWS7" s="28"/>
      <c r="PWT7" s="28"/>
      <c r="PWU7" s="28"/>
      <c r="PWV7" s="28"/>
      <c r="PWW7" s="28"/>
      <c r="PWX7" s="28"/>
      <c r="PWY7" s="28"/>
      <c r="PWZ7" s="28"/>
      <c r="PXA7" s="28"/>
      <c r="PXB7" s="28"/>
      <c r="PXC7" s="28"/>
      <c r="PXD7" s="28"/>
      <c r="PXE7" s="28"/>
      <c r="PXF7" s="28"/>
      <c r="PXG7" s="28"/>
      <c r="PXH7" s="28"/>
      <c r="PXI7" s="28"/>
      <c r="PXJ7" s="28"/>
      <c r="PXK7" s="28"/>
      <c r="PXL7" s="28"/>
      <c r="PXM7" s="28"/>
      <c r="PXN7" s="28"/>
      <c r="PXO7" s="28"/>
      <c r="PXP7" s="28"/>
      <c r="PXQ7" s="28"/>
      <c r="PXR7" s="28"/>
      <c r="PXS7" s="28"/>
      <c r="PXT7" s="28"/>
      <c r="PXU7" s="28"/>
      <c r="PXV7" s="28"/>
      <c r="PXW7" s="28"/>
      <c r="PXX7" s="28"/>
      <c r="PXY7" s="28"/>
      <c r="PXZ7" s="28"/>
      <c r="PYA7" s="28"/>
      <c r="PYB7" s="28"/>
      <c r="PYC7" s="28"/>
      <c r="PYD7" s="28"/>
      <c r="PYE7" s="28"/>
      <c r="PYF7" s="28"/>
      <c r="PYG7" s="28"/>
      <c r="PYH7" s="28"/>
      <c r="PYI7" s="28"/>
      <c r="PYJ7" s="28"/>
      <c r="PYK7" s="28"/>
      <c r="PYL7" s="28"/>
      <c r="PYM7" s="28"/>
      <c r="PYN7" s="28"/>
      <c r="PYO7" s="28"/>
      <c r="PYP7" s="28"/>
      <c r="PYQ7" s="28"/>
      <c r="PYR7" s="28"/>
      <c r="PYS7" s="28"/>
      <c r="PYT7" s="28"/>
      <c r="PYU7" s="28"/>
      <c r="PYV7" s="28"/>
      <c r="PYW7" s="28"/>
      <c r="PYX7" s="28"/>
      <c r="PYY7" s="28"/>
      <c r="PYZ7" s="28"/>
      <c r="PZA7" s="28"/>
      <c r="PZB7" s="28"/>
      <c r="PZC7" s="28"/>
      <c r="PZD7" s="28"/>
      <c r="PZE7" s="28"/>
      <c r="PZF7" s="28"/>
      <c r="PZG7" s="28"/>
      <c r="PZH7" s="28"/>
      <c r="PZI7" s="28"/>
      <c r="PZJ7" s="28"/>
      <c r="PZK7" s="28"/>
      <c r="PZL7" s="28"/>
      <c r="PZM7" s="28"/>
      <c r="PZN7" s="28"/>
      <c r="PZO7" s="28"/>
      <c r="PZP7" s="28"/>
      <c r="PZQ7" s="28"/>
      <c r="PZR7" s="28"/>
      <c r="PZS7" s="28"/>
      <c r="PZT7" s="28"/>
      <c r="PZU7" s="28"/>
      <c r="PZV7" s="28"/>
      <c r="PZW7" s="28"/>
      <c r="PZX7" s="28"/>
      <c r="PZY7" s="28"/>
      <c r="PZZ7" s="28"/>
      <c r="QAA7" s="28"/>
      <c r="QAB7" s="28"/>
      <c r="QAC7" s="28"/>
      <c r="QAD7" s="28"/>
      <c r="QAE7" s="28"/>
      <c r="QAF7" s="28"/>
      <c r="QAG7" s="28"/>
      <c r="QAH7" s="28"/>
      <c r="QAI7" s="28"/>
      <c r="QAJ7" s="28"/>
      <c r="QAK7" s="28"/>
      <c r="QAL7" s="28"/>
      <c r="QAM7" s="28"/>
      <c r="QAN7" s="28"/>
      <c r="QAO7" s="28"/>
      <c r="QAP7" s="28"/>
      <c r="QAQ7" s="28"/>
      <c r="QAR7" s="28"/>
      <c r="QAS7" s="28"/>
      <c r="QAT7" s="28"/>
      <c r="QAU7" s="28"/>
      <c r="QAV7" s="28"/>
      <c r="QAW7" s="28"/>
      <c r="QAX7" s="28"/>
      <c r="QAY7" s="28"/>
      <c r="QAZ7" s="28"/>
      <c r="QBA7" s="28"/>
      <c r="QBB7" s="28"/>
      <c r="QBC7" s="28"/>
      <c r="QBD7" s="28"/>
      <c r="QBE7" s="28"/>
      <c r="QBF7" s="28"/>
      <c r="QBG7" s="28"/>
      <c r="QBH7" s="28"/>
      <c r="QBI7" s="28"/>
      <c r="QBJ7" s="28"/>
      <c r="QBK7" s="28"/>
      <c r="QBL7" s="28"/>
      <c r="QBM7" s="28"/>
      <c r="QBN7" s="28"/>
      <c r="QBO7" s="28"/>
      <c r="QBP7" s="28"/>
      <c r="QBQ7" s="28"/>
      <c r="QBR7" s="28"/>
      <c r="QBS7" s="28"/>
      <c r="QBT7" s="28"/>
      <c r="QBU7" s="28"/>
      <c r="QBV7" s="28"/>
      <c r="QBW7" s="28"/>
      <c r="QBX7" s="28"/>
      <c r="QBY7" s="28"/>
      <c r="QBZ7" s="28"/>
      <c r="QCA7" s="28"/>
      <c r="QCB7" s="28"/>
      <c r="QCC7" s="28"/>
      <c r="QCD7" s="28"/>
      <c r="QCE7" s="28"/>
      <c r="QCF7" s="28"/>
      <c r="QCG7" s="28"/>
      <c r="QCH7" s="28"/>
      <c r="QCI7" s="28"/>
      <c r="QCJ7" s="28"/>
      <c r="QCK7" s="28"/>
      <c r="QCL7" s="28"/>
      <c r="QCM7" s="28"/>
      <c r="QCN7" s="28"/>
      <c r="QCO7" s="28"/>
      <c r="QCP7" s="28"/>
      <c r="QCQ7" s="28"/>
      <c r="QCR7" s="28"/>
      <c r="QCS7" s="28"/>
      <c r="QCT7" s="28"/>
      <c r="QCU7" s="28"/>
      <c r="QCV7" s="28"/>
      <c r="QCW7" s="28"/>
      <c r="QCX7" s="28"/>
      <c r="QCY7" s="28"/>
      <c r="QCZ7" s="28"/>
      <c r="QDA7" s="28"/>
      <c r="QDB7" s="28"/>
      <c r="QDC7" s="28"/>
      <c r="QDD7" s="28"/>
      <c r="QDE7" s="28"/>
      <c r="QDF7" s="28"/>
      <c r="QDG7" s="28"/>
      <c r="QDH7" s="28"/>
      <c r="QDI7" s="28"/>
      <c r="QDJ7" s="28"/>
      <c r="QDK7" s="28"/>
      <c r="QDL7" s="28"/>
      <c r="QDM7" s="28"/>
      <c r="QDN7" s="28"/>
      <c r="QDO7" s="28"/>
      <c r="QDP7" s="28"/>
      <c r="QDQ7" s="28"/>
      <c r="QDR7" s="28"/>
      <c r="QDS7" s="28"/>
      <c r="QDT7" s="28"/>
      <c r="QDU7" s="28"/>
      <c r="QDV7" s="28"/>
      <c r="QDW7" s="28"/>
      <c r="QDX7" s="28"/>
      <c r="QDY7" s="28"/>
      <c r="QDZ7" s="28"/>
      <c r="QEA7" s="28"/>
      <c r="QEB7" s="28"/>
      <c r="QEC7" s="28"/>
      <c r="QED7" s="28"/>
      <c r="QEE7" s="28"/>
      <c r="QEF7" s="28"/>
      <c r="QEG7" s="28"/>
      <c r="QEH7" s="28"/>
      <c r="QEI7" s="28"/>
      <c r="QEJ7" s="28"/>
      <c r="QEK7" s="28"/>
      <c r="QEL7" s="28"/>
      <c r="QEM7" s="28"/>
      <c r="QEN7" s="28"/>
      <c r="QEO7" s="28"/>
      <c r="QEP7" s="28"/>
      <c r="QEQ7" s="28"/>
      <c r="QER7" s="28"/>
      <c r="QES7" s="28"/>
      <c r="QET7" s="28"/>
      <c r="QEU7" s="28"/>
      <c r="QEV7" s="28"/>
      <c r="QEW7" s="28"/>
      <c r="QEX7" s="28"/>
      <c r="QEY7" s="28"/>
      <c r="QEZ7" s="28"/>
      <c r="QFA7" s="28"/>
      <c r="QFB7" s="28"/>
      <c r="QFC7" s="28"/>
      <c r="QFD7" s="28"/>
      <c r="QFE7" s="28"/>
      <c r="QFF7" s="28"/>
      <c r="QFG7" s="28"/>
      <c r="QFH7" s="28"/>
      <c r="QFI7" s="28"/>
      <c r="QFJ7" s="28"/>
      <c r="QFK7" s="28"/>
      <c r="QFL7" s="28"/>
      <c r="QFM7" s="28"/>
      <c r="QFN7" s="28"/>
      <c r="QFO7" s="28"/>
      <c r="QFP7" s="28"/>
      <c r="QFQ7" s="28"/>
      <c r="QFR7" s="28"/>
      <c r="QFS7" s="28"/>
      <c r="QFT7" s="28"/>
      <c r="QFU7" s="28"/>
      <c r="QFV7" s="28"/>
      <c r="QFW7" s="28"/>
      <c r="QFX7" s="28"/>
      <c r="QFY7" s="28"/>
      <c r="QFZ7" s="28"/>
      <c r="QGA7" s="28"/>
      <c r="QGB7" s="28"/>
      <c r="QGC7" s="28"/>
      <c r="QGD7" s="28"/>
      <c r="QGE7" s="28"/>
      <c r="QGF7" s="28"/>
      <c r="QGG7" s="28"/>
      <c r="QGH7" s="28"/>
      <c r="QGI7" s="28"/>
      <c r="QGJ7" s="28"/>
      <c r="QGK7" s="28"/>
      <c r="QGL7" s="28"/>
      <c r="QGM7" s="28"/>
      <c r="QGN7" s="28"/>
      <c r="QGO7" s="28"/>
      <c r="QGP7" s="28"/>
      <c r="QGQ7" s="28"/>
      <c r="QGR7" s="28"/>
      <c r="QGS7" s="28"/>
      <c r="QGT7" s="28"/>
      <c r="QGU7" s="28"/>
      <c r="QGV7" s="28"/>
      <c r="QGW7" s="28"/>
      <c r="QGX7" s="28"/>
      <c r="QGY7" s="28"/>
      <c r="QGZ7" s="28"/>
      <c r="QHA7" s="28"/>
      <c r="QHB7" s="28"/>
      <c r="QHC7" s="28"/>
      <c r="QHD7" s="28"/>
      <c r="QHE7" s="28"/>
      <c r="QHF7" s="28"/>
      <c r="QHG7" s="28"/>
      <c r="QHH7" s="28"/>
      <c r="QHI7" s="28"/>
      <c r="QHJ7" s="28"/>
      <c r="QHK7" s="28"/>
      <c r="QHL7" s="28"/>
      <c r="QHM7" s="28"/>
      <c r="QHN7" s="28"/>
      <c r="QHO7" s="28"/>
      <c r="QHP7" s="28"/>
      <c r="QHQ7" s="28"/>
      <c r="QHR7" s="28"/>
      <c r="QHS7" s="28"/>
      <c r="QHT7" s="28"/>
      <c r="QHU7" s="28"/>
      <c r="QHV7" s="28"/>
      <c r="QHW7" s="28"/>
      <c r="QHX7" s="28"/>
      <c r="QHY7" s="28"/>
      <c r="QHZ7" s="28"/>
      <c r="QIA7" s="28"/>
      <c r="QIB7" s="28"/>
      <c r="QIC7" s="28"/>
      <c r="QID7" s="28"/>
      <c r="QIE7" s="28"/>
      <c r="QIF7" s="28"/>
      <c r="QIG7" s="28"/>
      <c r="QIH7" s="28"/>
      <c r="QII7" s="28"/>
      <c r="QIJ7" s="28"/>
      <c r="QIK7" s="28"/>
      <c r="QIL7" s="28"/>
      <c r="QIM7" s="28"/>
      <c r="QIN7" s="28"/>
      <c r="QIO7" s="28"/>
      <c r="QIP7" s="28"/>
      <c r="QIQ7" s="28"/>
      <c r="QIR7" s="28"/>
      <c r="QIS7" s="28"/>
      <c r="QIT7" s="28"/>
      <c r="QIU7" s="28"/>
      <c r="QIV7" s="28"/>
      <c r="QIW7" s="28"/>
      <c r="QIX7" s="28"/>
      <c r="QIY7" s="28"/>
      <c r="QIZ7" s="28"/>
      <c r="QJA7" s="28"/>
      <c r="QJB7" s="28"/>
      <c r="QJC7" s="28"/>
      <c r="QJD7" s="28"/>
      <c r="QJE7" s="28"/>
      <c r="QJF7" s="28"/>
      <c r="QJG7" s="28"/>
      <c r="QJH7" s="28"/>
      <c r="QJI7" s="28"/>
      <c r="QJJ7" s="28"/>
      <c r="QJK7" s="28"/>
      <c r="QJL7" s="28"/>
      <c r="QJM7" s="28"/>
      <c r="QJN7" s="28"/>
      <c r="QJO7" s="28"/>
      <c r="QJP7" s="28"/>
      <c r="QJQ7" s="28"/>
      <c r="QJR7" s="28"/>
      <c r="QJS7" s="28"/>
      <c r="QJT7" s="28"/>
      <c r="QJU7" s="28"/>
      <c r="QJV7" s="28"/>
      <c r="QJW7" s="28"/>
      <c r="QJX7" s="28"/>
      <c r="QJY7" s="28"/>
      <c r="QJZ7" s="28"/>
      <c r="QKA7" s="28"/>
      <c r="QKB7" s="28"/>
      <c r="QKC7" s="28"/>
      <c r="QKD7" s="28"/>
      <c r="QKE7" s="28"/>
      <c r="QKF7" s="28"/>
      <c r="QKG7" s="28"/>
      <c r="QKH7" s="28"/>
      <c r="QKI7" s="28"/>
      <c r="QKJ7" s="28"/>
      <c r="QKK7" s="28"/>
      <c r="QKL7" s="28"/>
      <c r="QKM7" s="28"/>
      <c r="QKN7" s="28"/>
      <c r="QKO7" s="28"/>
      <c r="QKP7" s="28"/>
      <c r="QKQ7" s="28"/>
      <c r="QKR7" s="28"/>
      <c r="QKS7" s="28"/>
      <c r="QKT7" s="28"/>
      <c r="QKU7" s="28"/>
      <c r="QKV7" s="28"/>
      <c r="QKW7" s="28"/>
      <c r="QKX7" s="28"/>
      <c r="QKY7" s="28"/>
      <c r="QKZ7" s="28"/>
      <c r="QLA7" s="28"/>
      <c r="QLB7" s="28"/>
      <c r="QLC7" s="28"/>
      <c r="QLD7" s="28"/>
      <c r="QLE7" s="28"/>
      <c r="QLF7" s="28"/>
      <c r="QLG7" s="28"/>
      <c r="QLH7" s="28"/>
      <c r="QLI7" s="28"/>
      <c r="QLJ7" s="28"/>
      <c r="QLK7" s="28"/>
      <c r="QLL7" s="28"/>
      <c r="QLM7" s="28"/>
      <c r="QLN7" s="28"/>
      <c r="QLO7" s="28"/>
      <c r="QLP7" s="28"/>
      <c r="QLQ7" s="28"/>
      <c r="QLR7" s="28"/>
      <c r="QLS7" s="28"/>
      <c r="QLT7" s="28"/>
      <c r="QLU7" s="28"/>
      <c r="QLV7" s="28"/>
      <c r="QLW7" s="28"/>
      <c r="QLX7" s="28"/>
      <c r="QLY7" s="28"/>
      <c r="QLZ7" s="28"/>
      <c r="QMA7" s="28"/>
      <c r="QMB7" s="28"/>
      <c r="QMC7" s="28"/>
      <c r="QMD7" s="28"/>
      <c r="QME7" s="28"/>
      <c r="QMF7" s="28"/>
      <c r="QMG7" s="28"/>
      <c r="QMH7" s="28"/>
      <c r="QMI7" s="28"/>
      <c r="QMJ7" s="28"/>
      <c r="QMK7" s="28"/>
      <c r="QML7" s="28"/>
      <c r="QMM7" s="28"/>
      <c r="QMN7" s="28"/>
      <c r="QMO7" s="28"/>
      <c r="QMP7" s="28"/>
      <c r="QMQ7" s="28"/>
      <c r="QMR7" s="28"/>
      <c r="QMS7" s="28"/>
      <c r="QMT7" s="28"/>
      <c r="QMU7" s="28"/>
      <c r="QMV7" s="28"/>
      <c r="QMW7" s="28"/>
      <c r="QMX7" s="28"/>
      <c r="QMY7" s="28"/>
      <c r="QMZ7" s="28"/>
      <c r="QNA7" s="28"/>
      <c r="QNB7" s="28"/>
      <c r="QNC7" s="28"/>
      <c r="QND7" s="28"/>
      <c r="QNE7" s="28"/>
      <c r="QNF7" s="28"/>
      <c r="QNG7" s="28"/>
      <c r="QNH7" s="28"/>
      <c r="QNI7" s="28"/>
      <c r="QNJ7" s="28"/>
      <c r="QNK7" s="28"/>
      <c r="QNL7" s="28"/>
      <c r="QNM7" s="28"/>
      <c r="QNN7" s="28"/>
      <c r="QNO7" s="28"/>
      <c r="QNP7" s="28"/>
      <c r="QNQ7" s="28"/>
      <c r="QNR7" s="28"/>
      <c r="QNS7" s="28"/>
      <c r="QNT7" s="28"/>
      <c r="QNU7" s="28"/>
      <c r="QNV7" s="28"/>
      <c r="QNW7" s="28"/>
      <c r="QNX7" s="28"/>
      <c r="QNY7" s="28"/>
      <c r="QNZ7" s="28"/>
      <c r="QOA7" s="28"/>
      <c r="QOB7" s="28"/>
      <c r="QOC7" s="28"/>
      <c r="QOD7" s="28"/>
      <c r="QOE7" s="28"/>
      <c r="QOF7" s="28"/>
      <c r="QOG7" s="28"/>
      <c r="QOH7" s="28"/>
      <c r="QOI7" s="28"/>
      <c r="QOJ7" s="28"/>
      <c r="QOK7" s="28"/>
      <c r="QOL7" s="28"/>
      <c r="QOM7" s="28"/>
      <c r="QON7" s="28"/>
      <c r="QOO7" s="28"/>
      <c r="QOP7" s="28"/>
      <c r="QOQ7" s="28"/>
      <c r="QOR7" s="28"/>
      <c r="QOS7" s="28"/>
      <c r="QOT7" s="28"/>
      <c r="QOU7" s="28"/>
      <c r="QOV7" s="28"/>
      <c r="QOW7" s="28"/>
      <c r="QOX7" s="28"/>
      <c r="QOY7" s="28"/>
      <c r="QOZ7" s="28"/>
      <c r="QPA7" s="28"/>
      <c r="QPB7" s="28"/>
      <c r="QPC7" s="28"/>
      <c r="QPD7" s="28"/>
      <c r="QPE7" s="28"/>
      <c r="QPF7" s="28"/>
      <c r="QPG7" s="28"/>
      <c r="QPH7" s="28"/>
      <c r="QPI7" s="28"/>
      <c r="QPJ7" s="28"/>
      <c r="QPK7" s="28"/>
      <c r="QPL7" s="28"/>
      <c r="QPM7" s="28"/>
      <c r="QPN7" s="28"/>
      <c r="QPO7" s="28"/>
      <c r="QPP7" s="28"/>
      <c r="QPQ7" s="28"/>
      <c r="QPR7" s="28"/>
      <c r="QPS7" s="28"/>
      <c r="QPT7" s="28"/>
      <c r="QPU7" s="28"/>
      <c r="QPV7" s="28"/>
      <c r="QPW7" s="28"/>
      <c r="QPX7" s="28"/>
      <c r="QPY7" s="28"/>
      <c r="QPZ7" s="28"/>
      <c r="QQA7" s="28"/>
      <c r="QQB7" s="28"/>
      <c r="QQC7" s="28"/>
      <c r="QQD7" s="28"/>
      <c r="QQE7" s="28"/>
      <c r="QQF7" s="28"/>
      <c r="QQG7" s="28"/>
      <c r="QQH7" s="28"/>
      <c r="QQI7" s="28"/>
      <c r="QQJ7" s="28"/>
      <c r="QQK7" s="28"/>
      <c r="QQL7" s="28"/>
      <c r="QQM7" s="28"/>
      <c r="QQN7" s="28"/>
      <c r="QQO7" s="28"/>
      <c r="QQP7" s="28"/>
      <c r="QQQ7" s="28"/>
      <c r="QQR7" s="28"/>
      <c r="QQS7" s="28"/>
      <c r="QQT7" s="28"/>
      <c r="QQU7" s="28"/>
      <c r="QQV7" s="28"/>
      <c r="QQW7" s="28"/>
      <c r="QQX7" s="28"/>
      <c r="QQY7" s="28"/>
      <c r="QQZ7" s="28"/>
      <c r="QRA7" s="28"/>
      <c r="QRB7" s="28"/>
      <c r="QRC7" s="28"/>
      <c r="QRD7" s="28"/>
      <c r="QRE7" s="28"/>
      <c r="QRF7" s="28"/>
      <c r="QRG7" s="28"/>
      <c r="QRH7" s="28"/>
      <c r="QRI7" s="28"/>
      <c r="QRJ7" s="28"/>
      <c r="QRK7" s="28"/>
      <c r="QRL7" s="28"/>
      <c r="QRM7" s="28"/>
      <c r="QRN7" s="28"/>
      <c r="QRO7" s="28"/>
      <c r="QRP7" s="28"/>
      <c r="QRQ7" s="28"/>
      <c r="QRR7" s="28"/>
      <c r="QRS7" s="28"/>
      <c r="QRT7" s="28"/>
      <c r="QRU7" s="28"/>
      <c r="QRV7" s="28"/>
      <c r="QRW7" s="28"/>
      <c r="QRX7" s="28"/>
      <c r="QRY7" s="28"/>
      <c r="QRZ7" s="28"/>
      <c r="QSA7" s="28"/>
      <c r="QSB7" s="28"/>
      <c r="QSC7" s="28"/>
      <c r="QSD7" s="28"/>
      <c r="QSE7" s="28"/>
      <c r="QSF7" s="28"/>
      <c r="QSG7" s="28"/>
      <c r="QSH7" s="28"/>
      <c r="QSI7" s="28"/>
      <c r="QSJ7" s="28"/>
      <c r="QSK7" s="28"/>
      <c r="QSL7" s="28"/>
      <c r="QSM7" s="28"/>
      <c r="QSN7" s="28"/>
      <c r="QSO7" s="28"/>
      <c r="QSP7" s="28"/>
      <c r="QSQ7" s="28"/>
      <c r="QSR7" s="28"/>
      <c r="QSS7" s="28"/>
      <c r="QST7" s="28"/>
      <c r="QSU7" s="28"/>
      <c r="QSV7" s="28"/>
      <c r="QSW7" s="28"/>
      <c r="QSX7" s="28"/>
      <c r="QSY7" s="28"/>
      <c r="QSZ7" s="28"/>
      <c r="QTA7" s="28"/>
      <c r="QTB7" s="28"/>
      <c r="QTC7" s="28"/>
      <c r="QTD7" s="28"/>
      <c r="QTE7" s="28"/>
      <c r="QTF7" s="28"/>
      <c r="QTG7" s="28"/>
      <c r="QTH7" s="28"/>
      <c r="QTI7" s="28"/>
      <c r="QTJ7" s="28"/>
      <c r="QTK7" s="28"/>
      <c r="QTL7" s="28"/>
      <c r="QTM7" s="28"/>
      <c r="QTN7" s="28"/>
      <c r="QTO7" s="28"/>
      <c r="QTP7" s="28"/>
      <c r="QTQ7" s="28"/>
      <c r="QTR7" s="28"/>
      <c r="QTS7" s="28"/>
      <c r="QTT7" s="28"/>
      <c r="QTU7" s="28"/>
      <c r="QTV7" s="28"/>
      <c r="QTW7" s="28"/>
      <c r="QTX7" s="28"/>
      <c r="QTY7" s="28"/>
      <c r="QTZ7" s="28"/>
      <c r="QUA7" s="28"/>
      <c r="QUB7" s="28"/>
      <c r="QUC7" s="28"/>
      <c r="QUD7" s="28"/>
      <c r="QUE7" s="28"/>
      <c r="QUF7" s="28"/>
      <c r="QUG7" s="28"/>
      <c r="QUH7" s="28"/>
      <c r="QUI7" s="28"/>
      <c r="QUJ7" s="28"/>
      <c r="QUK7" s="28"/>
      <c r="QUL7" s="28"/>
      <c r="QUM7" s="28"/>
      <c r="QUN7" s="28"/>
      <c r="QUO7" s="28"/>
      <c r="QUP7" s="28"/>
      <c r="QUQ7" s="28"/>
      <c r="QUR7" s="28"/>
      <c r="QUS7" s="28"/>
      <c r="QUT7" s="28"/>
      <c r="QUU7" s="28"/>
      <c r="QUV7" s="28"/>
      <c r="QUW7" s="28"/>
      <c r="QUX7" s="28"/>
      <c r="QUY7" s="28"/>
      <c r="QUZ7" s="28"/>
      <c r="QVA7" s="28"/>
      <c r="QVB7" s="28"/>
      <c r="QVC7" s="28"/>
      <c r="QVD7" s="28"/>
      <c r="QVE7" s="28"/>
      <c r="QVF7" s="28"/>
      <c r="QVG7" s="28"/>
      <c r="QVH7" s="28"/>
      <c r="QVI7" s="28"/>
      <c r="QVJ7" s="28"/>
      <c r="QVK7" s="28"/>
      <c r="QVL7" s="28"/>
      <c r="QVM7" s="28"/>
      <c r="QVN7" s="28"/>
      <c r="QVO7" s="28"/>
      <c r="QVP7" s="28"/>
      <c r="QVQ7" s="28"/>
      <c r="QVR7" s="28"/>
      <c r="QVS7" s="28"/>
      <c r="QVT7" s="28"/>
      <c r="QVU7" s="28"/>
      <c r="QVV7" s="28"/>
      <c r="QVW7" s="28"/>
      <c r="QVX7" s="28"/>
      <c r="QVY7" s="28"/>
      <c r="QVZ7" s="28"/>
      <c r="QWA7" s="28"/>
      <c r="QWB7" s="28"/>
      <c r="QWC7" s="28"/>
      <c r="QWD7" s="28"/>
      <c r="QWE7" s="28"/>
      <c r="QWF7" s="28"/>
      <c r="QWG7" s="28"/>
      <c r="QWH7" s="28"/>
      <c r="QWI7" s="28"/>
      <c r="QWJ7" s="28"/>
      <c r="QWK7" s="28"/>
      <c r="QWL7" s="28"/>
      <c r="QWM7" s="28"/>
      <c r="QWN7" s="28"/>
      <c r="QWO7" s="28"/>
      <c r="QWP7" s="28"/>
      <c r="QWQ7" s="28"/>
      <c r="QWR7" s="28"/>
      <c r="QWS7" s="28"/>
      <c r="QWT7" s="28"/>
      <c r="QWU7" s="28"/>
      <c r="QWV7" s="28"/>
      <c r="QWW7" s="28"/>
      <c r="QWX7" s="28"/>
      <c r="QWY7" s="28"/>
      <c r="QWZ7" s="28"/>
      <c r="QXA7" s="28"/>
      <c r="QXB7" s="28"/>
      <c r="QXC7" s="28"/>
      <c r="QXD7" s="28"/>
      <c r="QXE7" s="28"/>
      <c r="QXF7" s="28"/>
      <c r="QXG7" s="28"/>
      <c r="QXH7" s="28"/>
      <c r="QXI7" s="28"/>
      <c r="QXJ7" s="28"/>
      <c r="QXK7" s="28"/>
      <c r="QXL7" s="28"/>
      <c r="QXM7" s="28"/>
      <c r="QXN7" s="28"/>
      <c r="QXO7" s="28"/>
      <c r="QXP7" s="28"/>
      <c r="QXQ7" s="28"/>
      <c r="QXR7" s="28"/>
      <c r="QXS7" s="28"/>
      <c r="QXT7" s="28"/>
      <c r="QXU7" s="28"/>
      <c r="QXV7" s="28"/>
      <c r="QXW7" s="28"/>
      <c r="QXX7" s="28"/>
      <c r="QXY7" s="28"/>
      <c r="QXZ7" s="28"/>
      <c r="QYA7" s="28"/>
      <c r="QYB7" s="28"/>
      <c r="QYC7" s="28"/>
      <c r="QYD7" s="28"/>
      <c r="QYE7" s="28"/>
      <c r="QYF7" s="28"/>
      <c r="QYG7" s="28"/>
      <c r="QYH7" s="28"/>
      <c r="QYI7" s="28"/>
      <c r="QYJ7" s="28"/>
      <c r="QYK7" s="28"/>
      <c r="QYL7" s="28"/>
      <c r="QYM7" s="28"/>
      <c r="QYN7" s="28"/>
      <c r="QYO7" s="28"/>
      <c r="QYP7" s="28"/>
      <c r="QYQ7" s="28"/>
      <c r="QYR7" s="28"/>
      <c r="QYS7" s="28"/>
      <c r="QYT7" s="28"/>
      <c r="QYU7" s="28"/>
      <c r="QYV7" s="28"/>
      <c r="QYW7" s="28"/>
      <c r="QYX7" s="28"/>
      <c r="QYY7" s="28"/>
      <c r="QYZ7" s="28"/>
      <c r="QZA7" s="28"/>
      <c r="QZB7" s="28"/>
      <c r="QZC7" s="28"/>
      <c r="QZD7" s="28"/>
      <c r="QZE7" s="28"/>
      <c r="QZF7" s="28"/>
      <c r="QZG7" s="28"/>
      <c r="QZH7" s="28"/>
      <c r="QZI7" s="28"/>
      <c r="QZJ7" s="28"/>
      <c r="QZK7" s="28"/>
      <c r="QZL7" s="28"/>
      <c r="QZM7" s="28"/>
      <c r="QZN7" s="28"/>
      <c r="QZO7" s="28"/>
      <c r="QZP7" s="28"/>
      <c r="QZQ7" s="28"/>
      <c r="QZR7" s="28"/>
      <c r="QZS7" s="28"/>
      <c r="QZT7" s="28"/>
      <c r="QZU7" s="28"/>
      <c r="QZV7" s="28"/>
      <c r="QZW7" s="28"/>
      <c r="QZX7" s="28"/>
      <c r="QZY7" s="28"/>
      <c r="QZZ7" s="28"/>
      <c r="RAA7" s="28"/>
      <c r="RAB7" s="28"/>
      <c r="RAC7" s="28"/>
      <c r="RAD7" s="28"/>
      <c r="RAE7" s="28"/>
      <c r="RAF7" s="28"/>
      <c r="RAG7" s="28"/>
      <c r="RAH7" s="28"/>
      <c r="RAI7" s="28"/>
      <c r="RAJ7" s="28"/>
      <c r="RAK7" s="28"/>
      <c r="RAL7" s="28"/>
      <c r="RAM7" s="28"/>
      <c r="RAN7" s="28"/>
      <c r="RAO7" s="28"/>
      <c r="RAP7" s="28"/>
      <c r="RAQ7" s="28"/>
      <c r="RAR7" s="28"/>
      <c r="RAS7" s="28"/>
      <c r="RAT7" s="28"/>
      <c r="RAU7" s="28"/>
      <c r="RAV7" s="28"/>
      <c r="RAW7" s="28"/>
      <c r="RAX7" s="28"/>
      <c r="RAY7" s="28"/>
      <c r="RAZ7" s="28"/>
      <c r="RBA7" s="28"/>
      <c r="RBB7" s="28"/>
      <c r="RBC7" s="28"/>
      <c r="RBD7" s="28"/>
      <c r="RBE7" s="28"/>
      <c r="RBF7" s="28"/>
      <c r="RBG7" s="28"/>
      <c r="RBH7" s="28"/>
      <c r="RBI7" s="28"/>
      <c r="RBJ7" s="28"/>
      <c r="RBK7" s="28"/>
      <c r="RBL7" s="28"/>
      <c r="RBM7" s="28"/>
      <c r="RBN7" s="28"/>
      <c r="RBO7" s="28"/>
      <c r="RBP7" s="28"/>
      <c r="RBQ7" s="28"/>
      <c r="RBR7" s="28"/>
      <c r="RBS7" s="28"/>
      <c r="RBT7" s="28"/>
      <c r="RBU7" s="28"/>
      <c r="RBV7" s="28"/>
      <c r="RBW7" s="28"/>
      <c r="RBX7" s="28"/>
      <c r="RBY7" s="28"/>
      <c r="RBZ7" s="28"/>
      <c r="RCA7" s="28"/>
      <c r="RCB7" s="28"/>
      <c r="RCC7" s="28"/>
      <c r="RCD7" s="28"/>
      <c r="RCE7" s="28"/>
      <c r="RCF7" s="28"/>
      <c r="RCG7" s="28"/>
      <c r="RCH7" s="28"/>
      <c r="RCI7" s="28"/>
      <c r="RCJ7" s="28"/>
      <c r="RCK7" s="28"/>
      <c r="RCL7" s="28"/>
      <c r="RCM7" s="28"/>
      <c r="RCN7" s="28"/>
      <c r="RCO7" s="28"/>
      <c r="RCP7" s="28"/>
      <c r="RCQ7" s="28"/>
      <c r="RCR7" s="28"/>
      <c r="RCS7" s="28"/>
      <c r="RCT7" s="28"/>
      <c r="RCU7" s="28"/>
      <c r="RCV7" s="28"/>
      <c r="RCW7" s="28"/>
      <c r="RCX7" s="28"/>
      <c r="RCY7" s="28"/>
      <c r="RCZ7" s="28"/>
      <c r="RDA7" s="28"/>
      <c r="RDB7" s="28"/>
      <c r="RDC7" s="28"/>
      <c r="RDD7" s="28"/>
      <c r="RDE7" s="28"/>
      <c r="RDF7" s="28"/>
      <c r="RDG7" s="28"/>
      <c r="RDH7" s="28"/>
      <c r="RDI7" s="28"/>
      <c r="RDJ7" s="28"/>
      <c r="RDK7" s="28"/>
      <c r="RDL7" s="28"/>
      <c r="RDM7" s="28"/>
      <c r="RDN7" s="28"/>
      <c r="RDO7" s="28"/>
      <c r="RDP7" s="28"/>
      <c r="RDQ7" s="28"/>
      <c r="RDR7" s="28"/>
      <c r="RDS7" s="28"/>
      <c r="RDT7" s="28"/>
      <c r="RDU7" s="28"/>
      <c r="RDV7" s="28"/>
      <c r="RDW7" s="28"/>
      <c r="RDX7" s="28"/>
      <c r="RDY7" s="28"/>
      <c r="RDZ7" s="28"/>
      <c r="REA7" s="28"/>
      <c r="REB7" s="28"/>
      <c r="REC7" s="28"/>
      <c r="RED7" s="28"/>
      <c r="REE7" s="28"/>
      <c r="REF7" s="28"/>
      <c r="REG7" s="28"/>
      <c r="REH7" s="28"/>
      <c r="REI7" s="28"/>
      <c r="REJ7" s="28"/>
      <c r="REK7" s="28"/>
      <c r="REL7" s="28"/>
      <c r="REM7" s="28"/>
      <c r="REN7" s="28"/>
      <c r="REO7" s="28"/>
      <c r="REP7" s="28"/>
      <c r="REQ7" s="28"/>
      <c r="RER7" s="28"/>
      <c r="RES7" s="28"/>
      <c r="RET7" s="28"/>
      <c r="REU7" s="28"/>
      <c r="REV7" s="28"/>
      <c r="REW7" s="28"/>
      <c r="REX7" s="28"/>
      <c r="REY7" s="28"/>
      <c r="REZ7" s="28"/>
      <c r="RFA7" s="28"/>
      <c r="RFB7" s="28"/>
      <c r="RFC7" s="28"/>
      <c r="RFD7" s="28"/>
      <c r="RFE7" s="28"/>
      <c r="RFF7" s="28"/>
      <c r="RFG7" s="28"/>
      <c r="RFH7" s="28"/>
      <c r="RFI7" s="28"/>
      <c r="RFJ7" s="28"/>
      <c r="RFK7" s="28"/>
      <c r="RFL7" s="28"/>
      <c r="RFM7" s="28"/>
      <c r="RFN7" s="28"/>
      <c r="RFO7" s="28"/>
      <c r="RFP7" s="28"/>
      <c r="RFQ7" s="28"/>
      <c r="RFR7" s="28"/>
      <c r="RFS7" s="28"/>
      <c r="RFT7" s="28"/>
      <c r="RFU7" s="28"/>
      <c r="RFV7" s="28"/>
      <c r="RFW7" s="28"/>
      <c r="RFX7" s="28"/>
      <c r="RFY7" s="28"/>
      <c r="RFZ7" s="28"/>
      <c r="RGA7" s="28"/>
      <c r="RGB7" s="28"/>
      <c r="RGC7" s="28"/>
      <c r="RGD7" s="28"/>
      <c r="RGE7" s="28"/>
      <c r="RGF7" s="28"/>
      <c r="RGG7" s="28"/>
      <c r="RGH7" s="28"/>
      <c r="RGI7" s="28"/>
      <c r="RGJ7" s="28"/>
      <c r="RGK7" s="28"/>
      <c r="RGL7" s="28"/>
      <c r="RGM7" s="28"/>
      <c r="RGN7" s="28"/>
      <c r="RGO7" s="28"/>
      <c r="RGP7" s="28"/>
      <c r="RGQ7" s="28"/>
      <c r="RGR7" s="28"/>
      <c r="RGS7" s="28"/>
      <c r="RGT7" s="28"/>
      <c r="RGU7" s="28"/>
      <c r="RGV7" s="28"/>
      <c r="RGW7" s="28"/>
      <c r="RGX7" s="28"/>
      <c r="RGY7" s="28"/>
      <c r="RGZ7" s="28"/>
      <c r="RHA7" s="28"/>
      <c r="RHB7" s="28"/>
      <c r="RHC7" s="28"/>
      <c r="RHD7" s="28"/>
      <c r="RHE7" s="28"/>
      <c r="RHF7" s="28"/>
      <c r="RHG7" s="28"/>
      <c r="RHH7" s="28"/>
      <c r="RHI7" s="28"/>
      <c r="RHJ7" s="28"/>
      <c r="RHK7" s="28"/>
      <c r="RHL7" s="28"/>
      <c r="RHM7" s="28"/>
      <c r="RHN7" s="28"/>
      <c r="RHO7" s="28"/>
      <c r="RHP7" s="28"/>
      <c r="RHQ7" s="28"/>
      <c r="RHR7" s="28"/>
      <c r="RHS7" s="28"/>
      <c r="RHT7" s="28"/>
      <c r="RHU7" s="28"/>
      <c r="RHV7" s="28"/>
      <c r="RHW7" s="28"/>
      <c r="RHX7" s="28"/>
      <c r="RHY7" s="28"/>
      <c r="RHZ7" s="28"/>
      <c r="RIA7" s="28"/>
      <c r="RIB7" s="28"/>
      <c r="RIC7" s="28"/>
      <c r="RID7" s="28"/>
      <c r="RIE7" s="28"/>
      <c r="RIF7" s="28"/>
      <c r="RIG7" s="28"/>
      <c r="RIH7" s="28"/>
      <c r="RII7" s="28"/>
      <c r="RIJ7" s="28"/>
      <c r="RIK7" s="28"/>
      <c r="RIL7" s="28"/>
      <c r="RIM7" s="28"/>
      <c r="RIN7" s="28"/>
      <c r="RIO7" s="28"/>
      <c r="RIP7" s="28"/>
      <c r="RIQ7" s="28"/>
      <c r="RIR7" s="28"/>
      <c r="RIS7" s="28"/>
      <c r="RIT7" s="28"/>
      <c r="RIU7" s="28"/>
      <c r="RIV7" s="28"/>
      <c r="RIW7" s="28"/>
      <c r="RIX7" s="28"/>
      <c r="RIY7" s="28"/>
      <c r="RIZ7" s="28"/>
      <c r="RJA7" s="28"/>
      <c r="RJB7" s="28"/>
      <c r="RJC7" s="28"/>
      <c r="RJD7" s="28"/>
      <c r="RJE7" s="28"/>
      <c r="RJF7" s="28"/>
      <c r="RJG7" s="28"/>
      <c r="RJH7" s="28"/>
      <c r="RJI7" s="28"/>
      <c r="RJJ7" s="28"/>
      <c r="RJK7" s="28"/>
      <c r="RJL7" s="28"/>
      <c r="RJM7" s="28"/>
      <c r="RJN7" s="28"/>
      <c r="RJO7" s="28"/>
      <c r="RJP7" s="28"/>
      <c r="RJQ7" s="28"/>
      <c r="RJR7" s="28"/>
      <c r="RJS7" s="28"/>
      <c r="RJT7" s="28"/>
      <c r="RJU7" s="28"/>
      <c r="RJV7" s="28"/>
      <c r="RJW7" s="28"/>
      <c r="RJX7" s="28"/>
      <c r="RJY7" s="28"/>
      <c r="RJZ7" s="28"/>
      <c r="RKA7" s="28"/>
      <c r="RKB7" s="28"/>
      <c r="RKC7" s="28"/>
      <c r="RKD7" s="28"/>
      <c r="RKE7" s="28"/>
      <c r="RKF7" s="28"/>
      <c r="RKG7" s="28"/>
      <c r="RKH7" s="28"/>
      <c r="RKI7" s="28"/>
      <c r="RKJ7" s="28"/>
      <c r="RKK7" s="28"/>
      <c r="RKL7" s="28"/>
      <c r="RKM7" s="28"/>
      <c r="RKN7" s="28"/>
      <c r="RKO7" s="28"/>
      <c r="RKP7" s="28"/>
      <c r="RKQ7" s="28"/>
      <c r="RKR7" s="28"/>
      <c r="RKS7" s="28"/>
      <c r="RKT7" s="28"/>
      <c r="RKU7" s="28"/>
      <c r="RKV7" s="28"/>
      <c r="RKW7" s="28"/>
      <c r="RKX7" s="28"/>
      <c r="RKY7" s="28"/>
      <c r="RKZ7" s="28"/>
      <c r="RLA7" s="28"/>
      <c r="RLB7" s="28"/>
      <c r="RLC7" s="28"/>
      <c r="RLD7" s="28"/>
      <c r="RLE7" s="28"/>
      <c r="RLF7" s="28"/>
      <c r="RLG7" s="28"/>
      <c r="RLH7" s="28"/>
      <c r="RLI7" s="28"/>
      <c r="RLJ7" s="28"/>
      <c r="RLK7" s="28"/>
      <c r="RLL7" s="28"/>
      <c r="RLM7" s="28"/>
      <c r="RLN7" s="28"/>
      <c r="RLO7" s="28"/>
      <c r="RLP7" s="28"/>
      <c r="RLQ7" s="28"/>
      <c r="RLR7" s="28"/>
      <c r="RLS7" s="28"/>
      <c r="RLT7" s="28"/>
      <c r="RLU7" s="28"/>
      <c r="RLV7" s="28"/>
      <c r="RLW7" s="28"/>
      <c r="RLX7" s="28"/>
      <c r="RLY7" s="28"/>
      <c r="RLZ7" s="28"/>
      <c r="RMA7" s="28"/>
      <c r="RMB7" s="28"/>
      <c r="RMC7" s="28"/>
      <c r="RMD7" s="28"/>
      <c r="RME7" s="28"/>
      <c r="RMF7" s="28"/>
      <c r="RMG7" s="28"/>
      <c r="RMH7" s="28"/>
      <c r="RMI7" s="28"/>
      <c r="RMJ7" s="28"/>
      <c r="RMK7" s="28"/>
      <c r="RML7" s="28"/>
      <c r="RMM7" s="28"/>
      <c r="RMN7" s="28"/>
      <c r="RMO7" s="28"/>
      <c r="RMP7" s="28"/>
      <c r="RMQ7" s="28"/>
      <c r="RMR7" s="28"/>
      <c r="RMS7" s="28"/>
      <c r="RMT7" s="28"/>
      <c r="RMU7" s="28"/>
      <c r="RMV7" s="28"/>
      <c r="RMW7" s="28"/>
      <c r="RMX7" s="28"/>
      <c r="RMY7" s="28"/>
      <c r="RMZ7" s="28"/>
      <c r="RNA7" s="28"/>
      <c r="RNB7" s="28"/>
      <c r="RNC7" s="28"/>
      <c r="RND7" s="28"/>
      <c r="RNE7" s="28"/>
      <c r="RNF7" s="28"/>
      <c r="RNG7" s="28"/>
      <c r="RNH7" s="28"/>
      <c r="RNI7" s="28"/>
      <c r="RNJ7" s="28"/>
      <c r="RNK7" s="28"/>
      <c r="RNL7" s="28"/>
      <c r="RNM7" s="28"/>
      <c r="RNN7" s="28"/>
      <c r="RNO7" s="28"/>
      <c r="RNP7" s="28"/>
      <c r="RNQ7" s="28"/>
      <c r="RNR7" s="28"/>
      <c r="RNS7" s="28"/>
      <c r="RNT7" s="28"/>
      <c r="RNU7" s="28"/>
      <c r="RNV7" s="28"/>
      <c r="RNW7" s="28"/>
      <c r="RNX7" s="28"/>
      <c r="RNY7" s="28"/>
      <c r="RNZ7" s="28"/>
      <c r="ROA7" s="28"/>
      <c r="ROB7" s="28"/>
      <c r="ROC7" s="28"/>
      <c r="ROD7" s="28"/>
      <c r="ROE7" s="28"/>
      <c r="ROF7" s="28"/>
      <c r="ROG7" s="28"/>
      <c r="ROH7" s="28"/>
      <c r="ROI7" s="28"/>
      <c r="ROJ7" s="28"/>
      <c r="ROK7" s="28"/>
      <c r="ROL7" s="28"/>
      <c r="ROM7" s="28"/>
      <c r="RON7" s="28"/>
      <c r="ROO7" s="28"/>
      <c r="ROP7" s="28"/>
      <c r="ROQ7" s="28"/>
      <c r="ROR7" s="28"/>
      <c r="ROS7" s="28"/>
      <c r="ROT7" s="28"/>
      <c r="ROU7" s="28"/>
      <c r="ROV7" s="28"/>
      <c r="ROW7" s="28"/>
      <c r="ROX7" s="28"/>
      <c r="ROY7" s="28"/>
      <c r="ROZ7" s="28"/>
      <c r="RPA7" s="28"/>
      <c r="RPB7" s="28"/>
      <c r="RPC7" s="28"/>
      <c r="RPD7" s="28"/>
      <c r="RPE7" s="28"/>
      <c r="RPF7" s="28"/>
      <c r="RPG7" s="28"/>
      <c r="RPH7" s="28"/>
      <c r="RPI7" s="28"/>
      <c r="RPJ7" s="28"/>
      <c r="RPK7" s="28"/>
      <c r="RPL7" s="28"/>
      <c r="RPM7" s="28"/>
      <c r="RPN7" s="28"/>
      <c r="RPO7" s="28"/>
      <c r="RPP7" s="28"/>
      <c r="RPQ7" s="28"/>
      <c r="RPR7" s="28"/>
      <c r="RPS7" s="28"/>
      <c r="RPT7" s="28"/>
      <c r="RPU7" s="28"/>
      <c r="RPV7" s="28"/>
      <c r="RPW7" s="28"/>
      <c r="RPX7" s="28"/>
      <c r="RPY7" s="28"/>
      <c r="RPZ7" s="28"/>
      <c r="RQA7" s="28"/>
      <c r="RQB7" s="28"/>
      <c r="RQC7" s="28"/>
      <c r="RQD7" s="28"/>
      <c r="RQE7" s="28"/>
      <c r="RQF7" s="28"/>
      <c r="RQG7" s="28"/>
      <c r="RQH7" s="28"/>
      <c r="RQI7" s="28"/>
      <c r="RQJ7" s="28"/>
      <c r="RQK7" s="28"/>
      <c r="RQL7" s="28"/>
      <c r="RQM7" s="28"/>
      <c r="RQN7" s="28"/>
      <c r="RQO7" s="28"/>
      <c r="RQP7" s="28"/>
      <c r="RQQ7" s="28"/>
      <c r="RQR7" s="28"/>
      <c r="RQS7" s="28"/>
      <c r="RQT7" s="28"/>
      <c r="RQU7" s="28"/>
      <c r="RQV7" s="28"/>
      <c r="RQW7" s="28"/>
      <c r="RQX7" s="28"/>
      <c r="RQY7" s="28"/>
      <c r="RQZ7" s="28"/>
      <c r="RRA7" s="28"/>
      <c r="RRB7" s="28"/>
      <c r="RRC7" s="28"/>
      <c r="RRD7" s="28"/>
      <c r="RRE7" s="28"/>
      <c r="RRF7" s="28"/>
      <c r="RRG7" s="28"/>
      <c r="RRH7" s="28"/>
      <c r="RRI7" s="28"/>
      <c r="RRJ7" s="28"/>
      <c r="RRK7" s="28"/>
      <c r="RRL7" s="28"/>
      <c r="RRM7" s="28"/>
      <c r="RRN7" s="28"/>
      <c r="RRO7" s="28"/>
      <c r="RRP7" s="28"/>
      <c r="RRQ7" s="28"/>
      <c r="RRR7" s="28"/>
      <c r="RRS7" s="28"/>
      <c r="RRT7" s="28"/>
      <c r="RRU7" s="28"/>
      <c r="RRV7" s="28"/>
      <c r="RRW7" s="28"/>
      <c r="RRX7" s="28"/>
      <c r="RRY7" s="28"/>
      <c r="RRZ7" s="28"/>
      <c r="RSA7" s="28"/>
      <c r="RSB7" s="28"/>
      <c r="RSC7" s="28"/>
      <c r="RSD7" s="28"/>
      <c r="RSE7" s="28"/>
      <c r="RSF7" s="28"/>
      <c r="RSG7" s="28"/>
      <c r="RSH7" s="28"/>
      <c r="RSI7" s="28"/>
      <c r="RSJ7" s="28"/>
      <c r="RSK7" s="28"/>
      <c r="RSL7" s="28"/>
      <c r="RSM7" s="28"/>
      <c r="RSN7" s="28"/>
      <c r="RSO7" s="28"/>
      <c r="RSP7" s="28"/>
      <c r="RSQ7" s="28"/>
      <c r="RSR7" s="28"/>
      <c r="RSS7" s="28"/>
      <c r="RST7" s="28"/>
      <c r="RSU7" s="28"/>
      <c r="RSV7" s="28"/>
      <c r="RSW7" s="28"/>
      <c r="RSX7" s="28"/>
      <c r="RSY7" s="28"/>
      <c r="RSZ7" s="28"/>
      <c r="RTA7" s="28"/>
      <c r="RTB7" s="28"/>
      <c r="RTC7" s="28"/>
      <c r="RTD7" s="28"/>
      <c r="RTE7" s="28"/>
      <c r="RTF7" s="28"/>
      <c r="RTG7" s="28"/>
      <c r="RTH7" s="28"/>
      <c r="RTI7" s="28"/>
      <c r="RTJ7" s="28"/>
      <c r="RTK7" s="28"/>
      <c r="RTL7" s="28"/>
      <c r="RTM7" s="28"/>
      <c r="RTN7" s="28"/>
      <c r="RTO7" s="28"/>
      <c r="RTP7" s="28"/>
      <c r="RTQ7" s="28"/>
      <c r="RTR7" s="28"/>
      <c r="RTS7" s="28"/>
      <c r="RTT7" s="28"/>
      <c r="RTU7" s="28"/>
      <c r="RTV7" s="28"/>
      <c r="RTW7" s="28"/>
      <c r="RTX7" s="28"/>
      <c r="RTY7" s="28"/>
      <c r="RTZ7" s="28"/>
      <c r="RUA7" s="28"/>
      <c r="RUB7" s="28"/>
      <c r="RUC7" s="28"/>
      <c r="RUD7" s="28"/>
      <c r="RUE7" s="28"/>
      <c r="RUF7" s="28"/>
      <c r="RUG7" s="28"/>
      <c r="RUH7" s="28"/>
      <c r="RUI7" s="28"/>
      <c r="RUJ7" s="28"/>
      <c r="RUK7" s="28"/>
      <c r="RUL7" s="28"/>
      <c r="RUM7" s="28"/>
      <c r="RUN7" s="28"/>
      <c r="RUO7" s="28"/>
      <c r="RUP7" s="28"/>
      <c r="RUQ7" s="28"/>
      <c r="RUR7" s="28"/>
      <c r="RUS7" s="28"/>
      <c r="RUT7" s="28"/>
      <c r="RUU7" s="28"/>
      <c r="RUV7" s="28"/>
      <c r="RUW7" s="28"/>
      <c r="RUX7" s="28"/>
      <c r="RUY7" s="28"/>
      <c r="RUZ7" s="28"/>
      <c r="RVA7" s="28"/>
      <c r="RVB7" s="28"/>
      <c r="RVC7" s="28"/>
      <c r="RVD7" s="28"/>
      <c r="RVE7" s="28"/>
      <c r="RVF7" s="28"/>
      <c r="RVG7" s="28"/>
      <c r="RVH7" s="28"/>
      <c r="RVI7" s="28"/>
      <c r="RVJ7" s="28"/>
      <c r="RVK7" s="28"/>
      <c r="RVL7" s="28"/>
      <c r="RVM7" s="28"/>
      <c r="RVN7" s="28"/>
      <c r="RVO7" s="28"/>
      <c r="RVP7" s="28"/>
      <c r="RVQ7" s="28"/>
      <c r="RVR7" s="28"/>
      <c r="RVS7" s="28"/>
      <c r="RVT7" s="28"/>
      <c r="RVU7" s="28"/>
      <c r="RVV7" s="28"/>
      <c r="RVW7" s="28"/>
      <c r="RVX7" s="28"/>
      <c r="RVY7" s="28"/>
      <c r="RVZ7" s="28"/>
      <c r="RWA7" s="28"/>
      <c r="RWB7" s="28"/>
      <c r="RWC7" s="28"/>
      <c r="RWD7" s="28"/>
      <c r="RWE7" s="28"/>
      <c r="RWF7" s="28"/>
      <c r="RWG7" s="28"/>
      <c r="RWH7" s="28"/>
      <c r="RWI7" s="28"/>
      <c r="RWJ7" s="28"/>
      <c r="RWK7" s="28"/>
      <c r="RWL7" s="28"/>
      <c r="RWM7" s="28"/>
      <c r="RWN7" s="28"/>
      <c r="RWO7" s="28"/>
      <c r="RWP7" s="28"/>
      <c r="RWQ7" s="28"/>
      <c r="RWR7" s="28"/>
      <c r="RWS7" s="28"/>
      <c r="RWT7" s="28"/>
      <c r="RWU7" s="28"/>
      <c r="RWV7" s="28"/>
      <c r="RWW7" s="28"/>
      <c r="RWX7" s="28"/>
      <c r="RWY7" s="28"/>
      <c r="RWZ7" s="28"/>
      <c r="RXA7" s="28"/>
      <c r="RXB7" s="28"/>
      <c r="RXC7" s="28"/>
      <c r="RXD7" s="28"/>
      <c r="RXE7" s="28"/>
      <c r="RXF7" s="28"/>
      <c r="RXG7" s="28"/>
      <c r="RXH7" s="28"/>
      <c r="RXI7" s="28"/>
      <c r="RXJ7" s="28"/>
      <c r="RXK7" s="28"/>
      <c r="RXL7" s="28"/>
      <c r="RXM7" s="28"/>
      <c r="RXN7" s="28"/>
      <c r="RXO7" s="28"/>
      <c r="RXP7" s="28"/>
      <c r="RXQ7" s="28"/>
      <c r="RXR7" s="28"/>
      <c r="RXS7" s="28"/>
      <c r="RXT7" s="28"/>
      <c r="RXU7" s="28"/>
      <c r="RXV7" s="28"/>
      <c r="RXW7" s="28"/>
      <c r="RXX7" s="28"/>
      <c r="RXY7" s="28"/>
      <c r="RXZ7" s="28"/>
      <c r="RYA7" s="28"/>
      <c r="RYB7" s="28"/>
      <c r="RYC7" s="28"/>
      <c r="RYD7" s="28"/>
      <c r="RYE7" s="28"/>
      <c r="RYF7" s="28"/>
      <c r="RYG7" s="28"/>
      <c r="RYH7" s="28"/>
      <c r="RYI7" s="28"/>
      <c r="RYJ7" s="28"/>
      <c r="RYK7" s="28"/>
      <c r="RYL7" s="28"/>
      <c r="RYM7" s="28"/>
      <c r="RYN7" s="28"/>
      <c r="RYO7" s="28"/>
      <c r="RYP7" s="28"/>
      <c r="RYQ7" s="28"/>
      <c r="RYR7" s="28"/>
      <c r="RYS7" s="28"/>
      <c r="RYT7" s="28"/>
      <c r="RYU7" s="28"/>
      <c r="RYV7" s="28"/>
      <c r="RYW7" s="28"/>
      <c r="RYX7" s="28"/>
      <c r="RYY7" s="28"/>
      <c r="RYZ7" s="28"/>
      <c r="RZA7" s="28"/>
      <c r="RZB7" s="28"/>
      <c r="RZC7" s="28"/>
      <c r="RZD7" s="28"/>
      <c r="RZE7" s="28"/>
      <c r="RZF7" s="28"/>
      <c r="RZG7" s="28"/>
      <c r="RZH7" s="28"/>
      <c r="RZI7" s="28"/>
      <c r="RZJ7" s="28"/>
      <c r="RZK7" s="28"/>
      <c r="RZL7" s="28"/>
      <c r="RZM7" s="28"/>
      <c r="RZN7" s="28"/>
      <c r="RZO7" s="28"/>
      <c r="RZP7" s="28"/>
      <c r="RZQ7" s="28"/>
      <c r="RZR7" s="28"/>
      <c r="RZS7" s="28"/>
      <c r="RZT7" s="28"/>
      <c r="RZU7" s="28"/>
      <c r="RZV7" s="28"/>
      <c r="RZW7" s="28"/>
      <c r="RZX7" s="28"/>
      <c r="RZY7" s="28"/>
      <c r="RZZ7" s="28"/>
      <c r="SAA7" s="28"/>
      <c r="SAB7" s="28"/>
      <c r="SAC7" s="28"/>
      <c r="SAD7" s="28"/>
      <c r="SAE7" s="28"/>
      <c r="SAF7" s="28"/>
      <c r="SAG7" s="28"/>
      <c r="SAH7" s="28"/>
      <c r="SAI7" s="28"/>
      <c r="SAJ7" s="28"/>
      <c r="SAK7" s="28"/>
      <c r="SAL7" s="28"/>
      <c r="SAM7" s="28"/>
      <c r="SAN7" s="28"/>
      <c r="SAO7" s="28"/>
      <c r="SAP7" s="28"/>
      <c r="SAQ7" s="28"/>
      <c r="SAR7" s="28"/>
      <c r="SAS7" s="28"/>
      <c r="SAT7" s="28"/>
      <c r="SAU7" s="28"/>
      <c r="SAV7" s="28"/>
      <c r="SAW7" s="28"/>
      <c r="SAX7" s="28"/>
      <c r="SAY7" s="28"/>
      <c r="SAZ7" s="28"/>
      <c r="SBA7" s="28"/>
      <c r="SBB7" s="28"/>
      <c r="SBC7" s="28"/>
      <c r="SBD7" s="28"/>
      <c r="SBE7" s="28"/>
      <c r="SBF7" s="28"/>
      <c r="SBG7" s="28"/>
      <c r="SBH7" s="28"/>
      <c r="SBI7" s="28"/>
      <c r="SBJ7" s="28"/>
      <c r="SBK7" s="28"/>
      <c r="SBL7" s="28"/>
      <c r="SBM7" s="28"/>
      <c r="SBN7" s="28"/>
      <c r="SBO7" s="28"/>
      <c r="SBP7" s="28"/>
      <c r="SBQ7" s="28"/>
      <c r="SBR7" s="28"/>
      <c r="SBS7" s="28"/>
      <c r="SBT7" s="28"/>
      <c r="SBU7" s="28"/>
      <c r="SBV7" s="28"/>
      <c r="SBW7" s="28"/>
      <c r="SBX7" s="28"/>
      <c r="SBY7" s="28"/>
      <c r="SBZ7" s="28"/>
      <c r="SCA7" s="28"/>
      <c r="SCB7" s="28"/>
      <c r="SCC7" s="28"/>
      <c r="SCD7" s="28"/>
      <c r="SCE7" s="28"/>
      <c r="SCF7" s="28"/>
      <c r="SCG7" s="28"/>
      <c r="SCH7" s="28"/>
      <c r="SCI7" s="28"/>
      <c r="SCJ7" s="28"/>
      <c r="SCK7" s="28"/>
      <c r="SCL7" s="28"/>
      <c r="SCM7" s="28"/>
      <c r="SCN7" s="28"/>
      <c r="SCO7" s="28"/>
      <c r="SCP7" s="28"/>
      <c r="SCQ7" s="28"/>
      <c r="SCR7" s="28"/>
      <c r="SCS7" s="28"/>
      <c r="SCT7" s="28"/>
      <c r="SCU7" s="28"/>
      <c r="SCV7" s="28"/>
      <c r="SCW7" s="28"/>
      <c r="SCX7" s="28"/>
      <c r="SCY7" s="28"/>
      <c r="SCZ7" s="28"/>
      <c r="SDA7" s="28"/>
      <c r="SDB7" s="28"/>
      <c r="SDC7" s="28"/>
      <c r="SDD7" s="28"/>
      <c r="SDE7" s="28"/>
      <c r="SDF7" s="28"/>
      <c r="SDG7" s="28"/>
      <c r="SDH7" s="28"/>
      <c r="SDI7" s="28"/>
      <c r="SDJ7" s="28"/>
      <c r="SDK7" s="28"/>
      <c r="SDL7" s="28"/>
      <c r="SDM7" s="28"/>
      <c r="SDN7" s="28"/>
      <c r="SDO7" s="28"/>
      <c r="SDP7" s="28"/>
      <c r="SDQ7" s="28"/>
      <c r="SDR7" s="28"/>
      <c r="SDS7" s="28"/>
      <c r="SDT7" s="28"/>
      <c r="SDU7" s="28"/>
      <c r="SDV7" s="28"/>
      <c r="SDW7" s="28"/>
      <c r="SDX7" s="28"/>
      <c r="SDY7" s="28"/>
      <c r="SDZ7" s="28"/>
      <c r="SEA7" s="28"/>
      <c r="SEB7" s="28"/>
      <c r="SEC7" s="28"/>
      <c r="SED7" s="28"/>
      <c r="SEE7" s="28"/>
      <c r="SEF7" s="28"/>
      <c r="SEG7" s="28"/>
      <c r="SEH7" s="28"/>
      <c r="SEI7" s="28"/>
      <c r="SEJ7" s="28"/>
      <c r="SEK7" s="28"/>
      <c r="SEL7" s="28"/>
      <c r="SEM7" s="28"/>
      <c r="SEN7" s="28"/>
      <c r="SEO7" s="28"/>
      <c r="SEP7" s="28"/>
      <c r="SEQ7" s="28"/>
      <c r="SER7" s="28"/>
      <c r="SES7" s="28"/>
      <c r="SET7" s="28"/>
      <c r="SEU7" s="28"/>
      <c r="SEV7" s="28"/>
      <c r="SEW7" s="28"/>
      <c r="SEX7" s="28"/>
      <c r="SEY7" s="28"/>
      <c r="SEZ7" s="28"/>
      <c r="SFA7" s="28"/>
      <c r="SFB7" s="28"/>
      <c r="SFC7" s="28"/>
      <c r="SFD7" s="28"/>
      <c r="SFE7" s="28"/>
      <c r="SFF7" s="28"/>
      <c r="SFG7" s="28"/>
      <c r="SFH7" s="28"/>
      <c r="SFI7" s="28"/>
      <c r="SFJ7" s="28"/>
      <c r="SFK7" s="28"/>
      <c r="SFL7" s="28"/>
      <c r="SFM7" s="28"/>
      <c r="SFN7" s="28"/>
      <c r="SFO7" s="28"/>
      <c r="SFP7" s="28"/>
      <c r="SFQ7" s="28"/>
      <c r="SFR7" s="28"/>
      <c r="SFS7" s="28"/>
      <c r="SFT7" s="28"/>
      <c r="SFU7" s="28"/>
      <c r="SFV7" s="28"/>
      <c r="SFW7" s="28"/>
      <c r="SFX7" s="28"/>
      <c r="SFY7" s="28"/>
      <c r="SFZ7" s="28"/>
      <c r="SGA7" s="28"/>
      <c r="SGB7" s="28"/>
      <c r="SGC7" s="28"/>
      <c r="SGD7" s="28"/>
      <c r="SGE7" s="28"/>
      <c r="SGF7" s="28"/>
      <c r="SGG7" s="28"/>
      <c r="SGH7" s="28"/>
      <c r="SGI7" s="28"/>
      <c r="SGJ7" s="28"/>
      <c r="SGK7" s="28"/>
      <c r="SGL7" s="28"/>
      <c r="SGM7" s="28"/>
      <c r="SGN7" s="28"/>
      <c r="SGO7" s="28"/>
      <c r="SGP7" s="28"/>
      <c r="SGQ7" s="28"/>
      <c r="SGR7" s="28"/>
      <c r="SGS7" s="28"/>
      <c r="SGT7" s="28"/>
      <c r="SGU7" s="28"/>
      <c r="SGV7" s="28"/>
      <c r="SGW7" s="28"/>
      <c r="SGX7" s="28"/>
      <c r="SGY7" s="28"/>
      <c r="SGZ7" s="28"/>
      <c r="SHA7" s="28"/>
      <c r="SHB7" s="28"/>
      <c r="SHC7" s="28"/>
      <c r="SHD7" s="28"/>
      <c r="SHE7" s="28"/>
      <c r="SHF7" s="28"/>
      <c r="SHG7" s="28"/>
      <c r="SHH7" s="28"/>
      <c r="SHI7" s="28"/>
      <c r="SHJ7" s="28"/>
      <c r="SHK7" s="28"/>
      <c r="SHL7" s="28"/>
      <c r="SHM7" s="28"/>
      <c r="SHN7" s="28"/>
      <c r="SHO7" s="28"/>
      <c r="SHP7" s="28"/>
      <c r="SHQ7" s="28"/>
      <c r="SHR7" s="28"/>
      <c r="SHS7" s="28"/>
      <c r="SHT7" s="28"/>
      <c r="SHU7" s="28"/>
      <c r="SHV7" s="28"/>
      <c r="SHW7" s="28"/>
      <c r="SHX7" s="28"/>
      <c r="SHY7" s="28"/>
      <c r="SHZ7" s="28"/>
      <c r="SIA7" s="28"/>
      <c r="SIB7" s="28"/>
      <c r="SIC7" s="28"/>
      <c r="SID7" s="28"/>
      <c r="SIE7" s="28"/>
      <c r="SIF7" s="28"/>
      <c r="SIG7" s="28"/>
      <c r="SIH7" s="28"/>
      <c r="SII7" s="28"/>
      <c r="SIJ7" s="28"/>
      <c r="SIK7" s="28"/>
      <c r="SIL7" s="28"/>
      <c r="SIM7" s="28"/>
      <c r="SIN7" s="28"/>
      <c r="SIO7" s="28"/>
      <c r="SIP7" s="28"/>
      <c r="SIQ7" s="28"/>
      <c r="SIR7" s="28"/>
      <c r="SIS7" s="28"/>
      <c r="SIT7" s="28"/>
      <c r="SIU7" s="28"/>
      <c r="SIV7" s="28"/>
      <c r="SIW7" s="28"/>
      <c r="SIX7" s="28"/>
      <c r="SIY7" s="28"/>
      <c r="SIZ7" s="28"/>
      <c r="SJA7" s="28"/>
      <c r="SJB7" s="28"/>
      <c r="SJC7" s="28"/>
      <c r="SJD7" s="28"/>
      <c r="SJE7" s="28"/>
      <c r="SJF7" s="28"/>
      <c r="SJG7" s="28"/>
      <c r="SJH7" s="28"/>
      <c r="SJI7" s="28"/>
      <c r="SJJ7" s="28"/>
      <c r="SJK7" s="28"/>
      <c r="SJL7" s="28"/>
      <c r="SJM7" s="28"/>
      <c r="SJN7" s="28"/>
      <c r="SJO7" s="28"/>
      <c r="SJP7" s="28"/>
      <c r="SJQ7" s="28"/>
      <c r="SJR7" s="28"/>
      <c r="SJS7" s="28"/>
      <c r="SJT7" s="28"/>
      <c r="SJU7" s="28"/>
      <c r="SJV7" s="28"/>
      <c r="SJW7" s="28"/>
      <c r="SJX7" s="28"/>
      <c r="SJY7" s="28"/>
      <c r="SJZ7" s="28"/>
      <c r="SKA7" s="28"/>
      <c r="SKB7" s="28"/>
      <c r="SKC7" s="28"/>
      <c r="SKD7" s="28"/>
      <c r="SKE7" s="28"/>
      <c r="SKF7" s="28"/>
      <c r="SKG7" s="28"/>
      <c r="SKH7" s="28"/>
      <c r="SKI7" s="28"/>
      <c r="SKJ7" s="28"/>
      <c r="SKK7" s="28"/>
      <c r="SKL7" s="28"/>
      <c r="SKM7" s="28"/>
      <c r="SKN7" s="28"/>
      <c r="SKO7" s="28"/>
      <c r="SKP7" s="28"/>
      <c r="SKQ7" s="28"/>
      <c r="SKR7" s="28"/>
      <c r="SKS7" s="28"/>
      <c r="SKT7" s="28"/>
      <c r="SKU7" s="28"/>
      <c r="SKV7" s="28"/>
      <c r="SKW7" s="28"/>
      <c r="SKX7" s="28"/>
      <c r="SKY7" s="28"/>
      <c r="SKZ7" s="28"/>
      <c r="SLA7" s="28"/>
      <c r="SLB7" s="28"/>
      <c r="SLC7" s="28"/>
      <c r="SLD7" s="28"/>
      <c r="SLE7" s="28"/>
      <c r="SLF7" s="28"/>
      <c r="SLG7" s="28"/>
      <c r="SLH7" s="28"/>
      <c r="SLI7" s="28"/>
      <c r="SLJ7" s="28"/>
      <c r="SLK7" s="28"/>
      <c r="SLL7" s="28"/>
      <c r="SLM7" s="28"/>
      <c r="SLN7" s="28"/>
      <c r="SLO7" s="28"/>
      <c r="SLP7" s="28"/>
      <c r="SLQ7" s="28"/>
      <c r="SLR7" s="28"/>
      <c r="SLS7" s="28"/>
      <c r="SLT7" s="28"/>
      <c r="SLU7" s="28"/>
      <c r="SLV7" s="28"/>
      <c r="SLW7" s="28"/>
      <c r="SLX7" s="28"/>
      <c r="SLY7" s="28"/>
      <c r="SLZ7" s="28"/>
      <c r="SMA7" s="28"/>
      <c r="SMB7" s="28"/>
      <c r="SMC7" s="28"/>
      <c r="SMD7" s="28"/>
      <c r="SME7" s="28"/>
      <c r="SMF7" s="28"/>
      <c r="SMG7" s="28"/>
      <c r="SMH7" s="28"/>
      <c r="SMI7" s="28"/>
      <c r="SMJ7" s="28"/>
      <c r="SMK7" s="28"/>
      <c r="SML7" s="28"/>
      <c r="SMM7" s="28"/>
      <c r="SMN7" s="28"/>
      <c r="SMO7" s="28"/>
      <c r="SMP7" s="28"/>
      <c r="SMQ7" s="28"/>
      <c r="SMR7" s="28"/>
      <c r="SMS7" s="28"/>
      <c r="SMT7" s="28"/>
      <c r="SMU7" s="28"/>
      <c r="SMV7" s="28"/>
      <c r="SMW7" s="28"/>
      <c r="SMX7" s="28"/>
      <c r="SMY7" s="28"/>
      <c r="SMZ7" s="28"/>
      <c r="SNA7" s="28"/>
      <c r="SNB7" s="28"/>
      <c r="SNC7" s="28"/>
      <c r="SND7" s="28"/>
      <c r="SNE7" s="28"/>
      <c r="SNF7" s="28"/>
      <c r="SNG7" s="28"/>
      <c r="SNH7" s="28"/>
      <c r="SNI7" s="28"/>
      <c r="SNJ7" s="28"/>
      <c r="SNK7" s="28"/>
      <c r="SNL7" s="28"/>
      <c r="SNM7" s="28"/>
      <c r="SNN7" s="28"/>
      <c r="SNO7" s="28"/>
      <c r="SNP7" s="28"/>
      <c r="SNQ7" s="28"/>
      <c r="SNR7" s="28"/>
      <c r="SNS7" s="28"/>
      <c r="SNT7" s="28"/>
      <c r="SNU7" s="28"/>
      <c r="SNV7" s="28"/>
      <c r="SNW7" s="28"/>
      <c r="SNX7" s="28"/>
      <c r="SNY7" s="28"/>
      <c r="SNZ7" s="28"/>
      <c r="SOA7" s="28"/>
      <c r="SOB7" s="28"/>
      <c r="SOC7" s="28"/>
      <c r="SOD7" s="28"/>
      <c r="SOE7" s="28"/>
      <c r="SOF7" s="28"/>
      <c r="SOG7" s="28"/>
      <c r="SOH7" s="28"/>
      <c r="SOI7" s="28"/>
      <c r="SOJ7" s="28"/>
      <c r="SOK7" s="28"/>
      <c r="SOL7" s="28"/>
      <c r="SOM7" s="28"/>
      <c r="SON7" s="28"/>
      <c r="SOO7" s="28"/>
      <c r="SOP7" s="28"/>
      <c r="SOQ7" s="28"/>
      <c r="SOR7" s="28"/>
      <c r="SOS7" s="28"/>
      <c r="SOT7" s="28"/>
      <c r="SOU7" s="28"/>
      <c r="SOV7" s="28"/>
      <c r="SOW7" s="28"/>
      <c r="SOX7" s="28"/>
      <c r="SOY7" s="28"/>
      <c r="SOZ7" s="28"/>
      <c r="SPA7" s="28"/>
      <c r="SPB7" s="28"/>
      <c r="SPC7" s="28"/>
      <c r="SPD7" s="28"/>
      <c r="SPE7" s="28"/>
      <c r="SPF7" s="28"/>
      <c r="SPG7" s="28"/>
      <c r="SPH7" s="28"/>
      <c r="SPI7" s="28"/>
      <c r="SPJ7" s="28"/>
      <c r="SPK7" s="28"/>
      <c r="SPL7" s="28"/>
      <c r="SPM7" s="28"/>
      <c r="SPN7" s="28"/>
      <c r="SPO7" s="28"/>
      <c r="SPP7" s="28"/>
      <c r="SPQ7" s="28"/>
      <c r="SPR7" s="28"/>
      <c r="SPS7" s="28"/>
      <c r="SPT7" s="28"/>
      <c r="SPU7" s="28"/>
      <c r="SPV7" s="28"/>
      <c r="SPW7" s="28"/>
      <c r="SPX7" s="28"/>
      <c r="SPY7" s="28"/>
      <c r="SPZ7" s="28"/>
      <c r="SQA7" s="28"/>
      <c r="SQB7" s="28"/>
      <c r="SQC7" s="28"/>
      <c r="SQD7" s="28"/>
      <c r="SQE7" s="28"/>
      <c r="SQF7" s="28"/>
      <c r="SQG7" s="28"/>
      <c r="SQH7" s="28"/>
      <c r="SQI7" s="28"/>
      <c r="SQJ7" s="28"/>
      <c r="SQK7" s="28"/>
      <c r="SQL7" s="28"/>
      <c r="SQM7" s="28"/>
      <c r="SQN7" s="28"/>
      <c r="SQO7" s="28"/>
      <c r="SQP7" s="28"/>
      <c r="SQQ7" s="28"/>
      <c r="SQR7" s="28"/>
      <c r="SQS7" s="28"/>
      <c r="SQT7" s="28"/>
      <c r="SQU7" s="28"/>
      <c r="SQV7" s="28"/>
      <c r="SQW7" s="28"/>
      <c r="SQX7" s="28"/>
      <c r="SQY7" s="28"/>
      <c r="SQZ7" s="28"/>
      <c r="SRA7" s="28"/>
      <c r="SRB7" s="28"/>
      <c r="SRC7" s="28"/>
      <c r="SRD7" s="28"/>
      <c r="SRE7" s="28"/>
      <c r="SRF7" s="28"/>
      <c r="SRG7" s="28"/>
      <c r="SRH7" s="28"/>
      <c r="SRI7" s="28"/>
      <c r="SRJ7" s="28"/>
      <c r="SRK7" s="28"/>
      <c r="SRL7" s="28"/>
      <c r="SRM7" s="28"/>
      <c r="SRN7" s="28"/>
      <c r="SRO7" s="28"/>
      <c r="SRP7" s="28"/>
      <c r="SRQ7" s="28"/>
      <c r="SRR7" s="28"/>
      <c r="SRS7" s="28"/>
      <c r="SRT7" s="28"/>
      <c r="SRU7" s="28"/>
      <c r="SRV7" s="28"/>
      <c r="SRW7" s="28"/>
      <c r="SRX7" s="28"/>
      <c r="SRY7" s="28"/>
      <c r="SRZ7" s="28"/>
      <c r="SSA7" s="28"/>
      <c r="SSB7" s="28"/>
      <c r="SSC7" s="28"/>
      <c r="SSD7" s="28"/>
      <c r="SSE7" s="28"/>
      <c r="SSF7" s="28"/>
      <c r="SSG7" s="28"/>
      <c r="SSH7" s="28"/>
      <c r="SSI7" s="28"/>
      <c r="SSJ7" s="28"/>
      <c r="SSK7" s="28"/>
      <c r="SSL7" s="28"/>
      <c r="SSM7" s="28"/>
      <c r="SSN7" s="28"/>
      <c r="SSO7" s="28"/>
      <c r="SSP7" s="28"/>
      <c r="SSQ7" s="28"/>
      <c r="SSR7" s="28"/>
      <c r="SSS7" s="28"/>
      <c r="SST7" s="28"/>
      <c r="SSU7" s="28"/>
      <c r="SSV7" s="28"/>
      <c r="SSW7" s="28"/>
      <c r="SSX7" s="28"/>
      <c r="SSY7" s="28"/>
      <c r="SSZ7" s="28"/>
      <c r="STA7" s="28"/>
      <c r="STB7" s="28"/>
      <c r="STC7" s="28"/>
      <c r="STD7" s="28"/>
      <c r="STE7" s="28"/>
      <c r="STF7" s="28"/>
      <c r="STG7" s="28"/>
      <c r="STH7" s="28"/>
      <c r="STI7" s="28"/>
      <c r="STJ7" s="28"/>
      <c r="STK7" s="28"/>
      <c r="STL7" s="28"/>
      <c r="STM7" s="28"/>
      <c r="STN7" s="28"/>
      <c r="STO7" s="28"/>
      <c r="STP7" s="28"/>
      <c r="STQ7" s="28"/>
      <c r="STR7" s="28"/>
      <c r="STS7" s="28"/>
      <c r="STT7" s="28"/>
      <c r="STU7" s="28"/>
      <c r="STV7" s="28"/>
      <c r="STW7" s="28"/>
      <c r="STX7" s="28"/>
      <c r="STY7" s="28"/>
      <c r="STZ7" s="28"/>
      <c r="SUA7" s="28"/>
      <c r="SUB7" s="28"/>
      <c r="SUC7" s="28"/>
      <c r="SUD7" s="28"/>
      <c r="SUE7" s="28"/>
      <c r="SUF7" s="28"/>
      <c r="SUG7" s="28"/>
      <c r="SUH7" s="28"/>
      <c r="SUI7" s="28"/>
      <c r="SUJ7" s="28"/>
      <c r="SUK7" s="28"/>
      <c r="SUL7" s="28"/>
      <c r="SUM7" s="28"/>
      <c r="SUN7" s="28"/>
      <c r="SUO7" s="28"/>
      <c r="SUP7" s="28"/>
      <c r="SUQ7" s="28"/>
      <c r="SUR7" s="28"/>
      <c r="SUS7" s="28"/>
      <c r="SUT7" s="28"/>
      <c r="SUU7" s="28"/>
      <c r="SUV7" s="28"/>
      <c r="SUW7" s="28"/>
      <c r="SUX7" s="28"/>
      <c r="SUY7" s="28"/>
      <c r="SUZ7" s="28"/>
      <c r="SVA7" s="28"/>
      <c r="SVB7" s="28"/>
      <c r="SVC7" s="28"/>
      <c r="SVD7" s="28"/>
      <c r="SVE7" s="28"/>
      <c r="SVF7" s="28"/>
      <c r="SVG7" s="28"/>
      <c r="SVH7" s="28"/>
      <c r="SVI7" s="28"/>
      <c r="SVJ7" s="28"/>
      <c r="SVK7" s="28"/>
      <c r="SVL7" s="28"/>
      <c r="SVM7" s="28"/>
      <c r="SVN7" s="28"/>
      <c r="SVO7" s="28"/>
      <c r="SVP7" s="28"/>
      <c r="SVQ7" s="28"/>
      <c r="SVR7" s="28"/>
      <c r="SVS7" s="28"/>
      <c r="SVT7" s="28"/>
      <c r="SVU7" s="28"/>
      <c r="SVV7" s="28"/>
      <c r="SVW7" s="28"/>
      <c r="SVX7" s="28"/>
      <c r="SVY7" s="28"/>
      <c r="SVZ7" s="28"/>
      <c r="SWA7" s="28"/>
      <c r="SWB7" s="28"/>
      <c r="SWC7" s="28"/>
      <c r="SWD7" s="28"/>
      <c r="SWE7" s="28"/>
      <c r="SWF7" s="28"/>
      <c r="SWG7" s="28"/>
      <c r="SWH7" s="28"/>
      <c r="SWI7" s="28"/>
      <c r="SWJ7" s="28"/>
      <c r="SWK7" s="28"/>
      <c r="SWL7" s="28"/>
      <c r="SWM7" s="28"/>
      <c r="SWN7" s="28"/>
      <c r="SWO7" s="28"/>
      <c r="SWP7" s="28"/>
      <c r="SWQ7" s="28"/>
      <c r="SWR7" s="28"/>
      <c r="SWS7" s="28"/>
      <c r="SWT7" s="28"/>
      <c r="SWU7" s="28"/>
      <c r="SWV7" s="28"/>
      <c r="SWW7" s="28"/>
      <c r="SWX7" s="28"/>
      <c r="SWY7" s="28"/>
      <c r="SWZ7" s="28"/>
      <c r="SXA7" s="28"/>
      <c r="SXB7" s="28"/>
      <c r="SXC7" s="28"/>
      <c r="SXD7" s="28"/>
      <c r="SXE7" s="28"/>
      <c r="SXF7" s="28"/>
      <c r="SXG7" s="28"/>
      <c r="SXH7" s="28"/>
      <c r="SXI7" s="28"/>
      <c r="SXJ7" s="28"/>
      <c r="SXK7" s="28"/>
      <c r="SXL7" s="28"/>
      <c r="SXM7" s="28"/>
      <c r="SXN7" s="28"/>
      <c r="SXO7" s="28"/>
      <c r="SXP7" s="28"/>
      <c r="SXQ7" s="28"/>
      <c r="SXR7" s="28"/>
      <c r="SXS7" s="28"/>
      <c r="SXT7" s="28"/>
      <c r="SXU7" s="28"/>
      <c r="SXV7" s="28"/>
      <c r="SXW7" s="28"/>
      <c r="SXX7" s="28"/>
      <c r="SXY7" s="28"/>
      <c r="SXZ7" s="28"/>
      <c r="SYA7" s="28"/>
      <c r="SYB7" s="28"/>
      <c r="SYC7" s="28"/>
      <c r="SYD7" s="28"/>
      <c r="SYE7" s="28"/>
      <c r="SYF7" s="28"/>
      <c r="SYG7" s="28"/>
      <c r="SYH7" s="28"/>
      <c r="SYI7" s="28"/>
      <c r="SYJ7" s="28"/>
      <c r="SYK7" s="28"/>
      <c r="SYL7" s="28"/>
      <c r="SYM7" s="28"/>
      <c r="SYN7" s="28"/>
      <c r="SYO7" s="28"/>
      <c r="SYP7" s="28"/>
      <c r="SYQ7" s="28"/>
      <c r="SYR7" s="28"/>
      <c r="SYS7" s="28"/>
      <c r="SYT7" s="28"/>
      <c r="SYU7" s="28"/>
      <c r="SYV7" s="28"/>
      <c r="SYW7" s="28"/>
      <c r="SYX7" s="28"/>
      <c r="SYY7" s="28"/>
      <c r="SYZ7" s="28"/>
      <c r="SZA7" s="28"/>
      <c r="SZB7" s="28"/>
      <c r="SZC7" s="28"/>
      <c r="SZD7" s="28"/>
      <c r="SZE7" s="28"/>
      <c r="SZF7" s="28"/>
      <c r="SZG7" s="28"/>
      <c r="SZH7" s="28"/>
      <c r="SZI7" s="28"/>
      <c r="SZJ7" s="28"/>
      <c r="SZK7" s="28"/>
      <c r="SZL7" s="28"/>
      <c r="SZM7" s="28"/>
      <c r="SZN7" s="28"/>
      <c r="SZO7" s="28"/>
      <c r="SZP7" s="28"/>
      <c r="SZQ7" s="28"/>
      <c r="SZR7" s="28"/>
      <c r="SZS7" s="28"/>
      <c r="SZT7" s="28"/>
      <c r="SZU7" s="28"/>
      <c r="SZV7" s="28"/>
      <c r="SZW7" s="28"/>
      <c r="SZX7" s="28"/>
      <c r="SZY7" s="28"/>
      <c r="SZZ7" s="28"/>
      <c r="TAA7" s="28"/>
      <c r="TAB7" s="28"/>
      <c r="TAC7" s="28"/>
      <c r="TAD7" s="28"/>
      <c r="TAE7" s="28"/>
      <c r="TAF7" s="28"/>
      <c r="TAG7" s="28"/>
      <c r="TAH7" s="28"/>
      <c r="TAI7" s="28"/>
      <c r="TAJ7" s="28"/>
      <c r="TAK7" s="28"/>
      <c r="TAL7" s="28"/>
      <c r="TAM7" s="28"/>
      <c r="TAN7" s="28"/>
      <c r="TAO7" s="28"/>
      <c r="TAP7" s="28"/>
      <c r="TAQ7" s="28"/>
      <c r="TAR7" s="28"/>
      <c r="TAS7" s="28"/>
      <c r="TAT7" s="28"/>
      <c r="TAU7" s="28"/>
      <c r="TAV7" s="28"/>
      <c r="TAW7" s="28"/>
      <c r="TAX7" s="28"/>
      <c r="TAY7" s="28"/>
      <c r="TAZ7" s="28"/>
      <c r="TBA7" s="28"/>
      <c r="TBB7" s="28"/>
      <c r="TBC7" s="28"/>
      <c r="TBD7" s="28"/>
      <c r="TBE7" s="28"/>
      <c r="TBF7" s="28"/>
      <c r="TBG7" s="28"/>
      <c r="TBH7" s="28"/>
      <c r="TBI7" s="28"/>
      <c r="TBJ7" s="28"/>
      <c r="TBK7" s="28"/>
      <c r="TBL7" s="28"/>
      <c r="TBM7" s="28"/>
      <c r="TBN7" s="28"/>
      <c r="TBO7" s="28"/>
      <c r="TBP7" s="28"/>
      <c r="TBQ7" s="28"/>
      <c r="TBR7" s="28"/>
      <c r="TBS7" s="28"/>
      <c r="TBT7" s="28"/>
      <c r="TBU7" s="28"/>
      <c r="TBV7" s="28"/>
      <c r="TBW7" s="28"/>
      <c r="TBX7" s="28"/>
      <c r="TBY7" s="28"/>
      <c r="TBZ7" s="28"/>
      <c r="TCA7" s="28"/>
      <c r="TCB7" s="28"/>
      <c r="TCC7" s="28"/>
      <c r="TCD7" s="28"/>
      <c r="TCE7" s="28"/>
      <c r="TCF7" s="28"/>
      <c r="TCG7" s="28"/>
      <c r="TCH7" s="28"/>
      <c r="TCI7" s="28"/>
      <c r="TCJ7" s="28"/>
      <c r="TCK7" s="28"/>
      <c r="TCL7" s="28"/>
      <c r="TCM7" s="28"/>
      <c r="TCN7" s="28"/>
      <c r="TCO7" s="28"/>
      <c r="TCP7" s="28"/>
      <c r="TCQ7" s="28"/>
      <c r="TCR7" s="28"/>
      <c r="TCS7" s="28"/>
      <c r="TCT7" s="28"/>
      <c r="TCU7" s="28"/>
      <c r="TCV7" s="28"/>
      <c r="TCW7" s="28"/>
      <c r="TCX7" s="28"/>
      <c r="TCY7" s="28"/>
      <c r="TCZ7" s="28"/>
      <c r="TDA7" s="28"/>
      <c r="TDB7" s="28"/>
      <c r="TDC7" s="28"/>
      <c r="TDD7" s="28"/>
      <c r="TDE7" s="28"/>
      <c r="TDF7" s="28"/>
      <c r="TDG7" s="28"/>
      <c r="TDH7" s="28"/>
      <c r="TDI7" s="28"/>
      <c r="TDJ7" s="28"/>
      <c r="TDK7" s="28"/>
      <c r="TDL7" s="28"/>
      <c r="TDM7" s="28"/>
      <c r="TDN7" s="28"/>
      <c r="TDO7" s="28"/>
      <c r="TDP7" s="28"/>
      <c r="TDQ7" s="28"/>
      <c r="TDR7" s="28"/>
      <c r="TDS7" s="28"/>
      <c r="TDT7" s="28"/>
      <c r="TDU7" s="28"/>
      <c r="TDV7" s="28"/>
      <c r="TDW7" s="28"/>
      <c r="TDX7" s="28"/>
      <c r="TDY7" s="28"/>
      <c r="TDZ7" s="28"/>
      <c r="TEA7" s="28"/>
      <c r="TEB7" s="28"/>
      <c r="TEC7" s="28"/>
      <c r="TED7" s="28"/>
      <c r="TEE7" s="28"/>
      <c r="TEF7" s="28"/>
      <c r="TEG7" s="28"/>
      <c r="TEH7" s="28"/>
      <c r="TEI7" s="28"/>
      <c r="TEJ7" s="28"/>
      <c r="TEK7" s="28"/>
      <c r="TEL7" s="28"/>
      <c r="TEM7" s="28"/>
      <c r="TEN7" s="28"/>
      <c r="TEO7" s="28"/>
      <c r="TEP7" s="28"/>
      <c r="TEQ7" s="28"/>
      <c r="TER7" s="28"/>
      <c r="TES7" s="28"/>
      <c r="TET7" s="28"/>
      <c r="TEU7" s="28"/>
      <c r="TEV7" s="28"/>
      <c r="TEW7" s="28"/>
      <c r="TEX7" s="28"/>
      <c r="TEY7" s="28"/>
      <c r="TEZ7" s="28"/>
      <c r="TFA7" s="28"/>
      <c r="TFB7" s="28"/>
      <c r="TFC7" s="28"/>
      <c r="TFD7" s="28"/>
      <c r="TFE7" s="28"/>
      <c r="TFF7" s="28"/>
      <c r="TFG7" s="28"/>
      <c r="TFH7" s="28"/>
      <c r="TFI7" s="28"/>
      <c r="TFJ7" s="28"/>
      <c r="TFK7" s="28"/>
      <c r="TFL7" s="28"/>
      <c r="TFM7" s="28"/>
      <c r="TFN7" s="28"/>
      <c r="TFO7" s="28"/>
      <c r="TFP7" s="28"/>
      <c r="TFQ7" s="28"/>
      <c r="TFR7" s="28"/>
      <c r="TFS7" s="28"/>
      <c r="TFT7" s="28"/>
      <c r="TFU7" s="28"/>
      <c r="TFV7" s="28"/>
      <c r="TFW7" s="28"/>
      <c r="TFX7" s="28"/>
      <c r="TFY7" s="28"/>
      <c r="TFZ7" s="28"/>
      <c r="TGA7" s="28"/>
      <c r="TGB7" s="28"/>
      <c r="TGC7" s="28"/>
      <c r="TGD7" s="28"/>
      <c r="TGE7" s="28"/>
      <c r="TGF7" s="28"/>
      <c r="TGG7" s="28"/>
      <c r="TGH7" s="28"/>
      <c r="TGI7" s="28"/>
      <c r="TGJ7" s="28"/>
      <c r="TGK7" s="28"/>
      <c r="TGL7" s="28"/>
      <c r="TGM7" s="28"/>
      <c r="TGN7" s="28"/>
      <c r="TGO7" s="28"/>
      <c r="TGP7" s="28"/>
      <c r="TGQ7" s="28"/>
      <c r="TGR7" s="28"/>
      <c r="TGS7" s="28"/>
      <c r="TGT7" s="28"/>
      <c r="TGU7" s="28"/>
      <c r="TGV7" s="28"/>
      <c r="TGW7" s="28"/>
      <c r="TGX7" s="28"/>
      <c r="TGY7" s="28"/>
      <c r="TGZ7" s="28"/>
      <c r="THA7" s="28"/>
      <c r="THB7" s="28"/>
      <c r="THC7" s="28"/>
      <c r="THD7" s="28"/>
      <c r="THE7" s="28"/>
      <c r="THF7" s="28"/>
      <c r="THG7" s="28"/>
      <c r="THH7" s="28"/>
      <c r="THI7" s="28"/>
      <c r="THJ7" s="28"/>
      <c r="THK7" s="28"/>
      <c r="THL7" s="28"/>
      <c r="THM7" s="28"/>
      <c r="THN7" s="28"/>
      <c r="THO7" s="28"/>
      <c r="THP7" s="28"/>
      <c r="THQ7" s="28"/>
      <c r="THR7" s="28"/>
      <c r="THS7" s="28"/>
      <c r="THT7" s="28"/>
      <c r="THU7" s="28"/>
      <c r="THV7" s="28"/>
      <c r="THW7" s="28"/>
      <c r="THX7" s="28"/>
      <c r="THY7" s="28"/>
      <c r="THZ7" s="28"/>
      <c r="TIA7" s="28"/>
      <c r="TIB7" s="28"/>
      <c r="TIC7" s="28"/>
      <c r="TID7" s="28"/>
      <c r="TIE7" s="28"/>
      <c r="TIF7" s="28"/>
      <c r="TIG7" s="28"/>
      <c r="TIH7" s="28"/>
      <c r="TII7" s="28"/>
      <c r="TIJ7" s="28"/>
      <c r="TIK7" s="28"/>
      <c r="TIL7" s="28"/>
      <c r="TIM7" s="28"/>
      <c r="TIN7" s="28"/>
      <c r="TIO7" s="28"/>
      <c r="TIP7" s="28"/>
      <c r="TIQ7" s="28"/>
      <c r="TIR7" s="28"/>
      <c r="TIS7" s="28"/>
      <c r="TIT7" s="28"/>
      <c r="TIU7" s="28"/>
      <c r="TIV7" s="28"/>
      <c r="TIW7" s="28"/>
      <c r="TIX7" s="28"/>
      <c r="TIY7" s="28"/>
      <c r="TIZ7" s="28"/>
      <c r="TJA7" s="28"/>
      <c r="TJB7" s="28"/>
      <c r="TJC7" s="28"/>
      <c r="TJD7" s="28"/>
      <c r="TJE7" s="28"/>
      <c r="TJF7" s="28"/>
      <c r="TJG7" s="28"/>
      <c r="TJH7" s="28"/>
      <c r="TJI7" s="28"/>
      <c r="TJJ7" s="28"/>
      <c r="TJK7" s="28"/>
      <c r="TJL7" s="28"/>
      <c r="TJM7" s="28"/>
      <c r="TJN7" s="28"/>
      <c r="TJO7" s="28"/>
      <c r="TJP7" s="28"/>
      <c r="TJQ7" s="28"/>
      <c r="TJR7" s="28"/>
      <c r="TJS7" s="28"/>
      <c r="TJT7" s="28"/>
      <c r="TJU7" s="28"/>
      <c r="TJV7" s="28"/>
      <c r="TJW7" s="28"/>
      <c r="TJX7" s="28"/>
      <c r="TJY7" s="28"/>
      <c r="TJZ7" s="28"/>
      <c r="TKA7" s="28"/>
      <c r="TKB7" s="28"/>
      <c r="TKC7" s="28"/>
      <c r="TKD7" s="28"/>
      <c r="TKE7" s="28"/>
      <c r="TKF7" s="28"/>
      <c r="TKG7" s="28"/>
      <c r="TKH7" s="28"/>
      <c r="TKI7" s="28"/>
      <c r="TKJ7" s="28"/>
      <c r="TKK7" s="28"/>
      <c r="TKL7" s="28"/>
      <c r="TKM7" s="28"/>
      <c r="TKN7" s="28"/>
      <c r="TKO7" s="28"/>
      <c r="TKP7" s="28"/>
      <c r="TKQ7" s="28"/>
      <c r="TKR7" s="28"/>
      <c r="TKS7" s="28"/>
      <c r="TKT7" s="28"/>
      <c r="TKU7" s="28"/>
      <c r="TKV7" s="28"/>
      <c r="TKW7" s="28"/>
      <c r="TKX7" s="28"/>
      <c r="TKY7" s="28"/>
      <c r="TKZ7" s="28"/>
      <c r="TLA7" s="28"/>
      <c r="TLB7" s="28"/>
      <c r="TLC7" s="28"/>
      <c r="TLD7" s="28"/>
      <c r="TLE7" s="28"/>
      <c r="TLF7" s="28"/>
      <c r="TLG7" s="28"/>
      <c r="TLH7" s="28"/>
      <c r="TLI7" s="28"/>
      <c r="TLJ7" s="28"/>
      <c r="TLK7" s="28"/>
      <c r="TLL7" s="28"/>
      <c r="TLM7" s="28"/>
      <c r="TLN7" s="28"/>
      <c r="TLO7" s="28"/>
      <c r="TLP7" s="28"/>
      <c r="TLQ7" s="28"/>
      <c r="TLR7" s="28"/>
      <c r="TLS7" s="28"/>
      <c r="TLT7" s="28"/>
      <c r="TLU7" s="28"/>
      <c r="TLV7" s="28"/>
      <c r="TLW7" s="28"/>
      <c r="TLX7" s="28"/>
      <c r="TLY7" s="28"/>
      <c r="TLZ7" s="28"/>
      <c r="TMA7" s="28"/>
      <c r="TMB7" s="28"/>
      <c r="TMC7" s="28"/>
      <c r="TMD7" s="28"/>
      <c r="TME7" s="28"/>
      <c r="TMF7" s="28"/>
      <c r="TMG7" s="28"/>
      <c r="TMH7" s="28"/>
      <c r="TMI7" s="28"/>
      <c r="TMJ7" s="28"/>
      <c r="TMK7" s="28"/>
      <c r="TML7" s="28"/>
      <c r="TMM7" s="28"/>
      <c r="TMN7" s="28"/>
      <c r="TMO7" s="28"/>
      <c r="TMP7" s="28"/>
      <c r="TMQ7" s="28"/>
      <c r="TMR7" s="28"/>
      <c r="TMS7" s="28"/>
      <c r="TMT7" s="28"/>
      <c r="TMU7" s="28"/>
      <c r="TMV7" s="28"/>
      <c r="TMW7" s="28"/>
      <c r="TMX7" s="28"/>
      <c r="TMY7" s="28"/>
      <c r="TMZ7" s="28"/>
      <c r="TNA7" s="28"/>
      <c r="TNB7" s="28"/>
      <c r="TNC7" s="28"/>
      <c r="TND7" s="28"/>
      <c r="TNE7" s="28"/>
      <c r="TNF7" s="28"/>
      <c r="TNG7" s="28"/>
      <c r="TNH7" s="28"/>
      <c r="TNI7" s="28"/>
      <c r="TNJ7" s="28"/>
      <c r="TNK7" s="28"/>
      <c r="TNL7" s="28"/>
      <c r="TNM7" s="28"/>
      <c r="TNN7" s="28"/>
      <c r="TNO7" s="28"/>
      <c r="TNP7" s="28"/>
      <c r="TNQ7" s="28"/>
      <c r="TNR7" s="28"/>
      <c r="TNS7" s="28"/>
      <c r="TNT7" s="28"/>
      <c r="TNU7" s="28"/>
      <c r="TNV7" s="28"/>
      <c r="TNW7" s="28"/>
      <c r="TNX7" s="28"/>
      <c r="TNY7" s="28"/>
      <c r="TNZ7" s="28"/>
      <c r="TOA7" s="28"/>
      <c r="TOB7" s="28"/>
      <c r="TOC7" s="28"/>
      <c r="TOD7" s="28"/>
      <c r="TOE7" s="28"/>
      <c r="TOF7" s="28"/>
      <c r="TOG7" s="28"/>
      <c r="TOH7" s="28"/>
      <c r="TOI7" s="28"/>
      <c r="TOJ7" s="28"/>
      <c r="TOK7" s="28"/>
      <c r="TOL7" s="28"/>
      <c r="TOM7" s="28"/>
      <c r="TON7" s="28"/>
      <c r="TOO7" s="28"/>
      <c r="TOP7" s="28"/>
      <c r="TOQ7" s="28"/>
      <c r="TOR7" s="28"/>
      <c r="TOS7" s="28"/>
      <c r="TOT7" s="28"/>
      <c r="TOU7" s="28"/>
      <c r="TOV7" s="28"/>
      <c r="TOW7" s="28"/>
      <c r="TOX7" s="28"/>
      <c r="TOY7" s="28"/>
      <c r="TOZ7" s="28"/>
      <c r="TPA7" s="28"/>
      <c r="TPB7" s="28"/>
      <c r="TPC7" s="28"/>
      <c r="TPD7" s="28"/>
      <c r="TPE7" s="28"/>
      <c r="TPF7" s="28"/>
      <c r="TPG7" s="28"/>
      <c r="TPH7" s="28"/>
      <c r="TPI7" s="28"/>
      <c r="TPJ7" s="28"/>
      <c r="TPK7" s="28"/>
      <c r="TPL7" s="28"/>
      <c r="TPM7" s="28"/>
      <c r="TPN7" s="28"/>
      <c r="TPO7" s="28"/>
      <c r="TPP7" s="28"/>
      <c r="TPQ7" s="28"/>
      <c r="TPR7" s="28"/>
      <c r="TPS7" s="28"/>
      <c r="TPT7" s="28"/>
      <c r="TPU7" s="28"/>
      <c r="TPV7" s="28"/>
      <c r="TPW7" s="28"/>
      <c r="TPX7" s="28"/>
      <c r="TPY7" s="28"/>
      <c r="TPZ7" s="28"/>
      <c r="TQA7" s="28"/>
      <c r="TQB7" s="28"/>
      <c r="TQC7" s="28"/>
      <c r="TQD7" s="28"/>
      <c r="TQE7" s="28"/>
      <c r="TQF7" s="28"/>
      <c r="TQG7" s="28"/>
      <c r="TQH7" s="28"/>
      <c r="TQI7" s="28"/>
      <c r="TQJ7" s="28"/>
      <c r="TQK7" s="28"/>
      <c r="TQL7" s="28"/>
      <c r="TQM7" s="28"/>
      <c r="TQN7" s="28"/>
      <c r="TQO7" s="28"/>
      <c r="TQP7" s="28"/>
      <c r="TQQ7" s="28"/>
      <c r="TQR7" s="28"/>
      <c r="TQS7" s="28"/>
      <c r="TQT7" s="28"/>
      <c r="TQU7" s="28"/>
      <c r="TQV7" s="28"/>
      <c r="TQW7" s="28"/>
      <c r="TQX7" s="28"/>
      <c r="TQY7" s="28"/>
      <c r="TQZ7" s="28"/>
      <c r="TRA7" s="28"/>
      <c r="TRB7" s="28"/>
      <c r="TRC7" s="28"/>
      <c r="TRD7" s="28"/>
      <c r="TRE7" s="28"/>
      <c r="TRF7" s="28"/>
      <c r="TRG7" s="28"/>
      <c r="TRH7" s="28"/>
      <c r="TRI7" s="28"/>
      <c r="TRJ7" s="28"/>
      <c r="TRK7" s="28"/>
      <c r="TRL7" s="28"/>
      <c r="TRM7" s="28"/>
      <c r="TRN7" s="28"/>
      <c r="TRO7" s="28"/>
      <c r="TRP7" s="28"/>
      <c r="TRQ7" s="28"/>
      <c r="TRR7" s="28"/>
      <c r="TRS7" s="28"/>
      <c r="TRT7" s="28"/>
      <c r="TRU7" s="28"/>
      <c r="TRV7" s="28"/>
      <c r="TRW7" s="28"/>
      <c r="TRX7" s="28"/>
      <c r="TRY7" s="28"/>
      <c r="TRZ7" s="28"/>
      <c r="TSA7" s="28"/>
      <c r="TSB7" s="28"/>
      <c r="TSC7" s="28"/>
      <c r="TSD7" s="28"/>
      <c r="TSE7" s="28"/>
      <c r="TSF7" s="28"/>
      <c r="TSG7" s="28"/>
      <c r="TSH7" s="28"/>
      <c r="TSI7" s="28"/>
      <c r="TSJ7" s="28"/>
      <c r="TSK7" s="28"/>
      <c r="TSL7" s="28"/>
      <c r="TSM7" s="28"/>
      <c r="TSN7" s="28"/>
      <c r="TSO7" s="28"/>
      <c r="TSP7" s="28"/>
      <c r="TSQ7" s="28"/>
      <c r="TSR7" s="28"/>
      <c r="TSS7" s="28"/>
      <c r="TST7" s="28"/>
      <c r="TSU7" s="28"/>
      <c r="TSV7" s="28"/>
      <c r="TSW7" s="28"/>
      <c r="TSX7" s="28"/>
      <c r="TSY7" s="28"/>
      <c r="TSZ7" s="28"/>
      <c r="TTA7" s="28"/>
      <c r="TTB7" s="28"/>
      <c r="TTC7" s="28"/>
      <c r="TTD7" s="28"/>
      <c r="TTE7" s="28"/>
      <c r="TTF7" s="28"/>
      <c r="TTG7" s="28"/>
      <c r="TTH7" s="28"/>
      <c r="TTI7" s="28"/>
      <c r="TTJ7" s="28"/>
      <c r="TTK7" s="28"/>
      <c r="TTL7" s="28"/>
      <c r="TTM7" s="28"/>
      <c r="TTN7" s="28"/>
      <c r="TTO7" s="28"/>
      <c r="TTP7" s="28"/>
      <c r="TTQ7" s="28"/>
      <c r="TTR7" s="28"/>
      <c r="TTS7" s="28"/>
      <c r="TTT7" s="28"/>
      <c r="TTU7" s="28"/>
      <c r="TTV7" s="28"/>
      <c r="TTW7" s="28"/>
      <c r="TTX7" s="28"/>
      <c r="TTY7" s="28"/>
      <c r="TTZ7" s="28"/>
      <c r="TUA7" s="28"/>
      <c r="TUB7" s="28"/>
      <c r="TUC7" s="28"/>
      <c r="TUD7" s="28"/>
      <c r="TUE7" s="28"/>
      <c r="TUF7" s="28"/>
      <c r="TUG7" s="28"/>
      <c r="TUH7" s="28"/>
      <c r="TUI7" s="28"/>
      <c r="TUJ7" s="28"/>
      <c r="TUK7" s="28"/>
      <c r="TUL7" s="28"/>
      <c r="TUM7" s="28"/>
      <c r="TUN7" s="28"/>
      <c r="TUO7" s="28"/>
      <c r="TUP7" s="28"/>
      <c r="TUQ7" s="28"/>
      <c r="TUR7" s="28"/>
      <c r="TUS7" s="28"/>
      <c r="TUT7" s="28"/>
      <c r="TUU7" s="28"/>
      <c r="TUV7" s="28"/>
      <c r="TUW7" s="28"/>
      <c r="TUX7" s="28"/>
      <c r="TUY7" s="28"/>
      <c r="TUZ7" s="28"/>
      <c r="TVA7" s="28"/>
      <c r="TVB7" s="28"/>
      <c r="TVC7" s="28"/>
      <c r="TVD7" s="28"/>
      <c r="TVE7" s="28"/>
      <c r="TVF7" s="28"/>
      <c r="TVG7" s="28"/>
      <c r="TVH7" s="28"/>
      <c r="TVI7" s="28"/>
      <c r="TVJ7" s="28"/>
      <c r="TVK7" s="28"/>
      <c r="TVL7" s="28"/>
      <c r="TVM7" s="28"/>
      <c r="TVN7" s="28"/>
      <c r="TVO7" s="28"/>
      <c r="TVP7" s="28"/>
      <c r="TVQ7" s="28"/>
      <c r="TVR7" s="28"/>
      <c r="TVS7" s="28"/>
      <c r="TVT7" s="28"/>
      <c r="TVU7" s="28"/>
      <c r="TVV7" s="28"/>
      <c r="TVW7" s="28"/>
      <c r="TVX7" s="28"/>
      <c r="TVY7" s="28"/>
      <c r="TVZ7" s="28"/>
      <c r="TWA7" s="28"/>
      <c r="TWB7" s="28"/>
      <c r="TWC7" s="28"/>
      <c r="TWD7" s="28"/>
      <c r="TWE7" s="28"/>
      <c r="TWF7" s="28"/>
      <c r="TWG7" s="28"/>
      <c r="TWH7" s="28"/>
      <c r="TWI7" s="28"/>
      <c r="TWJ7" s="28"/>
      <c r="TWK7" s="28"/>
      <c r="TWL7" s="28"/>
      <c r="TWM7" s="28"/>
      <c r="TWN7" s="28"/>
      <c r="TWO7" s="28"/>
      <c r="TWP7" s="28"/>
      <c r="TWQ7" s="28"/>
      <c r="TWR7" s="28"/>
      <c r="TWS7" s="28"/>
      <c r="TWT7" s="28"/>
      <c r="TWU7" s="28"/>
      <c r="TWV7" s="28"/>
      <c r="TWW7" s="28"/>
      <c r="TWX7" s="28"/>
      <c r="TWY7" s="28"/>
      <c r="TWZ7" s="28"/>
      <c r="TXA7" s="28"/>
      <c r="TXB7" s="28"/>
      <c r="TXC7" s="28"/>
      <c r="TXD7" s="28"/>
      <c r="TXE7" s="28"/>
      <c r="TXF7" s="28"/>
      <c r="TXG7" s="28"/>
      <c r="TXH7" s="28"/>
      <c r="TXI7" s="28"/>
      <c r="TXJ7" s="28"/>
      <c r="TXK7" s="28"/>
      <c r="TXL7" s="28"/>
      <c r="TXM7" s="28"/>
      <c r="TXN7" s="28"/>
      <c r="TXO7" s="28"/>
      <c r="TXP7" s="28"/>
      <c r="TXQ7" s="28"/>
      <c r="TXR7" s="28"/>
      <c r="TXS7" s="28"/>
      <c r="TXT7" s="28"/>
      <c r="TXU7" s="28"/>
      <c r="TXV7" s="28"/>
      <c r="TXW7" s="28"/>
      <c r="TXX7" s="28"/>
      <c r="TXY7" s="28"/>
      <c r="TXZ7" s="28"/>
      <c r="TYA7" s="28"/>
      <c r="TYB7" s="28"/>
      <c r="TYC7" s="28"/>
      <c r="TYD7" s="28"/>
      <c r="TYE7" s="28"/>
      <c r="TYF7" s="28"/>
      <c r="TYG7" s="28"/>
      <c r="TYH7" s="28"/>
      <c r="TYI7" s="28"/>
      <c r="TYJ7" s="28"/>
      <c r="TYK7" s="28"/>
      <c r="TYL7" s="28"/>
      <c r="TYM7" s="28"/>
      <c r="TYN7" s="28"/>
      <c r="TYO7" s="28"/>
      <c r="TYP7" s="28"/>
      <c r="TYQ7" s="28"/>
      <c r="TYR7" s="28"/>
      <c r="TYS7" s="28"/>
      <c r="TYT7" s="28"/>
      <c r="TYU7" s="28"/>
      <c r="TYV7" s="28"/>
      <c r="TYW7" s="28"/>
      <c r="TYX7" s="28"/>
      <c r="TYY7" s="28"/>
      <c r="TYZ7" s="28"/>
      <c r="TZA7" s="28"/>
      <c r="TZB7" s="28"/>
      <c r="TZC7" s="28"/>
      <c r="TZD7" s="28"/>
      <c r="TZE7" s="28"/>
      <c r="TZF7" s="28"/>
      <c r="TZG7" s="28"/>
      <c r="TZH7" s="28"/>
      <c r="TZI7" s="28"/>
      <c r="TZJ7" s="28"/>
      <c r="TZK7" s="28"/>
      <c r="TZL7" s="28"/>
      <c r="TZM7" s="28"/>
      <c r="TZN7" s="28"/>
      <c r="TZO7" s="28"/>
      <c r="TZP7" s="28"/>
      <c r="TZQ7" s="28"/>
      <c r="TZR7" s="28"/>
      <c r="TZS7" s="28"/>
      <c r="TZT7" s="28"/>
      <c r="TZU7" s="28"/>
      <c r="TZV7" s="28"/>
      <c r="TZW7" s="28"/>
      <c r="TZX7" s="28"/>
      <c r="TZY7" s="28"/>
      <c r="TZZ7" s="28"/>
      <c r="UAA7" s="28"/>
      <c r="UAB7" s="28"/>
      <c r="UAC7" s="28"/>
      <c r="UAD7" s="28"/>
      <c r="UAE7" s="28"/>
      <c r="UAF7" s="28"/>
      <c r="UAG7" s="28"/>
      <c r="UAH7" s="28"/>
      <c r="UAI7" s="28"/>
      <c r="UAJ7" s="28"/>
      <c r="UAK7" s="28"/>
      <c r="UAL7" s="28"/>
      <c r="UAM7" s="28"/>
      <c r="UAN7" s="28"/>
      <c r="UAO7" s="28"/>
      <c r="UAP7" s="28"/>
      <c r="UAQ7" s="28"/>
      <c r="UAR7" s="28"/>
      <c r="UAS7" s="28"/>
      <c r="UAT7" s="28"/>
      <c r="UAU7" s="28"/>
      <c r="UAV7" s="28"/>
      <c r="UAW7" s="28"/>
      <c r="UAX7" s="28"/>
      <c r="UAY7" s="28"/>
      <c r="UAZ7" s="28"/>
      <c r="UBA7" s="28"/>
      <c r="UBB7" s="28"/>
      <c r="UBC7" s="28"/>
      <c r="UBD7" s="28"/>
      <c r="UBE7" s="28"/>
      <c r="UBF7" s="28"/>
      <c r="UBG7" s="28"/>
      <c r="UBH7" s="28"/>
      <c r="UBI7" s="28"/>
      <c r="UBJ7" s="28"/>
      <c r="UBK7" s="28"/>
      <c r="UBL7" s="28"/>
      <c r="UBM7" s="28"/>
      <c r="UBN7" s="28"/>
      <c r="UBO7" s="28"/>
      <c r="UBP7" s="28"/>
      <c r="UBQ7" s="28"/>
      <c r="UBR7" s="28"/>
      <c r="UBS7" s="28"/>
      <c r="UBT7" s="28"/>
      <c r="UBU7" s="28"/>
      <c r="UBV7" s="28"/>
      <c r="UBW7" s="28"/>
      <c r="UBX7" s="28"/>
      <c r="UBY7" s="28"/>
      <c r="UBZ7" s="28"/>
      <c r="UCA7" s="28"/>
      <c r="UCB7" s="28"/>
      <c r="UCC7" s="28"/>
      <c r="UCD7" s="28"/>
      <c r="UCE7" s="28"/>
      <c r="UCF7" s="28"/>
      <c r="UCG7" s="28"/>
      <c r="UCH7" s="28"/>
      <c r="UCI7" s="28"/>
      <c r="UCJ7" s="28"/>
      <c r="UCK7" s="28"/>
      <c r="UCL7" s="28"/>
      <c r="UCM7" s="28"/>
      <c r="UCN7" s="28"/>
      <c r="UCO7" s="28"/>
      <c r="UCP7" s="28"/>
      <c r="UCQ7" s="28"/>
      <c r="UCR7" s="28"/>
      <c r="UCS7" s="28"/>
      <c r="UCT7" s="28"/>
      <c r="UCU7" s="28"/>
      <c r="UCV7" s="28"/>
      <c r="UCW7" s="28"/>
      <c r="UCX7" s="28"/>
      <c r="UCY7" s="28"/>
      <c r="UCZ7" s="28"/>
      <c r="UDA7" s="28"/>
      <c r="UDB7" s="28"/>
      <c r="UDC7" s="28"/>
      <c r="UDD7" s="28"/>
      <c r="UDE7" s="28"/>
      <c r="UDF7" s="28"/>
      <c r="UDG7" s="28"/>
      <c r="UDH7" s="28"/>
      <c r="UDI7" s="28"/>
      <c r="UDJ7" s="28"/>
      <c r="UDK7" s="28"/>
      <c r="UDL7" s="28"/>
      <c r="UDM7" s="28"/>
      <c r="UDN7" s="28"/>
      <c r="UDO7" s="28"/>
      <c r="UDP7" s="28"/>
      <c r="UDQ7" s="28"/>
      <c r="UDR7" s="28"/>
      <c r="UDS7" s="28"/>
      <c r="UDT7" s="28"/>
      <c r="UDU7" s="28"/>
      <c r="UDV7" s="28"/>
      <c r="UDW7" s="28"/>
      <c r="UDX7" s="28"/>
      <c r="UDY7" s="28"/>
      <c r="UDZ7" s="28"/>
      <c r="UEA7" s="28"/>
      <c r="UEB7" s="28"/>
      <c r="UEC7" s="28"/>
      <c r="UED7" s="28"/>
      <c r="UEE7" s="28"/>
      <c r="UEF7" s="28"/>
      <c r="UEG7" s="28"/>
      <c r="UEH7" s="28"/>
      <c r="UEI7" s="28"/>
      <c r="UEJ7" s="28"/>
      <c r="UEK7" s="28"/>
      <c r="UEL7" s="28"/>
      <c r="UEM7" s="28"/>
      <c r="UEN7" s="28"/>
      <c r="UEO7" s="28"/>
      <c r="UEP7" s="28"/>
      <c r="UEQ7" s="28"/>
      <c r="UER7" s="28"/>
      <c r="UES7" s="28"/>
      <c r="UET7" s="28"/>
      <c r="UEU7" s="28"/>
      <c r="UEV7" s="28"/>
      <c r="UEW7" s="28"/>
      <c r="UEX7" s="28"/>
      <c r="UEY7" s="28"/>
      <c r="UEZ7" s="28"/>
      <c r="UFA7" s="28"/>
      <c r="UFB7" s="28"/>
      <c r="UFC7" s="28"/>
      <c r="UFD7" s="28"/>
      <c r="UFE7" s="28"/>
      <c r="UFF7" s="28"/>
      <c r="UFG7" s="28"/>
      <c r="UFH7" s="28"/>
      <c r="UFI7" s="28"/>
      <c r="UFJ7" s="28"/>
      <c r="UFK7" s="28"/>
      <c r="UFL7" s="28"/>
      <c r="UFM7" s="28"/>
      <c r="UFN7" s="28"/>
      <c r="UFO7" s="28"/>
      <c r="UFP7" s="28"/>
      <c r="UFQ7" s="28"/>
      <c r="UFR7" s="28"/>
      <c r="UFS7" s="28"/>
      <c r="UFT7" s="28"/>
      <c r="UFU7" s="28"/>
      <c r="UFV7" s="28"/>
      <c r="UFW7" s="28"/>
      <c r="UFX7" s="28"/>
      <c r="UFY7" s="28"/>
      <c r="UFZ7" s="28"/>
      <c r="UGA7" s="28"/>
      <c r="UGB7" s="28"/>
      <c r="UGC7" s="28"/>
      <c r="UGD7" s="28"/>
      <c r="UGE7" s="28"/>
      <c r="UGF7" s="28"/>
      <c r="UGG7" s="28"/>
      <c r="UGH7" s="28"/>
      <c r="UGI7" s="28"/>
      <c r="UGJ7" s="28"/>
      <c r="UGK7" s="28"/>
      <c r="UGL7" s="28"/>
      <c r="UGM7" s="28"/>
      <c r="UGN7" s="28"/>
      <c r="UGO7" s="28"/>
      <c r="UGP7" s="28"/>
      <c r="UGQ7" s="28"/>
      <c r="UGR7" s="28"/>
      <c r="UGS7" s="28"/>
      <c r="UGT7" s="28"/>
      <c r="UGU7" s="28"/>
      <c r="UGV7" s="28"/>
      <c r="UGW7" s="28"/>
      <c r="UGX7" s="28"/>
      <c r="UGY7" s="28"/>
      <c r="UGZ7" s="28"/>
      <c r="UHA7" s="28"/>
      <c r="UHB7" s="28"/>
      <c r="UHC7" s="28"/>
      <c r="UHD7" s="28"/>
      <c r="UHE7" s="28"/>
      <c r="UHF7" s="28"/>
      <c r="UHG7" s="28"/>
      <c r="UHH7" s="28"/>
      <c r="UHI7" s="28"/>
      <c r="UHJ7" s="28"/>
      <c r="UHK7" s="28"/>
      <c r="UHL7" s="28"/>
      <c r="UHM7" s="28"/>
      <c r="UHN7" s="28"/>
      <c r="UHO7" s="28"/>
      <c r="UHP7" s="28"/>
      <c r="UHQ7" s="28"/>
      <c r="UHR7" s="28"/>
      <c r="UHS7" s="28"/>
      <c r="UHT7" s="28"/>
      <c r="UHU7" s="28"/>
      <c r="UHV7" s="28"/>
      <c r="UHW7" s="28"/>
      <c r="UHX7" s="28"/>
      <c r="UHY7" s="28"/>
      <c r="UHZ7" s="28"/>
      <c r="UIA7" s="28"/>
      <c r="UIB7" s="28"/>
      <c r="UIC7" s="28"/>
      <c r="UID7" s="28"/>
      <c r="UIE7" s="28"/>
      <c r="UIF7" s="28"/>
      <c r="UIG7" s="28"/>
      <c r="UIH7" s="28"/>
      <c r="UII7" s="28"/>
      <c r="UIJ7" s="28"/>
      <c r="UIK7" s="28"/>
      <c r="UIL7" s="28"/>
      <c r="UIM7" s="28"/>
      <c r="UIN7" s="28"/>
      <c r="UIO7" s="28"/>
      <c r="UIP7" s="28"/>
      <c r="UIQ7" s="28"/>
      <c r="UIR7" s="28"/>
      <c r="UIS7" s="28"/>
      <c r="UIT7" s="28"/>
      <c r="UIU7" s="28"/>
      <c r="UIV7" s="28"/>
      <c r="UIW7" s="28"/>
      <c r="UIX7" s="28"/>
      <c r="UIY7" s="28"/>
      <c r="UIZ7" s="28"/>
      <c r="UJA7" s="28"/>
      <c r="UJB7" s="28"/>
      <c r="UJC7" s="28"/>
      <c r="UJD7" s="28"/>
      <c r="UJE7" s="28"/>
      <c r="UJF7" s="28"/>
      <c r="UJG7" s="28"/>
      <c r="UJH7" s="28"/>
      <c r="UJI7" s="28"/>
      <c r="UJJ7" s="28"/>
      <c r="UJK7" s="28"/>
      <c r="UJL7" s="28"/>
      <c r="UJM7" s="28"/>
      <c r="UJN7" s="28"/>
      <c r="UJO7" s="28"/>
      <c r="UJP7" s="28"/>
      <c r="UJQ7" s="28"/>
      <c r="UJR7" s="28"/>
      <c r="UJS7" s="28"/>
      <c r="UJT7" s="28"/>
      <c r="UJU7" s="28"/>
      <c r="UJV7" s="28"/>
      <c r="UJW7" s="28"/>
      <c r="UJX7" s="28"/>
      <c r="UJY7" s="28"/>
      <c r="UJZ7" s="28"/>
      <c r="UKA7" s="28"/>
      <c r="UKB7" s="28"/>
      <c r="UKC7" s="28"/>
      <c r="UKD7" s="28"/>
      <c r="UKE7" s="28"/>
      <c r="UKF7" s="28"/>
      <c r="UKG7" s="28"/>
      <c r="UKH7" s="28"/>
      <c r="UKI7" s="28"/>
      <c r="UKJ7" s="28"/>
      <c r="UKK7" s="28"/>
      <c r="UKL7" s="28"/>
      <c r="UKM7" s="28"/>
      <c r="UKN7" s="28"/>
      <c r="UKO7" s="28"/>
      <c r="UKP7" s="28"/>
      <c r="UKQ7" s="28"/>
      <c r="UKR7" s="28"/>
      <c r="UKS7" s="28"/>
      <c r="UKT7" s="28"/>
      <c r="UKU7" s="28"/>
      <c r="UKV7" s="28"/>
      <c r="UKW7" s="28"/>
      <c r="UKX7" s="28"/>
      <c r="UKY7" s="28"/>
      <c r="UKZ7" s="28"/>
      <c r="ULA7" s="28"/>
      <c r="ULB7" s="28"/>
      <c r="ULC7" s="28"/>
      <c r="ULD7" s="28"/>
      <c r="ULE7" s="28"/>
      <c r="ULF7" s="28"/>
      <c r="ULG7" s="28"/>
      <c r="ULH7" s="28"/>
      <c r="ULI7" s="28"/>
      <c r="ULJ7" s="28"/>
      <c r="ULK7" s="28"/>
      <c r="ULL7" s="28"/>
      <c r="ULM7" s="28"/>
      <c r="ULN7" s="28"/>
      <c r="ULO7" s="28"/>
      <c r="ULP7" s="28"/>
      <c r="ULQ7" s="28"/>
      <c r="ULR7" s="28"/>
      <c r="ULS7" s="28"/>
      <c r="ULT7" s="28"/>
      <c r="ULU7" s="28"/>
      <c r="ULV7" s="28"/>
      <c r="ULW7" s="28"/>
      <c r="ULX7" s="28"/>
      <c r="ULY7" s="28"/>
      <c r="ULZ7" s="28"/>
      <c r="UMA7" s="28"/>
      <c r="UMB7" s="28"/>
      <c r="UMC7" s="28"/>
      <c r="UMD7" s="28"/>
      <c r="UME7" s="28"/>
      <c r="UMF7" s="28"/>
      <c r="UMG7" s="28"/>
      <c r="UMH7" s="28"/>
      <c r="UMI7" s="28"/>
      <c r="UMJ7" s="28"/>
      <c r="UMK7" s="28"/>
      <c r="UML7" s="28"/>
      <c r="UMM7" s="28"/>
      <c r="UMN7" s="28"/>
      <c r="UMO7" s="28"/>
      <c r="UMP7" s="28"/>
      <c r="UMQ7" s="28"/>
      <c r="UMR7" s="28"/>
      <c r="UMS7" s="28"/>
      <c r="UMT7" s="28"/>
      <c r="UMU7" s="28"/>
      <c r="UMV7" s="28"/>
      <c r="UMW7" s="28"/>
      <c r="UMX7" s="28"/>
      <c r="UMY7" s="28"/>
      <c r="UMZ7" s="28"/>
      <c r="UNA7" s="28"/>
      <c r="UNB7" s="28"/>
      <c r="UNC7" s="28"/>
      <c r="UND7" s="28"/>
      <c r="UNE7" s="28"/>
      <c r="UNF7" s="28"/>
      <c r="UNG7" s="28"/>
      <c r="UNH7" s="28"/>
      <c r="UNI7" s="28"/>
      <c r="UNJ7" s="28"/>
      <c r="UNK7" s="28"/>
      <c r="UNL7" s="28"/>
      <c r="UNM7" s="28"/>
      <c r="UNN7" s="28"/>
      <c r="UNO7" s="28"/>
      <c r="UNP7" s="28"/>
      <c r="UNQ7" s="28"/>
      <c r="UNR7" s="28"/>
      <c r="UNS7" s="28"/>
      <c r="UNT7" s="28"/>
      <c r="UNU7" s="28"/>
      <c r="UNV7" s="28"/>
      <c r="UNW7" s="28"/>
      <c r="UNX7" s="28"/>
      <c r="UNY7" s="28"/>
      <c r="UNZ7" s="28"/>
      <c r="UOA7" s="28"/>
      <c r="UOB7" s="28"/>
      <c r="UOC7" s="28"/>
      <c r="UOD7" s="28"/>
      <c r="UOE7" s="28"/>
      <c r="UOF7" s="28"/>
      <c r="UOG7" s="28"/>
      <c r="UOH7" s="28"/>
      <c r="UOI7" s="28"/>
      <c r="UOJ7" s="28"/>
      <c r="UOK7" s="28"/>
      <c r="UOL7" s="28"/>
      <c r="UOM7" s="28"/>
      <c r="UON7" s="28"/>
      <c r="UOO7" s="28"/>
      <c r="UOP7" s="28"/>
      <c r="UOQ7" s="28"/>
      <c r="UOR7" s="28"/>
      <c r="UOS7" s="28"/>
      <c r="UOT7" s="28"/>
      <c r="UOU7" s="28"/>
      <c r="UOV7" s="28"/>
      <c r="UOW7" s="28"/>
      <c r="UOX7" s="28"/>
      <c r="UOY7" s="28"/>
      <c r="UOZ7" s="28"/>
      <c r="UPA7" s="28"/>
      <c r="UPB7" s="28"/>
      <c r="UPC7" s="28"/>
      <c r="UPD7" s="28"/>
      <c r="UPE7" s="28"/>
      <c r="UPF7" s="28"/>
      <c r="UPG7" s="28"/>
      <c r="UPH7" s="28"/>
      <c r="UPI7" s="28"/>
      <c r="UPJ7" s="28"/>
      <c r="UPK7" s="28"/>
      <c r="UPL7" s="28"/>
      <c r="UPM7" s="28"/>
      <c r="UPN7" s="28"/>
      <c r="UPO7" s="28"/>
      <c r="UPP7" s="28"/>
      <c r="UPQ7" s="28"/>
      <c r="UPR7" s="28"/>
      <c r="UPS7" s="28"/>
      <c r="UPT7" s="28"/>
      <c r="UPU7" s="28"/>
      <c r="UPV7" s="28"/>
      <c r="UPW7" s="28"/>
      <c r="UPX7" s="28"/>
      <c r="UPY7" s="28"/>
      <c r="UPZ7" s="28"/>
      <c r="UQA7" s="28"/>
      <c r="UQB7" s="28"/>
      <c r="UQC7" s="28"/>
      <c r="UQD7" s="28"/>
      <c r="UQE7" s="28"/>
      <c r="UQF7" s="28"/>
      <c r="UQG7" s="28"/>
      <c r="UQH7" s="28"/>
      <c r="UQI7" s="28"/>
      <c r="UQJ7" s="28"/>
      <c r="UQK7" s="28"/>
      <c r="UQL7" s="28"/>
      <c r="UQM7" s="28"/>
      <c r="UQN7" s="28"/>
      <c r="UQO7" s="28"/>
      <c r="UQP7" s="28"/>
      <c r="UQQ7" s="28"/>
      <c r="UQR7" s="28"/>
      <c r="UQS7" s="28"/>
      <c r="UQT7" s="28"/>
      <c r="UQU7" s="28"/>
      <c r="UQV7" s="28"/>
      <c r="UQW7" s="28"/>
      <c r="UQX7" s="28"/>
      <c r="UQY7" s="28"/>
      <c r="UQZ7" s="28"/>
      <c r="URA7" s="28"/>
      <c r="URB7" s="28"/>
      <c r="URC7" s="28"/>
      <c r="URD7" s="28"/>
      <c r="URE7" s="28"/>
      <c r="URF7" s="28"/>
      <c r="URG7" s="28"/>
      <c r="URH7" s="28"/>
      <c r="URI7" s="28"/>
      <c r="URJ7" s="28"/>
      <c r="URK7" s="28"/>
      <c r="URL7" s="28"/>
      <c r="URM7" s="28"/>
      <c r="URN7" s="28"/>
      <c r="URO7" s="28"/>
      <c r="URP7" s="28"/>
      <c r="URQ7" s="28"/>
      <c r="URR7" s="28"/>
      <c r="URS7" s="28"/>
      <c r="URT7" s="28"/>
      <c r="URU7" s="28"/>
      <c r="URV7" s="28"/>
      <c r="URW7" s="28"/>
      <c r="URX7" s="28"/>
      <c r="URY7" s="28"/>
      <c r="URZ7" s="28"/>
      <c r="USA7" s="28"/>
      <c r="USB7" s="28"/>
      <c r="USC7" s="28"/>
      <c r="USD7" s="28"/>
      <c r="USE7" s="28"/>
      <c r="USF7" s="28"/>
      <c r="USG7" s="28"/>
      <c r="USH7" s="28"/>
      <c r="USI7" s="28"/>
      <c r="USJ7" s="28"/>
      <c r="USK7" s="28"/>
      <c r="USL7" s="28"/>
      <c r="USM7" s="28"/>
      <c r="USN7" s="28"/>
      <c r="USO7" s="28"/>
      <c r="USP7" s="28"/>
      <c r="USQ7" s="28"/>
      <c r="USR7" s="28"/>
      <c r="USS7" s="28"/>
      <c r="UST7" s="28"/>
      <c r="USU7" s="28"/>
      <c r="USV7" s="28"/>
      <c r="USW7" s="28"/>
      <c r="USX7" s="28"/>
      <c r="USY7" s="28"/>
      <c r="USZ7" s="28"/>
      <c r="UTA7" s="28"/>
      <c r="UTB7" s="28"/>
      <c r="UTC7" s="28"/>
      <c r="UTD7" s="28"/>
      <c r="UTE7" s="28"/>
      <c r="UTF7" s="28"/>
      <c r="UTG7" s="28"/>
      <c r="UTH7" s="28"/>
      <c r="UTI7" s="28"/>
      <c r="UTJ7" s="28"/>
      <c r="UTK7" s="28"/>
      <c r="UTL7" s="28"/>
      <c r="UTM7" s="28"/>
      <c r="UTN7" s="28"/>
      <c r="UTO7" s="28"/>
      <c r="UTP7" s="28"/>
      <c r="UTQ7" s="28"/>
      <c r="UTR7" s="28"/>
      <c r="UTS7" s="28"/>
      <c r="UTT7" s="28"/>
      <c r="UTU7" s="28"/>
      <c r="UTV7" s="28"/>
      <c r="UTW7" s="28"/>
      <c r="UTX7" s="28"/>
      <c r="UTY7" s="28"/>
      <c r="UTZ7" s="28"/>
      <c r="UUA7" s="28"/>
      <c r="UUB7" s="28"/>
      <c r="UUC7" s="28"/>
      <c r="UUD7" s="28"/>
      <c r="UUE7" s="28"/>
      <c r="UUF7" s="28"/>
      <c r="UUG7" s="28"/>
      <c r="UUH7" s="28"/>
      <c r="UUI7" s="28"/>
      <c r="UUJ7" s="28"/>
      <c r="UUK7" s="28"/>
      <c r="UUL7" s="28"/>
      <c r="UUM7" s="28"/>
      <c r="UUN7" s="28"/>
      <c r="UUO7" s="28"/>
      <c r="UUP7" s="28"/>
      <c r="UUQ7" s="28"/>
      <c r="UUR7" s="28"/>
      <c r="UUS7" s="28"/>
      <c r="UUT7" s="28"/>
      <c r="UUU7" s="28"/>
      <c r="UUV7" s="28"/>
      <c r="UUW7" s="28"/>
      <c r="UUX7" s="28"/>
      <c r="UUY7" s="28"/>
      <c r="UUZ7" s="28"/>
      <c r="UVA7" s="28"/>
      <c r="UVB7" s="28"/>
      <c r="UVC7" s="28"/>
      <c r="UVD7" s="28"/>
      <c r="UVE7" s="28"/>
      <c r="UVF7" s="28"/>
      <c r="UVG7" s="28"/>
      <c r="UVH7" s="28"/>
      <c r="UVI7" s="28"/>
      <c r="UVJ7" s="28"/>
      <c r="UVK7" s="28"/>
      <c r="UVL7" s="28"/>
      <c r="UVM7" s="28"/>
      <c r="UVN7" s="28"/>
      <c r="UVO7" s="28"/>
      <c r="UVP7" s="28"/>
      <c r="UVQ7" s="28"/>
      <c r="UVR7" s="28"/>
      <c r="UVS7" s="28"/>
      <c r="UVT7" s="28"/>
      <c r="UVU7" s="28"/>
      <c r="UVV7" s="28"/>
      <c r="UVW7" s="28"/>
      <c r="UVX7" s="28"/>
      <c r="UVY7" s="28"/>
      <c r="UVZ7" s="28"/>
      <c r="UWA7" s="28"/>
      <c r="UWB7" s="28"/>
      <c r="UWC7" s="28"/>
      <c r="UWD7" s="28"/>
      <c r="UWE7" s="28"/>
      <c r="UWF7" s="28"/>
      <c r="UWG7" s="28"/>
      <c r="UWH7" s="28"/>
      <c r="UWI7" s="28"/>
      <c r="UWJ7" s="28"/>
      <c r="UWK7" s="28"/>
      <c r="UWL7" s="28"/>
      <c r="UWM7" s="28"/>
      <c r="UWN7" s="28"/>
      <c r="UWO7" s="28"/>
      <c r="UWP7" s="28"/>
      <c r="UWQ7" s="28"/>
      <c r="UWR7" s="28"/>
      <c r="UWS7" s="28"/>
      <c r="UWT7" s="28"/>
      <c r="UWU7" s="28"/>
      <c r="UWV7" s="28"/>
      <c r="UWW7" s="28"/>
      <c r="UWX7" s="28"/>
      <c r="UWY7" s="28"/>
      <c r="UWZ7" s="28"/>
      <c r="UXA7" s="28"/>
      <c r="UXB7" s="28"/>
      <c r="UXC7" s="28"/>
      <c r="UXD7" s="28"/>
      <c r="UXE7" s="28"/>
      <c r="UXF7" s="28"/>
      <c r="UXG7" s="28"/>
      <c r="UXH7" s="28"/>
      <c r="UXI7" s="28"/>
      <c r="UXJ7" s="28"/>
      <c r="UXK7" s="28"/>
      <c r="UXL7" s="28"/>
      <c r="UXM7" s="28"/>
      <c r="UXN7" s="28"/>
      <c r="UXO7" s="28"/>
      <c r="UXP7" s="28"/>
      <c r="UXQ7" s="28"/>
      <c r="UXR7" s="28"/>
      <c r="UXS7" s="28"/>
      <c r="UXT7" s="28"/>
      <c r="UXU7" s="28"/>
      <c r="UXV7" s="28"/>
      <c r="UXW7" s="28"/>
      <c r="UXX7" s="28"/>
      <c r="UXY7" s="28"/>
      <c r="UXZ7" s="28"/>
      <c r="UYA7" s="28"/>
      <c r="UYB7" s="28"/>
      <c r="UYC7" s="28"/>
      <c r="UYD7" s="28"/>
      <c r="UYE7" s="28"/>
      <c r="UYF7" s="28"/>
      <c r="UYG7" s="28"/>
      <c r="UYH7" s="28"/>
      <c r="UYI7" s="28"/>
      <c r="UYJ7" s="28"/>
      <c r="UYK7" s="28"/>
      <c r="UYL7" s="28"/>
      <c r="UYM7" s="28"/>
      <c r="UYN7" s="28"/>
      <c r="UYO7" s="28"/>
      <c r="UYP7" s="28"/>
      <c r="UYQ7" s="28"/>
      <c r="UYR7" s="28"/>
      <c r="UYS7" s="28"/>
      <c r="UYT7" s="28"/>
      <c r="UYU7" s="28"/>
      <c r="UYV7" s="28"/>
      <c r="UYW7" s="28"/>
      <c r="UYX7" s="28"/>
      <c r="UYY7" s="28"/>
      <c r="UYZ7" s="28"/>
      <c r="UZA7" s="28"/>
      <c r="UZB7" s="28"/>
      <c r="UZC7" s="28"/>
      <c r="UZD7" s="28"/>
      <c r="UZE7" s="28"/>
      <c r="UZF7" s="28"/>
      <c r="UZG7" s="28"/>
      <c r="UZH7" s="28"/>
      <c r="UZI7" s="28"/>
      <c r="UZJ7" s="28"/>
      <c r="UZK7" s="28"/>
      <c r="UZL7" s="28"/>
      <c r="UZM7" s="28"/>
      <c r="UZN7" s="28"/>
      <c r="UZO7" s="28"/>
      <c r="UZP7" s="28"/>
      <c r="UZQ7" s="28"/>
      <c r="UZR7" s="28"/>
      <c r="UZS7" s="28"/>
      <c r="UZT7" s="28"/>
      <c r="UZU7" s="28"/>
      <c r="UZV7" s="28"/>
      <c r="UZW7" s="28"/>
      <c r="UZX7" s="28"/>
      <c r="UZY7" s="28"/>
      <c r="UZZ7" s="28"/>
      <c r="VAA7" s="28"/>
      <c r="VAB7" s="28"/>
      <c r="VAC7" s="28"/>
      <c r="VAD7" s="28"/>
      <c r="VAE7" s="28"/>
      <c r="VAF7" s="28"/>
      <c r="VAG7" s="28"/>
      <c r="VAH7" s="28"/>
      <c r="VAI7" s="28"/>
      <c r="VAJ7" s="28"/>
      <c r="VAK7" s="28"/>
      <c r="VAL7" s="28"/>
      <c r="VAM7" s="28"/>
      <c r="VAN7" s="28"/>
      <c r="VAO7" s="28"/>
      <c r="VAP7" s="28"/>
      <c r="VAQ7" s="28"/>
      <c r="VAR7" s="28"/>
      <c r="VAS7" s="28"/>
      <c r="VAT7" s="28"/>
      <c r="VAU7" s="28"/>
      <c r="VAV7" s="28"/>
      <c r="VAW7" s="28"/>
      <c r="VAX7" s="28"/>
      <c r="VAY7" s="28"/>
      <c r="VAZ7" s="28"/>
      <c r="VBA7" s="28"/>
      <c r="VBB7" s="28"/>
      <c r="VBC7" s="28"/>
      <c r="VBD7" s="28"/>
      <c r="VBE7" s="28"/>
      <c r="VBF7" s="28"/>
      <c r="VBG7" s="28"/>
      <c r="VBH7" s="28"/>
      <c r="VBI7" s="28"/>
      <c r="VBJ7" s="28"/>
      <c r="VBK7" s="28"/>
      <c r="VBL7" s="28"/>
      <c r="VBM7" s="28"/>
      <c r="VBN7" s="28"/>
      <c r="VBO7" s="28"/>
      <c r="VBP7" s="28"/>
      <c r="VBQ7" s="28"/>
      <c r="VBR7" s="28"/>
      <c r="VBS7" s="28"/>
      <c r="VBT7" s="28"/>
      <c r="VBU7" s="28"/>
      <c r="VBV7" s="28"/>
      <c r="VBW7" s="28"/>
      <c r="VBX7" s="28"/>
      <c r="VBY7" s="28"/>
      <c r="VBZ7" s="28"/>
      <c r="VCA7" s="28"/>
      <c r="VCB7" s="28"/>
      <c r="VCC7" s="28"/>
      <c r="VCD7" s="28"/>
      <c r="VCE7" s="28"/>
      <c r="VCF7" s="28"/>
      <c r="VCG7" s="28"/>
      <c r="VCH7" s="28"/>
      <c r="VCI7" s="28"/>
      <c r="VCJ7" s="28"/>
      <c r="VCK7" s="28"/>
      <c r="VCL7" s="28"/>
      <c r="VCM7" s="28"/>
      <c r="VCN7" s="28"/>
      <c r="VCO7" s="28"/>
      <c r="VCP7" s="28"/>
      <c r="VCQ7" s="28"/>
      <c r="VCR7" s="28"/>
      <c r="VCS7" s="28"/>
      <c r="VCT7" s="28"/>
      <c r="VCU7" s="28"/>
      <c r="VCV7" s="28"/>
      <c r="VCW7" s="28"/>
      <c r="VCX7" s="28"/>
      <c r="VCY7" s="28"/>
      <c r="VCZ7" s="28"/>
      <c r="VDA7" s="28"/>
      <c r="VDB7" s="28"/>
      <c r="VDC7" s="28"/>
      <c r="VDD7" s="28"/>
      <c r="VDE7" s="28"/>
      <c r="VDF7" s="28"/>
      <c r="VDG7" s="28"/>
      <c r="VDH7" s="28"/>
      <c r="VDI7" s="28"/>
      <c r="VDJ7" s="28"/>
      <c r="VDK7" s="28"/>
      <c r="VDL7" s="28"/>
      <c r="VDM7" s="28"/>
      <c r="VDN7" s="28"/>
      <c r="VDO7" s="28"/>
      <c r="VDP7" s="28"/>
      <c r="VDQ7" s="28"/>
      <c r="VDR7" s="28"/>
      <c r="VDS7" s="28"/>
      <c r="VDT7" s="28"/>
      <c r="VDU7" s="28"/>
      <c r="VDV7" s="28"/>
      <c r="VDW7" s="28"/>
      <c r="VDX7" s="28"/>
      <c r="VDY7" s="28"/>
      <c r="VDZ7" s="28"/>
      <c r="VEA7" s="28"/>
      <c r="VEB7" s="28"/>
      <c r="VEC7" s="28"/>
      <c r="VED7" s="28"/>
      <c r="VEE7" s="28"/>
      <c r="VEF7" s="28"/>
      <c r="VEG7" s="28"/>
      <c r="VEH7" s="28"/>
      <c r="VEI7" s="28"/>
      <c r="VEJ7" s="28"/>
      <c r="VEK7" s="28"/>
      <c r="VEL7" s="28"/>
      <c r="VEM7" s="28"/>
      <c r="VEN7" s="28"/>
      <c r="VEO7" s="28"/>
      <c r="VEP7" s="28"/>
      <c r="VEQ7" s="28"/>
      <c r="VER7" s="28"/>
      <c r="VES7" s="28"/>
      <c r="VET7" s="28"/>
      <c r="VEU7" s="28"/>
      <c r="VEV7" s="28"/>
      <c r="VEW7" s="28"/>
      <c r="VEX7" s="28"/>
      <c r="VEY7" s="28"/>
      <c r="VEZ7" s="28"/>
      <c r="VFA7" s="28"/>
      <c r="VFB7" s="28"/>
      <c r="VFC7" s="28"/>
      <c r="VFD7" s="28"/>
      <c r="VFE7" s="28"/>
      <c r="VFF7" s="28"/>
      <c r="VFG7" s="28"/>
      <c r="VFH7" s="28"/>
      <c r="VFI7" s="28"/>
      <c r="VFJ7" s="28"/>
      <c r="VFK7" s="28"/>
      <c r="VFL7" s="28"/>
      <c r="VFM7" s="28"/>
      <c r="VFN7" s="28"/>
      <c r="VFO7" s="28"/>
      <c r="VFP7" s="28"/>
      <c r="VFQ7" s="28"/>
      <c r="VFR7" s="28"/>
      <c r="VFS7" s="28"/>
      <c r="VFT7" s="28"/>
      <c r="VFU7" s="28"/>
      <c r="VFV7" s="28"/>
      <c r="VFW7" s="28"/>
      <c r="VFX7" s="28"/>
      <c r="VFY7" s="28"/>
      <c r="VFZ7" s="28"/>
      <c r="VGA7" s="28"/>
      <c r="VGB7" s="28"/>
      <c r="VGC7" s="28"/>
      <c r="VGD7" s="28"/>
      <c r="VGE7" s="28"/>
      <c r="VGF7" s="28"/>
      <c r="VGG7" s="28"/>
      <c r="VGH7" s="28"/>
      <c r="VGI7" s="28"/>
      <c r="VGJ7" s="28"/>
      <c r="VGK7" s="28"/>
      <c r="VGL7" s="28"/>
      <c r="VGM7" s="28"/>
      <c r="VGN7" s="28"/>
      <c r="VGO7" s="28"/>
      <c r="VGP7" s="28"/>
      <c r="VGQ7" s="28"/>
      <c r="VGR7" s="28"/>
      <c r="VGS7" s="28"/>
      <c r="VGT7" s="28"/>
      <c r="VGU7" s="28"/>
      <c r="VGV7" s="28"/>
      <c r="VGW7" s="28"/>
      <c r="VGX7" s="28"/>
      <c r="VGY7" s="28"/>
      <c r="VGZ7" s="28"/>
      <c r="VHA7" s="28"/>
      <c r="VHB7" s="28"/>
      <c r="VHC7" s="28"/>
      <c r="VHD7" s="28"/>
      <c r="VHE7" s="28"/>
      <c r="VHF7" s="28"/>
      <c r="VHG7" s="28"/>
      <c r="VHH7" s="28"/>
      <c r="VHI7" s="28"/>
      <c r="VHJ7" s="28"/>
      <c r="VHK7" s="28"/>
      <c r="VHL7" s="28"/>
      <c r="VHM7" s="28"/>
      <c r="VHN7" s="28"/>
      <c r="VHO7" s="28"/>
      <c r="VHP7" s="28"/>
      <c r="VHQ7" s="28"/>
      <c r="VHR7" s="28"/>
      <c r="VHS7" s="28"/>
      <c r="VHT7" s="28"/>
      <c r="VHU7" s="28"/>
      <c r="VHV7" s="28"/>
      <c r="VHW7" s="28"/>
      <c r="VHX7" s="28"/>
      <c r="VHY7" s="28"/>
      <c r="VHZ7" s="28"/>
      <c r="VIA7" s="28"/>
      <c r="VIB7" s="28"/>
      <c r="VIC7" s="28"/>
      <c r="VID7" s="28"/>
      <c r="VIE7" s="28"/>
      <c r="VIF7" s="28"/>
      <c r="VIG7" s="28"/>
      <c r="VIH7" s="28"/>
      <c r="VII7" s="28"/>
      <c r="VIJ7" s="28"/>
      <c r="VIK7" s="28"/>
      <c r="VIL7" s="28"/>
      <c r="VIM7" s="28"/>
      <c r="VIN7" s="28"/>
      <c r="VIO7" s="28"/>
      <c r="VIP7" s="28"/>
      <c r="VIQ7" s="28"/>
      <c r="VIR7" s="28"/>
      <c r="VIS7" s="28"/>
      <c r="VIT7" s="28"/>
      <c r="VIU7" s="28"/>
      <c r="VIV7" s="28"/>
      <c r="VIW7" s="28"/>
      <c r="VIX7" s="28"/>
      <c r="VIY7" s="28"/>
      <c r="VIZ7" s="28"/>
      <c r="VJA7" s="28"/>
      <c r="VJB7" s="28"/>
      <c r="VJC7" s="28"/>
      <c r="VJD7" s="28"/>
      <c r="VJE7" s="28"/>
      <c r="VJF7" s="28"/>
      <c r="VJG7" s="28"/>
      <c r="VJH7" s="28"/>
      <c r="VJI7" s="28"/>
      <c r="VJJ7" s="28"/>
      <c r="VJK7" s="28"/>
      <c r="VJL7" s="28"/>
      <c r="VJM7" s="28"/>
      <c r="VJN7" s="28"/>
      <c r="VJO7" s="28"/>
      <c r="VJP7" s="28"/>
      <c r="VJQ7" s="28"/>
      <c r="VJR7" s="28"/>
      <c r="VJS7" s="28"/>
      <c r="VJT7" s="28"/>
      <c r="VJU7" s="28"/>
      <c r="VJV7" s="28"/>
      <c r="VJW7" s="28"/>
      <c r="VJX7" s="28"/>
      <c r="VJY7" s="28"/>
      <c r="VJZ7" s="28"/>
      <c r="VKA7" s="28"/>
      <c r="VKB7" s="28"/>
      <c r="VKC7" s="28"/>
      <c r="VKD7" s="28"/>
      <c r="VKE7" s="28"/>
      <c r="VKF7" s="28"/>
      <c r="VKG7" s="28"/>
      <c r="VKH7" s="28"/>
      <c r="VKI7" s="28"/>
      <c r="VKJ7" s="28"/>
      <c r="VKK7" s="28"/>
      <c r="VKL7" s="28"/>
      <c r="VKM7" s="28"/>
      <c r="VKN7" s="28"/>
      <c r="VKO7" s="28"/>
      <c r="VKP7" s="28"/>
      <c r="VKQ7" s="28"/>
      <c r="VKR7" s="28"/>
      <c r="VKS7" s="28"/>
      <c r="VKT7" s="28"/>
      <c r="VKU7" s="28"/>
      <c r="VKV7" s="28"/>
      <c r="VKW7" s="28"/>
      <c r="VKX7" s="28"/>
      <c r="VKY7" s="28"/>
      <c r="VKZ7" s="28"/>
      <c r="VLA7" s="28"/>
      <c r="VLB7" s="28"/>
      <c r="VLC7" s="28"/>
      <c r="VLD7" s="28"/>
      <c r="VLE7" s="28"/>
      <c r="VLF7" s="28"/>
      <c r="VLG7" s="28"/>
      <c r="VLH7" s="28"/>
      <c r="VLI7" s="28"/>
      <c r="VLJ7" s="28"/>
      <c r="VLK7" s="28"/>
      <c r="VLL7" s="28"/>
      <c r="VLM7" s="28"/>
      <c r="VLN7" s="28"/>
      <c r="VLO7" s="28"/>
      <c r="VLP7" s="28"/>
      <c r="VLQ7" s="28"/>
      <c r="VLR7" s="28"/>
      <c r="VLS7" s="28"/>
      <c r="VLT7" s="28"/>
      <c r="VLU7" s="28"/>
      <c r="VLV7" s="28"/>
      <c r="VLW7" s="28"/>
      <c r="VLX7" s="28"/>
      <c r="VLY7" s="28"/>
      <c r="VLZ7" s="28"/>
      <c r="VMA7" s="28"/>
      <c r="VMB7" s="28"/>
      <c r="VMC7" s="28"/>
      <c r="VMD7" s="28"/>
      <c r="VME7" s="28"/>
      <c r="VMF7" s="28"/>
      <c r="VMG7" s="28"/>
      <c r="VMH7" s="28"/>
      <c r="VMI7" s="28"/>
      <c r="VMJ7" s="28"/>
      <c r="VMK7" s="28"/>
      <c r="VML7" s="28"/>
      <c r="VMM7" s="28"/>
      <c r="VMN7" s="28"/>
      <c r="VMO7" s="28"/>
      <c r="VMP7" s="28"/>
      <c r="VMQ7" s="28"/>
      <c r="VMR7" s="28"/>
      <c r="VMS7" s="28"/>
      <c r="VMT7" s="28"/>
      <c r="VMU7" s="28"/>
      <c r="VMV7" s="28"/>
      <c r="VMW7" s="28"/>
      <c r="VMX7" s="28"/>
      <c r="VMY7" s="28"/>
      <c r="VMZ7" s="28"/>
      <c r="VNA7" s="28"/>
      <c r="VNB7" s="28"/>
      <c r="VNC7" s="28"/>
      <c r="VND7" s="28"/>
      <c r="VNE7" s="28"/>
      <c r="VNF7" s="28"/>
      <c r="VNG7" s="28"/>
      <c r="VNH7" s="28"/>
      <c r="VNI7" s="28"/>
      <c r="VNJ7" s="28"/>
      <c r="VNK7" s="28"/>
      <c r="VNL7" s="28"/>
      <c r="VNM7" s="28"/>
      <c r="VNN7" s="28"/>
      <c r="VNO7" s="28"/>
      <c r="VNP7" s="28"/>
      <c r="VNQ7" s="28"/>
      <c r="VNR7" s="28"/>
      <c r="VNS7" s="28"/>
      <c r="VNT7" s="28"/>
      <c r="VNU7" s="28"/>
      <c r="VNV7" s="28"/>
      <c r="VNW7" s="28"/>
      <c r="VNX7" s="28"/>
      <c r="VNY7" s="28"/>
      <c r="VNZ7" s="28"/>
      <c r="VOA7" s="28"/>
      <c r="VOB7" s="28"/>
      <c r="VOC7" s="28"/>
      <c r="VOD7" s="28"/>
      <c r="VOE7" s="28"/>
      <c r="VOF7" s="28"/>
      <c r="VOG7" s="28"/>
      <c r="VOH7" s="28"/>
      <c r="VOI7" s="28"/>
      <c r="VOJ7" s="28"/>
      <c r="VOK7" s="28"/>
      <c r="VOL7" s="28"/>
      <c r="VOM7" s="28"/>
      <c r="VON7" s="28"/>
      <c r="VOO7" s="28"/>
      <c r="VOP7" s="28"/>
      <c r="VOQ7" s="28"/>
      <c r="VOR7" s="28"/>
      <c r="VOS7" s="28"/>
      <c r="VOT7" s="28"/>
      <c r="VOU7" s="28"/>
      <c r="VOV7" s="28"/>
      <c r="VOW7" s="28"/>
      <c r="VOX7" s="28"/>
      <c r="VOY7" s="28"/>
      <c r="VOZ7" s="28"/>
      <c r="VPA7" s="28"/>
      <c r="VPB7" s="28"/>
      <c r="VPC7" s="28"/>
      <c r="VPD7" s="28"/>
      <c r="VPE7" s="28"/>
      <c r="VPF7" s="28"/>
      <c r="VPG7" s="28"/>
      <c r="VPH7" s="28"/>
      <c r="VPI7" s="28"/>
      <c r="VPJ7" s="28"/>
      <c r="VPK7" s="28"/>
      <c r="VPL7" s="28"/>
      <c r="VPM7" s="28"/>
      <c r="VPN7" s="28"/>
      <c r="VPO7" s="28"/>
      <c r="VPP7" s="28"/>
      <c r="VPQ7" s="28"/>
      <c r="VPR7" s="28"/>
      <c r="VPS7" s="28"/>
      <c r="VPT7" s="28"/>
      <c r="VPU7" s="28"/>
      <c r="VPV7" s="28"/>
      <c r="VPW7" s="28"/>
      <c r="VPX7" s="28"/>
      <c r="VPY7" s="28"/>
      <c r="VPZ7" s="28"/>
      <c r="VQA7" s="28"/>
      <c r="VQB7" s="28"/>
      <c r="VQC7" s="28"/>
      <c r="VQD7" s="28"/>
      <c r="VQE7" s="28"/>
      <c r="VQF7" s="28"/>
      <c r="VQG7" s="28"/>
      <c r="VQH7" s="28"/>
      <c r="VQI7" s="28"/>
      <c r="VQJ7" s="28"/>
      <c r="VQK7" s="28"/>
      <c r="VQL7" s="28"/>
      <c r="VQM7" s="28"/>
      <c r="VQN7" s="28"/>
      <c r="VQO7" s="28"/>
      <c r="VQP7" s="28"/>
      <c r="VQQ7" s="28"/>
      <c r="VQR7" s="28"/>
      <c r="VQS7" s="28"/>
      <c r="VQT7" s="28"/>
      <c r="VQU7" s="28"/>
      <c r="VQV7" s="28"/>
      <c r="VQW7" s="28"/>
      <c r="VQX7" s="28"/>
      <c r="VQY7" s="28"/>
      <c r="VQZ7" s="28"/>
      <c r="VRA7" s="28"/>
      <c r="VRB7" s="28"/>
      <c r="VRC7" s="28"/>
      <c r="VRD7" s="28"/>
      <c r="VRE7" s="28"/>
      <c r="VRF7" s="28"/>
      <c r="VRG7" s="28"/>
      <c r="VRH7" s="28"/>
      <c r="VRI7" s="28"/>
      <c r="VRJ7" s="28"/>
      <c r="VRK7" s="28"/>
      <c r="VRL7" s="28"/>
      <c r="VRM7" s="28"/>
      <c r="VRN7" s="28"/>
      <c r="VRO7" s="28"/>
      <c r="VRP7" s="28"/>
      <c r="VRQ7" s="28"/>
      <c r="VRR7" s="28"/>
      <c r="VRS7" s="28"/>
      <c r="VRT7" s="28"/>
      <c r="VRU7" s="28"/>
      <c r="VRV7" s="28"/>
      <c r="VRW7" s="28"/>
      <c r="VRX7" s="28"/>
      <c r="VRY7" s="28"/>
      <c r="VRZ7" s="28"/>
      <c r="VSA7" s="28"/>
      <c r="VSB7" s="28"/>
      <c r="VSC7" s="28"/>
      <c r="VSD7" s="28"/>
      <c r="VSE7" s="28"/>
      <c r="VSF7" s="28"/>
      <c r="VSG7" s="28"/>
      <c r="VSH7" s="28"/>
      <c r="VSI7" s="28"/>
      <c r="VSJ7" s="28"/>
      <c r="VSK7" s="28"/>
      <c r="VSL7" s="28"/>
      <c r="VSM7" s="28"/>
      <c r="VSN7" s="28"/>
      <c r="VSO7" s="28"/>
      <c r="VSP7" s="28"/>
      <c r="VSQ7" s="28"/>
      <c r="VSR7" s="28"/>
      <c r="VSS7" s="28"/>
      <c r="VST7" s="28"/>
      <c r="VSU7" s="28"/>
      <c r="VSV7" s="28"/>
      <c r="VSW7" s="28"/>
      <c r="VSX7" s="28"/>
      <c r="VSY7" s="28"/>
      <c r="VSZ7" s="28"/>
      <c r="VTA7" s="28"/>
      <c r="VTB7" s="28"/>
      <c r="VTC7" s="28"/>
      <c r="VTD7" s="28"/>
      <c r="VTE7" s="28"/>
      <c r="VTF7" s="28"/>
      <c r="VTG7" s="28"/>
      <c r="VTH7" s="28"/>
      <c r="VTI7" s="28"/>
      <c r="VTJ7" s="28"/>
      <c r="VTK7" s="28"/>
      <c r="VTL7" s="28"/>
      <c r="VTM7" s="28"/>
      <c r="VTN7" s="28"/>
      <c r="VTO7" s="28"/>
      <c r="VTP7" s="28"/>
      <c r="VTQ7" s="28"/>
      <c r="VTR7" s="28"/>
      <c r="VTS7" s="28"/>
      <c r="VTT7" s="28"/>
      <c r="VTU7" s="28"/>
      <c r="VTV7" s="28"/>
      <c r="VTW7" s="28"/>
      <c r="VTX7" s="28"/>
      <c r="VTY7" s="28"/>
      <c r="VTZ7" s="28"/>
      <c r="VUA7" s="28"/>
      <c r="VUB7" s="28"/>
      <c r="VUC7" s="28"/>
      <c r="VUD7" s="28"/>
      <c r="VUE7" s="28"/>
      <c r="VUF7" s="28"/>
      <c r="VUG7" s="28"/>
      <c r="VUH7" s="28"/>
      <c r="VUI7" s="28"/>
      <c r="VUJ7" s="28"/>
      <c r="VUK7" s="28"/>
      <c r="VUL7" s="28"/>
      <c r="VUM7" s="28"/>
      <c r="VUN7" s="28"/>
      <c r="VUO7" s="28"/>
      <c r="VUP7" s="28"/>
      <c r="VUQ7" s="28"/>
      <c r="VUR7" s="28"/>
      <c r="VUS7" s="28"/>
      <c r="VUT7" s="28"/>
      <c r="VUU7" s="28"/>
      <c r="VUV7" s="28"/>
      <c r="VUW7" s="28"/>
      <c r="VUX7" s="28"/>
      <c r="VUY7" s="28"/>
      <c r="VUZ7" s="28"/>
      <c r="VVA7" s="28"/>
      <c r="VVB7" s="28"/>
      <c r="VVC7" s="28"/>
      <c r="VVD7" s="28"/>
      <c r="VVE7" s="28"/>
      <c r="VVF7" s="28"/>
      <c r="VVG7" s="28"/>
      <c r="VVH7" s="28"/>
      <c r="VVI7" s="28"/>
      <c r="VVJ7" s="28"/>
      <c r="VVK7" s="28"/>
      <c r="VVL7" s="28"/>
      <c r="VVM7" s="28"/>
      <c r="VVN7" s="28"/>
      <c r="VVO7" s="28"/>
      <c r="VVP7" s="28"/>
      <c r="VVQ7" s="28"/>
      <c r="VVR7" s="28"/>
      <c r="VVS7" s="28"/>
      <c r="VVT7" s="28"/>
      <c r="VVU7" s="28"/>
      <c r="VVV7" s="28"/>
      <c r="VVW7" s="28"/>
      <c r="VVX7" s="28"/>
      <c r="VVY7" s="28"/>
      <c r="VVZ7" s="28"/>
      <c r="VWA7" s="28"/>
      <c r="VWB7" s="28"/>
      <c r="VWC7" s="28"/>
      <c r="VWD7" s="28"/>
      <c r="VWE7" s="28"/>
      <c r="VWF7" s="28"/>
      <c r="VWG7" s="28"/>
      <c r="VWH7" s="28"/>
      <c r="VWI7" s="28"/>
      <c r="VWJ7" s="28"/>
      <c r="VWK7" s="28"/>
      <c r="VWL7" s="28"/>
      <c r="VWM7" s="28"/>
      <c r="VWN7" s="28"/>
      <c r="VWO7" s="28"/>
      <c r="VWP7" s="28"/>
      <c r="VWQ7" s="28"/>
      <c r="VWR7" s="28"/>
      <c r="VWS7" s="28"/>
      <c r="VWT7" s="28"/>
      <c r="VWU7" s="28"/>
      <c r="VWV7" s="28"/>
      <c r="VWW7" s="28"/>
      <c r="VWX7" s="28"/>
      <c r="VWY7" s="28"/>
      <c r="VWZ7" s="28"/>
      <c r="VXA7" s="28"/>
      <c r="VXB7" s="28"/>
      <c r="VXC7" s="28"/>
      <c r="VXD7" s="28"/>
      <c r="VXE7" s="28"/>
      <c r="VXF7" s="28"/>
      <c r="VXG7" s="28"/>
      <c r="VXH7" s="28"/>
      <c r="VXI7" s="28"/>
      <c r="VXJ7" s="28"/>
      <c r="VXK7" s="28"/>
      <c r="VXL7" s="28"/>
      <c r="VXM7" s="28"/>
      <c r="VXN7" s="28"/>
      <c r="VXO7" s="28"/>
      <c r="VXP7" s="28"/>
      <c r="VXQ7" s="28"/>
      <c r="VXR7" s="28"/>
      <c r="VXS7" s="28"/>
      <c r="VXT7" s="28"/>
      <c r="VXU7" s="28"/>
      <c r="VXV7" s="28"/>
      <c r="VXW7" s="28"/>
      <c r="VXX7" s="28"/>
      <c r="VXY7" s="28"/>
      <c r="VXZ7" s="28"/>
      <c r="VYA7" s="28"/>
      <c r="VYB7" s="28"/>
      <c r="VYC7" s="28"/>
      <c r="VYD7" s="28"/>
      <c r="VYE7" s="28"/>
      <c r="VYF7" s="28"/>
      <c r="VYG7" s="28"/>
      <c r="VYH7" s="28"/>
      <c r="VYI7" s="28"/>
      <c r="VYJ7" s="28"/>
      <c r="VYK7" s="28"/>
      <c r="VYL7" s="28"/>
      <c r="VYM7" s="28"/>
      <c r="VYN7" s="28"/>
      <c r="VYO7" s="28"/>
      <c r="VYP7" s="28"/>
      <c r="VYQ7" s="28"/>
      <c r="VYR7" s="28"/>
      <c r="VYS7" s="28"/>
      <c r="VYT7" s="28"/>
      <c r="VYU7" s="28"/>
      <c r="VYV7" s="28"/>
      <c r="VYW7" s="28"/>
      <c r="VYX7" s="28"/>
      <c r="VYY7" s="28"/>
      <c r="VYZ7" s="28"/>
      <c r="VZA7" s="28"/>
      <c r="VZB7" s="28"/>
      <c r="VZC7" s="28"/>
      <c r="VZD7" s="28"/>
      <c r="VZE7" s="28"/>
      <c r="VZF7" s="28"/>
      <c r="VZG7" s="28"/>
      <c r="VZH7" s="28"/>
      <c r="VZI7" s="28"/>
      <c r="VZJ7" s="28"/>
      <c r="VZK7" s="28"/>
      <c r="VZL7" s="28"/>
      <c r="VZM7" s="28"/>
      <c r="VZN7" s="28"/>
      <c r="VZO7" s="28"/>
      <c r="VZP7" s="28"/>
      <c r="VZQ7" s="28"/>
      <c r="VZR7" s="28"/>
      <c r="VZS7" s="28"/>
      <c r="VZT7" s="28"/>
      <c r="VZU7" s="28"/>
      <c r="VZV7" s="28"/>
      <c r="VZW7" s="28"/>
      <c r="VZX7" s="28"/>
      <c r="VZY7" s="28"/>
      <c r="VZZ7" s="28"/>
      <c r="WAA7" s="28"/>
      <c r="WAB7" s="28"/>
      <c r="WAC7" s="28"/>
      <c r="WAD7" s="28"/>
      <c r="WAE7" s="28"/>
      <c r="WAF7" s="28"/>
      <c r="WAG7" s="28"/>
      <c r="WAH7" s="28"/>
      <c r="WAI7" s="28"/>
      <c r="WAJ7" s="28"/>
      <c r="WAK7" s="28"/>
      <c r="WAL7" s="28"/>
      <c r="WAM7" s="28"/>
      <c r="WAN7" s="28"/>
      <c r="WAO7" s="28"/>
      <c r="WAP7" s="28"/>
      <c r="WAQ7" s="28"/>
      <c r="WAR7" s="28"/>
      <c r="WAS7" s="28"/>
      <c r="WAT7" s="28"/>
      <c r="WAU7" s="28"/>
      <c r="WAV7" s="28"/>
      <c r="WAW7" s="28"/>
      <c r="WAX7" s="28"/>
      <c r="WAY7" s="28"/>
      <c r="WAZ7" s="28"/>
      <c r="WBA7" s="28"/>
      <c r="WBB7" s="28"/>
      <c r="WBC7" s="28"/>
      <c r="WBD7" s="28"/>
      <c r="WBE7" s="28"/>
      <c r="WBF7" s="28"/>
      <c r="WBG7" s="28"/>
      <c r="WBH7" s="28"/>
      <c r="WBI7" s="28"/>
      <c r="WBJ7" s="28"/>
      <c r="WBK7" s="28"/>
      <c r="WBL7" s="28"/>
      <c r="WBM7" s="28"/>
      <c r="WBN7" s="28"/>
      <c r="WBO7" s="28"/>
      <c r="WBP7" s="28"/>
      <c r="WBQ7" s="28"/>
      <c r="WBR7" s="28"/>
      <c r="WBS7" s="28"/>
      <c r="WBT7" s="28"/>
      <c r="WBU7" s="28"/>
      <c r="WBV7" s="28"/>
      <c r="WBW7" s="28"/>
      <c r="WBX7" s="28"/>
      <c r="WBY7" s="28"/>
      <c r="WBZ7" s="28"/>
      <c r="WCA7" s="28"/>
      <c r="WCB7" s="28"/>
      <c r="WCC7" s="28"/>
      <c r="WCD7" s="28"/>
      <c r="WCE7" s="28"/>
      <c r="WCF7" s="28"/>
      <c r="WCG7" s="28"/>
      <c r="WCH7" s="28"/>
      <c r="WCI7" s="28"/>
      <c r="WCJ7" s="28"/>
      <c r="WCK7" s="28"/>
      <c r="WCL7" s="28"/>
      <c r="WCM7" s="28"/>
      <c r="WCN7" s="28"/>
      <c r="WCO7" s="28"/>
      <c r="WCP7" s="28"/>
      <c r="WCQ7" s="28"/>
      <c r="WCR7" s="28"/>
      <c r="WCS7" s="28"/>
      <c r="WCT7" s="28"/>
      <c r="WCU7" s="28"/>
      <c r="WCV7" s="28"/>
      <c r="WCW7" s="28"/>
      <c r="WCX7" s="28"/>
      <c r="WCY7" s="28"/>
      <c r="WCZ7" s="28"/>
      <c r="WDA7" s="28"/>
      <c r="WDB7" s="28"/>
      <c r="WDC7" s="28"/>
      <c r="WDD7" s="28"/>
      <c r="WDE7" s="28"/>
      <c r="WDF7" s="28"/>
      <c r="WDG7" s="28"/>
      <c r="WDH7" s="28"/>
      <c r="WDI7" s="28"/>
      <c r="WDJ7" s="28"/>
      <c r="WDK7" s="28"/>
      <c r="WDL7" s="28"/>
      <c r="WDM7" s="28"/>
      <c r="WDN7" s="28"/>
      <c r="WDO7" s="28"/>
      <c r="WDP7" s="28"/>
      <c r="WDQ7" s="28"/>
      <c r="WDR7" s="28"/>
      <c r="WDS7" s="28"/>
      <c r="WDT7" s="28"/>
      <c r="WDU7" s="28"/>
      <c r="WDV7" s="28"/>
      <c r="WDW7" s="28"/>
      <c r="WDX7" s="28"/>
      <c r="WDY7" s="28"/>
      <c r="WDZ7" s="28"/>
      <c r="WEA7" s="28"/>
      <c r="WEB7" s="28"/>
      <c r="WEC7" s="28"/>
      <c r="WED7" s="28"/>
      <c r="WEE7" s="28"/>
      <c r="WEF7" s="28"/>
      <c r="WEG7" s="28"/>
      <c r="WEH7" s="28"/>
      <c r="WEI7" s="28"/>
      <c r="WEJ7" s="28"/>
      <c r="WEK7" s="28"/>
      <c r="WEL7" s="28"/>
      <c r="WEM7" s="28"/>
      <c r="WEN7" s="28"/>
      <c r="WEO7" s="28"/>
      <c r="WEP7" s="28"/>
      <c r="WEQ7" s="28"/>
      <c r="WER7" s="28"/>
      <c r="WES7" s="28"/>
      <c r="WET7" s="28"/>
      <c r="WEU7" s="28"/>
      <c r="WEV7" s="28"/>
      <c r="WEW7" s="28"/>
      <c r="WEX7" s="28"/>
      <c r="WEY7" s="28"/>
      <c r="WEZ7" s="28"/>
      <c r="WFA7" s="28"/>
      <c r="WFB7" s="28"/>
      <c r="WFC7" s="28"/>
      <c r="WFD7" s="28"/>
      <c r="WFE7" s="28"/>
      <c r="WFF7" s="28"/>
      <c r="WFG7" s="28"/>
      <c r="WFH7" s="28"/>
      <c r="WFI7" s="28"/>
      <c r="WFJ7" s="28"/>
      <c r="WFK7" s="28"/>
      <c r="WFL7" s="28"/>
      <c r="WFM7" s="28"/>
      <c r="WFN7" s="28"/>
      <c r="WFO7" s="28"/>
      <c r="WFP7" s="28"/>
      <c r="WFQ7" s="28"/>
      <c r="WFR7" s="28"/>
      <c r="WFS7" s="28"/>
      <c r="WFT7" s="28"/>
      <c r="WFU7" s="28"/>
      <c r="WFV7" s="28"/>
      <c r="WFW7" s="28"/>
      <c r="WFX7" s="28"/>
      <c r="WFY7" s="28"/>
      <c r="WFZ7" s="28"/>
      <c r="WGA7" s="28"/>
      <c r="WGB7" s="28"/>
      <c r="WGC7" s="28"/>
      <c r="WGD7" s="28"/>
      <c r="WGE7" s="28"/>
      <c r="WGF7" s="28"/>
      <c r="WGG7" s="28"/>
      <c r="WGH7" s="28"/>
      <c r="WGI7" s="28"/>
      <c r="WGJ7" s="28"/>
      <c r="WGK7" s="28"/>
      <c r="WGL7" s="28"/>
      <c r="WGM7" s="28"/>
      <c r="WGN7" s="28"/>
      <c r="WGO7" s="28"/>
      <c r="WGP7" s="28"/>
      <c r="WGQ7" s="28"/>
      <c r="WGR7" s="28"/>
      <c r="WGS7" s="28"/>
      <c r="WGT7" s="28"/>
      <c r="WGU7" s="28"/>
      <c r="WGV7" s="28"/>
      <c r="WGW7" s="28"/>
      <c r="WGX7" s="28"/>
      <c r="WGY7" s="28"/>
      <c r="WGZ7" s="28"/>
      <c r="WHA7" s="28"/>
      <c r="WHB7" s="28"/>
      <c r="WHC7" s="28"/>
      <c r="WHD7" s="28"/>
      <c r="WHE7" s="28"/>
      <c r="WHF7" s="28"/>
      <c r="WHG7" s="28"/>
      <c r="WHH7" s="28"/>
      <c r="WHI7" s="28"/>
      <c r="WHJ7" s="28"/>
      <c r="WHK7" s="28"/>
      <c r="WHL7" s="28"/>
      <c r="WHM7" s="28"/>
      <c r="WHN7" s="28"/>
      <c r="WHO7" s="28"/>
      <c r="WHP7" s="28"/>
      <c r="WHQ7" s="28"/>
      <c r="WHR7" s="28"/>
      <c r="WHS7" s="28"/>
      <c r="WHT7" s="28"/>
      <c r="WHU7" s="28"/>
      <c r="WHV7" s="28"/>
      <c r="WHW7" s="28"/>
      <c r="WHX7" s="28"/>
      <c r="WHY7" s="28"/>
      <c r="WHZ7" s="28"/>
      <c r="WIA7" s="28"/>
      <c r="WIB7" s="28"/>
      <c r="WIC7" s="28"/>
      <c r="WID7" s="28"/>
      <c r="WIE7" s="28"/>
      <c r="WIF7" s="28"/>
      <c r="WIG7" s="28"/>
      <c r="WIH7" s="28"/>
      <c r="WII7" s="28"/>
      <c r="WIJ7" s="28"/>
      <c r="WIK7" s="28"/>
      <c r="WIL7" s="28"/>
      <c r="WIM7" s="28"/>
      <c r="WIN7" s="28"/>
      <c r="WIO7" s="28"/>
      <c r="WIP7" s="28"/>
      <c r="WIQ7" s="28"/>
      <c r="WIR7" s="28"/>
      <c r="WIS7" s="28"/>
      <c r="WIT7" s="28"/>
      <c r="WIU7" s="28"/>
      <c r="WIV7" s="28"/>
      <c r="WIW7" s="28"/>
      <c r="WIX7" s="28"/>
      <c r="WIY7" s="28"/>
      <c r="WIZ7" s="28"/>
      <c r="WJA7" s="28"/>
      <c r="WJB7" s="28"/>
      <c r="WJC7" s="28"/>
      <c r="WJD7" s="28"/>
      <c r="WJE7" s="28"/>
      <c r="WJF7" s="28"/>
      <c r="WJG7" s="28"/>
      <c r="WJH7" s="28"/>
      <c r="WJI7" s="28"/>
      <c r="WJJ7" s="28"/>
      <c r="WJK7" s="28"/>
      <c r="WJL7" s="28"/>
      <c r="WJM7" s="28"/>
      <c r="WJN7" s="28"/>
      <c r="WJO7" s="28"/>
      <c r="WJP7" s="28"/>
      <c r="WJQ7" s="28"/>
      <c r="WJR7" s="28"/>
      <c r="WJS7" s="28"/>
      <c r="WJT7" s="28"/>
      <c r="WJU7" s="28"/>
      <c r="WJV7" s="28"/>
      <c r="WJW7" s="28"/>
      <c r="WJX7" s="28"/>
      <c r="WJY7" s="28"/>
      <c r="WJZ7" s="28"/>
      <c r="WKA7" s="28"/>
      <c r="WKB7" s="28"/>
      <c r="WKC7" s="28"/>
      <c r="WKD7" s="28"/>
      <c r="WKE7" s="28"/>
      <c r="WKF7" s="28"/>
      <c r="WKG7" s="28"/>
      <c r="WKH7" s="28"/>
      <c r="WKI7" s="28"/>
      <c r="WKJ7" s="28"/>
      <c r="WKK7" s="28"/>
      <c r="WKL7" s="28"/>
      <c r="WKM7" s="28"/>
      <c r="WKN7" s="28"/>
      <c r="WKO7" s="28"/>
      <c r="WKP7" s="28"/>
      <c r="WKQ7" s="28"/>
      <c r="WKR7" s="28"/>
      <c r="WKS7" s="28"/>
      <c r="WKT7" s="28"/>
      <c r="WKU7" s="28"/>
      <c r="WKV7" s="28"/>
      <c r="WKW7" s="28"/>
      <c r="WKX7" s="28"/>
      <c r="WKY7" s="28"/>
      <c r="WKZ7" s="28"/>
      <c r="WLA7" s="28"/>
      <c r="WLB7" s="28"/>
      <c r="WLC7" s="28"/>
      <c r="WLD7" s="28"/>
      <c r="WLE7" s="28"/>
      <c r="WLF7" s="28"/>
      <c r="WLG7" s="28"/>
      <c r="WLH7" s="28"/>
      <c r="WLI7" s="28"/>
      <c r="WLJ7" s="28"/>
      <c r="WLK7" s="28"/>
      <c r="WLL7" s="28"/>
      <c r="WLM7" s="28"/>
      <c r="WLN7" s="28"/>
      <c r="WLO7" s="28"/>
      <c r="WLP7" s="28"/>
      <c r="WLQ7" s="28"/>
      <c r="WLR7" s="28"/>
      <c r="WLS7" s="28"/>
      <c r="WLT7" s="28"/>
      <c r="WLU7" s="28"/>
      <c r="WLV7" s="28"/>
      <c r="WLW7" s="28"/>
      <c r="WLX7" s="28"/>
      <c r="WLY7" s="28"/>
      <c r="WLZ7" s="28"/>
      <c r="WMA7" s="28"/>
      <c r="WMB7" s="28"/>
      <c r="WMC7" s="28"/>
      <c r="WMD7" s="28"/>
      <c r="WME7" s="28"/>
      <c r="WMF7" s="28"/>
      <c r="WMG7" s="28"/>
      <c r="WMH7" s="28"/>
      <c r="WMI7" s="28"/>
      <c r="WMJ7" s="28"/>
      <c r="WMK7" s="28"/>
      <c r="WML7" s="28"/>
      <c r="WMM7" s="28"/>
      <c r="WMN7" s="28"/>
      <c r="WMO7" s="28"/>
      <c r="WMP7" s="28"/>
      <c r="WMQ7" s="28"/>
      <c r="WMR7" s="28"/>
      <c r="WMS7" s="28"/>
      <c r="WMT7" s="28"/>
      <c r="WMU7" s="28"/>
      <c r="WMV7" s="28"/>
      <c r="WMW7" s="28"/>
      <c r="WMX7" s="28"/>
      <c r="WMY7" s="28"/>
      <c r="WMZ7" s="28"/>
      <c r="WNA7" s="28"/>
      <c r="WNB7" s="28"/>
      <c r="WNC7" s="28"/>
      <c r="WND7" s="28"/>
      <c r="WNE7" s="28"/>
      <c r="WNF7" s="28"/>
      <c r="WNG7" s="28"/>
      <c r="WNH7" s="28"/>
      <c r="WNI7" s="28"/>
      <c r="WNJ7" s="28"/>
      <c r="WNK7" s="28"/>
      <c r="WNL7" s="28"/>
      <c r="WNM7" s="28"/>
      <c r="WNN7" s="28"/>
      <c r="WNO7" s="28"/>
      <c r="WNP7" s="28"/>
      <c r="WNQ7" s="28"/>
      <c r="WNR7" s="28"/>
      <c r="WNS7" s="28"/>
      <c r="WNT7" s="28"/>
      <c r="WNU7" s="28"/>
      <c r="WNV7" s="28"/>
      <c r="WNW7" s="28"/>
      <c r="WNX7" s="28"/>
      <c r="WNY7" s="28"/>
      <c r="WNZ7" s="28"/>
      <c r="WOA7" s="28"/>
      <c r="WOB7" s="28"/>
      <c r="WOC7" s="28"/>
      <c r="WOD7" s="28"/>
      <c r="WOE7" s="28"/>
      <c r="WOF7" s="28"/>
      <c r="WOG7" s="28"/>
      <c r="WOH7" s="28"/>
      <c r="WOI7" s="28"/>
      <c r="WOJ7" s="28"/>
      <c r="WOK7" s="28"/>
      <c r="WOL7" s="28"/>
      <c r="WOM7" s="28"/>
      <c r="WON7" s="28"/>
      <c r="WOO7" s="28"/>
      <c r="WOP7" s="28"/>
      <c r="WOQ7" s="28"/>
      <c r="WOR7" s="28"/>
      <c r="WOS7" s="28"/>
      <c r="WOT7" s="28"/>
      <c r="WOU7" s="28"/>
      <c r="WOV7" s="28"/>
      <c r="WOW7" s="28"/>
      <c r="WOX7" s="28"/>
      <c r="WOY7" s="28"/>
      <c r="WOZ7" s="28"/>
      <c r="WPA7" s="28"/>
      <c r="WPB7" s="28"/>
      <c r="WPC7" s="28"/>
      <c r="WPD7" s="28"/>
      <c r="WPE7" s="28"/>
      <c r="WPF7" s="28"/>
      <c r="WPG7" s="28"/>
      <c r="WPH7" s="28"/>
      <c r="WPI7" s="28"/>
      <c r="WPJ7" s="28"/>
      <c r="WPK7" s="28"/>
      <c r="WPL7" s="28"/>
      <c r="WPM7" s="28"/>
      <c r="WPN7" s="28"/>
      <c r="WPO7" s="28"/>
      <c r="WPP7" s="28"/>
      <c r="WPQ7" s="28"/>
      <c r="WPR7" s="28"/>
      <c r="WPS7" s="28"/>
      <c r="WPT7" s="28"/>
      <c r="WPU7" s="28"/>
      <c r="WPV7" s="28"/>
      <c r="WPW7" s="28"/>
      <c r="WPX7" s="28"/>
      <c r="WPY7" s="28"/>
      <c r="WPZ7" s="28"/>
      <c r="WQA7" s="28"/>
      <c r="WQB7" s="28"/>
      <c r="WQC7" s="28"/>
      <c r="WQD7" s="28"/>
      <c r="WQE7" s="28"/>
      <c r="WQF7" s="28"/>
      <c r="WQG7" s="28"/>
      <c r="WQH7" s="28"/>
      <c r="WQI7" s="28"/>
      <c r="WQJ7" s="28"/>
      <c r="WQK7" s="28"/>
      <c r="WQL7" s="28"/>
      <c r="WQM7" s="28"/>
      <c r="WQN7" s="28"/>
      <c r="WQO7" s="28"/>
      <c r="WQP7" s="28"/>
      <c r="WQQ7" s="28"/>
      <c r="WQR7" s="28"/>
      <c r="WQS7" s="28"/>
      <c r="WQT7" s="28"/>
      <c r="WQU7" s="28"/>
      <c r="WQV7" s="28"/>
      <c r="WQW7" s="28"/>
      <c r="WQX7" s="28"/>
      <c r="WQY7" s="28"/>
      <c r="WQZ7" s="28"/>
      <c r="WRA7" s="28"/>
      <c r="WRB7" s="28"/>
      <c r="WRC7" s="28"/>
      <c r="WRD7" s="28"/>
      <c r="WRE7" s="28"/>
      <c r="WRF7" s="28"/>
      <c r="WRG7" s="28"/>
      <c r="WRH7" s="28"/>
      <c r="WRI7" s="28"/>
      <c r="WRJ7" s="28"/>
      <c r="WRK7" s="28"/>
      <c r="WRL7" s="28"/>
      <c r="WRM7" s="28"/>
      <c r="WRN7" s="28"/>
      <c r="WRO7" s="28"/>
      <c r="WRP7" s="28"/>
      <c r="WRQ7" s="28"/>
      <c r="WRR7" s="28"/>
      <c r="WRS7" s="28"/>
      <c r="WRT7" s="28"/>
      <c r="WRU7" s="28"/>
      <c r="WRV7" s="28"/>
      <c r="WRW7" s="28"/>
      <c r="WRX7" s="28"/>
      <c r="WRY7" s="28"/>
      <c r="WRZ7" s="28"/>
      <c r="WSA7" s="28"/>
      <c r="WSB7" s="28"/>
      <c r="WSC7" s="28"/>
      <c r="WSD7" s="28"/>
      <c r="WSE7" s="28"/>
      <c r="WSF7" s="28"/>
      <c r="WSG7" s="28"/>
      <c r="WSH7" s="28"/>
      <c r="WSI7" s="28"/>
      <c r="WSJ7" s="28"/>
      <c r="WSK7" s="28"/>
      <c r="WSL7" s="28"/>
      <c r="WSM7" s="28"/>
      <c r="WSN7" s="28"/>
      <c r="WSO7" s="28"/>
      <c r="WSP7" s="28"/>
      <c r="WSQ7" s="28"/>
      <c r="WSR7" s="28"/>
      <c r="WSS7" s="28"/>
      <c r="WST7" s="28"/>
      <c r="WSU7" s="28"/>
      <c r="WSV7" s="28"/>
      <c r="WSW7" s="28"/>
      <c r="WSX7" s="28"/>
      <c r="WSY7" s="28"/>
      <c r="WSZ7" s="28"/>
      <c r="WTA7" s="28"/>
      <c r="WTB7" s="28"/>
      <c r="WTC7" s="28"/>
      <c r="WTD7" s="28"/>
      <c r="WTE7" s="28"/>
      <c r="WTF7" s="28"/>
      <c r="WTG7" s="28"/>
      <c r="WTH7" s="28"/>
      <c r="WTI7" s="28"/>
      <c r="WTJ7" s="28"/>
      <c r="WTK7" s="28"/>
      <c r="WTL7" s="28"/>
      <c r="WTM7" s="28"/>
      <c r="WTN7" s="28"/>
      <c r="WTO7" s="28"/>
      <c r="WTP7" s="28"/>
      <c r="WTQ7" s="28"/>
      <c r="WTR7" s="28"/>
      <c r="WTS7" s="28"/>
      <c r="WTT7" s="28"/>
      <c r="WTU7" s="28"/>
      <c r="WTV7" s="28"/>
      <c r="WTW7" s="28"/>
      <c r="WTX7" s="28"/>
      <c r="WTY7" s="28"/>
      <c r="WTZ7" s="28"/>
      <c r="WUA7" s="28"/>
      <c r="WUB7" s="28"/>
      <c r="WUC7" s="28"/>
      <c r="WUD7" s="28"/>
      <c r="WUE7" s="28"/>
      <c r="WUF7" s="28"/>
      <c r="WUG7" s="28"/>
      <c r="WUH7" s="28"/>
      <c r="WUI7" s="28"/>
      <c r="WUJ7" s="28"/>
      <c r="WUK7" s="28"/>
      <c r="WUL7" s="28"/>
      <c r="WUM7" s="28"/>
      <c r="WUN7" s="28"/>
      <c r="WUO7" s="28"/>
      <c r="WUP7" s="28"/>
      <c r="WUQ7" s="28"/>
      <c r="WUR7" s="28"/>
      <c r="WUS7" s="28"/>
      <c r="WUT7" s="28"/>
      <c r="WUU7" s="28"/>
      <c r="WUV7" s="28"/>
      <c r="WUW7" s="28"/>
      <c r="WUX7" s="28"/>
      <c r="WUY7" s="28"/>
      <c r="WUZ7" s="28"/>
      <c r="WVA7" s="28"/>
      <c r="WVB7" s="28"/>
      <c r="WVC7" s="28"/>
      <c r="WVD7" s="28"/>
      <c r="WVE7" s="28"/>
      <c r="WVF7" s="28"/>
      <c r="WVG7" s="28"/>
      <c r="WVH7" s="28"/>
      <c r="WVI7" s="28"/>
      <c r="WVJ7" s="28"/>
      <c r="WVK7" s="28"/>
      <c r="WVL7" s="28"/>
      <c r="WVM7" s="28"/>
      <c r="WVN7" s="28"/>
      <c r="WVO7" s="28"/>
      <c r="WVP7" s="28"/>
      <c r="WVQ7" s="28"/>
      <c r="WVR7" s="28"/>
      <c r="WVS7" s="28"/>
      <c r="WVT7" s="28"/>
      <c r="WVU7" s="28"/>
      <c r="WVV7" s="28"/>
      <c r="WVW7" s="28"/>
      <c r="WVX7" s="28"/>
      <c r="WVY7" s="28"/>
      <c r="WVZ7" s="28"/>
      <c r="WWA7" s="28"/>
      <c r="WWB7" s="28"/>
      <c r="WWC7" s="28"/>
      <c r="WWD7" s="28"/>
      <c r="WWE7" s="28"/>
      <c r="WWF7" s="28"/>
      <c r="WWG7" s="28"/>
      <c r="WWH7" s="28"/>
      <c r="WWI7" s="28"/>
      <c r="WWJ7" s="28"/>
      <c r="WWK7" s="28"/>
      <c r="WWL7" s="28"/>
      <c r="WWM7" s="28"/>
      <c r="WWN7" s="28"/>
      <c r="WWO7" s="28"/>
      <c r="WWP7" s="28"/>
      <c r="WWQ7" s="28"/>
      <c r="WWR7" s="28"/>
      <c r="WWS7" s="28"/>
      <c r="WWT7" s="28"/>
      <c r="WWU7" s="28"/>
      <c r="WWV7" s="28"/>
      <c r="WWW7" s="28"/>
      <c r="WWX7" s="28"/>
      <c r="WWY7" s="28"/>
      <c r="WWZ7" s="28"/>
      <c r="WXA7" s="28"/>
      <c r="WXB7" s="28"/>
      <c r="WXC7" s="28"/>
      <c r="WXD7" s="28"/>
      <c r="WXE7" s="28"/>
      <c r="WXF7" s="28"/>
      <c r="WXG7" s="28"/>
      <c r="WXH7" s="28"/>
      <c r="WXI7" s="28"/>
      <c r="WXJ7" s="28"/>
      <c r="WXK7" s="28"/>
      <c r="WXL7" s="28"/>
      <c r="WXM7" s="28"/>
      <c r="WXN7" s="28"/>
      <c r="WXO7" s="28"/>
      <c r="WXP7" s="28"/>
      <c r="WXQ7" s="28"/>
      <c r="WXR7" s="28"/>
      <c r="WXS7" s="28"/>
      <c r="WXT7" s="28"/>
      <c r="WXU7" s="28"/>
      <c r="WXV7" s="28"/>
      <c r="WXW7" s="28"/>
      <c r="WXX7" s="28"/>
      <c r="WXY7" s="28"/>
      <c r="WXZ7" s="28"/>
      <c r="WYA7" s="28"/>
      <c r="WYB7" s="28"/>
      <c r="WYC7" s="28"/>
      <c r="WYD7" s="28"/>
      <c r="WYE7" s="28"/>
      <c r="WYF7" s="28"/>
      <c r="WYG7" s="28"/>
      <c r="WYH7" s="28"/>
      <c r="WYI7" s="28"/>
      <c r="WYJ7" s="28"/>
      <c r="WYK7" s="28"/>
      <c r="WYL7" s="28"/>
      <c r="WYM7" s="28"/>
      <c r="WYN7" s="28"/>
      <c r="WYO7" s="28"/>
      <c r="WYP7" s="28"/>
      <c r="WYQ7" s="28"/>
      <c r="WYR7" s="28"/>
      <c r="WYS7" s="28"/>
      <c r="WYT7" s="28"/>
      <c r="WYU7" s="28"/>
      <c r="WYV7" s="28"/>
      <c r="WYW7" s="28"/>
      <c r="WYX7" s="28"/>
      <c r="WYY7" s="28"/>
      <c r="WYZ7" s="28"/>
      <c r="WZA7" s="28"/>
      <c r="WZB7" s="28"/>
      <c r="WZC7" s="28"/>
      <c r="WZD7" s="28"/>
      <c r="WZE7" s="28"/>
      <c r="WZF7" s="28"/>
      <c r="WZG7" s="28"/>
      <c r="WZH7" s="28"/>
      <c r="WZI7" s="28"/>
      <c r="WZJ7" s="28"/>
      <c r="WZK7" s="28"/>
      <c r="WZL7" s="28"/>
      <c r="WZM7" s="28"/>
      <c r="WZN7" s="28"/>
      <c r="WZO7" s="28"/>
      <c r="WZP7" s="28"/>
      <c r="WZQ7" s="28"/>
      <c r="WZR7" s="28"/>
      <c r="WZS7" s="28"/>
      <c r="WZT7" s="28"/>
      <c r="WZU7" s="28"/>
      <c r="WZV7" s="28"/>
      <c r="WZW7" s="28"/>
      <c r="WZX7" s="28"/>
      <c r="WZY7" s="28"/>
      <c r="WZZ7" s="28"/>
      <c r="XAA7" s="28"/>
      <c r="XAB7" s="28"/>
      <c r="XAC7" s="28"/>
      <c r="XAD7" s="28"/>
      <c r="XAE7" s="28"/>
      <c r="XAF7" s="28"/>
      <c r="XAG7" s="28"/>
      <c r="XAH7" s="28"/>
      <c r="XAI7" s="28"/>
      <c r="XAJ7" s="28"/>
      <c r="XAK7" s="28"/>
      <c r="XAL7" s="28"/>
      <c r="XAM7" s="28"/>
      <c r="XAN7" s="28"/>
      <c r="XAO7" s="28"/>
      <c r="XAP7" s="28"/>
      <c r="XAQ7" s="28"/>
      <c r="XAR7" s="28"/>
      <c r="XAS7" s="28"/>
      <c r="XAT7" s="28"/>
      <c r="XAU7" s="28"/>
      <c r="XAV7" s="28"/>
      <c r="XAW7" s="28"/>
      <c r="XAX7" s="28"/>
      <c r="XAY7" s="28"/>
      <c r="XAZ7" s="28"/>
      <c r="XBA7" s="28"/>
      <c r="XBB7" s="28"/>
      <c r="XBC7" s="28"/>
      <c r="XBD7" s="28"/>
      <c r="XBE7" s="28"/>
      <c r="XBF7" s="28"/>
      <c r="XBG7" s="28"/>
      <c r="XBH7" s="28"/>
      <c r="XBI7" s="28"/>
      <c r="XBJ7" s="28"/>
      <c r="XBK7" s="28"/>
      <c r="XBL7" s="28"/>
      <c r="XBM7" s="28"/>
      <c r="XBN7" s="28"/>
      <c r="XBO7" s="28"/>
      <c r="XBP7" s="28"/>
      <c r="XBQ7" s="28"/>
      <c r="XBR7" s="28"/>
      <c r="XBS7" s="28"/>
      <c r="XBT7" s="28"/>
      <c r="XBU7" s="28"/>
      <c r="XBV7" s="28"/>
      <c r="XBW7" s="28"/>
      <c r="XBX7" s="28"/>
      <c r="XBY7" s="28"/>
      <c r="XBZ7" s="28"/>
      <c r="XCA7" s="28"/>
      <c r="XCB7" s="28"/>
      <c r="XCC7" s="28"/>
      <c r="XCD7" s="28"/>
      <c r="XCE7" s="28"/>
      <c r="XCF7" s="28"/>
      <c r="XCG7" s="28"/>
      <c r="XCH7" s="28"/>
      <c r="XCI7" s="28"/>
      <c r="XCJ7" s="28"/>
      <c r="XCK7" s="28"/>
      <c r="XCL7" s="28"/>
      <c r="XCM7" s="28"/>
      <c r="XCN7" s="28"/>
      <c r="XCO7" s="28"/>
      <c r="XCP7" s="28"/>
      <c r="XCQ7" s="28"/>
      <c r="XCR7" s="28"/>
      <c r="XCS7" s="28"/>
      <c r="XCT7" s="28"/>
      <c r="XCU7" s="28"/>
      <c r="XCV7" s="28"/>
      <c r="XCW7" s="28"/>
      <c r="XCX7" s="28"/>
      <c r="XCY7" s="28"/>
      <c r="XCZ7" s="28"/>
      <c r="XDA7" s="28"/>
      <c r="XDB7" s="28"/>
      <c r="XDC7" s="28"/>
      <c r="XDD7" s="28"/>
      <c r="XDE7" s="28"/>
      <c r="XDF7" s="28"/>
      <c r="XDG7" s="28"/>
      <c r="XDH7" s="28"/>
      <c r="XDI7" s="28"/>
      <c r="XDJ7" s="28"/>
      <c r="XDK7" s="28"/>
      <c r="XDL7" s="28"/>
      <c r="XDM7" s="28"/>
      <c r="XDN7" s="28"/>
      <c r="XDO7" s="28"/>
      <c r="XDP7" s="28"/>
      <c r="XDQ7" s="28"/>
      <c r="XDR7" s="28"/>
      <c r="XDS7" s="28"/>
      <c r="XDT7" s="28"/>
      <c r="XDU7" s="28"/>
      <c r="XDV7" s="28"/>
      <c r="XDW7" s="28"/>
      <c r="XDX7" s="28"/>
      <c r="XDY7" s="28"/>
      <c r="XDZ7" s="28"/>
      <c r="XEA7" s="28"/>
      <c r="XEB7" s="28"/>
      <c r="XEC7" s="28"/>
      <c r="XED7" s="28"/>
      <c r="XEE7" s="28"/>
      <c r="XEF7" s="28"/>
      <c r="XEG7" s="28"/>
      <c r="XEH7" s="28"/>
      <c r="XEI7" s="28"/>
      <c r="XEJ7" s="28"/>
      <c r="XEK7" s="28"/>
      <c r="XEL7" s="28"/>
      <c r="XEM7" s="28"/>
      <c r="XEN7" s="28"/>
      <c r="XEO7" s="28"/>
      <c r="XEP7" s="28"/>
      <c r="XEQ7" s="28"/>
      <c r="XER7" s="28"/>
      <c r="XES7" s="28"/>
      <c r="XET7" s="28"/>
      <c r="XEU7" s="28"/>
      <c r="XEV7" s="28"/>
      <c r="XEW7" s="28"/>
      <c r="XEX7" s="28"/>
      <c r="XEY7" s="28"/>
      <c r="XEZ7" s="28"/>
      <c r="XFA7" s="28"/>
      <c r="XFB7" s="28"/>
    </row>
    <row r="8" spans="1:16382" ht="9" customHeight="1" thickBot="1" x14ac:dyDescent="0.3"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  <c r="NK8" s="28"/>
      <c r="NL8" s="28"/>
      <c r="NM8" s="28"/>
      <c r="NN8" s="28"/>
      <c r="NO8" s="28"/>
      <c r="NP8" s="28"/>
      <c r="NQ8" s="28"/>
      <c r="NR8" s="28"/>
      <c r="NS8" s="28"/>
      <c r="NT8" s="28"/>
      <c r="NU8" s="28"/>
      <c r="NV8" s="28"/>
      <c r="NW8" s="28"/>
      <c r="NX8" s="28"/>
      <c r="NY8" s="28"/>
      <c r="NZ8" s="28"/>
      <c r="OA8" s="28"/>
      <c r="OB8" s="28"/>
      <c r="OC8" s="28"/>
      <c r="OD8" s="28"/>
      <c r="OE8" s="28"/>
      <c r="OF8" s="28"/>
      <c r="OG8" s="28"/>
      <c r="OH8" s="28"/>
      <c r="OI8" s="28"/>
      <c r="OJ8" s="28"/>
      <c r="OK8" s="28"/>
      <c r="OL8" s="28"/>
      <c r="OM8" s="28"/>
      <c r="ON8" s="28"/>
      <c r="OO8" s="28"/>
      <c r="OP8" s="28"/>
      <c r="OQ8" s="28"/>
      <c r="OR8" s="28"/>
      <c r="OS8" s="28"/>
      <c r="OT8" s="28"/>
      <c r="OU8" s="28"/>
      <c r="OV8" s="28"/>
      <c r="OW8" s="28"/>
      <c r="OX8" s="28"/>
      <c r="OY8" s="28"/>
      <c r="OZ8" s="28"/>
      <c r="PA8" s="28"/>
      <c r="PB8" s="28"/>
      <c r="PC8" s="28"/>
      <c r="PD8" s="28"/>
      <c r="PE8" s="28"/>
      <c r="PF8" s="28"/>
      <c r="PG8" s="28"/>
      <c r="PH8" s="28"/>
      <c r="PI8" s="28"/>
      <c r="PJ8" s="28"/>
      <c r="PK8" s="28"/>
      <c r="PL8" s="28"/>
      <c r="PM8" s="28"/>
      <c r="PN8" s="28"/>
      <c r="PO8" s="28"/>
      <c r="PP8" s="28"/>
      <c r="PQ8" s="28"/>
      <c r="PR8" s="28"/>
      <c r="PS8" s="28"/>
      <c r="PT8" s="28"/>
      <c r="PU8" s="28"/>
      <c r="PV8" s="28"/>
      <c r="PW8" s="28"/>
      <c r="PX8" s="28"/>
      <c r="PY8" s="28"/>
      <c r="PZ8" s="28"/>
      <c r="QA8" s="28"/>
      <c r="QB8" s="28"/>
      <c r="QC8" s="28"/>
      <c r="QD8" s="28"/>
      <c r="QE8" s="28"/>
      <c r="QF8" s="28"/>
      <c r="QG8" s="28"/>
      <c r="QH8" s="28"/>
      <c r="QI8" s="28"/>
      <c r="QJ8" s="28"/>
      <c r="QK8" s="28"/>
      <c r="QL8" s="28"/>
      <c r="QM8" s="28"/>
      <c r="QN8" s="28"/>
      <c r="QO8" s="28"/>
      <c r="QP8" s="28"/>
      <c r="QQ8" s="28"/>
      <c r="QR8" s="28"/>
      <c r="QS8" s="28"/>
      <c r="QT8" s="28"/>
      <c r="QU8" s="28"/>
      <c r="QV8" s="28"/>
      <c r="QW8" s="28"/>
      <c r="QX8" s="28"/>
      <c r="QY8" s="28"/>
      <c r="QZ8" s="28"/>
      <c r="RA8" s="28"/>
      <c r="RB8" s="28"/>
      <c r="RC8" s="28"/>
      <c r="RD8" s="28"/>
      <c r="RE8" s="28"/>
      <c r="RF8" s="28"/>
      <c r="RG8" s="28"/>
      <c r="RH8" s="28"/>
      <c r="RI8" s="28"/>
      <c r="RJ8" s="28"/>
      <c r="RK8" s="28"/>
      <c r="RL8" s="28"/>
      <c r="RM8" s="28"/>
      <c r="RN8" s="28"/>
      <c r="RO8" s="28"/>
      <c r="RP8" s="28"/>
      <c r="RQ8" s="28"/>
      <c r="RR8" s="28"/>
      <c r="RS8" s="28"/>
      <c r="RT8" s="28"/>
      <c r="RU8" s="28"/>
      <c r="RV8" s="28"/>
      <c r="RW8" s="28"/>
      <c r="RX8" s="28"/>
      <c r="RY8" s="28"/>
      <c r="RZ8" s="28"/>
      <c r="SA8" s="28"/>
      <c r="SB8" s="28"/>
      <c r="SC8" s="28"/>
      <c r="SD8" s="28"/>
      <c r="SE8" s="28"/>
      <c r="SF8" s="28"/>
      <c r="SG8" s="28"/>
      <c r="SH8" s="28"/>
      <c r="SI8" s="28"/>
      <c r="SJ8" s="28"/>
      <c r="SK8" s="28"/>
      <c r="SL8" s="28"/>
      <c r="SM8" s="28"/>
      <c r="SN8" s="28"/>
      <c r="SO8" s="28"/>
      <c r="SP8" s="28"/>
      <c r="SQ8" s="28"/>
      <c r="SR8" s="28"/>
      <c r="SS8" s="28"/>
      <c r="ST8" s="28"/>
      <c r="SU8" s="28"/>
      <c r="SV8" s="28"/>
      <c r="SW8" s="28"/>
      <c r="SX8" s="28"/>
      <c r="SY8" s="28"/>
      <c r="SZ8" s="28"/>
      <c r="TA8" s="28"/>
      <c r="TB8" s="28"/>
      <c r="TC8" s="28"/>
      <c r="TD8" s="28"/>
      <c r="TE8" s="28"/>
      <c r="TF8" s="28"/>
      <c r="TG8" s="28"/>
      <c r="TH8" s="28"/>
      <c r="TI8" s="28"/>
      <c r="TJ8" s="28"/>
      <c r="TK8" s="28"/>
      <c r="TL8" s="28"/>
      <c r="TM8" s="28"/>
      <c r="TN8" s="28"/>
      <c r="TO8" s="28"/>
      <c r="TP8" s="28"/>
      <c r="TQ8" s="28"/>
      <c r="TR8" s="28"/>
      <c r="TS8" s="28"/>
      <c r="TT8" s="28"/>
      <c r="TU8" s="28"/>
      <c r="TV8" s="28"/>
      <c r="TW8" s="28"/>
      <c r="TX8" s="28"/>
      <c r="TY8" s="28"/>
      <c r="TZ8" s="28"/>
      <c r="UA8" s="28"/>
      <c r="UB8" s="28"/>
      <c r="UC8" s="28"/>
      <c r="UD8" s="28"/>
      <c r="UE8" s="28"/>
      <c r="UF8" s="28"/>
      <c r="UG8" s="28"/>
      <c r="UH8" s="28"/>
      <c r="UI8" s="28"/>
      <c r="UJ8" s="28"/>
      <c r="UK8" s="28"/>
      <c r="UL8" s="28"/>
      <c r="UM8" s="28"/>
      <c r="UN8" s="28"/>
      <c r="UO8" s="28"/>
      <c r="UP8" s="28"/>
      <c r="UQ8" s="28"/>
      <c r="UR8" s="28"/>
      <c r="US8" s="28"/>
      <c r="UT8" s="28"/>
      <c r="UU8" s="28"/>
      <c r="UV8" s="28"/>
      <c r="UW8" s="28"/>
      <c r="UX8" s="28"/>
      <c r="UY8" s="28"/>
      <c r="UZ8" s="28"/>
      <c r="VA8" s="28"/>
      <c r="VB8" s="28"/>
      <c r="VC8" s="28"/>
      <c r="VD8" s="28"/>
      <c r="VE8" s="28"/>
      <c r="VF8" s="28"/>
      <c r="VG8" s="28"/>
      <c r="VH8" s="28"/>
      <c r="VI8" s="28"/>
      <c r="VJ8" s="28"/>
      <c r="VK8" s="28"/>
      <c r="VL8" s="28"/>
      <c r="VM8" s="28"/>
      <c r="VN8" s="28"/>
      <c r="VO8" s="28"/>
      <c r="VP8" s="28"/>
      <c r="VQ8" s="28"/>
      <c r="VR8" s="28"/>
      <c r="VS8" s="28"/>
      <c r="VT8" s="28"/>
      <c r="VU8" s="28"/>
      <c r="VV8" s="28"/>
      <c r="VW8" s="28"/>
      <c r="VX8" s="28"/>
      <c r="VY8" s="28"/>
      <c r="VZ8" s="28"/>
      <c r="WA8" s="28"/>
      <c r="WB8" s="28"/>
      <c r="WC8" s="28"/>
      <c r="WD8" s="28"/>
      <c r="WE8" s="28"/>
      <c r="WF8" s="28"/>
      <c r="WG8" s="28"/>
      <c r="WH8" s="28"/>
      <c r="WI8" s="28"/>
      <c r="WJ8" s="28"/>
      <c r="WK8" s="28"/>
      <c r="WL8" s="28"/>
      <c r="WM8" s="28"/>
      <c r="WN8" s="28"/>
      <c r="WO8" s="28"/>
      <c r="WP8" s="28"/>
      <c r="WQ8" s="28"/>
      <c r="WR8" s="28"/>
      <c r="WS8" s="28"/>
      <c r="WT8" s="28"/>
      <c r="WU8" s="28"/>
      <c r="WV8" s="28"/>
      <c r="WW8" s="28"/>
      <c r="WX8" s="28"/>
      <c r="WY8" s="28"/>
      <c r="WZ8" s="28"/>
      <c r="XA8" s="28"/>
      <c r="XB8" s="28"/>
      <c r="XC8" s="28"/>
      <c r="XD8" s="28"/>
      <c r="XE8" s="28"/>
      <c r="XF8" s="28"/>
      <c r="XG8" s="28"/>
      <c r="XH8" s="28"/>
      <c r="XI8" s="28"/>
      <c r="XJ8" s="28"/>
      <c r="XK8" s="28"/>
      <c r="XL8" s="28"/>
      <c r="XM8" s="28"/>
      <c r="XN8" s="28"/>
      <c r="XO8" s="28"/>
      <c r="XP8" s="28"/>
      <c r="XQ8" s="28"/>
      <c r="XR8" s="28"/>
      <c r="XS8" s="28"/>
      <c r="XT8" s="28"/>
      <c r="XU8" s="28"/>
      <c r="XV8" s="28"/>
      <c r="XW8" s="28"/>
      <c r="XX8" s="28"/>
      <c r="XY8" s="28"/>
      <c r="XZ8" s="28"/>
      <c r="YA8" s="28"/>
      <c r="YB8" s="28"/>
      <c r="YC8" s="28"/>
      <c r="YD8" s="28"/>
      <c r="YE8" s="28"/>
      <c r="YF8" s="28"/>
      <c r="YG8" s="28"/>
      <c r="YH8" s="28"/>
      <c r="YI8" s="28"/>
      <c r="YJ8" s="28"/>
      <c r="YK8" s="28"/>
      <c r="YL8" s="28"/>
      <c r="YM8" s="28"/>
      <c r="YN8" s="28"/>
      <c r="YO8" s="28"/>
      <c r="YP8" s="28"/>
      <c r="YQ8" s="28"/>
      <c r="YR8" s="28"/>
      <c r="YS8" s="28"/>
      <c r="YT8" s="28"/>
      <c r="YU8" s="28"/>
      <c r="YV8" s="28"/>
      <c r="YW8" s="28"/>
      <c r="YX8" s="28"/>
      <c r="YY8" s="28"/>
      <c r="YZ8" s="28"/>
      <c r="ZA8" s="28"/>
      <c r="ZB8" s="28"/>
      <c r="ZC8" s="28"/>
      <c r="ZD8" s="28"/>
      <c r="ZE8" s="28"/>
      <c r="ZF8" s="28"/>
      <c r="ZG8" s="28"/>
      <c r="ZH8" s="28"/>
      <c r="ZI8" s="28"/>
      <c r="ZJ8" s="28"/>
      <c r="ZK8" s="28"/>
      <c r="ZL8" s="28"/>
      <c r="ZM8" s="28"/>
      <c r="ZN8" s="28"/>
      <c r="ZO8" s="28"/>
      <c r="ZP8" s="28"/>
      <c r="ZQ8" s="28"/>
      <c r="ZR8" s="28"/>
      <c r="ZS8" s="28"/>
      <c r="ZT8" s="28"/>
      <c r="ZU8" s="28"/>
      <c r="ZV8" s="28"/>
      <c r="ZW8" s="28"/>
      <c r="ZX8" s="28"/>
      <c r="ZY8" s="28"/>
      <c r="ZZ8" s="28"/>
      <c r="AAA8" s="28"/>
      <c r="AAB8" s="28"/>
      <c r="AAC8" s="28"/>
      <c r="AAD8" s="28"/>
      <c r="AAE8" s="28"/>
      <c r="AAF8" s="28"/>
      <c r="AAG8" s="28"/>
      <c r="AAH8" s="28"/>
      <c r="AAI8" s="28"/>
      <c r="AAJ8" s="28"/>
      <c r="AAK8" s="28"/>
      <c r="AAL8" s="28"/>
      <c r="AAM8" s="28"/>
      <c r="AAN8" s="28"/>
      <c r="AAO8" s="28"/>
      <c r="AAP8" s="28"/>
      <c r="AAQ8" s="28"/>
      <c r="AAR8" s="28"/>
      <c r="AAS8" s="28"/>
      <c r="AAT8" s="28"/>
      <c r="AAU8" s="28"/>
      <c r="AAV8" s="28"/>
      <c r="AAW8" s="28"/>
      <c r="AAX8" s="28"/>
      <c r="AAY8" s="28"/>
      <c r="AAZ8" s="28"/>
      <c r="ABA8" s="28"/>
      <c r="ABB8" s="28"/>
      <c r="ABC8" s="28"/>
      <c r="ABD8" s="28"/>
      <c r="ABE8" s="28"/>
      <c r="ABF8" s="28"/>
      <c r="ABG8" s="28"/>
      <c r="ABH8" s="28"/>
      <c r="ABI8" s="28"/>
      <c r="ABJ8" s="28"/>
      <c r="ABK8" s="28"/>
      <c r="ABL8" s="28"/>
      <c r="ABM8" s="28"/>
      <c r="ABN8" s="28"/>
      <c r="ABO8" s="28"/>
      <c r="ABP8" s="28"/>
      <c r="ABQ8" s="28"/>
      <c r="ABR8" s="28"/>
      <c r="ABS8" s="28"/>
      <c r="ABT8" s="28"/>
      <c r="ABU8" s="28"/>
      <c r="ABV8" s="28"/>
      <c r="ABW8" s="28"/>
      <c r="ABX8" s="28"/>
      <c r="ABY8" s="28"/>
      <c r="ABZ8" s="28"/>
      <c r="ACA8" s="28"/>
      <c r="ACB8" s="28"/>
      <c r="ACC8" s="28"/>
      <c r="ACD8" s="28"/>
      <c r="ACE8" s="28"/>
      <c r="ACF8" s="28"/>
      <c r="ACG8" s="28"/>
      <c r="ACH8" s="28"/>
      <c r="ACI8" s="28"/>
      <c r="ACJ8" s="28"/>
      <c r="ACK8" s="28"/>
      <c r="ACL8" s="28"/>
      <c r="ACM8" s="28"/>
      <c r="ACN8" s="28"/>
      <c r="ACO8" s="28"/>
      <c r="ACP8" s="28"/>
      <c r="ACQ8" s="28"/>
      <c r="ACR8" s="28"/>
      <c r="ACS8" s="28"/>
      <c r="ACT8" s="28"/>
      <c r="ACU8" s="28"/>
      <c r="ACV8" s="28"/>
      <c r="ACW8" s="28"/>
      <c r="ACX8" s="28"/>
      <c r="ACY8" s="28"/>
      <c r="ACZ8" s="28"/>
      <c r="ADA8" s="28"/>
      <c r="ADB8" s="28"/>
      <c r="ADC8" s="28"/>
      <c r="ADD8" s="28"/>
      <c r="ADE8" s="28"/>
      <c r="ADF8" s="28"/>
      <c r="ADG8" s="28"/>
      <c r="ADH8" s="28"/>
      <c r="ADI8" s="28"/>
      <c r="ADJ8" s="28"/>
      <c r="ADK8" s="28"/>
      <c r="ADL8" s="28"/>
      <c r="ADM8" s="28"/>
      <c r="ADN8" s="28"/>
      <c r="ADO8" s="28"/>
      <c r="ADP8" s="28"/>
      <c r="ADQ8" s="28"/>
      <c r="ADR8" s="28"/>
      <c r="ADS8" s="28"/>
      <c r="ADT8" s="28"/>
      <c r="ADU8" s="28"/>
      <c r="ADV8" s="28"/>
      <c r="ADW8" s="28"/>
      <c r="ADX8" s="28"/>
      <c r="ADY8" s="28"/>
      <c r="ADZ8" s="28"/>
      <c r="AEA8" s="28"/>
      <c r="AEB8" s="28"/>
      <c r="AEC8" s="28"/>
      <c r="AED8" s="28"/>
      <c r="AEE8" s="28"/>
      <c r="AEF8" s="28"/>
      <c r="AEG8" s="28"/>
      <c r="AEH8" s="28"/>
      <c r="AEI8" s="28"/>
      <c r="AEJ8" s="28"/>
      <c r="AEK8" s="28"/>
      <c r="AEL8" s="28"/>
      <c r="AEM8" s="28"/>
      <c r="AEN8" s="28"/>
      <c r="AEO8" s="28"/>
      <c r="AEP8" s="28"/>
      <c r="AEQ8" s="28"/>
      <c r="AER8" s="28"/>
      <c r="AES8" s="28"/>
      <c r="AET8" s="28"/>
      <c r="AEU8" s="28"/>
      <c r="AEV8" s="28"/>
      <c r="AEW8" s="28"/>
      <c r="AEX8" s="28"/>
      <c r="AEY8" s="28"/>
      <c r="AEZ8" s="28"/>
      <c r="AFA8" s="28"/>
      <c r="AFB8" s="28"/>
      <c r="AFC8" s="28"/>
      <c r="AFD8" s="28"/>
      <c r="AFE8" s="28"/>
      <c r="AFF8" s="28"/>
      <c r="AFG8" s="28"/>
      <c r="AFH8" s="28"/>
      <c r="AFI8" s="28"/>
      <c r="AFJ8" s="28"/>
      <c r="AFK8" s="28"/>
      <c r="AFL8" s="28"/>
      <c r="AFM8" s="28"/>
      <c r="AFN8" s="28"/>
      <c r="AFO8" s="28"/>
      <c r="AFP8" s="28"/>
      <c r="AFQ8" s="28"/>
      <c r="AFR8" s="28"/>
      <c r="AFS8" s="28"/>
      <c r="AFT8" s="28"/>
      <c r="AFU8" s="28"/>
      <c r="AFV8" s="28"/>
      <c r="AFW8" s="28"/>
      <c r="AFX8" s="28"/>
      <c r="AFY8" s="28"/>
      <c r="AFZ8" s="28"/>
      <c r="AGA8" s="28"/>
      <c r="AGB8" s="28"/>
      <c r="AGC8" s="28"/>
      <c r="AGD8" s="28"/>
      <c r="AGE8" s="28"/>
      <c r="AGF8" s="28"/>
      <c r="AGG8" s="28"/>
      <c r="AGH8" s="28"/>
      <c r="AGI8" s="28"/>
      <c r="AGJ8" s="28"/>
      <c r="AGK8" s="28"/>
      <c r="AGL8" s="28"/>
      <c r="AGM8" s="28"/>
      <c r="AGN8" s="28"/>
      <c r="AGO8" s="28"/>
      <c r="AGP8" s="28"/>
      <c r="AGQ8" s="28"/>
      <c r="AGR8" s="28"/>
      <c r="AGS8" s="28"/>
      <c r="AGT8" s="28"/>
      <c r="AGU8" s="28"/>
      <c r="AGV8" s="28"/>
      <c r="AGW8" s="28"/>
      <c r="AGX8" s="28"/>
      <c r="AGY8" s="28"/>
      <c r="AGZ8" s="28"/>
      <c r="AHA8" s="28"/>
      <c r="AHB8" s="28"/>
      <c r="AHC8" s="28"/>
      <c r="AHD8" s="28"/>
      <c r="AHE8" s="28"/>
      <c r="AHF8" s="28"/>
      <c r="AHG8" s="28"/>
      <c r="AHH8" s="28"/>
      <c r="AHI8" s="28"/>
      <c r="AHJ8" s="28"/>
      <c r="AHK8" s="28"/>
      <c r="AHL8" s="28"/>
      <c r="AHM8" s="28"/>
      <c r="AHN8" s="28"/>
      <c r="AHO8" s="28"/>
      <c r="AHP8" s="28"/>
      <c r="AHQ8" s="28"/>
      <c r="AHR8" s="28"/>
      <c r="AHS8" s="28"/>
      <c r="AHT8" s="28"/>
      <c r="AHU8" s="28"/>
      <c r="AHV8" s="28"/>
      <c r="AHW8" s="28"/>
      <c r="AHX8" s="28"/>
      <c r="AHY8" s="28"/>
      <c r="AHZ8" s="28"/>
      <c r="AIA8" s="28"/>
      <c r="AIB8" s="28"/>
      <c r="AIC8" s="28"/>
      <c r="AID8" s="28"/>
      <c r="AIE8" s="28"/>
      <c r="AIF8" s="28"/>
      <c r="AIG8" s="28"/>
      <c r="AIH8" s="28"/>
      <c r="AII8" s="28"/>
      <c r="AIJ8" s="28"/>
      <c r="AIK8" s="28"/>
      <c r="AIL8" s="28"/>
      <c r="AIM8" s="28"/>
      <c r="AIN8" s="28"/>
      <c r="AIO8" s="28"/>
      <c r="AIP8" s="28"/>
      <c r="AIQ8" s="28"/>
      <c r="AIR8" s="28"/>
      <c r="AIS8" s="28"/>
      <c r="AIT8" s="28"/>
      <c r="AIU8" s="28"/>
      <c r="AIV8" s="28"/>
      <c r="AIW8" s="28"/>
      <c r="AIX8" s="28"/>
      <c r="AIY8" s="28"/>
      <c r="AIZ8" s="28"/>
      <c r="AJA8" s="28"/>
      <c r="AJB8" s="28"/>
      <c r="AJC8" s="28"/>
      <c r="AJD8" s="28"/>
      <c r="AJE8" s="28"/>
      <c r="AJF8" s="28"/>
      <c r="AJG8" s="28"/>
      <c r="AJH8" s="28"/>
      <c r="AJI8" s="28"/>
      <c r="AJJ8" s="28"/>
      <c r="AJK8" s="28"/>
      <c r="AJL8" s="28"/>
      <c r="AJM8" s="28"/>
      <c r="AJN8" s="28"/>
      <c r="AJO8" s="28"/>
      <c r="AJP8" s="28"/>
      <c r="AJQ8" s="28"/>
      <c r="AJR8" s="28"/>
      <c r="AJS8" s="28"/>
      <c r="AJT8" s="28"/>
      <c r="AJU8" s="28"/>
      <c r="AJV8" s="28"/>
      <c r="AJW8" s="28"/>
      <c r="AJX8" s="28"/>
      <c r="AJY8" s="28"/>
      <c r="AJZ8" s="28"/>
      <c r="AKA8" s="28"/>
      <c r="AKB8" s="28"/>
      <c r="AKC8" s="28"/>
      <c r="AKD8" s="28"/>
      <c r="AKE8" s="28"/>
      <c r="AKF8" s="28"/>
      <c r="AKG8" s="28"/>
      <c r="AKH8" s="28"/>
      <c r="AKI8" s="28"/>
      <c r="AKJ8" s="28"/>
      <c r="AKK8" s="28"/>
      <c r="AKL8" s="28"/>
      <c r="AKM8" s="28"/>
      <c r="AKN8" s="28"/>
      <c r="AKO8" s="28"/>
      <c r="AKP8" s="28"/>
      <c r="AKQ8" s="28"/>
      <c r="AKR8" s="28"/>
      <c r="AKS8" s="28"/>
      <c r="AKT8" s="28"/>
      <c r="AKU8" s="28"/>
      <c r="AKV8" s="28"/>
      <c r="AKW8" s="28"/>
      <c r="AKX8" s="28"/>
      <c r="AKY8" s="28"/>
      <c r="AKZ8" s="28"/>
      <c r="ALA8" s="28"/>
      <c r="ALB8" s="28"/>
      <c r="ALC8" s="28"/>
      <c r="ALD8" s="28"/>
      <c r="ALE8" s="28"/>
      <c r="ALF8" s="28"/>
      <c r="ALG8" s="28"/>
      <c r="ALH8" s="28"/>
      <c r="ALI8" s="28"/>
      <c r="ALJ8" s="28"/>
      <c r="ALK8" s="28"/>
      <c r="ALL8" s="28"/>
      <c r="ALM8" s="28"/>
      <c r="ALN8" s="28"/>
      <c r="ALO8" s="28"/>
      <c r="ALP8" s="28"/>
      <c r="ALQ8" s="28"/>
      <c r="ALR8" s="28"/>
      <c r="ALS8" s="28"/>
      <c r="ALT8" s="28"/>
      <c r="ALU8" s="28"/>
      <c r="ALV8" s="28"/>
      <c r="ALW8" s="28"/>
      <c r="ALX8" s="28"/>
      <c r="ALY8" s="28"/>
      <c r="ALZ8" s="28"/>
      <c r="AMA8" s="28"/>
      <c r="AMB8" s="28"/>
      <c r="AMC8" s="28"/>
      <c r="AMD8" s="28"/>
      <c r="AME8" s="28"/>
      <c r="AMF8" s="28"/>
      <c r="AMG8" s="28"/>
      <c r="AMH8" s="28"/>
      <c r="AMI8" s="28"/>
      <c r="AMJ8" s="28"/>
      <c r="AMK8" s="28"/>
      <c r="AML8" s="28"/>
      <c r="AMM8" s="28"/>
      <c r="AMN8" s="28"/>
      <c r="AMO8" s="28"/>
      <c r="AMP8" s="28"/>
      <c r="AMQ8" s="28"/>
      <c r="AMR8" s="28"/>
      <c r="AMS8" s="28"/>
      <c r="AMT8" s="28"/>
      <c r="AMU8" s="28"/>
      <c r="AMV8" s="28"/>
      <c r="AMW8" s="28"/>
      <c r="AMX8" s="28"/>
      <c r="AMY8" s="28"/>
      <c r="AMZ8" s="28"/>
      <c r="ANA8" s="28"/>
      <c r="ANB8" s="28"/>
      <c r="ANC8" s="28"/>
      <c r="AND8" s="28"/>
      <c r="ANE8" s="28"/>
      <c r="ANF8" s="28"/>
      <c r="ANG8" s="28"/>
      <c r="ANH8" s="28"/>
      <c r="ANI8" s="28"/>
      <c r="ANJ8" s="28"/>
      <c r="ANK8" s="28"/>
      <c r="ANL8" s="28"/>
      <c r="ANM8" s="28"/>
      <c r="ANN8" s="28"/>
      <c r="ANO8" s="28"/>
      <c r="ANP8" s="28"/>
      <c r="ANQ8" s="28"/>
      <c r="ANR8" s="28"/>
      <c r="ANS8" s="28"/>
      <c r="ANT8" s="28"/>
      <c r="ANU8" s="28"/>
      <c r="ANV8" s="28"/>
      <c r="ANW8" s="28"/>
      <c r="ANX8" s="28"/>
      <c r="ANY8" s="28"/>
      <c r="ANZ8" s="28"/>
      <c r="AOA8" s="28"/>
      <c r="AOB8" s="28"/>
      <c r="AOC8" s="28"/>
      <c r="AOD8" s="28"/>
      <c r="AOE8" s="28"/>
      <c r="AOF8" s="28"/>
      <c r="AOG8" s="28"/>
      <c r="AOH8" s="28"/>
      <c r="AOI8" s="28"/>
      <c r="AOJ8" s="28"/>
      <c r="AOK8" s="28"/>
      <c r="AOL8" s="28"/>
      <c r="AOM8" s="28"/>
      <c r="AON8" s="28"/>
      <c r="AOO8" s="28"/>
      <c r="AOP8" s="28"/>
      <c r="AOQ8" s="28"/>
      <c r="AOR8" s="28"/>
      <c r="AOS8" s="28"/>
      <c r="AOT8" s="28"/>
      <c r="AOU8" s="28"/>
      <c r="AOV8" s="28"/>
      <c r="AOW8" s="28"/>
      <c r="AOX8" s="28"/>
      <c r="AOY8" s="28"/>
      <c r="AOZ8" s="28"/>
      <c r="APA8" s="28"/>
      <c r="APB8" s="28"/>
      <c r="APC8" s="28"/>
      <c r="APD8" s="28"/>
      <c r="APE8" s="28"/>
      <c r="APF8" s="28"/>
      <c r="APG8" s="28"/>
      <c r="APH8" s="28"/>
      <c r="API8" s="28"/>
      <c r="APJ8" s="28"/>
      <c r="APK8" s="28"/>
      <c r="APL8" s="28"/>
      <c r="APM8" s="28"/>
      <c r="APN8" s="28"/>
      <c r="APO8" s="28"/>
      <c r="APP8" s="28"/>
      <c r="APQ8" s="28"/>
      <c r="APR8" s="28"/>
      <c r="APS8" s="28"/>
      <c r="APT8" s="28"/>
      <c r="APU8" s="28"/>
      <c r="APV8" s="28"/>
      <c r="APW8" s="28"/>
      <c r="APX8" s="28"/>
      <c r="APY8" s="28"/>
      <c r="APZ8" s="28"/>
      <c r="AQA8" s="28"/>
      <c r="AQB8" s="28"/>
      <c r="AQC8" s="28"/>
      <c r="AQD8" s="28"/>
      <c r="AQE8" s="28"/>
      <c r="AQF8" s="28"/>
      <c r="AQG8" s="28"/>
      <c r="AQH8" s="28"/>
      <c r="AQI8" s="28"/>
      <c r="AQJ8" s="28"/>
      <c r="AQK8" s="28"/>
      <c r="AQL8" s="28"/>
      <c r="AQM8" s="28"/>
      <c r="AQN8" s="28"/>
      <c r="AQO8" s="28"/>
      <c r="AQP8" s="28"/>
      <c r="AQQ8" s="28"/>
      <c r="AQR8" s="28"/>
      <c r="AQS8" s="28"/>
      <c r="AQT8" s="28"/>
      <c r="AQU8" s="28"/>
      <c r="AQV8" s="28"/>
      <c r="AQW8" s="28"/>
      <c r="AQX8" s="28"/>
      <c r="AQY8" s="28"/>
      <c r="AQZ8" s="28"/>
      <c r="ARA8" s="28"/>
      <c r="ARB8" s="28"/>
      <c r="ARC8" s="28"/>
      <c r="ARD8" s="28"/>
      <c r="ARE8" s="28"/>
      <c r="ARF8" s="28"/>
      <c r="ARG8" s="28"/>
      <c r="ARH8" s="28"/>
      <c r="ARI8" s="28"/>
      <c r="ARJ8" s="28"/>
      <c r="ARK8" s="28"/>
      <c r="ARL8" s="28"/>
      <c r="ARM8" s="28"/>
      <c r="ARN8" s="28"/>
      <c r="ARO8" s="28"/>
      <c r="ARP8" s="28"/>
      <c r="ARQ8" s="28"/>
      <c r="ARR8" s="28"/>
      <c r="ARS8" s="28"/>
      <c r="ART8" s="28"/>
      <c r="ARU8" s="28"/>
      <c r="ARV8" s="28"/>
      <c r="ARW8" s="28"/>
      <c r="ARX8" s="28"/>
      <c r="ARY8" s="28"/>
      <c r="ARZ8" s="28"/>
      <c r="ASA8" s="28"/>
      <c r="ASB8" s="28"/>
      <c r="ASC8" s="28"/>
      <c r="ASD8" s="28"/>
      <c r="ASE8" s="28"/>
      <c r="ASF8" s="28"/>
      <c r="ASG8" s="28"/>
      <c r="ASH8" s="28"/>
      <c r="ASI8" s="28"/>
      <c r="ASJ8" s="28"/>
      <c r="ASK8" s="28"/>
      <c r="ASL8" s="28"/>
      <c r="ASM8" s="28"/>
      <c r="ASN8" s="28"/>
      <c r="ASO8" s="28"/>
      <c r="ASP8" s="28"/>
      <c r="ASQ8" s="28"/>
      <c r="ASR8" s="28"/>
      <c r="ASS8" s="28"/>
      <c r="AST8" s="28"/>
      <c r="ASU8" s="28"/>
      <c r="ASV8" s="28"/>
      <c r="ASW8" s="28"/>
      <c r="ASX8" s="28"/>
      <c r="ASY8" s="28"/>
      <c r="ASZ8" s="28"/>
      <c r="ATA8" s="28"/>
      <c r="ATB8" s="28"/>
      <c r="ATC8" s="28"/>
      <c r="ATD8" s="28"/>
      <c r="ATE8" s="28"/>
      <c r="ATF8" s="28"/>
      <c r="ATG8" s="28"/>
      <c r="ATH8" s="28"/>
      <c r="ATI8" s="28"/>
      <c r="ATJ8" s="28"/>
      <c r="ATK8" s="28"/>
      <c r="ATL8" s="28"/>
      <c r="ATM8" s="28"/>
      <c r="ATN8" s="28"/>
      <c r="ATO8" s="28"/>
      <c r="ATP8" s="28"/>
      <c r="ATQ8" s="28"/>
      <c r="ATR8" s="28"/>
      <c r="ATS8" s="28"/>
      <c r="ATT8" s="28"/>
      <c r="ATU8" s="28"/>
      <c r="ATV8" s="28"/>
      <c r="ATW8" s="28"/>
      <c r="ATX8" s="28"/>
      <c r="ATY8" s="28"/>
      <c r="ATZ8" s="28"/>
      <c r="AUA8" s="28"/>
      <c r="AUB8" s="28"/>
      <c r="AUC8" s="28"/>
      <c r="AUD8" s="28"/>
      <c r="AUE8" s="28"/>
      <c r="AUF8" s="28"/>
      <c r="AUG8" s="28"/>
      <c r="AUH8" s="28"/>
      <c r="AUI8" s="28"/>
      <c r="AUJ8" s="28"/>
      <c r="AUK8" s="28"/>
      <c r="AUL8" s="28"/>
      <c r="AUM8" s="28"/>
      <c r="AUN8" s="28"/>
      <c r="AUO8" s="28"/>
      <c r="AUP8" s="28"/>
      <c r="AUQ8" s="28"/>
      <c r="AUR8" s="28"/>
      <c r="AUS8" s="28"/>
      <c r="AUT8" s="28"/>
      <c r="AUU8" s="28"/>
      <c r="AUV8" s="28"/>
      <c r="AUW8" s="28"/>
      <c r="AUX8" s="28"/>
      <c r="AUY8" s="28"/>
      <c r="AUZ8" s="28"/>
      <c r="AVA8" s="28"/>
      <c r="AVB8" s="28"/>
      <c r="AVC8" s="28"/>
      <c r="AVD8" s="28"/>
      <c r="AVE8" s="28"/>
      <c r="AVF8" s="28"/>
      <c r="AVG8" s="28"/>
      <c r="AVH8" s="28"/>
      <c r="AVI8" s="28"/>
      <c r="AVJ8" s="28"/>
      <c r="AVK8" s="28"/>
      <c r="AVL8" s="28"/>
      <c r="AVM8" s="28"/>
      <c r="AVN8" s="28"/>
      <c r="AVO8" s="28"/>
      <c r="AVP8" s="28"/>
      <c r="AVQ8" s="28"/>
      <c r="AVR8" s="28"/>
      <c r="AVS8" s="28"/>
      <c r="AVT8" s="28"/>
      <c r="AVU8" s="28"/>
      <c r="AVV8" s="28"/>
      <c r="AVW8" s="28"/>
      <c r="AVX8" s="28"/>
      <c r="AVY8" s="28"/>
      <c r="AVZ8" s="28"/>
      <c r="AWA8" s="28"/>
      <c r="AWB8" s="28"/>
      <c r="AWC8" s="28"/>
      <c r="AWD8" s="28"/>
      <c r="AWE8" s="28"/>
      <c r="AWF8" s="28"/>
      <c r="AWG8" s="28"/>
      <c r="AWH8" s="28"/>
      <c r="AWI8" s="28"/>
      <c r="AWJ8" s="28"/>
      <c r="AWK8" s="28"/>
      <c r="AWL8" s="28"/>
      <c r="AWM8" s="28"/>
      <c r="AWN8" s="28"/>
      <c r="AWO8" s="28"/>
      <c r="AWP8" s="28"/>
      <c r="AWQ8" s="28"/>
      <c r="AWR8" s="28"/>
      <c r="AWS8" s="28"/>
      <c r="AWT8" s="28"/>
      <c r="AWU8" s="28"/>
      <c r="AWV8" s="28"/>
      <c r="AWW8" s="28"/>
      <c r="AWX8" s="28"/>
      <c r="AWY8" s="28"/>
      <c r="AWZ8" s="28"/>
      <c r="AXA8" s="28"/>
      <c r="AXB8" s="28"/>
      <c r="AXC8" s="28"/>
      <c r="AXD8" s="28"/>
      <c r="AXE8" s="28"/>
      <c r="AXF8" s="28"/>
      <c r="AXG8" s="28"/>
      <c r="AXH8" s="28"/>
      <c r="AXI8" s="28"/>
      <c r="AXJ8" s="28"/>
      <c r="AXK8" s="28"/>
      <c r="AXL8" s="28"/>
      <c r="AXM8" s="28"/>
      <c r="AXN8" s="28"/>
      <c r="AXO8" s="28"/>
      <c r="AXP8" s="28"/>
      <c r="AXQ8" s="28"/>
      <c r="AXR8" s="28"/>
      <c r="AXS8" s="28"/>
      <c r="AXT8" s="28"/>
      <c r="AXU8" s="28"/>
      <c r="AXV8" s="28"/>
      <c r="AXW8" s="28"/>
      <c r="AXX8" s="28"/>
      <c r="AXY8" s="28"/>
      <c r="AXZ8" s="28"/>
      <c r="AYA8" s="28"/>
      <c r="AYB8" s="28"/>
      <c r="AYC8" s="28"/>
      <c r="AYD8" s="28"/>
      <c r="AYE8" s="28"/>
      <c r="AYF8" s="28"/>
      <c r="AYG8" s="28"/>
      <c r="AYH8" s="28"/>
      <c r="AYI8" s="28"/>
      <c r="AYJ8" s="28"/>
      <c r="AYK8" s="28"/>
      <c r="AYL8" s="28"/>
      <c r="AYM8" s="28"/>
      <c r="AYN8" s="28"/>
      <c r="AYO8" s="28"/>
      <c r="AYP8" s="28"/>
      <c r="AYQ8" s="28"/>
      <c r="AYR8" s="28"/>
      <c r="AYS8" s="28"/>
      <c r="AYT8" s="28"/>
      <c r="AYU8" s="28"/>
      <c r="AYV8" s="28"/>
      <c r="AYW8" s="28"/>
      <c r="AYX8" s="28"/>
      <c r="AYY8" s="28"/>
      <c r="AYZ8" s="28"/>
      <c r="AZA8" s="28"/>
      <c r="AZB8" s="28"/>
      <c r="AZC8" s="28"/>
      <c r="AZD8" s="28"/>
      <c r="AZE8" s="28"/>
      <c r="AZF8" s="28"/>
      <c r="AZG8" s="28"/>
      <c r="AZH8" s="28"/>
      <c r="AZI8" s="28"/>
      <c r="AZJ8" s="28"/>
      <c r="AZK8" s="28"/>
      <c r="AZL8" s="28"/>
      <c r="AZM8" s="28"/>
      <c r="AZN8" s="28"/>
      <c r="AZO8" s="28"/>
      <c r="AZP8" s="28"/>
      <c r="AZQ8" s="28"/>
      <c r="AZR8" s="28"/>
      <c r="AZS8" s="28"/>
      <c r="AZT8" s="28"/>
      <c r="AZU8" s="28"/>
      <c r="AZV8" s="28"/>
      <c r="AZW8" s="28"/>
      <c r="AZX8" s="28"/>
      <c r="AZY8" s="28"/>
      <c r="AZZ8" s="28"/>
      <c r="BAA8" s="28"/>
      <c r="BAB8" s="28"/>
      <c r="BAC8" s="28"/>
      <c r="BAD8" s="28"/>
      <c r="BAE8" s="28"/>
      <c r="BAF8" s="28"/>
      <c r="BAG8" s="28"/>
      <c r="BAH8" s="28"/>
      <c r="BAI8" s="28"/>
      <c r="BAJ8" s="28"/>
      <c r="BAK8" s="28"/>
      <c r="BAL8" s="28"/>
      <c r="BAM8" s="28"/>
      <c r="BAN8" s="28"/>
      <c r="BAO8" s="28"/>
      <c r="BAP8" s="28"/>
      <c r="BAQ8" s="28"/>
      <c r="BAR8" s="28"/>
      <c r="BAS8" s="28"/>
      <c r="BAT8" s="28"/>
      <c r="BAU8" s="28"/>
      <c r="BAV8" s="28"/>
      <c r="BAW8" s="28"/>
      <c r="BAX8" s="28"/>
      <c r="BAY8" s="28"/>
      <c r="BAZ8" s="28"/>
      <c r="BBA8" s="28"/>
      <c r="BBB8" s="28"/>
      <c r="BBC8" s="28"/>
      <c r="BBD8" s="28"/>
      <c r="BBE8" s="28"/>
      <c r="BBF8" s="28"/>
      <c r="BBG8" s="28"/>
      <c r="BBH8" s="28"/>
      <c r="BBI8" s="28"/>
      <c r="BBJ8" s="28"/>
      <c r="BBK8" s="28"/>
      <c r="BBL8" s="28"/>
      <c r="BBM8" s="28"/>
      <c r="BBN8" s="28"/>
      <c r="BBO8" s="28"/>
      <c r="BBP8" s="28"/>
      <c r="BBQ8" s="28"/>
      <c r="BBR8" s="28"/>
      <c r="BBS8" s="28"/>
      <c r="BBT8" s="28"/>
      <c r="BBU8" s="28"/>
      <c r="BBV8" s="28"/>
      <c r="BBW8" s="28"/>
      <c r="BBX8" s="28"/>
      <c r="BBY8" s="28"/>
      <c r="BBZ8" s="28"/>
      <c r="BCA8" s="28"/>
      <c r="BCB8" s="28"/>
      <c r="BCC8" s="28"/>
      <c r="BCD8" s="28"/>
      <c r="BCE8" s="28"/>
      <c r="BCF8" s="28"/>
      <c r="BCG8" s="28"/>
      <c r="BCH8" s="28"/>
      <c r="BCI8" s="28"/>
      <c r="BCJ8" s="28"/>
      <c r="BCK8" s="28"/>
      <c r="BCL8" s="28"/>
      <c r="BCM8" s="28"/>
      <c r="BCN8" s="28"/>
      <c r="BCO8" s="28"/>
      <c r="BCP8" s="28"/>
      <c r="BCQ8" s="28"/>
      <c r="BCR8" s="28"/>
      <c r="BCS8" s="28"/>
      <c r="BCT8" s="28"/>
      <c r="BCU8" s="28"/>
      <c r="BCV8" s="28"/>
      <c r="BCW8" s="28"/>
      <c r="BCX8" s="28"/>
      <c r="BCY8" s="28"/>
      <c r="BCZ8" s="28"/>
      <c r="BDA8" s="28"/>
      <c r="BDB8" s="28"/>
      <c r="BDC8" s="28"/>
      <c r="BDD8" s="28"/>
      <c r="BDE8" s="28"/>
      <c r="BDF8" s="28"/>
      <c r="BDG8" s="28"/>
      <c r="BDH8" s="28"/>
      <c r="BDI8" s="28"/>
      <c r="BDJ8" s="28"/>
      <c r="BDK8" s="28"/>
      <c r="BDL8" s="28"/>
      <c r="BDM8" s="28"/>
      <c r="BDN8" s="28"/>
      <c r="BDO8" s="28"/>
      <c r="BDP8" s="28"/>
      <c r="BDQ8" s="28"/>
      <c r="BDR8" s="28"/>
      <c r="BDS8" s="28"/>
      <c r="BDT8" s="28"/>
      <c r="BDU8" s="28"/>
      <c r="BDV8" s="28"/>
      <c r="BDW8" s="28"/>
      <c r="BDX8" s="28"/>
      <c r="BDY8" s="28"/>
      <c r="BDZ8" s="28"/>
      <c r="BEA8" s="28"/>
      <c r="BEB8" s="28"/>
      <c r="BEC8" s="28"/>
      <c r="BED8" s="28"/>
      <c r="BEE8" s="28"/>
      <c r="BEF8" s="28"/>
      <c r="BEG8" s="28"/>
      <c r="BEH8" s="28"/>
      <c r="BEI8" s="28"/>
      <c r="BEJ8" s="28"/>
      <c r="BEK8" s="28"/>
      <c r="BEL8" s="28"/>
      <c r="BEM8" s="28"/>
      <c r="BEN8" s="28"/>
      <c r="BEO8" s="28"/>
      <c r="BEP8" s="28"/>
      <c r="BEQ8" s="28"/>
      <c r="BER8" s="28"/>
      <c r="BES8" s="28"/>
      <c r="BET8" s="28"/>
      <c r="BEU8" s="28"/>
      <c r="BEV8" s="28"/>
      <c r="BEW8" s="28"/>
      <c r="BEX8" s="28"/>
      <c r="BEY8" s="28"/>
      <c r="BEZ8" s="28"/>
      <c r="BFA8" s="28"/>
      <c r="BFB8" s="28"/>
      <c r="BFC8" s="28"/>
      <c r="BFD8" s="28"/>
      <c r="BFE8" s="28"/>
      <c r="BFF8" s="28"/>
      <c r="BFG8" s="28"/>
      <c r="BFH8" s="28"/>
      <c r="BFI8" s="28"/>
      <c r="BFJ8" s="28"/>
      <c r="BFK8" s="28"/>
      <c r="BFL8" s="28"/>
      <c r="BFM8" s="28"/>
      <c r="BFN8" s="28"/>
      <c r="BFO8" s="28"/>
      <c r="BFP8" s="28"/>
      <c r="BFQ8" s="28"/>
      <c r="BFR8" s="28"/>
      <c r="BFS8" s="28"/>
      <c r="BFT8" s="28"/>
      <c r="BFU8" s="28"/>
      <c r="BFV8" s="28"/>
      <c r="BFW8" s="28"/>
      <c r="BFX8" s="28"/>
      <c r="BFY8" s="28"/>
      <c r="BFZ8" s="28"/>
      <c r="BGA8" s="28"/>
      <c r="BGB8" s="28"/>
      <c r="BGC8" s="28"/>
      <c r="BGD8" s="28"/>
      <c r="BGE8" s="28"/>
      <c r="BGF8" s="28"/>
      <c r="BGG8" s="28"/>
      <c r="BGH8" s="28"/>
      <c r="BGI8" s="28"/>
      <c r="BGJ8" s="28"/>
      <c r="BGK8" s="28"/>
      <c r="BGL8" s="28"/>
      <c r="BGM8" s="28"/>
      <c r="BGN8" s="28"/>
      <c r="BGO8" s="28"/>
      <c r="BGP8" s="28"/>
      <c r="BGQ8" s="28"/>
      <c r="BGR8" s="28"/>
      <c r="BGS8" s="28"/>
      <c r="BGT8" s="28"/>
      <c r="BGU8" s="28"/>
      <c r="BGV8" s="28"/>
      <c r="BGW8" s="28"/>
      <c r="BGX8" s="28"/>
      <c r="BGY8" s="28"/>
      <c r="BGZ8" s="28"/>
      <c r="BHA8" s="28"/>
      <c r="BHB8" s="28"/>
      <c r="BHC8" s="28"/>
      <c r="BHD8" s="28"/>
      <c r="BHE8" s="28"/>
      <c r="BHF8" s="28"/>
      <c r="BHG8" s="28"/>
      <c r="BHH8" s="28"/>
      <c r="BHI8" s="28"/>
      <c r="BHJ8" s="28"/>
      <c r="BHK8" s="28"/>
      <c r="BHL8" s="28"/>
      <c r="BHM8" s="28"/>
      <c r="BHN8" s="28"/>
      <c r="BHO8" s="28"/>
      <c r="BHP8" s="28"/>
      <c r="BHQ8" s="28"/>
      <c r="BHR8" s="28"/>
      <c r="BHS8" s="28"/>
      <c r="BHT8" s="28"/>
      <c r="BHU8" s="28"/>
      <c r="BHV8" s="28"/>
      <c r="BHW8" s="28"/>
      <c r="BHX8" s="28"/>
      <c r="BHY8" s="28"/>
      <c r="BHZ8" s="28"/>
      <c r="BIA8" s="28"/>
      <c r="BIB8" s="28"/>
      <c r="BIC8" s="28"/>
      <c r="BID8" s="28"/>
      <c r="BIE8" s="28"/>
      <c r="BIF8" s="28"/>
      <c r="BIG8" s="28"/>
      <c r="BIH8" s="28"/>
      <c r="BII8" s="28"/>
      <c r="BIJ8" s="28"/>
      <c r="BIK8" s="28"/>
      <c r="BIL8" s="28"/>
      <c r="BIM8" s="28"/>
      <c r="BIN8" s="28"/>
      <c r="BIO8" s="28"/>
      <c r="BIP8" s="28"/>
      <c r="BIQ8" s="28"/>
      <c r="BIR8" s="28"/>
      <c r="BIS8" s="28"/>
      <c r="BIT8" s="28"/>
      <c r="BIU8" s="28"/>
      <c r="BIV8" s="28"/>
      <c r="BIW8" s="28"/>
      <c r="BIX8" s="28"/>
      <c r="BIY8" s="28"/>
      <c r="BIZ8" s="28"/>
      <c r="BJA8" s="28"/>
      <c r="BJB8" s="28"/>
      <c r="BJC8" s="28"/>
      <c r="BJD8" s="28"/>
      <c r="BJE8" s="28"/>
      <c r="BJF8" s="28"/>
      <c r="BJG8" s="28"/>
      <c r="BJH8" s="28"/>
      <c r="BJI8" s="28"/>
      <c r="BJJ8" s="28"/>
      <c r="BJK8" s="28"/>
      <c r="BJL8" s="28"/>
      <c r="BJM8" s="28"/>
      <c r="BJN8" s="28"/>
      <c r="BJO8" s="28"/>
      <c r="BJP8" s="28"/>
      <c r="BJQ8" s="28"/>
      <c r="BJR8" s="28"/>
      <c r="BJS8" s="28"/>
      <c r="BJT8" s="28"/>
      <c r="BJU8" s="28"/>
      <c r="BJV8" s="28"/>
      <c r="BJW8" s="28"/>
      <c r="BJX8" s="28"/>
      <c r="BJY8" s="28"/>
      <c r="BJZ8" s="28"/>
      <c r="BKA8" s="28"/>
      <c r="BKB8" s="28"/>
      <c r="BKC8" s="28"/>
      <c r="BKD8" s="28"/>
      <c r="BKE8" s="28"/>
      <c r="BKF8" s="28"/>
      <c r="BKG8" s="28"/>
      <c r="BKH8" s="28"/>
      <c r="BKI8" s="28"/>
      <c r="BKJ8" s="28"/>
      <c r="BKK8" s="28"/>
      <c r="BKL8" s="28"/>
      <c r="BKM8" s="28"/>
      <c r="BKN8" s="28"/>
      <c r="BKO8" s="28"/>
      <c r="BKP8" s="28"/>
      <c r="BKQ8" s="28"/>
      <c r="BKR8" s="28"/>
      <c r="BKS8" s="28"/>
      <c r="BKT8" s="28"/>
      <c r="BKU8" s="28"/>
      <c r="BKV8" s="28"/>
      <c r="BKW8" s="28"/>
      <c r="BKX8" s="28"/>
      <c r="BKY8" s="28"/>
      <c r="BKZ8" s="28"/>
      <c r="BLA8" s="28"/>
      <c r="BLB8" s="28"/>
      <c r="BLC8" s="28"/>
      <c r="BLD8" s="28"/>
      <c r="BLE8" s="28"/>
      <c r="BLF8" s="28"/>
      <c r="BLG8" s="28"/>
      <c r="BLH8" s="28"/>
      <c r="BLI8" s="28"/>
      <c r="BLJ8" s="28"/>
      <c r="BLK8" s="28"/>
      <c r="BLL8" s="28"/>
      <c r="BLM8" s="28"/>
      <c r="BLN8" s="28"/>
      <c r="BLO8" s="28"/>
      <c r="BLP8" s="28"/>
      <c r="BLQ8" s="28"/>
      <c r="BLR8" s="28"/>
      <c r="BLS8" s="28"/>
      <c r="BLT8" s="28"/>
      <c r="BLU8" s="28"/>
      <c r="BLV8" s="28"/>
      <c r="BLW8" s="28"/>
      <c r="BLX8" s="28"/>
      <c r="BLY8" s="28"/>
      <c r="BLZ8" s="28"/>
      <c r="BMA8" s="28"/>
      <c r="BMB8" s="28"/>
      <c r="BMC8" s="28"/>
      <c r="BMD8" s="28"/>
      <c r="BME8" s="28"/>
      <c r="BMF8" s="28"/>
      <c r="BMG8" s="28"/>
      <c r="BMH8" s="28"/>
      <c r="BMI8" s="28"/>
      <c r="BMJ8" s="28"/>
      <c r="BMK8" s="28"/>
      <c r="BML8" s="28"/>
      <c r="BMM8" s="28"/>
      <c r="BMN8" s="28"/>
      <c r="BMO8" s="28"/>
      <c r="BMP8" s="28"/>
      <c r="BMQ8" s="28"/>
      <c r="BMR8" s="28"/>
      <c r="BMS8" s="28"/>
      <c r="BMT8" s="28"/>
      <c r="BMU8" s="28"/>
      <c r="BMV8" s="28"/>
      <c r="BMW8" s="28"/>
      <c r="BMX8" s="28"/>
      <c r="BMY8" s="28"/>
      <c r="BMZ8" s="28"/>
      <c r="BNA8" s="28"/>
      <c r="BNB8" s="28"/>
      <c r="BNC8" s="28"/>
      <c r="BND8" s="28"/>
      <c r="BNE8" s="28"/>
      <c r="BNF8" s="28"/>
      <c r="BNG8" s="28"/>
      <c r="BNH8" s="28"/>
      <c r="BNI8" s="28"/>
      <c r="BNJ8" s="28"/>
      <c r="BNK8" s="28"/>
      <c r="BNL8" s="28"/>
      <c r="BNM8" s="28"/>
      <c r="BNN8" s="28"/>
      <c r="BNO8" s="28"/>
      <c r="BNP8" s="28"/>
      <c r="BNQ8" s="28"/>
      <c r="BNR8" s="28"/>
      <c r="BNS8" s="28"/>
      <c r="BNT8" s="28"/>
      <c r="BNU8" s="28"/>
      <c r="BNV8" s="28"/>
      <c r="BNW8" s="28"/>
      <c r="BNX8" s="28"/>
      <c r="BNY8" s="28"/>
      <c r="BNZ8" s="28"/>
      <c r="BOA8" s="28"/>
      <c r="BOB8" s="28"/>
      <c r="BOC8" s="28"/>
      <c r="BOD8" s="28"/>
      <c r="BOE8" s="28"/>
      <c r="BOF8" s="28"/>
      <c r="BOG8" s="28"/>
      <c r="BOH8" s="28"/>
      <c r="BOI8" s="28"/>
      <c r="BOJ8" s="28"/>
      <c r="BOK8" s="28"/>
      <c r="BOL8" s="28"/>
      <c r="BOM8" s="28"/>
      <c r="BON8" s="28"/>
      <c r="BOO8" s="28"/>
      <c r="BOP8" s="28"/>
      <c r="BOQ8" s="28"/>
      <c r="BOR8" s="28"/>
      <c r="BOS8" s="28"/>
      <c r="BOT8" s="28"/>
      <c r="BOU8" s="28"/>
      <c r="BOV8" s="28"/>
      <c r="BOW8" s="28"/>
      <c r="BOX8" s="28"/>
      <c r="BOY8" s="28"/>
      <c r="BOZ8" s="28"/>
      <c r="BPA8" s="28"/>
      <c r="BPB8" s="28"/>
      <c r="BPC8" s="28"/>
      <c r="BPD8" s="28"/>
      <c r="BPE8" s="28"/>
      <c r="BPF8" s="28"/>
      <c r="BPG8" s="28"/>
      <c r="BPH8" s="28"/>
      <c r="BPI8" s="28"/>
      <c r="BPJ8" s="28"/>
      <c r="BPK8" s="28"/>
      <c r="BPL8" s="28"/>
      <c r="BPM8" s="28"/>
      <c r="BPN8" s="28"/>
      <c r="BPO8" s="28"/>
      <c r="BPP8" s="28"/>
      <c r="BPQ8" s="28"/>
      <c r="BPR8" s="28"/>
      <c r="BPS8" s="28"/>
      <c r="BPT8" s="28"/>
      <c r="BPU8" s="28"/>
      <c r="BPV8" s="28"/>
      <c r="BPW8" s="28"/>
      <c r="BPX8" s="28"/>
      <c r="BPY8" s="28"/>
      <c r="BPZ8" s="28"/>
      <c r="BQA8" s="28"/>
      <c r="BQB8" s="28"/>
      <c r="BQC8" s="28"/>
      <c r="BQD8" s="28"/>
      <c r="BQE8" s="28"/>
      <c r="BQF8" s="28"/>
      <c r="BQG8" s="28"/>
      <c r="BQH8" s="28"/>
      <c r="BQI8" s="28"/>
      <c r="BQJ8" s="28"/>
      <c r="BQK8" s="28"/>
      <c r="BQL8" s="28"/>
      <c r="BQM8" s="28"/>
      <c r="BQN8" s="28"/>
      <c r="BQO8" s="28"/>
      <c r="BQP8" s="28"/>
      <c r="BQQ8" s="28"/>
      <c r="BQR8" s="28"/>
      <c r="BQS8" s="28"/>
      <c r="BQT8" s="28"/>
      <c r="BQU8" s="28"/>
      <c r="BQV8" s="28"/>
      <c r="BQW8" s="28"/>
      <c r="BQX8" s="28"/>
      <c r="BQY8" s="28"/>
      <c r="BQZ8" s="28"/>
      <c r="BRA8" s="28"/>
      <c r="BRB8" s="28"/>
      <c r="BRC8" s="28"/>
      <c r="BRD8" s="28"/>
      <c r="BRE8" s="28"/>
      <c r="BRF8" s="28"/>
      <c r="BRG8" s="28"/>
      <c r="BRH8" s="28"/>
      <c r="BRI8" s="28"/>
      <c r="BRJ8" s="28"/>
      <c r="BRK8" s="28"/>
      <c r="BRL8" s="28"/>
      <c r="BRM8" s="28"/>
      <c r="BRN8" s="28"/>
      <c r="BRO8" s="28"/>
      <c r="BRP8" s="28"/>
      <c r="BRQ8" s="28"/>
      <c r="BRR8" s="28"/>
      <c r="BRS8" s="28"/>
      <c r="BRT8" s="28"/>
      <c r="BRU8" s="28"/>
      <c r="BRV8" s="28"/>
      <c r="BRW8" s="28"/>
      <c r="BRX8" s="28"/>
      <c r="BRY8" s="28"/>
      <c r="BRZ8" s="28"/>
      <c r="BSA8" s="28"/>
      <c r="BSB8" s="28"/>
      <c r="BSC8" s="28"/>
      <c r="BSD8" s="28"/>
      <c r="BSE8" s="28"/>
      <c r="BSF8" s="28"/>
      <c r="BSG8" s="28"/>
      <c r="BSH8" s="28"/>
      <c r="BSI8" s="28"/>
      <c r="BSJ8" s="28"/>
      <c r="BSK8" s="28"/>
      <c r="BSL8" s="28"/>
      <c r="BSM8" s="28"/>
      <c r="BSN8" s="28"/>
      <c r="BSO8" s="28"/>
      <c r="BSP8" s="28"/>
      <c r="BSQ8" s="28"/>
      <c r="BSR8" s="28"/>
      <c r="BSS8" s="28"/>
      <c r="BST8" s="28"/>
      <c r="BSU8" s="28"/>
      <c r="BSV8" s="28"/>
      <c r="BSW8" s="28"/>
      <c r="BSX8" s="28"/>
      <c r="BSY8" s="28"/>
      <c r="BSZ8" s="28"/>
      <c r="BTA8" s="28"/>
      <c r="BTB8" s="28"/>
      <c r="BTC8" s="28"/>
      <c r="BTD8" s="28"/>
      <c r="BTE8" s="28"/>
      <c r="BTF8" s="28"/>
      <c r="BTG8" s="28"/>
      <c r="BTH8" s="28"/>
      <c r="BTI8" s="28"/>
      <c r="BTJ8" s="28"/>
      <c r="BTK8" s="28"/>
      <c r="BTL8" s="28"/>
      <c r="BTM8" s="28"/>
      <c r="BTN8" s="28"/>
      <c r="BTO8" s="28"/>
      <c r="BTP8" s="28"/>
      <c r="BTQ8" s="28"/>
      <c r="BTR8" s="28"/>
      <c r="BTS8" s="28"/>
      <c r="BTT8" s="28"/>
      <c r="BTU8" s="28"/>
      <c r="BTV8" s="28"/>
      <c r="BTW8" s="28"/>
      <c r="BTX8" s="28"/>
      <c r="BTY8" s="28"/>
      <c r="BTZ8" s="28"/>
      <c r="BUA8" s="28"/>
      <c r="BUB8" s="28"/>
      <c r="BUC8" s="28"/>
      <c r="BUD8" s="28"/>
      <c r="BUE8" s="28"/>
      <c r="BUF8" s="28"/>
      <c r="BUG8" s="28"/>
      <c r="BUH8" s="28"/>
      <c r="BUI8" s="28"/>
      <c r="BUJ8" s="28"/>
      <c r="BUK8" s="28"/>
      <c r="BUL8" s="28"/>
      <c r="BUM8" s="28"/>
      <c r="BUN8" s="28"/>
      <c r="BUO8" s="28"/>
      <c r="BUP8" s="28"/>
      <c r="BUQ8" s="28"/>
      <c r="BUR8" s="28"/>
      <c r="BUS8" s="28"/>
      <c r="BUT8" s="28"/>
      <c r="BUU8" s="28"/>
      <c r="BUV8" s="28"/>
      <c r="BUW8" s="28"/>
      <c r="BUX8" s="28"/>
      <c r="BUY8" s="28"/>
      <c r="BUZ8" s="28"/>
      <c r="BVA8" s="28"/>
      <c r="BVB8" s="28"/>
      <c r="BVC8" s="28"/>
      <c r="BVD8" s="28"/>
      <c r="BVE8" s="28"/>
      <c r="BVF8" s="28"/>
      <c r="BVG8" s="28"/>
      <c r="BVH8" s="28"/>
      <c r="BVI8" s="28"/>
      <c r="BVJ8" s="28"/>
      <c r="BVK8" s="28"/>
      <c r="BVL8" s="28"/>
      <c r="BVM8" s="28"/>
      <c r="BVN8" s="28"/>
      <c r="BVO8" s="28"/>
      <c r="BVP8" s="28"/>
      <c r="BVQ8" s="28"/>
      <c r="BVR8" s="28"/>
      <c r="BVS8" s="28"/>
      <c r="BVT8" s="28"/>
      <c r="BVU8" s="28"/>
      <c r="BVV8" s="28"/>
      <c r="BVW8" s="28"/>
      <c r="BVX8" s="28"/>
      <c r="BVY8" s="28"/>
      <c r="BVZ8" s="28"/>
      <c r="BWA8" s="28"/>
      <c r="BWB8" s="28"/>
      <c r="BWC8" s="28"/>
      <c r="BWD8" s="28"/>
      <c r="BWE8" s="28"/>
      <c r="BWF8" s="28"/>
      <c r="BWG8" s="28"/>
      <c r="BWH8" s="28"/>
      <c r="BWI8" s="28"/>
      <c r="BWJ8" s="28"/>
      <c r="BWK8" s="28"/>
      <c r="BWL8" s="28"/>
      <c r="BWM8" s="28"/>
      <c r="BWN8" s="28"/>
      <c r="BWO8" s="28"/>
      <c r="BWP8" s="28"/>
      <c r="BWQ8" s="28"/>
      <c r="BWR8" s="28"/>
      <c r="BWS8" s="28"/>
      <c r="BWT8" s="28"/>
      <c r="BWU8" s="28"/>
      <c r="BWV8" s="28"/>
      <c r="BWW8" s="28"/>
      <c r="BWX8" s="28"/>
      <c r="BWY8" s="28"/>
      <c r="BWZ8" s="28"/>
      <c r="BXA8" s="28"/>
      <c r="BXB8" s="28"/>
      <c r="BXC8" s="28"/>
      <c r="BXD8" s="28"/>
      <c r="BXE8" s="28"/>
      <c r="BXF8" s="28"/>
      <c r="BXG8" s="28"/>
      <c r="BXH8" s="28"/>
      <c r="BXI8" s="28"/>
      <c r="BXJ8" s="28"/>
      <c r="BXK8" s="28"/>
      <c r="BXL8" s="28"/>
      <c r="BXM8" s="28"/>
      <c r="BXN8" s="28"/>
      <c r="BXO8" s="28"/>
      <c r="BXP8" s="28"/>
      <c r="BXQ8" s="28"/>
      <c r="BXR8" s="28"/>
      <c r="BXS8" s="28"/>
      <c r="BXT8" s="28"/>
      <c r="BXU8" s="28"/>
      <c r="BXV8" s="28"/>
      <c r="BXW8" s="28"/>
      <c r="BXX8" s="28"/>
      <c r="BXY8" s="28"/>
      <c r="BXZ8" s="28"/>
      <c r="BYA8" s="28"/>
      <c r="BYB8" s="28"/>
      <c r="BYC8" s="28"/>
      <c r="BYD8" s="28"/>
      <c r="BYE8" s="28"/>
      <c r="BYF8" s="28"/>
      <c r="BYG8" s="28"/>
      <c r="BYH8" s="28"/>
      <c r="BYI8" s="28"/>
      <c r="BYJ8" s="28"/>
      <c r="BYK8" s="28"/>
      <c r="BYL8" s="28"/>
      <c r="BYM8" s="28"/>
      <c r="BYN8" s="28"/>
      <c r="BYO8" s="28"/>
      <c r="BYP8" s="28"/>
      <c r="BYQ8" s="28"/>
      <c r="BYR8" s="28"/>
      <c r="BYS8" s="28"/>
      <c r="BYT8" s="28"/>
      <c r="BYU8" s="28"/>
      <c r="BYV8" s="28"/>
      <c r="BYW8" s="28"/>
      <c r="BYX8" s="28"/>
      <c r="BYY8" s="28"/>
      <c r="BYZ8" s="28"/>
      <c r="BZA8" s="28"/>
      <c r="BZB8" s="28"/>
      <c r="BZC8" s="28"/>
      <c r="BZD8" s="28"/>
      <c r="BZE8" s="28"/>
      <c r="BZF8" s="28"/>
      <c r="BZG8" s="28"/>
      <c r="BZH8" s="28"/>
      <c r="BZI8" s="28"/>
      <c r="BZJ8" s="28"/>
      <c r="BZK8" s="28"/>
      <c r="BZL8" s="28"/>
      <c r="BZM8" s="28"/>
      <c r="BZN8" s="28"/>
      <c r="BZO8" s="28"/>
      <c r="BZP8" s="28"/>
      <c r="BZQ8" s="28"/>
      <c r="BZR8" s="28"/>
      <c r="BZS8" s="28"/>
      <c r="BZT8" s="28"/>
      <c r="BZU8" s="28"/>
      <c r="BZV8" s="28"/>
      <c r="BZW8" s="28"/>
      <c r="BZX8" s="28"/>
      <c r="BZY8" s="28"/>
      <c r="BZZ8" s="28"/>
      <c r="CAA8" s="28"/>
      <c r="CAB8" s="28"/>
      <c r="CAC8" s="28"/>
      <c r="CAD8" s="28"/>
      <c r="CAE8" s="28"/>
      <c r="CAF8" s="28"/>
      <c r="CAG8" s="28"/>
      <c r="CAH8" s="28"/>
      <c r="CAI8" s="28"/>
      <c r="CAJ8" s="28"/>
      <c r="CAK8" s="28"/>
      <c r="CAL8" s="28"/>
      <c r="CAM8" s="28"/>
      <c r="CAN8" s="28"/>
      <c r="CAO8" s="28"/>
      <c r="CAP8" s="28"/>
      <c r="CAQ8" s="28"/>
      <c r="CAR8" s="28"/>
      <c r="CAS8" s="28"/>
      <c r="CAT8" s="28"/>
      <c r="CAU8" s="28"/>
      <c r="CAV8" s="28"/>
      <c r="CAW8" s="28"/>
      <c r="CAX8" s="28"/>
      <c r="CAY8" s="28"/>
      <c r="CAZ8" s="28"/>
      <c r="CBA8" s="28"/>
      <c r="CBB8" s="28"/>
      <c r="CBC8" s="28"/>
      <c r="CBD8" s="28"/>
      <c r="CBE8" s="28"/>
      <c r="CBF8" s="28"/>
      <c r="CBG8" s="28"/>
      <c r="CBH8" s="28"/>
      <c r="CBI8" s="28"/>
      <c r="CBJ8" s="28"/>
      <c r="CBK8" s="28"/>
      <c r="CBL8" s="28"/>
      <c r="CBM8" s="28"/>
      <c r="CBN8" s="28"/>
      <c r="CBO8" s="28"/>
      <c r="CBP8" s="28"/>
      <c r="CBQ8" s="28"/>
      <c r="CBR8" s="28"/>
      <c r="CBS8" s="28"/>
      <c r="CBT8" s="28"/>
      <c r="CBU8" s="28"/>
      <c r="CBV8" s="28"/>
      <c r="CBW8" s="28"/>
      <c r="CBX8" s="28"/>
      <c r="CBY8" s="28"/>
      <c r="CBZ8" s="28"/>
      <c r="CCA8" s="28"/>
      <c r="CCB8" s="28"/>
      <c r="CCC8" s="28"/>
      <c r="CCD8" s="28"/>
      <c r="CCE8" s="28"/>
      <c r="CCF8" s="28"/>
      <c r="CCG8" s="28"/>
      <c r="CCH8" s="28"/>
      <c r="CCI8" s="28"/>
      <c r="CCJ8" s="28"/>
      <c r="CCK8" s="28"/>
      <c r="CCL8" s="28"/>
      <c r="CCM8" s="28"/>
      <c r="CCN8" s="28"/>
      <c r="CCO8" s="28"/>
      <c r="CCP8" s="28"/>
      <c r="CCQ8" s="28"/>
      <c r="CCR8" s="28"/>
      <c r="CCS8" s="28"/>
      <c r="CCT8" s="28"/>
      <c r="CCU8" s="28"/>
      <c r="CCV8" s="28"/>
      <c r="CCW8" s="28"/>
      <c r="CCX8" s="28"/>
      <c r="CCY8" s="28"/>
      <c r="CCZ8" s="28"/>
      <c r="CDA8" s="28"/>
      <c r="CDB8" s="28"/>
      <c r="CDC8" s="28"/>
      <c r="CDD8" s="28"/>
      <c r="CDE8" s="28"/>
      <c r="CDF8" s="28"/>
      <c r="CDG8" s="28"/>
      <c r="CDH8" s="28"/>
      <c r="CDI8" s="28"/>
      <c r="CDJ8" s="28"/>
      <c r="CDK8" s="28"/>
      <c r="CDL8" s="28"/>
      <c r="CDM8" s="28"/>
      <c r="CDN8" s="28"/>
      <c r="CDO8" s="28"/>
      <c r="CDP8" s="28"/>
      <c r="CDQ8" s="28"/>
      <c r="CDR8" s="28"/>
      <c r="CDS8" s="28"/>
      <c r="CDT8" s="28"/>
      <c r="CDU8" s="28"/>
      <c r="CDV8" s="28"/>
      <c r="CDW8" s="28"/>
      <c r="CDX8" s="28"/>
      <c r="CDY8" s="28"/>
      <c r="CDZ8" s="28"/>
      <c r="CEA8" s="28"/>
      <c r="CEB8" s="28"/>
      <c r="CEC8" s="28"/>
      <c r="CED8" s="28"/>
      <c r="CEE8" s="28"/>
      <c r="CEF8" s="28"/>
      <c r="CEG8" s="28"/>
      <c r="CEH8" s="28"/>
      <c r="CEI8" s="28"/>
      <c r="CEJ8" s="28"/>
      <c r="CEK8" s="28"/>
      <c r="CEL8" s="28"/>
      <c r="CEM8" s="28"/>
      <c r="CEN8" s="28"/>
      <c r="CEO8" s="28"/>
      <c r="CEP8" s="28"/>
      <c r="CEQ8" s="28"/>
      <c r="CER8" s="28"/>
      <c r="CES8" s="28"/>
      <c r="CET8" s="28"/>
      <c r="CEU8" s="28"/>
      <c r="CEV8" s="28"/>
      <c r="CEW8" s="28"/>
      <c r="CEX8" s="28"/>
      <c r="CEY8" s="28"/>
      <c r="CEZ8" s="28"/>
      <c r="CFA8" s="28"/>
      <c r="CFB8" s="28"/>
      <c r="CFC8" s="28"/>
      <c r="CFD8" s="28"/>
      <c r="CFE8" s="28"/>
      <c r="CFF8" s="28"/>
      <c r="CFG8" s="28"/>
      <c r="CFH8" s="28"/>
      <c r="CFI8" s="28"/>
      <c r="CFJ8" s="28"/>
      <c r="CFK8" s="28"/>
      <c r="CFL8" s="28"/>
      <c r="CFM8" s="28"/>
      <c r="CFN8" s="28"/>
      <c r="CFO8" s="28"/>
      <c r="CFP8" s="28"/>
      <c r="CFQ8" s="28"/>
      <c r="CFR8" s="28"/>
      <c r="CFS8" s="28"/>
      <c r="CFT8" s="28"/>
      <c r="CFU8" s="28"/>
      <c r="CFV8" s="28"/>
      <c r="CFW8" s="28"/>
      <c r="CFX8" s="28"/>
      <c r="CFY8" s="28"/>
      <c r="CFZ8" s="28"/>
      <c r="CGA8" s="28"/>
      <c r="CGB8" s="28"/>
      <c r="CGC8" s="28"/>
      <c r="CGD8" s="28"/>
      <c r="CGE8" s="28"/>
      <c r="CGF8" s="28"/>
      <c r="CGG8" s="28"/>
      <c r="CGH8" s="28"/>
      <c r="CGI8" s="28"/>
      <c r="CGJ8" s="28"/>
      <c r="CGK8" s="28"/>
      <c r="CGL8" s="28"/>
      <c r="CGM8" s="28"/>
      <c r="CGN8" s="28"/>
      <c r="CGO8" s="28"/>
      <c r="CGP8" s="28"/>
      <c r="CGQ8" s="28"/>
      <c r="CGR8" s="28"/>
      <c r="CGS8" s="28"/>
      <c r="CGT8" s="28"/>
      <c r="CGU8" s="28"/>
      <c r="CGV8" s="28"/>
      <c r="CGW8" s="28"/>
      <c r="CGX8" s="28"/>
      <c r="CGY8" s="28"/>
      <c r="CGZ8" s="28"/>
      <c r="CHA8" s="28"/>
      <c r="CHB8" s="28"/>
      <c r="CHC8" s="28"/>
      <c r="CHD8" s="28"/>
      <c r="CHE8" s="28"/>
      <c r="CHF8" s="28"/>
      <c r="CHG8" s="28"/>
      <c r="CHH8" s="28"/>
      <c r="CHI8" s="28"/>
      <c r="CHJ8" s="28"/>
      <c r="CHK8" s="28"/>
      <c r="CHL8" s="28"/>
      <c r="CHM8" s="28"/>
      <c r="CHN8" s="28"/>
      <c r="CHO8" s="28"/>
      <c r="CHP8" s="28"/>
      <c r="CHQ8" s="28"/>
      <c r="CHR8" s="28"/>
      <c r="CHS8" s="28"/>
      <c r="CHT8" s="28"/>
      <c r="CHU8" s="28"/>
      <c r="CHV8" s="28"/>
      <c r="CHW8" s="28"/>
      <c r="CHX8" s="28"/>
      <c r="CHY8" s="28"/>
      <c r="CHZ8" s="28"/>
      <c r="CIA8" s="28"/>
      <c r="CIB8" s="28"/>
      <c r="CIC8" s="28"/>
      <c r="CID8" s="28"/>
      <c r="CIE8" s="28"/>
      <c r="CIF8" s="28"/>
      <c r="CIG8" s="28"/>
      <c r="CIH8" s="28"/>
      <c r="CII8" s="28"/>
      <c r="CIJ8" s="28"/>
      <c r="CIK8" s="28"/>
      <c r="CIL8" s="28"/>
      <c r="CIM8" s="28"/>
      <c r="CIN8" s="28"/>
      <c r="CIO8" s="28"/>
      <c r="CIP8" s="28"/>
      <c r="CIQ8" s="28"/>
      <c r="CIR8" s="28"/>
      <c r="CIS8" s="28"/>
      <c r="CIT8" s="28"/>
      <c r="CIU8" s="28"/>
      <c r="CIV8" s="28"/>
      <c r="CIW8" s="28"/>
      <c r="CIX8" s="28"/>
      <c r="CIY8" s="28"/>
      <c r="CIZ8" s="28"/>
      <c r="CJA8" s="28"/>
      <c r="CJB8" s="28"/>
      <c r="CJC8" s="28"/>
      <c r="CJD8" s="28"/>
      <c r="CJE8" s="28"/>
      <c r="CJF8" s="28"/>
      <c r="CJG8" s="28"/>
      <c r="CJH8" s="28"/>
      <c r="CJI8" s="28"/>
      <c r="CJJ8" s="28"/>
      <c r="CJK8" s="28"/>
      <c r="CJL8" s="28"/>
      <c r="CJM8" s="28"/>
      <c r="CJN8" s="28"/>
      <c r="CJO8" s="28"/>
      <c r="CJP8" s="28"/>
      <c r="CJQ8" s="28"/>
      <c r="CJR8" s="28"/>
      <c r="CJS8" s="28"/>
      <c r="CJT8" s="28"/>
      <c r="CJU8" s="28"/>
      <c r="CJV8" s="28"/>
      <c r="CJW8" s="28"/>
      <c r="CJX8" s="28"/>
      <c r="CJY8" s="28"/>
      <c r="CJZ8" s="28"/>
      <c r="CKA8" s="28"/>
      <c r="CKB8" s="28"/>
      <c r="CKC8" s="28"/>
      <c r="CKD8" s="28"/>
      <c r="CKE8" s="28"/>
      <c r="CKF8" s="28"/>
      <c r="CKG8" s="28"/>
      <c r="CKH8" s="28"/>
      <c r="CKI8" s="28"/>
      <c r="CKJ8" s="28"/>
      <c r="CKK8" s="28"/>
      <c r="CKL8" s="28"/>
      <c r="CKM8" s="28"/>
      <c r="CKN8" s="28"/>
      <c r="CKO8" s="28"/>
      <c r="CKP8" s="28"/>
      <c r="CKQ8" s="28"/>
      <c r="CKR8" s="28"/>
      <c r="CKS8" s="28"/>
      <c r="CKT8" s="28"/>
      <c r="CKU8" s="28"/>
      <c r="CKV8" s="28"/>
      <c r="CKW8" s="28"/>
      <c r="CKX8" s="28"/>
      <c r="CKY8" s="28"/>
      <c r="CKZ8" s="28"/>
      <c r="CLA8" s="28"/>
      <c r="CLB8" s="28"/>
      <c r="CLC8" s="28"/>
      <c r="CLD8" s="28"/>
      <c r="CLE8" s="28"/>
      <c r="CLF8" s="28"/>
      <c r="CLG8" s="28"/>
      <c r="CLH8" s="28"/>
      <c r="CLI8" s="28"/>
      <c r="CLJ8" s="28"/>
      <c r="CLK8" s="28"/>
      <c r="CLL8" s="28"/>
      <c r="CLM8" s="28"/>
      <c r="CLN8" s="28"/>
      <c r="CLO8" s="28"/>
      <c r="CLP8" s="28"/>
      <c r="CLQ8" s="28"/>
      <c r="CLR8" s="28"/>
      <c r="CLS8" s="28"/>
      <c r="CLT8" s="28"/>
      <c r="CLU8" s="28"/>
      <c r="CLV8" s="28"/>
      <c r="CLW8" s="28"/>
      <c r="CLX8" s="28"/>
      <c r="CLY8" s="28"/>
      <c r="CLZ8" s="28"/>
      <c r="CMA8" s="28"/>
      <c r="CMB8" s="28"/>
      <c r="CMC8" s="28"/>
      <c r="CMD8" s="28"/>
      <c r="CME8" s="28"/>
      <c r="CMF8" s="28"/>
      <c r="CMG8" s="28"/>
      <c r="CMH8" s="28"/>
      <c r="CMI8" s="28"/>
      <c r="CMJ8" s="28"/>
      <c r="CMK8" s="28"/>
      <c r="CML8" s="28"/>
      <c r="CMM8" s="28"/>
      <c r="CMN8" s="28"/>
      <c r="CMO8" s="28"/>
      <c r="CMP8" s="28"/>
      <c r="CMQ8" s="28"/>
      <c r="CMR8" s="28"/>
      <c r="CMS8" s="28"/>
      <c r="CMT8" s="28"/>
      <c r="CMU8" s="28"/>
      <c r="CMV8" s="28"/>
      <c r="CMW8" s="28"/>
      <c r="CMX8" s="28"/>
      <c r="CMY8" s="28"/>
      <c r="CMZ8" s="28"/>
      <c r="CNA8" s="28"/>
      <c r="CNB8" s="28"/>
      <c r="CNC8" s="28"/>
      <c r="CND8" s="28"/>
      <c r="CNE8" s="28"/>
      <c r="CNF8" s="28"/>
      <c r="CNG8" s="28"/>
      <c r="CNH8" s="28"/>
      <c r="CNI8" s="28"/>
      <c r="CNJ8" s="28"/>
      <c r="CNK8" s="28"/>
      <c r="CNL8" s="28"/>
      <c r="CNM8" s="28"/>
      <c r="CNN8" s="28"/>
      <c r="CNO8" s="28"/>
      <c r="CNP8" s="28"/>
      <c r="CNQ8" s="28"/>
      <c r="CNR8" s="28"/>
      <c r="CNS8" s="28"/>
      <c r="CNT8" s="28"/>
      <c r="CNU8" s="28"/>
      <c r="CNV8" s="28"/>
      <c r="CNW8" s="28"/>
      <c r="CNX8" s="28"/>
      <c r="CNY8" s="28"/>
      <c r="CNZ8" s="28"/>
      <c r="COA8" s="28"/>
      <c r="COB8" s="28"/>
      <c r="COC8" s="28"/>
      <c r="COD8" s="28"/>
      <c r="COE8" s="28"/>
      <c r="COF8" s="28"/>
      <c r="COG8" s="28"/>
      <c r="COH8" s="28"/>
      <c r="COI8" s="28"/>
      <c r="COJ8" s="28"/>
      <c r="COK8" s="28"/>
      <c r="COL8" s="28"/>
      <c r="COM8" s="28"/>
      <c r="CON8" s="28"/>
      <c r="COO8" s="28"/>
      <c r="COP8" s="28"/>
      <c r="COQ8" s="28"/>
      <c r="COR8" s="28"/>
      <c r="COS8" s="28"/>
      <c r="COT8" s="28"/>
      <c r="COU8" s="28"/>
      <c r="COV8" s="28"/>
      <c r="COW8" s="28"/>
      <c r="COX8" s="28"/>
      <c r="COY8" s="28"/>
      <c r="COZ8" s="28"/>
      <c r="CPA8" s="28"/>
      <c r="CPB8" s="28"/>
      <c r="CPC8" s="28"/>
      <c r="CPD8" s="28"/>
      <c r="CPE8" s="28"/>
      <c r="CPF8" s="28"/>
      <c r="CPG8" s="28"/>
      <c r="CPH8" s="28"/>
      <c r="CPI8" s="28"/>
      <c r="CPJ8" s="28"/>
      <c r="CPK8" s="28"/>
      <c r="CPL8" s="28"/>
      <c r="CPM8" s="28"/>
      <c r="CPN8" s="28"/>
      <c r="CPO8" s="28"/>
      <c r="CPP8" s="28"/>
      <c r="CPQ8" s="28"/>
      <c r="CPR8" s="28"/>
      <c r="CPS8" s="28"/>
      <c r="CPT8" s="28"/>
      <c r="CPU8" s="28"/>
      <c r="CPV8" s="28"/>
      <c r="CPW8" s="28"/>
      <c r="CPX8" s="28"/>
      <c r="CPY8" s="28"/>
      <c r="CPZ8" s="28"/>
      <c r="CQA8" s="28"/>
      <c r="CQB8" s="28"/>
      <c r="CQC8" s="28"/>
      <c r="CQD8" s="28"/>
      <c r="CQE8" s="28"/>
      <c r="CQF8" s="28"/>
      <c r="CQG8" s="28"/>
      <c r="CQH8" s="28"/>
      <c r="CQI8" s="28"/>
      <c r="CQJ8" s="28"/>
      <c r="CQK8" s="28"/>
      <c r="CQL8" s="28"/>
      <c r="CQM8" s="28"/>
      <c r="CQN8" s="28"/>
      <c r="CQO8" s="28"/>
      <c r="CQP8" s="28"/>
      <c r="CQQ8" s="28"/>
      <c r="CQR8" s="28"/>
      <c r="CQS8" s="28"/>
      <c r="CQT8" s="28"/>
      <c r="CQU8" s="28"/>
      <c r="CQV8" s="28"/>
      <c r="CQW8" s="28"/>
      <c r="CQX8" s="28"/>
      <c r="CQY8" s="28"/>
      <c r="CQZ8" s="28"/>
      <c r="CRA8" s="28"/>
      <c r="CRB8" s="28"/>
      <c r="CRC8" s="28"/>
      <c r="CRD8" s="28"/>
      <c r="CRE8" s="28"/>
      <c r="CRF8" s="28"/>
      <c r="CRG8" s="28"/>
      <c r="CRH8" s="28"/>
      <c r="CRI8" s="28"/>
      <c r="CRJ8" s="28"/>
      <c r="CRK8" s="28"/>
      <c r="CRL8" s="28"/>
      <c r="CRM8" s="28"/>
      <c r="CRN8" s="28"/>
      <c r="CRO8" s="28"/>
      <c r="CRP8" s="28"/>
      <c r="CRQ8" s="28"/>
      <c r="CRR8" s="28"/>
      <c r="CRS8" s="28"/>
      <c r="CRT8" s="28"/>
      <c r="CRU8" s="28"/>
      <c r="CRV8" s="28"/>
      <c r="CRW8" s="28"/>
      <c r="CRX8" s="28"/>
      <c r="CRY8" s="28"/>
      <c r="CRZ8" s="28"/>
      <c r="CSA8" s="28"/>
      <c r="CSB8" s="28"/>
      <c r="CSC8" s="28"/>
      <c r="CSD8" s="28"/>
      <c r="CSE8" s="28"/>
      <c r="CSF8" s="28"/>
      <c r="CSG8" s="28"/>
      <c r="CSH8" s="28"/>
      <c r="CSI8" s="28"/>
      <c r="CSJ8" s="28"/>
      <c r="CSK8" s="28"/>
      <c r="CSL8" s="28"/>
      <c r="CSM8" s="28"/>
      <c r="CSN8" s="28"/>
      <c r="CSO8" s="28"/>
      <c r="CSP8" s="28"/>
      <c r="CSQ8" s="28"/>
      <c r="CSR8" s="28"/>
      <c r="CSS8" s="28"/>
      <c r="CST8" s="28"/>
      <c r="CSU8" s="28"/>
      <c r="CSV8" s="28"/>
      <c r="CSW8" s="28"/>
      <c r="CSX8" s="28"/>
      <c r="CSY8" s="28"/>
      <c r="CSZ8" s="28"/>
      <c r="CTA8" s="28"/>
      <c r="CTB8" s="28"/>
      <c r="CTC8" s="28"/>
      <c r="CTD8" s="28"/>
      <c r="CTE8" s="28"/>
      <c r="CTF8" s="28"/>
      <c r="CTG8" s="28"/>
      <c r="CTH8" s="28"/>
      <c r="CTI8" s="28"/>
      <c r="CTJ8" s="28"/>
      <c r="CTK8" s="28"/>
      <c r="CTL8" s="28"/>
      <c r="CTM8" s="28"/>
      <c r="CTN8" s="28"/>
      <c r="CTO8" s="28"/>
      <c r="CTP8" s="28"/>
      <c r="CTQ8" s="28"/>
      <c r="CTR8" s="28"/>
      <c r="CTS8" s="28"/>
      <c r="CTT8" s="28"/>
      <c r="CTU8" s="28"/>
      <c r="CTV8" s="28"/>
      <c r="CTW8" s="28"/>
      <c r="CTX8" s="28"/>
      <c r="CTY8" s="28"/>
      <c r="CTZ8" s="28"/>
      <c r="CUA8" s="28"/>
      <c r="CUB8" s="28"/>
      <c r="CUC8" s="28"/>
      <c r="CUD8" s="28"/>
      <c r="CUE8" s="28"/>
      <c r="CUF8" s="28"/>
      <c r="CUG8" s="28"/>
      <c r="CUH8" s="28"/>
      <c r="CUI8" s="28"/>
      <c r="CUJ8" s="28"/>
      <c r="CUK8" s="28"/>
      <c r="CUL8" s="28"/>
      <c r="CUM8" s="28"/>
      <c r="CUN8" s="28"/>
      <c r="CUO8" s="28"/>
      <c r="CUP8" s="28"/>
      <c r="CUQ8" s="28"/>
      <c r="CUR8" s="28"/>
      <c r="CUS8" s="28"/>
      <c r="CUT8" s="28"/>
      <c r="CUU8" s="28"/>
      <c r="CUV8" s="28"/>
      <c r="CUW8" s="28"/>
      <c r="CUX8" s="28"/>
      <c r="CUY8" s="28"/>
      <c r="CUZ8" s="28"/>
      <c r="CVA8" s="28"/>
      <c r="CVB8" s="28"/>
      <c r="CVC8" s="28"/>
      <c r="CVD8" s="28"/>
      <c r="CVE8" s="28"/>
      <c r="CVF8" s="28"/>
      <c r="CVG8" s="28"/>
      <c r="CVH8" s="28"/>
      <c r="CVI8" s="28"/>
      <c r="CVJ8" s="28"/>
      <c r="CVK8" s="28"/>
      <c r="CVL8" s="28"/>
      <c r="CVM8" s="28"/>
      <c r="CVN8" s="28"/>
      <c r="CVO8" s="28"/>
      <c r="CVP8" s="28"/>
      <c r="CVQ8" s="28"/>
      <c r="CVR8" s="28"/>
      <c r="CVS8" s="28"/>
      <c r="CVT8" s="28"/>
      <c r="CVU8" s="28"/>
      <c r="CVV8" s="28"/>
      <c r="CVW8" s="28"/>
      <c r="CVX8" s="28"/>
      <c r="CVY8" s="28"/>
      <c r="CVZ8" s="28"/>
      <c r="CWA8" s="28"/>
      <c r="CWB8" s="28"/>
      <c r="CWC8" s="28"/>
      <c r="CWD8" s="28"/>
      <c r="CWE8" s="28"/>
      <c r="CWF8" s="28"/>
      <c r="CWG8" s="28"/>
      <c r="CWH8" s="28"/>
      <c r="CWI8" s="28"/>
      <c r="CWJ8" s="28"/>
      <c r="CWK8" s="28"/>
      <c r="CWL8" s="28"/>
      <c r="CWM8" s="28"/>
      <c r="CWN8" s="28"/>
      <c r="CWO8" s="28"/>
      <c r="CWP8" s="28"/>
      <c r="CWQ8" s="28"/>
      <c r="CWR8" s="28"/>
      <c r="CWS8" s="28"/>
      <c r="CWT8" s="28"/>
      <c r="CWU8" s="28"/>
      <c r="CWV8" s="28"/>
      <c r="CWW8" s="28"/>
      <c r="CWX8" s="28"/>
      <c r="CWY8" s="28"/>
      <c r="CWZ8" s="28"/>
      <c r="CXA8" s="28"/>
      <c r="CXB8" s="28"/>
      <c r="CXC8" s="28"/>
      <c r="CXD8" s="28"/>
      <c r="CXE8" s="28"/>
      <c r="CXF8" s="28"/>
      <c r="CXG8" s="28"/>
      <c r="CXH8" s="28"/>
      <c r="CXI8" s="28"/>
      <c r="CXJ8" s="28"/>
      <c r="CXK8" s="28"/>
      <c r="CXL8" s="28"/>
      <c r="CXM8" s="28"/>
      <c r="CXN8" s="28"/>
      <c r="CXO8" s="28"/>
      <c r="CXP8" s="28"/>
      <c r="CXQ8" s="28"/>
      <c r="CXR8" s="28"/>
      <c r="CXS8" s="28"/>
      <c r="CXT8" s="28"/>
      <c r="CXU8" s="28"/>
      <c r="CXV8" s="28"/>
      <c r="CXW8" s="28"/>
      <c r="CXX8" s="28"/>
      <c r="CXY8" s="28"/>
      <c r="CXZ8" s="28"/>
      <c r="CYA8" s="28"/>
      <c r="CYB8" s="28"/>
      <c r="CYC8" s="28"/>
      <c r="CYD8" s="28"/>
      <c r="CYE8" s="28"/>
      <c r="CYF8" s="28"/>
      <c r="CYG8" s="28"/>
      <c r="CYH8" s="28"/>
      <c r="CYI8" s="28"/>
      <c r="CYJ8" s="28"/>
      <c r="CYK8" s="28"/>
      <c r="CYL8" s="28"/>
      <c r="CYM8" s="28"/>
      <c r="CYN8" s="28"/>
      <c r="CYO8" s="28"/>
      <c r="CYP8" s="28"/>
      <c r="CYQ8" s="28"/>
      <c r="CYR8" s="28"/>
      <c r="CYS8" s="28"/>
      <c r="CYT8" s="28"/>
      <c r="CYU8" s="28"/>
      <c r="CYV8" s="28"/>
      <c r="CYW8" s="28"/>
      <c r="CYX8" s="28"/>
      <c r="CYY8" s="28"/>
      <c r="CYZ8" s="28"/>
      <c r="CZA8" s="28"/>
      <c r="CZB8" s="28"/>
      <c r="CZC8" s="28"/>
      <c r="CZD8" s="28"/>
      <c r="CZE8" s="28"/>
      <c r="CZF8" s="28"/>
      <c r="CZG8" s="28"/>
      <c r="CZH8" s="28"/>
      <c r="CZI8" s="28"/>
      <c r="CZJ8" s="28"/>
      <c r="CZK8" s="28"/>
      <c r="CZL8" s="28"/>
      <c r="CZM8" s="28"/>
      <c r="CZN8" s="28"/>
      <c r="CZO8" s="28"/>
      <c r="CZP8" s="28"/>
      <c r="CZQ8" s="28"/>
      <c r="CZR8" s="28"/>
      <c r="CZS8" s="28"/>
      <c r="CZT8" s="28"/>
      <c r="CZU8" s="28"/>
      <c r="CZV8" s="28"/>
      <c r="CZW8" s="28"/>
      <c r="CZX8" s="28"/>
      <c r="CZY8" s="28"/>
      <c r="CZZ8" s="28"/>
      <c r="DAA8" s="28"/>
      <c r="DAB8" s="28"/>
      <c r="DAC8" s="28"/>
      <c r="DAD8" s="28"/>
      <c r="DAE8" s="28"/>
      <c r="DAF8" s="28"/>
      <c r="DAG8" s="28"/>
      <c r="DAH8" s="28"/>
      <c r="DAI8" s="28"/>
      <c r="DAJ8" s="28"/>
      <c r="DAK8" s="28"/>
      <c r="DAL8" s="28"/>
      <c r="DAM8" s="28"/>
      <c r="DAN8" s="28"/>
      <c r="DAO8" s="28"/>
      <c r="DAP8" s="28"/>
      <c r="DAQ8" s="28"/>
      <c r="DAR8" s="28"/>
      <c r="DAS8" s="28"/>
      <c r="DAT8" s="28"/>
      <c r="DAU8" s="28"/>
      <c r="DAV8" s="28"/>
      <c r="DAW8" s="28"/>
      <c r="DAX8" s="28"/>
      <c r="DAY8" s="28"/>
      <c r="DAZ8" s="28"/>
      <c r="DBA8" s="28"/>
      <c r="DBB8" s="28"/>
      <c r="DBC8" s="28"/>
      <c r="DBD8" s="28"/>
      <c r="DBE8" s="28"/>
      <c r="DBF8" s="28"/>
      <c r="DBG8" s="28"/>
      <c r="DBH8" s="28"/>
      <c r="DBI8" s="28"/>
      <c r="DBJ8" s="28"/>
      <c r="DBK8" s="28"/>
      <c r="DBL8" s="28"/>
      <c r="DBM8" s="28"/>
      <c r="DBN8" s="28"/>
      <c r="DBO8" s="28"/>
      <c r="DBP8" s="28"/>
      <c r="DBQ8" s="28"/>
      <c r="DBR8" s="28"/>
      <c r="DBS8" s="28"/>
      <c r="DBT8" s="28"/>
      <c r="DBU8" s="28"/>
      <c r="DBV8" s="28"/>
      <c r="DBW8" s="28"/>
      <c r="DBX8" s="28"/>
      <c r="DBY8" s="28"/>
      <c r="DBZ8" s="28"/>
      <c r="DCA8" s="28"/>
      <c r="DCB8" s="28"/>
      <c r="DCC8" s="28"/>
      <c r="DCD8" s="28"/>
      <c r="DCE8" s="28"/>
      <c r="DCF8" s="28"/>
      <c r="DCG8" s="28"/>
      <c r="DCH8" s="28"/>
      <c r="DCI8" s="28"/>
      <c r="DCJ8" s="28"/>
      <c r="DCK8" s="28"/>
      <c r="DCL8" s="28"/>
      <c r="DCM8" s="28"/>
      <c r="DCN8" s="28"/>
      <c r="DCO8" s="28"/>
      <c r="DCP8" s="28"/>
      <c r="DCQ8" s="28"/>
      <c r="DCR8" s="28"/>
      <c r="DCS8" s="28"/>
      <c r="DCT8" s="28"/>
      <c r="DCU8" s="28"/>
      <c r="DCV8" s="28"/>
      <c r="DCW8" s="28"/>
      <c r="DCX8" s="28"/>
      <c r="DCY8" s="28"/>
      <c r="DCZ8" s="28"/>
      <c r="DDA8" s="28"/>
      <c r="DDB8" s="28"/>
      <c r="DDC8" s="28"/>
      <c r="DDD8" s="28"/>
      <c r="DDE8" s="28"/>
      <c r="DDF8" s="28"/>
      <c r="DDG8" s="28"/>
      <c r="DDH8" s="28"/>
      <c r="DDI8" s="28"/>
      <c r="DDJ8" s="28"/>
      <c r="DDK8" s="28"/>
      <c r="DDL8" s="28"/>
      <c r="DDM8" s="28"/>
      <c r="DDN8" s="28"/>
      <c r="DDO8" s="28"/>
      <c r="DDP8" s="28"/>
      <c r="DDQ8" s="28"/>
      <c r="DDR8" s="28"/>
      <c r="DDS8" s="28"/>
      <c r="DDT8" s="28"/>
      <c r="DDU8" s="28"/>
      <c r="DDV8" s="28"/>
      <c r="DDW8" s="28"/>
      <c r="DDX8" s="28"/>
      <c r="DDY8" s="28"/>
      <c r="DDZ8" s="28"/>
      <c r="DEA8" s="28"/>
      <c r="DEB8" s="28"/>
      <c r="DEC8" s="28"/>
      <c r="DED8" s="28"/>
      <c r="DEE8" s="28"/>
      <c r="DEF8" s="28"/>
      <c r="DEG8" s="28"/>
      <c r="DEH8" s="28"/>
      <c r="DEI8" s="28"/>
      <c r="DEJ8" s="28"/>
      <c r="DEK8" s="28"/>
      <c r="DEL8" s="28"/>
      <c r="DEM8" s="28"/>
      <c r="DEN8" s="28"/>
      <c r="DEO8" s="28"/>
      <c r="DEP8" s="28"/>
      <c r="DEQ8" s="28"/>
      <c r="DER8" s="28"/>
      <c r="DES8" s="28"/>
      <c r="DET8" s="28"/>
      <c r="DEU8" s="28"/>
      <c r="DEV8" s="28"/>
      <c r="DEW8" s="28"/>
      <c r="DEX8" s="28"/>
      <c r="DEY8" s="28"/>
      <c r="DEZ8" s="28"/>
      <c r="DFA8" s="28"/>
      <c r="DFB8" s="28"/>
      <c r="DFC8" s="28"/>
      <c r="DFD8" s="28"/>
      <c r="DFE8" s="28"/>
      <c r="DFF8" s="28"/>
      <c r="DFG8" s="28"/>
      <c r="DFH8" s="28"/>
      <c r="DFI8" s="28"/>
      <c r="DFJ8" s="28"/>
      <c r="DFK8" s="28"/>
      <c r="DFL8" s="28"/>
      <c r="DFM8" s="28"/>
      <c r="DFN8" s="28"/>
      <c r="DFO8" s="28"/>
      <c r="DFP8" s="28"/>
      <c r="DFQ8" s="28"/>
      <c r="DFR8" s="28"/>
      <c r="DFS8" s="28"/>
      <c r="DFT8" s="28"/>
      <c r="DFU8" s="28"/>
      <c r="DFV8" s="28"/>
      <c r="DFW8" s="28"/>
      <c r="DFX8" s="28"/>
      <c r="DFY8" s="28"/>
      <c r="DFZ8" s="28"/>
      <c r="DGA8" s="28"/>
      <c r="DGB8" s="28"/>
      <c r="DGC8" s="28"/>
      <c r="DGD8" s="28"/>
      <c r="DGE8" s="28"/>
      <c r="DGF8" s="28"/>
      <c r="DGG8" s="28"/>
      <c r="DGH8" s="28"/>
      <c r="DGI8" s="28"/>
      <c r="DGJ8" s="28"/>
      <c r="DGK8" s="28"/>
      <c r="DGL8" s="28"/>
      <c r="DGM8" s="28"/>
      <c r="DGN8" s="28"/>
      <c r="DGO8" s="28"/>
      <c r="DGP8" s="28"/>
      <c r="DGQ8" s="28"/>
      <c r="DGR8" s="28"/>
      <c r="DGS8" s="28"/>
      <c r="DGT8" s="28"/>
      <c r="DGU8" s="28"/>
      <c r="DGV8" s="28"/>
      <c r="DGW8" s="28"/>
      <c r="DGX8" s="28"/>
      <c r="DGY8" s="28"/>
      <c r="DGZ8" s="28"/>
      <c r="DHA8" s="28"/>
      <c r="DHB8" s="28"/>
      <c r="DHC8" s="28"/>
      <c r="DHD8" s="28"/>
      <c r="DHE8" s="28"/>
      <c r="DHF8" s="28"/>
      <c r="DHG8" s="28"/>
      <c r="DHH8" s="28"/>
      <c r="DHI8" s="28"/>
      <c r="DHJ8" s="28"/>
      <c r="DHK8" s="28"/>
      <c r="DHL8" s="28"/>
      <c r="DHM8" s="28"/>
      <c r="DHN8" s="28"/>
      <c r="DHO8" s="28"/>
      <c r="DHP8" s="28"/>
      <c r="DHQ8" s="28"/>
      <c r="DHR8" s="28"/>
      <c r="DHS8" s="28"/>
      <c r="DHT8" s="28"/>
      <c r="DHU8" s="28"/>
      <c r="DHV8" s="28"/>
      <c r="DHW8" s="28"/>
      <c r="DHX8" s="28"/>
      <c r="DHY8" s="28"/>
      <c r="DHZ8" s="28"/>
      <c r="DIA8" s="28"/>
      <c r="DIB8" s="28"/>
      <c r="DIC8" s="28"/>
      <c r="DID8" s="28"/>
      <c r="DIE8" s="28"/>
      <c r="DIF8" s="28"/>
      <c r="DIG8" s="28"/>
      <c r="DIH8" s="28"/>
      <c r="DII8" s="28"/>
      <c r="DIJ8" s="28"/>
      <c r="DIK8" s="28"/>
      <c r="DIL8" s="28"/>
      <c r="DIM8" s="28"/>
      <c r="DIN8" s="28"/>
      <c r="DIO8" s="28"/>
      <c r="DIP8" s="28"/>
      <c r="DIQ8" s="28"/>
      <c r="DIR8" s="28"/>
      <c r="DIS8" s="28"/>
      <c r="DIT8" s="28"/>
      <c r="DIU8" s="28"/>
      <c r="DIV8" s="28"/>
      <c r="DIW8" s="28"/>
      <c r="DIX8" s="28"/>
      <c r="DIY8" s="28"/>
      <c r="DIZ8" s="28"/>
      <c r="DJA8" s="28"/>
      <c r="DJB8" s="28"/>
      <c r="DJC8" s="28"/>
      <c r="DJD8" s="28"/>
      <c r="DJE8" s="28"/>
      <c r="DJF8" s="28"/>
      <c r="DJG8" s="28"/>
      <c r="DJH8" s="28"/>
      <c r="DJI8" s="28"/>
      <c r="DJJ8" s="28"/>
      <c r="DJK8" s="28"/>
      <c r="DJL8" s="28"/>
      <c r="DJM8" s="28"/>
      <c r="DJN8" s="28"/>
      <c r="DJO8" s="28"/>
      <c r="DJP8" s="28"/>
      <c r="DJQ8" s="28"/>
      <c r="DJR8" s="28"/>
      <c r="DJS8" s="28"/>
      <c r="DJT8" s="28"/>
      <c r="DJU8" s="28"/>
      <c r="DJV8" s="28"/>
      <c r="DJW8" s="28"/>
      <c r="DJX8" s="28"/>
      <c r="DJY8" s="28"/>
      <c r="DJZ8" s="28"/>
      <c r="DKA8" s="28"/>
      <c r="DKB8" s="28"/>
      <c r="DKC8" s="28"/>
      <c r="DKD8" s="28"/>
      <c r="DKE8" s="28"/>
      <c r="DKF8" s="28"/>
      <c r="DKG8" s="28"/>
      <c r="DKH8" s="28"/>
      <c r="DKI8" s="28"/>
      <c r="DKJ8" s="28"/>
      <c r="DKK8" s="28"/>
      <c r="DKL8" s="28"/>
      <c r="DKM8" s="28"/>
      <c r="DKN8" s="28"/>
      <c r="DKO8" s="28"/>
      <c r="DKP8" s="28"/>
      <c r="DKQ8" s="28"/>
      <c r="DKR8" s="28"/>
      <c r="DKS8" s="28"/>
      <c r="DKT8" s="28"/>
      <c r="DKU8" s="28"/>
      <c r="DKV8" s="28"/>
      <c r="DKW8" s="28"/>
      <c r="DKX8" s="28"/>
      <c r="DKY8" s="28"/>
      <c r="DKZ8" s="28"/>
      <c r="DLA8" s="28"/>
      <c r="DLB8" s="28"/>
      <c r="DLC8" s="28"/>
      <c r="DLD8" s="28"/>
      <c r="DLE8" s="28"/>
      <c r="DLF8" s="28"/>
      <c r="DLG8" s="28"/>
      <c r="DLH8" s="28"/>
      <c r="DLI8" s="28"/>
      <c r="DLJ8" s="28"/>
      <c r="DLK8" s="28"/>
      <c r="DLL8" s="28"/>
      <c r="DLM8" s="28"/>
      <c r="DLN8" s="28"/>
      <c r="DLO8" s="28"/>
      <c r="DLP8" s="28"/>
      <c r="DLQ8" s="28"/>
      <c r="DLR8" s="28"/>
      <c r="DLS8" s="28"/>
      <c r="DLT8" s="28"/>
      <c r="DLU8" s="28"/>
      <c r="DLV8" s="28"/>
      <c r="DLW8" s="28"/>
      <c r="DLX8" s="28"/>
      <c r="DLY8" s="28"/>
      <c r="DLZ8" s="28"/>
      <c r="DMA8" s="28"/>
      <c r="DMB8" s="28"/>
      <c r="DMC8" s="28"/>
      <c r="DMD8" s="28"/>
      <c r="DME8" s="28"/>
      <c r="DMF8" s="28"/>
      <c r="DMG8" s="28"/>
      <c r="DMH8" s="28"/>
      <c r="DMI8" s="28"/>
      <c r="DMJ8" s="28"/>
      <c r="DMK8" s="28"/>
      <c r="DML8" s="28"/>
      <c r="DMM8" s="28"/>
      <c r="DMN8" s="28"/>
      <c r="DMO8" s="28"/>
      <c r="DMP8" s="28"/>
      <c r="DMQ8" s="28"/>
      <c r="DMR8" s="28"/>
      <c r="DMS8" s="28"/>
      <c r="DMT8" s="28"/>
      <c r="DMU8" s="28"/>
      <c r="DMV8" s="28"/>
      <c r="DMW8" s="28"/>
      <c r="DMX8" s="28"/>
      <c r="DMY8" s="28"/>
      <c r="DMZ8" s="28"/>
      <c r="DNA8" s="28"/>
      <c r="DNB8" s="28"/>
      <c r="DNC8" s="28"/>
      <c r="DND8" s="28"/>
      <c r="DNE8" s="28"/>
      <c r="DNF8" s="28"/>
      <c r="DNG8" s="28"/>
      <c r="DNH8" s="28"/>
      <c r="DNI8" s="28"/>
      <c r="DNJ8" s="28"/>
      <c r="DNK8" s="28"/>
      <c r="DNL8" s="28"/>
      <c r="DNM8" s="28"/>
      <c r="DNN8" s="28"/>
      <c r="DNO8" s="28"/>
      <c r="DNP8" s="28"/>
      <c r="DNQ8" s="28"/>
      <c r="DNR8" s="28"/>
      <c r="DNS8" s="28"/>
      <c r="DNT8" s="28"/>
      <c r="DNU8" s="28"/>
      <c r="DNV8" s="28"/>
      <c r="DNW8" s="28"/>
      <c r="DNX8" s="28"/>
      <c r="DNY8" s="28"/>
      <c r="DNZ8" s="28"/>
      <c r="DOA8" s="28"/>
      <c r="DOB8" s="28"/>
      <c r="DOC8" s="28"/>
      <c r="DOD8" s="28"/>
      <c r="DOE8" s="28"/>
      <c r="DOF8" s="28"/>
      <c r="DOG8" s="28"/>
      <c r="DOH8" s="28"/>
      <c r="DOI8" s="28"/>
      <c r="DOJ8" s="28"/>
      <c r="DOK8" s="28"/>
      <c r="DOL8" s="28"/>
      <c r="DOM8" s="28"/>
      <c r="DON8" s="28"/>
      <c r="DOO8" s="28"/>
      <c r="DOP8" s="28"/>
      <c r="DOQ8" s="28"/>
      <c r="DOR8" s="28"/>
      <c r="DOS8" s="28"/>
      <c r="DOT8" s="28"/>
      <c r="DOU8" s="28"/>
      <c r="DOV8" s="28"/>
      <c r="DOW8" s="28"/>
      <c r="DOX8" s="28"/>
      <c r="DOY8" s="28"/>
      <c r="DOZ8" s="28"/>
      <c r="DPA8" s="28"/>
      <c r="DPB8" s="28"/>
      <c r="DPC8" s="28"/>
      <c r="DPD8" s="28"/>
      <c r="DPE8" s="28"/>
      <c r="DPF8" s="28"/>
      <c r="DPG8" s="28"/>
      <c r="DPH8" s="28"/>
      <c r="DPI8" s="28"/>
      <c r="DPJ8" s="28"/>
      <c r="DPK8" s="28"/>
      <c r="DPL8" s="28"/>
      <c r="DPM8" s="28"/>
      <c r="DPN8" s="28"/>
      <c r="DPO8" s="28"/>
      <c r="DPP8" s="28"/>
      <c r="DPQ8" s="28"/>
      <c r="DPR8" s="28"/>
      <c r="DPS8" s="28"/>
      <c r="DPT8" s="28"/>
      <c r="DPU8" s="28"/>
      <c r="DPV8" s="28"/>
      <c r="DPW8" s="28"/>
      <c r="DPX8" s="28"/>
      <c r="DPY8" s="28"/>
      <c r="DPZ8" s="28"/>
      <c r="DQA8" s="28"/>
      <c r="DQB8" s="28"/>
      <c r="DQC8" s="28"/>
      <c r="DQD8" s="28"/>
      <c r="DQE8" s="28"/>
      <c r="DQF8" s="28"/>
      <c r="DQG8" s="28"/>
      <c r="DQH8" s="28"/>
      <c r="DQI8" s="28"/>
      <c r="DQJ8" s="28"/>
      <c r="DQK8" s="28"/>
      <c r="DQL8" s="28"/>
      <c r="DQM8" s="28"/>
      <c r="DQN8" s="28"/>
      <c r="DQO8" s="28"/>
      <c r="DQP8" s="28"/>
      <c r="DQQ8" s="28"/>
      <c r="DQR8" s="28"/>
      <c r="DQS8" s="28"/>
      <c r="DQT8" s="28"/>
      <c r="DQU8" s="28"/>
      <c r="DQV8" s="28"/>
      <c r="DQW8" s="28"/>
      <c r="DQX8" s="28"/>
      <c r="DQY8" s="28"/>
      <c r="DQZ8" s="28"/>
      <c r="DRA8" s="28"/>
      <c r="DRB8" s="28"/>
      <c r="DRC8" s="28"/>
      <c r="DRD8" s="28"/>
      <c r="DRE8" s="28"/>
      <c r="DRF8" s="28"/>
      <c r="DRG8" s="28"/>
      <c r="DRH8" s="28"/>
      <c r="DRI8" s="28"/>
      <c r="DRJ8" s="28"/>
      <c r="DRK8" s="28"/>
      <c r="DRL8" s="28"/>
      <c r="DRM8" s="28"/>
      <c r="DRN8" s="28"/>
      <c r="DRO8" s="28"/>
      <c r="DRP8" s="28"/>
      <c r="DRQ8" s="28"/>
      <c r="DRR8" s="28"/>
      <c r="DRS8" s="28"/>
      <c r="DRT8" s="28"/>
      <c r="DRU8" s="28"/>
      <c r="DRV8" s="28"/>
      <c r="DRW8" s="28"/>
      <c r="DRX8" s="28"/>
      <c r="DRY8" s="28"/>
      <c r="DRZ8" s="28"/>
      <c r="DSA8" s="28"/>
      <c r="DSB8" s="28"/>
      <c r="DSC8" s="28"/>
      <c r="DSD8" s="28"/>
      <c r="DSE8" s="28"/>
      <c r="DSF8" s="28"/>
      <c r="DSG8" s="28"/>
      <c r="DSH8" s="28"/>
      <c r="DSI8" s="28"/>
      <c r="DSJ8" s="28"/>
      <c r="DSK8" s="28"/>
      <c r="DSL8" s="28"/>
      <c r="DSM8" s="28"/>
      <c r="DSN8" s="28"/>
      <c r="DSO8" s="28"/>
      <c r="DSP8" s="28"/>
      <c r="DSQ8" s="28"/>
      <c r="DSR8" s="28"/>
      <c r="DSS8" s="28"/>
      <c r="DST8" s="28"/>
      <c r="DSU8" s="28"/>
      <c r="DSV8" s="28"/>
      <c r="DSW8" s="28"/>
      <c r="DSX8" s="28"/>
      <c r="DSY8" s="28"/>
      <c r="DSZ8" s="28"/>
      <c r="DTA8" s="28"/>
      <c r="DTB8" s="28"/>
      <c r="DTC8" s="28"/>
      <c r="DTD8" s="28"/>
      <c r="DTE8" s="28"/>
      <c r="DTF8" s="28"/>
      <c r="DTG8" s="28"/>
      <c r="DTH8" s="28"/>
      <c r="DTI8" s="28"/>
      <c r="DTJ8" s="28"/>
      <c r="DTK8" s="28"/>
      <c r="DTL8" s="28"/>
      <c r="DTM8" s="28"/>
      <c r="DTN8" s="28"/>
      <c r="DTO8" s="28"/>
      <c r="DTP8" s="28"/>
      <c r="DTQ8" s="28"/>
      <c r="DTR8" s="28"/>
      <c r="DTS8" s="28"/>
      <c r="DTT8" s="28"/>
      <c r="DTU8" s="28"/>
      <c r="DTV8" s="28"/>
      <c r="DTW8" s="28"/>
      <c r="DTX8" s="28"/>
      <c r="DTY8" s="28"/>
      <c r="DTZ8" s="28"/>
      <c r="DUA8" s="28"/>
      <c r="DUB8" s="28"/>
      <c r="DUC8" s="28"/>
      <c r="DUD8" s="28"/>
      <c r="DUE8" s="28"/>
      <c r="DUF8" s="28"/>
      <c r="DUG8" s="28"/>
      <c r="DUH8" s="28"/>
      <c r="DUI8" s="28"/>
      <c r="DUJ8" s="28"/>
      <c r="DUK8" s="28"/>
      <c r="DUL8" s="28"/>
      <c r="DUM8" s="28"/>
      <c r="DUN8" s="28"/>
      <c r="DUO8" s="28"/>
      <c r="DUP8" s="28"/>
      <c r="DUQ8" s="28"/>
      <c r="DUR8" s="28"/>
      <c r="DUS8" s="28"/>
      <c r="DUT8" s="28"/>
      <c r="DUU8" s="28"/>
      <c r="DUV8" s="28"/>
      <c r="DUW8" s="28"/>
      <c r="DUX8" s="28"/>
      <c r="DUY8" s="28"/>
      <c r="DUZ8" s="28"/>
      <c r="DVA8" s="28"/>
      <c r="DVB8" s="28"/>
      <c r="DVC8" s="28"/>
      <c r="DVD8" s="28"/>
      <c r="DVE8" s="28"/>
      <c r="DVF8" s="28"/>
      <c r="DVG8" s="28"/>
      <c r="DVH8" s="28"/>
      <c r="DVI8" s="28"/>
      <c r="DVJ8" s="28"/>
      <c r="DVK8" s="28"/>
      <c r="DVL8" s="28"/>
      <c r="DVM8" s="28"/>
      <c r="DVN8" s="28"/>
      <c r="DVO8" s="28"/>
      <c r="DVP8" s="28"/>
      <c r="DVQ8" s="28"/>
      <c r="DVR8" s="28"/>
      <c r="DVS8" s="28"/>
      <c r="DVT8" s="28"/>
      <c r="DVU8" s="28"/>
      <c r="DVV8" s="28"/>
      <c r="DVW8" s="28"/>
      <c r="DVX8" s="28"/>
      <c r="DVY8" s="28"/>
      <c r="DVZ8" s="28"/>
      <c r="DWA8" s="28"/>
      <c r="DWB8" s="28"/>
      <c r="DWC8" s="28"/>
      <c r="DWD8" s="28"/>
      <c r="DWE8" s="28"/>
      <c r="DWF8" s="28"/>
      <c r="DWG8" s="28"/>
      <c r="DWH8" s="28"/>
      <c r="DWI8" s="28"/>
      <c r="DWJ8" s="28"/>
      <c r="DWK8" s="28"/>
      <c r="DWL8" s="28"/>
      <c r="DWM8" s="28"/>
      <c r="DWN8" s="28"/>
      <c r="DWO8" s="28"/>
      <c r="DWP8" s="28"/>
      <c r="DWQ8" s="28"/>
      <c r="DWR8" s="28"/>
      <c r="DWS8" s="28"/>
      <c r="DWT8" s="28"/>
      <c r="DWU8" s="28"/>
      <c r="DWV8" s="28"/>
      <c r="DWW8" s="28"/>
      <c r="DWX8" s="28"/>
      <c r="DWY8" s="28"/>
      <c r="DWZ8" s="28"/>
      <c r="DXA8" s="28"/>
      <c r="DXB8" s="28"/>
      <c r="DXC8" s="28"/>
      <c r="DXD8" s="28"/>
      <c r="DXE8" s="28"/>
      <c r="DXF8" s="28"/>
      <c r="DXG8" s="28"/>
      <c r="DXH8" s="28"/>
      <c r="DXI8" s="28"/>
      <c r="DXJ8" s="28"/>
      <c r="DXK8" s="28"/>
      <c r="DXL8" s="28"/>
      <c r="DXM8" s="28"/>
      <c r="DXN8" s="28"/>
      <c r="DXO8" s="28"/>
      <c r="DXP8" s="28"/>
      <c r="DXQ8" s="28"/>
      <c r="DXR8" s="28"/>
      <c r="DXS8" s="28"/>
      <c r="DXT8" s="28"/>
      <c r="DXU8" s="28"/>
      <c r="DXV8" s="28"/>
      <c r="DXW8" s="28"/>
      <c r="DXX8" s="28"/>
      <c r="DXY8" s="28"/>
      <c r="DXZ8" s="28"/>
      <c r="DYA8" s="28"/>
      <c r="DYB8" s="28"/>
      <c r="DYC8" s="28"/>
      <c r="DYD8" s="28"/>
      <c r="DYE8" s="28"/>
      <c r="DYF8" s="28"/>
      <c r="DYG8" s="28"/>
      <c r="DYH8" s="28"/>
      <c r="DYI8" s="28"/>
      <c r="DYJ8" s="28"/>
      <c r="DYK8" s="28"/>
      <c r="DYL8" s="28"/>
      <c r="DYM8" s="28"/>
      <c r="DYN8" s="28"/>
      <c r="DYO8" s="28"/>
      <c r="DYP8" s="28"/>
      <c r="DYQ8" s="28"/>
      <c r="DYR8" s="28"/>
      <c r="DYS8" s="28"/>
      <c r="DYT8" s="28"/>
      <c r="DYU8" s="28"/>
      <c r="DYV8" s="28"/>
      <c r="DYW8" s="28"/>
      <c r="DYX8" s="28"/>
      <c r="DYY8" s="28"/>
      <c r="DYZ8" s="28"/>
      <c r="DZA8" s="28"/>
      <c r="DZB8" s="28"/>
      <c r="DZC8" s="28"/>
      <c r="DZD8" s="28"/>
      <c r="DZE8" s="28"/>
      <c r="DZF8" s="28"/>
      <c r="DZG8" s="28"/>
      <c r="DZH8" s="28"/>
      <c r="DZI8" s="28"/>
      <c r="DZJ8" s="28"/>
      <c r="DZK8" s="28"/>
      <c r="DZL8" s="28"/>
      <c r="DZM8" s="28"/>
      <c r="DZN8" s="28"/>
      <c r="DZO8" s="28"/>
      <c r="DZP8" s="28"/>
      <c r="DZQ8" s="28"/>
      <c r="DZR8" s="28"/>
      <c r="DZS8" s="28"/>
      <c r="DZT8" s="28"/>
      <c r="DZU8" s="28"/>
      <c r="DZV8" s="28"/>
      <c r="DZW8" s="28"/>
      <c r="DZX8" s="28"/>
      <c r="DZY8" s="28"/>
      <c r="DZZ8" s="28"/>
      <c r="EAA8" s="28"/>
      <c r="EAB8" s="28"/>
      <c r="EAC8" s="28"/>
      <c r="EAD8" s="28"/>
      <c r="EAE8" s="28"/>
      <c r="EAF8" s="28"/>
      <c r="EAG8" s="28"/>
      <c r="EAH8" s="28"/>
      <c r="EAI8" s="28"/>
      <c r="EAJ8" s="28"/>
      <c r="EAK8" s="28"/>
      <c r="EAL8" s="28"/>
      <c r="EAM8" s="28"/>
      <c r="EAN8" s="28"/>
      <c r="EAO8" s="28"/>
      <c r="EAP8" s="28"/>
      <c r="EAQ8" s="28"/>
      <c r="EAR8" s="28"/>
      <c r="EAS8" s="28"/>
      <c r="EAT8" s="28"/>
      <c r="EAU8" s="28"/>
      <c r="EAV8" s="28"/>
      <c r="EAW8" s="28"/>
      <c r="EAX8" s="28"/>
      <c r="EAY8" s="28"/>
      <c r="EAZ8" s="28"/>
      <c r="EBA8" s="28"/>
      <c r="EBB8" s="28"/>
      <c r="EBC8" s="28"/>
      <c r="EBD8" s="28"/>
      <c r="EBE8" s="28"/>
      <c r="EBF8" s="28"/>
      <c r="EBG8" s="28"/>
      <c r="EBH8" s="28"/>
      <c r="EBI8" s="28"/>
      <c r="EBJ8" s="28"/>
      <c r="EBK8" s="28"/>
      <c r="EBL8" s="28"/>
      <c r="EBM8" s="28"/>
      <c r="EBN8" s="28"/>
      <c r="EBO8" s="28"/>
      <c r="EBP8" s="28"/>
      <c r="EBQ8" s="28"/>
      <c r="EBR8" s="28"/>
      <c r="EBS8" s="28"/>
      <c r="EBT8" s="28"/>
      <c r="EBU8" s="28"/>
      <c r="EBV8" s="28"/>
      <c r="EBW8" s="28"/>
      <c r="EBX8" s="28"/>
      <c r="EBY8" s="28"/>
      <c r="EBZ8" s="28"/>
      <c r="ECA8" s="28"/>
      <c r="ECB8" s="28"/>
      <c r="ECC8" s="28"/>
      <c r="ECD8" s="28"/>
      <c r="ECE8" s="28"/>
      <c r="ECF8" s="28"/>
      <c r="ECG8" s="28"/>
      <c r="ECH8" s="28"/>
      <c r="ECI8" s="28"/>
      <c r="ECJ8" s="28"/>
      <c r="ECK8" s="28"/>
      <c r="ECL8" s="28"/>
      <c r="ECM8" s="28"/>
      <c r="ECN8" s="28"/>
      <c r="ECO8" s="28"/>
      <c r="ECP8" s="28"/>
      <c r="ECQ8" s="28"/>
      <c r="ECR8" s="28"/>
      <c r="ECS8" s="28"/>
      <c r="ECT8" s="28"/>
      <c r="ECU8" s="28"/>
      <c r="ECV8" s="28"/>
      <c r="ECW8" s="28"/>
      <c r="ECX8" s="28"/>
      <c r="ECY8" s="28"/>
      <c r="ECZ8" s="28"/>
      <c r="EDA8" s="28"/>
      <c r="EDB8" s="28"/>
      <c r="EDC8" s="28"/>
      <c r="EDD8" s="28"/>
      <c r="EDE8" s="28"/>
      <c r="EDF8" s="28"/>
      <c r="EDG8" s="28"/>
      <c r="EDH8" s="28"/>
      <c r="EDI8" s="28"/>
      <c r="EDJ8" s="28"/>
      <c r="EDK8" s="28"/>
      <c r="EDL8" s="28"/>
      <c r="EDM8" s="28"/>
      <c r="EDN8" s="28"/>
      <c r="EDO8" s="28"/>
      <c r="EDP8" s="28"/>
      <c r="EDQ8" s="28"/>
      <c r="EDR8" s="28"/>
      <c r="EDS8" s="28"/>
      <c r="EDT8" s="28"/>
      <c r="EDU8" s="28"/>
      <c r="EDV8" s="28"/>
      <c r="EDW8" s="28"/>
      <c r="EDX8" s="28"/>
      <c r="EDY8" s="28"/>
      <c r="EDZ8" s="28"/>
      <c r="EEA8" s="28"/>
      <c r="EEB8" s="28"/>
      <c r="EEC8" s="28"/>
      <c r="EED8" s="28"/>
      <c r="EEE8" s="28"/>
      <c r="EEF8" s="28"/>
      <c r="EEG8" s="28"/>
      <c r="EEH8" s="28"/>
      <c r="EEI8" s="28"/>
      <c r="EEJ8" s="28"/>
      <c r="EEK8" s="28"/>
      <c r="EEL8" s="28"/>
      <c r="EEM8" s="28"/>
      <c r="EEN8" s="28"/>
      <c r="EEO8" s="28"/>
      <c r="EEP8" s="28"/>
      <c r="EEQ8" s="28"/>
      <c r="EER8" s="28"/>
      <c r="EES8" s="28"/>
      <c r="EET8" s="28"/>
      <c r="EEU8" s="28"/>
      <c r="EEV8" s="28"/>
      <c r="EEW8" s="28"/>
      <c r="EEX8" s="28"/>
      <c r="EEY8" s="28"/>
      <c r="EEZ8" s="28"/>
      <c r="EFA8" s="28"/>
      <c r="EFB8" s="28"/>
      <c r="EFC8" s="28"/>
      <c r="EFD8" s="28"/>
      <c r="EFE8" s="28"/>
      <c r="EFF8" s="28"/>
      <c r="EFG8" s="28"/>
      <c r="EFH8" s="28"/>
      <c r="EFI8" s="28"/>
      <c r="EFJ8" s="28"/>
      <c r="EFK8" s="28"/>
      <c r="EFL8" s="28"/>
      <c r="EFM8" s="28"/>
      <c r="EFN8" s="28"/>
      <c r="EFO8" s="28"/>
      <c r="EFP8" s="28"/>
      <c r="EFQ8" s="28"/>
      <c r="EFR8" s="28"/>
      <c r="EFS8" s="28"/>
      <c r="EFT8" s="28"/>
      <c r="EFU8" s="28"/>
      <c r="EFV8" s="28"/>
      <c r="EFW8" s="28"/>
      <c r="EFX8" s="28"/>
      <c r="EFY8" s="28"/>
      <c r="EFZ8" s="28"/>
      <c r="EGA8" s="28"/>
      <c r="EGB8" s="28"/>
      <c r="EGC8" s="28"/>
      <c r="EGD8" s="28"/>
      <c r="EGE8" s="28"/>
      <c r="EGF8" s="28"/>
      <c r="EGG8" s="28"/>
      <c r="EGH8" s="28"/>
      <c r="EGI8" s="28"/>
      <c r="EGJ8" s="28"/>
      <c r="EGK8" s="28"/>
      <c r="EGL8" s="28"/>
      <c r="EGM8" s="28"/>
      <c r="EGN8" s="28"/>
      <c r="EGO8" s="28"/>
      <c r="EGP8" s="28"/>
      <c r="EGQ8" s="28"/>
      <c r="EGR8" s="28"/>
      <c r="EGS8" s="28"/>
      <c r="EGT8" s="28"/>
      <c r="EGU8" s="28"/>
      <c r="EGV8" s="28"/>
      <c r="EGW8" s="28"/>
      <c r="EGX8" s="28"/>
      <c r="EGY8" s="28"/>
      <c r="EGZ8" s="28"/>
      <c r="EHA8" s="28"/>
      <c r="EHB8" s="28"/>
      <c r="EHC8" s="28"/>
      <c r="EHD8" s="28"/>
      <c r="EHE8" s="28"/>
      <c r="EHF8" s="28"/>
      <c r="EHG8" s="28"/>
      <c r="EHH8" s="28"/>
      <c r="EHI8" s="28"/>
      <c r="EHJ8" s="28"/>
      <c r="EHK8" s="28"/>
      <c r="EHL8" s="28"/>
      <c r="EHM8" s="28"/>
      <c r="EHN8" s="28"/>
      <c r="EHO8" s="28"/>
      <c r="EHP8" s="28"/>
      <c r="EHQ8" s="28"/>
      <c r="EHR8" s="28"/>
      <c r="EHS8" s="28"/>
      <c r="EHT8" s="28"/>
      <c r="EHU8" s="28"/>
      <c r="EHV8" s="28"/>
      <c r="EHW8" s="28"/>
      <c r="EHX8" s="28"/>
      <c r="EHY8" s="28"/>
      <c r="EHZ8" s="28"/>
      <c r="EIA8" s="28"/>
      <c r="EIB8" s="28"/>
      <c r="EIC8" s="28"/>
      <c r="EID8" s="28"/>
      <c r="EIE8" s="28"/>
      <c r="EIF8" s="28"/>
      <c r="EIG8" s="28"/>
      <c r="EIH8" s="28"/>
      <c r="EII8" s="28"/>
      <c r="EIJ8" s="28"/>
      <c r="EIK8" s="28"/>
      <c r="EIL8" s="28"/>
      <c r="EIM8" s="28"/>
      <c r="EIN8" s="28"/>
      <c r="EIO8" s="28"/>
      <c r="EIP8" s="28"/>
      <c r="EIQ8" s="28"/>
      <c r="EIR8" s="28"/>
      <c r="EIS8" s="28"/>
      <c r="EIT8" s="28"/>
      <c r="EIU8" s="28"/>
      <c r="EIV8" s="28"/>
      <c r="EIW8" s="28"/>
      <c r="EIX8" s="28"/>
      <c r="EIY8" s="28"/>
      <c r="EIZ8" s="28"/>
      <c r="EJA8" s="28"/>
      <c r="EJB8" s="28"/>
      <c r="EJC8" s="28"/>
      <c r="EJD8" s="28"/>
      <c r="EJE8" s="28"/>
      <c r="EJF8" s="28"/>
      <c r="EJG8" s="28"/>
      <c r="EJH8" s="28"/>
      <c r="EJI8" s="28"/>
      <c r="EJJ8" s="28"/>
      <c r="EJK8" s="28"/>
      <c r="EJL8" s="28"/>
      <c r="EJM8" s="28"/>
      <c r="EJN8" s="28"/>
      <c r="EJO8" s="28"/>
      <c r="EJP8" s="28"/>
      <c r="EJQ8" s="28"/>
      <c r="EJR8" s="28"/>
      <c r="EJS8" s="28"/>
      <c r="EJT8" s="28"/>
      <c r="EJU8" s="28"/>
      <c r="EJV8" s="28"/>
      <c r="EJW8" s="28"/>
      <c r="EJX8" s="28"/>
      <c r="EJY8" s="28"/>
      <c r="EJZ8" s="28"/>
      <c r="EKA8" s="28"/>
      <c r="EKB8" s="28"/>
      <c r="EKC8" s="28"/>
      <c r="EKD8" s="28"/>
      <c r="EKE8" s="28"/>
      <c r="EKF8" s="28"/>
      <c r="EKG8" s="28"/>
      <c r="EKH8" s="28"/>
      <c r="EKI8" s="28"/>
      <c r="EKJ8" s="28"/>
      <c r="EKK8" s="28"/>
      <c r="EKL8" s="28"/>
      <c r="EKM8" s="28"/>
      <c r="EKN8" s="28"/>
      <c r="EKO8" s="28"/>
      <c r="EKP8" s="28"/>
      <c r="EKQ8" s="28"/>
      <c r="EKR8" s="28"/>
      <c r="EKS8" s="28"/>
      <c r="EKT8" s="28"/>
      <c r="EKU8" s="28"/>
      <c r="EKV8" s="28"/>
      <c r="EKW8" s="28"/>
      <c r="EKX8" s="28"/>
      <c r="EKY8" s="28"/>
      <c r="EKZ8" s="28"/>
      <c r="ELA8" s="28"/>
      <c r="ELB8" s="28"/>
      <c r="ELC8" s="28"/>
      <c r="ELD8" s="28"/>
      <c r="ELE8" s="28"/>
      <c r="ELF8" s="28"/>
      <c r="ELG8" s="28"/>
      <c r="ELH8" s="28"/>
      <c r="ELI8" s="28"/>
      <c r="ELJ8" s="28"/>
      <c r="ELK8" s="28"/>
      <c r="ELL8" s="28"/>
      <c r="ELM8" s="28"/>
      <c r="ELN8" s="28"/>
      <c r="ELO8" s="28"/>
      <c r="ELP8" s="28"/>
      <c r="ELQ8" s="28"/>
      <c r="ELR8" s="28"/>
      <c r="ELS8" s="28"/>
      <c r="ELT8" s="28"/>
      <c r="ELU8" s="28"/>
      <c r="ELV8" s="28"/>
      <c r="ELW8" s="28"/>
      <c r="ELX8" s="28"/>
      <c r="ELY8" s="28"/>
      <c r="ELZ8" s="28"/>
      <c r="EMA8" s="28"/>
      <c r="EMB8" s="28"/>
      <c r="EMC8" s="28"/>
      <c r="EMD8" s="28"/>
      <c r="EME8" s="28"/>
      <c r="EMF8" s="28"/>
      <c r="EMG8" s="28"/>
      <c r="EMH8" s="28"/>
      <c r="EMI8" s="28"/>
      <c r="EMJ8" s="28"/>
      <c r="EMK8" s="28"/>
      <c r="EML8" s="28"/>
      <c r="EMM8" s="28"/>
      <c r="EMN8" s="28"/>
      <c r="EMO8" s="28"/>
      <c r="EMP8" s="28"/>
      <c r="EMQ8" s="28"/>
      <c r="EMR8" s="28"/>
      <c r="EMS8" s="28"/>
      <c r="EMT8" s="28"/>
      <c r="EMU8" s="28"/>
      <c r="EMV8" s="28"/>
      <c r="EMW8" s="28"/>
      <c r="EMX8" s="28"/>
      <c r="EMY8" s="28"/>
      <c r="EMZ8" s="28"/>
      <c r="ENA8" s="28"/>
      <c r="ENB8" s="28"/>
      <c r="ENC8" s="28"/>
      <c r="END8" s="28"/>
      <c r="ENE8" s="28"/>
      <c r="ENF8" s="28"/>
      <c r="ENG8" s="28"/>
      <c r="ENH8" s="28"/>
      <c r="ENI8" s="28"/>
      <c r="ENJ8" s="28"/>
      <c r="ENK8" s="28"/>
      <c r="ENL8" s="28"/>
      <c r="ENM8" s="28"/>
      <c r="ENN8" s="28"/>
      <c r="ENO8" s="28"/>
      <c r="ENP8" s="28"/>
      <c r="ENQ8" s="28"/>
      <c r="ENR8" s="28"/>
      <c r="ENS8" s="28"/>
      <c r="ENT8" s="28"/>
      <c r="ENU8" s="28"/>
      <c r="ENV8" s="28"/>
      <c r="ENW8" s="28"/>
      <c r="ENX8" s="28"/>
      <c r="ENY8" s="28"/>
      <c r="ENZ8" s="28"/>
      <c r="EOA8" s="28"/>
      <c r="EOB8" s="28"/>
      <c r="EOC8" s="28"/>
      <c r="EOD8" s="28"/>
      <c r="EOE8" s="28"/>
      <c r="EOF8" s="28"/>
      <c r="EOG8" s="28"/>
      <c r="EOH8" s="28"/>
      <c r="EOI8" s="28"/>
      <c r="EOJ8" s="28"/>
      <c r="EOK8" s="28"/>
      <c r="EOL8" s="28"/>
      <c r="EOM8" s="28"/>
      <c r="EON8" s="28"/>
      <c r="EOO8" s="28"/>
      <c r="EOP8" s="28"/>
      <c r="EOQ8" s="28"/>
      <c r="EOR8" s="28"/>
      <c r="EOS8" s="28"/>
      <c r="EOT8" s="28"/>
      <c r="EOU8" s="28"/>
      <c r="EOV8" s="28"/>
      <c r="EOW8" s="28"/>
      <c r="EOX8" s="28"/>
      <c r="EOY8" s="28"/>
      <c r="EOZ8" s="28"/>
      <c r="EPA8" s="28"/>
      <c r="EPB8" s="28"/>
      <c r="EPC8" s="28"/>
      <c r="EPD8" s="28"/>
      <c r="EPE8" s="28"/>
      <c r="EPF8" s="28"/>
      <c r="EPG8" s="28"/>
      <c r="EPH8" s="28"/>
      <c r="EPI8" s="28"/>
      <c r="EPJ8" s="28"/>
      <c r="EPK8" s="28"/>
      <c r="EPL8" s="28"/>
      <c r="EPM8" s="28"/>
      <c r="EPN8" s="28"/>
      <c r="EPO8" s="28"/>
      <c r="EPP8" s="28"/>
      <c r="EPQ8" s="28"/>
      <c r="EPR8" s="28"/>
      <c r="EPS8" s="28"/>
      <c r="EPT8" s="28"/>
      <c r="EPU8" s="28"/>
      <c r="EPV8" s="28"/>
      <c r="EPW8" s="28"/>
      <c r="EPX8" s="28"/>
      <c r="EPY8" s="28"/>
      <c r="EPZ8" s="28"/>
      <c r="EQA8" s="28"/>
      <c r="EQB8" s="28"/>
      <c r="EQC8" s="28"/>
      <c r="EQD8" s="28"/>
      <c r="EQE8" s="28"/>
      <c r="EQF8" s="28"/>
      <c r="EQG8" s="28"/>
      <c r="EQH8" s="28"/>
      <c r="EQI8" s="28"/>
      <c r="EQJ8" s="28"/>
      <c r="EQK8" s="28"/>
      <c r="EQL8" s="28"/>
      <c r="EQM8" s="28"/>
      <c r="EQN8" s="28"/>
      <c r="EQO8" s="28"/>
      <c r="EQP8" s="28"/>
      <c r="EQQ8" s="28"/>
      <c r="EQR8" s="28"/>
      <c r="EQS8" s="28"/>
      <c r="EQT8" s="28"/>
      <c r="EQU8" s="28"/>
      <c r="EQV8" s="28"/>
      <c r="EQW8" s="28"/>
      <c r="EQX8" s="28"/>
      <c r="EQY8" s="28"/>
      <c r="EQZ8" s="28"/>
      <c r="ERA8" s="28"/>
      <c r="ERB8" s="28"/>
      <c r="ERC8" s="28"/>
      <c r="ERD8" s="28"/>
      <c r="ERE8" s="28"/>
      <c r="ERF8" s="28"/>
      <c r="ERG8" s="28"/>
      <c r="ERH8" s="28"/>
      <c r="ERI8" s="28"/>
      <c r="ERJ8" s="28"/>
      <c r="ERK8" s="28"/>
      <c r="ERL8" s="28"/>
      <c r="ERM8" s="28"/>
      <c r="ERN8" s="28"/>
      <c r="ERO8" s="28"/>
      <c r="ERP8" s="28"/>
      <c r="ERQ8" s="28"/>
      <c r="ERR8" s="28"/>
      <c r="ERS8" s="28"/>
      <c r="ERT8" s="28"/>
      <c r="ERU8" s="28"/>
      <c r="ERV8" s="28"/>
      <c r="ERW8" s="28"/>
      <c r="ERX8" s="28"/>
      <c r="ERY8" s="28"/>
      <c r="ERZ8" s="28"/>
      <c r="ESA8" s="28"/>
      <c r="ESB8" s="28"/>
      <c r="ESC8" s="28"/>
      <c r="ESD8" s="28"/>
      <c r="ESE8" s="28"/>
      <c r="ESF8" s="28"/>
      <c r="ESG8" s="28"/>
      <c r="ESH8" s="28"/>
      <c r="ESI8" s="28"/>
      <c r="ESJ8" s="28"/>
      <c r="ESK8" s="28"/>
      <c r="ESL8" s="28"/>
      <c r="ESM8" s="28"/>
      <c r="ESN8" s="28"/>
      <c r="ESO8" s="28"/>
      <c r="ESP8" s="28"/>
      <c r="ESQ8" s="28"/>
      <c r="ESR8" s="28"/>
      <c r="ESS8" s="28"/>
      <c r="EST8" s="28"/>
      <c r="ESU8" s="28"/>
      <c r="ESV8" s="28"/>
      <c r="ESW8" s="28"/>
      <c r="ESX8" s="28"/>
      <c r="ESY8" s="28"/>
      <c r="ESZ8" s="28"/>
      <c r="ETA8" s="28"/>
      <c r="ETB8" s="28"/>
      <c r="ETC8" s="28"/>
      <c r="ETD8" s="28"/>
      <c r="ETE8" s="28"/>
      <c r="ETF8" s="28"/>
      <c r="ETG8" s="28"/>
      <c r="ETH8" s="28"/>
      <c r="ETI8" s="28"/>
      <c r="ETJ8" s="28"/>
      <c r="ETK8" s="28"/>
      <c r="ETL8" s="28"/>
      <c r="ETM8" s="28"/>
      <c r="ETN8" s="28"/>
      <c r="ETO8" s="28"/>
      <c r="ETP8" s="28"/>
      <c r="ETQ8" s="28"/>
      <c r="ETR8" s="28"/>
      <c r="ETS8" s="28"/>
      <c r="ETT8" s="28"/>
      <c r="ETU8" s="28"/>
      <c r="ETV8" s="28"/>
      <c r="ETW8" s="28"/>
      <c r="ETX8" s="28"/>
      <c r="ETY8" s="28"/>
      <c r="ETZ8" s="28"/>
      <c r="EUA8" s="28"/>
      <c r="EUB8" s="28"/>
      <c r="EUC8" s="28"/>
      <c r="EUD8" s="28"/>
      <c r="EUE8" s="28"/>
      <c r="EUF8" s="28"/>
      <c r="EUG8" s="28"/>
      <c r="EUH8" s="28"/>
      <c r="EUI8" s="28"/>
      <c r="EUJ8" s="28"/>
      <c r="EUK8" s="28"/>
      <c r="EUL8" s="28"/>
      <c r="EUM8" s="28"/>
      <c r="EUN8" s="28"/>
      <c r="EUO8" s="28"/>
      <c r="EUP8" s="28"/>
      <c r="EUQ8" s="28"/>
      <c r="EUR8" s="28"/>
      <c r="EUS8" s="28"/>
      <c r="EUT8" s="28"/>
      <c r="EUU8" s="28"/>
      <c r="EUV8" s="28"/>
      <c r="EUW8" s="28"/>
      <c r="EUX8" s="28"/>
      <c r="EUY8" s="28"/>
      <c r="EUZ8" s="28"/>
      <c r="EVA8" s="28"/>
      <c r="EVB8" s="28"/>
      <c r="EVC8" s="28"/>
      <c r="EVD8" s="28"/>
      <c r="EVE8" s="28"/>
      <c r="EVF8" s="28"/>
      <c r="EVG8" s="28"/>
      <c r="EVH8" s="28"/>
      <c r="EVI8" s="28"/>
      <c r="EVJ8" s="28"/>
      <c r="EVK8" s="28"/>
      <c r="EVL8" s="28"/>
      <c r="EVM8" s="28"/>
      <c r="EVN8" s="28"/>
      <c r="EVO8" s="28"/>
      <c r="EVP8" s="28"/>
      <c r="EVQ8" s="28"/>
      <c r="EVR8" s="28"/>
      <c r="EVS8" s="28"/>
      <c r="EVT8" s="28"/>
      <c r="EVU8" s="28"/>
      <c r="EVV8" s="28"/>
      <c r="EVW8" s="28"/>
      <c r="EVX8" s="28"/>
      <c r="EVY8" s="28"/>
      <c r="EVZ8" s="28"/>
      <c r="EWA8" s="28"/>
      <c r="EWB8" s="28"/>
      <c r="EWC8" s="28"/>
      <c r="EWD8" s="28"/>
      <c r="EWE8" s="28"/>
      <c r="EWF8" s="28"/>
      <c r="EWG8" s="28"/>
      <c r="EWH8" s="28"/>
      <c r="EWI8" s="28"/>
      <c r="EWJ8" s="28"/>
      <c r="EWK8" s="28"/>
      <c r="EWL8" s="28"/>
      <c r="EWM8" s="28"/>
      <c r="EWN8" s="28"/>
      <c r="EWO8" s="28"/>
      <c r="EWP8" s="28"/>
      <c r="EWQ8" s="28"/>
      <c r="EWR8" s="28"/>
      <c r="EWS8" s="28"/>
      <c r="EWT8" s="28"/>
      <c r="EWU8" s="28"/>
      <c r="EWV8" s="28"/>
      <c r="EWW8" s="28"/>
      <c r="EWX8" s="28"/>
      <c r="EWY8" s="28"/>
      <c r="EWZ8" s="28"/>
      <c r="EXA8" s="28"/>
      <c r="EXB8" s="28"/>
      <c r="EXC8" s="28"/>
      <c r="EXD8" s="28"/>
      <c r="EXE8" s="28"/>
      <c r="EXF8" s="28"/>
      <c r="EXG8" s="28"/>
      <c r="EXH8" s="28"/>
      <c r="EXI8" s="28"/>
      <c r="EXJ8" s="28"/>
      <c r="EXK8" s="28"/>
      <c r="EXL8" s="28"/>
      <c r="EXM8" s="28"/>
      <c r="EXN8" s="28"/>
      <c r="EXO8" s="28"/>
      <c r="EXP8" s="28"/>
      <c r="EXQ8" s="28"/>
      <c r="EXR8" s="28"/>
      <c r="EXS8" s="28"/>
      <c r="EXT8" s="28"/>
      <c r="EXU8" s="28"/>
      <c r="EXV8" s="28"/>
      <c r="EXW8" s="28"/>
      <c r="EXX8" s="28"/>
      <c r="EXY8" s="28"/>
      <c r="EXZ8" s="28"/>
      <c r="EYA8" s="28"/>
      <c r="EYB8" s="28"/>
      <c r="EYC8" s="28"/>
      <c r="EYD8" s="28"/>
      <c r="EYE8" s="28"/>
      <c r="EYF8" s="28"/>
      <c r="EYG8" s="28"/>
      <c r="EYH8" s="28"/>
      <c r="EYI8" s="28"/>
      <c r="EYJ8" s="28"/>
      <c r="EYK8" s="28"/>
      <c r="EYL8" s="28"/>
      <c r="EYM8" s="28"/>
      <c r="EYN8" s="28"/>
      <c r="EYO8" s="28"/>
      <c r="EYP8" s="28"/>
      <c r="EYQ8" s="28"/>
      <c r="EYR8" s="28"/>
      <c r="EYS8" s="28"/>
      <c r="EYT8" s="28"/>
      <c r="EYU8" s="28"/>
      <c r="EYV8" s="28"/>
      <c r="EYW8" s="28"/>
      <c r="EYX8" s="28"/>
      <c r="EYY8" s="28"/>
      <c r="EYZ8" s="28"/>
      <c r="EZA8" s="28"/>
      <c r="EZB8" s="28"/>
      <c r="EZC8" s="28"/>
      <c r="EZD8" s="28"/>
      <c r="EZE8" s="28"/>
      <c r="EZF8" s="28"/>
      <c r="EZG8" s="28"/>
      <c r="EZH8" s="28"/>
      <c r="EZI8" s="28"/>
      <c r="EZJ8" s="28"/>
      <c r="EZK8" s="28"/>
      <c r="EZL8" s="28"/>
      <c r="EZM8" s="28"/>
      <c r="EZN8" s="28"/>
      <c r="EZO8" s="28"/>
      <c r="EZP8" s="28"/>
      <c r="EZQ8" s="28"/>
      <c r="EZR8" s="28"/>
      <c r="EZS8" s="28"/>
      <c r="EZT8" s="28"/>
      <c r="EZU8" s="28"/>
      <c r="EZV8" s="28"/>
      <c r="EZW8" s="28"/>
      <c r="EZX8" s="28"/>
      <c r="EZY8" s="28"/>
      <c r="EZZ8" s="28"/>
      <c r="FAA8" s="28"/>
      <c r="FAB8" s="28"/>
      <c r="FAC8" s="28"/>
      <c r="FAD8" s="28"/>
      <c r="FAE8" s="28"/>
      <c r="FAF8" s="28"/>
      <c r="FAG8" s="28"/>
      <c r="FAH8" s="28"/>
      <c r="FAI8" s="28"/>
      <c r="FAJ8" s="28"/>
      <c r="FAK8" s="28"/>
      <c r="FAL8" s="28"/>
      <c r="FAM8" s="28"/>
      <c r="FAN8" s="28"/>
      <c r="FAO8" s="28"/>
      <c r="FAP8" s="28"/>
      <c r="FAQ8" s="28"/>
      <c r="FAR8" s="28"/>
      <c r="FAS8" s="28"/>
      <c r="FAT8" s="28"/>
      <c r="FAU8" s="28"/>
      <c r="FAV8" s="28"/>
      <c r="FAW8" s="28"/>
      <c r="FAX8" s="28"/>
      <c r="FAY8" s="28"/>
      <c r="FAZ8" s="28"/>
      <c r="FBA8" s="28"/>
      <c r="FBB8" s="28"/>
      <c r="FBC8" s="28"/>
      <c r="FBD8" s="28"/>
      <c r="FBE8" s="28"/>
      <c r="FBF8" s="28"/>
      <c r="FBG8" s="28"/>
      <c r="FBH8" s="28"/>
      <c r="FBI8" s="28"/>
      <c r="FBJ8" s="28"/>
      <c r="FBK8" s="28"/>
      <c r="FBL8" s="28"/>
      <c r="FBM8" s="28"/>
      <c r="FBN8" s="28"/>
      <c r="FBO8" s="28"/>
      <c r="FBP8" s="28"/>
      <c r="FBQ8" s="28"/>
      <c r="FBR8" s="28"/>
      <c r="FBS8" s="28"/>
      <c r="FBT8" s="28"/>
      <c r="FBU8" s="28"/>
      <c r="FBV8" s="28"/>
      <c r="FBW8" s="28"/>
      <c r="FBX8" s="28"/>
      <c r="FBY8" s="28"/>
      <c r="FBZ8" s="28"/>
      <c r="FCA8" s="28"/>
      <c r="FCB8" s="28"/>
      <c r="FCC8" s="28"/>
      <c r="FCD8" s="28"/>
      <c r="FCE8" s="28"/>
      <c r="FCF8" s="28"/>
      <c r="FCG8" s="28"/>
      <c r="FCH8" s="28"/>
      <c r="FCI8" s="28"/>
      <c r="FCJ8" s="28"/>
      <c r="FCK8" s="28"/>
      <c r="FCL8" s="28"/>
      <c r="FCM8" s="28"/>
      <c r="FCN8" s="28"/>
      <c r="FCO8" s="28"/>
      <c r="FCP8" s="28"/>
      <c r="FCQ8" s="28"/>
      <c r="FCR8" s="28"/>
      <c r="FCS8" s="28"/>
      <c r="FCT8" s="28"/>
      <c r="FCU8" s="28"/>
      <c r="FCV8" s="28"/>
      <c r="FCW8" s="28"/>
      <c r="FCX8" s="28"/>
      <c r="FCY8" s="28"/>
      <c r="FCZ8" s="28"/>
      <c r="FDA8" s="28"/>
      <c r="FDB8" s="28"/>
      <c r="FDC8" s="28"/>
      <c r="FDD8" s="28"/>
      <c r="FDE8" s="28"/>
      <c r="FDF8" s="28"/>
      <c r="FDG8" s="28"/>
      <c r="FDH8" s="28"/>
      <c r="FDI8" s="28"/>
      <c r="FDJ8" s="28"/>
      <c r="FDK8" s="28"/>
      <c r="FDL8" s="28"/>
      <c r="FDM8" s="28"/>
      <c r="FDN8" s="28"/>
      <c r="FDO8" s="28"/>
      <c r="FDP8" s="28"/>
      <c r="FDQ8" s="28"/>
      <c r="FDR8" s="28"/>
      <c r="FDS8" s="28"/>
      <c r="FDT8" s="28"/>
      <c r="FDU8" s="28"/>
      <c r="FDV8" s="28"/>
      <c r="FDW8" s="28"/>
      <c r="FDX8" s="28"/>
      <c r="FDY8" s="28"/>
      <c r="FDZ8" s="28"/>
      <c r="FEA8" s="28"/>
      <c r="FEB8" s="28"/>
      <c r="FEC8" s="28"/>
      <c r="FED8" s="28"/>
      <c r="FEE8" s="28"/>
      <c r="FEF8" s="28"/>
      <c r="FEG8" s="28"/>
      <c r="FEH8" s="28"/>
      <c r="FEI8" s="28"/>
      <c r="FEJ8" s="28"/>
      <c r="FEK8" s="28"/>
      <c r="FEL8" s="28"/>
      <c r="FEM8" s="28"/>
      <c r="FEN8" s="28"/>
      <c r="FEO8" s="28"/>
      <c r="FEP8" s="28"/>
      <c r="FEQ8" s="28"/>
      <c r="FER8" s="28"/>
      <c r="FES8" s="28"/>
      <c r="FET8" s="28"/>
      <c r="FEU8" s="28"/>
      <c r="FEV8" s="28"/>
      <c r="FEW8" s="28"/>
      <c r="FEX8" s="28"/>
      <c r="FEY8" s="28"/>
      <c r="FEZ8" s="28"/>
      <c r="FFA8" s="28"/>
      <c r="FFB8" s="28"/>
      <c r="FFC8" s="28"/>
      <c r="FFD8" s="28"/>
      <c r="FFE8" s="28"/>
      <c r="FFF8" s="28"/>
      <c r="FFG8" s="28"/>
      <c r="FFH8" s="28"/>
      <c r="FFI8" s="28"/>
      <c r="FFJ8" s="28"/>
      <c r="FFK8" s="28"/>
      <c r="FFL8" s="28"/>
      <c r="FFM8" s="28"/>
      <c r="FFN8" s="28"/>
      <c r="FFO8" s="28"/>
      <c r="FFP8" s="28"/>
      <c r="FFQ8" s="28"/>
      <c r="FFR8" s="28"/>
      <c r="FFS8" s="28"/>
      <c r="FFT8" s="28"/>
      <c r="FFU8" s="28"/>
      <c r="FFV8" s="28"/>
      <c r="FFW8" s="28"/>
      <c r="FFX8" s="28"/>
      <c r="FFY8" s="28"/>
      <c r="FFZ8" s="28"/>
      <c r="FGA8" s="28"/>
      <c r="FGB8" s="28"/>
      <c r="FGC8" s="28"/>
      <c r="FGD8" s="28"/>
      <c r="FGE8" s="28"/>
      <c r="FGF8" s="28"/>
      <c r="FGG8" s="28"/>
      <c r="FGH8" s="28"/>
      <c r="FGI8" s="28"/>
      <c r="FGJ8" s="28"/>
      <c r="FGK8" s="28"/>
      <c r="FGL8" s="28"/>
      <c r="FGM8" s="28"/>
      <c r="FGN8" s="28"/>
      <c r="FGO8" s="28"/>
      <c r="FGP8" s="28"/>
      <c r="FGQ8" s="28"/>
      <c r="FGR8" s="28"/>
      <c r="FGS8" s="28"/>
      <c r="FGT8" s="28"/>
      <c r="FGU8" s="28"/>
      <c r="FGV8" s="28"/>
      <c r="FGW8" s="28"/>
      <c r="FGX8" s="28"/>
      <c r="FGY8" s="28"/>
      <c r="FGZ8" s="28"/>
      <c r="FHA8" s="28"/>
      <c r="FHB8" s="28"/>
      <c r="FHC8" s="28"/>
      <c r="FHD8" s="28"/>
      <c r="FHE8" s="28"/>
      <c r="FHF8" s="28"/>
      <c r="FHG8" s="28"/>
      <c r="FHH8" s="28"/>
      <c r="FHI8" s="28"/>
      <c r="FHJ8" s="28"/>
      <c r="FHK8" s="28"/>
      <c r="FHL8" s="28"/>
      <c r="FHM8" s="28"/>
      <c r="FHN8" s="28"/>
      <c r="FHO8" s="28"/>
      <c r="FHP8" s="28"/>
      <c r="FHQ8" s="28"/>
      <c r="FHR8" s="28"/>
      <c r="FHS8" s="28"/>
      <c r="FHT8" s="28"/>
      <c r="FHU8" s="28"/>
      <c r="FHV8" s="28"/>
      <c r="FHW8" s="28"/>
      <c r="FHX8" s="28"/>
      <c r="FHY8" s="28"/>
      <c r="FHZ8" s="28"/>
      <c r="FIA8" s="28"/>
      <c r="FIB8" s="28"/>
      <c r="FIC8" s="28"/>
      <c r="FID8" s="28"/>
      <c r="FIE8" s="28"/>
      <c r="FIF8" s="28"/>
      <c r="FIG8" s="28"/>
      <c r="FIH8" s="28"/>
      <c r="FII8" s="28"/>
      <c r="FIJ8" s="28"/>
      <c r="FIK8" s="28"/>
      <c r="FIL8" s="28"/>
      <c r="FIM8" s="28"/>
      <c r="FIN8" s="28"/>
      <c r="FIO8" s="28"/>
      <c r="FIP8" s="28"/>
      <c r="FIQ8" s="28"/>
      <c r="FIR8" s="28"/>
      <c r="FIS8" s="28"/>
      <c r="FIT8" s="28"/>
      <c r="FIU8" s="28"/>
      <c r="FIV8" s="28"/>
      <c r="FIW8" s="28"/>
      <c r="FIX8" s="28"/>
      <c r="FIY8" s="28"/>
      <c r="FIZ8" s="28"/>
      <c r="FJA8" s="28"/>
      <c r="FJB8" s="28"/>
      <c r="FJC8" s="28"/>
      <c r="FJD8" s="28"/>
      <c r="FJE8" s="28"/>
      <c r="FJF8" s="28"/>
      <c r="FJG8" s="28"/>
      <c r="FJH8" s="28"/>
      <c r="FJI8" s="28"/>
      <c r="FJJ8" s="28"/>
      <c r="FJK8" s="28"/>
      <c r="FJL8" s="28"/>
      <c r="FJM8" s="28"/>
      <c r="FJN8" s="28"/>
      <c r="FJO8" s="28"/>
      <c r="FJP8" s="28"/>
      <c r="FJQ8" s="28"/>
      <c r="FJR8" s="28"/>
      <c r="FJS8" s="28"/>
      <c r="FJT8" s="28"/>
      <c r="FJU8" s="28"/>
      <c r="FJV8" s="28"/>
      <c r="FJW8" s="28"/>
      <c r="FJX8" s="28"/>
      <c r="FJY8" s="28"/>
      <c r="FJZ8" s="28"/>
      <c r="FKA8" s="28"/>
      <c r="FKB8" s="28"/>
      <c r="FKC8" s="28"/>
      <c r="FKD8" s="28"/>
      <c r="FKE8" s="28"/>
      <c r="FKF8" s="28"/>
      <c r="FKG8" s="28"/>
      <c r="FKH8" s="28"/>
      <c r="FKI8" s="28"/>
      <c r="FKJ8" s="28"/>
      <c r="FKK8" s="28"/>
      <c r="FKL8" s="28"/>
      <c r="FKM8" s="28"/>
      <c r="FKN8" s="28"/>
      <c r="FKO8" s="28"/>
      <c r="FKP8" s="28"/>
      <c r="FKQ8" s="28"/>
      <c r="FKR8" s="28"/>
      <c r="FKS8" s="28"/>
      <c r="FKT8" s="28"/>
      <c r="FKU8" s="28"/>
      <c r="FKV8" s="28"/>
      <c r="FKW8" s="28"/>
      <c r="FKX8" s="28"/>
      <c r="FKY8" s="28"/>
      <c r="FKZ8" s="28"/>
      <c r="FLA8" s="28"/>
      <c r="FLB8" s="28"/>
      <c r="FLC8" s="28"/>
      <c r="FLD8" s="28"/>
      <c r="FLE8" s="28"/>
      <c r="FLF8" s="28"/>
      <c r="FLG8" s="28"/>
      <c r="FLH8" s="28"/>
      <c r="FLI8" s="28"/>
      <c r="FLJ8" s="28"/>
      <c r="FLK8" s="28"/>
      <c r="FLL8" s="28"/>
      <c r="FLM8" s="28"/>
      <c r="FLN8" s="28"/>
      <c r="FLO8" s="28"/>
      <c r="FLP8" s="28"/>
      <c r="FLQ8" s="28"/>
      <c r="FLR8" s="28"/>
      <c r="FLS8" s="28"/>
      <c r="FLT8" s="28"/>
      <c r="FLU8" s="28"/>
      <c r="FLV8" s="28"/>
      <c r="FLW8" s="28"/>
      <c r="FLX8" s="28"/>
      <c r="FLY8" s="28"/>
      <c r="FLZ8" s="28"/>
      <c r="FMA8" s="28"/>
      <c r="FMB8" s="28"/>
      <c r="FMC8" s="28"/>
      <c r="FMD8" s="28"/>
      <c r="FME8" s="28"/>
      <c r="FMF8" s="28"/>
      <c r="FMG8" s="28"/>
      <c r="FMH8" s="28"/>
      <c r="FMI8" s="28"/>
      <c r="FMJ8" s="28"/>
      <c r="FMK8" s="28"/>
      <c r="FML8" s="28"/>
      <c r="FMM8" s="28"/>
      <c r="FMN8" s="28"/>
      <c r="FMO8" s="28"/>
      <c r="FMP8" s="28"/>
      <c r="FMQ8" s="28"/>
      <c r="FMR8" s="28"/>
      <c r="FMS8" s="28"/>
      <c r="FMT8" s="28"/>
      <c r="FMU8" s="28"/>
      <c r="FMV8" s="28"/>
      <c r="FMW8" s="28"/>
      <c r="FMX8" s="28"/>
      <c r="FMY8" s="28"/>
      <c r="FMZ8" s="28"/>
      <c r="FNA8" s="28"/>
      <c r="FNB8" s="28"/>
      <c r="FNC8" s="28"/>
      <c r="FND8" s="28"/>
      <c r="FNE8" s="28"/>
      <c r="FNF8" s="28"/>
      <c r="FNG8" s="28"/>
      <c r="FNH8" s="28"/>
      <c r="FNI8" s="28"/>
      <c r="FNJ8" s="28"/>
      <c r="FNK8" s="28"/>
      <c r="FNL8" s="28"/>
      <c r="FNM8" s="28"/>
      <c r="FNN8" s="28"/>
      <c r="FNO8" s="28"/>
      <c r="FNP8" s="28"/>
      <c r="FNQ8" s="28"/>
      <c r="FNR8" s="28"/>
      <c r="FNS8" s="28"/>
      <c r="FNT8" s="28"/>
      <c r="FNU8" s="28"/>
      <c r="FNV8" s="28"/>
      <c r="FNW8" s="28"/>
      <c r="FNX8" s="28"/>
      <c r="FNY8" s="28"/>
      <c r="FNZ8" s="28"/>
      <c r="FOA8" s="28"/>
      <c r="FOB8" s="28"/>
      <c r="FOC8" s="28"/>
      <c r="FOD8" s="28"/>
      <c r="FOE8" s="28"/>
      <c r="FOF8" s="28"/>
      <c r="FOG8" s="28"/>
      <c r="FOH8" s="28"/>
      <c r="FOI8" s="28"/>
      <c r="FOJ8" s="28"/>
      <c r="FOK8" s="28"/>
      <c r="FOL8" s="28"/>
      <c r="FOM8" s="28"/>
      <c r="FON8" s="28"/>
      <c r="FOO8" s="28"/>
      <c r="FOP8" s="28"/>
      <c r="FOQ8" s="28"/>
      <c r="FOR8" s="28"/>
      <c r="FOS8" s="28"/>
      <c r="FOT8" s="28"/>
      <c r="FOU8" s="28"/>
      <c r="FOV8" s="28"/>
      <c r="FOW8" s="28"/>
      <c r="FOX8" s="28"/>
      <c r="FOY8" s="28"/>
      <c r="FOZ8" s="28"/>
      <c r="FPA8" s="28"/>
      <c r="FPB8" s="28"/>
      <c r="FPC8" s="28"/>
      <c r="FPD8" s="28"/>
      <c r="FPE8" s="28"/>
      <c r="FPF8" s="28"/>
      <c r="FPG8" s="28"/>
      <c r="FPH8" s="28"/>
      <c r="FPI8" s="28"/>
      <c r="FPJ8" s="28"/>
      <c r="FPK8" s="28"/>
      <c r="FPL8" s="28"/>
      <c r="FPM8" s="28"/>
      <c r="FPN8" s="28"/>
      <c r="FPO8" s="28"/>
      <c r="FPP8" s="28"/>
      <c r="FPQ8" s="28"/>
      <c r="FPR8" s="28"/>
      <c r="FPS8" s="28"/>
      <c r="FPT8" s="28"/>
      <c r="FPU8" s="28"/>
      <c r="FPV8" s="28"/>
      <c r="FPW8" s="28"/>
      <c r="FPX8" s="28"/>
      <c r="FPY8" s="28"/>
      <c r="FPZ8" s="28"/>
      <c r="FQA8" s="28"/>
      <c r="FQB8" s="28"/>
      <c r="FQC8" s="28"/>
      <c r="FQD8" s="28"/>
      <c r="FQE8" s="28"/>
      <c r="FQF8" s="28"/>
      <c r="FQG8" s="28"/>
      <c r="FQH8" s="28"/>
      <c r="FQI8" s="28"/>
      <c r="FQJ8" s="28"/>
      <c r="FQK8" s="28"/>
      <c r="FQL8" s="28"/>
      <c r="FQM8" s="28"/>
      <c r="FQN8" s="28"/>
      <c r="FQO8" s="28"/>
      <c r="FQP8" s="28"/>
      <c r="FQQ8" s="28"/>
      <c r="FQR8" s="28"/>
      <c r="FQS8" s="28"/>
      <c r="FQT8" s="28"/>
      <c r="FQU8" s="28"/>
      <c r="FQV8" s="28"/>
      <c r="FQW8" s="28"/>
      <c r="FQX8" s="28"/>
      <c r="FQY8" s="28"/>
      <c r="FQZ8" s="28"/>
      <c r="FRA8" s="28"/>
      <c r="FRB8" s="28"/>
      <c r="FRC8" s="28"/>
      <c r="FRD8" s="28"/>
      <c r="FRE8" s="28"/>
      <c r="FRF8" s="28"/>
      <c r="FRG8" s="28"/>
      <c r="FRH8" s="28"/>
      <c r="FRI8" s="28"/>
      <c r="FRJ8" s="28"/>
      <c r="FRK8" s="28"/>
      <c r="FRL8" s="28"/>
      <c r="FRM8" s="28"/>
      <c r="FRN8" s="28"/>
      <c r="FRO8" s="28"/>
      <c r="FRP8" s="28"/>
      <c r="FRQ8" s="28"/>
      <c r="FRR8" s="28"/>
      <c r="FRS8" s="28"/>
      <c r="FRT8" s="28"/>
      <c r="FRU8" s="28"/>
      <c r="FRV8" s="28"/>
      <c r="FRW8" s="28"/>
      <c r="FRX8" s="28"/>
      <c r="FRY8" s="28"/>
      <c r="FRZ8" s="28"/>
      <c r="FSA8" s="28"/>
      <c r="FSB8" s="28"/>
      <c r="FSC8" s="28"/>
      <c r="FSD8" s="28"/>
      <c r="FSE8" s="28"/>
      <c r="FSF8" s="28"/>
      <c r="FSG8" s="28"/>
      <c r="FSH8" s="28"/>
      <c r="FSI8" s="28"/>
      <c r="FSJ8" s="28"/>
      <c r="FSK8" s="28"/>
      <c r="FSL8" s="28"/>
      <c r="FSM8" s="28"/>
      <c r="FSN8" s="28"/>
      <c r="FSO8" s="28"/>
      <c r="FSP8" s="28"/>
      <c r="FSQ8" s="28"/>
      <c r="FSR8" s="28"/>
      <c r="FSS8" s="28"/>
      <c r="FST8" s="28"/>
      <c r="FSU8" s="28"/>
      <c r="FSV8" s="28"/>
      <c r="FSW8" s="28"/>
      <c r="FSX8" s="28"/>
      <c r="FSY8" s="28"/>
      <c r="FSZ8" s="28"/>
      <c r="FTA8" s="28"/>
      <c r="FTB8" s="28"/>
      <c r="FTC8" s="28"/>
      <c r="FTD8" s="28"/>
      <c r="FTE8" s="28"/>
      <c r="FTF8" s="28"/>
      <c r="FTG8" s="28"/>
      <c r="FTH8" s="28"/>
      <c r="FTI8" s="28"/>
      <c r="FTJ8" s="28"/>
      <c r="FTK8" s="28"/>
      <c r="FTL8" s="28"/>
      <c r="FTM8" s="28"/>
      <c r="FTN8" s="28"/>
      <c r="FTO8" s="28"/>
      <c r="FTP8" s="28"/>
      <c r="FTQ8" s="28"/>
      <c r="FTR8" s="28"/>
      <c r="FTS8" s="28"/>
      <c r="FTT8" s="28"/>
      <c r="FTU8" s="28"/>
      <c r="FTV8" s="28"/>
      <c r="FTW8" s="28"/>
      <c r="FTX8" s="28"/>
      <c r="FTY8" s="28"/>
      <c r="FTZ8" s="28"/>
      <c r="FUA8" s="28"/>
      <c r="FUB8" s="28"/>
      <c r="FUC8" s="28"/>
      <c r="FUD8" s="28"/>
      <c r="FUE8" s="28"/>
      <c r="FUF8" s="28"/>
      <c r="FUG8" s="28"/>
      <c r="FUH8" s="28"/>
      <c r="FUI8" s="28"/>
      <c r="FUJ8" s="28"/>
      <c r="FUK8" s="28"/>
      <c r="FUL8" s="28"/>
      <c r="FUM8" s="28"/>
      <c r="FUN8" s="28"/>
      <c r="FUO8" s="28"/>
      <c r="FUP8" s="28"/>
      <c r="FUQ8" s="28"/>
      <c r="FUR8" s="28"/>
      <c r="FUS8" s="28"/>
      <c r="FUT8" s="28"/>
      <c r="FUU8" s="28"/>
      <c r="FUV8" s="28"/>
      <c r="FUW8" s="28"/>
      <c r="FUX8" s="28"/>
      <c r="FUY8" s="28"/>
      <c r="FUZ8" s="28"/>
      <c r="FVA8" s="28"/>
      <c r="FVB8" s="28"/>
      <c r="FVC8" s="28"/>
      <c r="FVD8" s="28"/>
      <c r="FVE8" s="28"/>
      <c r="FVF8" s="28"/>
      <c r="FVG8" s="28"/>
      <c r="FVH8" s="28"/>
      <c r="FVI8" s="28"/>
      <c r="FVJ8" s="28"/>
      <c r="FVK8" s="28"/>
      <c r="FVL8" s="28"/>
      <c r="FVM8" s="28"/>
      <c r="FVN8" s="28"/>
      <c r="FVO8" s="28"/>
      <c r="FVP8" s="28"/>
      <c r="FVQ8" s="28"/>
      <c r="FVR8" s="28"/>
      <c r="FVS8" s="28"/>
      <c r="FVT8" s="28"/>
      <c r="FVU8" s="28"/>
      <c r="FVV8" s="28"/>
      <c r="FVW8" s="28"/>
      <c r="FVX8" s="28"/>
      <c r="FVY8" s="28"/>
      <c r="FVZ8" s="28"/>
      <c r="FWA8" s="28"/>
      <c r="FWB8" s="28"/>
      <c r="FWC8" s="28"/>
      <c r="FWD8" s="28"/>
      <c r="FWE8" s="28"/>
      <c r="FWF8" s="28"/>
      <c r="FWG8" s="28"/>
      <c r="FWH8" s="28"/>
      <c r="FWI8" s="28"/>
      <c r="FWJ8" s="28"/>
      <c r="FWK8" s="28"/>
      <c r="FWL8" s="28"/>
      <c r="FWM8" s="28"/>
      <c r="FWN8" s="28"/>
      <c r="FWO8" s="28"/>
      <c r="FWP8" s="28"/>
      <c r="FWQ8" s="28"/>
      <c r="FWR8" s="28"/>
      <c r="FWS8" s="28"/>
      <c r="FWT8" s="28"/>
      <c r="FWU8" s="28"/>
      <c r="FWV8" s="28"/>
      <c r="FWW8" s="28"/>
      <c r="FWX8" s="28"/>
      <c r="FWY8" s="28"/>
      <c r="FWZ8" s="28"/>
      <c r="FXA8" s="28"/>
      <c r="FXB8" s="28"/>
      <c r="FXC8" s="28"/>
      <c r="FXD8" s="28"/>
      <c r="FXE8" s="28"/>
      <c r="FXF8" s="28"/>
      <c r="FXG8" s="28"/>
      <c r="FXH8" s="28"/>
      <c r="FXI8" s="28"/>
      <c r="FXJ8" s="28"/>
      <c r="FXK8" s="28"/>
      <c r="FXL8" s="28"/>
      <c r="FXM8" s="28"/>
      <c r="FXN8" s="28"/>
      <c r="FXO8" s="28"/>
      <c r="FXP8" s="28"/>
      <c r="FXQ8" s="28"/>
      <c r="FXR8" s="28"/>
      <c r="FXS8" s="28"/>
      <c r="FXT8" s="28"/>
      <c r="FXU8" s="28"/>
      <c r="FXV8" s="28"/>
      <c r="FXW8" s="28"/>
      <c r="FXX8" s="28"/>
      <c r="FXY8" s="28"/>
      <c r="FXZ8" s="28"/>
      <c r="FYA8" s="28"/>
      <c r="FYB8" s="28"/>
      <c r="FYC8" s="28"/>
      <c r="FYD8" s="28"/>
      <c r="FYE8" s="28"/>
      <c r="FYF8" s="28"/>
      <c r="FYG8" s="28"/>
      <c r="FYH8" s="28"/>
      <c r="FYI8" s="28"/>
      <c r="FYJ8" s="28"/>
      <c r="FYK8" s="28"/>
      <c r="FYL8" s="28"/>
      <c r="FYM8" s="28"/>
      <c r="FYN8" s="28"/>
      <c r="FYO8" s="28"/>
      <c r="FYP8" s="28"/>
      <c r="FYQ8" s="28"/>
      <c r="FYR8" s="28"/>
      <c r="FYS8" s="28"/>
      <c r="FYT8" s="28"/>
      <c r="FYU8" s="28"/>
      <c r="FYV8" s="28"/>
      <c r="FYW8" s="28"/>
      <c r="FYX8" s="28"/>
      <c r="FYY8" s="28"/>
      <c r="FYZ8" s="28"/>
      <c r="FZA8" s="28"/>
      <c r="FZB8" s="28"/>
      <c r="FZC8" s="28"/>
      <c r="FZD8" s="28"/>
      <c r="FZE8" s="28"/>
      <c r="FZF8" s="28"/>
      <c r="FZG8" s="28"/>
      <c r="FZH8" s="28"/>
      <c r="FZI8" s="28"/>
      <c r="FZJ8" s="28"/>
      <c r="FZK8" s="28"/>
      <c r="FZL8" s="28"/>
      <c r="FZM8" s="28"/>
      <c r="FZN8" s="28"/>
      <c r="FZO8" s="28"/>
      <c r="FZP8" s="28"/>
      <c r="FZQ8" s="28"/>
      <c r="FZR8" s="28"/>
      <c r="FZS8" s="28"/>
      <c r="FZT8" s="28"/>
      <c r="FZU8" s="28"/>
      <c r="FZV8" s="28"/>
      <c r="FZW8" s="28"/>
      <c r="FZX8" s="28"/>
      <c r="FZY8" s="28"/>
      <c r="FZZ8" s="28"/>
      <c r="GAA8" s="28"/>
      <c r="GAB8" s="28"/>
      <c r="GAC8" s="28"/>
      <c r="GAD8" s="28"/>
      <c r="GAE8" s="28"/>
      <c r="GAF8" s="28"/>
      <c r="GAG8" s="28"/>
      <c r="GAH8" s="28"/>
      <c r="GAI8" s="28"/>
      <c r="GAJ8" s="28"/>
      <c r="GAK8" s="28"/>
      <c r="GAL8" s="28"/>
      <c r="GAM8" s="28"/>
      <c r="GAN8" s="28"/>
      <c r="GAO8" s="28"/>
      <c r="GAP8" s="28"/>
      <c r="GAQ8" s="28"/>
      <c r="GAR8" s="28"/>
      <c r="GAS8" s="28"/>
      <c r="GAT8" s="28"/>
      <c r="GAU8" s="28"/>
      <c r="GAV8" s="28"/>
      <c r="GAW8" s="28"/>
      <c r="GAX8" s="28"/>
      <c r="GAY8" s="28"/>
      <c r="GAZ8" s="28"/>
      <c r="GBA8" s="28"/>
      <c r="GBB8" s="28"/>
      <c r="GBC8" s="28"/>
      <c r="GBD8" s="28"/>
      <c r="GBE8" s="28"/>
      <c r="GBF8" s="28"/>
      <c r="GBG8" s="28"/>
      <c r="GBH8" s="28"/>
      <c r="GBI8" s="28"/>
      <c r="GBJ8" s="28"/>
      <c r="GBK8" s="28"/>
      <c r="GBL8" s="28"/>
      <c r="GBM8" s="28"/>
      <c r="GBN8" s="28"/>
      <c r="GBO8" s="28"/>
      <c r="GBP8" s="28"/>
      <c r="GBQ8" s="28"/>
      <c r="GBR8" s="28"/>
      <c r="GBS8" s="28"/>
      <c r="GBT8" s="28"/>
      <c r="GBU8" s="28"/>
      <c r="GBV8" s="28"/>
      <c r="GBW8" s="28"/>
      <c r="GBX8" s="28"/>
      <c r="GBY8" s="28"/>
      <c r="GBZ8" s="28"/>
      <c r="GCA8" s="28"/>
      <c r="GCB8" s="28"/>
      <c r="GCC8" s="28"/>
      <c r="GCD8" s="28"/>
      <c r="GCE8" s="28"/>
      <c r="GCF8" s="28"/>
      <c r="GCG8" s="28"/>
      <c r="GCH8" s="28"/>
      <c r="GCI8" s="28"/>
      <c r="GCJ8" s="28"/>
      <c r="GCK8" s="28"/>
      <c r="GCL8" s="28"/>
      <c r="GCM8" s="28"/>
      <c r="GCN8" s="28"/>
      <c r="GCO8" s="28"/>
      <c r="GCP8" s="28"/>
      <c r="GCQ8" s="28"/>
      <c r="GCR8" s="28"/>
      <c r="GCS8" s="28"/>
      <c r="GCT8" s="28"/>
      <c r="GCU8" s="28"/>
      <c r="GCV8" s="28"/>
      <c r="GCW8" s="28"/>
      <c r="GCX8" s="28"/>
      <c r="GCY8" s="28"/>
      <c r="GCZ8" s="28"/>
      <c r="GDA8" s="28"/>
      <c r="GDB8" s="28"/>
      <c r="GDC8" s="28"/>
      <c r="GDD8" s="28"/>
      <c r="GDE8" s="28"/>
      <c r="GDF8" s="28"/>
      <c r="GDG8" s="28"/>
      <c r="GDH8" s="28"/>
      <c r="GDI8" s="28"/>
      <c r="GDJ8" s="28"/>
      <c r="GDK8" s="28"/>
      <c r="GDL8" s="28"/>
      <c r="GDM8" s="28"/>
      <c r="GDN8" s="28"/>
      <c r="GDO8" s="28"/>
      <c r="GDP8" s="28"/>
      <c r="GDQ8" s="28"/>
      <c r="GDR8" s="28"/>
      <c r="GDS8" s="28"/>
      <c r="GDT8" s="28"/>
      <c r="GDU8" s="28"/>
      <c r="GDV8" s="28"/>
      <c r="GDW8" s="28"/>
      <c r="GDX8" s="28"/>
      <c r="GDY8" s="28"/>
      <c r="GDZ8" s="28"/>
      <c r="GEA8" s="28"/>
      <c r="GEB8" s="28"/>
      <c r="GEC8" s="28"/>
      <c r="GED8" s="28"/>
      <c r="GEE8" s="28"/>
      <c r="GEF8" s="28"/>
      <c r="GEG8" s="28"/>
      <c r="GEH8" s="28"/>
      <c r="GEI8" s="28"/>
      <c r="GEJ8" s="28"/>
      <c r="GEK8" s="28"/>
      <c r="GEL8" s="28"/>
      <c r="GEM8" s="28"/>
      <c r="GEN8" s="28"/>
      <c r="GEO8" s="28"/>
      <c r="GEP8" s="28"/>
      <c r="GEQ8" s="28"/>
      <c r="GER8" s="28"/>
      <c r="GES8" s="28"/>
      <c r="GET8" s="28"/>
      <c r="GEU8" s="28"/>
      <c r="GEV8" s="28"/>
      <c r="GEW8" s="28"/>
      <c r="GEX8" s="28"/>
      <c r="GEY8" s="28"/>
      <c r="GEZ8" s="28"/>
      <c r="GFA8" s="28"/>
      <c r="GFB8" s="28"/>
      <c r="GFC8" s="28"/>
      <c r="GFD8" s="28"/>
      <c r="GFE8" s="28"/>
      <c r="GFF8" s="28"/>
      <c r="GFG8" s="28"/>
      <c r="GFH8" s="28"/>
      <c r="GFI8" s="28"/>
      <c r="GFJ8" s="28"/>
      <c r="GFK8" s="28"/>
      <c r="GFL8" s="28"/>
      <c r="GFM8" s="28"/>
      <c r="GFN8" s="28"/>
      <c r="GFO8" s="28"/>
      <c r="GFP8" s="28"/>
      <c r="GFQ8" s="28"/>
      <c r="GFR8" s="28"/>
      <c r="GFS8" s="28"/>
      <c r="GFT8" s="28"/>
      <c r="GFU8" s="28"/>
      <c r="GFV8" s="28"/>
      <c r="GFW8" s="28"/>
      <c r="GFX8" s="28"/>
      <c r="GFY8" s="28"/>
      <c r="GFZ8" s="28"/>
      <c r="GGA8" s="28"/>
      <c r="GGB8" s="28"/>
      <c r="GGC8" s="28"/>
      <c r="GGD8" s="28"/>
      <c r="GGE8" s="28"/>
      <c r="GGF8" s="28"/>
      <c r="GGG8" s="28"/>
      <c r="GGH8" s="28"/>
      <c r="GGI8" s="28"/>
      <c r="GGJ8" s="28"/>
      <c r="GGK8" s="28"/>
      <c r="GGL8" s="28"/>
      <c r="GGM8" s="28"/>
      <c r="GGN8" s="28"/>
      <c r="GGO8" s="28"/>
      <c r="GGP8" s="28"/>
      <c r="GGQ8" s="28"/>
      <c r="GGR8" s="28"/>
      <c r="GGS8" s="28"/>
      <c r="GGT8" s="28"/>
      <c r="GGU8" s="28"/>
      <c r="GGV8" s="28"/>
      <c r="GGW8" s="28"/>
      <c r="GGX8" s="28"/>
      <c r="GGY8" s="28"/>
      <c r="GGZ8" s="28"/>
      <c r="GHA8" s="28"/>
      <c r="GHB8" s="28"/>
      <c r="GHC8" s="28"/>
      <c r="GHD8" s="28"/>
      <c r="GHE8" s="28"/>
      <c r="GHF8" s="28"/>
      <c r="GHG8" s="28"/>
      <c r="GHH8" s="28"/>
      <c r="GHI8" s="28"/>
      <c r="GHJ8" s="28"/>
      <c r="GHK8" s="28"/>
      <c r="GHL8" s="28"/>
      <c r="GHM8" s="28"/>
      <c r="GHN8" s="28"/>
      <c r="GHO8" s="28"/>
      <c r="GHP8" s="28"/>
      <c r="GHQ8" s="28"/>
      <c r="GHR8" s="28"/>
      <c r="GHS8" s="28"/>
      <c r="GHT8" s="28"/>
      <c r="GHU8" s="28"/>
      <c r="GHV8" s="28"/>
      <c r="GHW8" s="28"/>
      <c r="GHX8" s="28"/>
      <c r="GHY8" s="28"/>
      <c r="GHZ8" s="28"/>
      <c r="GIA8" s="28"/>
      <c r="GIB8" s="28"/>
      <c r="GIC8" s="28"/>
      <c r="GID8" s="28"/>
      <c r="GIE8" s="28"/>
      <c r="GIF8" s="28"/>
      <c r="GIG8" s="28"/>
      <c r="GIH8" s="28"/>
      <c r="GII8" s="28"/>
      <c r="GIJ8" s="28"/>
      <c r="GIK8" s="28"/>
      <c r="GIL8" s="28"/>
      <c r="GIM8" s="28"/>
      <c r="GIN8" s="28"/>
      <c r="GIO8" s="28"/>
      <c r="GIP8" s="28"/>
      <c r="GIQ8" s="28"/>
      <c r="GIR8" s="28"/>
      <c r="GIS8" s="28"/>
      <c r="GIT8" s="28"/>
      <c r="GIU8" s="28"/>
      <c r="GIV8" s="28"/>
      <c r="GIW8" s="28"/>
      <c r="GIX8" s="28"/>
      <c r="GIY8" s="28"/>
      <c r="GIZ8" s="28"/>
      <c r="GJA8" s="28"/>
      <c r="GJB8" s="28"/>
      <c r="GJC8" s="28"/>
      <c r="GJD8" s="28"/>
      <c r="GJE8" s="28"/>
      <c r="GJF8" s="28"/>
      <c r="GJG8" s="28"/>
      <c r="GJH8" s="28"/>
      <c r="GJI8" s="28"/>
      <c r="GJJ8" s="28"/>
      <c r="GJK8" s="28"/>
      <c r="GJL8" s="28"/>
      <c r="GJM8" s="28"/>
      <c r="GJN8" s="28"/>
      <c r="GJO8" s="28"/>
      <c r="GJP8" s="28"/>
      <c r="GJQ8" s="28"/>
      <c r="GJR8" s="28"/>
      <c r="GJS8" s="28"/>
      <c r="GJT8" s="28"/>
      <c r="GJU8" s="28"/>
      <c r="GJV8" s="28"/>
      <c r="GJW8" s="28"/>
      <c r="GJX8" s="28"/>
      <c r="GJY8" s="28"/>
      <c r="GJZ8" s="28"/>
      <c r="GKA8" s="28"/>
      <c r="GKB8" s="28"/>
      <c r="GKC8" s="28"/>
      <c r="GKD8" s="28"/>
      <c r="GKE8" s="28"/>
      <c r="GKF8" s="28"/>
      <c r="GKG8" s="28"/>
      <c r="GKH8" s="28"/>
      <c r="GKI8" s="28"/>
      <c r="GKJ8" s="28"/>
      <c r="GKK8" s="28"/>
      <c r="GKL8" s="28"/>
      <c r="GKM8" s="28"/>
      <c r="GKN8" s="28"/>
      <c r="GKO8" s="28"/>
      <c r="GKP8" s="28"/>
      <c r="GKQ8" s="28"/>
      <c r="GKR8" s="28"/>
      <c r="GKS8" s="28"/>
      <c r="GKT8" s="28"/>
      <c r="GKU8" s="28"/>
      <c r="GKV8" s="28"/>
      <c r="GKW8" s="28"/>
      <c r="GKX8" s="28"/>
      <c r="GKY8" s="28"/>
      <c r="GKZ8" s="28"/>
      <c r="GLA8" s="28"/>
      <c r="GLB8" s="28"/>
      <c r="GLC8" s="28"/>
      <c r="GLD8" s="28"/>
      <c r="GLE8" s="28"/>
      <c r="GLF8" s="28"/>
      <c r="GLG8" s="28"/>
      <c r="GLH8" s="28"/>
      <c r="GLI8" s="28"/>
      <c r="GLJ8" s="28"/>
      <c r="GLK8" s="28"/>
      <c r="GLL8" s="28"/>
      <c r="GLM8" s="28"/>
      <c r="GLN8" s="28"/>
      <c r="GLO8" s="28"/>
      <c r="GLP8" s="28"/>
      <c r="GLQ8" s="28"/>
      <c r="GLR8" s="28"/>
      <c r="GLS8" s="28"/>
      <c r="GLT8" s="28"/>
      <c r="GLU8" s="28"/>
      <c r="GLV8" s="28"/>
      <c r="GLW8" s="28"/>
      <c r="GLX8" s="28"/>
      <c r="GLY8" s="28"/>
      <c r="GLZ8" s="28"/>
      <c r="GMA8" s="28"/>
      <c r="GMB8" s="28"/>
      <c r="GMC8" s="28"/>
      <c r="GMD8" s="28"/>
      <c r="GME8" s="28"/>
      <c r="GMF8" s="28"/>
      <c r="GMG8" s="28"/>
      <c r="GMH8" s="28"/>
      <c r="GMI8" s="28"/>
      <c r="GMJ8" s="28"/>
      <c r="GMK8" s="28"/>
      <c r="GML8" s="28"/>
      <c r="GMM8" s="28"/>
      <c r="GMN8" s="28"/>
      <c r="GMO8" s="28"/>
      <c r="GMP8" s="28"/>
      <c r="GMQ8" s="28"/>
      <c r="GMR8" s="28"/>
      <c r="GMS8" s="28"/>
      <c r="GMT8" s="28"/>
      <c r="GMU8" s="28"/>
      <c r="GMV8" s="28"/>
      <c r="GMW8" s="28"/>
      <c r="GMX8" s="28"/>
      <c r="GMY8" s="28"/>
      <c r="GMZ8" s="28"/>
      <c r="GNA8" s="28"/>
      <c r="GNB8" s="28"/>
      <c r="GNC8" s="28"/>
      <c r="GND8" s="28"/>
      <c r="GNE8" s="28"/>
      <c r="GNF8" s="28"/>
      <c r="GNG8" s="28"/>
      <c r="GNH8" s="28"/>
      <c r="GNI8" s="28"/>
      <c r="GNJ8" s="28"/>
      <c r="GNK8" s="28"/>
      <c r="GNL8" s="28"/>
      <c r="GNM8" s="28"/>
      <c r="GNN8" s="28"/>
      <c r="GNO8" s="28"/>
      <c r="GNP8" s="28"/>
      <c r="GNQ8" s="28"/>
      <c r="GNR8" s="28"/>
      <c r="GNS8" s="28"/>
      <c r="GNT8" s="28"/>
      <c r="GNU8" s="28"/>
      <c r="GNV8" s="28"/>
      <c r="GNW8" s="28"/>
      <c r="GNX8" s="28"/>
      <c r="GNY8" s="28"/>
      <c r="GNZ8" s="28"/>
      <c r="GOA8" s="28"/>
      <c r="GOB8" s="28"/>
      <c r="GOC8" s="28"/>
      <c r="GOD8" s="28"/>
      <c r="GOE8" s="28"/>
      <c r="GOF8" s="28"/>
      <c r="GOG8" s="28"/>
      <c r="GOH8" s="28"/>
      <c r="GOI8" s="28"/>
      <c r="GOJ8" s="28"/>
      <c r="GOK8" s="28"/>
      <c r="GOL8" s="28"/>
      <c r="GOM8" s="28"/>
      <c r="GON8" s="28"/>
      <c r="GOO8" s="28"/>
      <c r="GOP8" s="28"/>
      <c r="GOQ8" s="28"/>
      <c r="GOR8" s="28"/>
      <c r="GOS8" s="28"/>
      <c r="GOT8" s="28"/>
      <c r="GOU8" s="28"/>
      <c r="GOV8" s="28"/>
      <c r="GOW8" s="28"/>
      <c r="GOX8" s="28"/>
      <c r="GOY8" s="28"/>
      <c r="GOZ8" s="28"/>
      <c r="GPA8" s="28"/>
      <c r="GPB8" s="28"/>
      <c r="GPC8" s="28"/>
      <c r="GPD8" s="28"/>
      <c r="GPE8" s="28"/>
      <c r="GPF8" s="28"/>
      <c r="GPG8" s="28"/>
      <c r="GPH8" s="28"/>
      <c r="GPI8" s="28"/>
      <c r="GPJ8" s="28"/>
      <c r="GPK8" s="28"/>
      <c r="GPL8" s="28"/>
      <c r="GPM8" s="28"/>
      <c r="GPN8" s="28"/>
      <c r="GPO8" s="28"/>
      <c r="GPP8" s="28"/>
      <c r="GPQ8" s="28"/>
      <c r="GPR8" s="28"/>
      <c r="GPS8" s="28"/>
      <c r="GPT8" s="28"/>
      <c r="GPU8" s="28"/>
      <c r="GPV8" s="28"/>
      <c r="GPW8" s="28"/>
      <c r="GPX8" s="28"/>
      <c r="GPY8" s="28"/>
      <c r="GPZ8" s="28"/>
      <c r="GQA8" s="28"/>
      <c r="GQB8" s="28"/>
      <c r="GQC8" s="28"/>
      <c r="GQD8" s="28"/>
      <c r="GQE8" s="28"/>
      <c r="GQF8" s="28"/>
      <c r="GQG8" s="28"/>
      <c r="GQH8" s="28"/>
      <c r="GQI8" s="28"/>
      <c r="GQJ8" s="28"/>
      <c r="GQK8" s="28"/>
      <c r="GQL8" s="28"/>
      <c r="GQM8" s="28"/>
      <c r="GQN8" s="28"/>
      <c r="GQO8" s="28"/>
      <c r="GQP8" s="28"/>
      <c r="GQQ8" s="28"/>
      <c r="GQR8" s="28"/>
      <c r="GQS8" s="28"/>
      <c r="GQT8" s="28"/>
      <c r="GQU8" s="28"/>
      <c r="GQV8" s="28"/>
      <c r="GQW8" s="28"/>
      <c r="GQX8" s="28"/>
      <c r="GQY8" s="28"/>
      <c r="GQZ8" s="28"/>
      <c r="GRA8" s="28"/>
      <c r="GRB8" s="28"/>
      <c r="GRC8" s="28"/>
      <c r="GRD8" s="28"/>
      <c r="GRE8" s="28"/>
      <c r="GRF8" s="28"/>
      <c r="GRG8" s="28"/>
      <c r="GRH8" s="28"/>
      <c r="GRI8" s="28"/>
      <c r="GRJ8" s="28"/>
      <c r="GRK8" s="28"/>
      <c r="GRL8" s="28"/>
      <c r="GRM8" s="28"/>
      <c r="GRN8" s="28"/>
      <c r="GRO8" s="28"/>
      <c r="GRP8" s="28"/>
      <c r="GRQ8" s="28"/>
      <c r="GRR8" s="28"/>
      <c r="GRS8" s="28"/>
      <c r="GRT8" s="28"/>
      <c r="GRU8" s="28"/>
      <c r="GRV8" s="28"/>
      <c r="GRW8" s="28"/>
      <c r="GRX8" s="28"/>
      <c r="GRY8" s="28"/>
      <c r="GRZ8" s="28"/>
      <c r="GSA8" s="28"/>
      <c r="GSB8" s="28"/>
      <c r="GSC8" s="28"/>
      <c r="GSD8" s="28"/>
      <c r="GSE8" s="28"/>
      <c r="GSF8" s="28"/>
      <c r="GSG8" s="28"/>
      <c r="GSH8" s="28"/>
      <c r="GSI8" s="28"/>
      <c r="GSJ8" s="28"/>
      <c r="GSK8" s="28"/>
      <c r="GSL8" s="28"/>
      <c r="GSM8" s="28"/>
      <c r="GSN8" s="28"/>
      <c r="GSO8" s="28"/>
      <c r="GSP8" s="28"/>
      <c r="GSQ8" s="28"/>
      <c r="GSR8" s="28"/>
      <c r="GSS8" s="28"/>
      <c r="GST8" s="28"/>
      <c r="GSU8" s="28"/>
      <c r="GSV8" s="28"/>
      <c r="GSW8" s="28"/>
      <c r="GSX8" s="28"/>
      <c r="GSY8" s="28"/>
      <c r="GSZ8" s="28"/>
      <c r="GTA8" s="28"/>
      <c r="GTB8" s="28"/>
      <c r="GTC8" s="28"/>
      <c r="GTD8" s="28"/>
      <c r="GTE8" s="28"/>
      <c r="GTF8" s="28"/>
      <c r="GTG8" s="28"/>
      <c r="GTH8" s="28"/>
      <c r="GTI8" s="28"/>
      <c r="GTJ8" s="28"/>
      <c r="GTK8" s="28"/>
      <c r="GTL8" s="28"/>
      <c r="GTM8" s="28"/>
      <c r="GTN8" s="28"/>
      <c r="GTO8" s="28"/>
      <c r="GTP8" s="28"/>
      <c r="GTQ8" s="28"/>
      <c r="GTR8" s="28"/>
      <c r="GTS8" s="28"/>
      <c r="GTT8" s="28"/>
      <c r="GTU8" s="28"/>
      <c r="GTV8" s="28"/>
      <c r="GTW8" s="28"/>
      <c r="GTX8" s="28"/>
      <c r="GTY8" s="28"/>
      <c r="GTZ8" s="28"/>
      <c r="GUA8" s="28"/>
      <c r="GUB8" s="28"/>
      <c r="GUC8" s="28"/>
      <c r="GUD8" s="28"/>
      <c r="GUE8" s="28"/>
      <c r="GUF8" s="28"/>
      <c r="GUG8" s="28"/>
      <c r="GUH8" s="28"/>
      <c r="GUI8" s="28"/>
      <c r="GUJ8" s="28"/>
      <c r="GUK8" s="28"/>
      <c r="GUL8" s="28"/>
      <c r="GUM8" s="28"/>
      <c r="GUN8" s="28"/>
      <c r="GUO8" s="28"/>
      <c r="GUP8" s="28"/>
      <c r="GUQ8" s="28"/>
      <c r="GUR8" s="28"/>
      <c r="GUS8" s="28"/>
      <c r="GUT8" s="28"/>
      <c r="GUU8" s="28"/>
      <c r="GUV8" s="28"/>
      <c r="GUW8" s="28"/>
      <c r="GUX8" s="28"/>
      <c r="GUY8" s="28"/>
      <c r="GUZ8" s="28"/>
      <c r="GVA8" s="28"/>
      <c r="GVB8" s="28"/>
      <c r="GVC8" s="28"/>
      <c r="GVD8" s="28"/>
      <c r="GVE8" s="28"/>
      <c r="GVF8" s="28"/>
      <c r="GVG8" s="28"/>
      <c r="GVH8" s="28"/>
      <c r="GVI8" s="28"/>
      <c r="GVJ8" s="28"/>
      <c r="GVK8" s="28"/>
      <c r="GVL8" s="28"/>
      <c r="GVM8" s="28"/>
      <c r="GVN8" s="28"/>
      <c r="GVO8" s="28"/>
      <c r="GVP8" s="28"/>
      <c r="GVQ8" s="28"/>
      <c r="GVR8" s="28"/>
      <c r="GVS8" s="28"/>
      <c r="GVT8" s="28"/>
      <c r="GVU8" s="28"/>
      <c r="GVV8" s="28"/>
      <c r="GVW8" s="28"/>
      <c r="GVX8" s="28"/>
      <c r="GVY8" s="28"/>
      <c r="GVZ8" s="28"/>
      <c r="GWA8" s="28"/>
      <c r="GWB8" s="28"/>
      <c r="GWC8" s="28"/>
      <c r="GWD8" s="28"/>
      <c r="GWE8" s="28"/>
      <c r="GWF8" s="28"/>
      <c r="GWG8" s="28"/>
      <c r="GWH8" s="28"/>
      <c r="GWI8" s="28"/>
      <c r="GWJ8" s="28"/>
      <c r="GWK8" s="28"/>
      <c r="GWL8" s="28"/>
      <c r="GWM8" s="28"/>
      <c r="GWN8" s="28"/>
      <c r="GWO8" s="28"/>
      <c r="GWP8" s="28"/>
      <c r="GWQ8" s="28"/>
      <c r="GWR8" s="28"/>
      <c r="GWS8" s="28"/>
      <c r="GWT8" s="28"/>
      <c r="GWU8" s="28"/>
      <c r="GWV8" s="28"/>
      <c r="GWW8" s="28"/>
      <c r="GWX8" s="28"/>
      <c r="GWY8" s="28"/>
      <c r="GWZ8" s="28"/>
      <c r="GXA8" s="28"/>
      <c r="GXB8" s="28"/>
      <c r="GXC8" s="28"/>
      <c r="GXD8" s="28"/>
      <c r="GXE8" s="28"/>
      <c r="GXF8" s="28"/>
      <c r="GXG8" s="28"/>
      <c r="GXH8" s="28"/>
      <c r="GXI8" s="28"/>
      <c r="GXJ8" s="28"/>
      <c r="GXK8" s="28"/>
      <c r="GXL8" s="28"/>
      <c r="GXM8" s="28"/>
      <c r="GXN8" s="28"/>
      <c r="GXO8" s="28"/>
      <c r="GXP8" s="28"/>
      <c r="GXQ8" s="28"/>
      <c r="GXR8" s="28"/>
      <c r="GXS8" s="28"/>
      <c r="GXT8" s="28"/>
      <c r="GXU8" s="28"/>
      <c r="GXV8" s="28"/>
      <c r="GXW8" s="28"/>
      <c r="GXX8" s="28"/>
      <c r="GXY8" s="28"/>
      <c r="GXZ8" s="28"/>
      <c r="GYA8" s="28"/>
      <c r="GYB8" s="28"/>
      <c r="GYC8" s="28"/>
      <c r="GYD8" s="28"/>
      <c r="GYE8" s="28"/>
      <c r="GYF8" s="28"/>
      <c r="GYG8" s="28"/>
      <c r="GYH8" s="28"/>
      <c r="GYI8" s="28"/>
      <c r="GYJ8" s="28"/>
      <c r="GYK8" s="28"/>
      <c r="GYL8" s="28"/>
      <c r="GYM8" s="28"/>
      <c r="GYN8" s="28"/>
      <c r="GYO8" s="28"/>
      <c r="GYP8" s="28"/>
      <c r="GYQ8" s="28"/>
      <c r="GYR8" s="28"/>
      <c r="GYS8" s="28"/>
      <c r="GYT8" s="28"/>
      <c r="GYU8" s="28"/>
      <c r="GYV8" s="28"/>
      <c r="GYW8" s="28"/>
      <c r="GYX8" s="28"/>
      <c r="GYY8" s="28"/>
      <c r="GYZ8" s="28"/>
      <c r="GZA8" s="28"/>
      <c r="GZB8" s="28"/>
      <c r="GZC8" s="28"/>
      <c r="GZD8" s="28"/>
      <c r="GZE8" s="28"/>
      <c r="GZF8" s="28"/>
      <c r="GZG8" s="28"/>
      <c r="GZH8" s="28"/>
      <c r="GZI8" s="28"/>
      <c r="GZJ8" s="28"/>
      <c r="GZK8" s="28"/>
      <c r="GZL8" s="28"/>
      <c r="GZM8" s="28"/>
      <c r="GZN8" s="28"/>
      <c r="GZO8" s="28"/>
      <c r="GZP8" s="28"/>
      <c r="GZQ8" s="28"/>
      <c r="GZR8" s="28"/>
      <c r="GZS8" s="28"/>
      <c r="GZT8" s="28"/>
      <c r="GZU8" s="28"/>
      <c r="GZV8" s="28"/>
      <c r="GZW8" s="28"/>
      <c r="GZX8" s="28"/>
      <c r="GZY8" s="28"/>
      <c r="GZZ8" s="28"/>
      <c r="HAA8" s="28"/>
      <c r="HAB8" s="28"/>
      <c r="HAC8" s="28"/>
      <c r="HAD8" s="28"/>
      <c r="HAE8" s="28"/>
      <c r="HAF8" s="28"/>
      <c r="HAG8" s="28"/>
      <c r="HAH8" s="28"/>
      <c r="HAI8" s="28"/>
      <c r="HAJ8" s="28"/>
      <c r="HAK8" s="28"/>
      <c r="HAL8" s="28"/>
      <c r="HAM8" s="28"/>
      <c r="HAN8" s="28"/>
      <c r="HAO8" s="28"/>
      <c r="HAP8" s="28"/>
      <c r="HAQ8" s="28"/>
      <c r="HAR8" s="28"/>
      <c r="HAS8" s="28"/>
      <c r="HAT8" s="28"/>
      <c r="HAU8" s="28"/>
      <c r="HAV8" s="28"/>
      <c r="HAW8" s="28"/>
      <c r="HAX8" s="28"/>
      <c r="HAY8" s="28"/>
      <c r="HAZ8" s="28"/>
      <c r="HBA8" s="28"/>
      <c r="HBB8" s="28"/>
      <c r="HBC8" s="28"/>
      <c r="HBD8" s="28"/>
      <c r="HBE8" s="28"/>
      <c r="HBF8" s="28"/>
      <c r="HBG8" s="28"/>
      <c r="HBH8" s="28"/>
      <c r="HBI8" s="28"/>
      <c r="HBJ8" s="28"/>
      <c r="HBK8" s="28"/>
      <c r="HBL8" s="28"/>
      <c r="HBM8" s="28"/>
      <c r="HBN8" s="28"/>
      <c r="HBO8" s="28"/>
      <c r="HBP8" s="28"/>
      <c r="HBQ8" s="28"/>
      <c r="HBR8" s="28"/>
      <c r="HBS8" s="28"/>
      <c r="HBT8" s="28"/>
      <c r="HBU8" s="28"/>
      <c r="HBV8" s="28"/>
      <c r="HBW8" s="28"/>
      <c r="HBX8" s="28"/>
      <c r="HBY8" s="28"/>
      <c r="HBZ8" s="28"/>
      <c r="HCA8" s="28"/>
      <c r="HCB8" s="28"/>
      <c r="HCC8" s="28"/>
      <c r="HCD8" s="28"/>
      <c r="HCE8" s="28"/>
      <c r="HCF8" s="28"/>
      <c r="HCG8" s="28"/>
      <c r="HCH8" s="28"/>
      <c r="HCI8" s="28"/>
      <c r="HCJ8" s="28"/>
      <c r="HCK8" s="28"/>
      <c r="HCL8" s="28"/>
      <c r="HCM8" s="28"/>
      <c r="HCN8" s="28"/>
      <c r="HCO8" s="28"/>
      <c r="HCP8" s="28"/>
      <c r="HCQ8" s="28"/>
      <c r="HCR8" s="28"/>
      <c r="HCS8" s="28"/>
      <c r="HCT8" s="28"/>
      <c r="HCU8" s="28"/>
      <c r="HCV8" s="28"/>
      <c r="HCW8" s="28"/>
      <c r="HCX8" s="28"/>
      <c r="HCY8" s="28"/>
      <c r="HCZ8" s="28"/>
      <c r="HDA8" s="28"/>
      <c r="HDB8" s="28"/>
      <c r="HDC8" s="28"/>
      <c r="HDD8" s="28"/>
      <c r="HDE8" s="28"/>
      <c r="HDF8" s="28"/>
      <c r="HDG8" s="28"/>
      <c r="HDH8" s="28"/>
      <c r="HDI8" s="28"/>
      <c r="HDJ8" s="28"/>
      <c r="HDK8" s="28"/>
      <c r="HDL8" s="28"/>
      <c r="HDM8" s="28"/>
      <c r="HDN8" s="28"/>
      <c r="HDO8" s="28"/>
      <c r="HDP8" s="28"/>
      <c r="HDQ8" s="28"/>
      <c r="HDR8" s="28"/>
      <c r="HDS8" s="28"/>
      <c r="HDT8" s="28"/>
      <c r="HDU8" s="28"/>
      <c r="HDV8" s="28"/>
      <c r="HDW8" s="28"/>
      <c r="HDX8" s="28"/>
      <c r="HDY8" s="28"/>
      <c r="HDZ8" s="28"/>
      <c r="HEA8" s="28"/>
      <c r="HEB8" s="28"/>
      <c r="HEC8" s="28"/>
      <c r="HED8" s="28"/>
      <c r="HEE8" s="28"/>
      <c r="HEF8" s="28"/>
      <c r="HEG8" s="28"/>
      <c r="HEH8" s="28"/>
      <c r="HEI8" s="28"/>
      <c r="HEJ8" s="28"/>
      <c r="HEK8" s="28"/>
      <c r="HEL8" s="28"/>
      <c r="HEM8" s="28"/>
      <c r="HEN8" s="28"/>
      <c r="HEO8" s="28"/>
      <c r="HEP8" s="28"/>
      <c r="HEQ8" s="28"/>
      <c r="HER8" s="28"/>
      <c r="HES8" s="28"/>
      <c r="HET8" s="28"/>
      <c r="HEU8" s="28"/>
      <c r="HEV8" s="28"/>
      <c r="HEW8" s="28"/>
      <c r="HEX8" s="28"/>
      <c r="HEY8" s="28"/>
      <c r="HEZ8" s="28"/>
      <c r="HFA8" s="28"/>
      <c r="HFB8" s="28"/>
      <c r="HFC8" s="28"/>
      <c r="HFD8" s="28"/>
      <c r="HFE8" s="28"/>
      <c r="HFF8" s="28"/>
      <c r="HFG8" s="28"/>
      <c r="HFH8" s="28"/>
      <c r="HFI8" s="28"/>
      <c r="HFJ8" s="28"/>
      <c r="HFK8" s="28"/>
      <c r="HFL8" s="28"/>
      <c r="HFM8" s="28"/>
      <c r="HFN8" s="28"/>
      <c r="HFO8" s="28"/>
      <c r="HFP8" s="28"/>
      <c r="HFQ8" s="28"/>
      <c r="HFR8" s="28"/>
      <c r="HFS8" s="28"/>
      <c r="HFT8" s="28"/>
      <c r="HFU8" s="28"/>
      <c r="HFV8" s="28"/>
      <c r="HFW8" s="28"/>
      <c r="HFX8" s="28"/>
      <c r="HFY8" s="28"/>
      <c r="HFZ8" s="28"/>
      <c r="HGA8" s="28"/>
      <c r="HGB8" s="28"/>
      <c r="HGC8" s="28"/>
      <c r="HGD8" s="28"/>
      <c r="HGE8" s="28"/>
      <c r="HGF8" s="28"/>
      <c r="HGG8" s="28"/>
      <c r="HGH8" s="28"/>
      <c r="HGI8" s="28"/>
      <c r="HGJ8" s="28"/>
      <c r="HGK8" s="28"/>
      <c r="HGL8" s="28"/>
      <c r="HGM8" s="28"/>
      <c r="HGN8" s="28"/>
      <c r="HGO8" s="28"/>
      <c r="HGP8" s="28"/>
      <c r="HGQ8" s="28"/>
      <c r="HGR8" s="28"/>
      <c r="HGS8" s="28"/>
      <c r="HGT8" s="28"/>
      <c r="HGU8" s="28"/>
      <c r="HGV8" s="28"/>
      <c r="HGW8" s="28"/>
      <c r="HGX8" s="28"/>
      <c r="HGY8" s="28"/>
      <c r="HGZ8" s="28"/>
      <c r="HHA8" s="28"/>
      <c r="HHB8" s="28"/>
      <c r="HHC8" s="28"/>
      <c r="HHD8" s="28"/>
      <c r="HHE8" s="28"/>
      <c r="HHF8" s="28"/>
      <c r="HHG8" s="28"/>
      <c r="HHH8" s="28"/>
      <c r="HHI8" s="28"/>
      <c r="HHJ8" s="28"/>
      <c r="HHK8" s="28"/>
      <c r="HHL8" s="28"/>
      <c r="HHM8" s="28"/>
      <c r="HHN8" s="28"/>
      <c r="HHO8" s="28"/>
      <c r="HHP8" s="28"/>
      <c r="HHQ8" s="28"/>
      <c r="HHR8" s="28"/>
      <c r="HHS8" s="28"/>
      <c r="HHT8" s="28"/>
      <c r="HHU8" s="28"/>
      <c r="HHV8" s="28"/>
      <c r="HHW8" s="28"/>
      <c r="HHX8" s="28"/>
      <c r="HHY8" s="28"/>
      <c r="HHZ8" s="28"/>
      <c r="HIA8" s="28"/>
      <c r="HIB8" s="28"/>
      <c r="HIC8" s="28"/>
      <c r="HID8" s="28"/>
      <c r="HIE8" s="28"/>
      <c r="HIF8" s="28"/>
      <c r="HIG8" s="28"/>
      <c r="HIH8" s="28"/>
      <c r="HII8" s="28"/>
      <c r="HIJ8" s="28"/>
      <c r="HIK8" s="28"/>
      <c r="HIL8" s="28"/>
      <c r="HIM8" s="28"/>
      <c r="HIN8" s="28"/>
      <c r="HIO8" s="28"/>
      <c r="HIP8" s="28"/>
      <c r="HIQ8" s="28"/>
      <c r="HIR8" s="28"/>
      <c r="HIS8" s="28"/>
      <c r="HIT8" s="28"/>
      <c r="HIU8" s="28"/>
      <c r="HIV8" s="28"/>
      <c r="HIW8" s="28"/>
      <c r="HIX8" s="28"/>
      <c r="HIY8" s="28"/>
      <c r="HIZ8" s="28"/>
      <c r="HJA8" s="28"/>
      <c r="HJB8" s="28"/>
      <c r="HJC8" s="28"/>
      <c r="HJD8" s="28"/>
      <c r="HJE8" s="28"/>
      <c r="HJF8" s="28"/>
      <c r="HJG8" s="28"/>
      <c r="HJH8" s="28"/>
      <c r="HJI8" s="28"/>
      <c r="HJJ8" s="28"/>
      <c r="HJK8" s="28"/>
      <c r="HJL8" s="28"/>
      <c r="HJM8" s="28"/>
      <c r="HJN8" s="28"/>
      <c r="HJO8" s="28"/>
      <c r="HJP8" s="28"/>
      <c r="HJQ8" s="28"/>
      <c r="HJR8" s="28"/>
      <c r="HJS8" s="28"/>
      <c r="HJT8" s="28"/>
      <c r="HJU8" s="28"/>
      <c r="HJV8" s="28"/>
      <c r="HJW8" s="28"/>
      <c r="HJX8" s="28"/>
      <c r="HJY8" s="28"/>
      <c r="HJZ8" s="28"/>
      <c r="HKA8" s="28"/>
      <c r="HKB8" s="28"/>
      <c r="HKC8" s="28"/>
      <c r="HKD8" s="28"/>
      <c r="HKE8" s="28"/>
      <c r="HKF8" s="28"/>
      <c r="HKG8" s="28"/>
      <c r="HKH8" s="28"/>
      <c r="HKI8" s="28"/>
      <c r="HKJ8" s="28"/>
      <c r="HKK8" s="28"/>
      <c r="HKL8" s="28"/>
      <c r="HKM8" s="28"/>
      <c r="HKN8" s="28"/>
      <c r="HKO8" s="28"/>
      <c r="HKP8" s="28"/>
      <c r="HKQ8" s="28"/>
      <c r="HKR8" s="28"/>
      <c r="HKS8" s="28"/>
      <c r="HKT8" s="28"/>
      <c r="HKU8" s="28"/>
      <c r="HKV8" s="28"/>
      <c r="HKW8" s="28"/>
      <c r="HKX8" s="28"/>
      <c r="HKY8" s="28"/>
      <c r="HKZ8" s="28"/>
      <c r="HLA8" s="28"/>
      <c r="HLB8" s="28"/>
      <c r="HLC8" s="28"/>
      <c r="HLD8" s="28"/>
      <c r="HLE8" s="28"/>
      <c r="HLF8" s="28"/>
      <c r="HLG8" s="28"/>
      <c r="HLH8" s="28"/>
      <c r="HLI8" s="28"/>
      <c r="HLJ8" s="28"/>
      <c r="HLK8" s="28"/>
      <c r="HLL8" s="28"/>
      <c r="HLM8" s="28"/>
      <c r="HLN8" s="28"/>
      <c r="HLO8" s="28"/>
      <c r="HLP8" s="28"/>
      <c r="HLQ8" s="28"/>
      <c r="HLR8" s="28"/>
      <c r="HLS8" s="28"/>
      <c r="HLT8" s="28"/>
      <c r="HLU8" s="28"/>
      <c r="HLV8" s="28"/>
      <c r="HLW8" s="28"/>
      <c r="HLX8" s="28"/>
      <c r="HLY8" s="28"/>
      <c r="HLZ8" s="28"/>
      <c r="HMA8" s="28"/>
      <c r="HMB8" s="28"/>
      <c r="HMC8" s="28"/>
      <c r="HMD8" s="28"/>
      <c r="HME8" s="28"/>
      <c r="HMF8" s="28"/>
      <c r="HMG8" s="28"/>
      <c r="HMH8" s="28"/>
      <c r="HMI8" s="28"/>
      <c r="HMJ8" s="28"/>
      <c r="HMK8" s="28"/>
      <c r="HML8" s="28"/>
      <c r="HMM8" s="28"/>
      <c r="HMN8" s="28"/>
      <c r="HMO8" s="28"/>
      <c r="HMP8" s="28"/>
      <c r="HMQ8" s="28"/>
      <c r="HMR8" s="28"/>
      <c r="HMS8" s="28"/>
      <c r="HMT8" s="28"/>
      <c r="HMU8" s="28"/>
      <c r="HMV8" s="28"/>
      <c r="HMW8" s="28"/>
      <c r="HMX8" s="28"/>
      <c r="HMY8" s="28"/>
      <c r="HMZ8" s="28"/>
      <c r="HNA8" s="28"/>
      <c r="HNB8" s="28"/>
      <c r="HNC8" s="28"/>
      <c r="HND8" s="28"/>
      <c r="HNE8" s="28"/>
      <c r="HNF8" s="28"/>
      <c r="HNG8" s="28"/>
      <c r="HNH8" s="28"/>
      <c r="HNI8" s="28"/>
      <c r="HNJ8" s="28"/>
      <c r="HNK8" s="28"/>
      <c r="HNL8" s="28"/>
      <c r="HNM8" s="28"/>
      <c r="HNN8" s="28"/>
      <c r="HNO8" s="28"/>
      <c r="HNP8" s="28"/>
      <c r="HNQ8" s="28"/>
      <c r="HNR8" s="28"/>
      <c r="HNS8" s="28"/>
      <c r="HNT8" s="28"/>
      <c r="HNU8" s="28"/>
      <c r="HNV8" s="28"/>
      <c r="HNW8" s="28"/>
      <c r="HNX8" s="28"/>
      <c r="HNY8" s="28"/>
      <c r="HNZ8" s="28"/>
      <c r="HOA8" s="28"/>
      <c r="HOB8" s="28"/>
      <c r="HOC8" s="28"/>
      <c r="HOD8" s="28"/>
      <c r="HOE8" s="28"/>
      <c r="HOF8" s="28"/>
      <c r="HOG8" s="28"/>
      <c r="HOH8" s="28"/>
      <c r="HOI8" s="28"/>
      <c r="HOJ8" s="28"/>
      <c r="HOK8" s="28"/>
      <c r="HOL8" s="28"/>
      <c r="HOM8" s="28"/>
      <c r="HON8" s="28"/>
      <c r="HOO8" s="28"/>
      <c r="HOP8" s="28"/>
      <c r="HOQ8" s="28"/>
      <c r="HOR8" s="28"/>
      <c r="HOS8" s="28"/>
      <c r="HOT8" s="28"/>
      <c r="HOU8" s="28"/>
      <c r="HOV8" s="28"/>
      <c r="HOW8" s="28"/>
      <c r="HOX8" s="28"/>
      <c r="HOY8" s="28"/>
      <c r="HOZ8" s="28"/>
      <c r="HPA8" s="28"/>
      <c r="HPB8" s="28"/>
      <c r="HPC8" s="28"/>
      <c r="HPD8" s="28"/>
      <c r="HPE8" s="28"/>
      <c r="HPF8" s="28"/>
      <c r="HPG8" s="28"/>
      <c r="HPH8" s="28"/>
      <c r="HPI8" s="28"/>
      <c r="HPJ8" s="28"/>
      <c r="HPK8" s="28"/>
      <c r="HPL8" s="28"/>
      <c r="HPM8" s="28"/>
      <c r="HPN8" s="28"/>
      <c r="HPO8" s="28"/>
      <c r="HPP8" s="28"/>
      <c r="HPQ8" s="28"/>
      <c r="HPR8" s="28"/>
      <c r="HPS8" s="28"/>
      <c r="HPT8" s="28"/>
      <c r="HPU8" s="28"/>
      <c r="HPV8" s="28"/>
      <c r="HPW8" s="28"/>
      <c r="HPX8" s="28"/>
      <c r="HPY8" s="28"/>
      <c r="HPZ8" s="28"/>
      <c r="HQA8" s="28"/>
      <c r="HQB8" s="28"/>
      <c r="HQC8" s="28"/>
      <c r="HQD8" s="28"/>
      <c r="HQE8" s="28"/>
      <c r="HQF8" s="28"/>
      <c r="HQG8" s="28"/>
      <c r="HQH8" s="28"/>
      <c r="HQI8" s="28"/>
      <c r="HQJ8" s="28"/>
      <c r="HQK8" s="28"/>
      <c r="HQL8" s="28"/>
      <c r="HQM8" s="28"/>
      <c r="HQN8" s="28"/>
      <c r="HQO8" s="28"/>
      <c r="HQP8" s="28"/>
      <c r="HQQ8" s="28"/>
      <c r="HQR8" s="28"/>
      <c r="HQS8" s="28"/>
      <c r="HQT8" s="28"/>
      <c r="HQU8" s="28"/>
      <c r="HQV8" s="28"/>
      <c r="HQW8" s="28"/>
      <c r="HQX8" s="28"/>
      <c r="HQY8" s="28"/>
      <c r="HQZ8" s="28"/>
      <c r="HRA8" s="28"/>
      <c r="HRB8" s="28"/>
      <c r="HRC8" s="28"/>
      <c r="HRD8" s="28"/>
      <c r="HRE8" s="28"/>
      <c r="HRF8" s="28"/>
      <c r="HRG8" s="28"/>
      <c r="HRH8" s="28"/>
      <c r="HRI8" s="28"/>
      <c r="HRJ8" s="28"/>
      <c r="HRK8" s="28"/>
      <c r="HRL8" s="28"/>
      <c r="HRM8" s="28"/>
      <c r="HRN8" s="28"/>
      <c r="HRO8" s="28"/>
      <c r="HRP8" s="28"/>
      <c r="HRQ8" s="28"/>
      <c r="HRR8" s="28"/>
      <c r="HRS8" s="28"/>
      <c r="HRT8" s="28"/>
      <c r="HRU8" s="28"/>
      <c r="HRV8" s="28"/>
      <c r="HRW8" s="28"/>
      <c r="HRX8" s="28"/>
      <c r="HRY8" s="28"/>
      <c r="HRZ8" s="28"/>
      <c r="HSA8" s="28"/>
      <c r="HSB8" s="28"/>
      <c r="HSC8" s="28"/>
      <c r="HSD8" s="28"/>
      <c r="HSE8" s="28"/>
      <c r="HSF8" s="28"/>
      <c r="HSG8" s="28"/>
      <c r="HSH8" s="28"/>
      <c r="HSI8" s="28"/>
      <c r="HSJ8" s="28"/>
      <c r="HSK8" s="28"/>
      <c r="HSL8" s="28"/>
      <c r="HSM8" s="28"/>
      <c r="HSN8" s="28"/>
      <c r="HSO8" s="28"/>
      <c r="HSP8" s="28"/>
      <c r="HSQ8" s="28"/>
      <c r="HSR8" s="28"/>
      <c r="HSS8" s="28"/>
      <c r="HST8" s="28"/>
      <c r="HSU8" s="28"/>
      <c r="HSV8" s="28"/>
      <c r="HSW8" s="28"/>
      <c r="HSX8" s="28"/>
      <c r="HSY8" s="28"/>
      <c r="HSZ8" s="28"/>
      <c r="HTA8" s="28"/>
      <c r="HTB8" s="28"/>
      <c r="HTC8" s="28"/>
      <c r="HTD8" s="28"/>
      <c r="HTE8" s="28"/>
      <c r="HTF8" s="28"/>
      <c r="HTG8" s="28"/>
      <c r="HTH8" s="28"/>
      <c r="HTI8" s="28"/>
      <c r="HTJ8" s="28"/>
      <c r="HTK8" s="28"/>
      <c r="HTL8" s="28"/>
      <c r="HTM8" s="28"/>
      <c r="HTN8" s="28"/>
      <c r="HTO8" s="28"/>
      <c r="HTP8" s="28"/>
      <c r="HTQ8" s="28"/>
      <c r="HTR8" s="28"/>
      <c r="HTS8" s="28"/>
      <c r="HTT8" s="28"/>
      <c r="HTU8" s="28"/>
      <c r="HTV8" s="28"/>
      <c r="HTW8" s="28"/>
      <c r="HTX8" s="28"/>
      <c r="HTY8" s="28"/>
      <c r="HTZ8" s="28"/>
      <c r="HUA8" s="28"/>
      <c r="HUB8" s="28"/>
      <c r="HUC8" s="28"/>
      <c r="HUD8" s="28"/>
      <c r="HUE8" s="28"/>
      <c r="HUF8" s="28"/>
      <c r="HUG8" s="28"/>
      <c r="HUH8" s="28"/>
      <c r="HUI8" s="28"/>
      <c r="HUJ8" s="28"/>
      <c r="HUK8" s="28"/>
      <c r="HUL8" s="28"/>
      <c r="HUM8" s="28"/>
      <c r="HUN8" s="28"/>
      <c r="HUO8" s="28"/>
      <c r="HUP8" s="28"/>
      <c r="HUQ8" s="28"/>
      <c r="HUR8" s="28"/>
      <c r="HUS8" s="28"/>
      <c r="HUT8" s="28"/>
      <c r="HUU8" s="28"/>
      <c r="HUV8" s="28"/>
      <c r="HUW8" s="28"/>
      <c r="HUX8" s="28"/>
      <c r="HUY8" s="28"/>
      <c r="HUZ8" s="28"/>
      <c r="HVA8" s="28"/>
      <c r="HVB8" s="28"/>
      <c r="HVC8" s="28"/>
      <c r="HVD8" s="28"/>
      <c r="HVE8" s="28"/>
      <c r="HVF8" s="28"/>
      <c r="HVG8" s="28"/>
      <c r="HVH8" s="28"/>
      <c r="HVI8" s="28"/>
      <c r="HVJ8" s="28"/>
      <c r="HVK8" s="28"/>
      <c r="HVL8" s="28"/>
      <c r="HVM8" s="28"/>
      <c r="HVN8" s="28"/>
      <c r="HVO8" s="28"/>
      <c r="HVP8" s="28"/>
      <c r="HVQ8" s="28"/>
      <c r="HVR8" s="28"/>
      <c r="HVS8" s="28"/>
      <c r="HVT8" s="28"/>
      <c r="HVU8" s="28"/>
      <c r="HVV8" s="28"/>
      <c r="HVW8" s="28"/>
      <c r="HVX8" s="28"/>
      <c r="HVY8" s="28"/>
      <c r="HVZ8" s="28"/>
      <c r="HWA8" s="28"/>
      <c r="HWB8" s="28"/>
      <c r="HWC8" s="28"/>
      <c r="HWD8" s="28"/>
      <c r="HWE8" s="28"/>
      <c r="HWF8" s="28"/>
      <c r="HWG8" s="28"/>
      <c r="HWH8" s="28"/>
      <c r="HWI8" s="28"/>
      <c r="HWJ8" s="28"/>
      <c r="HWK8" s="28"/>
      <c r="HWL8" s="28"/>
      <c r="HWM8" s="28"/>
      <c r="HWN8" s="28"/>
      <c r="HWO8" s="28"/>
      <c r="HWP8" s="28"/>
      <c r="HWQ8" s="28"/>
      <c r="HWR8" s="28"/>
      <c r="HWS8" s="28"/>
      <c r="HWT8" s="28"/>
      <c r="HWU8" s="28"/>
      <c r="HWV8" s="28"/>
      <c r="HWW8" s="28"/>
      <c r="HWX8" s="28"/>
      <c r="HWY8" s="28"/>
      <c r="HWZ8" s="28"/>
      <c r="HXA8" s="28"/>
      <c r="HXB8" s="28"/>
      <c r="HXC8" s="28"/>
      <c r="HXD8" s="28"/>
      <c r="HXE8" s="28"/>
      <c r="HXF8" s="28"/>
      <c r="HXG8" s="28"/>
      <c r="HXH8" s="28"/>
      <c r="HXI8" s="28"/>
      <c r="HXJ8" s="28"/>
      <c r="HXK8" s="28"/>
      <c r="HXL8" s="28"/>
      <c r="HXM8" s="28"/>
      <c r="HXN8" s="28"/>
      <c r="HXO8" s="28"/>
      <c r="HXP8" s="28"/>
      <c r="HXQ8" s="28"/>
      <c r="HXR8" s="28"/>
      <c r="HXS8" s="28"/>
      <c r="HXT8" s="28"/>
      <c r="HXU8" s="28"/>
      <c r="HXV8" s="28"/>
      <c r="HXW8" s="28"/>
      <c r="HXX8" s="28"/>
      <c r="HXY8" s="28"/>
      <c r="HXZ8" s="28"/>
      <c r="HYA8" s="28"/>
      <c r="HYB8" s="28"/>
      <c r="HYC8" s="28"/>
      <c r="HYD8" s="28"/>
      <c r="HYE8" s="28"/>
      <c r="HYF8" s="28"/>
      <c r="HYG8" s="28"/>
      <c r="HYH8" s="28"/>
      <c r="HYI8" s="28"/>
      <c r="HYJ8" s="28"/>
      <c r="HYK8" s="28"/>
      <c r="HYL8" s="28"/>
      <c r="HYM8" s="28"/>
      <c r="HYN8" s="28"/>
      <c r="HYO8" s="28"/>
      <c r="HYP8" s="28"/>
      <c r="HYQ8" s="28"/>
      <c r="HYR8" s="28"/>
      <c r="HYS8" s="28"/>
      <c r="HYT8" s="28"/>
      <c r="HYU8" s="28"/>
      <c r="HYV8" s="28"/>
      <c r="HYW8" s="28"/>
      <c r="HYX8" s="28"/>
      <c r="HYY8" s="28"/>
      <c r="HYZ8" s="28"/>
      <c r="HZA8" s="28"/>
      <c r="HZB8" s="28"/>
      <c r="HZC8" s="28"/>
      <c r="HZD8" s="28"/>
      <c r="HZE8" s="28"/>
      <c r="HZF8" s="28"/>
      <c r="HZG8" s="28"/>
      <c r="HZH8" s="28"/>
      <c r="HZI8" s="28"/>
      <c r="HZJ8" s="28"/>
      <c r="HZK8" s="28"/>
      <c r="HZL8" s="28"/>
      <c r="HZM8" s="28"/>
      <c r="HZN8" s="28"/>
      <c r="HZO8" s="28"/>
      <c r="HZP8" s="28"/>
      <c r="HZQ8" s="28"/>
      <c r="HZR8" s="28"/>
      <c r="HZS8" s="28"/>
      <c r="HZT8" s="28"/>
      <c r="HZU8" s="28"/>
      <c r="HZV8" s="28"/>
      <c r="HZW8" s="28"/>
      <c r="HZX8" s="28"/>
      <c r="HZY8" s="28"/>
      <c r="HZZ8" s="28"/>
      <c r="IAA8" s="28"/>
      <c r="IAB8" s="28"/>
      <c r="IAC8" s="28"/>
      <c r="IAD8" s="28"/>
      <c r="IAE8" s="28"/>
      <c r="IAF8" s="28"/>
      <c r="IAG8" s="28"/>
      <c r="IAH8" s="28"/>
      <c r="IAI8" s="28"/>
      <c r="IAJ8" s="28"/>
      <c r="IAK8" s="28"/>
      <c r="IAL8" s="28"/>
      <c r="IAM8" s="28"/>
      <c r="IAN8" s="28"/>
      <c r="IAO8" s="28"/>
      <c r="IAP8" s="28"/>
      <c r="IAQ8" s="28"/>
      <c r="IAR8" s="28"/>
      <c r="IAS8" s="28"/>
      <c r="IAT8" s="28"/>
      <c r="IAU8" s="28"/>
      <c r="IAV8" s="28"/>
      <c r="IAW8" s="28"/>
      <c r="IAX8" s="28"/>
      <c r="IAY8" s="28"/>
      <c r="IAZ8" s="28"/>
      <c r="IBA8" s="28"/>
      <c r="IBB8" s="28"/>
      <c r="IBC8" s="28"/>
      <c r="IBD8" s="28"/>
      <c r="IBE8" s="28"/>
      <c r="IBF8" s="28"/>
      <c r="IBG8" s="28"/>
      <c r="IBH8" s="28"/>
      <c r="IBI8" s="28"/>
      <c r="IBJ8" s="28"/>
      <c r="IBK8" s="28"/>
      <c r="IBL8" s="28"/>
      <c r="IBM8" s="28"/>
      <c r="IBN8" s="28"/>
      <c r="IBO8" s="28"/>
      <c r="IBP8" s="28"/>
      <c r="IBQ8" s="28"/>
      <c r="IBR8" s="28"/>
      <c r="IBS8" s="28"/>
      <c r="IBT8" s="28"/>
      <c r="IBU8" s="28"/>
      <c r="IBV8" s="28"/>
      <c r="IBW8" s="28"/>
      <c r="IBX8" s="28"/>
      <c r="IBY8" s="28"/>
      <c r="IBZ8" s="28"/>
      <c r="ICA8" s="28"/>
      <c r="ICB8" s="28"/>
      <c r="ICC8" s="28"/>
      <c r="ICD8" s="28"/>
      <c r="ICE8" s="28"/>
      <c r="ICF8" s="28"/>
      <c r="ICG8" s="28"/>
      <c r="ICH8" s="28"/>
      <c r="ICI8" s="28"/>
      <c r="ICJ8" s="28"/>
      <c r="ICK8" s="28"/>
      <c r="ICL8" s="28"/>
      <c r="ICM8" s="28"/>
      <c r="ICN8" s="28"/>
      <c r="ICO8" s="28"/>
      <c r="ICP8" s="28"/>
      <c r="ICQ8" s="28"/>
      <c r="ICR8" s="28"/>
      <c r="ICS8" s="28"/>
      <c r="ICT8" s="28"/>
      <c r="ICU8" s="28"/>
      <c r="ICV8" s="28"/>
      <c r="ICW8" s="28"/>
      <c r="ICX8" s="28"/>
      <c r="ICY8" s="28"/>
      <c r="ICZ8" s="28"/>
      <c r="IDA8" s="28"/>
      <c r="IDB8" s="28"/>
      <c r="IDC8" s="28"/>
      <c r="IDD8" s="28"/>
      <c r="IDE8" s="28"/>
      <c r="IDF8" s="28"/>
      <c r="IDG8" s="28"/>
      <c r="IDH8" s="28"/>
      <c r="IDI8" s="28"/>
      <c r="IDJ8" s="28"/>
      <c r="IDK8" s="28"/>
      <c r="IDL8" s="28"/>
      <c r="IDM8" s="28"/>
      <c r="IDN8" s="28"/>
      <c r="IDO8" s="28"/>
      <c r="IDP8" s="28"/>
      <c r="IDQ8" s="28"/>
      <c r="IDR8" s="28"/>
      <c r="IDS8" s="28"/>
      <c r="IDT8" s="28"/>
      <c r="IDU8" s="28"/>
      <c r="IDV8" s="28"/>
      <c r="IDW8" s="28"/>
      <c r="IDX8" s="28"/>
      <c r="IDY8" s="28"/>
      <c r="IDZ8" s="28"/>
      <c r="IEA8" s="28"/>
      <c r="IEB8" s="28"/>
      <c r="IEC8" s="28"/>
      <c r="IED8" s="28"/>
      <c r="IEE8" s="28"/>
      <c r="IEF8" s="28"/>
      <c r="IEG8" s="28"/>
      <c r="IEH8" s="28"/>
      <c r="IEI8" s="28"/>
      <c r="IEJ8" s="28"/>
      <c r="IEK8" s="28"/>
      <c r="IEL8" s="28"/>
      <c r="IEM8" s="28"/>
      <c r="IEN8" s="28"/>
      <c r="IEO8" s="28"/>
      <c r="IEP8" s="28"/>
      <c r="IEQ8" s="28"/>
      <c r="IER8" s="28"/>
      <c r="IES8" s="28"/>
      <c r="IET8" s="28"/>
      <c r="IEU8" s="28"/>
      <c r="IEV8" s="28"/>
      <c r="IEW8" s="28"/>
      <c r="IEX8" s="28"/>
      <c r="IEY8" s="28"/>
      <c r="IEZ8" s="28"/>
      <c r="IFA8" s="28"/>
      <c r="IFB8" s="28"/>
      <c r="IFC8" s="28"/>
      <c r="IFD8" s="28"/>
      <c r="IFE8" s="28"/>
      <c r="IFF8" s="28"/>
      <c r="IFG8" s="28"/>
      <c r="IFH8" s="28"/>
      <c r="IFI8" s="28"/>
      <c r="IFJ8" s="28"/>
      <c r="IFK8" s="28"/>
      <c r="IFL8" s="28"/>
      <c r="IFM8" s="28"/>
      <c r="IFN8" s="28"/>
      <c r="IFO8" s="28"/>
      <c r="IFP8" s="28"/>
      <c r="IFQ8" s="28"/>
      <c r="IFR8" s="28"/>
      <c r="IFS8" s="28"/>
      <c r="IFT8" s="28"/>
      <c r="IFU8" s="28"/>
      <c r="IFV8" s="28"/>
      <c r="IFW8" s="28"/>
      <c r="IFX8" s="28"/>
      <c r="IFY8" s="28"/>
      <c r="IFZ8" s="28"/>
      <c r="IGA8" s="28"/>
      <c r="IGB8" s="28"/>
      <c r="IGC8" s="28"/>
      <c r="IGD8" s="28"/>
      <c r="IGE8" s="28"/>
      <c r="IGF8" s="28"/>
      <c r="IGG8" s="28"/>
      <c r="IGH8" s="28"/>
      <c r="IGI8" s="28"/>
      <c r="IGJ8" s="28"/>
      <c r="IGK8" s="28"/>
      <c r="IGL8" s="28"/>
      <c r="IGM8" s="28"/>
      <c r="IGN8" s="28"/>
      <c r="IGO8" s="28"/>
      <c r="IGP8" s="28"/>
      <c r="IGQ8" s="28"/>
      <c r="IGR8" s="28"/>
      <c r="IGS8" s="28"/>
      <c r="IGT8" s="28"/>
      <c r="IGU8" s="28"/>
      <c r="IGV8" s="28"/>
      <c r="IGW8" s="28"/>
      <c r="IGX8" s="28"/>
      <c r="IGY8" s="28"/>
      <c r="IGZ8" s="28"/>
      <c r="IHA8" s="28"/>
      <c r="IHB8" s="28"/>
      <c r="IHC8" s="28"/>
      <c r="IHD8" s="28"/>
      <c r="IHE8" s="28"/>
      <c r="IHF8" s="28"/>
      <c r="IHG8" s="28"/>
      <c r="IHH8" s="28"/>
      <c r="IHI8" s="28"/>
      <c r="IHJ8" s="28"/>
      <c r="IHK8" s="28"/>
      <c r="IHL8" s="28"/>
      <c r="IHM8" s="28"/>
      <c r="IHN8" s="28"/>
      <c r="IHO8" s="28"/>
      <c r="IHP8" s="28"/>
      <c r="IHQ8" s="28"/>
      <c r="IHR8" s="28"/>
      <c r="IHS8" s="28"/>
      <c r="IHT8" s="28"/>
      <c r="IHU8" s="28"/>
      <c r="IHV8" s="28"/>
      <c r="IHW8" s="28"/>
      <c r="IHX8" s="28"/>
      <c r="IHY8" s="28"/>
      <c r="IHZ8" s="28"/>
      <c r="IIA8" s="28"/>
      <c r="IIB8" s="28"/>
      <c r="IIC8" s="28"/>
      <c r="IID8" s="28"/>
      <c r="IIE8" s="28"/>
      <c r="IIF8" s="28"/>
      <c r="IIG8" s="28"/>
      <c r="IIH8" s="28"/>
      <c r="III8" s="28"/>
      <c r="IIJ8" s="28"/>
      <c r="IIK8" s="28"/>
      <c r="IIL8" s="28"/>
      <c r="IIM8" s="28"/>
      <c r="IIN8" s="28"/>
      <c r="IIO8" s="28"/>
      <c r="IIP8" s="28"/>
      <c r="IIQ8" s="28"/>
      <c r="IIR8" s="28"/>
      <c r="IIS8" s="28"/>
      <c r="IIT8" s="28"/>
      <c r="IIU8" s="28"/>
      <c r="IIV8" s="28"/>
      <c r="IIW8" s="28"/>
      <c r="IIX8" s="28"/>
      <c r="IIY8" s="28"/>
      <c r="IIZ8" s="28"/>
      <c r="IJA8" s="28"/>
      <c r="IJB8" s="28"/>
      <c r="IJC8" s="28"/>
      <c r="IJD8" s="28"/>
      <c r="IJE8" s="28"/>
      <c r="IJF8" s="28"/>
      <c r="IJG8" s="28"/>
      <c r="IJH8" s="28"/>
      <c r="IJI8" s="28"/>
      <c r="IJJ8" s="28"/>
      <c r="IJK8" s="28"/>
      <c r="IJL8" s="28"/>
      <c r="IJM8" s="28"/>
      <c r="IJN8" s="28"/>
      <c r="IJO8" s="28"/>
      <c r="IJP8" s="28"/>
      <c r="IJQ8" s="28"/>
      <c r="IJR8" s="28"/>
      <c r="IJS8" s="28"/>
      <c r="IJT8" s="28"/>
      <c r="IJU8" s="28"/>
      <c r="IJV8" s="28"/>
      <c r="IJW8" s="28"/>
      <c r="IJX8" s="28"/>
      <c r="IJY8" s="28"/>
      <c r="IJZ8" s="28"/>
      <c r="IKA8" s="28"/>
      <c r="IKB8" s="28"/>
      <c r="IKC8" s="28"/>
      <c r="IKD8" s="28"/>
      <c r="IKE8" s="28"/>
      <c r="IKF8" s="28"/>
      <c r="IKG8" s="28"/>
      <c r="IKH8" s="28"/>
      <c r="IKI8" s="28"/>
      <c r="IKJ8" s="28"/>
      <c r="IKK8" s="28"/>
      <c r="IKL8" s="28"/>
      <c r="IKM8" s="28"/>
      <c r="IKN8" s="28"/>
      <c r="IKO8" s="28"/>
      <c r="IKP8" s="28"/>
      <c r="IKQ8" s="28"/>
      <c r="IKR8" s="28"/>
      <c r="IKS8" s="28"/>
      <c r="IKT8" s="28"/>
      <c r="IKU8" s="28"/>
      <c r="IKV8" s="28"/>
      <c r="IKW8" s="28"/>
      <c r="IKX8" s="28"/>
      <c r="IKY8" s="28"/>
      <c r="IKZ8" s="28"/>
      <c r="ILA8" s="28"/>
      <c r="ILB8" s="28"/>
      <c r="ILC8" s="28"/>
      <c r="ILD8" s="28"/>
      <c r="ILE8" s="28"/>
      <c r="ILF8" s="28"/>
      <c r="ILG8" s="28"/>
      <c r="ILH8" s="28"/>
      <c r="ILI8" s="28"/>
      <c r="ILJ8" s="28"/>
      <c r="ILK8" s="28"/>
      <c r="ILL8" s="28"/>
      <c r="ILM8" s="28"/>
      <c r="ILN8" s="28"/>
      <c r="ILO8" s="28"/>
      <c r="ILP8" s="28"/>
      <c r="ILQ8" s="28"/>
      <c r="ILR8" s="28"/>
      <c r="ILS8" s="28"/>
      <c r="ILT8" s="28"/>
      <c r="ILU8" s="28"/>
      <c r="ILV8" s="28"/>
      <c r="ILW8" s="28"/>
      <c r="ILX8" s="28"/>
      <c r="ILY8" s="28"/>
      <c r="ILZ8" s="28"/>
      <c r="IMA8" s="28"/>
      <c r="IMB8" s="28"/>
      <c r="IMC8" s="28"/>
      <c r="IMD8" s="28"/>
      <c r="IME8" s="28"/>
      <c r="IMF8" s="28"/>
      <c r="IMG8" s="28"/>
      <c r="IMH8" s="28"/>
      <c r="IMI8" s="28"/>
      <c r="IMJ8" s="28"/>
      <c r="IMK8" s="28"/>
      <c r="IML8" s="28"/>
      <c r="IMM8" s="28"/>
      <c r="IMN8" s="28"/>
      <c r="IMO8" s="28"/>
      <c r="IMP8" s="28"/>
      <c r="IMQ8" s="28"/>
      <c r="IMR8" s="28"/>
      <c r="IMS8" s="28"/>
      <c r="IMT8" s="28"/>
      <c r="IMU8" s="28"/>
      <c r="IMV8" s="28"/>
      <c r="IMW8" s="28"/>
      <c r="IMX8" s="28"/>
      <c r="IMY8" s="28"/>
      <c r="IMZ8" s="28"/>
      <c r="INA8" s="28"/>
      <c r="INB8" s="28"/>
      <c r="INC8" s="28"/>
      <c r="IND8" s="28"/>
      <c r="INE8" s="28"/>
      <c r="INF8" s="28"/>
      <c r="ING8" s="28"/>
      <c r="INH8" s="28"/>
      <c r="INI8" s="28"/>
      <c r="INJ8" s="28"/>
      <c r="INK8" s="28"/>
      <c r="INL8" s="28"/>
      <c r="INM8" s="28"/>
      <c r="INN8" s="28"/>
      <c r="INO8" s="28"/>
      <c r="INP8" s="28"/>
      <c r="INQ8" s="28"/>
      <c r="INR8" s="28"/>
      <c r="INS8" s="28"/>
      <c r="INT8" s="28"/>
      <c r="INU8" s="28"/>
      <c r="INV8" s="28"/>
      <c r="INW8" s="28"/>
      <c r="INX8" s="28"/>
      <c r="INY8" s="28"/>
      <c r="INZ8" s="28"/>
      <c r="IOA8" s="28"/>
      <c r="IOB8" s="28"/>
      <c r="IOC8" s="28"/>
      <c r="IOD8" s="28"/>
      <c r="IOE8" s="28"/>
      <c r="IOF8" s="28"/>
      <c r="IOG8" s="28"/>
      <c r="IOH8" s="28"/>
      <c r="IOI8" s="28"/>
      <c r="IOJ8" s="28"/>
      <c r="IOK8" s="28"/>
      <c r="IOL8" s="28"/>
      <c r="IOM8" s="28"/>
      <c r="ION8" s="28"/>
      <c r="IOO8" s="28"/>
      <c r="IOP8" s="28"/>
      <c r="IOQ8" s="28"/>
      <c r="IOR8" s="28"/>
      <c r="IOS8" s="28"/>
      <c r="IOT8" s="28"/>
      <c r="IOU8" s="28"/>
      <c r="IOV8" s="28"/>
      <c r="IOW8" s="28"/>
      <c r="IOX8" s="28"/>
      <c r="IOY8" s="28"/>
      <c r="IOZ8" s="28"/>
      <c r="IPA8" s="28"/>
      <c r="IPB8" s="28"/>
      <c r="IPC8" s="28"/>
      <c r="IPD8" s="28"/>
      <c r="IPE8" s="28"/>
      <c r="IPF8" s="28"/>
      <c r="IPG8" s="28"/>
      <c r="IPH8" s="28"/>
      <c r="IPI8" s="28"/>
      <c r="IPJ8" s="28"/>
      <c r="IPK8" s="28"/>
      <c r="IPL8" s="28"/>
      <c r="IPM8" s="28"/>
      <c r="IPN8" s="28"/>
      <c r="IPO8" s="28"/>
      <c r="IPP8" s="28"/>
      <c r="IPQ8" s="28"/>
      <c r="IPR8" s="28"/>
      <c r="IPS8" s="28"/>
      <c r="IPT8" s="28"/>
      <c r="IPU8" s="28"/>
      <c r="IPV8" s="28"/>
      <c r="IPW8" s="28"/>
      <c r="IPX8" s="28"/>
      <c r="IPY8" s="28"/>
      <c r="IPZ8" s="28"/>
      <c r="IQA8" s="28"/>
      <c r="IQB8" s="28"/>
      <c r="IQC8" s="28"/>
      <c r="IQD8" s="28"/>
      <c r="IQE8" s="28"/>
      <c r="IQF8" s="28"/>
      <c r="IQG8" s="28"/>
      <c r="IQH8" s="28"/>
      <c r="IQI8" s="28"/>
      <c r="IQJ8" s="28"/>
      <c r="IQK8" s="28"/>
      <c r="IQL8" s="28"/>
      <c r="IQM8" s="28"/>
      <c r="IQN8" s="28"/>
      <c r="IQO8" s="28"/>
      <c r="IQP8" s="28"/>
      <c r="IQQ8" s="28"/>
      <c r="IQR8" s="28"/>
      <c r="IQS8" s="28"/>
      <c r="IQT8" s="28"/>
      <c r="IQU8" s="28"/>
      <c r="IQV8" s="28"/>
      <c r="IQW8" s="28"/>
      <c r="IQX8" s="28"/>
      <c r="IQY8" s="28"/>
      <c r="IQZ8" s="28"/>
      <c r="IRA8" s="28"/>
      <c r="IRB8" s="28"/>
      <c r="IRC8" s="28"/>
      <c r="IRD8" s="28"/>
      <c r="IRE8" s="28"/>
      <c r="IRF8" s="28"/>
      <c r="IRG8" s="28"/>
      <c r="IRH8" s="28"/>
      <c r="IRI8" s="28"/>
      <c r="IRJ8" s="28"/>
      <c r="IRK8" s="28"/>
      <c r="IRL8" s="28"/>
      <c r="IRM8" s="28"/>
      <c r="IRN8" s="28"/>
      <c r="IRO8" s="28"/>
      <c r="IRP8" s="28"/>
      <c r="IRQ8" s="28"/>
      <c r="IRR8" s="28"/>
      <c r="IRS8" s="28"/>
      <c r="IRT8" s="28"/>
      <c r="IRU8" s="28"/>
      <c r="IRV8" s="28"/>
      <c r="IRW8" s="28"/>
      <c r="IRX8" s="28"/>
      <c r="IRY8" s="28"/>
      <c r="IRZ8" s="28"/>
      <c r="ISA8" s="28"/>
      <c r="ISB8" s="28"/>
      <c r="ISC8" s="28"/>
      <c r="ISD8" s="28"/>
      <c r="ISE8" s="28"/>
      <c r="ISF8" s="28"/>
      <c r="ISG8" s="28"/>
      <c r="ISH8" s="28"/>
      <c r="ISI8" s="28"/>
      <c r="ISJ8" s="28"/>
      <c r="ISK8" s="28"/>
      <c r="ISL8" s="28"/>
      <c r="ISM8" s="28"/>
      <c r="ISN8" s="28"/>
      <c r="ISO8" s="28"/>
      <c r="ISP8" s="28"/>
      <c r="ISQ8" s="28"/>
      <c r="ISR8" s="28"/>
      <c r="ISS8" s="28"/>
      <c r="IST8" s="28"/>
      <c r="ISU8" s="28"/>
      <c r="ISV8" s="28"/>
      <c r="ISW8" s="28"/>
      <c r="ISX8" s="28"/>
      <c r="ISY8" s="28"/>
      <c r="ISZ8" s="28"/>
      <c r="ITA8" s="28"/>
      <c r="ITB8" s="28"/>
      <c r="ITC8" s="28"/>
      <c r="ITD8" s="28"/>
      <c r="ITE8" s="28"/>
      <c r="ITF8" s="28"/>
      <c r="ITG8" s="28"/>
      <c r="ITH8" s="28"/>
      <c r="ITI8" s="28"/>
      <c r="ITJ8" s="28"/>
      <c r="ITK8" s="28"/>
      <c r="ITL8" s="28"/>
      <c r="ITM8" s="28"/>
      <c r="ITN8" s="28"/>
      <c r="ITO8" s="28"/>
      <c r="ITP8" s="28"/>
      <c r="ITQ8" s="28"/>
      <c r="ITR8" s="28"/>
      <c r="ITS8" s="28"/>
      <c r="ITT8" s="28"/>
      <c r="ITU8" s="28"/>
      <c r="ITV8" s="28"/>
      <c r="ITW8" s="28"/>
      <c r="ITX8" s="28"/>
      <c r="ITY8" s="28"/>
      <c r="ITZ8" s="28"/>
      <c r="IUA8" s="28"/>
      <c r="IUB8" s="28"/>
      <c r="IUC8" s="28"/>
      <c r="IUD8" s="28"/>
      <c r="IUE8" s="28"/>
      <c r="IUF8" s="28"/>
      <c r="IUG8" s="28"/>
      <c r="IUH8" s="28"/>
      <c r="IUI8" s="28"/>
      <c r="IUJ8" s="28"/>
      <c r="IUK8" s="28"/>
      <c r="IUL8" s="28"/>
      <c r="IUM8" s="28"/>
      <c r="IUN8" s="28"/>
      <c r="IUO8" s="28"/>
      <c r="IUP8" s="28"/>
      <c r="IUQ8" s="28"/>
      <c r="IUR8" s="28"/>
      <c r="IUS8" s="28"/>
      <c r="IUT8" s="28"/>
      <c r="IUU8" s="28"/>
      <c r="IUV8" s="28"/>
      <c r="IUW8" s="28"/>
      <c r="IUX8" s="28"/>
      <c r="IUY8" s="28"/>
      <c r="IUZ8" s="28"/>
      <c r="IVA8" s="28"/>
      <c r="IVB8" s="28"/>
      <c r="IVC8" s="28"/>
      <c r="IVD8" s="28"/>
      <c r="IVE8" s="28"/>
      <c r="IVF8" s="28"/>
      <c r="IVG8" s="28"/>
      <c r="IVH8" s="28"/>
      <c r="IVI8" s="28"/>
      <c r="IVJ8" s="28"/>
      <c r="IVK8" s="28"/>
      <c r="IVL8" s="28"/>
      <c r="IVM8" s="28"/>
      <c r="IVN8" s="28"/>
      <c r="IVO8" s="28"/>
      <c r="IVP8" s="28"/>
      <c r="IVQ8" s="28"/>
      <c r="IVR8" s="28"/>
      <c r="IVS8" s="28"/>
      <c r="IVT8" s="28"/>
      <c r="IVU8" s="28"/>
      <c r="IVV8" s="28"/>
      <c r="IVW8" s="28"/>
      <c r="IVX8" s="28"/>
      <c r="IVY8" s="28"/>
      <c r="IVZ8" s="28"/>
      <c r="IWA8" s="28"/>
      <c r="IWB8" s="28"/>
      <c r="IWC8" s="28"/>
      <c r="IWD8" s="28"/>
      <c r="IWE8" s="28"/>
      <c r="IWF8" s="28"/>
      <c r="IWG8" s="28"/>
      <c r="IWH8" s="28"/>
      <c r="IWI8" s="28"/>
      <c r="IWJ8" s="28"/>
      <c r="IWK8" s="28"/>
      <c r="IWL8" s="28"/>
      <c r="IWM8" s="28"/>
      <c r="IWN8" s="28"/>
      <c r="IWO8" s="28"/>
      <c r="IWP8" s="28"/>
      <c r="IWQ8" s="28"/>
      <c r="IWR8" s="28"/>
      <c r="IWS8" s="28"/>
      <c r="IWT8" s="28"/>
      <c r="IWU8" s="28"/>
      <c r="IWV8" s="28"/>
      <c r="IWW8" s="28"/>
      <c r="IWX8" s="28"/>
      <c r="IWY8" s="28"/>
      <c r="IWZ8" s="28"/>
      <c r="IXA8" s="28"/>
      <c r="IXB8" s="28"/>
      <c r="IXC8" s="28"/>
      <c r="IXD8" s="28"/>
      <c r="IXE8" s="28"/>
      <c r="IXF8" s="28"/>
      <c r="IXG8" s="28"/>
      <c r="IXH8" s="28"/>
      <c r="IXI8" s="28"/>
      <c r="IXJ8" s="28"/>
      <c r="IXK8" s="28"/>
      <c r="IXL8" s="28"/>
      <c r="IXM8" s="28"/>
      <c r="IXN8" s="28"/>
      <c r="IXO8" s="28"/>
      <c r="IXP8" s="28"/>
      <c r="IXQ8" s="28"/>
      <c r="IXR8" s="28"/>
      <c r="IXS8" s="28"/>
      <c r="IXT8" s="28"/>
      <c r="IXU8" s="28"/>
      <c r="IXV8" s="28"/>
      <c r="IXW8" s="28"/>
      <c r="IXX8" s="28"/>
      <c r="IXY8" s="28"/>
      <c r="IXZ8" s="28"/>
      <c r="IYA8" s="28"/>
      <c r="IYB8" s="28"/>
      <c r="IYC8" s="28"/>
      <c r="IYD8" s="28"/>
      <c r="IYE8" s="28"/>
      <c r="IYF8" s="28"/>
      <c r="IYG8" s="28"/>
      <c r="IYH8" s="28"/>
      <c r="IYI8" s="28"/>
      <c r="IYJ8" s="28"/>
      <c r="IYK8" s="28"/>
      <c r="IYL8" s="28"/>
      <c r="IYM8" s="28"/>
      <c r="IYN8" s="28"/>
      <c r="IYO8" s="28"/>
      <c r="IYP8" s="28"/>
      <c r="IYQ8" s="28"/>
      <c r="IYR8" s="28"/>
      <c r="IYS8" s="28"/>
      <c r="IYT8" s="28"/>
      <c r="IYU8" s="28"/>
      <c r="IYV8" s="28"/>
      <c r="IYW8" s="28"/>
      <c r="IYX8" s="28"/>
      <c r="IYY8" s="28"/>
      <c r="IYZ8" s="28"/>
      <c r="IZA8" s="28"/>
      <c r="IZB8" s="28"/>
      <c r="IZC8" s="28"/>
      <c r="IZD8" s="28"/>
      <c r="IZE8" s="28"/>
      <c r="IZF8" s="28"/>
      <c r="IZG8" s="28"/>
      <c r="IZH8" s="28"/>
      <c r="IZI8" s="28"/>
      <c r="IZJ8" s="28"/>
      <c r="IZK8" s="28"/>
      <c r="IZL8" s="28"/>
      <c r="IZM8" s="28"/>
      <c r="IZN8" s="28"/>
      <c r="IZO8" s="28"/>
      <c r="IZP8" s="28"/>
      <c r="IZQ8" s="28"/>
      <c r="IZR8" s="28"/>
      <c r="IZS8" s="28"/>
      <c r="IZT8" s="28"/>
      <c r="IZU8" s="28"/>
      <c r="IZV8" s="28"/>
      <c r="IZW8" s="28"/>
      <c r="IZX8" s="28"/>
      <c r="IZY8" s="28"/>
      <c r="IZZ8" s="28"/>
      <c r="JAA8" s="28"/>
      <c r="JAB8" s="28"/>
      <c r="JAC8" s="28"/>
      <c r="JAD8" s="28"/>
      <c r="JAE8" s="28"/>
      <c r="JAF8" s="28"/>
      <c r="JAG8" s="28"/>
      <c r="JAH8" s="28"/>
      <c r="JAI8" s="28"/>
      <c r="JAJ8" s="28"/>
      <c r="JAK8" s="28"/>
      <c r="JAL8" s="28"/>
      <c r="JAM8" s="28"/>
      <c r="JAN8" s="28"/>
      <c r="JAO8" s="28"/>
      <c r="JAP8" s="28"/>
      <c r="JAQ8" s="28"/>
      <c r="JAR8" s="28"/>
      <c r="JAS8" s="28"/>
      <c r="JAT8" s="28"/>
      <c r="JAU8" s="28"/>
      <c r="JAV8" s="28"/>
      <c r="JAW8" s="28"/>
      <c r="JAX8" s="28"/>
      <c r="JAY8" s="28"/>
      <c r="JAZ8" s="28"/>
      <c r="JBA8" s="28"/>
      <c r="JBB8" s="28"/>
      <c r="JBC8" s="28"/>
      <c r="JBD8" s="28"/>
      <c r="JBE8" s="28"/>
      <c r="JBF8" s="28"/>
      <c r="JBG8" s="28"/>
      <c r="JBH8" s="28"/>
      <c r="JBI8" s="28"/>
      <c r="JBJ8" s="28"/>
      <c r="JBK8" s="28"/>
      <c r="JBL8" s="28"/>
      <c r="JBM8" s="28"/>
      <c r="JBN8" s="28"/>
      <c r="JBO8" s="28"/>
      <c r="JBP8" s="28"/>
      <c r="JBQ8" s="28"/>
      <c r="JBR8" s="28"/>
      <c r="JBS8" s="28"/>
      <c r="JBT8" s="28"/>
      <c r="JBU8" s="28"/>
      <c r="JBV8" s="28"/>
      <c r="JBW8" s="28"/>
      <c r="JBX8" s="28"/>
      <c r="JBY8" s="28"/>
      <c r="JBZ8" s="28"/>
      <c r="JCA8" s="28"/>
      <c r="JCB8" s="28"/>
      <c r="JCC8" s="28"/>
      <c r="JCD8" s="28"/>
      <c r="JCE8" s="28"/>
      <c r="JCF8" s="28"/>
      <c r="JCG8" s="28"/>
      <c r="JCH8" s="28"/>
      <c r="JCI8" s="28"/>
      <c r="JCJ8" s="28"/>
      <c r="JCK8" s="28"/>
      <c r="JCL8" s="28"/>
      <c r="JCM8" s="28"/>
      <c r="JCN8" s="28"/>
      <c r="JCO8" s="28"/>
      <c r="JCP8" s="28"/>
      <c r="JCQ8" s="28"/>
      <c r="JCR8" s="28"/>
      <c r="JCS8" s="28"/>
      <c r="JCT8" s="28"/>
      <c r="JCU8" s="28"/>
      <c r="JCV8" s="28"/>
      <c r="JCW8" s="28"/>
      <c r="JCX8" s="28"/>
      <c r="JCY8" s="28"/>
      <c r="JCZ8" s="28"/>
      <c r="JDA8" s="28"/>
      <c r="JDB8" s="28"/>
      <c r="JDC8" s="28"/>
      <c r="JDD8" s="28"/>
      <c r="JDE8" s="28"/>
      <c r="JDF8" s="28"/>
      <c r="JDG8" s="28"/>
      <c r="JDH8" s="28"/>
      <c r="JDI8" s="28"/>
      <c r="JDJ8" s="28"/>
      <c r="JDK8" s="28"/>
      <c r="JDL8" s="28"/>
      <c r="JDM8" s="28"/>
      <c r="JDN8" s="28"/>
      <c r="JDO8" s="28"/>
      <c r="JDP8" s="28"/>
      <c r="JDQ8" s="28"/>
      <c r="JDR8" s="28"/>
      <c r="JDS8" s="28"/>
      <c r="JDT8" s="28"/>
      <c r="JDU8" s="28"/>
      <c r="JDV8" s="28"/>
      <c r="JDW8" s="28"/>
      <c r="JDX8" s="28"/>
      <c r="JDY8" s="28"/>
      <c r="JDZ8" s="28"/>
      <c r="JEA8" s="28"/>
      <c r="JEB8" s="28"/>
      <c r="JEC8" s="28"/>
      <c r="JED8" s="28"/>
      <c r="JEE8" s="28"/>
      <c r="JEF8" s="28"/>
      <c r="JEG8" s="28"/>
      <c r="JEH8" s="28"/>
      <c r="JEI8" s="28"/>
      <c r="JEJ8" s="28"/>
      <c r="JEK8" s="28"/>
      <c r="JEL8" s="28"/>
      <c r="JEM8" s="28"/>
      <c r="JEN8" s="28"/>
      <c r="JEO8" s="28"/>
      <c r="JEP8" s="28"/>
      <c r="JEQ8" s="28"/>
      <c r="JER8" s="28"/>
      <c r="JES8" s="28"/>
      <c r="JET8" s="28"/>
      <c r="JEU8" s="28"/>
      <c r="JEV8" s="28"/>
      <c r="JEW8" s="28"/>
      <c r="JEX8" s="28"/>
      <c r="JEY8" s="28"/>
      <c r="JEZ8" s="28"/>
      <c r="JFA8" s="28"/>
      <c r="JFB8" s="28"/>
      <c r="JFC8" s="28"/>
      <c r="JFD8" s="28"/>
      <c r="JFE8" s="28"/>
      <c r="JFF8" s="28"/>
      <c r="JFG8" s="28"/>
      <c r="JFH8" s="28"/>
      <c r="JFI8" s="28"/>
      <c r="JFJ8" s="28"/>
      <c r="JFK8" s="28"/>
      <c r="JFL8" s="28"/>
      <c r="JFM8" s="28"/>
      <c r="JFN8" s="28"/>
      <c r="JFO8" s="28"/>
      <c r="JFP8" s="28"/>
      <c r="JFQ8" s="28"/>
      <c r="JFR8" s="28"/>
      <c r="JFS8" s="28"/>
      <c r="JFT8" s="28"/>
      <c r="JFU8" s="28"/>
      <c r="JFV8" s="28"/>
      <c r="JFW8" s="28"/>
      <c r="JFX8" s="28"/>
      <c r="JFY8" s="28"/>
      <c r="JFZ8" s="28"/>
      <c r="JGA8" s="28"/>
      <c r="JGB8" s="28"/>
      <c r="JGC8" s="28"/>
      <c r="JGD8" s="28"/>
      <c r="JGE8" s="28"/>
      <c r="JGF8" s="28"/>
      <c r="JGG8" s="28"/>
      <c r="JGH8" s="28"/>
      <c r="JGI8" s="28"/>
      <c r="JGJ8" s="28"/>
      <c r="JGK8" s="28"/>
      <c r="JGL8" s="28"/>
      <c r="JGM8" s="28"/>
      <c r="JGN8" s="28"/>
      <c r="JGO8" s="28"/>
      <c r="JGP8" s="28"/>
      <c r="JGQ8" s="28"/>
      <c r="JGR8" s="28"/>
      <c r="JGS8" s="28"/>
      <c r="JGT8" s="28"/>
      <c r="JGU8" s="28"/>
      <c r="JGV8" s="28"/>
      <c r="JGW8" s="28"/>
      <c r="JGX8" s="28"/>
      <c r="JGY8" s="28"/>
      <c r="JGZ8" s="28"/>
      <c r="JHA8" s="28"/>
      <c r="JHB8" s="28"/>
      <c r="JHC8" s="28"/>
      <c r="JHD8" s="28"/>
      <c r="JHE8" s="28"/>
      <c r="JHF8" s="28"/>
      <c r="JHG8" s="28"/>
      <c r="JHH8" s="28"/>
      <c r="JHI8" s="28"/>
      <c r="JHJ8" s="28"/>
      <c r="JHK8" s="28"/>
      <c r="JHL8" s="28"/>
      <c r="JHM8" s="28"/>
      <c r="JHN8" s="28"/>
      <c r="JHO8" s="28"/>
      <c r="JHP8" s="28"/>
      <c r="JHQ8" s="28"/>
      <c r="JHR8" s="28"/>
      <c r="JHS8" s="28"/>
      <c r="JHT8" s="28"/>
      <c r="JHU8" s="28"/>
      <c r="JHV8" s="28"/>
      <c r="JHW8" s="28"/>
      <c r="JHX8" s="28"/>
      <c r="JHY8" s="28"/>
      <c r="JHZ8" s="28"/>
      <c r="JIA8" s="28"/>
      <c r="JIB8" s="28"/>
      <c r="JIC8" s="28"/>
      <c r="JID8" s="28"/>
      <c r="JIE8" s="28"/>
      <c r="JIF8" s="28"/>
      <c r="JIG8" s="28"/>
      <c r="JIH8" s="28"/>
      <c r="JII8" s="28"/>
      <c r="JIJ8" s="28"/>
      <c r="JIK8" s="28"/>
      <c r="JIL8" s="28"/>
      <c r="JIM8" s="28"/>
      <c r="JIN8" s="28"/>
      <c r="JIO8" s="28"/>
      <c r="JIP8" s="28"/>
      <c r="JIQ8" s="28"/>
      <c r="JIR8" s="28"/>
      <c r="JIS8" s="28"/>
      <c r="JIT8" s="28"/>
      <c r="JIU8" s="28"/>
      <c r="JIV8" s="28"/>
      <c r="JIW8" s="28"/>
      <c r="JIX8" s="28"/>
      <c r="JIY8" s="28"/>
      <c r="JIZ8" s="28"/>
      <c r="JJA8" s="28"/>
      <c r="JJB8" s="28"/>
      <c r="JJC8" s="28"/>
      <c r="JJD8" s="28"/>
      <c r="JJE8" s="28"/>
      <c r="JJF8" s="28"/>
      <c r="JJG8" s="28"/>
      <c r="JJH8" s="28"/>
      <c r="JJI8" s="28"/>
      <c r="JJJ8" s="28"/>
      <c r="JJK8" s="28"/>
      <c r="JJL8" s="28"/>
      <c r="JJM8" s="28"/>
      <c r="JJN8" s="28"/>
      <c r="JJO8" s="28"/>
      <c r="JJP8" s="28"/>
      <c r="JJQ8" s="28"/>
      <c r="JJR8" s="28"/>
      <c r="JJS8" s="28"/>
      <c r="JJT8" s="28"/>
      <c r="JJU8" s="28"/>
      <c r="JJV8" s="28"/>
      <c r="JJW8" s="28"/>
      <c r="JJX8" s="28"/>
      <c r="JJY8" s="28"/>
      <c r="JJZ8" s="28"/>
      <c r="JKA8" s="28"/>
      <c r="JKB8" s="28"/>
      <c r="JKC8" s="28"/>
      <c r="JKD8" s="28"/>
      <c r="JKE8" s="28"/>
      <c r="JKF8" s="28"/>
      <c r="JKG8" s="28"/>
      <c r="JKH8" s="28"/>
      <c r="JKI8" s="28"/>
      <c r="JKJ8" s="28"/>
      <c r="JKK8" s="28"/>
      <c r="JKL8" s="28"/>
      <c r="JKM8" s="28"/>
      <c r="JKN8" s="28"/>
      <c r="JKO8" s="28"/>
      <c r="JKP8" s="28"/>
      <c r="JKQ8" s="28"/>
      <c r="JKR8" s="28"/>
      <c r="JKS8" s="28"/>
      <c r="JKT8" s="28"/>
      <c r="JKU8" s="28"/>
      <c r="JKV8" s="28"/>
      <c r="JKW8" s="28"/>
      <c r="JKX8" s="28"/>
      <c r="JKY8" s="28"/>
      <c r="JKZ8" s="28"/>
      <c r="JLA8" s="28"/>
      <c r="JLB8" s="28"/>
      <c r="JLC8" s="28"/>
      <c r="JLD8" s="28"/>
      <c r="JLE8" s="28"/>
      <c r="JLF8" s="28"/>
      <c r="JLG8" s="28"/>
      <c r="JLH8" s="28"/>
      <c r="JLI8" s="28"/>
      <c r="JLJ8" s="28"/>
      <c r="JLK8" s="28"/>
      <c r="JLL8" s="28"/>
      <c r="JLM8" s="28"/>
      <c r="JLN8" s="28"/>
      <c r="JLO8" s="28"/>
      <c r="JLP8" s="28"/>
      <c r="JLQ8" s="28"/>
      <c r="JLR8" s="28"/>
      <c r="JLS8" s="28"/>
      <c r="JLT8" s="28"/>
      <c r="JLU8" s="28"/>
      <c r="JLV8" s="28"/>
      <c r="JLW8" s="28"/>
      <c r="JLX8" s="28"/>
      <c r="JLY8" s="28"/>
      <c r="JLZ8" s="28"/>
      <c r="JMA8" s="28"/>
      <c r="JMB8" s="28"/>
      <c r="JMC8" s="28"/>
      <c r="JMD8" s="28"/>
      <c r="JME8" s="28"/>
      <c r="JMF8" s="28"/>
      <c r="JMG8" s="28"/>
      <c r="JMH8" s="28"/>
      <c r="JMI8" s="28"/>
      <c r="JMJ8" s="28"/>
      <c r="JMK8" s="28"/>
      <c r="JML8" s="28"/>
      <c r="JMM8" s="28"/>
      <c r="JMN8" s="28"/>
      <c r="JMO8" s="28"/>
      <c r="JMP8" s="28"/>
      <c r="JMQ8" s="28"/>
      <c r="JMR8" s="28"/>
      <c r="JMS8" s="28"/>
      <c r="JMT8" s="28"/>
      <c r="JMU8" s="28"/>
      <c r="JMV8" s="28"/>
      <c r="JMW8" s="28"/>
      <c r="JMX8" s="28"/>
      <c r="JMY8" s="28"/>
      <c r="JMZ8" s="28"/>
      <c r="JNA8" s="28"/>
      <c r="JNB8" s="28"/>
      <c r="JNC8" s="28"/>
      <c r="JND8" s="28"/>
      <c r="JNE8" s="28"/>
      <c r="JNF8" s="28"/>
      <c r="JNG8" s="28"/>
      <c r="JNH8" s="28"/>
      <c r="JNI8" s="28"/>
      <c r="JNJ8" s="28"/>
      <c r="JNK8" s="28"/>
      <c r="JNL8" s="28"/>
      <c r="JNM8" s="28"/>
      <c r="JNN8" s="28"/>
      <c r="JNO8" s="28"/>
      <c r="JNP8" s="28"/>
      <c r="JNQ8" s="28"/>
      <c r="JNR8" s="28"/>
      <c r="JNS8" s="28"/>
      <c r="JNT8" s="28"/>
      <c r="JNU8" s="28"/>
      <c r="JNV8" s="28"/>
      <c r="JNW8" s="28"/>
      <c r="JNX8" s="28"/>
      <c r="JNY8" s="28"/>
      <c r="JNZ8" s="28"/>
      <c r="JOA8" s="28"/>
      <c r="JOB8" s="28"/>
      <c r="JOC8" s="28"/>
      <c r="JOD8" s="28"/>
      <c r="JOE8" s="28"/>
      <c r="JOF8" s="28"/>
      <c r="JOG8" s="28"/>
      <c r="JOH8" s="28"/>
      <c r="JOI8" s="28"/>
      <c r="JOJ8" s="28"/>
      <c r="JOK8" s="28"/>
      <c r="JOL8" s="28"/>
      <c r="JOM8" s="28"/>
      <c r="JON8" s="28"/>
      <c r="JOO8" s="28"/>
      <c r="JOP8" s="28"/>
      <c r="JOQ8" s="28"/>
      <c r="JOR8" s="28"/>
      <c r="JOS8" s="28"/>
      <c r="JOT8" s="28"/>
      <c r="JOU8" s="28"/>
      <c r="JOV8" s="28"/>
      <c r="JOW8" s="28"/>
      <c r="JOX8" s="28"/>
      <c r="JOY8" s="28"/>
      <c r="JOZ8" s="28"/>
      <c r="JPA8" s="28"/>
      <c r="JPB8" s="28"/>
      <c r="JPC8" s="28"/>
      <c r="JPD8" s="28"/>
      <c r="JPE8" s="28"/>
      <c r="JPF8" s="28"/>
      <c r="JPG8" s="28"/>
      <c r="JPH8" s="28"/>
      <c r="JPI8" s="28"/>
      <c r="JPJ8" s="28"/>
      <c r="JPK8" s="28"/>
      <c r="JPL8" s="28"/>
      <c r="JPM8" s="28"/>
      <c r="JPN8" s="28"/>
      <c r="JPO8" s="28"/>
      <c r="JPP8" s="28"/>
      <c r="JPQ8" s="28"/>
      <c r="JPR8" s="28"/>
      <c r="JPS8" s="28"/>
      <c r="JPT8" s="28"/>
      <c r="JPU8" s="28"/>
      <c r="JPV8" s="28"/>
      <c r="JPW8" s="28"/>
      <c r="JPX8" s="28"/>
      <c r="JPY8" s="28"/>
      <c r="JPZ8" s="28"/>
      <c r="JQA8" s="28"/>
      <c r="JQB8" s="28"/>
      <c r="JQC8" s="28"/>
      <c r="JQD8" s="28"/>
      <c r="JQE8" s="28"/>
      <c r="JQF8" s="28"/>
      <c r="JQG8" s="28"/>
      <c r="JQH8" s="28"/>
      <c r="JQI8" s="28"/>
      <c r="JQJ8" s="28"/>
      <c r="JQK8" s="28"/>
      <c r="JQL8" s="28"/>
      <c r="JQM8" s="28"/>
      <c r="JQN8" s="28"/>
      <c r="JQO8" s="28"/>
      <c r="JQP8" s="28"/>
      <c r="JQQ8" s="28"/>
      <c r="JQR8" s="28"/>
      <c r="JQS8" s="28"/>
      <c r="JQT8" s="28"/>
      <c r="JQU8" s="28"/>
      <c r="JQV8" s="28"/>
      <c r="JQW8" s="28"/>
      <c r="JQX8" s="28"/>
      <c r="JQY8" s="28"/>
      <c r="JQZ8" s="28"/>
      <c r="JRA8" s="28"/>
      <c r="JRB8" s="28"/>
      <c r="JRC8" s="28"/>
      <c r="JRD8" s="28"/>
      <c r="JRE8" s="28"/>
      <c r="JRF8" s="28"/>
      <c r="JRG8" s="28"/>
      <c r="JRH8" s="28"/>
      <c r="JRI8" s="28"/>
      <c r="JRJ8" s="28"/>
      <c r="JRK8" s="28"/>
      <c r="JRL8" s="28"/>
      <c r="JRM8" s="28"/>
      <c r="JRN8" s="28"/>
      <c r="JRO8" s="28"/>
      <c r="JRP8" s="28"/>
      <c r="JRQ8" s="28"/>
      <c r="JRR8" s="28"/>
      <c r="JRS8" s="28"/>
      <c r="JRT8" s="28"/>
      <c r="JRU8" s="28"/>
      <c r="JRV8" s="28"/>
      <c r="JRW8" s="28"/>
      <c r="JRX8" s="28"/>
      <c r="JRY8" s="28"/>
      <c r="JRZ8" s="28"/>
      <c r="JSA8" s="28"/>
      <c r="JSB8" s="28"/>
      <c r="JSC8" s="28"/>
      <c r="JSD8" s="28"/>
      <c r="JSE8" s="28"/>
      <c r="JSF8" s="28"/>
      <c r="JSG8" s="28"/>
      <c r="JSH8" s="28"/>
      <c r="JSI8" s="28"/>
      <c r="JSJ8" s="28"/>
      <c r="JSK8" s="28"/>
      <c r="JSL8" s="28"/>
      <c r="JSM8" s="28"/>
      <c r="JSN8" s="28"/>
      <c r="JSO8" s="28"/>
      <c r="JSP8" s="28"/>
      <c r="JSQ8" s="28"/>
      <c r="JSR8" s="28"/>
      <c r="JSS8" s="28"/>
      <c r="JST8" s="28"/>
      <c r="JSU8" s="28"/>
      <c r="JSV8" s="28"/>
      <c r="JSW8" s="28"/>
      <c r="JSX8" s="28"/>
      <c r="JSY8" s="28"/>
      <c r="JSZ8" s="28"/>
      <c r="JTA8" s="28"/>
      <c r="JTB8" s="28"/>
      <c r="JTC8" s="28"/>
      <c r="JTD8" s="28"/>
      <c r="JTE8" s="28"/>
      <c r="JTF8" s="28"/>
      <c r="JTG8" s="28"/>
      <c r="JTH8" s="28"/>
      <c r="JTI8" s="28"/>
      <c r="JTJ8" s="28"/>
      <c r="JTK8" s="28"/>
      <c r="JTL8" s="28"/>
      <c r="JTM8" s="28"/>
      <c r="JTN8" s="28"/>
      <c r="JTO8" s="28"/>
      <c r="JTP8" s="28"/>
      <c r="JTQ8" s="28"/>
      <c r="JTR8" s="28"/>
      <c r="JTS8" s="28"/>
      <c r="JTT8" s="28"/>
      <c r="JTU8" s="28"/>
      <c r="JTV8" s="28"/>
      <c r="JTW8" s="28"/>
      <c r="JTX8" s="28"/>
      <c r="JTY8" s="28"/>
      <c r="JTZ8" s="28"/>
      <c r="JUA8" s="28"/>
      <c r="JUB8" s="28"/>
      <c r="JUC8" s="28"/>
      <c r="JUD8" s="28"/>
      <c r="JUE8" s="28"/>
      <c r="JUF8" s="28"/>
      <c r="JUG8" s="28"/>
      <c r="JUH8" s="28"/>
      <c r="JUI8" s="28"/>
      <c r="JUJ8" s="28"/>
      <c r="JUK8" s="28"/>
      <c r="JUL8" s="28"/>
      <c r="JUM8" s="28"/>
      <c r="JUN8" s="28"/>
      <c r="JUO8" s="28"/>
      <c r="JUP8" s="28"/>
      <c r="JUQ8" s="28"/>
      <c r="JUR8" s="28"/>
      <c r="JUS8" s="28"/>
      <c r="JUT8" s="28"/>
      <c r="JUU8" s="28"/>
      <c r="JUV8" s="28"/>
      <c r="JUW8" s="28"/>
      <c r="JUX8" s="28"/>
      <c r="JUY8" s="28"/>
      <c r="JUZ8" s="28"/>
      <c r="JVA8" s="28"/>
      <c r="JVB8" s="28"/>
      <c r="JVC8" s="28"/>
      <c r="JVD8" s="28"/>
      <c r="JVE8" s="28"/>
      <c r="JVF8" s="28"/>
      <c r="JVG8" s="28"/>
      <c r="JVH8" s="28"/>
      <c r="JVI8" s="28"/>
      <c r="JVJ8" s="28"/>
      <c r="JVK8" s="28"/>
      <c r="JVL8" s="28"/>
      <c r="JVM8" s="28"/>
      <c r="JVN8" s="28"/>
      <c r="JVO8" s="28"/>
      <c r="JVP8" s="28"/>
      <c r="JVQ8" s="28"/>
      <c r="JVR8" s="28"/>
      <c r="JVS8" s="28"/>
      <c r="JVT8" s="28"/>
      <c r="JVU8" s="28"/>
      <c r="JVV8" s="28"/>
      <c r="JVW8" s="28"/>
      <c r="JVX8" s="28"/>
      <c r="JVY8" s="28"/>
      <c r="JVZ8" s="28"/>
      <c r="JWA8" s="28"/>
      <c r="JWB8" s="28"/>
      <c r="JWC8" s="28"/>
      <c r="JWD8" s="28"/>
      <c r="JWE8" s="28"/>
      <c r="JWF8" s="28"/>
      <c r="JWG8" s="28"/>
      <c r="JWH8" s="28"/>
      <c r="JWI8" s="28"/>
      <c r="JWJ8" s="28"/>
      <c r="JWK8" s="28"/>
      <c r="JWL8" s="28"/>
      <c r="JWM8" s="28"/>
      <c r="JWN8" s="28"/>
      <c r="JWO8" s="28"/>
      <c r="JWP8" s="28"/>
      <c r="JWQ8" s="28"/>
      <c r="JWR8" s="28"/>
      <c r="JWS8" s="28"/>
      <c r="JWT8" s="28"/>
      <c r="JWU8" s="28"/>
      <c r="JWV8" s="28"/>
      <c r="JWW8" s="28"/>
      <c r="JWX8" s="28"/>
      <c r="JWY8" s="28"/>
      <c r="JWZ8" s="28"/>
      <c r="JXA8" s="28"/>
      <c r="JXB8" s="28"/>
      <c r="JXC8" s="28"/>
      <c r="JXD8" s="28"/>
      <c r="JXE8" s="28"/>
      <c r="JXF8" s="28"/>
      <c r="JXG8" s="28"/>
      <c r="JXH8" s="28"/>
      <c r="JXI8" s="28"/>
      <c r="JXJ8" s="28"/>
      <c r="JXK8" s="28"/>
      <c r="JXL8" s="28"/>
      <c r="JXM8" s="28"/>
      <c r="JXN8" s="28"/>
      <c r="JXO8" s="28"/>
      <c r="JXP8" s="28"/>
      <c r="JXQ8" s="28"/>
      <c r="JXR8" s="28"/>
      <c r="JXS8" s="28"/>
      <c r="JXT8" s="28"/>
      <c r="JXU8" s="28"/>
      <c r="JXV8" s="28"/>
      <c r="JXW8" s="28"/>
      <c r="JXX8" s="28"/>
      <c r="JXY8" s="28"/>
      <c r="JXZ8" s="28"/>
      <c r="JYA8" s="28"/>
      <c r="JYB8" s="28"/>
      <c r="JYC8" s="28"/>
      <c r="JYD8" s="28"/>
      <c r="JYE8" s="28"/>
      <c r="JYF8" s="28"/>
      <c r="JYG8" s="28"/>
      <c r="JYH8" s="28"/>
      <c r="JYI8" s="28"/>
      <c r="JYJ8" s="28"/>
      <c r="JYK8" s="28"/>
      <c r="JYL8" s="28"/>
      <c r="JYM8" s="28"/>
      <c r="JYN8" s="28"/>
      <c r="JYO8" s="28"/>
      <c r="JYP8" s="28"/>
      <c r="JYQ8" s="28"/>
      <c r="JYR8" s="28"/>
      <c r="JYS8" s="28"/>
      <c r="JYT8" s="28"/>
      <c r="JYU8" s="28"/>
      <c r="JYV8" s="28"/>
      <c r="JYW8" s="28"/>
      <c r="JYX8" s="28"/>
      <c r="JYY8" s="28"/>
      <c r="JYZ8" s="28"/>
      <c r="JZA8" s="28"/>
      <c r="JZB8" s="28"/>
      <c r="JZC8" s="28"/>
      <c r="JZD8" s="28"/>
      <c r="JZE8" s="28"/>
      <c r="JZF8" s="28"/>
      <c r="JZG8" s="28"/>
      <c r="JZH8" s="28"/>
      <c r="JZI8" s="28"/>
      <c r="JZJ8" s="28"/>
      <c r="JZK8" s="28"/>
      <c r="JZL8" s="28"/>
      <c r="JZM8" s="28"/>
      <c r="JZN8" s="28"/>
      <c r="JZO8" s="28"/>
      <c r="JZP8" s="28"/>
      <c r="JZQ8" s="28"/>
      <c r="JZR8" s="28"/>
      <c r="JZS8" s="28"/>
      <c r="JZT8" s="28"/>
      <c r="JZU8" s="28"/>
      <c r="JZV8" s="28"/>
      <c r="JZW8" s="28"/>
      <c r="JZX8" s="28"/>
      <c r="JZY8" s="28"/>
      <c r="JZZ8" s="28"/>
      <c r="KAA8" s="28"/>
      <c r="KAB8" s="28"/>
      <c r="KAC8" s="28"/>
      <c r="KAD8" s="28"/>
      <c r="KAE8" s="28"/>
      <c r="KAF8" s="28"/>
      <c r="KAG8" s="28"/>
      <c r="KAH8" s="28"/>
      <c r="KAI8" s="28"/>
      <c r="KAJ8" s="28"/>
      <c r="KAK8" s="28"/>
      <c r="KAL8" s="28"/>
      <c r="KAM8" s="28"/>
      <c r="KAN8" s="28"/>
      <c r="KAO8" s="28"/>
      <c r="KAP8" s="28"/>
      <c r="KAQ8" s="28"/>
      <c r="KAR8" s="28"/>
      <c r="KAS8" s="28"/>
      <c r="KAT8" s="28"/>
      <c r="KAU8" s="28"/>
      <c r="KAV8" s="28"/>
      <c r="KAW8" s="28"/>
      <c r="KAX8" s="28"/>
      <c r="KAY8" s="28"/>
      <c r="KAZ8" s="28"/>
      <c r="KBA8" s="28"/>
      <c r="KBB8" s="28"/>
      <c r="KBC8" s="28"/>
      <c r="KBD8" s="28"/>
      <c r="KBE8" s="28"/>
      <c r="KBF8" s="28"/>
      <c r="KBG8" s="28"/>
      <c r="KBH8" s="28"/>
      <c r="KBI8" s="28"/>
      <c r="KBJ8" s="28"/>
      <c r="KBK8" s="28"/>
      <c r="KBL8" s="28"/>
      <c r="KBM8" s="28"/>
      <c r="KBN8" s="28"/>
      <c r="KBO8" s="28"/>
      <c r="KBP8" s="28"/>
      <c r="KBQ8" s="28"/>
      <c r="KBR8" s="28"/>
      <c r="KBS8" s="28"/>
      <c r="KBT8" s="28"/>
      <c r="KBU8" s="28"/>
      <c r="KBV8" s="28"/>
      <c r="KBW8" s="28"/>
      <c r="KBX8" s="28"/>
      <c r="KBY8" s="28"/>
      <c r="KBZ8" s="28"/>
      <c r="KCA8" s="28"/>
      <c r="KCB8" s="28"/>
      <c r="KCC8" s="28"/>
      <c r="KCD8" s="28"/>
      <c r="KCE8" s="28"/>
      <c r="KCF8" s="28"/>
      <c r="KCG8" s="28"/>
      <c r="KCH8" s="28"/>
      <c r="KCI8" s="28"/>
      <c r="KCJ8" s="28"/>
      <c r="KCK8" s="28"/>
      <c r="KCL8" s="28"/>
      <c r="KCM8" s="28"/>
      <c r="KCN8" s="28"/>
      <c r="KCO8" s="28"/>
      <c r="KCP8" s="28"/>
      <c r="KCQ8" s="28"/>
      <c r="KCR8" s="28"/>
      <c r="KCS8" s="28"/>
      <c r="KCT8" s="28"/>
      <c r="KCU8" s="28"/>
      <c r="KCV8" s="28"/>
      <c r="KCW8" s="28"/>
      <c r="KCX8" s="28"/>
      <c r="KCY8" s="28"/>
      <c r="KCZ8" s="28"/>
      <c r="KDA8" s="28"/>
      <c r="KDB8" s="28"/>
      <c r="KDC8" s="28"/>
      <c r="KDD8" s="28"/>
      <c r="KDE8" s="28"/>
      <c r="KDF8" s="28"/>
      <c r="KDG8" s="28"/>
      <c r="KDH8" s="28"/>
      <c r="KDI8" s="28"/>
      <c r="KDJ8" s="28"/>
      <c r="KDK8" s="28"/>
      <c r="KDL8" s="28"/>
      <c r="KDM8" s="28"/>
      <c r="KDN8" s="28"/>
      <c r="KDO8" s="28"/>
      <c r="KDP8" s="28"/>
      <c r="KDQ8" s="28"/>
      <c r="KDR8" s="28"/>
      <c r="KDS8" s="28"/>
      <c r="KDT8" s="28"/>
      <c r="KDU8" s="28"/>
      <c r="KDV8" s="28"/>
      <c r="KDW8" s="28"/>
      <c r="KDX8" s="28"/>
      <c r="KDY8" s="28"/>
      <c r="KDZ8" s="28"/>
      <c r="KEA8" s="28"/>
      <c r="KEB8" s="28"/>
      <c r="KEC8" s="28"/>
      <c r="KED8" s="28"/>
      <c r="KEE8" s="28"/>
      <c r="KEF8" s="28"/>
      <c r="KEG8" s="28"/>
      <c r="KEH8" s="28"/>
      <c r="KEI8" s="28"/>
      <c r="KEJ8" s="28"/>
      <c r="KEK8" s="28"/>
      <c r="KEL8" s="28"/>
      <c r="KEM8" s="28"/>
      <c r="KEN8" s="28"/>
      <c r="KEO8" s="28"/>
      <c r="KEP8" s="28"/>
      <c r="KEQ8" s="28"/>
      <c r="KER8" s="28"/>
      <c r="KES8" s="28"/>
      <c r="KET8" s="28"/>
      <c r="KEU8" s="28"/>
      <c r="KEV8" s="28"/>
      <c r="KEW8" s="28"/>
      <c r="KEX8" s="28"/>
      <c r="KEY8" s="28"/>
      <c r="KEZ8" s="28"/>
      <c r="KFA8" s="28"/>
      <c r="KFB8" s="28"/>
      <c r="KFC8" s="28"/>
      <c r="KFD8" s="28"/>
      <c r="KFE8" s="28"/>
      <c r="KFF8" s="28"/>
      <c r="KFG8" s="28"/>
      <c r="KFH8" s="28"/>
      <c r="KFI8" s="28"/>
      <c r="KFJ8" s="28"/>
      <c r="KFK8" s="28"/>
      <c r="KFL8" s="28"/>
      <c r="KFM8" s="28"/>
      <c r="KFN8" s="28"/>
      <c r="KFO8" s="28"/>
      <c r="KFP8" s="28"/>
      <c r="KFQ8" s="28"/>
      <c r="KFR8" s="28"/>
      <c r="KFS8" s="28"/>
      <c r="KFT8" s="28"/>
      <c r="KFU8" s="28"/>
      <c r="KFV8" s="28"/>
      <c r="KFW8" s="28"/>
      <c r="KFX8" s="28"/>
      <c r="KFY8" s="28"/>
      <c r="KFZ8" s="28"/>
      <c r="KGA8" s="28"/>
      <c r="KGB8" s="28"/>
      <c r="KGC8" s="28"/>
      <c r="KGD8" s="28"/>
      <c r="KGE8" s="28"/>
      <c r="KGF8" s="28"/>
      <c r="KGG8" s="28"/>
      <c r="KGH8" s="28"/>
      <c r="KGI8" s="28"/>
      <c r="KGJ8" s="28"/>
      <c r="KGK8" s="28"/>
      <c r="KGL8" s="28"/>
      <c r="KGM8" s="28"/>
      <c r="KGN8" s="28"/>
      <c r="KGO8" s="28"/>
      <c r="KGP8" s="28"/>
      <c r="KGQ8" s="28"/>
      <c r="KGR8" s="28"/>
      <c r="KGS8" s="28"/>
      <c r="KGT8" s="28"/>
      <c r="KGU8" s="28"/>
      <c r="KGV8" s="28"/>
      <c r="KGW8" s="28"/>
      <c r="KGX8" s="28"/>
      <c r="KGY8" s="28"/>
      <c r="KGZ8" s="28"/>
      <c r="KHA8" s="28"/>
      <c r="KHB8" s="28"/>
      <c r="KHC8" s="28"/>
      <c r="KHD8" s="28"/>
      <c r="KHE8" s="28"/>
      <c r="KHF8" s="28"/>
      <c r="KHG8" s="28"/>
      <c r="KHH8" s="28"/>
      <c r="KHI8" s="28"/>
      <c r="KHJ8" s="28"/>
      <c r="KHK8" s="28"/>
      <c r="KHL8" s="28"/>
      <c r="KHM8" s="28"/>
      <c r="KHN8" s="28"/>
      <c r="KHO8" s="28"/>
      <c r="KHP8" s="28"/>
      <c r="KHQ8" s="28"/>
      <c r="KHR8" s="28"/>
      <c r="KHS8" s="28"/>
      <c r="KHT8" s="28"/>
      <c r="KHU8" s="28"/>
      <c r="KHV8" s="28"/>
      <c r="KHW8" s="28"/>
      <c r="KHX8" s="28"/>
      <c r="KHY8" s="28"/>
      <c r="KHZ8" s="28"/>
      <c r="KIA8" s="28"/>
      <c r="KIB8" s="28"/>
      <c r="KIC8" s="28"/>
      <c r="KID8" s="28"/>
      <c r="KIE8" s="28"/>
      <c r="KIF8" s="28"/>
      <c r="KIG8" s="28"/>
      <c r="KIH8" s="28"/>
      <c r="KII8" s="28"/>
      <c r="KIJ8" s="28"/>
      <c r="KIK8" s="28"/>
      <c r="KIL8" s="28"/>
      <c r="KIM8" s="28"/>
      <c r="KIN8" s="28"/>
      <c r="KIO8" s="28"/>
      <c r="KIP8" s="28"/>
      <c r="KIQ8" s="28"/>
      <c r="KIR8" s="28"/>
      <c r="KIS8" s="28"/>
      <c r="KIT8" s="28"/>
      <c r="KIU8" s="28"/>
      <c r="KIV8" s="28"/>
      <c r="KIW8" s="28"/>
      <c r="KIX8" s="28"/>
      <c r="KIY8" s="28"/>
      <c r="KIZ8" s="28"/>
      <c r="KJA8" s="28"/>
      <c r="KJB8" s="28"/>
      <c r="KJC8" s="28"/>
      <c r="KJD8" s="28"/>
      <c r="KJE8" s="28"/>
      <c r="KJF8" s="28"/>
      <c r="KJG8" s="28"/>
      <c r="KJH8" s="28"/>
      <c r="KJI8" s="28"/>
      <c r="KJJ8" s="28"/>
      <c r="KJK8" s="28"/>
      <c r="KJL8" s="28"/>
      <c r="KJM8" s="28"/>
      <c r="KJN8" s="28"/>
      <c r="KJO8" s="28"/>
      <c r="KJP8" s="28"/>
      <c r="KJQ8" s="28"/>
      <c r="KJR8" s="28"/>
      <c r="KJS8" s="28"/>
      <c r="KJT8" s="28"/>
      <c r="KJU8" s="28"/>
      <c r="KJV8" s="28"/>
      <c r="KJW8" s="28"/>
      <c r="KJX8" s="28"/>
      <c r="KJY8" s="28"/>
      <c r="KJZ8" s="28"/>
      <c r="KKA8" s="28"/>
      <c r="KKB8" s="28"/>
      <c r="KKC8" s="28"/>
      <c r="KKD8" s="28"/>
      <c r="KKE8" s="28"/>
      <c r="KKF8" s="28"/>
      <c r="KKG8" s="28"/>
      <c r="KKH8" s="28"/>
      <c r="KKI8" s="28"/>
      <c r="KKJ8" s="28"/>
      <c r="KKK8" s="28"/>
      <c r="KKL8" s="28"/>
      <c r="KKM8" s="28"/>
      <c r="KKN8" s="28"/>
      <c r="KKO8" s="28"/>
      <c r="KKP8" s="28"/>
      <c r="KKQ8" s="28"/>
      <c r="KKR8" s="28"/>
      <c r="KKS8" s="28"/>
      <c r="KKT8" s="28"/>
      <c r="KKU8" s="28"/>
      <c r="KKV8" s="28"/>
      <c r="KKW8" s="28"/>
      <c r="KKX8" s="28"/>
      <c r="KKY8" s="28"/>
      <c r="KKZ8" s="28"/>
      <c r="KLA8" s="28"/>
      <c r="KLB8" s="28"/>
      <c r="KLC8" s="28"/>
      <c r="KLD8" s="28"/>
      <c r="KLE8" s="28"/>
      <c r="KLF8" s="28"/>
      <c r="KLG8" s="28"/>
      <c r="KLH8" s="28"/>
      <c r="KLI8" s="28"/>
      <c r="KLJ8" s="28"/>
      <c r="KLK8" s="28"/>
      <c r="KLL8" s="28"/>
      <c r="KLM8" s="28"/>
      <c r="KLN8" s="28"/>
      <c r="KLO8" s="28"/>
      <c r="KLP8" s="28"/>
      <c r="KLQ8" s="28"/>
      <c r="KLR8" s="28"/>
      <c r="KLS8" s="28"/>
      <c r="KLT8" s="28"/>
      <c r="KLU8" s="28"/>
      <c r="KLV8" s="28"/>
      <c r="KLW8" s="28"/>
      <c r="KLX8" s="28"/>
      <c r="KLY8" s="28"/>
      <c r="KLZ8" s="28"/>
      <c r="KMA8" s="28"/>
      <c r="KMB8" s="28"/>
      <c r="KMC8" s="28"/>
      <c r="KMD8" s="28"/>
      <c r="KME8" s="28"/>
      <c r="KMF8" s="28"/>
      <c r="KMG8" s="28"/>
      <c r="KMH8" s="28"/>
      <c r="KMI8" s="28"/>
      <c r="KMJ8" s="28"/>
      <c r="KMK8" s="28"/>
      <c r="KML8" s="28"/>
      <c r="KMM8" s="28"/>
      <c r="KMN8" s="28"/>
      <c r="KMO8" s="28"/>
      <c r="KMP8" s="28"/>
      <c r="KMQ8" s="28"/>
      <c r="KMR8" s="28"/>
      <c r="KMS8" s="28"/>
      <c r="KMT8" s="28"/>
      <c r="KMU8" s="28"/>
      <c r="KMV8" s="28"/>
      <c r="KMW8" s="28"/>
      <c r="KMX8" s="28"/>
      <c r="KMY8" s="28"/>
      <c r="KMZ8" s="28"/>
      <c r="KNA8" s="28"/>
      <c r="KNB8" s="28"/>
      <c r="KNC8" s="28"/>
      <c r="KND8" s="28"/>
      <c r="KNE8" s="28"/>
      <c r="KNF8" s="28"/>
      <c r="KNG8" s="28"/>
      <c r="KNH8" s="28"/>
      <c r="KNI8" s="28"/>
      <c r="KNJ8" s="28"/>
      <c r="KNK8" s="28"/>
      <c r="KNL8" s="28"/>
      <c r="KNM8" s="28"/>
      <c r="KNN8" s="28"/>
      <c r="KNO8" s="28"/>
      <c r="KNP8" s="28"/>
      <c r="KNQ8" s="28"/>
      <c r="KNR8" s="28"/>
      <c r="KNS8" s="28"/>
      <c r="KNT8" s="28"/>
      <c r="KNU8" s="28"/>
      <c r="KNV8" s="28"/>
      <c r="KNW8" s="28"/>
      <c r="KNX8" s="28"/>
      <c r="KNY8" s="28"/>
      <c r="KNZ8" s="28"/>
      <c r="KOA8" s="28"/>
      <c r="KOB8" s="28"/>
      <c r="KOC8" s="28"/>
      <c r="KOD8" s="28"/>
      <c r="KOE8" s="28"/>
      <c r="KOF8" s="28"/>
      <c r="KOG8" s="28"/>
      <c r="KOH8" s="28"/>
      <c r="KOI8" s="28"/>
      <c r="KOJ8" s="28"/>
      <c r="KOK8" s="28"/>
      <c r="KOL8" s="28"/>
      <c r="KOM8" s="28"/>
      <c r="KON8" s="28"/>
      <c r="KOO8" s="28"/>
      <c r="KOP8" s="28"/>
      <c r="KOQ8" s="28"/>
      <c r="KOR8" s="28"/>
      <c r="KOS8" s="28"/>
      <c r="KOT8" s="28"/>
      <c r="KOU8" s="28"/>
      <c r="KOV8" s="28"/>
      <c r="KOW8" s="28"/>
      <c r="KOX8" s="28"/>
      <c r="KOY8" s="28"/>
      <c r="KOZ8" s="28"/>
      <c r="KPA8" s="28"/>
      <c r="KPB8" s="28"/>
      <c r="KPC8" s="28"/>
      <c r="KPD8" s="28"/>
      <c r="KPE8" s="28"/>
      <c r="KPF8" s="28"/>
      <c r="KPG8" s="28"/>
      <c r="KPH8" s="28"/>
      <c r="KPI8" s="28"/>
      <c r="KPJ8" s="28"/>
      <c r="KPK8" s="28"/>
      <c r="KPL8" s="28"/>
      <c r="KPM8" s="28"/>
      <c r="KPN8" s="28"/>
      <c r="KPO8" s="28"/>
      <c r="KPP8" s="28"/>
      <c r="KPQ8" s="28"/>
      <c r="KPR8" s="28"/>
      <c r="KPS8" s="28"/>
      <c r="KPT8" s="28"/>
      <c r="KPU8" s="28"/>
      <c r="KPV8" s="28"/>
      <c r="KPW8" s="28"/>
      <c r="KPX8" s="28"/>
      <c r="KPY8" s="28"/>
      <c r="KPZ8" s="28"/>
      <c r="KQA8" s="28"/>
      <c r="KQB8" s="28"/>
      <c r="KQC8" s="28"/>
      <c r="KQD8" s="28"/>
      <c r="KQE8" s="28"/>
      <c r="KQF8" s="28"/>
      <c r="KQG8" s="28"/>
      <c r="KQH8" s="28"/>
      <c r="KQI8" s="28"/>
      <c r="KQJ8" s="28"/>
      <c r="KQK8" s="28"/>
      <c r="KQL8" s="28"/>
      <c r="KQM8" s="28"/>
      <c r="KQN8" s="28"/>
      <c r="KQO8" s="28"/>
      <c r="KQP8" s="28"/>
      <c r="KQQ8" s="28"/>
      <c r="KQR8" s="28"/>
      <c r="KQS8" s="28"/>
      <c r="KQT8" s="28"/>
      <c r="KQU8" s="28"/>
      <c r="KQV8" s="28"/>
      <c r="KQW8" s="28"/>
      <c r="KQX8" s="28"/>
      <c r="KQY8" s="28"/>
      <c r="KQZ8" s="28"/>
      <c r="KRA8" s="28"/>
      <c r="KRB8" s="28"/>
      <c r="KRC8" s="28"/>
      <c r="KRD8" s="28"/>
      <c r="KRE8" s="28"/>
      <c r="KRF8" s="28"/>
      <c r="KRG8" s="28"/>
      <c r="KRH8" s="28"/>
      <c r="KRI8" s="28"/>
      <c r="KRJ8" s="28"/>
      <c r="KRK8" s="28"/>
      <c r="KRL8" s="28"/>
      <c r="KRM8" s="28"/>
      <c r="KRN8" s="28"/>
      <c r="KRO8" s="28"/>
      <c r="KRP8" s="28"/>
      <c r="KRQ8" s="28"/>
      <c r="KRR8" s="28"/>
      <c r="KRS8" s="28"/>
      <c r="KRT8" s="28"/>
      <c r="KRU8" s="28"/>
      <c r="KRV8" s="28"/>
      <c r="KRW8" s="28"/>
      <c r="KRX8" s="28"/>
      <c r="KRY8" s="28"/>
      <c r="KRZ8" s="28"/>
      <c r="KSA8" s="28"/>
      <c r="KSB8" s="28"/>
      <c r="KSC8" s="28"/>
      <c r="KSD8" s="28"/>
      <c r="KSE8" s="28"/>
      <c r="KSF8" s="28"/>
      <c r="KSG8" s="28"/>
      <c r="KSH8" s="28"/>
      <c r="KSI8" s="28"/>
      <c r="KSJ8" s="28"/>
      <c r="KSK8" s="28"/>
      <c r="KSL8" s="28"/>
      <c r="KSM8" s="28"/>
      <c r="KSN8" s="28"/>
      <c r="KSO8" s="28"/>
      <c r="KSP8" s="28"/>
      <c r="KSQ8" s="28"/>
      <c r="KSR8" s="28"/>
      <c r="KSS8" s="28"/>
      <c r="KST8" s="28"/>
      <c r="KSU8" s="28"/>
      <c r="KSV8" s="28"/>
      <c r="KSW8" s="28"/>
      <c r="KSX8" s="28"/>
      <c r="KSY8" s="28"/>
      <c r="KSZ8" s="28"/>
      <c r="KTA8" s="28"/>
      <c r="KTB8" s="28"/>
      <c r="KTC8" s="28"/>
      <c r="KTD8" s="28"/>
      <c r="KTE8" s="28"/>
      <c r="KTF8" s="28"/>
      <c r="KTG8" s="28"/>
      <c r="KTH8" s="28"/>
      <c r="KTI8" s="28"/>
      <c r="KTJ8" s="28"/>
      <c r="KTK8" s="28"/>
      <c r="KTL8" s="28"/>
      <c r="KTM8" s="28"/>
      <c r="KTN8" s="28"/>
      <c r="KTO8" s="28"/>
      <c r="KTP8" s="28"/>
      <c r="KTQ8" s="28"/>
      <c r="KTR8" s="28"/>
      <c r="KTS8" s="28"/>
      <c r="KTT8" s="28"/>
      <c r="KTU8" s="28"/>
      <c r="KTV8" s="28"/>
      <c r="KTW8" s="28"/>
      <c r="KTX8" s="28"/>
      <c r="KTY8" s="28"/>
      <c r="KTZ8" s="28"/>
      <c r="KUA8" s="28"/>
      <c r="KUB8" s="28"/>
      <c r="KUC8" s="28"/>
      <c r="KUD8" s="28"/>
      <c r="KUE8" s="28"/>
      <c r="KUF8" s="28"/>
      <c r="KUG8" s="28"/>
      <c r="KUH8" s="28"/>
      <c r="KUI8" s="28"/>
      <c r="KUJ8" s="28"/>
      <c r="KUK8" s="28"/>
      <c r="KUL8" s="28"/>
      <c r="KUM8" s="28"/>
      <c r="KUN8" s="28"/>
      <c r="KUO8" s="28"/>
      <c r="KUP8" s="28"/>
      <c r="KUQ8" s="28"/>
      <c r="KUR8" s="28"/>
      <c r="KUS8" s="28"/>
      <c r="KUT8" s="28"/>
      <c r="KUU8" s="28"/>
      <c r="KUV8" s="28"/>
      <c r="KUW8" s="28"/>
      <c r="KUX8" s="28"/>
      <c r="KUY8" s="28"/>
      <c r="KUZ8" s="28"/>
      <c r="KVA8" s="28"/>
      <c r="KVB8" s="28"/>
      <c r="KVC8" s="28"/>
      <c r="KVD8" s="28"/>
      <c r="KVE8" s="28"/>
      <c r="KVF8" s="28"/>
      <c r="KVG8" s="28"/>
      <c r="KVH8" s="28"/>
      <c r="KVI8" s="28"/>
      <c r="KVJ8" s="28"/>
      <c r="KVK8" s="28"/>
      <c r="KVL8" s="28"/>
      <c r="KVM8" s="28"/>
      <c r="KVN8" s="28"/>
      <c r="KVO8" s="28"/>
      <c r="KVP8" s="28"/>
      <c r="KVQ8" s="28"/>
      <c r="KVR8" s="28"/>
      <c r="KVS8" s="28"/>
      <c r="KVT8" s="28"/>
      <c r="KVU8" s="28"/>
      <c r="KVV8" s="28"/>
      <c r="KVW8" s="28"/>
      <c r="KVX8" s="28"/>
      <c r="KVY8" s="28"/>
      <c r="KVZ8" s="28"/>
      <c r="KWA8" s="28"/>
      <c r="KWB8" s="28"/>
      <c r="KWC8" s="28"/>
      <c r="KWD8" s="28"/>
      <c r="KWE8" s="28"/>
      <c r="KWF8" s="28"/>
      <c r="KWG8" s="28"/>
      <c r="KWH8" s="28"/>
      <c r="KWI8" s="28"/>
      <c r="KWJ8" s="28"/>
      <c r="KWK8" s="28"/>
      <c r="KWL8" s="28"/>
      <c r="KWM8" s="28"/>
      <c r="KWN8" s="28"/>
      <c r="KWO8" s="28"/>
      <c r="KWP8" s="28"/>
      <c r="KWQ8" s="28"/>
      <c r="KWR8" s="28"/>
      <c r="KWS8" s="28"/>
      <c r="KWT8" s="28"/>
      <c r="KWU8" s="28"/>
      <c r="KWV8" s="28"/>
      <c r="KWW8" s="28"/>
      <c r="KWX8" s="28"/>
      <c r="KWY8" s="28"/>
      <c r="KWZ8" s="28"/>
      <c r="KXA8" s="28"/>
      <c r="KXB8" s="28"/>
      <c r="KXC8" s="28"/>
      <c r="KXD8" s="28"/>
      <c r="KXE8" s="28"/>
      <c r="KXF8" s="28"/>
      <c r="KXG8" s="28"/>
      <c r="KXH8" s="28"/>
      <c r="KXI8" s="28"/>
      <c r="KXJ8" s="28"/>
      <c r="KXK8" s="28"/>
      <c r="KXL8" s="28"/>
      <c r="KXM8" s="28"/>
      <c r="KXN8" s="28"/>
      <c r="KXO8" s="28"/>
      <c r="KXP8" s="28"/>
      <c r="KXQ8" s="28"/>
      <c r="KXR8" s="28"/>
      <c r="KXS8" s="28"/>
      <c r="KXT8" s="28"/>
      <c r="KXU8" s="28"/>
      <c r="KXV8" s="28"/>
      <c r="KXW8" s="28"/>
      <c r="KXX8" s="28"/>
      <c r="KXY8" s="28"/>
      <c r="KXZ8" s="28"/>
      <c r="KYA8" s="28"/>
      <c r="KYB8" s="28"/>
      <c r="KYC8" s="28"/>
      <c r="KYD8" s="28"/>
      <c r="KYE8" s="28"/>
      <c r="KYF8" s="28"/>
      <c r="KYG8" s="28"/>
      <c r="KYH8" s="28"/>
      <c r="KYI8" s="28"/>
      <c r="KYJ8" s="28"/>
      <c r="KYK8" s="28"/>
      <c r="KYL8" s="28"/>
      <c r="KYM8" s="28"/>
      <c r="KYN8" s="28"/>
      <c r="KYO8" s="28"/>
      <c r="KYP8" s="28"/>
      <c r="KYQ8" s="28"/>
      <c r="KYR8" s="28"/>
      <c r="KYS8" s="28"/>
      <c r="KYT8" s="28"/>
      <c r="KYU8" s="28"/>
      <c r="KYV8" s="28"/>
      <c r="KYW8" s="28"/>
      <c r="KYX8" s="28"/>
      <c r="KYY8" s="28"/>
      <c r="KYZ8" s="28"/>
      <c r="KZA8" s="28"/>
      <c r="KZB8" s="28"/>
      <c r="KZC8" s="28"/>
      <c r="KZD8" s="28"/>
      <c r="KZE8" s="28"/>
      <c r="KZF8" s="28"/>
      <c r="KZG8" s="28"/>
      <c r="KZH8" s="28"/>
      <c r="KZI8" s="28"/>
      <c r="KZJ8" s="28"/>
      <c r="KZK8" s="28"/>
      <c r="KZL8" s="28"/>
      <c r="KZM8" s="28"/>
      <c r="KZN8" s="28"/>
      <c r="KZO8" s="28"/>
      <c r="KZP8" s="28"/>
      <c r="KZQ8" s="28"/>
      <c r="KZR8" s="28"/>
      <c r="KZS8" s="28"/>
      <c r="KZT8" s="28"/>
      <c r="KZU8" s="28"/>
      <c r="KZV8" s="28"/>
      <c r="KZW8" s="28"/>
      <c r="KZX8" s="28"/>
      <c r="KZY8" s="28"/>
      <c r="KZZ8" s="28"/>
      <c r="LAA8" s="28"/>
      <c r="LAB8" s="28"/>
      <c r="LAC8" s="28"/>
      <c r="LAD8" s="28"/>
      <c r="LAE8" s="28"/>
      <c r="LAF8" s="28"/>
      <c r="LAG8" s="28"/>
      <c r="LAH8" s="28"/>
      <c r="LAI8" s="28"/>
      <c r="LAJ8" s="28"/>
      <c r="LAK8" s="28"/>
      <c r="LAL8" s="28"/>
      <c r="LAM8" s="28"/>
      <c r="LAN8" s="28"/>
      <c r="LAO8" s="28"/>
      <c r="LAP8" s="28"/>
      <c r="LAQ8" s="28"/>
      <c r="LAR8" s="28"/>
      <c r="LAS8" s="28"/>
      <c r="LAT8" s="28"/>
      <c r="LAU8" s="28"/>
      <c r="LAV8" s="28"/>
      <c r="LAW8" s="28"/>
      <c r="LAX8" s="28"/>
      <c r="LAY8" s="28"/>
      <c r="LAZ8" s="28"/>
      <c r="LBA8" s="28"/>
      <c r="LBB8" s="28"/>
      <c r="LBC8" s="28"/>
      <c r="LBD8" s="28"/>
      <c r="LBE8" s="28"/>
      <c r="LBF8" s="28"/>
      <c r="LBG8" s="28"/>
      <c r="LBH8" s="28"/>
      <c r="LBI8" s="28"/>
      <c r="LBJ8" s="28"/>
      <c r="LBK8" s="28"/>
      <c r="LBL8" s="28"/>
      <c r="LBM8" s="28"/>
      <c r="LBN8" s="28"/>
      <c r="LBO8" s="28"/>
      <c r="LBP8" s="28"/>
      <c r="LBQ8" s="28"/>
      <c r="LBR8" s="28"/>
      <c r="LBS8" s="28"/>
      <c r="LBT8" s="28"/>
      <c r="LBU8" s="28"/>
      <c r="LBV8" s="28"/>
      <c r="LBW8" s="28"/>
      <c r="LBX8" s="28"/>
      <c r="LBY8" s="28"/>
      <c r="LBZ8" s="28"/>
      <c r="LCA8" s="28"/>
      <c r="LCB8" s="28"/>
      <c r="LCC8" s="28"/>
      <c r="LCD8" s="28"/>
      <c r="LCE8" s="28"/>
      <c r="LCF8" s="28"/>
      <c r="LCG8" s="28"/>
      <c r="LCH8" s="28"/>
      <c r="LCI8" s="28"/>
      <c r="LCJ8" s="28"/>
      <c r="LCK8" s="28"/>
      <c r="LCL8" s="28"/>
      <c r="LCM8" s="28"/>
      <c r="LCN8" s="28"/>
      <c r="LCO8" s="28"/>
      <c r="LCP8" s="28"/>
      <c r="LCQ8" s="28"/>
      <c r="LCR8" s="28"/>
      <c r="LCS8" s="28"/>
      <c r="LCT8" s="28"/>
      <c r="LCU8" s="28"/>
      <c r="LCV8" s="28"/>
      <c r="LCW8" s="28"/>
      <c r="LCX8" s="28"/>
      <c r="LCY8" s="28"/>
      <c r="LCZ8" s="28"/>
      <c r="LDA8" s="28"/>
      <c r="LDB8" s="28"/>
      <c r="LDC8" s="28"/>
      <c r="LDD8" s="28"/>
      <c r="LDE8" s="28"/>
      <c r="LDF8" s="28"/>
      <c r="LDG8" s="28"/>
      <c r="LDH8" s="28"/>
      <c r="LDI8" s="28"/>
      <c r="LDJ8" s="28"/>
      <c r="LDK8" s="28"/>
      <c r="LDL8" s="28"/>
      <c r="LDM8" s="28"/>
      <c r="LDN8" s="28"/>
      <c r="LDO8" s="28"/>
      <c r="LDP8" s="28"/>
      <c r="LDQ8" s="28"/>
      <c r="LDR8" s="28"/>
      <c r="LDS8" s="28"/>
      <c r="LDT8" s="28"/>
      <c r="LDU8" s="28"/>
      <c r="LDV8" s="28"/>
      <c r="LDW8" s="28"/>
      <c r="LDX8" s="28"/>
      <c r="LDY8" s="28"/>
      <c r="LDZ8" s="28"/>
      <c r="LEA8" s="28"/>
      <c r="LEB8" s="28"/>
      <c r="LEC8" s="28"/>
      <c r="LED8" s="28"/>
      <c r="LEE8" s="28"/>
      <c r="LEF8" s="28"/>
      <c r="LEG8" s="28"/>
      <c r="LEH8" s="28"/>
      <c r="LEI8" s="28"/>
      <c r="LEJ8" s="28"/>
      <c r="LEK8" s="28"/>
      <c r="LEL8" s="28"/>
      <c r="LEM8" s="28"/>
      <c r="LEN8" s="28"/>
      <c r="LEO8" s="28"/>
      <c r="LEP8" s="28"/>
      <c r="LEQ8" s="28"/>
      <c r="LER8" s="28"/>
      <c r="LES8" s="28"/>
      <c r="LET8" s="28"/>
      <c r="LEU8" s="28"/>
      <c r="LEV8" s="28"/>
      <c r="LEW8" s="28"/>
      <c r="LEX8" s="28"/>
      <c r="LEY8" s="28"/>
      <c r="LEZ8" s="28"/>
      <c r="LFA8" s="28"/>
      <c r="LFB8" s="28"/>
      <c r="LFC8" s="28"/>
      <c r="LFD8" s="28"/>
      <c r="LFE8" s="28"/>
      <c r="LFF8" s="28"/>
      <c r="LFG8" s="28"/>
      <c r="LFH8" s="28"/>
      <c r="LFI8" s="28"/>
      <c r="LFJ8" s="28"/>
      <c r="LFK8" s="28"/>
      <c r="LFL8" s="28"/>
      <c r="LFM8" s="28"/>
      <c r="LFN8" s="28"/>
      <c r="LFO8" s="28"/>
      <c r="LFP8" s="28"/>
      <c r="LFQ8" s="28"/>
      <c r="LFR8" s="28"/>
      <c r="LFS8" s="28"/>
      <c r="LFT8" s="28"/>
      <c r="LFU8" s="28"/>
      <c r="LFV8" s="28"/>
      <c r="LFW8" s="28"/>
      <c r="LFX8" s="28"/>
      <c r="LFY8" s="28"/>
      <c r="LFZ8" s="28"/>
      <c r="LGA8" s="28"/>
      <c r="LGB8" s="28"/>
      <c r="LGC8" s="28"/>
      <c r="LGD8" s="28"/>
      <c r="LGE8" s="28"/>
      <c r="LGF8" s="28"/>
      <c r="LGG8" s="28"/>
      <c r="LGH8" s="28"/>
      <c r="LGI8" s="28"/>
      <c r="LGJ8" s="28"/>
      <c r="LGK8" s="28"/>
      <c r="LGL8" s="28"/>
      <c r="LGM8" s="28"/>
      <c r="LGN8" s="28"/>
      <c r="LGO8" s="28"/>
      <c r="LGP8" s="28"/>
      <c r="LGQ8" s="28"/>
      <c r="LGR8" s="28"/>
      <c r="LGS8" s="28"/>
      <c r="LGT8" s="28"/>
      <c r="LGU8" s="28"/>
      <c r="LGV8" s="28"/>
      <c r="LGW8" s="28"/>
      <c r="LGX8" s="28"/>
      <c r="LGY8" s="28"/>
      <c r="LGZ8" s="28"/>
      <c r="LHA8" s="28"/>
      <c r="LHB8" s="28"/>
      <c r="LHC8" s="28"/>
      <c r="LHD8" s="28"/>
      <c r="LHE8" s="28"/>
      <c r="LHF8" s="28"/>
      <c r="LHG8" s="28"/>
      <c r="LHH8" s="28"/>
      <c r="LHI8" s="28"/>
      <c r="LHJ8" s="28"/>
      <c r="LHK8" s="28"/>
      <c r="LHL8" s="28"/>
      <c r="LHM8" s="28"/>
      <c r="LHN8" s="28"/>
      <c r="LHO8" s="28"/>
      <c r="LHP8" s="28"/>
      <c r="LHQ8" s="28"/>
      <c r="LHR8" s="28"/>
      <c r="LHS8" s="28"/>
      <c r="LHT8" s="28"/>
      <c r="LHU8" s="28"/>
      <c r="LHV8" s="28"/>
      <c r="LHW8" s="28"/>
      <c r="LHX8" s="28"/>
      <c r="LHY8" s="28"/>
      <c r="LHZ8" s="28"/>
      <c r="LIA8" s="28"/>
      <c r="LIB8" s="28"/>
      <c r="LIC8" s="28"/>
      <c r="LID8" s="28"/>
      <c r="LIE8" s="28"/>
      <c r="LIF8" s="28"/>
      <c r="LIG8" s="28"/>
      <c r="LIH8" s="28"/>
      <c r="LII8" s="28"/>
      <c r="LIJ8" s="28"/>
      <c r="LIK8" s="28"/>
      <c r="LIL8" s="28"/>
      <c r="LIM8" s="28"/>
      <c r="LIN8" s="28"/>
      <c r="LIO8" s="28"/>
      <c r="LIP8" s="28"/>
      <c r="LIQ8" s="28"/>
      <c r="LIR8" s="28"/>
      <c r="LIS8" s="28"/>
      <c r="LIT8" s="28"/>
      <c r="LIU8" s="28"/>
      <c r="LIV8" s="28"/>
      <c r="LIW8" s="28"/>
      <c r="LIX8" s="28"/>
      <c r="LIY8" s="28"/>
      <c r="LIZ8" s="28"/>
      <c r="LJA8" s="28"/>
      <c r="LJB8" s="28"/>
      <c r="LJC8" s="28"/>
      <c r="LJD8" s="28"/>
      <c r="LJE8" s="28"/>
      <c r="LJF8" s="28"/>
      <c r="LJG8" s="28"/>
      <c r="LJH8" s="28"/>
      <c r="LJI8" s="28"/>
      <c r="LJJ8" s="28"/>
      <c r="LJK8" s="28"/>
      <c r="LJL8" s="28"/>
      <c r="LJM8" s="28"/>
      <c r="LJN8" s="28"/>
      <c r="LJO8" s="28"/>
      <c r="LJP8" s="28"/>
      <c r="LJQ8" s="28"/>
      <c r="LJR8" s="28"/>
      <c r="LJS8" s="28"/>
      <c r="LJT8" s="28"/>
      <c r="LJU8" s="28"/>
      <c r="LJV8" s="28"/>
      <c r="LJW8" s="28"/>
      <c r="LJX8" s="28"/>
      <c r="LJY8" s="28"/>
      <c r="LJZ8" s="28"/>
      <c r="LKA8" s="28"/>
      <c r="LKB8" s="28"/>
      <c r="LKC8" s="28"/>
      <c r="LKD8" s="28"/>
      <c r="LKE8" s="28"/>
      <c r="LKF8" s="28"/>
      <c r="LKG8" s="28"/>
      <c r="LKH8" s="28"/>
      <c r="LKI8" s="28"/>
      <c r="LKJ8" s="28"/>
      <c r="LKK8" s="28"/>
      <c r="LKL8" s="28"/>
      <c r="LKM8" s="28"/>
      <c r="LKN8" s="28"/>
      <c r="LKO8" s="28"/>
      <c r="LKP8" s="28"/>
      <c r="LKQ8" s="28"/>
      <c r="LKR8" s="28"/>
      <c r="LKS8" s="28"/>
      <c r="LKT8" s="28"/>
      <c r="LKU8" s="28"/>
      <c r="LKV8" s="28"/>
      <c r="LKW8" s="28"/>
      <c r="LKX8" s="28"/>
      <c r="LKY8" s="28"/>
      <c r="LKZ8" s="28"/>
      <c r="LLA8" s="28"/>
      <c r="LLB8" s="28"/>
      <c r="LLC8" s="28"/>
      <c r="LLD8" s="28"/>
      <c r="LLE8" s="28"/>
      <c r="LLF8" s="28"/>
      <c r="LLG8" s="28"/>
      <c r="LLH8" s="28"/>
      <c r="LLI8" s="28"/>
      <c r="LLJ8" s="28"/>
      <c r="LLK8" s="28"/>
      <c r="LLL8" s="28"/>
      <c r="LLM8" s="28"/>
      <c r="LLN8" s="28"/>
      <c r="LLO8" s="28"/>
      <c r="LLP8" s="28"/>
      <c r="LLQ8" s="28"/>
      <c r="LLR8" s="28"/>
      <c r="LLS8" s="28"/>
      <c r="LLT8" s="28"/>
      <c r="LLU8" s="28"/>
      <c r="LLV8" s="28"/>
      <c r="LLW8" s="28"/>
      <c r="LLX8" s="28"/>
      <c r="LLY8" s="28"/>
      <c r="LLZ8" s="28"/>
      <c r="LMA8" s="28"/>
      <c r="LMB8" s="28"/>
      <c r="LMC8" s="28"/>
      <c r="LMD8" s="28"/>
      <c r="LME8" s="28"/>
      <c r="LMF8" s="28"/>
      <c r="LMG8" s="28"/>
      <c r="LMH8" s="28"/>
      <c r="LMI8" s="28"/>
      <c r="LMJ8" s="28"/>
      <c r="LMK8" s="28"/>
      <c r="LML8" s="28"/>
      <c r="LMM8" s="28"/>
      <c r="LMN8" s="28"/>
      <c r="LMO8" s="28"/>
      <c r="LMP8" s="28"/>
      <c r="LMQ8" s="28"/>
      <c r="LMR8" s="28"/>
      <c r="LMS8" s="28"/>
      <c r="LMT8" s="28"/>
      <c r="LMU8" s="28"/>
      <c r="LMV8" s="28"/>
      <c r="LMW8" s="28"/>
      <c r="LMX8" s="28"/>
      <c r="LMY8" s="28"/>
      <c r="LMZ8" s="28"/>
      <c r="LNA8" s="28"/>
      <c r="LNB8" s="28"/>
      <c r="LNC8" s="28"/>
      <c r="LND8" s="28"/>
      <c r="LNE8" s="28"/>
      <c r="LNF8" s="28"/>
      <c r="LNG8" s="28"/>
      <c r="LNH8" s="28"/>
      <c r="LNI8" s="28"/>
      <c r="LNJ8" s="28"/>
      <c r="LNK8" s="28"/>
      <c r="LNL8" s="28"/>
      <c r="LNM8" s="28"/>
      <c r="LNN8" s="28"/>
      <c r="LNO8" s="28"/>
      <c r="LNP8" s="28"/>
      <c r="LNQ8" s="28"/>
      <c r="LNR8" s="28"/>
      <c r="LNS8" s="28"/>
      <c r="LNT8" s="28"/>
      <c r="LNU8" s="28"/>
      <c r="LNV8" s="28"/>
      <c r="LNW8" s="28"/>
      <c r="LNX8" s="28"/>
      <c r="LNY8" s="28"/>
      <c r="LNZ8" s="28"/>
      <c r="LOA8" s="28"/>
      <c r="LOB8" s="28"/>
      <c r="LOC8" s="28"/>
      <c r="LOD8" s="28"/>
      <c r="LOE8" s="28"/>
      <c r="LOF8" s="28"/>
      <c r="LOG8" s="28"/>
      <c r="LOH8" s="28"/>
      <c r="LOI8" s="28"/>
      <c r="LOJ8" s="28"/>
      <c r="LOK8" s="28"/>
      <c r="LOL8" s="28"/>
      <c r="LOM8" s="28"/>
      <c r="LON8" s="28"/>
      <c r="LOO8" s="28"/>
      <c r="LOP8" s="28"/>
      <c r="LOQ8" s="28"/>
      <c r="LOR8" s="28"/>
      <c r="LOS8" s="28"/>
      <c r="LOT8" s="28"/>
      <c r="LOU8" s="28"/>
      <c r="LOV8" s="28"/>
      <c r="LOW8" s="28"/>
      <c r="LOX8" s="28"/>
      <c r="LOY8" s="28"/>
      <c r="LOZ8" s="28"/>
      <c r="LPA8" s="28"/>
      <c r="LPB8" s="28"/>
      <c r="LPC8" s="28"/>
      <c r="LPD8" s="28"/>
      <c r="LPE8" s="28"/>
      <c r="LPF8" s="28"/>
      <c r="LPG8" s="28"/>
      <c r="LPH8" s="28"/>
      <c r="LPI8" s="28"/>
      <c r="LPJ8" s="28"/>
      <c r="LPK8" s="28"/>
      <c r="LPL8" s="28"/>
      <c r="LPM8" s="28"/>
      <c r="LPN8" s="28"/>
      <c r="LPO8" s="28"/>
      <c r="LPP8" s="28"/>
      <c r="LPQ8" s="28"/>
      <c r="LPR8" s="28"/>
      <c r="LPS8" s="28"/>
      <c r="LPT8" s="28"/>
      <c r="LPU8" s="28"/>
      <c r="LPV8" s="28"/>
      <c r="LPW8" s="28"/>
      <c r="LPX8" s="28"/>
      <c r="LPY8" s="28"/>
      <c r="LPZ8" s="28"/>
      <c r="LQA8" s="28"/>
      <c r="LQB8" s="28"/>
      <c r="LQC8" s="28"/>
      <c r="LQD8" s="28"/>
      <c r="LQE8" s="28"/>
      <c r="LQF8" s="28"/>
      <c r="LQG8" s="28"/>
      <c r="LQH8" s="28"/>
      <c r="LQI8" s="28"/>
      <c r="LQJ8" s="28"/>
      <c r="LQK8" s="28"/>
      <c r="LQL8" s="28"/>
      <c r="LQM8" s="28"/>
      <c r="LQN8" s="28"/>
      <c r="LQO8" s="28"/>
      <c r="LQP8" s="28"/>
      <c r="LQQ8" s="28"/>
      <c r="LQR8" s="28"/>
      <c r="LQS8" s="28"/>
      <c r="LQT8" s="28"/>
      <c r="LQU8" s="28"/>
      <c r="LQV8" s="28"/>
      <c r="LQW8" s="28"/>
      <c r="LQX8" s="28"/>
      <c r="LQY8" s="28"/>
      <c r="LQZ8" s="28"/>
      <c r="LRA8" s="28"/>
      <c r="LRB8" s="28"/>
      <c r="LRC8" s="28"/>
      <c r="LRD8" s="28"/>
      <c r="LRE8" s="28"/>
      <c r="LRF8" s="28"/>
      <c r="LRG8" s="28"/>
      <c r="LRH8" s="28"/>
      <c r="LRI8" s="28"/>
      <c r="LRJ8" s="28"/>
      <c r="LRK8" s="28"/>
      <c r="LRL8" s="28"/>
      <c r="LRM8" s="28"/>
      <c r="LRN8" s="28"/>
      <c r="LRO8" s="28"/>
      <c r="LRP8" s="28"/>
      <c r="LRQ8" s="28"/>
      <c r="LRR8" s="28"/>
      <c r="LRS8" s="28"/>
      <c r="LRT8" s="28"/>
      <c r="LRU8" s="28"/>
      <c r="LRV8" s="28"/>
      <c r="LRW8" s="28"/>
      <c r="LRX8" s="28"/>
      <c r="LRY8" s="28"/>
      <c r="LRZ8" s="28"/>
      <c r="LSA8" s="28"/>
      <c r="LSB8" s="28"/>
      <c r="LSC8" s="28"/>
      <c r="LSD8" s="28"/>
      <c r="LSE8" s="28"/>
      <c r="LSF8" s="28"/>
      <c r="LSG8" s="28"/>
      <c r="LSH8" s="28"/>
      <c r="LSI8" s="28"/>
      <c r="LSJ8" s="28"/>
      <c r="LSK8" s="28"/>
      <c r="LSL8" s="28"/>
      <c r="LSM8" s="28"/>
      <c r="LSN8" s="28"/>
      <c r="LSO8" s="28"/>
      <c r="LSP8" s="28"/>
      <c r="LSQ8" s="28"/>
      <c r="LSR8" s="28"/>
      <c r="LSS8" s="28"/>
      <c r="LST8" s="28"/>
      <c r="LSU8" s="28"/>
      <c r="LSV8" s="28"/>
      <c r="LSW8" s="28"/>
      <c r="LSX8" s="28"/>
      <c r="LSY8" s="28"/>
      <c r="LSZ8" s="28"/>
      <c r="LTA8" s="28"/>
      <c r="LTB8" s="28"/>
      <c r="LTC8" s="28"/>
      <c r="LTD8" s="28"/>
      <c r="LTE8" s="28"/>
      <c r="LTF8" s="28"/>
      <c r="LTG8" s="28"/>
      <c r="LTH8" s="28"/>
      <c r="LTI8" s="28"/>
      <c r="LTJ8" s="28"/>
      <c r="LTK8" s="28"/>
      <c r="LTL8" s="28"/>
      <c r="LTM8" s="28"/>
      <c r="LTN8" s="28"/>
      <c r="LTO8" s="28"/>
      <c r="LTP8" s="28"/>
      <c r="LTQ8" s="28"/>
      <c r="LTR8" s="28"/>
      <c r="LTS8" s="28"/>
      <c r="LTT8" s="28"/>
      <c r="LTU8" s="28"/>
      <c r="LTV8" s="28"/>
      <c r="LTW8" s="28"/>
      <c r="LTX8" s="28"/>
      <c r="LTY8" s="28"/>
      <c r="LTZ8" s="28"/>
      <c r="LUA8" s="28"/>
      <c r="LUB8" s="28"/>
      <c r="LUC8" s="28"/>
      <c r="LUD8" s="28"/>
      <c r="LUE8" s="28"/>
      <c r="LUF8" s="28"/>
      <c r="LUG8" s="28"/>
      <c r="LUH8" s="28"/>
      <c r="LUI8" s="28"/>
      <c r="LUJ8" s="28"/>
      <c r="LUK8" s="28"/>
      <c r="LUL8" s="28"/>
      <c r="LUM8" s="28"/>
      <c r="LUN8" s="28"/>
      <c r="LUO8" s="28"/>
      <c r="LUP8" s="28"/>
      <c r="LUQ8" s="28"/>
      <c r="LUR8" s="28"/>
      <c r="LUS8" s="28"/>
      <c r="LUT8" s="28"/>
      <c r="LUU8" s="28"/>
      <c r="LUV8" s="28"/>
      <c r="LUW8" s="28"/>
      <c r="LUX8" s="28"/>
      <c r="LUY8" s="28"/>
      <c r="LUZ8" s="28"/>
      <c r="LVA8" s="28"/>
      <c r="LVB8" s="28"/>
      <c r="LVC8" s="28"/>
      <c r="LVD8" s="28"/>
      <c r="LVE8" s="28"/>
      <c r="LVF8" s="28"/>
      <c r="LVG8" s="28"/>
      <c r="LVH8" s="28"/>
      <c r="LVI8" s="28"/>
      <c r="LVJ8" s="28"/>
      <c r="LVK8" s="28"/>
      <c r="LVL8" s="28"/>
      <c r="LVM8" s="28"/>
      <c r="LVN8" s="28"/>
      <c r="LVO8" s="28"/>
      <c r="LVP8" s="28"/>
      <c r="LVQ8" s="28"/>
      <c r="LVR8" s="28"/>
      <c r="LVS8" s="28"/>
      <c r="LVT8" s="28"/>
      <c r="LVU8" s="28"/>
      <c r="LVV8" s="28"/>
      <c r="LVW8" s="28"/>
      <c r="LVX8" s="28"/>
      <c r="LVY8" s="28"/>
      <c r="LVZ8" s="28"/>
      <c r="LWA8" s="28"/>
      <c r="LWB8" s="28"/>
      <c r="LWC8" s="28"/>
      <c r="LWD8" s="28"/>
      <c r="LWE8" s="28"/>
      <c r="LWF8" s="28"/>
      <c r="LWG8" s="28"/>
      <c r="LWH8" s="28"/>
      <c r="LWI8" s="28"/>
      <c r="LWJ8" s="28"/>
      <c r="LWK8" s="28"/>
      <c r="LWL8" s="28"/>
      <c r="LWM8" s="28"/>
      <c r="LWN8" s="28"/>
      <c r="LWO8" s="28"/>
      <c r="LWP8" s="28"/>
      <c r="LWQ8" s="28"/>
      <c r="LWR8" s="28"/>
      <c r="LWS8" s="28"/>
      <c r="LWT8" s="28"/>
      <c r="LWU8" s="28"/>
      <c r="LWV8" s="28"/>
      <c r="LWW8" s="28"/>
      <c r="LWX8" s="28"/>
      <c r="LWY8" s="28"/>
      <c r="LWZ8" s="28"/>
      <c r="LXA8" s="28"/>
      <c r="LXB8" s="28"/>
      <c r="LXC8" s="28"/>
      <c r="LXD8" s="28"/>
      <c r="LXE8" s="28"/>
      <c r="LXF8" s="28"/>
      <c r="LXG8" s="28"/>
      <c r="LXH8" s="28"/>
      <c r="LXI8" s="28"/>
      <c r="LXJ8" s="28"/>
      <c r="LXK8" s="28"/>
      <c r="LXL8" s="28"/>
      <c r="LXM8" s="28"/>
      <c r="LXN8" s="28"/>
      <c r="LXO8" s="28"/>
      <c r="LXP8" s="28"/>
      <c r="LXQ8" s="28"/>
      <c r="LXR8" s="28"/>
      <c r="LXS8" s="28"/>
      <c r="LXT8" s="28"/>
      <c r="LXU8" s="28"/>
      <c r="LXV8" s="28"/>
      <c r="LXW8" s="28"/>
      <c r="LXX8" s="28"/>
      <c r="LXY8" s="28"/>
      <c r="LXZ8" s="28"/>
      <c r="LYA8" s="28"/>
      <c r="LYB8" s="28"/>
      <c r="LYC8" s="28"/>
      <c r="LYD8" s="28"/>
      <c r="LYE8" s="28"/>
      <c r="LYF8" s="28"/>
      <c r="LYG8" s="28"/>
      <c r="LYH8" s="28"/>
      <c r="LYI8" s="28"/>
      <c r="LYJ8" s="28"/>
      <c r="LYK8" s="28"/>
      <c r="LYL8" s="28"/>
      <c r="LYM8" s="28"/>
      <c r="LYN8" s="28"/>
      <c r="LYO8" s="28"/>
      <c r="LYP8" s="28"/>
      <c r="LYQ8" s="28"/>
      <c r="LYR8" s="28"/>
      <c r="LYS8" s="28"/>
      <c r="LYT8" s="28"/>
      <c r="LYU8" s="28"/>
      <c r="LYV8" s="28"/>
      <c r="LYW8" s="28"/>
      <c r="LYX8" s="28"/>
      <c r="LYY8" s="28"/>
      <c r="LYZ8" s="28"/>
      <c r="LZA8" s="28"/>
      <c r="LZB8" s="28"/>
      <c r="LZC8" s="28"/>
      <c r="LZD8" s="28"/>
      <c r="LZE8" s="28"/>
      <c r="LZF8" s="28"/>
      <c r="LZG8" s="28"/>
      <c r="LZH8" s="28"/>
      <c r="LZI8" s="28"/>
      <c r="LZJ8" s="28"/>
      <c r="LZK8" s="28"/>
      <c r="LZL8" s="28"/>
      <c r="LZM8" s="28"/>
      <c r="LZN8" s="28"/>
      <c r="LZO8" s="28"/>
      <c r="LZP8" s="28"/>
      <c r="LZQ8" s="28"/>
      <c r="LZR8" s="28"/>
      <c r="LZS8" s="28"/>
      <c r="LZT8" s="28"/>
      <c r="LZU8" s="28"/>
      <c r="LZV8" s="28"/>
      <c r="LZW8" s="28"/>
      <c r="LZX8" s="28"/>
      <c r="LZY8" s="28"/>
      <c r="LZZ8" s="28"/>
      <c r="MAA8" s="28"/>
      <c r="MAB8" s="28"/>
      <c r="MAC8" s="28"/>
      <c r="MAD8" s="28"/>
      <c r="MAE8" s="28"/>
      <c r="MAF8" s="28"/>
      <c r="MAG8" s="28"/>
      <c r="MAH8" s="28"/>
      <c r="MAI8" s="28"/>
      <c r="MAJ8" s="28"/>
      <c r="MAK8" s="28"/>
      <c r="MAL8" s="28"/>
      <c r="MAM8" s="28"/>
      <c r="MAN8" s="28"/>
      <c r="MAO8" s="28"/>
      <c r="MAP8" s="28"/>
      <c r="MAQ8" s="28"/>
      <c r="MAR8" s="28"/>
      <c r="MAS8" s="28"/>
      <c r="MAT8" s="28"/>
      <c r="MAU8" s="28"/>
      <c r="MAV8" s="28"/>
      <c r="MAW8" s="28"/>
      <c r="MAX8" s="28"/>
      <c r="MAY8" s="28"/>
      <c r="MAZ8" s="28"/>
      <c r="MBA8" s="28"/>
      <c r="MBB8" s="28"/>
      <c r="MBC8" s="28"/>
      <c r="MBD8" s="28"/>
      <c r="MBE8" s="28"/>
      <c r="MBF8" s="28"/>
      <c r="MBG8" s="28"/>
      <c r="MBH8" s="28"/>
      <c r="MBI8" s="28"/>
      <c r="MBJ8" s="28"/>
      <c r="MBK8" s="28"/>
      <c r="MBL8" s="28"/>
      <c r="MBM8" s="28"/>
      <c r="MBN8" s="28"/>
      <c r="MBO8" s="28"/>
      <c r="MBP8" s="28"/>
      <c r="MBQ8" s="28"/>
      <c r="MBR8" s="28"/>
      <c r="MBS8" s="28"/>
      <c r="MBT8" s="28"/>
      <c r="MBU8" s="28"/>
      <c r="MBV8" s="28"/>
      <c r="MBW8" s="28"/>
      <c r="MBX8" s="28"/>
      <c r="MBY8" s="28"/>
      <c r="MBZ8" s="28"/>
      <c r="MCA8" s="28"/>
      <c r="MCB8" s="28"/>
      <c r="MCC8" s="28"/>
      <c r="MCD8" s="28"/>
      <c r="MCE8" s="28"/>
      <c r="MCF8" s="28"/>
      <c r="MCG8" s="28"/>
      <c r="MCH8" s="28"/>
      <c r="MCI8" s="28"/>
      <c r="MCJ8" s="28"/>
      <c r="MCK8" s="28"/>
      <c r="MCL8" s="28"/>
      <c r="MCM8" s="28"/>
      <c r="MCN8" s="28"/>
      <c r="MCO8" s="28"/>
      <c r="MCP8" s="28"/>
      <c r="MCQ8" s="28"/>
      <c r="MCR8" s="28"/>
      <c r="MCS8" s="28"/>
      <c r="MCT8" s="28"/>
      <c r="MCU8" s="28"/>
      <c r="MCV8" s="28"/>
      <c r="MCW8" s="28"/>
      <c r="MCX8" s="28"/>
      <c r="MCY8" s="28"/>
      <c r="MCZ8" s="28"/>
      <c r="MDA8" s="28"/>
      <c r="MDB8" s="28"/>
      <c r="MDC8" s="28"/>
      <c r="MDD8" s="28"/>
      <c r="MDE8" s="28"/>
      <c r="MDF8" s="28"/>
      <c r="MDG8" s="28"/>
      <c r="MDH8" s="28"/>
      <c r="MDI8" s="28"/>
      <c r="MDJ8" s="28"/>
      <c r="MDK8" s="28"/>
      <c r="MDL8" s="28"/>
      <c r="MDM8" s="28"/>
      <c r="MDN8" s="28"/>
      <c r="MDO8" s="28"/>
      <c r="MDP8" s="28"/>
      <c r="MDQ8" s="28"/>
      <c r="MDR8" s="28"/>
      <c r="MDS8" s="28"/>
      <c r="MDT8" s="28"/>
      <c r="MDU8" s="28"/>
      <c r="MDV8" s="28"/>
      <c r="MDW8" s="28"/>
      <c r="MDX8" s="28"/>
      <c r="MDY8" s="28"/>
      <c r="MDZ8" s="28"/>
      <c r="MEA8" s="28"/>
      <c r="MEB8" s="28"/>
      <c r="MEC8" s="28"/>
      <c r="MED8" s="28"/>
      <c r="MEE8" s="28"/>
      <c r="MEF8" s="28"/>
      <c r="MEG8" s="28"/>
      <c r="MEH8" s="28"/>
      <c r="MEI8" s="28"/>
      <c r="MEJ8" s="28"/>
      <c r="MEK8" s="28"/>
      <c r="MEL8" s="28"/>
      <c r="MEM8" s="28"/>
      <c r="MEN8" s="28"/>
      <c r="MEO8" s="28"/>
      <c r="MEP8" s="28"/>
      <c r="MEQ8" s="28"/>
      <c r="MER8" s="28"/>
      <c r="MES8" s="28"/>
      <c r="MET8" s="28"/>
      <c r="MEU8" s="28"/>
      <c r="MEV8" s="28"/>
      <c r="MEW8" s="28"/>
      <c r="MEX8" s="28"/>
      <c r="MEY8" s="28"/>
      <c r="MEZ8" s="28"/>
      <c r="MFA8" s="28"/>
      <c r="MFB8" s="28"/>
      <c r="MFC8" s="28"/>
      <c r="MFD8" s="28"/>
      <c r="MFE8" s="28"/>
      <c r="MFF8" s="28"/>
      <c r="MFG8" s="28"/>
      <c r="MFH8" s="28"/>
      <c r="MFI8" s="28"/>
      <c r="MFJ8" s="28"/>
      <c r="MFK8" s="28"/>
      <c r="MFL8" s="28"/>
      <c r="MFM8" s="28"/>
      <c r="MFN8" s="28"/>
      <c r="MFO8" s="28"/>
      <c r="MFP8" s="28"/>
      <c r="MFQ8" s="28"/>
      <c r="MFR8" s="28"/>
      <c r="MFS8" s="28"/>
      <c r="MFT8" s="28"/>
      <c r="MFU8" s="28"/>
      <c r="MFV8" s="28"/>
      <c r="MFW8" s="28"/>
      <c r="MFX8" s="28"/>
      <c r="MFY8" s="28"/>
      <c r="MFZ8" s="28"/>
      <c r="MGA8" s="28"/>
      <c r="MGB8" s="28"/>
      <c r="MGC8" s="28"/>
      <c r="MGD8" s="28"/>
      <c r="MGE8" s="28"/>
      <c r="MGF8" s="28"/>
      <c r="MGG8" s="28"/>
      <c r="MGH8" s="28"/>
      <c r="MGI8" s="28"/>
      <c r="MGJ8" s="28"/>
      <c r="MGK8" s="28"/>
      <c r="MGL8" s="28"/>
      <c r="MGM8" s="28"/>
      <c r="MGN8" s="28"/>
      <c r="MGO8" s="28"/>
      <c r="MGP8" s="28"/>
      <c r="MGQ8" s="28"/>
      <c r="MGR8" s="28"/>
      <c r="MGS8" s="28"/>
      <c r="MGT8" s="28"/>
      <c r="MGU8" s="28"/>
      <c r="MGV8" s="28"/>
      <c r="MGW8" s="28"/>
      <c r="MGX8" s="28"/>
      <c r="MGY8" s="28"/>
      <c r="MGZ8" s="28"/>
      <c r="MHA8" s="28"/>
      <c r="MHB8" s="28"/>
      <c r="MHC8" s="28"/>
      <c r="MHD8" s="28"/>
      <c r="MHE8" s="28"/>
      <c r="MHF8" s="28"/>
      <c r="MHG8" s="28"/>
      <c r="MHH8" s="28"/>
      <c r="MHI8" s="28"/>
      <c r="MHJ8" s="28"/>
      <c r="MHK8" s="28"/>
      <c r="MHL8" s="28"/>
      <c r="MHM8" s="28"/>
      <c r="MHN8" s="28"/>
      <c r="MHO8" s="28"/>
      <c r="MHP8" s="28"/>
      <c r="MHQ8" s="28"/>
      <c r="MHR8" s="28"/>
      <c r="MHS8" s="28"/>
      <c r="MHT8" s="28"/>
      <c r="MHU8" s="28"/>
      <c r="MHV8" s="28"/>
      <c r="MHW8" s="28"/>
      <c r="MHX8" s="28"/>
      <c r="MHY8" s="28"/>
      <c r="MHZ8" s="28"/>
      <c r="MIA8" s="28"/>
      <c r="MIB8" s="28"/>
      <c r="MIC8" s="28"/>
      <c r="MID8" s="28"/>
      <c r="MIE8" s="28"/>
      <c r="MIF8" s="28"/>
      <c r="MIG8" s="28"/>
      <c r="MIH8" s="28"/>
      <c r="MII8" s="28"/>
      <c r="MIJ8" s="28"/>
      <c r="MIK8" s="28"/>
      <c r="MIL8" s="28"/>
      <c r="MIM8" s="28"/>
      <c r="MIN8" s="28"/>
      <c r="MIO8" s="28"/>
      <c r="MIP8" s="28"/>
      <c r="MIQ8" s="28"/>
      <c r="MIR8" s="28"/>
      <c r="MIS8" s="28"/>
      <c r="MIT8" s="28"/>
      <c r="MIU8" s="28"/>
      <c r="MIV8" s="28"/>
      <c r="MIW8" s="28"/>
      <c r="MIX8" s="28"/>
      <c r="MIY8" s="28"/>
      <c r="MIZ8" s="28"/>
      <c r="MJA8" s="28"/>
      <c r="MJB8" s="28"/>
      <c r="MJC8" s="28"/>
      <c r="MJD8" s="28"/>
      <c r="MJE8" s="28"/>
      <c r="MJF8" s="28"/>
      <c r="MJG8" s="28"/>
      <c r="MJH8" s="28"/>
      <c r="MJI8" s="28"/>
      <c r="MJJ8" s="28"/>
      <c r="MJK8" s="28"/>
      <c r="MJL8" s="28"/>
      <c r="MJM8" s="28"/>
      <c r="MJN8" s="28"/>
      <c r="MJO8" s="28"/>
      <c r="MJP8" s="28"/>
      <c r="MJQ8" s="28"/>
      <c r="MJR8" s="28"/>
      <c r="MJS8" s="28"/>
      <c r="MJT8" s="28"/>
      <c r="MJU8" s="28"/>
      <c r="MJV8" s="28"/>
      <c r="MJW8" s="28"/>
      <c r="MJX8" s="28"/>
      <c r="MJY8" s="28"/>
      <c r="MJZ8" s="28"/>
      <c r="MKA8" s="28"/>
      <c r="MKB8" s="28"/>
      <c r="MKC8" s="28"/>
      <c r="MKD8" s="28"/>
      <c r="MKE8" s="28"/>
      <c r="MKF8" s="28"/>
      <c r="MKG8" s="28"/>
      <c r="MKH8" s="28"/>
      <c r="MKI8" s="28"/>
      <c r="MKJ8" s="28"/>
      <c r="MKK8" s="28"/>
      <c r="MKL8" s="28"/>
      <c r="MKM8" s="28"/>
      <c r="MKN8" s="28"/>
      <c r="MKO8" s="28"/>
      <c r="MKP8" s="28"/>
      <c r="MKQ8" s="28"/>
      <c r="MKR8" s="28"/>
      <c r="MKS8" s="28"/>
      <c r="MKT8" s="28"/>
      <c r="MKU8" s="28"/>
      <c r="MKV8" s="28"/>
      <c r="MKW8" s="28"/>
      <c r="MKX8" s="28"/>
      <c r="MKY8" s="28"/>
      <c r="MKZ8" s="28"/>
      <c r="MLA8" s="28"/>
      <c r="MLB8" s="28"/>
      <c r="MLC8" s="28"/>
      <c r="MLD8" s="28"/>
      <c r="MLE8" s="28"/>
      <c r="MLF8" s="28"/>
      <c r="MLG8" s="28"/>
      <c r="MLH8" s="28"/>
      <c r="MLI8" s="28"/>
      <c r="MLJ8" s="28"/>
      <c r="MLK8" s="28"/>
      <c r="MLL8" s="28"/>
      <c r="MLM8" s="28"/>
      <c r="MLN8" s="28"/>
      <c r="MLO8" s="28"/>
      <c r="MLP8" s="28"/>
      <c r="MLQ8" s="28"/>
      <c r="MLR8" s="28"/>
      <c r="MLS8" s="28"/>
      <c r="MLT8" s="28"/>
      <c r="MLU8" s="28"/>
      <c r="MLV8" s="28"/>
      <c r="MLW8" s="28"/>
      <c r="MLX8" s="28"/>
      <c r="MLY8" s="28"/>
      <c r="MLZ8" s="28"/>
      <c r="MMA8" s="28"/>
      <c r="MMB8" s="28"/>
      <c r="MMC8" s="28"/>
      <c r="MMD8" s="28"/>
      <c r="MME8" s="28"/>
      <c r="MMF8" s="28"/>
      <c r="MMG8" s="28"/>
      <c r="MMH8" s="28"/>
      <c r="MMI8" s="28"/>
      <c r="MMJ8" s="28"/>
      <c r="MMK8" s="28"/>
      <c r="MML8" s="28"/>
      <c r="MMM8" s="28"/>
      <c r="MMN8" s="28"/>
      <c r="MMO8" s="28"/>
      <c r="MMP8" s="28"/>
      <c r="MMQ8" s="28"/>
      <c r="MMR8" s="28"/>
      <c r="MMS8" s="28"/>
      <c r="MMT8" s="28"/>
      <c r="MMU8" s="28"/>
      <c r="MMV8" s="28"/>
      <c r="MMW8" s="28"/>
      <c r="MMX8" s="28"/>
      <c r="MMY8" s="28"/>
      <c r="MMZ8" s="28"/>
      <c r="MNA8" s="28"/>
      <c r="MNB8" s="28"/>
      <c r="MNC8" s="28"/>
      <c r="MND8" s="28"/>
      <c r="MNE8" s="28"/>
      <c r="MNF8" s="28"/>
      <c r="MNG8" s="28"/>
      <c r="MNH8" s="28"/>
      <c r="MNI8" s="28"/>
      <c r="MNJ8" s="28"/>
      <c r="MNK8" s="28"/>
      <c r="MNL8" s="28"/>
      <c r="MNM8" s="28"/>
      <c r="MNN8" s="28"/>
      <c r="MNO8" s="28"/>
      <c r="MNP8" s="28"/>
      <c r="MNQ8" s="28"/>
      <c r="MNR8" s="28"/>
      <c r="MNS8" s="28"/>
      <c r="MNT8" s="28"/>
      <c r="MNU8" s="28"/>
      <c r="MNV8" s="28"/>
      <c r="MNW8" s="28"/>
      <c r="MNX8" s="28"/>
      <c r="MNY8" s="28"/>
      <c r="MNZ8" s="28"/>
      <c r="MOA8" s="28"/>
      <c r="MOB8" s="28"/>
      <c r="MOC8" s="28"/>
      <c r="MOD8" s="28"/>
      <c r="MOE8" s="28"/>
      <c r="MOF8" s="28"/>
      <c r="MOG8" s="28"/>
      <c r="MOH8" s="28"/>
      <c r="MOI8" s="28"/>
      <c r="MOJ8" s="28"/>
      <c r="MOK8" s="28"/>
      <c r="MOL8" s="28"/>
      <c r="MOM8" s="28"/>
      <c r="MON8" s="28"/>
      <c r="MOO8" s="28"/>
      <c r="MOP8" s="28"/>
      <c r="MOQ8" s="28"/>
      <c r="MOR8" s="28"/>
      <c r="MOS8" s="28"/>
      <c r="MOT8" s="28"/>
      <c r="MOU8" s="28"/>
      <c r="MOV8" s="28"/>
      <c r="MOW8" s="28"/>
      <c r="MOX8" s="28"/>
      <c r="MOY8" s="28"/>
      <c r="MOZ8" s="28"/>
      <c r="MPA8" s="28"/>
      <c r="MPB8" s="28"/>
      <c r="MPC8" s="28"/>
      <c r="MPD8" s="28"/>
      <c r="MPE8" s="28"/>
      <c r="MPF8" s="28"/>
      <c r="MPG8" s="28"/>
      <c r="MPH8" s="28"/>
      <c r="MPI8" s="28"/>
      <c r="MPJ8" s="28"/>
      <c r="MPK8" s="28"/>
      <c r="MPL8" s="28"/>
      <c r="MPM8" s="28"/>
      <c r="MPN8" s="28"/>
      <c r="MPO8" s="28"/>
      <c r="MPP8" s="28"/>
      <c r="MPQ8" s="28"/>
      <c r="MPR8" s="28"/>
      <c r="MPS8" s="28"/>
      <c r="MPT8" s="28"/>
      <c r="MPU8" s="28"/>
      <c r="MPV8" s="28"/>
      <c r="MPW8" s="28"/>
      <c r="MPX8" s="28"/>
      <c r="MPY8" s="28"/>
      <c r="MPZ8" s="28"/>
      <c r="MQA8" s="28"/>
      <c r="MQB8" s="28"/>
      <c r="MQC8" s="28"/>
      <c r="MQD8" s="28"/>
      <c r="MQE8" s="28"/>
      <c r="MQF8" s="28"/>
      <c r="MQG8" s="28"/>
      <c r="MQH8" s="28"/>
      <c r="MQI8" s="28"/>
      <c r="MQJ8" s="28"/>
      <c r="MQK8" s="28"/>
      <c r="MQL8" s="28"/>
      <c r="MQM8" s="28"/>
      <c r="MQN8" s="28"/>
      <c r="MQO8" s="28"/>
      <c r="MQP8" s="28"/>
      <c r="MQQ8" s="28"/>
      <c r="MQR8" s="28"/>
      <c r="MQS8" s="28"/>
      <c r="MQT8" s="28"/>
      <c r="MQU8" s="28"/>
      <c r="MQV8" s="28"/>
      <c r="MQW8" s="28"/>
      <c r="MQX8" s="28"/>
      <c r="MQY8" s="28"/>
      <c r="MQZ8" s="28"/>
      <c r="MRA8" s="28"/>
      <c r="MRB8" s="28"/>
      <c r="MRC8" s="28"/>
      <c r="MRD8" s="28"/>
      <c r="MRE8" s="28"/>
      <c r="MRF8" s="28"/>
      <c r="MRG8" s="28"/>
      <c r="MRH8" s="28"/>
      <c r="MRI8" s="28"/>
      <c r="MRJ8" s="28"/>
      <c r="MRK8" s="28"/>
      <c r="MRL8" s="28"/>
      <c r="MRM8" s="28"/>
      <c r="MRN8" s="28"/>
      <c r="MRO8" s="28"/>
      <c r="MRP8" s="28"/>
      <c r="MRQ8" s="28"/>
      <c r="MRR8" s="28"/>
      <c r="MRS8" s="28"/>
      <c r="MRT8" s="28"/>
      <c r="MRU8" s="28"/>
      <c r="MRV8" s="28"/>
      <c r="MRW8" s="28"/>
      <c r="MRX8" s="28"/>
      <c r="MRY8" s="28"/>
      <c r="MRZ8" s="28"/>
      <c r="MSA8" s="28"/>
      <c r="MSB8" s="28"/>
      <c r="MSC8" s="28"/>
      <c r="MSD8" s="28"/>
      <c r="MSE8" s="28"/>
      <c r="MSF8" s="28"/>
      <c r="MSG8" s="28"/>
      <c r="MSH8" s="28"/>
      <c r="MSI8" s="28"/>
      <c r="MSJ8" s="28"/>
      <c r="MSK8" s="28"/>
      <c r="MSL8" s="28"/>
      <c r="MSM8" s="28"/>
      <c r="MSN8" s="28"/>
      <c r="MSO8" s="28"/>
      <c r="MSP8" s="28"/>
      <c r="MSQ8" s="28"/>
      <c r="MSR8" s="28"/>
      <c r="MSS8" s="28"/>
      <c r="MST8" s="28"/>
      <c r="MSU8" s="28"/>
      <c r="MSV8" s="28"/>
      <c r="MSW8" s="28"/>
      <c r="MSX8" s="28"/>
      <c r="MSY8" s="28"/>
      <c r="MSZ8" s="28"/>
      <c r="MTA8" s="28"/>
      <c r="MTB8" s="28"/>
      <c r="MTC8" s="28"/>
      <c r="MTD8" s="28"/>
      <c r="MTE8" s="28"/>
      <c r="MTF8" s="28"/>
      <c r="MTG8" s="28"/>
      <c r="MTH8" s="28"/>
      <c r="MTI8" s="28"/>
      <c r="MTJ8" s="28"/>
      <c r="MTK8" s="28"/>
      <c r="MTL8" s="28"/>
      <c r="MTM8" s="28"/>
      <c r="MTN8" s="28"/>
      <c r="MTO8" s="28"/>
      <c r="MTP8" s="28"/>
      <c r="MTQ8" s="28"/>
      <c r="MTR8" s="28"/>
      <c r="MTS8" s="28"/>
      <c r="MTT8" s="28"/>
      <c r="MTU8" s="28"/>
      <c r="MTV8" s="28"/>
      <c r="MTW8" s="28"/>
      <c r="MTX8" s="28"/>
      <c r="MTY8" s="28"/>
      <c r="MTZ8" s="28"/>
      <c r="MUA8" s="28"/>
      <c r="MUB8" s="28"/>
      <c r="MUC8" s="28"/>
      <c r="MUD8" s="28"/>
      <c r="MUE8" s="28"/>
      <c r="MUF8" s="28"/>
      <c r="MUG8" s="28"/>
      <c r="MUH8" s="28"/>
      <c r="MUI8" s="28"/>
      <c r="MUJ8" s="28"/>
      <c r="MUK8" s="28"/>
      <c r="MUL8" s="28"/>
      <c r="MUM8" s="28"/>
      <c r="MUN8" s="28"/>
      <c r="MUO8" s="28"/>
      <c r="MUP8" s="28"/>
      <c r="MUQ8" s="28"/>
      <c r="MUR8" s="28"/>
      <c r="MUS8" s="28"/>
      <c r="MUT8" s="28"/>
      <c r="MUU8" s="28"/>
      <c r="MUV8" s="28"/>
      <c r="MUW8" s="28"/>
      <c r="MUX8" s="28"/>
      <c r="MUY8" s="28"/>
      <c r="MUZ8" s="28"/>
      <c r="MVA8" s="28"/>
      <c r="MVB8" s="28"/>
      <c r="MVC8" s="28"/>
      <c r="MVD8" s="28"/>
      <c r="MVE8" s="28"/>
      <c r="MVF8" s="28"/>
      <c r="MVG8" s="28"/>
      <c r="MVH8" s="28"/>
      <c r="MVI8" s="28"/>
      <c r="MVJ8" s="28"/>
      <c r="MVK8" s="28"/>
      <c r="MVL8" s="28"/>
      <c r="MVM8" s="28"/>
      <c r="MVN8" s="28"/>
      <c r="MVO8" s="28"/>
      <c r="MVP8" s="28"/>
      <c r="MVQ8" s="28"/>
      <c r="MVR8" s="28"/>
      <c r="MVS8" s="28"/>
      <c r="MVT8" s="28"/>
      <c r="MVU8" s="28"/>
      <c r="MVV8" s="28"/>
      <c r="MVW8" s="28"/>
      <c r="MVX8" s="28"/>
      <c r="MVY8" s="28"/>
      <c r="MVZ8" s="28"/>
      <c r="MWA8" s="28"/>
      <c r="MWB8" s="28"/>
      <c r="MWC8" s="28"/>
      <c r="MWD8" s="28"/>
      <c r="MWE8" s="28"/>
      <c r="MWF8" s="28"/>
      <c r="MWG8" s="28"/>
      <c r="MWH8" s="28"/>
      <c r="MWI8" s="28"/>
      <c r="MWJ8" s="28"/>
      <c r="MWK8" s="28"/>
      <c r="MWL8" s="28"/>
      <c r="MWM8" s="28"/>
      <c r="MWN8" s="28"/>
      <c r="MWO8" s="28"/>
      <c r="MWP8" s="28"/>
      <c r="MWQ8" s="28"/>
      <c r="MWR8" s="28"/>
      <c r="MWS8" s="28"/>
      <c r="MWT8" s="28"/>
      <c r="MWU8" s="28"/>
      <c r="MWV8" s="28"/>
      <c r="MWW8" s="28"/>
      <c r="MWX8" s="28"/>
      <c r="MWY8" s="28"/>
      <c r="MWZ8" s="28"/>
      <c r="MXA8" s="28"/>
      <c r="MXB8" s="28"/>
      <c r="MXC8" s="28"/>
      <c r="MXD8" s="28"/>
      <c r="MXE8" s="28"/>
      <c r="MXF8" s="28"/>
      <c r="MXG8" s="28"/>
      <c r="MXH8" s="28"/>
      <c r="MXI8" s="28"/>
      <c r="MXJ8" s="28"/>
      <c r="MXK8" s="28"/>
      <c r="MXL8" s="28"/>
      <c r="MXM8" s="28"/>
      <c r="MXN8" s="28"/>
      <c r="MXO8" s="28"/>
      <c r="MXP8" s="28"/>
      <c r="MXQ8" s="28"/>
      <c r="MXR8" s="28"/>
      <c r="MXS8" s="28"/>
      <c r="MXT8" s="28"/>
      <c r="MXU8" s="28"/>
      <c r="MXV8" s="28"/>
      <c r="MXW8" s="28"/>
      <c r="MXX8" s="28"/>
      <c r="MXY8" s="28"/>
      <c r="MXZ8" s="28"/>
      <c r="MYA8" s="28"/>
      <c r="MYB8" s="28"/>
      <c r="MYC8" s="28"/>
      <c r="MYD8" s="28"/>
      <c r="MYE8" s="28"/>
      <c r="MYF8" s="28"/>
      <c r="MYG8" s="28"/>
      <c r="MYH8" s="28"/>
      <c r="MYI8" s="28"/>
      <c r="MYJ8" s="28"/>
      <c r="MYK8" s="28"/>
      <c r="MYL8" s="28"/>
      <c r="MYM8" s="28"/>
      <c r="MYN8" s="28"/>
      <c r="MYO8" s="28"/>
      <c r="MYP8" s="28"/>
      <c r="MYQ8" s="28"/>
      <c r="MYR8" s="28"/>
      <c r="MYS8" s="28"/>
      <c r="MYT8" s="28"/>
      <c r="MYU8" s="28"/>
      <c r="MYV8" s="28"/>
      <c r="MYW8" s="28"/>
      <c r="MYX8" s="28"/>
      <c r="MYY8" s="28"/>
      <c r="MYZ8" s="28"/>
      <c r="MZA8" s="28"/>
      <c r="MZB8" s="28"/>
      <c r="MZC8" s="28"/>
      <c r="MZD8" s="28"/>
      <c r="MZE8" s="28"/>
      <c r="MZF8" s="28"/>
      <c r="MZG8" s="28"/>
      <c r="MZH8" s="28"/>
      <c r="MZI8" s="28"/>
      <c r="MZJ8" s="28"/>
      <c r="MZK8" s="28"/>
      <c r="MZL8" s="28"/>
      <c r="MZM8" s="28"/>
      <c r="MZN8" s="28"/>
      <c r="MZO8" s="28"/>
      <c r="MZP8" s="28"/>
      <c r="MZQ8" s="28"/>
      <c r="MZR8" s="28"/>
      <c r="MZS8" s="28"/>
      <c r="MZT8" s="28"/>
      <c r="MZU8" s="28"/>
      <c r="MZV8" s="28"/>
      <c r="MZW8" s="28"/>
      <c r="MZX8" s="28"/>
      <c r="MZY8" s="28"/>
      <c r="MZZ8" s="28"/>
      <c r="NAA8" s="28"/>
      <c r="NAB8" s="28"/>
      <c r="NAC8" s="28"/>
      <c r="NAD8" s="28"/>
      <c r="NAE8" s="28"/>
      <c r="NAF8" s="28"/>
      <c r="NAG8" s="28"/>
      <c r="NAH8" s="28"/>
      <c r="NAI8" s="28"/>
      <c r="NAJ8" s="28"/>
      <c r="NAK8" s="28"/>
      <c r="NAL8" s="28"/>
      <c r="NAM8" s="28"/>
      <c r="NAN8" s="28"/>
      <c r="NAO8" s="28"/>
      <c r="NAP8" s="28"/>
      <c r="NAQ8" s="28"/>
      <c r="NAR8" s="28"/>
      <c r="NAS8" s="28"/>
      <c r="NAT8" s="28"/>
      <c r="NAU8" s="28"/>
      <c r="NAV8" s="28"/>
      <c r="NAW8" s="28"/>
      <c r="NAX8" s="28"/>
      <c r="NAY8" s="28"/>
      <c r="NAZ8" s="28"/>
      <c r="NBA8" s="28"/>
      <c r="NBB8" s="28"/>
      <c r="NBC8" s="28"/>
      <c r="NBD8" s="28"/>
      <c r="NBE8" s="28"/>
      <c r="NBF8" s="28"/>
      <c r="NBG8" s="28"/>
      <c r="NBH8" s="28"/>
      <c r="NBI8" s="28"/>
      <c r="NBJ8" s="28"/>
      <c r="NBK8" s="28"/>
      <c r="NBL8" s="28"/>
      <c r="NBM8" s="28"/>
      <c r="NBN8" s="28"/>
      <c r="NBO8" s="28"/>
      <c r="NBP8" s="28"/>
      <c r="NBQ8" s="28"/>
      <c r="NBR8" s="28"/>
      <c r="NBS8" s="28"/>
      <c r="NBT8" s="28"/>
      <c r="NBU8" s="28"/>
      <c r="NBV8" s="28"/>
      <c r="NBW8" s="28"/>
      <c r="NBX8" s="28"/>
      <c r="NBY8" s="28"/>
      <c r="NBZ8" s="28"/>
      <c r="NCA8" s="28"/>
      <c r="NCB8" s="28"/>
      <c r="NCC8" s="28"/>
      <c r="NCD8" s="28"/>
      <c r="NCE8" s="28"/>
      <c r="NCF8" s="28"/>
      <c r="NCG8" s="28"/>
      <c r="NCH8" s="28"/>
      <c r="NCI8" s="28"/>
      <c r="NCJ8" s="28"/>
      <c r="NCK8" s="28"/>
      <c r="NCL8" s="28"/>
      <c r="NCM8" s="28"/>
      <c r="NCN8" s="28"/>
      <c r="NCO8" s="28"/>
      <c r="NCP8" s="28"/>
      <c r="NCQ8" s="28"/>
      <c r="NCR8" s="28"/>
      <c r="NCS8" s="28"/>
      <c r="NCT8" s="28"/>
      <c r="NCU8" s="28"/>
      <c r="NCV8" s="28"/>
      <c r="NCW8" s="28"/>
      <c r="NCX8" s="28"/>
      <c r="NCY8" s="28"/>
      <c r="NCZ8" s="28"/>
      <c r="NDA8" s="28"/>
      <c r="NDB8" s="28"/>
      <c r="NDC8" s="28"/>
      <c r="NDD8" s="28"/>
      <c r="NDE8" s="28"/>
      <c r="NDF8" s="28"/>
      <c r="NDG8" s="28"/>
      <c r="NDH8" s="28"/>
      <c r="NDI8" s="28"/>
      <c r="NDJ8" s="28"/>
      <c r="NDK8" s="28"/>
      <c r="NDL8" s="28"/>
      <c r="NDM8" s="28"/>
      <c r="NDN8" s="28"/>
      <c r="NDO8" s="28"/>
      <c r="NDP8" s="28"/>
      <c r="NDQ8" s="28"/>
      <c r="NDR8" s="28"/>
      <c r="NDS8" s="28"/>
      <c r="NDT8" s="28"/>
      <c r="NDU8" s="28"/>
      <c r="NDV8" s="28"/>
      <c r="NDW8" s="28"/>
      <c r="NDX8" s="28"/>
      <c r="NDY8" s="28"/>
      <c r="NDZ8" s="28"/>
      <c r="NEA8" s="28"/>
      <c r="NEB8" s="28"/>
      <c r="NEC8" s="28"/>
      <c r="NED8" s="28"/>
      <c r="NEE8" s="28"/>
      <c r="NEF8" s="28"/>
      <c r="NEG8" s="28"/>
      <c r="NEH8" s="28"/>
      <c r="NEI8" s="28"/>
      <c r="NEJ8" s="28"/>
      <c r="NEK8" s="28"/>
      <c r="NEL8" s="28"/>
      <c r="NEM8" s="28"/>
      <c r="NEN8" s="28"/>
      <c r="NEO8" s="28"/>
      <c r="NEP8" s="28"/>
      <c r="NEQ8" s="28"/>
      <c r="NER8" s="28"/>
      <c r="NES8" s="28"/>
      <c r="NET8" s="28"/>
      <c r="NEU8" s="28"/>
      <c r="NEV8" s="28"/>
      <c r="NEW8" s="28"/>
      <c r="NEX8" s="28"/>
      <c r="NEY8" s="28"/>
      <c r="NEZ8" s="28"/>
      <c r="NFA8" s="28"/>
      <c r="NFB8" s="28"/>
      <c r="NFC8" s="28"/>
      <c r="NFD8" s="28"/>
      <c r="NFE8" s="28"/>
      <c r="NFF8" s="28"/>
      <c r="NFG8" s="28"/>
      <c r="NFH8" s="28"/>
      <c r="NFI8" s="28"/>
      <c r="NFJ8" s="28"/>
      <c r="NFK8" s="28"/>
      <c r="NFL8" s="28"/>
      <c r="NFM8" s="28"/>
      <c r="NFN8" s="28"/>
      <c r="NFO8" s="28"/>
      <c r="NFP8" s="28"/>
      <c r="NFQ8" s="28"/>
      <c r="NFR8" s="28"/>
      <c r="NFS8" s="28"/>
      <c r="NFT8" s="28"/>
      <c r="NFU8" s="28"/>
      <c r="NFV8" s="28"/>
      <c r="NFW8" s="28"/>
      <c r="NFX8" s="28"/>
      <c r="NFY8" s="28"/>
      <c r="NFZ8" s="28"/>
      <c r="NGA8" s="28"/>
      <c r="NGB8" s="28"/>
      <c r="NGC8" s="28"/>
      <c r="NGD8" s="28"/>
      <c r="NGE8" s="28"/>
      <c r="NGF8" s="28"/>
      <c r="NGG8" s="28"/>
      <c r="NGH8" s="28"/>
      <c r="NGI8" s="28"/>
      <c r="NGJ8" s="28"/>
      <c r="NGK8" s="28"/>
      <c r="NGL8" s="28"/>
      <c r="NGM8" s="28"/>
      <c r="NGN8" s="28"/>
      <c r="NGO8" s="28"/>
      <c r="NGP8" s="28"/>
      <c r="NGQ8" s="28"/>
      <c r="NGR8" s="28"/>
      <c r="NGS8" s="28"/>
      <c r="NGT8" s="28"/>
      <c r="NGU8" s="28"/>
      <c r="NGV8" s="28"/>
      <c r="NGW8" s="28"/>
      <c r="NGX8" s="28"/>
      <c r="NGY8" s="28"/>
      <c r="NGZ8" s="28"/>
      <c r="NHA8" s="28"/>
      <c r="NHB8" s="28"/>
      <c r="NHC8" s="28"/>
      <c r="NHD8" s="28"/>
      <c r="NHE8" s="28"/>
      <c r="NHF8" s="28"/>
      <c r="NHG8" s="28"/>
      <c r="NHH8" s="28"/>
      <c r="NHI8" s="28"/>
      <c r="NHJ8" s="28"/>
      <c r="NHK8" s="28"/>
      <c r="NHL8" s="28"/>
      <c r="NHM8" s="28"/>
      <c r="NHN8" s="28"/>
      <c r="NHO8" s="28"/>
      <c r="NHP8" s="28"/>
      <c r="NHQ8" s="28"/>
      <c r="NHR8" s="28"/>
      <c r="NHS8" s="28"/>
      <c r="NHT8" s="28"/>
      <c r="NHU8" s="28"/>
      <c r="NHV8" s="28"/>
      <c r="NHW8" s="28"/>
      <c r="NHX8" s="28"/>
      <c r="NHY8" s="28"/>
      <c r="NHZ8" s="28"/>
      <c r="NIA8" s="28"/>
      <c r="NIB8" s="28"/>
      <c r="NIC8" s="28"/>
      <c r="NID8" s="28"/>
      <c r="NIE8" s="28"/>
      <c r="NIF8" s="28"/>
      <c r="NIG8" s="28"/>
      <c r="NIH8" s="28"/>
      <c r="NII8" s="28"/>
      <c r="NIJ8" s="28"/>
      <c r="NIK8" s="28"/>
      <c r="NIL8" s="28"/>
      <c r="NIM8" s="28"/>
      <c r="NIN8" s="28"/>
      <c r="NIO8" s="28"/>
      <c r="NIP8" s="28"/>
      <c r="NIQ8" s="28"/>
      <c r="NIR8" s="28"/>
      <c r="NIS8" s="28"/>
      <c r="NIT8" s="28"/>
      <c r="NIU8" s="28"/>
      <c r="NIV8" s="28"/>
      <c r="NIW8" s="28"/>
      <c r="NIX8" s="28"/>
      <c r="NIY8" s="28"/>
      <c r="NIZ8" s="28"/>
      <c r="NJA8" s="28"/>
      <c r="NJB8" s="28"/>
      <c r="NJC8" s="28"/>
      <c r="NJD8" s="28"/>
      <c r="NJE8" s="28"/>
      <c r="NJF8" s="28"/>
      <c r="NJG8" s="28"/>
      <c r="NJH8" s="28"/>
      <c r="NJI8" s="28"/>
      <c r="NJJ8" s="28"/>
      <c r="NJK8" s="28"/>
      <c r="NJL8" s="28"/>
      <c r="NJM8" s="28"/>
      <c r="NJN8" s="28"/>
      <c r="NJO8" s="28"/>
      <c r="NJP8" s="28"/>
      <c r="NJQ8" s="28"/>
      <c r="NJR8" s="28"/>
      <c r="NJS8" s="28"/>
      <c r="NJT8" s="28"/>
      <c r="NJU8" s="28"/>
      <c r="NJV8" s="28"/>
      <c r="NJW8" s="28"/>
      <c r="NJX8" s="28"/>
      <c r="NJY8" s="28"/>
      <c r="NJZ8" s="28"/>
      <c r="NKA8" s="28"/>
      <c r="NKB8" s="28"/>
      <c r="NKC8" s="28"/>
      <c r="NKD8" s="28"/>
      <c r="NKE8" s="28"/>
      <c r="NKF8" s="28"/>
      <c r="NKG8" s="28"/>
      <c r="NKH8" s="28"/>
      <c r="NKI8" s="28"/>
      <c r="NKJ8" s="28"/>
      <c r="NKK8" s="28"/>
      <c r="NKL8" s="28"/>
      <c r="NKM8" s="28"/>
      <c r="NKN8" s="28"/>
      <c r="NKO8" s="28"/>
      <c r="NKP8" s="28"/>
      <c r="NKQ8" s="28"/>
      <c r="NKR8" s="28"/>
      <c r="NKS8" s="28"/>
      <c r="NKT8" s="28"/>
      <c r="NKU8" s="28"/>
      <c r="NKV8" s="28"/>
      <c r="NKW8" s="28"/>
      <c r="NKX8" s="28"/>
      <c r="NKY8" s="28"/>
      <c r="NKZ8" s="28"/>
      <c r="NLA8" s="28"/>
      <c r="NLB8" s="28"/>
      <c r="NLC8" s="28"/>
      <c r="NLD8" s="28"/>
      <c r="NLE8" s="28"/>
      <c r="NLF8" s="28"/>
      <c r="NLG8" s="28"/>
      <c r="NLH8" s="28"/>
      <c r="NLI8" s="28"/>
      <c r="NLJ8" s="28"/>
      <c r="NLK8" s="28"/>
      <c r="NLL8" s="28"/>
      <c r="NLM8" s="28"/>
      <c r="NLN8" s="28"/>
      <c r="NLO8" s="28"/>
      <c r="NLP8" s="28"/>
      <c r="NLQ8" s="28"/>
      <c r="NLR8" s="28"/>
      <c r="NLS8" s="28"/>
      <c r="NLT8" s="28"/>
      <c r="NLU8" s="28"/>
      <c r="NLV8" s="28"/>
      <c r="NLW8" s="28"/>
      <c r="NLX8" s="28"/>
      <c r="NLY8" s="28"/>
      <c r="NLZ8" s="28"/>
      <c r="NMA8" s="28"/>
      <c r="NMB8" s="28"/>
      <c r="NMC8" s="28"/>
      <c r="NMD8" s="28"/>
      <c r="NME8" s="28"/>
      <c r="NMF8" s="28"/>
      <c r="NMG8" s="28"/>
      <c r="NMH8" s="28"/>
      <c r="NMI8" s="28"/>
      <c r="NMJ8" s="28"/>
      <c r="NMK8" s="28"/>
      <c r="NML8" s="28"/>
      <c r="NMM8" s="28"/>
      <c r="NMN8" s="28"/>
      <c r="NMO8" s="28"/>
      <c r="NMP8" s="28"/>
      <c r="NMQ8" s="28"/>
      <c r="NMR8" s="28"/>
      <c r="NMS8" s="28"/>
      <c r="NMT8" s="28"/>
      <c r="NMU8" s="28"/>
      <c r="NMV8" s="28"/>
      <c r="NMW8" s="28"/>
      <c r="NMX8" s="28"/>
      <c r="NMY8" s="28"/>
      <c r="NMZ8" s="28"/>
      <c r="NNA8" s="28"/>
      <c r="NNB8" s="28"/>
      <c r="NNC8" s="28"/>
      <c r="NND8" s="28"/>
      <c r="NNE8" s="28"/>
      <c r="NNF8" s="28"/>
      <c r="NNG8" s="28"/>
      <c r="NNH8" s="28"/>
      <c r="NNI8" s="28"/>
      <c r="NNJ8" s="28"/>
      <c r="NNK8" s="28"/>
      <c r="NNL8" s="28"/>
      <c r="NNM8" s="28"/>
      <c r="NNN8" s="28"/>
      <c r="NNO8" s="28"/>
      <c r="NNP8" s="28"/>
      <c r="NNQ8" s="28"/>
      <c r="NNR8" s="28"/>
      <c r="NNS8" s="28"/>
      <c r="NNT8" s="28"/>
      <c r="NNU8" s="28"/>
      <c r="NNV8" s="28"/>
      <c r="NNW8" s="28"/>
      <c r="NNX8" s="28"/>
      <c r="NNY8" s="28"/>
      <c r="NNZ8" s="28"/>
      <c r="NOA8" s="28"/>
      <c r="NOB8" s="28"/>
      <c r="NOC8" s="28"/>
      <c r="NOD8" s="28"/>
      <c r="NOE8" s="28"/>
      <c r="NOF8" s="28"/>
      <c r="NOG8" s="28"/>
      <c r="NOH8" s="28"/>
      <c r="NOI8" s="28"/>
      <c r="NOJ8" s="28"/>
      <c r="NOK8" s="28"/>
      <c r="NOL8" s="28"/>
      <c r="NOM8" s="28"/>
      <c r="NON8" s="28"/>
      <c r="NOO8" s="28"/>
      <c r="NOP8" s="28"/>
      <c r="NOQ8" s="28"/>
      <c r="NOR8" s="28"/>
      <c r="NOS8" s="28"/>
      <c r="NOT8" s="28"/>
      <c r="NOU8" s="28"/>
      <c r="NOV8" s="28"/>
      <c r="NOW8" s="28"/>
      <c r="NOX8" s="28"/>
      <c r="NOY8" s="28"/>
      <c r="NOZ8" s="28"/>
      <c r="NPA8" s="28"/>
      <c r="NPB8" s="28"/>
      <c r="NPC8" s="28"/>
      <c r="NPD8" s="28"/>
      <c r="NPE8" s="28"/>
      <c r="NPF8" s="28"/>
      <c r="NPG8" s="28"/>
      <c r="NPH8" s="28"/>
      <c r="NPI8" s="28"/>
      <c r="NPJ8" s="28"/>
      <c r="NPK8" s="28"/>
      <c r="NPL8" s="28"/>
      <c r="NPM8" s="28"/>
      <c r="NPN8" s="28"/>
      <c r="NPO8" s="28"/>
      <c r="NPP8" s="28"/>
      <c r="NPQ8" s="28"/>
      <c r="NPR8" s="28"/>
      <c r="NPS8" s="28"/>
      <c r="NPT8" s="28"/>
      <c r="NPU8" s="28"/>
      <c r="NPV8" s="28"/>
      <c r="NPW8" s="28"/>
      <c r="NPX8" s="28"/>
      <c r="NPY8" s="28"/>
      <c r="NPZ8" s="28"/>
      <c r="NQA8" s="28"/>
      <c r="NQB8" s="28"/>
      <c r="NQC8" s="28"/>
      <c r="NQD8" s="28"/>
      <c r="NQE8" s="28"/>
      <c r="NQF8" s="28"/>
      <c r="NQG8" s="28"/>
      <c r="NQH8" s="28"/>
      <c r="NQI8" s="28"/>
      <c r="NQJ8" s="28"/>
      <c r="NQK8" s="28"/>
      <c r="NQL8" s="28"/>
      <c r="NQM8" s="28"/>
      <c r="NQN8" s="28"/>
      <c r="NQO8" s="28"/>
      <c r="NQP8" s="28"/>
      <c r="NQQ8" s="28"/>
      <c r="NQR8" s="28"/>
      <c r="NQS8" s="28"/>
      <c r="NQT8" s="28"/>
      <c r="NQU8" s="28"/>
      <c r="NQV8" s="28"/>
      <c r="NQW8" s="28"/>
      <c r="NQX8" s="28"/>
      <c r="NQY8" s="28"/>
      <c r="NQZ8" s="28"/>
      <c r="NRA8" s="28"/>
      <c r="NRB8" s="28"/>
      <c r="NRC8" s="28"/>
      <c r="NRD8" s="28"/>
      <c r="NRE8" s="28"/>
      <c r="NRF8" s="28"/>
      <c r="NRG8" s="28"/>
      <c r="NRH8" s="28"/>
      <c r="NRI8" s="28"/>
      <c r="NRJ8" s="28"/>
      <c r="NRK8" s="28"/>
      <c r="NRL8" s="28"/>
      <c r="NRM8" s="28"/>
      <c r="NRN8" s="28"/>
      <c r="NRO8" s="28"/>
      <c r="NRP8" s="28"/>
      <c r="NRQ8" s="28"/>
      <c r="NRR8" s="28"/>
      <c r="NRS8" s="28"/>
      <c r="NRT8" s="28"/>
      <c r="NRU8" s="28"/>
      <c r="NRV8" s="28"/>
      <c r="NRW8" s="28"/>
      <c r="NRX8" s="28"/>
      <c r="NRY8" s="28"/>
      <c r="NRZ8" s="28"/>
      <c r="NSA8" s="28"/>
      <c r="NSB8" s="28"/>
      <c r="NSC8" s="28"/>
      <c r="NSD8" s="28"/>
      <c r="NSE8" s="28"/>
      <c r="NSF8" s="28"/>
      <c r="NSG8" s="28"/>
      <c r="NSH8" s="28"/>
      <c r="NSI8" s="28"/>
      <c r="NSJ8" s="28"/>
      <c r="NSK8" s="28"/>
      <c r="NSL8" s="28"/>
      <c r="NSM8" s="28"/>
      <c r="NSN8" s="28"/>
      <c r="NSO8" s="28"/>
      <c r="NSP8" s="28"/>
      <c r="NSQ8" s="28"/>
      <c r="NSR8" s="28"/>
      <c r="NSS8" s="28"/>
      <c r="NST8" s="28"/>
      <c r="NSU8" s="28"/>
      <c r="NSV8" s="28"/>
      <c r="NSW8" s="28"/>
      <c r="NSX8" s="28"/>
      <c r="NSY8" s="28"/>
      <c r="NSZ8" s="28"/>
      <c r="NTA8" s="28"/>
      <c r="NTB8" s="28"/>
      <c r="NTC8" s="28"/>
      <c r="NTD8" s="28"/>
      <c r="NTE8" s="28"/>
      <c r="NTF8" s="28"/>
      <c r="NTG8" s="28"/>
      <c r="NTH8" s="28"/>
      <c r="NTI8" s="28"/>
      <c r="NTJ8" s="28"/>
      <c r="NTK8" s="28"/>
      <c r="NTL8" s="28"/>
      <c r="NTM8" s="28"/>
      <c r="NTN8" s="28"/>
      <c r="NTO8" s="28"/>
      <c r="NTP8" s="28"/>
      <c r="NTQ8" s="28"/>
      <c r="NTR8" s="28"/>
      <c r="NTS8" s="28"/>
      <c r="NTT8" s="28"/>
      <c r="NTU8" s="28"/>
      <c r="NTV8" s="28"/>
      <c r="NTW8" s="28"/>
      <c r="NTX8" s="28"/>
      <c r="NTY8" s="28"/>
      <c r="NTZ8" s="28"/>
      <c r="NUA8" s="28"/>
      <c r="NUB8" s="28"/>
      <c r="NUC8" s="28"/>
      <c r="NUD8" s="28"/>
      <c r="NUE8" s="28"/>
      <c r="NUF8" s="28"/>
      <c r="NUG8" s="28"/>
      <c r="NUH8" s="28"/>
      <c r="NUI8" s="28"/>
      <c r="NUJ8" s="28"/>
      <c r="NUK8" s="28"/>
      <c r="NUL8" s="28"/>
      <c r="NUM8" s="28"/>
      <c r="NUN8" s="28"/>
      <c r="NUO8" s="28"/>
      <c r="NUP8" s="28"/>
      <c r="NUQ8" s="28"/>
      <c r="NUR8" s="28"/>
      <c r="NUS8" s="28"/>
      <c r="NUT8" s="28"/>
      <c r="NUU8" s="28"/>
      <c r="NUV8" s="28"/>
      <c r="NUW8" s="28"/>
      <c r="NUX8" s="28"/>
      <c r="NUY8" s="28"/>
      <c r="NUZ8" s="28"/>
      <c r="NVA8" s="28"/>
      <c r="NVB8" s="28"/>
      <c r="NVC8" s="28"/>
      <c r="NVD8" s="28"/>
      <c r="NVE8" s="28"/>
      <c r="NVF8" s="28"/>
      <c r="NVG8" s="28"/>
      <c r="NVH8" s="28"/>
      <c r="NVI8" s="28"/>
      <c r="NVJ8" s="28"/>
      <c r="NVK8" s="28"/>
      <c r="NVL8" s="28"/>
      <c r="NVM8" s="28"/>
      <c r="NVN8" s="28"/>
      <c r="NVO8" s="28"/>
      <c r="NVP8" s="28"/>
      <c r="NVQ8" s="28"/>
      <c r="NVR8" s="28"/>
      <c r="NVS8" s="28"/>
      <c r="NVT8" s="28"/>
      <c r="NVU8" s="28"/>
      <c r="NVV8" s="28"/>
      <c r="NVW8" s="28"/>
      <c r="NVX8" s="28"/>
      <c r="NVY8" s="28"/>
      <c r="NVZ8" s="28"/>
      <c r="NWA8" s="28"/>
      <c r="NWB8" s="28"/>
      <c r="NWC8" s="28"/>
      <c r="NWD8" s="28"/>
      <c r="NWE8" s="28"/>
      <c r="NWF8" s="28"/>
      <c r="NWG8" s="28"/>
      <c r="NWH8" s="28"/>
      <c r="NWI8" s="28"/>
      <c r="NWJ8" s="28"/>
      <c r="NWK8" s="28"/>
      <c r="NWL8" s="28"/>
      <c r="NWM8" s="28"/>
      <c r="NWN8" s="28"/>
      <c r="NWO8" s="28"/>
      <c r="NWP8" s="28"/>
      <c r="NWQ8" s="28"/>
      <c r="NWR8" s="28"/>
      <c r="NWS8" s="28"/>
      <c r="NWT8" s="28"/>
      <c r="NWU8" s="28"/>
      <c r="NWV8" s="28"/>
      <c r="NWW8" s="28"/>
      <c r="NWX8" s="28"/>
      <c r="NWY8" s="28"/>
      <c r="NWZ8" s="28"/>
      <c r="NXA8" s="28"/>
      <c r="NXB8" s="28"/>
      <c r="NXC8" s="28"/>
      <c r="NXD8" s="28"/>
      <c r="NXE8" s="28"/>
      <c r="NXF8" s="28"/>
      <c r="NXG8" s="28"/>
      <c r="NXH8" s="28"/>
      <c r="NXI8" s="28"/>
      <c r="NXJ8" s="28"/>
      <c r="NXK8" s="28"/>
      <c r="NXL8" s="28"/>
      <c r="NXM8" s="28"/>
      <c r="NXN8" s="28"/>
      <c r="NXO8" s="28"/>
      <c r="NXP8" s="28"/>
      <c r="NXQ8" s="28"/>
      <c r="NXR8" s="28"/>
      <c r="NXS8" s="28"/>
      <c r="NXT8" s="28"/>
      <c r="NXU8" s="28"/>
      <c r="NXV8" s="28"/>
      <c r="NXW8" s="28"/>
      <c r="NXX8" s="28"/>
      <c r="NXY8" s="28"/>
      <c r="NXZ8" s="28"/>
      <c r="NYA8" s="28"/>
      <c r="NYB8" s="28"/>
      <c r="NYC8" s="28"/>
      <c r="NYD8" s="28"/>
      <c r="NYE8" s="28"/>
      <c r="NYF8" s="28"/>
      <c r="NYG8" s="28"/>
      <c r="NYH8" s="28"/>
      <c r="NYI8" s="28"/>
      <c r="NYJ8" s="28"/>
      <c r="NYK8" s="28"/>
      <c r="NYL8" s="28"/>
      <c r="NYM8" s="28"/>
      <c r="NYN8" s="28"/>
      <c r="NYO8" s="28"/>
      <c r="NYP8" s="28"/>
      <c r="NYQ8" s="28"/>
      <c r="NYR8" s="28"/>
      <c r="NYS8" s="28"/>
      <c r="NYT8" s="28"/>
      <c r="NYU8" s="28"/>
      <c r="NYV8" s="28"/>
      <c r="NYW8" s="28"/>
      <c r="NYX8" s="28"/>
      <c r="NYY8" s="28"/>
      <c r="NYZ8" s="28"/>
      <c r="NZA8" s="28"/>
      <c r="NZB8" s="28"/>
      <c r="NZC8" s="28"/>
      <c r="NZD8" s="28"/>
      <c r="NZE8" s="28"/>
      <c r="NZF8" s="28"/>
      <c r="NZG8" s="28"/>
      <c r="NZH8" s="28"/>
      <c r="NZI8" s="28"/>
      <c r="NZJ8" s="28"/>
      <c r="NZK8" s="28"/>
      <c r="NZL8" s="28"/>
      <c r="NZM8" s="28"/>
      <c r="NZN8" s="28"/>
      <c r="NZO8" s="28"/>
      <c r="NZP8" s="28"/>
      <c r="NZQ8" s="28"/>
      <c r="NZR8" s="28"/>
      <c r="NZS8" s="28"/>
      <c r="NZT8" s="28"/>
      <c r="NZU8" s="28"/>
      <c r="NZV8" s="28"/>
      <c r="NZW8" s="28"/>
      <c r="NZX8" s="28"/>
      <c r="NZY8" s="28"/>
      <c r="NZZ8" s="28"/>
      <c r="OAA8" s="28"/>
      <c r="OAB8" s="28"/>
      <c r="OAC8" s="28"/>
      <c r="OAD8" s="28"/>
      <c r="OAE8" s="28"/>
      <c r="OAF8" s="28"/>
      <c r="OAG8" s="28"/>
      <c r="OAH8" s="28"/>
      <c r="OAI8" s="28"/>
      <c r="OAJ8" s="28"/>
      <c r="OAK8" s="28"/>
      <c r="OAL8" s="28"/>
      <c r="OAM8" s="28"/>
      <c r="OAN8" s="28"/>
      <c r="OAO8" s="28"/>
      <c r="OAP8" s="28"/>
      <c r="OAQ8" s="28"/>
      <c r="OAR8" s="28"/>
      <c r="OAS8" s="28"/>
      <c r="OAT8" s="28"/>
      <c r="OAU8" s="28"/>
      <c r="OAV8" s="28"/>
      <c r="OAW8" s="28"/>
      <c r="OAX8" s="28"/>
      <c r="OAY8" s="28"/>
      <c r="OAZ8" s="28"/>
      <c r="OBA8" s="28"/>
      <c r="OBB8" s="28"/>
      <c r="OBC8" s="28"/>
      <c r="OBD8" s="28"/>
      <c r="OBE8" s="28"/>
      <c r="OBF8" s="28"/>
      <c r="OBG8" s="28"/>
      <c r="OBH8" s="28"/>
      <c r="OBI8" s="28"/>
      <c r="OBJ8" s="28"/>
      <c r="OBK8" s="28"/>
      <c r="OBL8" s="28"/>
      <c r="OBM8" s="28"/>
      <c r="OBN8" s="28"/>
      <c r="OBO8" s="28"/>
      <c r="OBP8" s="28"/>
      <c r="OBQ8" s="28"/>
      <c r="OBR8" s="28"/>
      <c r="OBS8" s="28"/>
      <c r="OBT8" s="28"/>
      <c r="OBU8" s="28"/>
      <c r="OBV8" s="28"/>
      <c r="OBW8" s="28"/>
      <c r="OBX8" s="28"/>
      <c r="OBY8" s="28"/>
      <c r="OBZ8" s="28"/>
      <c r="OCA8" s="28"/>
      <c r="OCB8" s="28"/>
      <c r="OCC8" s="28"/>
      <c r="OCD8" s="28"/>
      <c r="OCE8" s="28"/>
      <c r="OCF8" s="28"/>
      <c r="OCG8" s="28"/>
      <c r="OCH8" s="28"/>
      <c r="OCI8" s="28"/>
      <c r="OCJ8" s="28"/>
      <c r="OCK8" s="28"/>
      <c r="OCL8" s="28"/>
      <c r="OCM8" s="28"/>
      <c r="OCN8" s="28"/>
      <c r="OCO8" s="28"/>
      <c r="OCP8" s="28"/>
      <c r="OCQ8" s="28"/>
      <c r="OCR8" s="28"/>
      <c r="OCS8" s="28"/>
      <c r="OCT8" s="28"/>
      <c r="OCU8" s="28"/>
      <c r="OCV8" s="28"/>
      <c r="OCW8" s="28"/>
      <c r="OCX8" s="28"/>
      <c r="OCY8" s="28"/>
      <c r="OCZ8" s="28"/>
      <c r="ODA8" s="28"/>
      <c r="ODB8" s="28"/>
      <c r="ODC8" s="28"/>
      <c r="ODD8" s="28"/>
      <c r="ODE8" s="28"/>
      <c r="ODF8" s="28"/>
      <c r="ODG8" s="28"/>
      <c r="ODH8" s="28"/>
      <c r="ODI8" s="28"/>
      <c r="ODJ8" s="28"/>
      <c r="ODK8" s="28"/>
      <c r="ODL8" s="28"/>
      <c r="ODM8" s="28"/>
      <c r="ODN8" s="28"/>
      <c r="ODO8" s="28"/>
      <c r="ODP8" s="28"/>
      <c r="ODQ8" s="28"/>
      <c r="ODR8" s="28"/>
      <c r="ODS8" s="28"/>
      <c r="ODT8" s="28"/>
      <c r="ODU8" s="28"/>
      <c r="ODV8" s="28"/>
      <c r="ODW8" s="28"/>
      <c r="ODX8" s="28"/>
      <c r="ODY8" s="28"/>
      <c r="ODZ8" s="28"/>
      <c r="OEA8" s="28"/>
      <c r="OEB8" s="28"/>
      <c r="OEC8" s="28"/>
      <c r="OED8" s="28"/>
      <c r="OEE8" s="28"/>
      <c r="OEF8" s="28"/>
      <c r="OEG8" s="28"/>
      <c r="OEH8" s="28"/>
      <c r="OEI8" s="28"/>
      <c r="OEJ8" s="28"/>
      <c r="OEK8" s="28"/>
      <c r="OEL8" s="28"/>
      <c r="OEM8" s="28"/>
      <c r="OEN8" s="28"/>
      <c r="OEO8" s="28"/>
      <c r="OEP8" s="28"/>
      <c r="OEQ8" s="28"/>
      <c r="OER8" s="28"/>
      <c r="OES8" s="28"/>
      <c r="OET8" s="28"/>
      <c r="OEU8" s="28"/>
      <c r="OEV8" s="28"/>
      <c r="OEW8" s="28"/>
      <c r="OEX8" s="28"/>
      <c r="OEY8" s="28"/>
      <c r="OEZ8" s="28"/>
      <c r="OFA8" s="28"/>
      <c r="OFB8" s="28"/>
      <c r="OFC8" s="28"/>
      <c r="OFD8" s="28"/>
      <c r="OFE8" s="28"/>
      <c r="OFF8" s="28"/>
      <c r="OFG8" s="28"/>
      <c r="OFH8" s="28"/>
      <c r="OFI8" s="28"/>
      <c r="OFJ8" s="28"/>
      <c r="OFK8" s="28"/>
      <c r="OFL8" s="28"/>
      <c r="OFM8" s="28"/>
      <c r="OFN8" s="28"/>
      <c r="OFO8" s="28"/>
      <c r="OFP8" s="28"/>
      <c r="OFQ8" s="28"/>
      <c r="OFR8" s="28"/>
      <c r="OFS8" s="28"/>
      <c r="OFT8" s="28"/>
      <c r="OFU8" s="28"/>
      <c r="OFV8" s="28"/>
      <c r="OFW8" s="28"/>
      <c r="OFX8" s="28"/>
      <c r="OFY8" s="28"/>
      <c r="OFZ8" s="28"/>
      <c r="OGA8" s="28"/>
      <c r="OGB8" s="28"/>
      <c r="OGC8" s="28"/>
      <c r="OGD8" s="28"/>
      <c r="OGE8" s="28"/>
      <c r="OGF8" s="28"/>
      <c r="OGG8" s="28"/>
      <c r="OGH8" s="28"/>
      <c r="OGI8" s="28"/>
      <c r="OGJ8" s="28"/>
      <c r="OGK8" s="28"/>
      <c r="OGL8" s="28"/>
      <c r="OGM8" s="28"/>
      <c r="OGN8" s="28"/>
      <c r="OGO8" s="28"/>
      <c r="OGP8" s="28"/>
      <c r="OGQ8" s="28"/>
      <c r="OGR8" s="28"/>
      <c r="OGS8" s="28"/>
      <c r="OGT8" s="28"/>
      <c r="OGU8" s="28"/>
      <c r="OGV8" s="28"/>
      <c r="OGW8" s="28"/>
      <c r="OGX8" s="28"/>
      <c r="OGY8" s="28"/>
      <c r="OGZ8" s="28"/>
      <c r="OHA8" s="28"/>
      <c r="OHB8" s="28"/>
      <c r="OHC8" s="28"/>
      <c r="OHD8" s="28"/>
      <c r="OHE8" s="28"/>
      <c r="OHF8" s="28"/>
      <c r="OHG8" s="28"/>
      <c r="OHH8" s="28"/>
      <c r="OHI8" s="28"/>
      <c r="OHJ8" s="28"/>
      <c r="OHK8" s="28"/>
      <c r="OHL8" s="28"/>
      <c r="OHM8" s="28"/>
      <c r="OHN8" s="28"/>
      <c r="OHO8" s="28"/>
      <c r="OHP8" s="28"/>
      <c r="OHQ8" s="28"/>
      <c r="OHR8" s="28"/>
      <c r="OHS8" s="28"/>
      <c r="OHT8" s="28"/>
      <c r="OHU8" s="28"/>
      <c r="OHV8" s="28"/>
      <c r="OHW8" s="28"/>
      <c r="OHX8" s="28"/>
      <c r="OHY8" s="28"/>
      <c r="OHZ8" s="28"/>
      <c r="OIA8" s="28"/>
      <c r="OIB8" s="28"/>
      <c r="OIC8" s="28"/>
      <c r="OID8" s="28"/>
      <c r="OIE8" s="28"/>
      <c r="OIF8" s="28"/>
      <c r="OIG8" s="28"/>
      <c r="OIH8" s="28"/>
      <c r="OII8" s="28"/>
      <c r="OIJ8" s="28"/>
      <c r="OIK8" s="28"/>
      <c r="OIL8" s="28"/>
      <c r="OIM8" s="28"/>
      <c r="OIN8" s="28"/>
      <c r="OIO8" s="28"/>
      <c r="OIP8" s="28"/>
      <c r="OIQ8" s="28"/>
      <c r="OIR8" s="28"/>
      <c r="OIS8" s="28"/>
      <c r="OIT8" s="28"/>
      <c r="OIU8" s="28"/>
      <c r="OIV8" s="28"/>
      <c r="OIW8" s="28"/>
      <c r="OIX8" s="28"/>
      <c r="OIY8" s="28"/>
      <c r="OIZ8" s="28"/>
      <c r="OJA8" s="28"/>
      <c r="OJB8" s="28"/>
      <c r="OJC8" s="28"/>
      <c r="OJD8" s="28"/>
      <c r="OJE8" s="28"/>
      <c r="OJF8" s="28"/>
      <c r="OJG8" s="28"/>
      <c r="OJH8" s="28"/>
      <c r="OJI8" s="28"/>
      <c r="OJJ8" s="28"/>
      <c r="OJK8" s="28"/>
      <c r="OJL8" s="28"/>
      <c r="OJM8" s="28"/>
      <c r="OJN8" s="28"/>
      <c r="OJO8" s="28"/>
      <c r="OJP8" s="28"/>
      <c r="OJQ8" s="28"/>
      <c r="OJR8" s="28"/>
      <c r="OJS8" s="28"/>
      <c r="OJT8" s="28"/>
      <c r="OJU8" s="28"/>
      <c r="OJV8" s="28"/>
      <c r="OJW8" s="28"/>
      <c r="OJX8" s="28"/>
      <c r="OJY8" s="28"/>
      <c r="OJZ8" s="28"/>
      <c r="OKA8" s="28"/>
      <c r="OKB8" s="28"/>
      <c r="OKC8" s="28"/>
      <c r="OKD8" s="28"/>
      <c r="OKE8" s="28"/>
      <c r="OKF8" s="28"/>
      <c r="OKG8" s="28"/>
      <c r="OKH8" s="28"/>
      <c r="OKI8" s="28"/>
      <c r="OKJ8" s="28"/>
      <c r="OKK8" s="28"/>
      <c r="OKL8" s="28"/>
      <c r="OKM8" s="28"/>
      <c r="OKN8" s="28"/>
      <c r="OKO8" s="28"/>
      <c r="OKP8" s="28"/>
      <c r="OKQ8" s="28"/>
      <c r="OKR8" s="28"/>
      <c r="OKS8" s="28"/>
      <c r="OKT8" s="28"/>
      <c r="OKU8" s="28"/>
      <c r="OKV8" s="28"/>
      <c r="OKW8" s="28"/>
      <c r="OKX8" s="28"/>
      <c r="OKY8" s="28"/>
      <c r="OKZ8" s="28"/>
      <c r="OLA8" s="28"/>
      <c r="OLB8" s="28"/>
      <c r="OLC8" s="28"/>
      <c r="OLD8" s="28"/>
      <c r="OLE8" s="28"/>
      <c r="OLF8" s="28"/>
      <c r="OLG8" s="28"/>
      <c r="OLH8" s="28"/>
      <c r="OLI8" s="28"/>
      <c r="OLJ8" s="28"/>
      <c r="OLK8" s="28"/>
      <c r="OLL8" s="28"/>
      <c r="OLM8" s="28"/>
      <c r="OLN8" s="28"/>
      <c r="OLO8" s="28"/>
      <c r="OLP8" s="28"/>
      <c r="OLQ8" s="28"/>
      <c r="OLR8" s="28"/>
      <c r="OLS8" s="28"/>
      <c r="OLT8" s="28"/>
      <c r="OLU8" s="28"/>
      <c r="OLV8" s="28"/>
      <c r="OLW8" s="28"/>
      <c r="OLX8" s="28"/>
      <c r="OLY8" s="28"/>
      <c r="OLZ8" s="28"/>
      <c r="OMA8" s="28"/>
      <c r="OMB8" s="28"/>
      <c r="OMC8" s="28"/>
      <c r="OMD8" s="28"/>
      <c r="OME8" s="28"/>
      <c r="OMF8" s="28"/>
      <c r="OMG8" s="28"/>
      <c r="OMH8" s="28"/>
      <c r="OMI8" s="28"/>
      <c r="OMJ8" s="28"/>
      <c r="OMK8" s="28"/>
      <c r="OML8" s="28"/>
      <c r="OMM8" s="28"/>
      <c r="OMN8" s="28"/>
      <c r="OMO8" s="28"/>
      <c r="OMP8" s="28"/>
      <c r="OMQ8" s="28"/>
      <c r="OMR8" s="28"/>
      <c r="OMS8" s="28"/>
      <c r="OMT8" s="28"/>
      <c r="OMU8" s="28"/>
      <c r="OMV8" s="28"/>
      <c r="OMW8" s="28"/>
      <c r="OMX8" s="28"/>
      <c r="OMY8" s="28"/>
      <c r="OMZ8" s="28"/>
      <c r="ONA8" s="28"/>
      <c r="ONB8" s="28"/>
      <c r="ONC8" s="28"/>
      <c r="OND8" s="28"/>
      <c r="ONE8" s="28"/>
      <c r="ONF8" s="28"/>
      <c r="ONG8" s="28"/>
      <c r="ONH8" s="28"/>
      <c r="ONI8" s="28"/>
      <c r="ONJ8" s="28"/>
      <c r="ONK8" s="28"/>
      <c r="ONL8" s="28"/>
      <c r="ONM8" s="28"/>
      <c r="ONN8" s="28"/>
      <c r="ONO8" s="28"/>
      <c r="ONP8" s="28"/>
      <c r="ONQ8" s="28"/>
      <c r="ONR8" s="28"/>
      <c r="ONS8" s="28"/>
      <c r="ONT8" s="28"/>
      <c r="ONU8" s="28"/>
      <c r="ONV8" s="28"/>
      <c r="ONW8" s="28"/>
      <c r="ONX8" s="28"/>
      <c r="ONY8" s="28"/>
      <c r="ONZ8" s="28"/>
      <c r="OOA8" s="28"/>
      <c r="OOB8" s="28"/>
      <c r="OOC8" s="28"/>
      <c r="OOD8" s="28"/>
      <c r="OOE8" s="28"/>
      <c r="OOF8" s="28"/>
      <c r="OOG8" s="28"/>
      <c r="OOH8" s="28"/>
      <c r="OOI8" s="28"/>
      <c r="OOJ8" s="28"/>
      <c r="OOK8" s="28"/>
      <c r="OOL8" s="28"/>
      <c r="OOM8" s="28"/>
      <c r="OON8" s="28"/>
      <c r="OOO8" s="28"/>
      <c r="OOP8" s="28"/>
      <c r="OOQ8" s="28"/>
      <c r="OOR8" s="28"/>
      <c r="OOS8" s="28"/>
      <c r="OOT8" s="28"/>
      <c r="OOU8" s="28"/>
      <c r="OOV8" s="28"/>
      <c r="OOW8" s="28"/>
      <c r="OOX8" s="28"/>
      <c r="OOY8" s="28"/>
      <c r="OOZ8" s="28"/>
      <c r="OPA8" s="28"/>
      <c r="OPB8" s="28"/>
      <c r="OPC8" s="28"/>
      <c r="OPD8" s="28"/>
      <c r="OPE8" s="28"/>
      <c r="OPF8" s="28"/>
      <c r="OPG8" s="28"/>
      <c r="OPH8" s="28"/>
      <c r="OPI8" s="28"/>
      <c r="OPJ8" s="28"/>
      <c r="OPK8" s="28"/>
      <c r="OPL8" s="28"/>
      <c r="OPM8" s="28"/>
      <c r="OPN8" s="28"/>
      <c r="OPO8" s="28"/>
      <c r="OPP8" s="28"/>
      <c r="OPQ8" s="28"/>
      <c r="OPR8" s="28"/>
      <c r="OPS8" s="28"/>
      <c r="OPT8" s="28"/>
      <c r="OPU8" s="28"/>
      <c r="OPV8" s="28"/>
      <c r="OPW8" s="28"/>
      <c r="OPX8" s="28"/>
      <c r="OPY8" s="28"/>
      <c r="OPZ8" s="28"/>
      <c r="OQA8" s="28"/>
      <c r="OQB8" s="28"/>
      <c r="OQC8" s="28"/>
      <c r="OQD8" s="28"/>
      <c r="OQE8" s="28"/>
      <c r="OQF8" s="28"/>
      <c r="OQG8" s="28"/>
      <c r="OQH8" s="28"/>
      <c r="OQI8" s="28"/>
      <c r="OQJ8" s="28"/>
      <c r="OQK8" s="28"/>
      <c r="OQL8" s="28"/>
      <c r="OQM8" s="28"/>
      <c r="OQN8" s="28"/>
      <c r="OQO8" s="28"/>
      <c r="OQP8" s="28"/>
      <c r="OQQ8" s="28"/>
      <c r="OQR8" s="28"/>
      <c r="OQS8" s="28"/>
      <c r="OQT8" s="28"/>
      <c r="OQU8" s="28"/>
      <c r="OQV8" s="28"/>
      <c r="OQW8" s="28"/>
      <c r="OQX8" s="28"/>
      <c r="OQY8" s="28"/>
      <c r="OQZ8" s="28"/>
      <c r="ORA8" s="28"/>
      <c r="ORB8" s="28"/>
      <c r="ORC8" s="28"/>
      <c r="ORD8" s="28"/>
      <c r="ORE8" s="28"/>
      <c r="ORF8" s="28"/>
      <c r="ORG8" s="28"/>
      <c r="ORH8" s="28"/>
      <c r="ORI8" s="28"/>
      <c r="ORJ8" s="28"/>
      <c r="ORK8" s="28"/>
      <c r="ORL8" s="28"/>
      <c r="ORM8" s="28"/>
      <c r="ORN8" s="28"/>
      <c r="ORO8" s="28"/>
      <c r="ORP8" s="28"/>
      <c r="ORQ8" s="28"/>
      <c r="ORR8" s="28"/>
      <c r="ORS8" s="28"/>
      <c r="ORT8" s="28"/>
      <c r="ORU8" s="28"/>
      <c r="ORV8" s="28"/>
      <c r="ORW8" s="28"/>
      <c r="ORX8" s="28"/>
      <c r="ORY8" s="28"/>
      <c r="ORZ8" s="28"/>
      <c r="OSA8" s="28"/>
      <c r="OSB8" s="28"/>
      <c r="OSC8" s="28"/>
      <c r="OSD8" s="28"/>
      <c r="OSE8" s="28"/>
      <c r="OSF8" s="28"/>
      <c r="OSG8" s="28"/>
      <c r="OSH8" s="28"/>
      <c r="OSI8" s="28"/>
      <c r="OSJ8" s="28"/>
      <c r="OSK8" s="28"/>
      <c r="OSL8" s="28"/>
      <c r="OSM8" s="28"/>
      <c r="OSN8" s="28"/>
      <c r="OSO8" s="28"/>
      <c r="OSP8" s="28"/>
      <c r="OSQ8" s="28"/>
      <c r="OSR8" s="28"/>
      <c r="OSS8" s="28"/>
      <c r="OST8" s="28"/>
      <c r="OSU8" s="28"/>
      <c r="OSV8" s="28"/>
      <c r="OSW8" s="28"/>
      <c r="OSX8" s="28"/>
      <c r="OSY8" s="28"/>
      <c r="OSZ8" s="28"/>
      <c r="OTA8" s="28"/>
      <c r="OTB8" s="28"/>
      <c r="OTC8" s="28"/>
      <c r="OTD8" s="28"/>
      <c r="OTE8" s="28"/>
      <c r="OTF8" s="28"/>
      <c r="OTG8" s="28"/>
      <c r="OTH8" s="28"/>
      <c r="OTI8" s="28"/>
      <c r="OTJ8" s="28"/>
      <c r="OTK8" s="28"/>
      <c r="OTL8" s="28"/>
      <c r="OTM8" s="28"/>
      <c r="OTN8" s="28"/>
      <c r="OTO8" s="28"/>
      <c r="OTP8" s="28"/>
      <c r="OTQ8" s="28"/>
      <c r="OTR8" s="28"/>
      <c r="OTS8" s="28"/>
      <c r="OTT8" s="28"/>
      <c r="OTU8" s="28"/>
      <c r="OTV8" s="28"/>
      <c r="OTW8" s="28"/>
      <c r="OTX8" s="28"/>
      <c r="OTY8" s="28"/>
      <c r="OTZ8" s="28"/>
      <c r="OUA8" s="28"/>
      <c r="OUB8" s="28"/>
      <c r="OUC8" s="28"/>
      <c r="OUD8" s="28"/>
      <c r="OUE8" s="28"/>
      <c r="OUF8" s="28"/>
      <c r="OUG8" s="28"/>
      <c r="OUH8" s="28"/>
      <c r="OUI8" s="28"/>
      <c r="OUJ8" s="28"/>
      <c r="OUK8" s="28"/>
      <c r="OUL8" s="28"/>
      <c r="OUM8" s="28"/>
      <c r="OUN8" s="28"/>
      <c r="OUO8" s="28"/>
      <c r="OUP8" s="28"/>
      <c r="OUQ8" s="28"/>
      <c r="OUR8" s="28"/>
      <c r="OUS8" s="28"/>
      <c r="OUT8" s="28"/>
      <c r="OUU8" s="28"/>
      <c r="OUV8" s="28"/>
      <c r="OUW8" s="28"/>
      <c r="OUX8" s="28"/>
      <c r="OUY8" s="28"/>
      <c r="OUZ8" s="28"/>
      <c r="OVA8" s="28"/>
      <c r="OVB8" s="28"/>
      <c r="OVC8" s="28"/>
      <c r="OVD8" s="28"/>
      <c r="OVE8" s="28"/>
      <c r="OVF8" s="28"/>
      <c r="OVG8" s="28"/>
      <c r="OVH8" s="28"/>
      <c r="OVI8" s="28"/>
      <c r="OVJ8" s="28"/>
      <c r="OVK8" s="28"/>
      <c r="OVL8" s="28"/>
      <c r="OVM8" s="28"/>
      <c r="OVN8" s="28"/>
      <c r="OVO8" s="28"/>
      <c r="OVP8" s="28"/>
      <c r="OVQ8" s="28"/>
      <c r="OVR8" s="28"/>
      <c r="OVS8" s="28"/>
      <c r="OVT8" s="28"/>
      <c r="OVU8" s="28"/>
      <c r="OVV8" s="28"/>
      <c r="OVW8" s="28"/>
      <c r="OVX8" s="28"/>
      <c r="OVY8" s="28"/>
      <c r="OVZ8" s="28"/>
      <c r="OWA8" s="28"/>
      <c r="OWB8" s="28"/>
      <c r="OWC8" s="28"/>
      <c r="OWD8" s="28"/>
      <c r="OWE8" s="28"/>
      <c r="OWF8" s="28"/>
      <c r="OWG8" s="28"/>
      <c r="OWH8" s="28"/>
      <c r="OWI8" s="28"/>
      <c r="OWJ8" s="28"/>
      <c r="OWK8" s="28"/>
      <c r="OWL8" s="28"/>
      <c r="OWM8" s="28"/>
      <c r="OWN8" s="28"/>
      <c r="OWO8" s="28"/>
      <c r="OWP8" s="28"/>
      <c r="OWQ8" s="28"/>
      <c r="OWR8" s="28"/>
      <c r="OWS8" s="28"/>
      <c r="OWT8" s="28"/>
      <c r="OWU8" s="28"/>
      <c r="OWV8" s="28"/>
      <c r="OWW8" s="28"/>
      <c r="OWX8" s="28"/>
      <c r="OWY8" s="28"/>
      <c r="OWZ8" s="28"/>
      <c r="OXA8" s="28"/>
      <c r="OXB8" s="28"/>
      <c r="OXC8" s="28"/>
      <c r="OXD8" s="28"/>
      <c r="OXE8" s="28"/>
      <c r="OXF8" s="28"/>
      <c r="OXG8" s="28"/>
      <c r="OXH8" s="28"/>
      <c r="OXI8" s="28"/>
      <c r="OXJ8" s="28"/>
      <c r="OXK8" s="28"/>
      <c r="OXL8" s="28"/>
      <c r="OXM8" s="28"/>
      <c r="OXN8" s="28"/>
      <c r="OXO8" s="28"/>
      <c r="OXP8" s="28"/>
      <c r="OXQ8" s="28"/>
      <c r="OXR8" s="28"/>
      <c r="OXS8" s="28"/>
      <c r="OXT8" s="28"/>
      <c r="OXU8" s="28"/>
      <c r="OXV8" s="28"/>
      <c r="OXW8" s="28"/>
      <c r="OXX8" s="28"/>
      <c r="OXY8" s="28"/>
      <c r="OXZ8" s="28"/>
      <c r="OYA8" s="28"/>
      <c r="OYB8" s="28"/>
      <c r="OYC8" s="28"/>
      <c r="OYD8" s="28"/>
      <c r="OYE8" s="28"/>
      <c r="OYF8" s="28"/>
      <c r="OYG8" s="28"/>
      <c r="OYH8" s="28"/>
      <c r="OYI8" s="28"/>
      <c r="OYJ8" s="28"/>
      <c r="OYK8" s="28"/>
      <c r="OYL8" s="28"/>
      <c r="OYM8" s="28"/>
      <c r="OYN8" s="28"/>
      <c r="OYO8" s="28"/>
      <c r="OYP8" s="28"/>
      <c r="OYQ8" s="28"/>
      <c r="OYR8" s="28"/>
      <c r="OYS8" s="28"/>
      <c r="OYT8" s="28"/>
      <c r="OYU8" s="28"/>
      <c r="OYV8" s="28"/>
      <c r="OYW8" s="28"/>
      <c r="OYX8" s="28"/>
      <c r="OYY8" s="28"/>
      <c r="OYZ8" s="28"/>
      <c r="OZA8" s="28"/>
      <c r="OZB8" s="28"/>
      <c r="OZC8" s="28"/>
      <c r="OZD8" s="28"/>
      <c r="OZE8" s="28"/>
      <c r="OZF8" s="28"/>
      <c r="OZG8" s="28"/>
      <c r="OZH8" s="28"/>
      <c r="OZI8" s="28"/>
      <c r="OZJ8" s="28"/>
      <c r="OZK8" s="28"/>
      <c r="OZL8" s="28"/>
      <c r="OZM8" s="28"/>
      <c r="OZN8" s="28"/>
      <c r="OZO8" s="28"/>
      <c r="OZP8" s="28"/>
      <c r="OZQ8" s="28"/>
      <c r="OZR8" s="28"/>
      <c r="OZS8" s="28"/>
      <c r="OZT8" s="28"/>
      <c r="OZU8" s="28"/>
      <c r="OZV8" s="28"/>
      <c r="OZW8" s="28"/>
      <c r="OZX8" s="28"/>
      <c r="OZY8" s="28"/>
      <c r="OZZ8" s="28"/>
      <c r="PAA8" s="28"/>
      <c r="PAB8" s="28"/>
      <c r="PAC8" s="28"/>
      <c r="PAD8" s="28"/>
      <c r="PAE8" s="28"/>
      <c r="PAF8" s="28"/>
      <c r="PAG8" s="28"/>
      <c r="PAH8" s="28"/>
      <c r="PAI8" s="28"/>
      <c r="PAJ8" s="28"/>
      <c r="PAK8" s="28"/>
      <c r="PAL8" s="28"/>
      <c r="PAM8" s="28"/>
      <c r="PAN8" s="28"/>
      <c r="PAO8" s="28"/>
      <c r="PAP8" s="28"/>
      <c r="PAQ8" s="28"/>
      <c r="PAR8" s="28"/>
      <c r="PAS8" s="28"/>
      <c r="PAT8" s="28"/>
      <c r="PAU8" s="28"/>
      <c r="PAV8" s="28"/>
      <c r="PAW8" s="28"/>
      <c r="PAX8" s="28"/>
      <c r="PAY8" s="28"/>
      <c r="PAZ8" s="28"/>
      <c r="PBA8" s="28"/>
      <c r="PBB8" s="28"/>
      <c r="PBC8" s="28"/>
      <c r="PBD8" s="28"/>
      <c r="PBE8" s="28"/>
      <c r="PBF8" s="28"/>
      <c r="PBG8" s="28"/>
      <c r="PBH8" s="28"/>
      <c r="PBI8" s="28"/>
      <c r="PBJ8" s="28"/>
      <c r="PBK8" s="28"/>
      <c r="PBL8" s="28"/>
      <c r="PBM8" s="28"/>
      <c r="PBN8" s="28"/>
      <c r="PBO8" s="28"/>
      <c r="PBP8" s="28"/>
      <c r="PBQ8" s="28"/>
      <c r="PBR8" s="28"/>
      <c r="PBS8" s="28"/>
      <c r="PBT8" s="28"/>
      <c r="PBU8" s="28"/>
      <c r="PBV8" s="28"/>
      <c r="PBW8" s="28"/>
      <c r="PBX8" s="28"/>
      <c r="PBY8" s="28"/>
      <c r="PBZ8" s="28"/>
      <c r="PCA8" s="28"/>
      <c r="PCB8" s="28"/>
      <c r="PCC8" s="28"/>
      <c r="PCD8" s="28"/>
      <c r="PCE8" s="28"/>
      <c r="PCF8" s="28"/>
      <c r="PCG8" s="28"/>
      <c r="PCH8" s="28"/>
      <c r="PCI8" s="28"/>
      <c r="PCJ8" s="28"/>
      <c r="PCK8" s="28"/>
      <c r="PCL8" s="28"/>
      <c r="PCM8" s="28"/>
      <c r="PCN8" s="28"/>
      <c r="PCO8" s="28"/>
      <c r="PCP8" s="28"/>
      <c r="PCQ8" s="28"/>
      <c r="PCR8" s="28"/>
      <c r="PCS8" s="28"/>
      <c r="PCT8" s="28"/>
      <c r="PCU8" s="28"/>
      <c r="PCV8" s="28"/>
      <c r="PCW8" s="28"/>
      <c r="PCX8" s="28"/>
      <c r="PCY8" s="28"/>
      <c r="PCZ8" s="28"/>
      <c r="PDA8" s="28"/>
      <c r="PDB8" s="28"/>
      <c r="PDC8" s="28"/>
      <c r="PDD8" s="28"/>
      <c r="PDE8" s="28"/>
      <c r="PDF8" s="28"/>
      <c r="PDG8" s="28"/>
      <c r="PDH8" s="28"/>
      <c r="PDI8" s="28"/>
      <c r="PDJ8" s="28"/>
      <c r="PDK8" s="28"/>
      <c r="PDL8" s="28"/>
      <c r="PDM8" s="28"/>
      <c r="PDN8" s="28"/>
      <c r="PDO8" s="28"/>
      <c r="PDP8" s="28"/>
      <c r="PDQ8" s="28"/>
      <c r="PDR8" s="28"/>
      <c r="PDS8" s="28"/>
      <c r="PDT8" s="28"/>
      <c r="PDU8" s="28"/>
      <c r="PDV8" s="28"/>
      <c r="PDW8" s="28"/>
      <c r="PDX8" s="28"/>
      <c r="PDY8" s="28"/>
      <c r="PDZ8" s="28"/>
      <c r="PEA8" s="28"/>
      <c r="PEB8" s="28"/>
      <c r="PEC8" s="28"/>
      <c r="PED8" s="28"/>
      <c r="PEE8" s="28"/>
      <c r="PEF8" s="28"/>
      <c r="PEG8" s="28"/>
      <c r="PEH8" s="28"/>
      <c r="PEI8" s="28"/>
      <c r="PEJ8" s="28"/>
      <c r="PEK8" s="28"/>
      <c r="PEL8" s="28"/>
      <c r="PEM8" s="28"/>
      <c r="PEN8" s="28"/>
      <c r="PEO8" s="28"/>
      <c r="PEP8" s="28"/>
      <c r="PEQ8" s="28"/>
      <c r="PER8" s="28"/>
      <c r="PES8" s="28"/>
      <c r="PET8" s="28"/>
      <c r="PEU8" s="28"/>
      <c r="PEV8" s="28"/>
      <c r="PEW8" s="28"/>
      <c r="PEX8" s="28"/>
      <c r="PEY8" s="28"/>
      <c r="PEZ8" s="28"/>
      <c r="PFA8" s="28"/>
      <c r="PFB8" s="28"/>
      <c r="PFC8" s="28"/>
      <c r="PFD8" s="28"/>
      <c r="PFE8" s="28"/>
      <c r="PFF8" s="28"/>
      <c r="PFG8" s="28"/>
      <c r="PFH8" s="28"/>
      <c r="PFI8" s="28"/>
      <c r="PFJ8" s="28"/>
      <c r="PFK8" s="28"/>
      <c r="PFL8" s="28"/>
      <c r="PFM8" s="28"/>
      <c r="PFN8" s="28"/>
      <c r="PFO8" s="28"/>
      <c r="PFP8" s="28"/>
      <c r="PFQ8" s="28"/>
      <c r="PFR8" s="28"/>
      <c r="PFS8" s="28"/>
      <c r="PFT8" s="28"/>
      <c r="PFU8" s="28"/>
      <c r="PFV8" s="28"/>
      <c r="PFW8" s="28"/>
      <c r="PFX8" s="28"/>
      <c r="PFY8" s="28"/>
      <c r="PFZ8" s="28"/>
      <c r="PGA8" s="28"/>
      <c r="PGB8" s="28"/>
      <c r="PGC8" s="28"/>
      <c r="PGD8" s="28"/>
      <c r="PGE8" s="28"/>
      <c r="PGF8" s="28"/>
      <c r="PGG8" s="28"/>
      <c r="PGH8" s="28"/>
      <c r="PGI8" s="28"/>
      <c r="PGJ8" s="28"/>
      <c r="PGK8" s="28"/>
      <c r="PGL8" s="28"/>
      <c r="PGM8" s="28"/>
      <c r="PGN8" s="28"/>
      <c r="PGO8" s="28"/>
      <c r="PGP8" s="28"/>
      <c r="PGQ8" s="28"/>
      <c r="PGR8" s="28"/>
      <c r="PGS8" s="28"/>
      <c r="PGT8" s="28"/>
      <c r="PGU8" s="28"/>
      <c r="PGV8" s="28"/>
      <c r="PGW8" s="28"/>
      <c r="PGX8" s="28"/>
      <c r="PGY8" s="28"/>
      <c r="PGZ8" s="28"/>
      <c r="PHA8" s="28"/>
      <c r="PHB8" s="28"/>
      <c r="PHC8" s="28"/>
      <c r="PHD8" s="28"/>
      <c r="PHE8" s="28"/>
      <c r="PHF8" s="28"/>
      <c r="PHG8" s="28"/>
      <c r="PHH8" s="28"/>
      <c r="PHI8" s="28"/>
      <c r="PHJ8" s="28"/>
      <c r="PHK8" s="28"/>
      <c r="PHL8" s="28"/>
      <c r="PHM8" s="28"/>
      <c r="PHN8" s="28"/>
      <c r="PHO8" s="28"/>
      <c r="PHP8" s="28"/>
      <c r="PHQ8" s="28"/>
      <c r="PHR8" s="28"/>
      <c r="PHS8" s="28"/>
      <c r="PHT8" s="28"/>
      <c r="PHU8" s="28"/>
      <c r="PHV8" s="28"/>
      <c r="PHW8" s="28"/>
      <c r="PHX8" s="28"/>
      <c r="PHY8" s="28"/>
      <c r="PHZ8" s="28"/>
      <c r="PIA8" s="28"/>
      <c r="PIB8" s="28"/>
      <c r="PIC8" s="28"/>
      <c r="PID8" s="28"/>
      <c r="PIE8" s="28"/>
      <c r="PIF8" s="28"/>
      <c r="PIG8" s="28"/>
      <c r="PIH8" s="28"/>
      <c r="PII8" s="28"/>
      <c r="PIJ8" s="28"/>
      <c r="PIK8" s="28"/>
      <c r="PIL8" s="28"/>
      <c r="PIM8" s="28"/>
      <c r="PIN8" s="28"/>
      <c r="PIO8" s="28"/>
      <c r="PIP8" s="28"/>
      <c r="PIQ8" s="28"/>
      <c r="PIR8" s="28"/>
      <c r="PIS8" s="28"/>
      <c r="PIT8" s="28"/>
      <c r="PIU8" s="28"/>
      <c r="PIV8" s="28"/>
      <c r="PIW8" s="28"/>
      <c r="PIX8" s="28"/>
      <c r="PIY8" s="28"/>
      <c r="PIZ8" s="28"/>
      <c r="PJA8" s="28"/>
      <c r="PJB8" s="28"/>
      <c r="PJC8" s="28"/>
      <c r="PJD8" s="28"/>
      <c r="PJE8" s="28"/>
      <c r="PJF8" s="28"/>
      <c r="PJG8" s="28"/>
      <c r="PJH8" s="28"/>
      <c r="PJI8" s="28"/>
      <c r="PJJ8" s="28"/>
      <c r="PJK8" s="28"/>
      <c r="PJL8" s="28"/>
      <c r="PJM8" s="28"/>
      <c r="PJN8" s="28"/>
      <c r="PJO8" s="28"/>
      <c r="PJP8" s="28"/>
      <c r="PJQ8" s="28"/>
      <c r="PJR8" s="28"/>
      <c r="PJS8" s="28"/>
      <c r="PJT8" s="28"/>
      <c r="PJU8" s="28"/>
      <c r="PJV8" s="28"/>
      <c r="PJW8" s="28"/>
      <c r="PJX8" s="28"/>
      <c r="PJY8" s="28"/>
      <c r="PJZ8" s="28"/>
      <c r="PKA8" s="28"/>
      <c r="PKB8" s="28"/>
      <c r="PKC8" s="28"/>
      <c r="PKD8" s="28"/>
      <c r="PKE8" s="28"/>
      <c r="PKF8" s="28"/>
      <c r="PKG8" s="28"/>
      <c r="PKH8" s="28"/>
      <c r="PKI8" s="28"/>
      <c r="PKJ8" s="28"/>
      <c r="PKK8" s="28"/>
      <c r="PKL8" s="28"/>
      <c r="PKM8" s="28"/>
      <c r="PKN8" s="28"/>
      <c r="PKO8" s="28"/>
      <c r="PKP8" s="28"/>
      <c r="PKQ8" s="28"/>
      <c r="PKR8" s="28"/>
      <c r="PKS8" s="28"/>
      <c r="PKT8" s="28"/>
      <c r="PKU8" s="28"/>
      <c r="PKV8" s="28"/>
      <c r="PKW8" s="28"/>
      <c r="PKX8" s="28"/>
      <c r="PKY8" s="28"/>
      <c r="PKZ8" s="28"/>
      <c r="PLA8" s="28"/>
      <c r="PLB8" s="28"/>
      <c r="PLC8" s="28"/>
      <c r="PLD8" s="28"/>
      <c r="PLE8" s="28"/>
      <c r="PLF8" s="28"/>
      <c r="PLG8" s="28"/>
      <c r="PLH8" s="28"/>
      <c r="PLI8" s="28"/>
      <c r="PLJ8" s="28"/>
      <c r="PLK8" s="28"/>
      <c r="PLL8" s="28"/>
      <c r="PLM8" s="28"/>
      <c r="PLN8" s="28"/>
      <c r="PLO8" s="28"/>
      <c r="PLP8" s="28"/>
      <c r="PLQ8" s="28"/>
      <c r="PLR8" s="28"/>
      <c r="PLS8" s="28"/>
      <c r="PLT8" s="28"/>
      <c r="PLU8" s="28"/>
      <c r="PLV8" s="28"/>
      <c r="PLW8" s="28"/>
      <c r="PLX8" s="28"/>
      <c r="PLY8" s="28"/>
      <c r="PLZ8" s="28"/>
      <c r="PMA8" s="28"/>
      <c r="PMB8" s="28"/>
      <c r="PMC8" s="28"/>
      <c r="PMD8" s="28"/>
      <c r="PME8" s="28"/>
      <c r="PMF8" s="28"/>
      <c r="PMG8" s="28"/>
      <c r="PMH8" s="28"/>
      <c r="PMI8" s="28"/>
      <c r="PMJ8" s="28"/>
      <c r="PMK8" s="28"/>
      <c r="PML8" s="28"/>
      <c r="PMM8" s="28"/>
      <c r="PMN8" s="28"/>
      <c r="PMO8" s="28"/>
      <c r="PMP8" s="28"/>
      <c r="PMQ8" s="28"/>
      <c r="PMR8" s="28"/>
      <c r="PMS8" s="28"/>
      <c r="PMT8" s="28"/>
      <c r="PMU8" s="28"/>
      <c r="PMV8" s="28"/>
      <c r="PMW8" s="28"/>
      <c r="PMX8" s="28"/>
      <c r="PMY8" s="28"/>
      <c r="PMZ8" s="28"/>
      <c r="PNA8" s="28"/>
      <c r="PNB8" s="28"/>
      <c r="PNC8" s="28"/>
      <c r="PND8" s="28"/>
      <c r="PNE8" s="28"/>
      <c r="PNF8" s="28"/>
      <c r="PNG8" s="28"/>
      <c r="PNH8" s="28"/>
      <c r="PNI8" s="28"/>
      <c r="PNJ8" s="28"/>
      <c r="PNK8" s="28"/>
      <c r="PNL8" s="28"/>
      <c r="PNM8" s="28"/>
      <c r="PNN8" s="28"/>
      <c r="PNO8" s="28"/>
      <c r="PNP8" s="28"/>
      <c r="PNQ8" s="28"/>
      <c r="PNR8" s="28"/>
      <c r="PNS8" s="28"/>
      <c r="PNT8" s="28"/>
      <c r="PNU8" s="28"/>
      <c r="PNV8" s="28"/>
      <c r="PNW8" s="28"/>
      <c r="PNX8" s="28"/>
      <c r="PNY8" s="28"/>
      <c r="PNZ8" s="28"/>
      <c r="POA8" s="28"/>
      <c r="POB8" s="28"/>
      <c r="POC8" s="28"/>
      <c r="POD8" s="28"/>
      <c r="POE8" s="28"/>
      <c r="POF8" s="28"/>
      <c r="POG8" s="28"/>
      <c r="POH8" s="28"/>
      <c r="POI8" s="28"/>
      <c r="POJ8" s="28"/>
      <c r="POK8" s="28"/>
      <c r="POL8" s="28"/>
      <c r="POM8" s="28"/>
      <c r="PON8" s="28"/>
      <c r="POO8" s="28"/>
      <c r="POP8" s="28"/>
      <c r="POQ8" s="28"/>
      <c r="POR8" s="28"/>
      <c r="POS8" s="28"/>
      <c r="POT8" s="28"/>
      <c r="POU8" s="28"/>
      <c r="POV8" s="28"/>
      <c r="POW8" s="28"/>
      <c r="POX8" s="28"/>
      <c r="POY8" s="28"/>
      <c r="POZ8" s="28"/>
      <c r="PPA8" s="28"/>
      <c r="PPB8" s="28"/>
      <c r="PPC8" s="28"/>
      <c r="PPD8" s="28"/>
      <c r="PPE8" s="28"/>
      <c r="PPF8" s="28"/>
      <c r="PPG8" s="28"/>
      <c r="PPH8" s="28"/>
      <c r="PPI8" s="28"/>
      <c r="PPJ8" s="28"/>
      <c r="PPK8" s="28"/>
      <c r="PPL8" s="28"/>
      <c r="PPM8" s="28"/>
      <c r="PPN8" s="28"/>
      <c r="PPO8" s="28"/>
      <c r="PPP8" s="28"/>
      <c r="PPQ8" s="28"/>
      <c r="PPR8" s="28"/>
      <c r="PPS8" s="28"/>
      <c r="PPT8" s="28"/>
      <c r="PPU8" s="28"/>
      <c r="PPV8" s="28"/>
      <c r="PPW8" s="28"/>
      <c r="PPX8" s="28"/>
      <c r="PPY8" s="28"/>
      <c r="PPZ8" s="28"/>
      <c r="PQA8" s="28"/>
      <c r="PQB8" s="28"/>
      <c r="PQC8" s="28"/>
      <c r="PQD8" s="28"/>
      <c r="PQE8" s="28"/>
      <c r="PQF8" s="28"/>
      <c r="PQG8" s="28"/>
      <c r="PQH8" s="28"/>
      <c r="PQI8" s="28"/>
      <c r="PQJ8" s="28"/>
      <c r="PQK8" s="28"/>
      <c r="PQL8" s="28"/>
      <c r="PQM8" s="28"/>
      <c r="PQN8" s="28"/>
      <c r="PQO8" s="28"/>
      <c r="PQP8" s="28"/>
      <c r="PQQ8" s="28"/>
      <c r="PQR8" s="28"/>
      <c r="PQS8" s="28"/>
      <c r="PQT8" s="28"/>
      <c r="PQU8" s="28"/>
      <c r="PQV8" s="28"/>
      <c r="PQW8" s="28"/>
      <c r="PQX8" s="28"/>
      <c r="PQY8" s="28"/>
      <c r="PQZ8" s="28"/>
      <c r="PRA8" s="28"/>
      <c r="PRB8" s="28"/>
      <c r="PRC8" s="28"/>
      <c r="PRD8" s="28"/>
      <c r="PRE8" s="28"/>
      <c r="PRF8" s="28"/>
      <c r="PRG8" s="28"/>
      <c r="PRH8" s="28"/>
      <c r="PRI8" s="28"/>
      <c r="PRJ8" s="28"/>
      <c r="PRK8" s="28"/>
      <c r="PRL8" s="28"/>
      <c r="PRM8" s="28"/>
      <c r="PRN8" s="28"/>
      <c r="PRO8" s="28"/>
      <c r="PRP8" s="28"/>
      <c r="PRQ8" s="28"/>
      <c r="PRR8" s="28"/>
      <c r="PRS8" s="28"/>
      <c r="PRT8" s="28"/>
      <c r="PRU8" s="28"/>
      <c r="PRV8" s="28"/>
      <c r="PRW8" s="28"/>
      <c r="PRX8" s="28"/>
      <c r="PRY8" s="28"/>
      <c r="PRZ8" s="28"/>
      <c r="PSA8" s="28"/>
      <c r="PSB8" s="28"/>
      <c r="PSC8" s="28"/>
      <c r="PSD8" s="28"/>
      <c r="PSE8" s="28"/>
      <c r="PSF8" s="28"/>
      <c r="PSG8" s="28"/>
      <c r="PSH8" s="28"/>
      <c r="PSI8" s="28"/>
      <c r="PSJ8" s="28"/>
      <c r="PSK8" s="28"/>
      <c r="PSL8" s="28"/>
      <c r="PSM8" s="28"/>
      <c r="PSN8" s="28"/>
      <c r="PSO8" s="28"/>
      <c r="PSP8" s="28"/>
      <c r="PSQ8" s="28"/>
      <c r="PSR8" s="28"/>
      <c r="PSS8" s="28"/>
      <c r="PST8" s="28"/>
      <c r="PSU8" s="28"/>
      <c r="PSV8" s="28"/>
      <c r="PSW8" s="28"/>
      <c r="PSX8" s="28"/>
      <c r="PSY8" s="28"/>
      <c r="PSZ8" s="28"/>
      <c r="PTA8" s="28"/>
      <c r="PTB8" s="28"/>
      <c r="PTC8" s="28"/>
      <c r="PTD8" s="28"/>
      <c r="PTE8" s="28"/>
      <c r="PTF8" s="28"/>
      <c r="PTG8" s="28"/>
      <c r="PTH8" s="28"/>
      <c r="PTI8" s="28"/>
      <c r="PTJ8" s="28"/>
      <c r="PTK8" s="28"/>
      <c r="PTL8" s="28"/>
      <c r="PTM8" s="28"/>
      <c r="PTN8" s="28"/>
      <c r="PTO8" s="28"/>
      <c r="PTP8" s="28"/>
      <c r="PTQ8" s="28"/>
      <c r="PTR8" s="28"/>
      <c r="PTS8" s="28"/>
      <c r="PTT8" s="28"/>
      <c r="PTU8" s="28"/>
      <c r="PTV8" s="28"/>
      <c r="PTW8" s="28"/>
      <c r="PTX8" s="28"/>
      <c r="PTY8" s="28"/>
      <c r="PTZ8" s="28"/>
      <c r="PUA8" s="28"/>
      <c r="PUB8" s="28"/>
      <c r="PUC8" s="28"/>
      <c r="PUD8" s="28"/>
      <c r="PUE8" s="28"/>
      <c r="PUF8" s="28"/>
      <c r="PUG8" s="28"/>
      <c r="PUH8" s="28"/>
      <c r="PUI8" s="28"/>
      <c r="PUJ8" s="28"/>
      <c r="PUK8" s="28"/>
      <c r="PUL8" s="28"/>
      <c r="PUM8" s="28"/>
      <c r="PUN8" s="28"/>
      <c r="PUO8" s="28"/>
      <c r="PUP8" s="28"/>
      <c r="PUQ8" s="28"/>
      <c r="PUR8" s="28"/>
      <c r="PUS8" s="28"/>
      <c r="PUT8" s="28"/>
      <c r="PUU8" s="28"/>
      <c r="PUV8" s="28"/>
      <c r="PUW8" s="28"/>
      <c r="PUX8" s="28"/>
      <c r="PUY8" s="28"/>
      <c r="PUZ8" s="28"/>
      <c r="PVA8" s="28"/>
      <c r="PVB8" s="28"/>
      <c r="PVC8" s="28"/>
      <c r="PVD8" s="28"/>
      <c r="PVE8" s="28"/>
      <c r="PVF8" s="28"/>
      <c r="PVG8" s="28"/>
      <c r="PVH8" s="28"/>
      <c r="PVI8" s="28"/>
      <c r="PVJ8" s="28"/>
      <c r="PVK8" s="28"/>
      <c r="PVL8" s="28"/>
      <c r="PVM8" s="28"/>
      <c r="PVN8" s="28"/>
      <c r="PVO8" s="28"/>
      <c r="PVP8" s="28"/>
      <c r="PVQ8" s="28"/>
      <c r="PVR8" s="28"/>
      <c r="PVS8" s="28"/>
      <c r="PVT8" s="28"/>
      <c r="PVU8" s="28"/>
      <c r="PVV8" s="28"/>
      <c r="PVW8" s="28"/>
      <c r="PVX8" s="28"/>
      <c r="PVY8" s="28"/>
      <c r="PVZ8" s="28"/>
      <c r="PWA8" s="28"/>
      <c r="PWB8" s="28"/>
      <c r="PWC8" s="28"/>
      <c r="PWD8" s="28"/>
      <c r="PWE8" s="28"/>
      <c r="PWF8" s="28"/>
      <c r="PWG8" s="28"/>
      <c r="PWH8" s="28"/>
      <c r="PWI8" s="28"/>
      <c r="PWJ8" s="28"/>
      <c r="PWK8" s="28"/>
      <c r="PWL8" s="28"/>
      <c r="PWM8" s="28"/>
      <c r="PWN8" s="28"/>
      <c r="PWO8" s="28"/>
      <c r="PWP8" s="28"/>
      <c r="PWQ8" s="28"/>
      <c r="PWR8" s="28"/>
      <c r="PWS8" s="28"/>
      <c r="PWT8" s="28"/>
      <c r="PWU8" s="28"/>
      <c r="PWV8" s="28"/>
      <c r="PWW8" s="28"/>
      <c r="PWX8" s="28"/>
      <c r="PWY8" s="28"/>
      <c r="PWZ8" s="28"/>
      <c r="PXA8" s="28"/>
      <c r="PXB8" s="28"/>
      <c r="PXC8" s="28"/>
      <c r="PXD8" s="28"/>
      <c r="PXE8" s="28"/>
      <c r="PXF8" s="28"/>
      <c r="PXG8" s="28"/>
      <c r="PXH8" s="28"/>
      <c r="PXI8" s="28"/>
      <c r="PXJ8" s="28"/>
      <c r="PXK8" s="28"/>
      <c r="PXL8" s="28"/>
      <c r="PXM8" s="28"/>
      <c r="PXN8" s="28"/>
      <c r="PXO8" s="28"/>
      <c r="PXP8" s="28"/>
      <c r="PXQ8" s="28"/>
      <c r="PXR8" s="28"/>
      <c r="PXS8" s="28"/>
      <c r="PXT8" s="28"/>
      <c r="PXU8" s="28"/>
      <c r="PXV8" s="28"/>
      <c r="PXW8" s="28"/>
      <c r="PXX8" s="28"/>
      <c r="PXY8" s="28"/>
      <c r="PXZ8" s="28"/>
      <c r="PYA8" s="28"/>
      <c r="PYB8" s="28"/>
      <c r="PYC8" s="28"/>
      <c r="PYD8" s="28"/>
      <c r="PYE8" s="28"/>
      <c r="PYF8" s="28"/>
      <c r="PYG8" s="28"/>
      <c r="PYH8" s="28"/>
      <c r="PYI8" s="28"/>
      <c r="PYJ8" s="28"/>
      <c r="PYK8" s="28"/>
      <c r="PYL8" s="28"/>
      <c r="PYM8" s="28"/>
      <c r="PYN8" s="28"/>
      <c r="PYO8" s="28"/>
      <c r="PYP8" s="28"/>
      <c r="PYQ8" s="28"/>
      <c r="PYR8" s="28"/>
      <c r="PYS8" s="28"/>
      <c r="PYT8" s="28"/>
      <c r="PYU8" s="28"/>
      <c r="PYV8" s="28"/>
      <c r="PYW8" s="28"/>
      <c r="PYX8" s="28"/>
      <c r="PYY8" s="28"/>
      <c r="PYZ8" s="28"/>
      <c r="PZA8" s="28"/>
      <c r="PZB8" s="28"/>
      <c r="PZC8" s="28"/>
      <c r="PZD8" s="28"/>
      <c r="PZE8" s="28"/>
      <c r="PZF8" s="28"/>
      <c r="PZG8" s="28"/>
      <c r="PZH8" s="28"/>
      <c r="PZI8" s="28"/>
      <c r="PZJ8" s="28"/>
      <c r="PZK8" s="28"/>
      <c r="PZL8" s="28"/>
      <c r="PZM8" s="28"/>
      <c r="PZN8" s="28"/>
      <c r="PZO8" s="28"/>
      <c r="PZP8" s="28"/>
      <c r="PZQ8" s="28"/>
      <c r="PZR8" s="28"/>
      <c r="PZS8" s="28"/>
      <c r="PZT8" s="28"/>
      <c r="PZU8" s="28"/>
      <c r="PZV8" s="28"/>
      <c r="PZW8" s="28"/>
      <c r="PZX8" s="28"/>
      <c r="PZY8" s="28"/>
      <c r="PZZ8" s="28"/>
      <c r="QAA8" s="28"/>
      <c r="QAB8" s="28"/>
      <c r="QAC8" s="28"/>
      <c r="QAD8" s="28"/>
      <c r="QAE8" s="28"/>
      <c r="QAF8" s="28"/>
      <c r="QAG8" s="28"/>
      <c r="QAH8" s="28"/>
      <c r="QAI8" s="28"/>
      <c r="QAJ8" s="28"/>
      <c r="QAK8" s="28"/>
      <c r="QAL8" s="28"/>
      <c r="QAM8" s="28"/>
      <c r="QAN8" s="28"/>
      <c r="QAO8" s="28"/>
      <c r="QAP8" s="28"/>
      <c r="QAQ8" s="28"/>
      <c r="QAR8" s="28"/>
      <c r="QAS8" s="28"/>
      <c r="QAT8" s="28"/>
      <c r="QAU8" s="28"/>
      <c r="QAV8" s="28"/>
      <c r="QAW8" s="28"/>
      <c r="QAX8" s="28"/>
      <c r="QAY8" s="28"/>
      <c r="QAZ8" s="28"/>
      <c r="QBA8" s="28"/>
      <c r="QBB8" s="28"/>
      <c r="QBC8" s="28"/>
      <c r="QBD8" s="28"/>
      <c r="QBE8" s="28"/>
      <c r="QBF8" s="28"/>
      <c r="QBG8" s="28"/>
      <c r="QBH8" s="28"/>
      <c r="QBI8" s="28"/>
      <c r="QBJ8" s="28"/>
      <c r="QBK8" s="28"/>
      <c r="QBL8" s="28"/>
      <c r="QBM8" s="28"/>
      <c r="QBN8" s="28"/>
      <c r="QBO8" s="28"/>
      <c r="QBP8" s="28"/>
      <c r="QBQ8" s="28"/>
      <c r="QBR8" s="28"/>
      <c r="QBS8" s="28"/>
      <c r="QBT8" s="28"/>
      <c r="QBU8" s="28"/>
      <c r="QBV8" s="28"/>
      <c r="QBW8" s="28"/>
      <c r="QBX8" s="28"/>
      <c r="QBY8" s="28"/>
      <c r="QBZ8" s="28"/>
      <c r="QCA8" s="28"/>
      <c r="QCB8" s="28"/>
      <c r="QCC8" s="28"/>
      <c r="QCD8" s="28"/>
      <c r="QCE8" s="28"/>
      <c r="QCF8" s="28"/>
      <c r="QCG8" s="28"/>
      <c r="QCH8" s="28"/>
      <c r="QCI8" s="28"/>
      <c r="QCJ8" s="28"/>
      <c r="QCK8" s="28"/>
      <c r="QCL8" s="28"/>
      <c r="QCM8" s="28"/>
      <c r="QCN8" s="28"/>
      <c r="QCO8" s="28"/>
      <c r="QCP8" s="28"/>
      <c r="QCQ8" s="28"/>
      <c r="QCR8" s="28"/>
      <c r="QCS8" s="28"/>
      <c r="QCT8" s="28"/>
      <c r="QCU8" s="28"/>
      <c r="QCV8" s="28"/>
      <c r="QCW8" s="28"/>
      <c r="QCX8" s="28"/>
      <c r="QCY8" s="28"/>
      <c r="QCZ8" s="28"/>
      <c r="QDA8" s="28"/>
      <c r="QDB8" s="28"/>
      <c r="QDC8" s="28"/>
      <c r="QDD8" s="28"/>
      <c r="QDE8" s="28"/>
      <c r="QDF8" s="28"/>
      <c r="QDG8" s="28"/>
      <c r="QDH8" s="28"/>
      <c r="QDI8" s="28"/>
      <c r="QDJ8" s="28"/>
      <c r="QDK8" s="28"/>
      <c r="QDL8" s="28"/>
      <c r="QDM8" s="28"/>
      <c r="QDN8" s="28"/>
      <c r="QDO8" s="28"/>
      <c r="QDP8" s="28"/>
      <c r="QDQ8" s="28"/>
      <c r="QDR8" s="28"/>
      <c r="QDS8" s="28"/>
      <c r="QDT8" s="28"/>
      <c r="QDU8" s="28"/>
      <c r="QDV8" s="28"/>
      <c r="QDW8" s="28"/>
      <c r="QDX8" s="28"/>
      <c r="QDY8" s="28"/>
      <c r="QDZ8" s="28"/>
      <c r="QEA8" s="28"/>
      <c r="QEB8" s="28"/>
      <c r="QEC8" s="28"/>
      <c r="QED8" s="28"/>
      <c r="QEE8" s="28"/>
      <c r="QEF8" s="28"/>
      <c r="QEG8" s="28"/>
      <c r="QEH8" s="28"/>
      <c r="QEI8" s="28"/>
      <c r="QEJ8" s="28"/>
      <c r="QEK8" s="28"/>
      <c r="QEL8" s="28"/>
      <c r="QEM8" s="28"/>
      <c r="QEN8" s="28"/>
      <c r="QEO8" s="28"/>
      <c r="QEP8" s="28"/>
      <c r="QEQ8" s="28"/>
      <c r="QER8" s="28"/>
      <c r="QES8" s="28"/>
      <c r="QET8" s="28"/>
      <c r="QEU8" s="28"/>
      <c r="QEV8" s="28"/>
      <c r="QEW8" s="28"/>
      <c r="QEX8" s="28"/>
      <c r="QEY8" s="28"/>
      <c r="QEZ8" s="28"/>
      <c r="QFA8" s="28"/>
      <c r="QFB8" s="28"/>
      <c r="QFC8" s="28"/>
      <c r="QFD8" s="28"/>
      <c r="QFE8" s="28"/>
      <c r="QFF8" s="28"/>
      <c r="QFG8" s="28"/>
      <c r="QFH8" s="28"/>
      <c r="QFI8" s="28"/>
      <c r="QFJ8" s="28"/>
      <c r="QFK8" s="28"/>
      <c r="QFL8" s="28"/>
      <c r="QFM8" s="28"/>
      <c r="QFN8" s="28"/>
      <c r="QFO8" s="28"/>
      <c r="QFP8" s="28"/>
      <c r="QFQ8" s="28"/>
      <c r="QFR8" s="28"/>
      <c r="QFS8" s="28"/>
      <c r="QFT8" s="28"/>
      <c r="QFU8" s="28"/>
      <c r="QFV8" s="28"/>
      <c r="QFW8" s="28"/>
      <c r="QFX8" s="28"/>
      <c r="QFY8" s="28"/>
      <c r="QFZ8" s="28"/>
      <c r="QGA8" s="28"/>
      <c r="QGB8" s="28"/>
      <c r="QGC8" s="28"/>
      <c r="QGD8" s="28"/>
      <c r="QGE8" s="28"/>
      <c r="QGF8" s="28"/>
      <c r="QGG8" s="28"/>
      <c r="QGH8" s="28"/>
      <c r="QGI8" s="28"/>
      <c r="QGJ8" s="28"/>
      <c r="QGK8" s="28"/>
      <c r="QGL8" s="28"/>
      <c r="QGM8" s="28"/>
      <c r="QGN8" s="28"/>
      <c r="QGO8" s="28"/>
      <c r="QGP8" s="28"/>
      <c r="QGQ8" s="28"/>
      <c r="QGR8" s="28"/>
      <c r="QGS8" s="28"/>
      <c r="QGT8" s="28"/>
      <c r="QGU8" s="28"/>
      <c r="QGV8" s="28"/>
      <c r="QGW8" s="28"/>
      <c r="QGX8" s="28"/>
      <c r="QGY8" s="28"/>
      <c r="QGZ8" s="28"/>
      <c r="QHA8" s="28"/>
      <c r="QHB8" s="28"/>
      <c r="QHC8" s="28"/>
      <c r="QHD8" s="28"/>
      <c r="QHE8" s="28"/>
      <c r="QHF8" s="28"/>
      <c r="QHG8" s="28"/>
      <c r="QHH8" s="28"/>
      <c r="QHI8" s="28"/>
      <c r="QHJ8" s="28"/>
      <c r="QHK8" s="28"/>
      <c r="QHL8" s="28"/>
      <c r="QHM8" s="28"/>
      <c r="QHN8" s="28"/>
      <c r="QHO8" s="28"/>
      <c r="QHP8" s="28"/>
      <c r="QHQ8" s="28"/>
      <c r="QHR8" s="28"/>
      <c r="QHS8" s="28"/>
      <c r="QHT8" s="28"/>
      <c r="QHU8" s="28"/>
      <c r="QHV8" s="28"/>
      <c r="QHW8" s="28"/>
      <c r="QHX8" s="28"/>
      <c r="QHY8" s="28"/>
      <c r="QHZ8" s="28"/>
      <c r="QIA8" s="28"/>
      <c r="QIB8" s="28"/>
      <c r="QIC8" s="28"/>
      <c r="QID8" s="28"/>
      <c r="QIE8" s="28"/>
      <c r="QIF8" s="28"/>
      <c r="QIG8" s="28"/>
      <c r="QIH8" s="28"/>
      <c r="QII8" s="28"/>
      <c r="QIJ8" s="28"/>
      <c r="QIK8" s="28"/>
      <c r="QIL8" s="28"/>
      <c r="QIM8" s="28"/>
      <c r="QIN8" s="28"/>
      <c r="QIO8" s="28"/>
      <c r="QIP8" s="28"/>
      <c r="QIQ8" s="28"/>
      <c r="QIR8" s="28"/>
      <c r="QIS8" s="28"/>
      <c r="QIT8" s="28"/>
      <c r="QIU8" s="28"/>
      <c r="QIV8" s="28"/>
      <c r="QIW8" s="28"/>
      <c r="QIX8" s="28"/>
      <c r="QIY8" s="28"/>
      <c r="QIZ8" s="28"/>
      <c r="QJA8" s="28"/>
      <c r="QJB8" s="28"/>
      <c r="QJC8" s="28"/>
      <c r="QJD8" s="28"/>
      <c r="QJE8" s="28"/>
      <c r="QJF8" s="28"/>
      <c r="QJG8" s="28"/>
      <c r="QJH8" s="28"/>
      <c r="QJI8" s="28"/>
      <c r="QJJ8" s="28"/>
      <c r="QJK8" s="28"/>
      <c r="QJL8" s="28"/>
      <c r="QJM8" s="28"/>
      <c r="QJN8" s="28"/>
      <c r="QJO8" s="28"/>
      <c r="QJP8" s="28"/>
      <c r="QJQ8" s="28"/>
      <c r="QJR8" s="28"/>
      <c r="QJS8" s="28"/>
      <c r="QJT8" s="28"/>
      <c r="QJU8" s="28"/>
      <c r="QJV8" s="28"/>
      <c r="QJW8" s="28"/>
      <c r="QJX8" s="28"/>
      <c r="QJY8" s="28"/>
      <c r="QJZ8" s="28"/>
      <c r="QKA8" s="28"/>
      <c r="QKB8" s="28"/>
      <c r="QKC8" s="28"/>
      <c r="QKD8" s="28"/>
      <c r="QKE8" s="28"/>
      <c r="QKF8" s="28"/>
      <c r="QKG8" s="28"/>
      <c r="QKH8" s="28"/>
      <c r="QKI8" s="28"/>
      <c r="QKJ8" s="28"/>
      <c r="QKK8" s="28"/>
      <c r="QKL8" s="28"/>
      <c r="QKM8" s="28"/>
      <c r="QKN8" s="28"/>
      <c r="QKO8" s="28"/>
      <c r="QKP8" s="28"/>
      <c r="QKQ8" s="28"/>
      <c r="QKR8" s="28"/>
      <c r="QKS8" s="28"/>
      <c r="QKT8" s="28"/>
      <c r="QKU8" s="28"/>
      <c r="QKV8" s="28"/>
      <c r="QKW8" s="28"/>
      <c r="QKX8" s="28"/>
      <c r="QKY8" s="28"/>
      <c r="QKZ8" s="28"/>
      <c r="QLA8" s="28"/>
      <c r="QLB8" s="28"/>
      <c r="QLC8" s="28"/>
      <c r="QLD8" s="28"/>
      <c r="QLE8" s="28"/>
      <c r="QLF8" s="28"/>
      <c r="QLG8" s="28"/>
      <c r="QLH8" s="28"/>
      <c r="QLI8" s="28"/>
      <c r="QLJ8" s="28"/>
      <c r="QLK8" s="28"/>
      <c r="QLL8" s="28"/>
      <c r="QLM8" s="28"/>
      <c r="QLN8" s="28"/>
      <c r="QLO8" s="28"/>
      <c r="QLP8" s="28"/>
      <c r="QLQ8" s="28"/>
      <c r="QLR8" s="28"/>
      <c r="QLS8" s="28"/>
      <c r="QLT8" s="28"/>
      <c r="QLU8" s="28"/>
      <c r="QLV8" s="28"/>
      <c r="QLW8" s="28"/>
      <c r="QLX8" s="28"/>
      <c r="QLY8" s="28"/>
      <c r="QLZ8" s="28"/>
      <c r="QMA8" s="28"/>
      <c r="QMB8" s="28"/>
      <c r="QMC8" s="28"/>
      <c r="QMD8" s="28"/>
      <c r="QME8" s="28"/>
      <c r="QMF8" s="28"/>
      <c r="QMG8" s="28"/>
      <c r="QMH8" s="28"/>
      <c r="QMI8" s="28"/>
      <c r="QMJ8" s="28"/>
      <c r="QMK8" s="28"/>
      <c r="QML8" s="28"/>
      <c r="QMM8" s="28"/>
      <c r="QMN8" s="28"/>
      <c r="QMO8" s="28"/>
      <c r="QMP8" s="28"/>
      <c r="QMQ8" s="28"/>
      <c r="QMR8" s="28"/>
      <c r="QMS8" s="28"/>
      <c r="QMT8" s="28"/>
      <c r="QMU8" s="28"/>
      <c r="QMV8" s="28"/>
      <c r="QMW8" s="28"/>
      <c r="QMX8" s="28"/>
      <c r="QMY8" s="28"/>
      <c r="QMZ8" s="28"/>
      <c r="QNA8" s="28"/>
      <c r="QNB8" s="28"/>
      <c r="QNC8" s="28"/>
      <c r="QND8" s="28"/>
      <c r="QNE8" s="28"/>
      <c r="QNF8" s="28"/>
      <c r="QNG8" s="28"/>
      <c r="QNH8" s="28"/>
      <c r="QNI8" s="28"/>
      <c r="QNJ8" s="28"/>
      <c r="QNK8" s="28"/>
      <c r="QNL8" s="28"/>
      <c r="QNM8" s="28"/>
      <c r="QNN8" s="28"/>
      <c r="QNO8" s="28"/>
      <c r="QNP8" s="28"/>
      <c r="QNQ8" s="28"/>
      <c r="QNR8" s="28"/>
      <c r="QNS8" s="28"/>
      <c r="QNT8" s="28"/>
      <c r="QNU8" s="28"/>
      <c r="QNV8" s="28"/>
      <c r="QNW8" s="28"/>
      <c r="QNX8" s="28"/>
      <c r="QNY8" s="28"/>
      <c r="QNZ8" s="28"/>
      <c r="QOA8" s="28"/>
      <c r="QOB8" s="28"/>
      <c r="QOC8" s="28"/>
      <c r="QOD8" s="28"/>
      <c r="QOE8" s="28"/>
      <c r="QOF8" s="28"/>
      <c r="QOG8" s="28"/>
      <c r="QOH8" s="28"/>
      <c r="QOI8" s="28"/>
      <c r="QOJ8" s="28"/>
      <c r="QOK8" s="28"/>
      <c r="QOL8" s="28"/>
      <c r="QOM8" s="28"/>
      <c r="QON8" s="28"/>
      <c r="QOO8" s="28"/>
      <c r="QOP8" s="28"/>
      <c r="QOQ8" s="28"/>
      <c r="QOR8" s="28"/>
      <c r="QOS8" s="28"/>
      <c r="QOT8" s="28"/>
      <c r="QOU8" s="28"/>
      <c r="QOV8" s="28"/>
      <c r="QOW8" s="28"/>
      <c r="QOX8" s="28"/>
      <c r="QOY8" s="28"/>
      <c r="QOZ8" s="28"/>
      <c r="QPA8" s="28"/>
      <c r="QPB8" s="28"/>
      <c r="QPC8" s="28"/>
      <c r="QPD8" s="28"/>
      <c r="QPE8" s="28"/>
      <c r="QPF8" s="28"/>
      <c r="QPG8" s="28"/>
      <c r="QPH8" s="28"/>
      <c r="QPI8" s="28"/>
      <c r="QPJ8" s="28"/>
      <c r="QPK8" s="28"/>
      <c r="QPL8" s="28"/>
      <c r="QPM8" s="28"/>
      <c r="QPN8" s="28"/>
      <c r="QPO8" s="28"/>
      <c r="QPP8" s="28"/>
      <c r="QPQ8" s="28"/>
      <c r="QPR8" s="28"/>
      <c r="QPS8" s="28"/>
      <c r="QPT8" s="28"/>
      <c r="QPU8" s="28"/>
      <c r="QPV8" s="28"/>
      <c r="QPW8" s="28"/>
      <c r="QPX8" s="28"/>
      <c r="QPY8" s="28"/>
      <c r="QPZ8" s="28"/>
      <c r="QQA8" s="28"/>
      <c r="QQB8" s="28"/>
      <c r="QQC8" s="28"/>
      <c r="QQD8" s="28"/>
      <c r="QQE8" s="28"/>
      <c r="QQF8" s="28"/>
      <c r="QQG8" s="28"/>
      <c r="QQH8" s="28"/>
      <c r="QQI8" s="28"/>
      <c r="QQJ8" s="28"/>
      <c r="QQK8" s="28"/>
      <c r="QQL8" s="28"/>
      <c r="QQM8" s="28"/>
      <c r="QQN8" s="28"/>
      <c r="QQO8" s="28"/>
      <c r="QQP8" s="28"/>
      <c r="QQQ8" s="28"/>
      <c r="QQR8" s="28"/>
      <c r="QQS8" s="28"/>
      <c r="QQT8" s="28"/>
      <c r="QQU8" s="28"/>
      <c r="QQV8" s="28"/>
      <c r="QQW8" s="28"/>
      <c r="QQX8" s="28"/>
      <c r="QQY8" s="28"/>
      <c r="QQZ8" s="28"/>
      <c r="QRA8" s="28"/>
      <c r="QRB8" s="28"/>
      <c r="QRC8" s="28"/>
      <c r="QRD8" s="28"/>
      <c r="QRE8" s="28"/>
      <c r="QRF8" s="28"/>
      <c r="QRG8" s="28"/>
      <c r="QRH8" s="28"/>
      <c r="QRI8" s="28"/>
      <c r="QRJ8" s="28"/>
      <c r="QRK8" s="28"/>
      <c r="QRL8" s="28"/>
      <c r="QRM8" s="28"/>
      <c r="QRN8" s="28"/>
      <c r="QRO8" s="28"/>
      <c r="QRP8" s="28"/>
      <c r="QRQ8" s="28"/>
      <c r="QRR8" s="28"/>
      <c r="QRS8" s="28"/>
      <c r="QRT8" s="28"/>
      <c r="QRU8" s="28"/>
      <c r="QRV8" s="28"/>
      <c r="QRW8" s="28"/>
      <c r="QRX8" s="28"/>
      <c r="QRY8" s="28"/>
      <c r="QRZ8" s="28"/>
      <c r="QSA8" s="28"/>
      <c r="QSB8" s="28"/>
      <c r="QSC8" s="28"/>
      <c r="QSD8" s="28"/>
      <c r="QSE8" s="28"/>
      <c r="QSF8" s="28"/>
      <c r="QSG8" s="28"/>
      <c r="QSH8" s="28"/>
      <c r="QSI8" s="28"/>
      <c r="QSJ8" s="28"/>
      <c r="QSK8" s="28"/>
      <c r="QSL8" s="28"/>
      <c r="QSM8" s="28"/>
      <c r="QSN8" s="28"/>
      <c r="QSO8" s="28"/>
      <c r="QSP8" s="28"/>
      <c r="QSQ8" s="28"/>
      <c r="QSR8" s="28"/>
      <c r="QSS8" s="28"/>
      <c r="QST8" s="28"/>
      <c r="QSU8" s="28"/>
      <c r="QSV8" s="28"/>
      <c r="QSW8" s="28"/>
      <c r="QSX8" s="28"/>
      <c r="QSY8" s="28"/>
      <c r="QSZ8" s="28"/>
      <c r="QTA8" s="28"/>
      <c r="QTB8" s="28"/>
      <c r="QTC8" s="28"/>
      <c r="QTD8" s="28"/>
      <c r="QTE8" s="28"/>
      <c r="QTF8" s="28"/>
      <c r="QTG8" s="28"/>
      <c r="QTH8" s="28"/>
      <c r="QTI8" s="28"/>
      <c r="QTJ8" s="28"/>
      <c r="QTK8" s="28"/>
      <c r="QTL8" s="28"/>
      <c r="QTM8" s="28"/>
      <c r="QTN8" s="28"/>
      <c r="QTO8" s="28"/>
      <c r="QTP8" s="28"/>
      <c r="QTQ8" s="28"/>
      <c r="QTR8" s="28"/>
      <c r="QTS8" s="28"/>
      <c r="QTT8" s="28"/>
      <c r="QTU8" s="28"/>
      <c r="QTV8" s="28"/>
      <c r="QTW8" s="28"/>
      <c r="QTX8" s="28"/>
      <c r="QTY8" s="28"/>
      <c r="QTZ8" s="28"/>
      <c r="QUA8" s="28"/>
      <c r="QUB8" s="28"/>
      <c r="QUC8" s="28"/>
      <c r="QUD8" s="28"/>
      <c r="QUE8" s="28"/>
      <c r="QUF8" s="28"/>
      <c r="QUG8" s="28"/>
      <c r="QUH8" s="28"/>
      <c r="QUI8" s="28"/>
      <c r="QUJ8" s="28"/>
      <c r="QUK8" s="28"/>
      <c r="QUL8" s="28"/>
      <c r="QUM8" s="28"/>
      <c r="QUN8" s="28"/>
      <c r="QUO8" s="28"/>
      <c r="QUP8" s="28"/>
      <c r="QUQ8" s="28"/>
      <c r="QUR8" s="28"/>
      <c r="QUS8" s="28"/>
      <c r="QUT8" s="28"/>
      <c r="QUU8" s="28"/>
      <c r="QUV8" s="28"/>
      <c r="QUW8" s="28"/>
      <c r="QUX8" s="28"/>
      <c r="QUY8" s="28"/>
      <c r="QUZ8" s="28"/>
      <c r="QVA8" s="28"/>
      <c r="QVB8" s="28"/>
      <c r="QVC8" s="28"/>
      <c r="QVD8" s="28"/>
      <c r="QVE8" s="28"/>
      <c r="QVF8" s="28"/>
      <c r="QVG8" s="28"/>
      <c r="QVH8" s="28"/>
      <c r="QVI8" s="28"/>
      <c r="QVJ8" s="28"/>
      <c r="QVK8" s="28"/>
      <c r="QVL8" s="28"/>
      <c r="QVM8" s="28"/>
      <c r="QVN8" s="28"/>
      <c r="QVO8" s="28"/>
      <c r="QVP8" s="28"/>
      <c r="QVQ8" s="28"/>
      <c r="QVR8" s="28"/>
      <c r="QVS8" s="28"/>
      <c r="QVT8" s="28"/>
      <c r="QVU8" s="28"/>
      <c r="QVV8" s="28"/>
      <c r="QVW8" s="28"/>
      <c r="QVX8" s="28"/>
      <c r="QVY8" s="28"/>
      <c r="QVZ8" s="28"/>
      <c r="QWA8" s="28"/>
      <c r="QWB8" s="28"/>
      <c r="QWC8" s="28"/>
      <c r="QWD8" s="28"/>
      <c r="QWE8" s="28"/>
      <c r="QWF8" s="28"/>
      <c r="QWG8" s="28"/>
      <c r="QWH8" s="28"/>
      <c r="QWI8" s="28"/>
      <c r="QWJ8" s="28"/>
      <c r="QWK8" s="28"/>
      <c r="QWL8" s="28"/>
      <c r="QWM8" s="28"/>
      <c r="QWN8" s="28"/>
      <c r="QWO8" s="28"/>
      <c r="QWP8" s="28"/>
      <c r="QWQ8" s="28"/>
      <c r="QWR8" s="28"/>
      <c r="QWS8" s="28"/>
      <c r="QWT8" s="28"/>
      <c r="QWU8" s="28"/>
      <c r="QWV8" s="28"/>
      <c r="QWW8" s="28"/>
      <c r="QWX8" s="28"/>
      <c r="QWY8" s="28"/>
      <c r="QWZ8" s="28"/>
      <c r="QXA8" s="28"/>
      <c r="QXB8" s="28"/>
      <c r="QXC8" s="28"/>
      <c r="QXD8" s="28"/>
      <c r="QXE8" s="28"/>
      <c r="QXF8" s="28"/>
      <c r="QXG8" s="28"/>
      <c r="QXH8" s="28"/>
      <c r="QXI8" s="28"/>
      <c r="QXJ8" s="28"/>
      <c r="QXK8" s="28"/>
      <c r="QXL8" s="28"/>
      <c r="QXM8" s="28"/>
      <c r="QXN8" s="28"/>
      <c r="QXO8" s="28"/>
      <c r="QXP8" s="28"/>
      <c r="QXQ8" s="28"/>
      <c r="QXR8" s="28"/>
      <c r="QXS8" s="28"/>
      <c r="QXT8" s="28"/>
      <c r="QXU8" s="28"/>
      <c r="QXV8" s="28"/>
      <c r="QXW8" s="28"/>
      <c r="QXX8" s="28"/>
      <c r="QXY8" s="28"/>
      <c r="QXZ8" s="28"/>
      <c r="QYA8" s="28"/>
      <c r="QYB8" s="28"/>
      <c r="QYC8" s="28"/>
      <c r="QYD8" s="28"/>
      <c r="QYE8" s="28"/>
      <c r="QYF8" s="28"/>
      <c r="QYG8" s="28"/>
      <c r="QYH8" s="28"/>
      <c r="QYI8" s="28"/>
      <c r="QYJ8" s="28"/>
      <c r="QYK8" s="28"/>
      <c r="QYL8" s="28"/>
      <c r="QYM8" s="28"/>
      <c r="QYN8" s="28"/>
      <c r="QYO8" s="28"/>
      <c r="QYP8" s="28"/>
      <c r="QYQ8" s="28"/>
      <c r="QYR8" s="28"/>
      <c r="QYS8" s="28"/>
      <c r="QYT8" s="28"/>
      <c r="QYU8" s="28"/>
      <c r="QYV8" s="28"/>
      <c r="QYW8" s="28"/>
      <c r="QYX8" s="28"/>
      <c r="QYY8" s="28"/>
      <c r="QYZ8" s="28"/>
      <c r="QZA8" s="28"/>
      <c r="QZB8" s="28"/>
      <c r="QZC8" s="28"/>
      <c r="QZD8" s="28"/>
      <c r="QZE8" s="28"/>
      <c r="QZF8" s="28"/>
      <c r="QZG8" s="28"/>
      <c r="QZH8" s="28"/>
      <c r="QZI8" s="28"/>
      <c r="QZJ8" s="28"/>
      <c r="QZK8" s="28"/>
      <c r="QZL8" s="28"/>
      <c r="QZM8" s="28"/>
      <c r="QZN8" s="28"/>
      <c r="QZO8" s="28"/>
      <c r="QZP8" s="28"/>
      <c r="QZQ8" s="28"/>
      <c r="QZR8" s="28"/>
      <c r="QZS8" s="28"/>
      <c r="QZT8" s="28"/>
      <c r="QZU8" s="28"/>
      <c r="QZV8" s="28"/>
      <c r="QZW8" s="28"/>
      <c r="QZX8" s="28"/>
      <c r="QZY8" s="28"/>
      <c r="QZZ8" s="28"/>
      <c r="RAA8" s="28"/>
      <c r="RAB8" s="28"/>
      <c r="RAC8" s="28"/>
      <c r="RAD8" s="28"/>
      <c r="RAE8" s="28"/>
      <c r="RAF8" s="28"/>
      <c r="RAG8" s="28"/>
      <c r="RAH8" s="28"/>
      <c r="RAI8" s="28"/>
      <c r="RAJ8" s="28"/>
      <c r="RAK8" s="28"/>
      <c r="RAL8" s="28"/>
      <c r="RAM8" s="28"/>
      <c r="RAN8" s="28"/>
      <c r="RAO8" s="28"/>
      <c r="RAP8" s="28"/>
      <c r="RAQ8" s="28"/>
      <c r="RAR8" s="28"/>
      <c r="RAS8" s="28"/>
      <c r="RAT8" s="28"/>
      <c r="RAU8" s="28"/>
      <c r="RAV8" s="28"/>
      <c r="RAW8" s="28"/>
      <c r="RAX8" s="28"/>
      <c r="RAY8" s="28"/>
      <c r="RAZ8" s="28"/>
      <c r="RBA8" s="28"/>
      <c r="RBB8" s="28"/>
      <c r="RBC8" s="28"/>
      <c r="RBD8" s="28"/>
      <c r="RBE8" s="28"/>
      <c r="RBF8" s="28"/>
      <c r="RBG8" s="28"/>
      <c r="RBH8" s="28"/>
      <c r="RBI8" s="28"/>
      <c r="RBJ8" s="28"/>
      <c r="RBK8" s="28"/>
      <c r="RBL8" s="28"/>
      <c r="RBM8" s="28"/>
      <c r="RBN8" s="28"/>
      <c r="RBO8" s="28"/>
      <c r="RBP8" s="28"/>
      <c r="RBQ8" s="28"/>
      <c r="RBR8" s="28"/>
      <c r="RBS8" s="28"/>
      <c r="RBT8" s="28"/>
      <c r="RBU8" s="28"/>
      <c r="RBV8" s="28"/>
      <c r="RBW8" s="28"/>
      <c r="RBX8" s="28"/>
      <c r="RBY8" s="28"/>
      <c r="RBZ8" s="28"/>
      <c r="RCA8" s="28"/>
      <c r="RCB8" s="28"/>
      <c r="RCC8" s="28"/>
      <c r="RCD8" s="28"/>
      <c r="RCE8" s="28"/>
      <c r="RCF8" s="28"/>
      <c r="RCG8" s="28"/>
      <c r="RCH8" s="28"/>
      <c r="RCI8" s="28"/>
      <c r="RCJ8" s="28"/>
      <c r="RCK8" s="28"/>
      <c r="RCL8" s="28"/>
      <c r="RCM8" s="28"/>
      <c r="RCN8" s="28"/>
      <c r="RCO8" s="28"/>
      <c r="RCP8" s="28"/>
      <c r="RCQ8" s="28"/>
      <c r="RCR8" s="28"/>
      <c r="RCS8" s="28"/>
      <c r="RCT8" s="28"/>
      <c r="RCU8" s="28"/>
      <c r="RCV8" s="28"/>
      <c r="RCW8" s="28"/>
      <c r="RCX8" s="28"/>
      <c r="RCY8" s="28"/>
      <c r="RCZ8" s="28"/>
      <c r="RDA8" s="28"/>
      <c r="RDB8" s="28"/>
      <c r="RDC8" s="28"/>
      <c r="RDD8" s="28"/>
      <c r="RDE8" s="28"/>
      <c r="RDF8" s="28"/>
      <c r="RDG8" s="28"/>
      <c r="RDH8" s="28"/>
      <c r="RDI8" s="28"/>
      <c r="RDJ8" s="28"/>
      <c r="RDK8" s="28"/>
      <c r="RDL8" s="28"/>
      <c r="RDM8" s="28"/>
      <c r="RDN8" s="28"/>
      <c r="RDO8" s="28"/>
      <c r="RDP8" s="28"/>
      <c r="RDQ8" s="28"/>
      <c r="RDR8" s="28"/>
      <c r="RDS8" s="28"/>
      <c r="RDT8" s="28"/>
      <c r="RDU8" s="28"/>
      <c r="RDV8" s="28"/>
      <c r="RDW8" s="28"/>
      <c r="RDX8" s="28"/>
      <c r="RDY8" s="28"/>
      <c r="RDZ8" s="28"/>
      <c r="REA8" s="28"/>
      <c r="REB8" s="28"/>
      <c r="REC8" s="28"/>
      <c r="RED8" s="28"/>
      <c r="REE8" s="28"/>
      <c r="REF8" s="28"/>
      <c r="REG8" s="28"/>
      <c r="REH8" s="28"/>
      <c r="REI8" s="28"/>
      <c r="REJ8" s="28"/>
      <c r="REK8" s="28"/>
      <c r="REL8" s="28"/>
      <c r="REM8" s="28"/>
      <c r="REN8" s="28"/>
      <c r="REO8" s="28"/>
      <c r="REP8" s="28"/>
      <c r="REQ8" s="28"/>
      <c r="RER8" s="28"/>
      <c r="RES8" s="28"/>
      <c r="RET8" s="28"/>
      <c r="REU8" s="28"/>
      <c r="REV8" s="28"/>
      <c r="REW8" s="28"/>
      <c r="REX8" s="28"/>
      <c r="REY8" s="28"/>
      <c r="REZ8" s="28"/>
      <c r="RFA8" s="28"/>
      <c r="RFB8" s="28"/>
      <c r="RFC8" s="28"/>
      <c r="RFD8" s="28"/>
      <c r="RFE8" s="28"/>
      <c r="RFF8" s="28"/>
      <c r="RFG8" s="28"/>
      <c r="RFH8" s="28"/>
      <c r="RFI8" s="28"/>
      <c r="RFJ8" s="28"/>
      <c r="RFK8" s="28"/>
      <c r="RFL8" s="28"/>
      <c r="RFM8" s="28"/>
      <c r="RFN8" s="28"/>
      <c r="RFO8" s="28"/>
      <c r="RFP8" s="28"/>
      <c r="RFQ8" s="28"/>
      <c r="RFR8" s="28"/>
      <c r="RFS8" s="28"/>
      <c r="RFT8" s="28"/>
      <c r="RFU8" s="28"/>
      <c r="RFV8" s="28"/>
      <c r="RFW8" s="28"/>
      <c r="RFX8" s="28"/>
      <c r="RFY8" s="28"/>
      <c r="RFZ8" s="28"/>
      <c r="RGA8" s="28"/>
      <c r="RGB8" s="28"/>
      <c r="RGC8" s="28"/>
      <c r="RGD8" s="28"/>
      <c r="RGE8" s="28"/>
      <c r="RGF8" s="28"/>
      <c r="RGG8" s="28"/>
      <c r="RGH8" s="28"/>
      <c r="RGI8" s="28"/>
      <c r="RGJ8" s="28"/>
      <c r="RGK8" s="28"/>
      <c r="RGL8" s="28"/>
      <c r="RGM8" s="28"/>
      <c r="RGN8" s="28"/>
      <c r="RGO8" s="28"/>
      <c r="RGP8" s="28"/>
      <c r="RGQ8" s="28"/>
      <c r="RGR8" s="28"/>
      <c r="RGS8" s="28"/>
      <c r="RGT8" s="28"/>
      <c r="RGU8" s="28"/>
      <c r="RGV8" s="28"/>
      <c r="RGW8" s="28"/>
      <c r="RGX8" s="28"/>
      <c r="RGY8" s="28"/>
      <c r="RGZ8" s="28"/>
      <c r="RHA8" s="28"/>
      <c r="RHB8" s="28"/>
      <c r="RHC8" s="28"/>
      <c r="RHD8" s="28"/>
      <c r="RHE8" s="28"/>
      <c r="RHF8" s="28"/>
      <c r="RHG8" s="28"/>
      <c r="RHH8" s="28"/>
      <c r="RHI8" s="28"/>
      <c r="RHJ8" s="28"/>
      <c r="RHK8" s="28"/>
      <c r="RHL8" s="28"/>
      <c r="RHM8" s="28"/>
      <c r="RHN8" s="28"/>
      <c r="RHO8" s="28"/>
      <c r="RHP8" s="28"/>
      <c r="RHQ8" s="28"/>
      <c r="RHR8" s="28"/>
      <c r="RHS8" s="28"/>
      <c r="RHT8" s="28"/>
      <c r="RHU8" s="28"/>
      <c r="RHV8" s="28"/>
      <c r="RHW8" s="28"/>
      <c r="RHX8" s="28"/>
      <c r="RHY8" s="28"/>
      <c r="RHZ8" s="28"/>
      <c r="RIA8" s="28"/>
      <c r="RIB8" s="28"/>
      <c r="RIC8" s="28"/>
      <c r="RID8" s="28"/>
      <c r="RIE8" s="28"/>
      <c r="RIF8" s="28"/>
      <c r="RIG8" s="28"/>
      <c r="RIH8" s="28"/>
      <c r="RII8" s="28"/>
      <c r="RIJ8" s="28"/>
      <c r="RIK8" s="28"/>
      <c r="RIL8" s="28"/>
      <c r="RIM8" s="28"/>
      <c r="RIN8" s="28"/>
      <c r="RIO8" s="28"/>
      <c r="RIP8" s="28"/>
      <c r="RIQ8" s="28"/>
      <c r="RIR8" s="28"/>
      <c r="RIS8" s="28"/>
      <c r="RIT8" s="28"/>
      <c r="RIU8" s="28"/>
      <c r="RIV8" s="28"/>
      <c r="RIW8" s="28"/>
      <c r="RIX8" s="28"/>
      <c r="RIY8" s="28"/>
      <c r="RIZ8" s="28"/>
      <c r="RJA8" s="28"/>
      <c r="RJB8" s="28"/>
      <c r="RJC8" s="28"/>
      <c r="RJD8" s="28"/>
      <c r="RJE8" s="28"/>
      <c r="RJF8" s="28"/>
      <c r="RJG8" s="28"/>
      <c r="RJH8" s="28"/>
      <c r="RJI8" s="28"/>
      <c r="RJJ8" s="28"/>
      <c r="RJK8" s="28"/>
      <c r="RJL8" s="28"/>
      <c r="RJM8" s="28"/>
      <c r="RJN8" s="28"/>
      <c r="RJO8" s="28"/>
      <c r="RJP8" s="28"/>
      <c r="RJQ8" s="28"/>
      <c r="RJR8" s="28"/>
      <c r="RJS8" s="28"/>
      <c r="RJT8" s="28"/>
      <c r="RJU8" s="28"/>
      <c r="RJV8" s="28"/>
      <c r="RJW8" s="28"/>
      <c r="RJX8" s="28"/>
      <c r="RJY8" s="28"/>
      <c r="RJZ8" s="28"/>
      <c r="RKA8" s="28"/>
      <c r="RKB8" s="28"/>
      <c r="RKC8" s="28"/>
      <c r="RKD8" s="28"/>
      <c r="RKE8" s="28"/>
      <c r="RKF8" s="28"/>
      <c r="RKG8" s="28"/>
      <c r="RKH8" s="28"/>
      <c r="RKI8" s="28"/>
      <c r="RKJ8" s="28"/>
      <c r="RKK8" s="28"/>
      <c r="RKL8" s="28"/>
      <c r="RKM8" s="28"/>
      <c r="RKN8" s="28"/>
      <c r="RKO8" s="28"/>
      <c r="RKP8" s="28"/>
      <c r="RKQ8" s="28"/>
      <c r="RKR8" s="28"/>
      <c r="RKS8" s="28"/>
      <c r="RKT8" s="28"/>
      <c r="RKU8" s="28"/>
      <c r="RKV8" s="28"/>
      <c r="RKW8" s="28"/>
      <c r="RKX8" s="28"/>
      <c r="RKY8" s="28"/>
      <c r="RKZ8" s="28"/>
      <c r="RLA8" s="28"/>
      <c r="RLB8" s="28"/>
      <c r="RLC8" s="28"/>
      <c r="RLD8" s="28"/>
      <c r="RLE8" s="28"/>
      <c r="RLF8" s="28"/>
      <c r="RLG8" s="28"/>
      <c r="RLH8" s="28"/>
      <c r="RLI8" s="28"/>
      <c r="RLJ8" s="28"/>
      <c r="RLK8" s="28"/>
      <c r="RLL8" s="28"/>
      <c r="RLM8" s="28"/>
      <c r="RLN8" s="28"/>
      <c r="RLO8" s="28"/>
      <c r="RLP8" s="28"/>
      <c r="RLQ8" s="28"/>
      <c r="RLR8" s="28"/>
      <c r="RLS8" s="28"/>
      <c r="RLT8" s="28"/>
      <c r="RLU8" s="28"/>
      <c r="RLV8" s="28"/>
      <c r="RLW8" s="28"/>
      <c r="RLX8" s="28"/>
      <c r="RLY8" s="28"/>
      <c r="RLZ8" s="28"/>
      <c r="RMA8" s="28"/>
      <c r="RMB8" s="28"/>
      <c r="RMC8" s="28"/>
      <c r="RMD8" s="28"/>
      <c r="RME8" s="28"/>
      <c r="RMF8" s="28"/>
      <c r="RMG8" s="28"/>
      <c r="RMH8" s="28"/>
      <c r="RMI8" s="28"/>
      <c r="RMJ8" s="28"/>
      <c r="RMK8" s="28"/>
      <c r="RML8" s="28"/>
      <c r="RMM8" s="28"/>
      <c r="RMN8" s="28"/>
      <c r="RMO8" s="28"/>
      <c r="RMP8" s="28"/>
      <c r="RMQ8" s="28"/>
      <c r="RMR8" s="28"/>
      <c r="RMS8" s="28"/>
      <c r="RMT8" s="28"/>
      <c r="RMU8" s="28"/>
      <c r="RMV8" s="28"/>
      <c r="RMW8" s="28"/>
      <c r="RMX8" s="28"/>
      <c r="RMY8" s="28"/>
      <c r="RMZ8" s="28"/>
      <c r="RNA8" s="28"/>
      <c r="RNB8" s="28"/>
      <c r="RNC8" s="28"/>
      <c r="RND8" s="28"/>
      <c r="RNE8" s="28"/>
      <c r="RNF8" s="28"/>
      <c r="RNG8" s="28"/>
      <c r="RNH8" s="28"/>
      <c r="RNI8" s="28"/>
      <c r="RNJ8" s="28"/>
      <c r="RNK8" s="28"/>
      <c r="RNL8" s="28"/>
      <c r="RNM8" s="28"/>
      <c r="RNN8" s="28"/>
      <c r="RNO8" s="28"/>
      <c r="RNP8" s="28"/>
      <c r="RNQ8" s="28"/>
      <c r="RNR8" s="28"/>
      <c r="RNS8" s="28"/>
      <c r="RNT8" s="28"/>
      <c r="RNU8" s="28"/>
      <c r="RNV8" s="28"/>
      <c r="RNW8" s="28"/>
      <c r="RNX8" s="28"/>
      <c r="RNY8" s="28"/>
      <c r="RNZ8" s="28"/>
      <c r="ROA8" s="28"/>
      <c r="ROB8" s="28"/>
      <c r="ROC8" s="28"/>
      <c r="ROD8" s="28"/>
      <c r="ROE8" s="28"/>
      <c r="ROF8" s="28"/>
      <c r="ROG8" s="28"/>
      <c r="ROH8" s="28"/>
      <c r="ROI8" s="28"/>
      <c r="ROJ8" s="28"/>
      <c r="ROK8" s="28"/>
      <c r="ROL8" s="28"/>
      <c r="ROM8" s="28"/>
      <c r="RON8" s="28"/>
      <c r="ROO8" s="28"/>
      <c r="ROP8" s="28"/>
      <c r="ROQ8" s="28"/>
      <c r="ROR8" s="28"/>
      <c r="ROS8" s="28"/>
      <c r="ROT8" s="28"/>
      <c r="ROU8" s="28"/>
      <c r="ROV8" s="28"/>
      <c r="ROW8" s="28"/>
      <c r="ROX8" s="28"/>
      <c r="ROY8" s="28"/>
      <c r="ROZ8" s="28"/>
      <c r="RPA8" s="28"/>
      <c r="RPB8" s="28"/>
      <c r="RPC8" s="28"/>
      <c r="RPD8" s="28"/>
      <c r="RPE8" s="28"/>
      <c r="RPF8" s="28"/>
      <c r="RPG8" s="28"/>
      <c r="RPH8" s="28"/>
      <c r="RPI8" s="28"/>
      <c r="RPJ8" s="28"/>
      <c r="RPK8" s="28"/>
      <c r="RPL8" s="28"/>
      <c r="RPM8" s="28"/>
      <c r="RPN8" s="28"/>
      <c r="RPO8" s="28"/>
      <c r="RPP8" s="28"/>
      <c r="RPQ8" s="28"/>
      <c r="RPR8" s="28"/>
      <c r="RPS8" s="28"/>
      <c r="RPT8" s="28"/>
      <c r="RPU8" s="28"/>
      <c r="RPV8" s="28"/>
      <c r="RPW8" s="28"/>
      <c r="RPX8" s="28"/>
      <c r="RPY8" s="28"/>
      <c r="RPZ8" s="28"/>
      <c r="RQA8" s="28"/>
      <c r="RQB8" s="28"/>
      <c r="RQC8" s="28"/>
      <c r="RQD8" s="28"/>
      <c r="RQE8" s="28"/>
      <c r="RQF8" s="28"/>
      <c r="RQG8" s="28"/>
      <c r="RQH8" s="28"/>
      <c r="RQI8" s="28"/>
      <c r="RQJ8" s="28"/>
      <c r="RQK8" s="28"/>
      <c r="RQL8" s="28"/>
      <c r="RQM8" s="28"/>
      <c r="RQN8" s="28"/>
      <c r="RQO8" s="28"/>
      <c r="RQP8" s="28"/>
      <c r="RQQ8" s="28"/>
      <c r="RQR8" s="28"/>
      <c r="RQS8" s="28"/>
      <c r="RQT8" s="28"/>
      <c r="RQU8" s="28"/>
      <c r="RQV8" s="28"/>
      <c r="RQW8" s="28"/>
      <c r="RQX8" s="28"/>
      <c r="RQY8" s="28"/>
      <c r="RQZ8" s="28"/>
      <c r="RRA8" s="28"/>
      <c r="RRB8" s="28"/>
      <c r="RRC8" s="28"/>
      <c r="RRD8" s="28"/>
      <c r="RRE8" s="28"/>
      <c r="RRF8" s="28"/>
      <c r="RRG8" s="28"/>
      <c r="RRH8" s="28"/>
      <c r="RRI8" s="28"/>
      <c r="RRJ8" s="28"/>
      <c r="RRK8" s="28"/>
      <c r="RRL8" s="28"/>
      <c r="RRM8" s="28"/>
      <c r="RRN8" s="28"/>
      <c r="RRO8" s="28"/>
      <c r="RRP8" s="28"/>
      <c r="RRQ8" s="28"/>
      <c r="RRR8" s="28"/>
      <c r="RRS8" s="28"/>
      <c r="RRT8" s="28"/>
      <c r="RRU8" s="28"/>
      <c r="RRV8" s="28"/>
      <c r="RRW8" s="28"/>
      <c r="RRX8" s="28"/>
      <c r="RRY8" s="28"/>
      <c r="RRZ8" s="28"/>
      <c r="RSA8" s="28"/>
      <c r="RSB8" s="28"/>
      <c r="RSC8" s="28"/>
      <c r="RSD8" s="28"/>
      <c r="RSE8" s="28"/>
      <c r="RSF8" s="28"/>
      <c r="RSG8" s="28"/>
      <c r="RSH8" s="28"/>
      <c r="RSI8" s="28"/>
      <c r="RSJ8" s="28"/>
      <c r="RSK8" s="28"/>
      <c r="RSL8" s="28"/>
      <c r="RSM8" s="28"/>
      <c r="RSN8" s="28"/>
      <c r="RSO8" s="28"/>
      <c r="RSP8" s="28"/>
      <c r="RSQ8" s="28"/>
      <c r="RSR8" s="28"/>
      <c r="RSS8" s="28"/>
      <c r="RST8" s="28"/>
      <c r="RSU8" s="28"/>
      <c r="RSV8" s="28"/>
      <c r="RSW8" s="28"/>
      <c r="RSX8" s="28"/>
      <c r="RSY8" s="28"/>
      <c r="RSZ8" s="28"/>
      <c r="RTA8" s="28"/>
      <c r="RTB8" s="28"/>
      <c r="RTC8" s="28"/>
      <c r="RTD8" s="28"/>
      <c r="RTE8" s="28"/>
      <c r="RTF8" s="28"/>
      <c r="RTG8" s="28"/>
      <c r="RTH8" s="28"/>
      <c r="RTI8" s="28"/>
      <c r="RTJ8" s="28"/>
      <c r="RTK8" s="28"/>
      <c r="RTL8" s="28"/>
      <c r="RTM8" s="28"/>
      <c r="RTN8" s="28"/>
      <c r="RTO8" s="28"/>
      <c r="RTP8" s="28"/>
      <c r="RTQ8" s="28"/>
      <c r="RTR8" s="28"/>
      <c r="RTS8" s="28"/>
      <c r="RTT8" s="28"/>
      <c r="RTU8" s="28"/>
      <c r="RTV8" s="28"/>
      <c r="RTW8" s="28"/>
      <c r="RTX8" s="28"/>
      <c r="RTY8" s="28"/>
      <c r="RTZ8" s="28"/>
      <c r="RUA8" s="28"/>
      <c r="RUB8" s="28"/>
      <c r="RUC8" s="28"/>
      <c r="RUD8" s="28"/>
      <c r="RUE8" s="28"/>
      <c r="RUF8" s="28"/>
      <c r="RUG8" s="28"/>
      <c r="RUH8" s="28"/>
      <c r="RUI8" s="28"/>
      <c r="RUJ8" s="28"/>
      <c r="RUK8" s="28"/>
      <c r="RUL8" s="28"/>
      <c r="RUM8" s="28"/>
      <c r="RUN8" s="28"/>
      <c r="RUO8" s="28"/>
      <c r="RUP8" s="28"/>
      <c r="RUQ8" s="28"/>
      <c r="RUR8" s="28"/>
      <c r="RUS8" s="28"/>
      <c r="RUT8" s="28"/>
      <c r="RUU8" s="28"/>
      <c r="RUV8" s="28"/>
      <c r="RUW8" s="28"/>
      <c r="RUX8" s="28"/>
      <c r="RUY8" s="28"/>
      <c r="RUZ8" s="28"/>
      <c r="RVA8" s="28"/>
      <c r="RVB8" s="28"/>
      <c r="RVC8" s="28"/>
      <c r="RVD8" s="28"/>
      <c r="RVE8" s="28"/>
      <c r="RVF8" s="28"/>
      <c r="RVG8" s="28"/>
      <c r="RVH8" s="28"/>
      <c r="RVI8" s="28"/>
      <c r="RVJ8" s="28"/>
      <c r="RVK8" s="28"/>
      <c r="RVL8" s="28"/>
      <c r="RVM8" s="28"/>
      <c r="RVN8" s="28"/>
      <c r="RVO8" s="28"/>
      <c r="RVP8" s="28"/>
      <c r="RVQ8" s="28"/>
      <c r="RVR8" s="28"/>
      <c r="RVS8" s="28"/>
      <c r="RVT8" s="28"/>
      <c r="RVU8" s="28"/>
      <c r="RVV8" s="28"/>
      <c r="RVW8" s="28"/>
      <c r="RVX8" s="28"/>
      <c r="RVY8" s="28"/>
      <c r="RVZ8" s="28"/>
      <c r="RWA8" s="28"/>
      <c r="RWB8" s="28"/>
      <c r="RWC8" s="28"/>
      <c r="RWD8" s="28"/>
      <c r="RWE8" s="28"/>
      <c r="RWF8" s="28"/>
      <c r="RWG8" s="28"/>
      <c r="RWH8" s="28"/>
      <c r="RWI8" s="28"/>
      <c r="RWJ8" s="28"/>
      <c r="RWK8" s="28"/>
      <c r="RWL8" s="28"/>
      <c r="RWM8" s="28"/>
      <c r="RWN8" s="28"/>
      <c r="RWO8" s="28"/>
      <c r="RWP8" s="28"/>
      <c r="RWQ8" s="28"/>
      <c r="RWR8" s="28"/>
      <c r="RWS8" s="28"/>
      <c r="RWT8" s="28"/>
      <c r="RWU8" s="28"/>
      <c r="RWV8" s="28"/>
      <c r="RWW8" s="28"/>
      <c r="RWX8" s="28"/>
      <c r="RWY8" s="28"/>
      <c r="RWZ8" s="28"/>
      <c r="RXA8" s="28"/>
      <c r="RXB8" s="28"/>
      <c r="RXC8" s="28"/>
      <c r="RXD8" s="28"/>
      <c r="RXE8" s="28"/>
      <c r="RXF8" s="28"/>
      <c r="RXG8" s="28"/>
      <c r="RXH8" s="28"/>
      <c r="RXI8" s="28"/>
      <c r="RXJ8" s="28"/>
      <c r="RXK8" s="28"/>
      <c r="RXL8" s="28"/>
      <c r="RXM8" s="28"/>
      <c r="RXN8" s="28"/>
      <c r="RXO8" s="28"/>
      <c r="RXP8" s="28"/>
      <c r="RXQ8" s="28"/>
      <c r="RXR8" s="28"/>
      <c r="RXS8" s="28"/>
      <c r="RXT8" s="28"/>
      <c r="RXU8" s="28"/>
      <c r="RXV8" s="28"/>
      <c r="RXW8" s="28"/>
      <c r="RXX8" s="28"/>
      <c r="RXY8" s="28"/>
      <c r="RXZ8" s="28"/>
      <c r="RYA8" s="28"/>
      <c r="RYB8" s="28"/>
      <c r="RYC8" s="28"/>
      <c r="RYD8" s="28"/>
      <c r="RYE8" s="28"/>
      <c r="RYF8" s="28"/>
      <c r="RYG8" s="28"/>
      <c r="RYH8" s="28"/>
      <c r="RYI8" s="28"/>
      <c r="RYJ8" s="28"/>
      <c r="RYK8" s="28"/>
      <c r="RYL8" s="28"/>
      <c r="RYM8" s="28"/>
      <c r="RYN8" s="28"/>
      <c r="RYO8" s="28"/>
      <c r="RYP8" s="28"/>
      <c r="RYQ8" s="28"/>
      <c r="RYR8" s="28"/>
      <c r="RYS8" s="28"/>
      <c r="RYT8" s="28"/>
      <c r="RYU8" s="28"/>
      <c r="RYV8" s="28"/>
      <c r="RYW8" s="28"/>
      <c r="RYX8" s="28"/>
      <c r="RYY8" s="28"/>
      <c r="RYZ8" s="28"/>
      <c r="RZA8" s="28"/>
      <c r="RZB8" s="28"/>
      <c r="RZC8" s="28"/>
      <c r="RZD8" s="28"/>
      <c r="RZE8" s="28"/>
      <c r="RZF8" s="28"/>
      <c r="RZG8" s="28"/>
      <c r="RZH8" s="28"/>
      <c r="RZI8" s="28"/>
      <c r="RZJ8" s="28"/>
      <c r="RZK8" s="28"/>
      <c r="RZL8" s="28"/>
      <c r="RZM8" s="28"/>
      <c r="RZN8" s="28"/>
      <c r="RZO8" s="28"/>
      <c r="RZP8" s="28"/>
      <c r="RZQ8" s="28"/>
      <c r="RZR8" s="28"/>
      <c r="RZS8" s="28"/>
      <c r="RZT8" s="28"/>
      <c r="RZU8" s="28"/>
      <c r="RZV8" s="28"/>
      <c r="RZW8" s="28"/>
      <c r="RZX8" s="28"/>
      <c r="RZY8" s="28"/>
      <c r="RZZ8" s="28"/>
      <c r="SAA8" s="28"/>
      <c r="SAB8" s="28"/>
      <c r="SAC8" s="28"/>
      <c r="SAD8" s="28"/>
      <c r="SAE8" s="28"/>
      <c r="SAF8" s="28"/>
      <c r="SAG8" s="28"/>
      <c r="SAH8" s="28"/>
      <c r="SAI8" s="28"/>
      <c r="SAJ8" s="28"/>
      <c r="SAK8" s="28"/>
      <c r="SAL8" s="28"/>
      <c r="SAM8" s="28"/>
      <c r="SAN8" s="28"/>
      <c r="SAO8" s="28"/>
      <c r="SAP8" s="28"/>
      <c r="SAQ8" s="28"/>
      <c r="SAR8" s="28"/>
      <c r="SAS8" s="28"/>
      <c r="SAT8" s="28"/>
      <c r="SAU8" s="28"/>
      <c r="SAV8" s="28"/>
      <c r="SAW8" s="28"/>
      <c r="SAX8" s="28"/>
      <c r="SAY8" s="28"/>
      <c r="SAZ8" s="28"/>
      <c r="SBA8" s="28"/>
      <c r="SBB8" s="28"/>
      <c r="SBC8" s="28"/>
      <c r="SBD8" s="28"/>
      <c r="SBE8" s="28"/>
      <c r="SBF8" s="28"/>
      <c r="SBG8" s="28"/>
      <c r="SBH8" s="28"/>
      <c r="SBI8" s="28"/>
      <c r="SBJ8" s="28"/>
      <c r="SBK8" s="28"/>
      <c r="SBL8" s="28"/>
      <c r="SBM8" s="28"/>
      <c r="SBN8" s="28"/>
      <c r="SBO8" s="28"/>
      <c r="SBP8" s="28"/>
      <c r="SBQ8" s="28"/>
      <c r="SBR8" s="28"/>
      <c r="SBS8" s="28"/>
      <c r="SBT8" s="28"/>
      <c r="SBU8" s="28"/>
      <c r="SBV8" s="28"/>
      <c r="SBW8" s="28"/>
      <c r="SBX8" s="28"/>
      <c r="SBY8" s="28"/>
      <c r="SBZ8" s="28"/>
      <c r="SCA8" s="28"/>
      <c r="SCB8" s="28"/>
      <c r="SCC8" s="28"/>
      <c r="SCD8" s="28"/>
      <c r="SCE8" s="28"/>
      <c r="SCF8" s="28"/>
      <c r="SCG8" s="28"/>
      <c r="SCH8" s="28"/>
      <c r="SCI8" s="28"/>
      <c r="SCJ8" s="28"/>
      <c r="SCK8" s="28"/>
      <c r="SCL8" s="28"/>
      <c r="SCM8" s="28"/>
      <c r="SCN8" s="28"/>
      <c r="SCO8" s="28"/>
      <c r="SCP8" s="28"/>
      <c r="SCQ8" s="28"/>
      <c r="SCR8" s="28"/>
      <c r="SCS8" s="28"/>
      <c r="SCT8" s="28"/>
      <c r="SCU8" s="28"/>
      <c r="SCV8" s="28"/>
      <c r="SCW8" s="28"/>
      <c r="SCX8" s="28"/>
      <c r="SCY8" s="28"/>
      <c r="SCZ8" s="28"/>
      <c r="SDA8" s="28"/>
      <c r="SDB8" s="28"/>
      <c r="SDC8" s="28"/>
      <c r="SDD8" s="28"/>
      <c r="SDE8" s="28"/>
      <c r="SDF8" s="28"/>
      <c r="SDG8" s="28"/>
      <c r="SDH8" s="28"/>
      <c r="SDI8" s="28"/>
      <c r="SDJ8" s="28"/>
      <c r="SDK8" s="28"/>
      <c r="SDL8" s="28"/>
      <c r="SDM8" s="28"/>
      <c r="SDN8" s="28"/>
      <c r="SDO8" s="28"/>
      <c r="SDP8" s="28"/>
      <c r="SDQ8" s="28"/>
      <c r="SDR8" s="28"/>
      <c r="SDS8" s="28"/>
      <c r="SDT8" s="28"/>
      <c r="SDU8" s="28"/>
      <c r="SDV8" s="28"/>
      <c r="SDW8" s="28"/>
      <c r="SDX8" s="28"/>
      <c r="SDY8" s="28"/>
      <c r="SDZ8" s="28"/>
      <c r="SEA8" s="28"/>
      <c r="SEB8" s="28"/>
      <c r="SEC8" s="28"/>
      <c r="SED8" s="28"/>
      <c r="SEE8" s="28"/>
      <c r="SEF8" s="28"/>
      <c r="SEG8" s="28"/>
      <c r="SEH8" s="28"/>
      <c r="SEI8" s="28"/>
      <c r="SEJ8" s="28"/>
      <c r="SEK8" s="28"/>
      <c r="SEL8" s="28"/>
      <c r="SEM8" s="28"/>
      <c r="SEN8" s="28"/>
      <c r="SEO8" s="28"/>
      <c r="SEP8" s="28"/>
      <c r="SEQ8" s="28"/>
      <c r="SER8" s="28"/>
      <c r="SES8" s="28"/>
      <c r="SET8" s="28"/>
      <c r="SEU8" s="28"/>
      <c r="SEV8" s="28"/>
      <c r="SEW8" s="28"/>
      <c r="SEX8" s="28"/>
      <c r="SEY8" s="28"/>
      <c r="SEZ8" s="28"/>
      <c r="SFA8" s="28"/>
      <c r="SFB8" s="28"/>
      <c r="SFC8" s="28"/>
      <c r="SFD8" s="28"/>
      <c r="SFE8" s="28"/>
      <c r="SFF8" s="28"/>
      <c r="SFG8" s="28"/>
      <c r="SFH8" s="28"/>
      <c r="SFI8" s="28"/>
      <c r="SFJ8" s="28"/>
      <c r="SFK8" s="28"/>
      <c r="SFL8" s="28"/>
      <c r="SFM8" s="28"/>
      <c r="SFN8" s="28"/>
      <c r="SFO8" s="28"/>
      <c r="SFP8" s="28"/>
      <c r="SFQ8" s="28"/>
      <c r="SFR8" s="28"/>
      <c r="SFS8" s="28"/>
      <c r="SFT8" s="28"/>
      <c r="SFU8" s="28"/>
      <c r="SFV8" s="28"/>
      <c r="SFW8" s="28"/>
      <c r="SFX8" s="28"/>
      <c r="SFY8" s="28"/>
      <c r="SFZ8" s="28"/>
      <c r="SGA8" s="28"/>
      <c r="SGB8" s="28"/>
      <c r="SGC8" s="28"/>
      <c r="SGD8" s="28"/>
      <c r="SGE8" s="28"/>
      <c r="SGF8" s="28"/>
      <c r="SGG8" s="28"/>
      <c r="SGH8" s="28"/>
      <c r="SGI8" s="28"/>
      <c r="SGJ8" s="28"/>
      <c r="SGK8" s="28"/>
      <c r="SGL8" s="28"/>
      <c r="SGM8" s="28"/>
      <c r="SGN8" s="28"/>
      <c r="SGO8" s="28"/>
      <c r="SGP8" s="28"/>
      <c r="SGQ8" s="28"/>
      <c r="SGR8" s="28"/>
      <c r="SGS8" s="28"/>
      <c r="SGT8" s="28"/>
      <c r="SGU8" s="28"/>
      <c r="SGV8" s="28"/>
      <c r="SGW8" s="28"/>
      <c r="SGX8" s="28"/>
      <c r="SGY8" s="28"/>
      <c r="SGZ8" s="28"/>
      <c r="SHA8" s="28"/>
      <c r="SHB8" s="28"/>
      <c r="SHC8" s="28"/>
      <c r="SHD8" s="28"/>
      <c r="SHE8" s="28"/>
      <c r="SHF8" s="28"/>
      <c r="SHG8" s="28"/>
      <c r="SHH8" s="28"/>
      <c r="SHI8" s="28"/>
      <c r="SHJ8" s="28"/>
      <c r="SHK8" s="28"/>
      <c r="SHL8" s="28"/>
      <c r="SHM8" s="28"/>
      <c r="SHN8" s="28"/>
      <c r="SHO8" s="28"/>
      <c r="SHP8" s="28"/>
      <c r="SHQ8" s="28"/>
      <c r="SHR8" s="28"/>
      <c r="SHS8" s="28"/>
      <c r="SHT8" s="28"/>
      <c r="SHU8" s="28"/>
      <c r="SHV8" s="28"/>
      <c r="SHW8" s="28"/>
      <c r="SHX8" s="28"/>
      <c r="SHY8" s="28"/>
      <c r="SHZ8" s="28"/>
      <c r="SIA8" s="28"/>
      <c r="SIB8" s="28"/>
      <c r="SIC8" s="28"/>
      <c r="SID8" s="28"/>
      <c r="SIE8" s="28"/>
      <c r="SIF8" s="28"/>
      <c r="SIG8" s="28"/>
      <c r="SIH8" s="28"/>
      <c r="SII8" s="28"/>
      <c r="SIJ8" s="28"/>
      <c r="SIK8" s="28"/>
      <c r="SIL8" s="28"/>
      <c r="SIM8" s="28"/>
      <c r="SIN8" s="28"/>
      <c r="SIO8" s="28"/>
      <c r="SIP8" s="28"/>
      <c r="SIQ8" s="28"/>
      <c r="SIR8" s="28"/>
      <c r="SIS8" s="28"/>
      <c r="SIT8" s="28"/>
      <c r="SIU8" s="28"/>
      <c r="SIV8" s="28"/>
      <c r="SIW8" s="28"/>
      <c r="SIX8" s="28"/>
      <c r="SIY8" s="28"/>
      <c r="SIZ8" s="28"/>
      <c r="SJA8" s="28"/>
      <c r="SJB8" s="28"/>
      <c r="SJC8" s="28"/>
      <c r="SJD8" s="28"/>
      <c r="SJE8" s="28"/>
      <c r="SJF8" s="28"/>
      <c r="SJG8" s="28"/>
      <c r="SJH8" s="28"/>
      <c r="SJI8" s="28"/>
      <c r="SJJ8" s="28"/>
      <c r="SJK8" s="28"/>
      <c r="SJL8" s="28"/>
      <c r="SJM8" s="28"/>
      <c r="SJN8" s="28"/>
      <c r="SJO8" s="28"/>
      <c r="SJP8" s="28"/>
      <c r="SJQ8" s="28"/>
      <c r="SJR8" s="28"/>
      <c r="SJS8" s="28"/>
      <c r="SJT8" s="28"/>
      <c r="SJU8" s="28"/>
      <c r="SJV8" s="28"/>
      <c r="SJW8" s="28"/>
      <c r="SJX8" s="28"/>
      <c r="SJY8" s="28"/>
      <c r="SJZ8" s="28"/>
      <c r="SKA8" s="28"/>
      <c r="SKB8" s="28"/>
      <c r="SKC8" s="28"/>
      <c r="SKD8" s="28"/>
      <c r="SKE8" s="28"/>
      <c r="SKF8" s="28"/>
      <c r="SKG8" s="28"/>
      <c r="SKH8" s="28"/>
      <c r="SKI8" s="28"/>
      <c r="SKJ8" s="28"/>
      <c r="SKK8" s="28"/>
      <c r="SKL8" s="28"/>
      <c r="SKM8" s="28"/>
      <c r="SKN8" s="28"/>
      <c r="SKO8" s="28"/>
      <c r="SKP8" s="28"/>
      <c r="SKQ8" s="28"/>
      <c r="SKR8" s="28"/>
      <c r="SKS8" s="28"/>
      <c r="SKT8" s="28"/>
      <c r="SKU8" s="28"/>
      <c r="SKV8" s="28"/>
      <c r="SKW8" s="28"/>
      <c r="SKX8" s="28"/>
      <c r="SKY8" s="28"/>
      <c r="SKZ8" s="28"/>
      <c r="SLA8" s="28"/>
      <c r="SLB8" s="28"/>
      <c r="SLC8" s="28"/>
      <c r="SLD8" s="28"/>
      <c r="SLE8" s="28"/>
      <c r="SLF8" s="28"/>
      <c r="SLG8" s="28"/>
      <c r="SLH8" s="28"/>
      <c r="SLI8" s="28"/>
      <c r="SLJ8" s="28"/>
      <c r="SLK8" s="28"/>
      <c r="SLL8" s="28"/>
      <c r="SLM8" s="28"/>
      <c r="SLN8" s="28"/>
      <c r="SLO8" s="28"/>
      <c r="SLP8" s="28"/>
      <c r="SLQ8" s="28"/>
      <c r="SLR8" s="28"/>
      <c r="SLS8" s="28"/>
      <c r="SLT8" s="28"/>
      <c r="SLU8" s="28"/>
      <c r="SLV8" s="28"/>
      <c r="SLW8" s="28"/>
      <c r="SLX8" s="28"/>
      <c r="SLY8" s="28"/>
      <c r="SLZ8" s="28"/>
      <c r="SMA8" s="28"/>
      <c r="SMB8" s="28"/>
      <c r="SMC8" s="28"/>
      <c r="SMD8" s="28"/>
      <c r="SME8" s="28"/>
      <c r="SMF8" s="28"/>
      <c r="SMG8" s="28"/>
      <c r="SMH8" s="28"/>
      <c r="SMI8" s="28"/>
      <c r="SMJ8" s="28"/>
      <c r="SMK8" s="28"/>
      <c r="SML8" s="28"/>
      <c r="SMM8" s="28"/>
      <c r="SMN8" s="28"/>
      <c r="SMO8" s="28"/>
      <c r="SMP8" s="28"/>
      <c r="SMQ8" s="28"/>
      <c r="SMR8" s="28"/>
      <c r="SMS8" s="28"/>
      <c r="SMT8" s="28"/>
      <c r="SMU8" s="28"/>
      <c r="SMV8" s="28"/>
      <c r="SMW8" s="28"/>
      <c r="SMX8" s="28"/>
      <c r="SMY8" s="28"/>
      <c r="SMZ8" s="28"/>
      <c r="SNA8" s="28"/>
      <c r="SNB8" s="28"/>
      <c r="SNC8" s="28"/>
      <c r="SND8" s="28"/>
      <c r="SNE8" s="28"/>
      <c r="SNF8" s="28"/>
      <c r="SNG8" s="28"/>
      <c r="SNH8" s="28"/>
      <c r="SNI8" s="28"/>
      <c r="SNJ8" s="28"/>
      <c r="SNK8" s="28"/>
      <c r="SNL8" s="28"/>
      <c r="SNM8" s="28"/>
      <c r="SNN8" s="28"/>
      <c r="SNO8" s="28"/>
      <c r="SNP8" s="28"/>
      <c r="SNQ8" s="28"/>
      <c r="SNR8" s="28"/>
      <c r="SNS8" s="28"/>
      <c r="SNT8" s="28"/>
      <c r="SNU8" s="28"/>
      <c r="SNV8" s="28"/>
      <c r="SNW8" s="28"/>
      <c r="SNX8" s="28"/>
      <c r="SNY8" s="28"/>
      <c r="SNZ8" s="28"/>
      <c r="SOA8" s="28"/>
      <c r="SOB8" s="28"/>
      <c r="SOC8" s="28"/>
      <c r="SOD8" s="28"/>
      <c r="SOE8" s="28"/>
      <c r="SOF8" s="28"/>
      <c r="SOG8" s="28"/>
      <c r="SOH8" s="28"/>
      <c r="SOI8" s="28"/>
      <c r="SOJ8" s="28"/>
      <c r="SOK8" s="28"/>
      <c r="SOL8" s="28"/>
      <c r="SOM8" s="28"/>
      <c r="SON8" s="28"/>
      <c r="SOO8" s="28"/>
      <c r="SOP8" s="28"/>
      <c r="SOQ8" s="28"/>
      <c r="SOR8" s="28"/>
      <c r="SOS8" s="28"/>
      <c r="SOT8" s="28"/>
      <c r="SOU8" s="28"/>
      <c r="SOV8" s="28"/>
      <c r="SOW8" s="28"/>
      <c r="SOX8" s="28"/>
      <c r="SOY8" s="28"/>
      <c r="SOZ8" s="28"/>
      <c r="SPA8" s="28"/>
      <c r="SPB8" s="28"/>
      <c r="SPC8" s="28"/>
      <c r="SPD8" s="28"/>
      <c r="SPE8" s="28"/>
      <c r="SPF8" s="28"/>
      <c r="SPG8" s="28"/>
      <c r="SPH8" s="28"/>
      <c r="SPI8" s="28"/>
      <c r="SPJ8" s="28"/>
      <c r="SPK8" s="28"/>
      <c r="SPL8" s="28"/>
      <c r="SPM8" s="28"/>
      <c r="SPN8" s="28"/>
      <c r="SPO8" s="28"/>
      <c r="SPP8" s="28"/>
      <c r="SPQ8" s="28"/>
      <c r="SPR8" s="28"/>
      <c r="SPS8" s="28"/>
      <c r="SPT8" s="28"/>
      <c r="SPU8" s="28"/>
      <c r="SPV8" s="28"/>
      <c r="SPW8" s="28"/>
      <c r="SPX8" s="28"/>
      <c r="SPY8" s="28"/>
      <c r="SPZ8" s="28"/>
      <c r="SQA8" s="28"/>
      <c r="SQB8" s="28"/>
      <c r="SQC8" s="28"/>
      <c r="SQD8" s="28"/>
      <c r="SQE8" s="28"/>
      <c r="SQF8" s="28"/>
      <c r="SQG8" s="28"/>
      <c r="SQH8" s="28"/>
      <c r="SQI8" s="28"/>
      <c r="SQJ8" s="28"/>
      <c r="SQK8" s="28"/>
      <c r="SQL8" s="28"/>
      <c r="SQM8" s="28"/>
      <c r="SQN8" s="28"/>
      <c r="SQO8" s="28"/>
      <c r="SQP8" s="28"/>
      <c r="SQQ8" s="28"/>
      <c r="SQR8" s="28"/>
      <c r="SQS8" s="28"/>
      <c r="SQT8" s="28"/>
      <c r="SQU8" s="28"/>
      <c r="SQV8" s="28"/>
      <c r="SQW8" s="28"/>
      <c r="SQX8" s="28"/>
      <c r="SQY8" s="28"/>
      <c r="SQZ8" s="28"/>
      <c r="SRA8" s="28"/>
      <c r="SRB8" s="28"/>
      <c r="SRC8" s="28"/>
      <c r="SRD8" s="28"/>
      <c r="SRE8" s="28"/>
      <c r="SRF8" s="28"/>
      <c r="SRG8" s="28"/>
      <c r="SRH8" s="28"/>
      <c r="SRI8" s="28"/>
      <c r="SRJ8" s="28"/>
      <c r="SRK8" s="28"/>
      <c r="SRL8" s="28"/>
      <c r="SRM8" s="28"/>
      <c r="SRN8" s="28"/>
      <c r="SRO8" s="28"/>
      <c r="SRP8" s="28"/>
      <c r="SRQ8" s="28"/>
      <c r="SRR8" s="28"/>
      <c r="SRS8" s="28"/>
      <c r="SRT8" s="28"/>
      <c r="SRU8" s="28"/>
      <c r="SRV8" s="28"/>
      <c r="SRW8" s="28"/>
      <c r="SRX8" s="28"/>
      <c r="SRY8" s="28"/>
      <c r="SRZ8" s="28"/>
      <c r="SSA8" s="28"/>
      <c r="SSB8" s="28"/>
      <c r="SSC8" s="28"/>
      <c r="SSD8" s="28"/>
      <c r="SSE8" s="28"/>
      <c r="SSF8" s="28"/>
      <c r="SSG8" s="28"/>
      <c r="SSH8" s="28"/>
      <c r="SSI8" s="28"/>
      <c r="SSJ8" s="28"/>
      <c r="SSK8" s="28"/>
      <c r="SSL8" s="28"/>
      <c r="SSM8" s="28"/>
      <c r="SSN8" s="28"/>
      <c r="SSO8" s="28"/>
      <c r="SSP8" s="28"/>
      <c r="SSQ8" s="28"/>
      <c r="SSR8" s="28"/>
      <c r="SSS8" s="28"/>
      <c r="SST8" s="28"/>
      <c r="SSU8" s="28"/>
      <c r="SSV8" s="28"/>
      <c r="SSW8" s="28"/>
      <c r="SSX8" s="28"/>
      <c r="SSY8" s="28"/>
      <c r="SSZ8" s="28"/>
      <c r="STA8" s="28"/>
      <c r="STB8" s="28"/>
      <c r="STC8" s="28"/>
      <c r="STD8" s="28"/>
      <c r="STE8" s="28"/>
      <c r="STF8" s="28"/>
      <c r="STG8" s="28"/>
      <c r="STH8" s="28"/>
      <c r="STI8" s="28"/>
      <c r="STJ8" s="28"/>
      <c r="STK8" s="28"/>
      <c r="STL8" s="28"/>
      <c r="STM8" s="28"/>
      <c r="STN8" s="28"/>
      <c r="STO8" s="28"/>
      <c r="STP8" s="28"/>
      <c r="STQ8" s="28"/>
      <c r="STR8" s="28"/>
      <c r="STS8" s="28"/>
      <c r="STT8" s="28"/>
      <c r="STU8" s="28"/>
      <c r="STV8" s="28"/>
      <c r="STW8" s="28"/>
      <c r="STX8" s="28"/>
      <c r="STY8" s="28"/>
      <c r="STZ8" s="28"/>
      <c r="SUA8" s="28"/>
      <c r="SUB8" s="28"/>
      <c r="SUC8" s="28"/>
      <c r="SUD8" s="28"/>
      <c r="SUE8" s="28"/>
      <c r="SUF8" s="28"/>
      <c r="SUG8" s="28"/>
      <c r="SUH8" s="28"/>
      <c r="SUI8" s="28"/>
      <c r="SUJ8" s="28"/>
      <c r="SUK8" s="28"/>
      <c r="SUL8" s="28"/>
      <c r="SUM8" s="28"/>
      <c r="SUN8" s="28"/>
      <c r="SUO8" s="28"/>
      <c r="SUP8" s="28"/>
      <c r="SUQ8" s="28"/>
      <c r="SUR8" s="28"/>
      <c r="SUS8" s="28"/>
      <c r="SUT8" s="28"/>
      <c r="SUU8" s="28"/>
      <c r="SUV8" s="28"/>
      <c r="SUW8" s="28"/>
      <c r="SUX8" s="28"/>
      <c r="SUY8" s="28"/>
      <c r="SUZ8" s="28"/>
      <c r="SVA8" s="28"/>
      <c r="SVB8" s="28"/>
      <c r="SVC8" s="28"/>
      <c r="SVD8" s="28"/>
      <c r="SVE8" s="28"/>
      <c r="SVF8" s="28"/>
      <c r="SVG8" s="28"/>
      <c r="SVH8" s="28"/>
      <c r="SVI8" s="28"/>
      <c r="SVJ8" s="28"/>
      <c r="SVK8" s="28"/>
      <c r="SVL8" s="28"/>
      <c r="SVM8" s="28"/>
      <c r="SVN8" s="28"/>
      <c r="SVO8" s="28"/>
      <c r="SVP8" s="28"/>
      <c r="SVQ8" s="28"/>
      <c r="SVR8" s="28"/>
      <c r="SVS8" s="28"/>
      <c r="SVT8" s="28"/>
      <c r="SVU8" s="28"/>
      <c r="SVV8" s="28"/>
      <c r="SVW8" s="28"/>
      <c r="SVX8" s="28"/>
      <c r="SVY8" s="28"/>
      <c r="SVZ8" s="28"/>
      <c r="SWA8" s="28"/>
      <c r="SWB8" s="28"/>
      <c r="SWC8" s="28"/>
      <c r="SWD8" s="28"/>
      <c r="SWE8" s="28"/>
      <c r="SWF8" s="28"/>
      <c r="SWG8" s="28"/>
      <c r="SWH8" s="28"/>
      <c r="SWI8" s="28"/>
      <c r="SWJ8" s="28"/>
      <c r="SWK8" s="28"/>
      <c r="SWL8" s="28"/>
      <c r="SWM8" s="28"/>
      <c r="SWN8" s="28"/>
      <c r="SWO8" s="28"/>
      <c r="SWP8" s="28"/>
      <c r="SWQ8" s="28"/>
      <c r="SWR8" s="28"/>
      <c r="SWS8" s="28"/>
      <c r="SWT8" s="28"/>
      <c r="SWU8" s="28"/>
      <c r="SWV8" s="28"/>
      <c r="SWW8" s="28"/>
      <c r="SWX8" s="28"/>
      <c r="SWY8" s="28"/>
      <c r="SWZ8" s="28"/>
      <c r="SXA8" s="28"/>
      <c r="SXB8" s="28"/>
      <c r="SXC8" s="28"/>
      <c r="SXD8" s="28"/>
      <c r="SXE8" s="28"/>
      <c r="SXF8" s="28"/>
      <c r="SXG8" s="28"/>
      <c r="SXH8" s="28"/>
      <c r="SXI8" s="28"/>
      <c r="SXJ8" s="28"/>
      <c r="SXK8" s="28"/>
      <c r="SXL8" s="28"/>
      <c r="SXM8" s="28"/>
      <c r="SXN8" s="28"/>
      <c r="SXO8" s="28"/>
      <c r="SXP8" s="28"/>
      <c r="SXQ8" s="28"/>
      <c r="SXR8" s="28"/>
      <c r="SXS8" s="28"/>
      <c r="SXT8" s="28"/>
      <c r="SXU8" s="28"/>
      <c r="SXV8" s="28"/>
      <c r="SXW8" s="28"/>
      <c r="SXX8" s="28"/>
      <c r="SXY8" s="28"/>
      <c r="SXZ8" s="28"/>
      <c r="SYA8" s="28"/>
      <c r="SYB8" s="28"/>
      <c r="SYC8" s="28"/>
      <c r="SYD8" s="28"/>
      <c r="SYE8" s="28"/>
      <c r="SYF8" s="28"/>
      <c r="SYG8" s="28"/>
      <c r="SYH8" s="28"/>
      <c r="SYI8" s="28"/>
      <c r="SYJ8" s="28"/>
      <c r="SYK8" s="28"/>
      <c r="SYL8" s="28"/>
      <c r="SYM8" s="28"/>
      <c r="SYN8" s="28"/>
      <c r="SYO8" s="28"/>
      <c r="SYP8" s="28"/>
      <c r="SYQ8" s="28"/>
      <c r="SYR8" s="28"/>
      <c r="SYS8" s="28"/>
      <c r="SYT8" s="28"/>
      <c r="SYU8" s="28"/>
      <c r="SYV8" s="28"/>
      <c r="SYW8" s="28"/>
      <c r="SYX8" s="28"/>
      <c r="SYY8" s="28"/>
      <c r="SYZ8" s="28"/>
      <c r="SZA8" s="28"/>
      <c r="SZB8" s="28"/>
      <c r="SZC8" s="28"/>
      <c r="SZD8" s="28"/>
      <c r="SZE8" s="28"/>
      <c r="SZF8" s="28"/>
      <c r="SZG8" s="28"/>
      <c r="SZH8" s="28"/>
      <c r="SZI8" s="28"/>
      <c r="SZJ8" s="28"/>
      <c r="SZK8" s="28"/>
      <c r="SZL8" s="28"/>
      <c r="SZM8" s="28"/>
      <c r="SZN8" s="28"/>
      <c r="SZO8" s="28"/>
      <c r="SZP8" s="28"/>
      <c r="SZQ8" s="28"/>
      <c r="SZR8" s="28"/>
      <c r="SZS8" s="28"/>
      <c r="SZT8" s="28"/>
      <c r="SZU8" s="28"/>
      <c r="SZV8" s="28"/>
      <c r="SZW8" s="28"/>
      <c r="SZX8" s="28"/>
      <c r="SZY8" s="28"/>
      <c r="SZZ8" s="28"/>
      <c r="TAA8" s="28"/>
      <c r="TAB8" s="28"/>
      <c r="TAC8" s="28"/>
      <c r="TAD8" s="28"/>
      <c r="TAE8" s="28"/>
      <c r="TAF8" s="28"/>
      <c r="TAG8" s="28"/>
      <c r="TAH8" s="28"/>
      <c r="TAI8" s="28"/>
      <c r="TAJ8" s="28"/>
      <c r="TAK8" s="28"/>
      <c r="TAL8" s="28"/>
      <c r="TAM8" s="28"/>
      <c r="TAN8" s="28"/>
      <c r="TAO8" s="28"/>
      <c r="TAP8" s="28"/>
      <c r="TAQ8" s="28"/>
      <c r="TAR8" s="28"/>
      <c r="TAS8" s="28"/>
      <c r="TAT8" s="28"/>
      <c r="TAU8" s="28"/>
      <c r="TAV8" s="28"/>
      <c r="TAW8" s="28"/>
      <c r="TAX8" s="28"/>
      <c r="TAY8" s="28"/>
      <c r="TAZ8" s="28"/>
      <c r="TBA8" s="28"/>
      <c r="TBB8" s="28"/>
      <c r="TBC8" s="28"/>
      <c r="TBD8" s="28"/>
      <c r="TBE8" s="28"/>
      <c r="TBF8" s="28"/>
      <c r="TBG8" s="28"/>
      <c r="TBH8" s="28"/>
      <c r="TBI8" s="28"/>
      <c r="TBJ8" s="28"/>
      <c r="TBK8" s="28"/>
      <c r="TBL8" s="28"/>
      <c r="TBM8" s="28"/>
      <c r="TBN8" s="28"/>
      <c r="TBO8" s="28"/>
      <c r="TBP8" s="28"/>
      <c r="TBQ8" s="28"/>
      <c r="TBR8" s="28"/>
      <c r="TBS8" s="28"/>
      <c r="TBT8" s="28"/>
      <c r="TBU8" s="28"/>
      <c r="TBV8" s="28"/>
      <c r="TBW8" s="28"/>
      <c r="TBX8" s="28"/>
      <c r="TBY8" s="28"/>
      <c r="TBZ8" s="28"/>
      <c r="TCA8" s="28"/>
      <c r="TCB8" s="28"/>
      <c r="TCC8" s="28"/>
      <c r="TCD8" s="28"/>
      <c r="TCE8" s="28"/>
      <c r="TCF8" s="28"/>
      <c r="TCG8" s="28"/>
      <c r="TCH8" s="28"/>
      <c r="TCI8" s="28"/>
      <c r="TCJ8" s="28"/>
      <c r="TCK8" s="28"/>
      <c r="TCL8" s="28"/>
      <c r="TCM8" s="28"/>
      <c r="TCN8" s="28"/>
      <c r="TCO8" s="28"/>
      <c r="TCP8" s="28"/>
      <c r="TCQ8" s="28"/>
      <c r="TCR8" s="28"/>
      <c r="TCS8" s="28"/>
      <c r="TCT8" s="28"/>
      <c r="TCU8" s="28"/>
      <c r="TCV8" s="28"/>
      <c r="TCW8" s="28"/>
      <c r="TCX8" s="28"/>
      <c r="TCY8" s="28"/>
      <c r="TCZ8" s="28"/>
      <c r="TDA8" s="28"/>
      <c r="TDB8" s="28"/>
      <c r="TDC8" s="28"/>
      <c r="TDD8" s="28"/>
      <c r="TDE8" s="28"/>
      <c r="TDF8" s="28"/>
      <c r="TDG8" s="28"/>
      <c r="TDH8" s="28"/>
      <c r="TDI8" s="28"/>
      <c r="TDJ8" s="28"/>
      <c r="TDK8" s="28"/>
      <c r="TDL8" s="28"/>
      <c r="TDM8" s="28"/>
      <c r="TDN8" s="28"/>
      <c r="TDO8" s="28"/>
      <c r="TDP8" s="28"/>
      <c r="TDQ8" s="28"/>
      <c r="TDR8" s="28"/>
      <c r="TDS8" s="28"/>
      <c r="TDT8" s="28"/>
      <c r="TDU8" s="28"/>
      <c r="TDV8" s="28"/>
      <c r="TDW8" s="28"/>
      <c r="TDX8" s="28"/>
      <c r="TDY8" s="28"/>
      <c r="TDZ8" s="28"/>
      <c r="TEA8" s="28"/>
      <c r="TEB8" s="28"/>
      <c r="TEC8" s="28"/>
      <c r="TED8" s="28"/>
      <c r="TEE8" s="28"/>
      <c r="TEF8" s="28"/>
      <c r="TEG8" s="28"/>
      <c r="TEH8" s="28"/>
      <c r="TEI8" s="28"/>
      <c r="TEJ8" s="28"/>
      <c r="TEK8" s="28"/>
      <c r="TEL8" s="28"/>
      <c r="TEM8" s="28"/>
      <c r="TEN8" s="28"/>
      <c r="TEO8" s="28"/>
      <c r="TEP8" s="28"/>
      <c r="TEQ8" s="28"/>
      <c r="TER8" s="28"/>
      <c r="TES8" s="28"/>
      <c r="TET8" s="28"/>
      <c r="TEU8" s="28"/>
      <c r="TEV8" s="28"/>
      <c r="TEW8" s="28"/>
      <c r="TEX8" s="28"/>
      <c r="TEY8" s="28"/>
      <c r="TEZ8" s="28"/>
      <c r="TFA8" s="28"/>
      <c r="TFB8" s="28"/>
      <c r="TFC8" s="28"/>
      <c r="TFD8" s="28"/>
      <c r="TFE8" s="28"/>
      <c r="TFF8" s="28"/>
      <c r="TFG8" s="28"/>
      <c r="TFH8" s="28"/>
      <c r="TFI8" s="28"/>
      <c r="TFJ8" s="28"/>
      <c r="TFK8" s="28"/>
      <c r="TFL8" s="28"/>
      <c r="TFM8" s="28"/>
      <c r="TFN8" s="28"/>
      <c r="TFO8" s="28"/>
      <c r="TFP8" s="28"/>
      <c r="TFQ8" s="28"/>
      <c r="TFR8" s="28"/>
      <c r="TFS8" s="28"/>
      <c r="TFT8" s="28"/>
      <c r="TFU8" s="28"/>
      <c r="TFV8" s="28"/>
      <c r="TFW8" s="28"/>
      <c r="TFX8" s="28"/>
      <c r="TFY8" s="28"/>
      <c r="TFZ8" s="28"/>
      <c r="TGA8" s="28"/>
      <c r="TGB8" s="28"/>
      <c r="TGC8" s="28"/>
      <c r="TGD8" s="28"/>
      <c r="TGE8" s="28"/>
      <c r="TGF8" s="28"/>
      <c r="TGG8" s="28"/>
      <c r="TGH8" s="28"/>
      <c r="TGI8" s="28"/>
      <c r="TGJ8" s="28"/>
      <c r="TGK8" s="28"/>
      <c r="TGL8" s="28"/>
      <c r="TGM8" s="28"/>
      <c r="TGN8" s="28"/>
      <c r="TGO8" s="28"/>
      <c r="TGP8" s="28"/>
      <c r="TGQ8" s="28"/>
      <c r="TGR8" s="28"/>
      <c r="TGS8" s="28"/>
      <c r="TGT8" s="28"/>
      <c r="TGU8" s="28"/>
      <c r="TGV8" s="28"/>
      <c r="TGW8" s="28"/>
      <c r="TGX8" s="28"/>
      <c r="TGY8" s="28"/>
      <c r="TGZ8" s="28"/>
      <c r="THA8" s="28"/>
      <c r="THB8" s="28"/>
      <c r="THC8" s="28"/>
      <c r="THD8" s="28"/>
      <c r="THE8" s="28"/>
      <c r="THF8" s="28"/>
      <c r="THG8" s="28"/>
      <c r="THH8" s="28"/>
      <c r="THI8" s="28"/>
      <c r="THJ8" s="28"/>
      <c r="THK8" s="28"/>
      <c r="THL8" s="28"/>
      <c r="THM8" s="28"/>
      <c r="THN8" s="28"/>
      <c r="THO8" s="28"/>
      <c r="THP8" s="28"/>
      <c r="THQ8" s="28"/>
      <c r="THR8" s="28"/>
      <c r="THS8" s="28"/>
      <c r="THT8" s="28"/>
      <c r="THU8" s="28"/>
      <c r="THV8" s="28"/>
      <c r="THW8" s="28"/>
      <c r="THX8" s="28"/>
      <c r="THY8" s="28"/>
      <c r="THZ8" s="28"/>
      <c r="TIA8" s="28"/>
      <c r="TIB8" s="28"/>
      <c r="TIC8" s="28"/>
      <c r="TID8" s="28"/>
      <c r="TIE8" s="28"/>
      <c r="TIF8" s="28"/>
      <c r="TIG8" s="28"/>
      <c r="TIH8" s="28"/>
      <c r="TII8" s="28"/>
      <c r="TIJ8" s="28"/>
      <c r="TIK8" s="28"/>
      <c r="TIL8" s="28"/>
      <c r="TIM8" s="28"/>
      <c r="TIN8" s="28"/>
      <c r="TIO8" s="28"/>
      <c r="TIP8" s="28"/>
      <c r="TIQ8" s="28"/>
      <c r="TIR8" s="28"/>
      <c r="TIS8" s="28"/>
      <c r="TIT8" s="28"/>
      <c r="TIU8" s="28"/>
      <c r="TIV8" s="28"/>
      <c r="TIW8" s="28"/>
      <c r="TIX8" s="28"/>
      <c r="TIY8" s="28"/>
      <c r="TIZ8" s="28"/>
      <c r="TJA8" s="28"/>
      <c r="TJB8" s="28"/>
      <c r="TJC8" s="28"/>
      <c r="TJD8" s="28"/>
      <c r="TJE8" s="28"/>
      <c r="TJF8" s="28"/>
      <c r="TJG8" s="28"/>
      <c r="TJH8" s="28"/>
      <c r="TJI8" s="28"/>
      <c r="TJJ8" s="28"/>
      <c r="TJK8" s="28"/>
      <c r="TJL8" s="28"/>
      <c r="TJM8" s="28"/>
      <c r="TJN8" s="28"/>
      <c r="TJO8" s="28"/>
      <c r="TJP8" s="28"/>
      <c r="TJQ8" s="28"/>
      <c r="TJR8" s="28"/>
      <c r="TJS8" s="28"/>
      <c r="TJT8" s="28"/>
      <c r="TJU8" s="28"/>
      <c r="TJV8" s="28"/>
      <c r="TJW8" s="28"/>
      <c r="TJX8" s="28"/>
      <c r="TJY8" s="28"/>
      <c r="TJZ8" s="28"/>
      <c r="TKA8" s="28"/>
      <c r="TKB8" s="28"/>
      <c r="TKC8" s="28"/>
      <c r="TKD8" s="28"/>
      <c r="TKE8" s="28"/>
      <c r="TKF8" s="28"/>
      <c r="TKG8" s="28"/>
      <c r="TKH8" s="28"/>
      <c r="TKI8" s="28"/>
      <c r="TKJ8" s="28"/>
      <c r="TKK8" s="28"/>
      <c r="TKL8" s="28"/>
      <c r="TKM8" s="28"/>
      <c r="TKN8" s="28"/>
      <c r="TKO8" s="28"/>
      <c r="TKP8" s="28"/>
      <c r="TKQ8" s="28"/>
      <c r="TKR8" s="28"/>
      <c r="TKS8" s="28"/>
      <c r="TKT8" s="28"/>
      <c r="TKU8" s="28"/>
      <c r="TKV8" s="28"/>
      <c r="TKW8" s="28"/>
      <c r="TKX8" s="28"/>
      <c r="TKY8" s="28"/>
      <c r="TKZ8" s="28"/>
      <c r="TLA8" s="28"/>
      <c r="TLB8" s="28"/>
      <c r="TLC8" s="28"/>
      <c r="TLD8" s="28"/>
      <c r="TLE8" s="28"/>
      <c r="TLF8" s="28"/>
      <c r="TLG8" s="28"/>
      <c r="TLH8" s="28"/>
      <c r="TLI8" s="28"/>
      <c r="TLJ8" s="28"/>
      <c r="TLK8" s="28"/>
      <c r="TLL8" s="28"/>
      <c r="TLM8" s="28"/>
      <c r="TLN8" s="28"/>
      <c r="TLO8" s="28"/>
      <c r="TLP8" s="28"/>
      <c r="TLQ8" s="28"/>
      <c r="TLR8" s="28"/>
      <c r="TLS8" s="28"/>
      <c r="TLT8" s="28"/>
      <c r="TLU8" s="28"/>
      <c r="TLV8" s="28"/>
      <c r="TLW8" s="28"/>
      <c r="TLX8" s="28"/>
      <c r="TLY8" s="28"/>
      <c r="TLZ8" s="28"/>
      <c r="TMA8" s="28"/>
      <c r="TMB8" s="28"/>
      <c r="TMC8" s="28"/>
      <c r="TMD8" s="28"/>
      <c r="TME8" s="28"/>
      <c r="TMF8" s="28"/>
      <c r="TMG8" s="28"/>
      <c r="TMH8" s="28"/>
      <c r="TMI8" s="28"/>
      <c r="TMJ8" s="28"/>
      <c r="TMK8" s="28"/>
      <c r="TML8" s="28"/>
      <c r="TMM8" s="28"/>
      <c r="TMN8" s="28"/>
      <c r="TMO8" s="28"/>
      <c r="TMP8" s="28"/>
      <c r="TMQ8" s="28"/>
      <c r="TMR8" s="28"/>
      <c r="TMS8" s="28"/>
      <c r="TMT8" s="28"/>
      <c r="TMU8" s="28"/>
      <c r="TMV8" s="28"/>
      <c r="TMW8" s="28"/>
      <c r="TMX8" s="28"/>
      <c r="TMY8" s="28"/>
      <c r="TMZ8" s="28"/>
      <c r="TNA8" s="28"/>
      <c r="TNB8" s="28"/>
      <c r="TNC8" s="28"/>
      <c r="TND8" s="28"/>
      <c r="TNE8" s="28"/>
      <c r="TNF8" s="28"/>
      <c r="TNG8" s="28"/>
      <c r="TNH8" s="28"/>
      <c r="TNI8" s="28"/>
      <c r="TNJ8" s="28"/>
      <c r="TNK8" s="28"/>
      <c r="TNL8" s="28"/>
      <c r="TNM8" s="28"/>
      <c r="TNN8" s="28"/>
      <c r="TNO8" s="28"/>
      <c r="TNP8" s="28"/>
      <c r="TNQ8" s="28"/>
      <c r="TNR8" s="28"/>
      <c r="TNS8" s="28"/>
      <c r="TNT8" s="28"/>
      <c r="TNU8" s="28"/>
      <c r="TNV8" s="28"/>
      <c r="TNW8" s="28"/>
      <c r="TNX8" s="28"/>
      <c r="TNY8" s="28"/>
      <c r="TNZ8" s="28"/>
      <c r="TOA8" s="28"/>
      <c r="TOB8" s="28"/>
      <c r="TOC8" s="28"/>
      <c r="TOD8" s="28"/>
      <c r="TOE8" s="28"/>
      <c r="TOF8" s="28"/>
      <c r="TOG8" s="28"/>
      <c r="TOH8" s="28"/>
      <c r="TOI8" s="28"/>
      <c r="TOJ8" s="28"/>
      <c r="TOK8" s="28"/>
      <c r="TOL8" s="28"/>
      <c r="TOM8" s="28"/>
      <c r="TON8" s="28"/>
      <c r="TOO8" s="28"/>
      <c r="TOP8" s="28"/>
      <c r="TOQ8" s="28"/>
      <c r="TOR8" s="28"/>
      <c r="TOS8" s="28"/>
      <c r="TOT8" s="28"/>
      <c r="TOU8" s="28"/>
      <c r="TOV8" s="28"/>
      <c r="TOW8" s="28"/>
      <c r="TOX8" s="28"/>
      <c r="TOY8" s="28"/>
      <c r="TOZ8" s="28"/>
      <c r="TPA8" s="28"/>
      <c r="TPB8" s="28"/>
      <c r="TPC8" s="28"/>
      <c r="TPD8" s="28"/>
      <c r="TPE8" s="28"/>
      <c r="TPF8" s="28"/>
      <c r="TPG8" s="28"/>
      <c r="TPH8" s="28"/>
      <c r="TPI8" s="28"/>
      <c r="TPJ8" s="28"/>
      <c r="TPK8" s="28"/>
      <c r="TPL8" s="28"/>
      <c r="TPM8" s="28"/>
      <c r="TPN8" s="28"/>
      <c r="TPO8" s="28"/>
      <c r="TPP8" s="28"/>
      <c r="TPQ8" s="28"/>
      <c r="TPR8" s="28"/>
      <c r="TPS8" s="28"/>
      <c r="TPT8" s="28"/>
      <c r="TPU8" s="28"/>
      <c r="TPV8" s="28"/>
      <c r="TPW8" s="28"/>
      <c r="TPX8" s="28"/>
      <c r="TPY8" s="28"/>
      <c r="TPZ8" s="28"/>
      <c r="TQA8" s="28"/>
      <c r="TQB8" s="28"/>
      <c r="TQC8" s="28"/>
      <c r="TQD8" s="28"/>
      <c r="TQE8" s="28"/>
      <c r="TQF8" s="28"/>
      <c r="TQG8" s="28"/>
      <c r="TQH8" s="28"/>
      <c r="TQI8" s="28"/>
      <c r="TQJ8" s="28"/>
      <c r="TQK8" s="28"/>
      <c r="TQL8" s="28"/>
      <c r="TQM8" s="28"/>
      <c r="TQN8" s="28"/>
      <c r="TQO8" s="28"/>
      <c r="TQP8" s="28"/>
      <c r="TQQ8" s="28"/>
      <c r="TQR8" s="28"/>
      <c r="TQS8" s="28"/>
      <c r="TQT8" s="28"/>
      <c r="TQU8" s="28"/>
      <c r="TQV8" s="28"/>
      <c r="TQW8" s="28"/>
      <c r="TQX8" s="28"/>
      <c r="TQY8" s="28"/>
      <c r="TQZ8" s="28"/>
      <c r="TRA8" s="28"/>
      <c r="TRB8" s="28"/>
      <c r="TRC8" s="28"/>
      <c r="TRD8" s="28"/>
      <c r="TRE8" s="28"/>
      <c r="TRF8" s="28"/>
      <c r="TRG8" s="28"/>
      <c r="TRH8" s="28"/>
      <c r="TRI8" s="28"/>
      <c r="TRJ8" s="28"/>
      <c r="TRK8" s="28"/>
      <c r="TRL8" s="28"/>
      <c r="TRM8" s="28"/>
      <c r="TRN8" s="28"/>
      <c r="TRO8" s="28"/>
      <c r="TRP8" s="28"/>
      <c r="TRQ8" s="28"/>
      <c r="TRR8" s="28"/>
      <c r="TRS8" s="28"/>
      <c r="TRT8" s="28"/>
      <c r="TRU8" s="28"/>
      <c r="TRV8" s="28"/>
      <c r="TRW8" s="28"/>
      <c r="TRX8" s="28"/>
      <c r="TRY8" s="28"/>
      <c r="TRZ8" s="28"/>
      <c r="TSA8" s="28"/>
      <c r="TSB8" s="28"/>
      <c r="TSC8" s="28"/>
      <c r="TSD8" s="28"/>
      <c r="TSE8" s="28"/>
      <c r="TSF8" s="28"/>
      <c r="TSG8" s="28"/>
      <c r="TSH8" s="28"/>
      <c r="TSI8" s="28"/>
      <c r="TSJ8" s="28"/>
      <c r="TSK8" s="28"/>
      <c r="TSL8" s="28"/>
      <c r="TSM8" s="28"/>
      <c r="TSN8" s="28"/>
      <c r="TSO8" s="28"/>
      <c r="TSP8" s="28"/>
      <c r="TSQ8" s="28"/>
      <c r="TSR8" s="28"/>
      <c r="TSS8" s="28"/>
      <c r="TST8" s="28"/>
      <c r="TSU8" s="28"/>
      <c r="TSV8" s="28"/>
      <c r="TSW8" s="28"/>
      <c r="TSX8" s="28"/>
      <c r="TSY8" s="28"/>
      <c r="TSZ8" s="28"/>
      <c r="TTA8" s="28"/>
      <c r="TTB8" s="28"/>
      <c r="TTC8" s="28"/>
      <c r="TTD8" s="28"/>
      <c r="TTE8" s="28"/>
      <c r="TTF8" s="28"/>
      <c r="TTG8" s="28"/>
      <c r="TTH8" s="28"/>
      <c r="TTI8" s="28"/>
      <c r="TTJ8" s="28"/>
      <c r="TTK8" s="28"/>
      <c r="TTL8" s="28"/>
      <c r="TTM8" s="28"/>
      <c r="TTN8" s="28"/>
      <c r="TTO8" s="28"/>
      <c r="TTP8" s="28"/>
      <c r="TTQ8" s="28"/>
      <c r="TTR8" s="28"/>
      <c r="TTS8" s="28"/>
      <c r="TTT8" s="28"/>
      <c r="TTU8" s="28"/>
      <c r="TTV8" s="28"/>
      <c r="TTW8" s="28"/>
      <c r="TTX8" s="28"/>
      <c r="TTY8" s="28"/>
      <c r="TTZ8" s="28"/>
      <c r="TUA8" s="28"/>
      <c r="TUB8" s="28"/>
      <c r="TUC8" s="28"/>
      <c r="TUD8" s="28"/>
      <c r="TUE8" s="28"/>
      <c r="TUF8" s="28"/>
      <c r="TUG8" s="28"/>
      <c r="TUH8" s="28"/>
      <c r="TUI8" s="28"/>
      <c r="TUJ8" s="28"/>
      <c r="TUK8" s="28"/>
      <c r="TUL8" s="28"/>
      <c r="TUM8" s="28"/>
      <c r="TUN8" s="28"/>
      <c r="TUO8" s="28"/>
      <c r="TUP8" s="28"/>
      <c r="TUQ8" s="28"/>
      <c r="TUR8" s="28"/>
      <c r="TUS8" s="28"/>
      <c r="TUT8" s="28"/>
      <c r="TUU8" s="28"/>
      <c r="TUV8" s="28"/>
      <c r="TUW8" s="28"/>
      <c r="TUX8" s="28"/>
      <c r="TUY8" s="28"/>
      <c r="TUZ8" s="28"/>
      <c r="TVA8" s="28"/>
      <c r="TVB8" s="28"/>
      <c r="TVC8" s="28"/>
      <c r="TVD8" s="28"/>
      <c r="TVE8" s="28"/>
      <c r="TVF8" s="28"/>
      <c r="TVG8" s="28"/>
      <c r="TVH8" s="28"/>
      <c r="TVI8" s="28"/>
      <c r="TVJ8" s="28"/>
      <c r="TVK8" s="28"/>
      <c r="TVL8" s="28"/>
      <c r="TVM8" s="28"/>
      <c r="TVN8" s="28"/>
      <c r="TVO8" s="28"/>
      <c r="TVP8" s="28"/>
      <c r="TVQ8" s="28"/>
      <c r="TVR8" s="28"/>
      <c r="TVS8" s="28"/>
      <c r="TVT8" s="28"/>
      <c r="TVU8" s="28"/>
      <c r="TVV8" s="28"/>
      <c r="TVW8" s="28"/>
      <c r="TVX8" s="28"/>
      <c r="TVY8" s="28"/>
      <c r="TVZ8" s="28"/>
      <c r="TWA8" s="28"/>
      <c r="TWB8" s="28"/>
      <c r="TWC8" s="28"/>
      <c r="TWD8" s="28"/>
      <c r="TWE8" s="28"/>
      <c r="TWF8" s="28"/>
      <c r="TWG8" s="28"/>
      <c r="TWH8" s="28"/>
      <c r="TWI8" s="28"/>
      <c r="TWJ8" s="28"/>
      <c r="TWK8" s="28"/>
      <c r="TWL8" s="28"/>
      <c r="TWM8" s="28"/>
      <c r="TWN8" s="28"/>
      <c r="TWO8" s="28"/>
      <c r="TWP8" s="28"/>
      <c r="TWQ8" s="28"/>
      <c r="TWR8" s="28"/>
      <c r="TWS8" s="28"/>
      <c r="TWT8" s="28"/>
      <c r="TWU8" s="28"/>
      <c r="TWV8" s="28"/>
      <c r="TWW8" s="28"/>
      <c r="TWX8" s="28"/>
      <c r="TWY8" s="28"/>
      <c r="TWZ8" s="28"/>
      <c r="TXA8" s="28"/>
      <c r="TXB8" s="28"/>
      <c r="TXC8" s="28"/>
      <c r="TXD8" s="28"/>
      <c r="TXE8" s="28"/>
      <c r="TXF8" s="28"/>
      <c r="TXG8" s="28"/>
      <c r="TXH8" s="28"/>
      <c r="TXI8" s="28"/>
      <c r="TXJ8" s="28"/>
      <c r="TXK8" s="28"/>
      <c r="TXL8" s="28"/>
      <c r="TXM8" s="28"/>
      <c r="TXN8" s="28"/>
      <c r="TXO8" s="28"/>
      <c r="TXP8" s="28"/>
      <c r="TXQ8" s="28"/>
      <c r="TXR8" s="28"/>
      <c r="TXS8" s="28"/>
      <c r="TXT8" s="28"/>
      <c r="TXU8" s="28"/>
      <c r="TXV8" s="28"/>
      <c r="TXW8" s="28"/>
      <c r="TXX8" s="28"/>
      <c r="TXY8" s="28"/>
      <c r="TXZ8" s="28"/>
      <c r="TYA8" s="28"/>
      <c r="TYB8" s="28"/>
      <c r="TYC8" s="28"/>
      <c r="TYD8" s="28"/>
      <c r="TYE8" s="28"/>
      <c r="TYF8" s="28"/>
      <c r="TYG8" s="28"/>
      <c r="TYH8" s="28"/>
      <c r="TYI8" s="28"/>
      <c r="TYJ8" s="28"/>
      <c r="TYK8" s="28"/>
      <c r="TYL8" s="28"/>
      <c r="TYM8" s="28"/>
      <c r="TYN8" s="28"/>
      <c r="TYO8" s="28"/>
      <c r="TYP8" s="28"/>
      <c r="TYQ8" s="28"/>
      <c r="TYR8" s="28"/>
      <c r="TYS8" s="28"/>
      <c r="TYT8" s="28"/>
      <c r="TYU8" s="28"/>
      <c r="TYV8" s="28"/>
      <c r="TYW8" s="28"/>
      <c r="TYX8" s="28"/>
      <c r="TYY8" s="28"/>
      <c r="TYZ8" s="28"/>
      <c r="TZA8" s="28"/>
      <c r="TZB8" s="28"/>
      <c r="TZC8" s="28"/>
      <c r="TZD8" s="28"/>
      <c r="TZE8" s="28"/>
      <c r="TZF8" s="28"/>
      <c r="TZG8" s="28"/>
      <c r="TZH8" s="28"/>
      <c r="TZI8" s="28"/>
      <c r="TZJ8" s="28"/>
      <c r="TZK8" s="28"/>
      <c r="TZL8" s="28"/>
      <c r="TZM8" s="28"/>
      <c r="TZN8" s="28"/>
      <c r="TZO8" s="28"/>
      <c r="TZP8" s="28"/>
      <c r="TZQ8" s="28"/>
      <c r="TZR8" s="28"/>
      <c r="TZS8" s="28"/>
      <c r="TZT8" s="28"/>
      <c r="TZU8" s="28"/>
      <c r="TZV8" s="28"/>
      <c r="TZW8" s="28"/>
      <c r="TZX8" s="28"/>
      <c r="TZY8" s="28"/>
      <c r="TZZ8" s="28"/>
      <c r="UAA8" s="28"/>
      <c r="UAB8" s="28"/>
      <c r="UAC8" s="28"/>
      <c r="UAD8" s="28"/>
      <c r="UAE8" s="28"/>
      <c r="UAF8" s="28"/>
      <c r="UAG8" s="28"/>
      <c r="UAH8" s="28"/>
      <c r="UAI8" s="28"/>
      <c r="UAJ8" s="28"/>
      <c r="UAK8" s="28"/>
      <c r="UAL8" s="28"/>
      <c r="UAM8" s="28"/>
      <c r="UAN8" s="28"/>
      <c r="UAO8" s="28"/>
      <c r="UAP8" s="28"/>
      <c r="UAQ8" s="28"/>
      <c r="UAR8" s="28"/>
      <c r="UAS8" s="28"/>
      <c r="UAT8" s="28"/>
      <c r="UAU8" s="28"/>
      <c r="UAV8" s="28"/>
      <c r="UAW8" s="28"/>
      <c r="UAX8" s="28"/>
      <c r="UAY8" s="28"/>
      <c r="UAZ8" s="28"/>
      <c r="UBA8" s="28"/>
      <c r="UBB8" s="28"/>
      <c r="UBC8" s="28"/>
      <c r="UBD8" s="28"/>
      <c r="UBE8" s="28"/>
      <c r="UBF8" s="28"/>
      <c r="UBG8" s="28"/>
      <c r="UBH8" s="28"/>
      <c r="UBI8" s="28"/>
      <c r="UBJ8" s="28"/>
      <c r="UBK8" s="28"/>
      <c r="UBL8" s="28"/>
      <c r="UBM8" s="28"/>
      <c r="UBN8" s="28"/>
      <c r="UBO8" s="28"/>
      <c r="UBP8" s="28"/>
      <c r="UBQ8" s="28"/>
      <c r="UBR8" s="28"/>
      <c r="UBS8" s="28"/>
      <c r="UBT8" s="28"/>
      <c r="UBU8" s="28"/>
      <c r="UBV8" s="28"/>
      <c r="UBW8" s="28"/>
      <c r="UBX8" s="28"/>
      <c r="UBY8" s="28"/>
      <c r="UBZ8" s="28"/>
      <c r="UCA8" s="28"/>
      <c r="UCB8" s="28"/>
      <c r="UCC8" s="28"/>
      <c r="UCD8" s="28"/>
      <c r="UCE8" s="28"/>
      <c r="UCF8" s="28"/>
      <c r="UCG8" s="28"/>
      <c r="UCH8" s="28"/>
      <c r="UCI8" s="28"/>
      <c r="UCJ8" s="28"/>
      <c r="UCK8" s="28"/>
      <c r="UCL8" s="28"/>
      <c r="UCM8" s="28"/>
      <c r="UCN8" s="28"/>
      <c r="UCO8" s="28"/>
      <c r="UCP8" s="28"/>
      <c r="UCQ8" s="28"/>
      <c r="UCR8" s="28"/>
      <c r="UCS8" s="28"/>
      <c r="UCT8" s="28"/>
      <c r="UCU8" s="28"/>
      <c r="UCV8" s="28"/>
      <c r="UCW8" s="28"/>
      <c r="UCX8" s="28"/>
      <c r="UCY8" s="28"/>
      <c r="UCZ8" s="28"/>
      <c r="UDA8" s="28"/>
      <c r="UDB8" s="28"/>
      <c r="UDC8" s="28"/>
      <c r="UDD8" s="28"/>
      <c r="UDE8" s="28"/>
      <c r="UDF8" s="28"/>
      <c r="UDG8" s="28"/>
      <c r="UDH8" s="28"/>
      <c r="UDI8" s="28"/>
      <c r="UDJ8" s="28"/>
      <c r="UDK8" s="28"/>
      <c r="UDL8" s="28"/>
      <c r="UDM8" s="28"/>
      <c r="UDN8" s="28"/>
      <c r="UDO8" s="28"/>
      <c r="UDP8" s="28"/>
      <c r="UDQ8" s="28"/>
      <c r="UDR8" s="28"/>
      <c r="UDS8" s="28"/>
      <c r="UDT8" s="28"/>
      <c r="UDU8" s="28"/>
      <c r="UDV8" s="28"/>
      <c r="UDW8" s="28"/>
      <c r="UDX8" s="28"/>
      <c r="UDY8" s="28"/>
      <c r="UDZ8" s="28"/>
      <c r="UEA8" s="28"/>
      <c r="UEB8" s="28"/>
      <c r="UEC8" s="28"/>
      <c r="UED8" s="28"/>
      <c r="UEE8" s="28"/>
      <c r="UEF8" s="28"/>
      <c r="UEG8" s="28"/>
      <c r="UEH8" s="28"/>
      <c r="UEI8" s="28"/>
      <c r="UEJ8" s="28"/>
      <c r="UEK8" s="28"/>
      <c r="UEL8" s="28"/>
      <c r="UEM8" s="28"/>
      <c r="UEN8" s="28"/>
      <c r="UEO8" s="28"/>
      <c r="UEP8" s="28"/>
      <c r="UEQ8" s="28"/>
      <c r="UER8" s="28"/>
      <c r="UES8" s="28"/>
      <c r="UET8" s="28"/>
      <c r="UEU8" s="28"/>
      <c r="UEV8" s="28"/>
      <c r="UEW8" s="28"/>
      <c r="UEX8" s="28"/>
      <c r="UEY8" s="28"/>
      <c r="UEZ8" s="28"/>
      <c r="UFA8" s="28"/>
      <c r="UFB8" s="28"/>
      <c r="UFC8" s="28"/>
      <c r="UFD8" s="28"/>
      <c r="UFE8" s="28"/>
      <c r="UFF8" s="28"/>
      <c r="UFG8" s="28"/>
      <c r="UFH8" s="28"/>
      <c r="UFI8" s="28"/>
      <c r="UFJ8" s="28"/>
      <c r="UFK8" s="28"/>
      <c r="UFL8" s="28"/>
      <c r="UFM8" s="28"/>
      <c r="UFN8" s="28"/>
      <c r="UFO8" s="28"/>
      <c r="UFP8" s="28"/>
      <c r="UFQ8" s="28"/>
      <c r="UFR8" s="28"/>
      <c r="UFS8" s="28"/>
      <c r="UFT8" s="28"/>
      <c r="UFU8" s="28"/>
      <c r="UFV8" s="28"/>
      <c r="UFW8" s="28"/>
      <c r="UFX8" s="28"/>
      <c r="UFY8" s="28"/>
      <c r="UFZ8" s="28"/>
      <c r="UGA8" s="28"/>
      <c r="UGB8" s="28"/>
      <c r="UGC8" s="28"/>
      <c r="UGD8" s="28"/>
      <c r="UGE8" s="28"/>
      <c r="UGF8" s="28"/>
      <c r="UGG8" s="28"/>
      <c r="UGH8" s="28"/>
      <c r="UGI8" s="28"/>
      <c r="UGJ8" s="28"/>
      <c r="UGK8" s="28"/>
      <c r="UGL8" s="28"/>
      <c r="UGM8" s="28"/>
      <c r="UGN8" s="28"/>
      <c r="UGO8" s="28"/>
      <c r="UGP8" s="28"/>
      <c r="UGQ8" s="28"/>
      <c r="UGR8" s="28"/>
      <c r="UGS8" s="28"/>
      <c r="UGT8" s="28"/>
      <c r="UGU8" s="28"/>
      <c r="UGV8" s="28"/>
      <c r="UGW8" s="28"/>
      <c r="UGX8" s="28"/>
      <c r="UGY8" s="28"/>
      <c r="UGZ8" s="28"/>
      <c r="UHA8" s="28"/>
      <c r="UHB8" s="28"/>
      <c r="UHC8" s="28"/>
      <c r="UHD8" s="28"/>
      <c r="UHE8" s="28"/>
      <c r="UHF8" s="28"/>
      <c r="UHG8" s="28"/>
      <c r="UHH8" s="28"/>
      <c r="UHI8" s="28"/>
      <c r="UHJ8" s="28"/>
      <c r="UHK8" s="28"/>
      <c r="UHL8" s="28"/>
      <c r="UHM8" s="28"/>
      <c r="UHN8" s="28"/>
      <c r="UHO8" s="28"/>
      <c r="UHP8" s="28"/>
      <c r="UHQ8" s="28"/>
      <c r="UHR8" s="28"/>
      <c r="UHS8" s="28"/>
      <c r="UHT8" s="28"/>
      <c r="UHU8" s="28"/>
      <c r="UHV8" s="28"/>
      <c r="UHW8" s="28"/>
      <c r="UHX8" s="28"/>
      <c r="UHY8" s="28"/>
      <c r="UHZ8" s="28"/>
      <c r="UIA8" s="28"/>
      <c r="UIB8" s="28"/>
      <c r="UIC8" s="28"/>
      <c r="UID8" s="28"/>
      <c r="UIE8" s="28"/>
      <c r="UIF8" s="28"/>
      <c r="UIG8" s="28"/>
      <c r="UIH8" s="28"/>
      <c r="UII8" s="28"/>
      <c r="UIJ8" s="28"/>
      <c r="UIK8" s="28"/>
      <c r="UIL8" s="28"/>
      <c r="UIM8" s="28"/>
      <c r="UIN8" s="28"/>
      <c r="UIO8" s="28"/>
      <c r="UIP8" s="28"/>
      <c r="UIQ8" s="28"/>
      <c r="UIR8" s="28"/>
      <c r="UIS8" s="28"/>
      <c r="UIT8" s="28"/>
      <c r="UIU8" s="28"/>
      <c r="UIV8" s="28"/>
      <c r="UIW8" s="28"/>
      <c r="UIX8" s="28"/>
      <c r="UIY8" s="28"/>
      <c r="UIZ8" s="28"/>
      <c r="UJA8" s="28"/>
      <c r="UJB8" s="28"/>
      <c r="UJC8" s="28"/>
      <c r="UJD8" s="28"/>
      <c r="UJE8" s="28"/>
      <c r="UJF8" s="28"/>
      <c r="UJG8" s="28"/>
      <c r="UJH8" s="28"/>
      <c r="UJI8" s="28"/>
      <c r="UJJ8" s="28"/>
      <c r="UJK8" s="28"/>
      <c r="UJL8" s="28"/>
      <c r="UJM8" s="28"/>
      <c r="UJN8" s="28"/>
      <c r="UJO8" s="28"/>
      <c r="UJP8" s="28"/>
      <c r="UJQ8" s="28"/>
      <c r="UJR8" s="28"/>
      <c r="UJS8" s="28"/>
      <c r="UJT8" s="28"/>
      <c r="UJU8" s="28"/>
      <c r="UJV8" s="28"/>
      <c r="UJW8" s="28"/>
      <c r="UJX8" s="28"/>
      <c r="UJY8" s="28"/>
      <c r="UJZ8" s="28"/>
      <c r="UKA8" s="28"/>
      <c r="UKB8" s="28"/>
      <c r="UKC8" s="28"/>
      <c r="UKD8" s="28"/>
      <c r="UKE8" s="28"/>
      <c r="UKF8" s="28"/>
      <c r="UKG8" s="28"/>
      <c r="UKH8" s="28"/>
      <c r="UKI8" s="28"/>
      <c r="UKJ8" s="28"/>
      <c r="UKK8" s="28"/>
      <c r="UKL8" s="28"/>
      <c r="UKM8" s="28"/>
      <c r="UKN8" s="28"/>
      <c r="UKO8" s="28"/>
      <c r="UKP8" s="28"/>
      <c r="UKQ8" s="28"/>
      <c r="UKR8" s="28"/>
      <c r="UKS8" s="28"/>
      <c r="UKT8" s="28"/>
      <c r="UKU8" s="28"/>
      <c r="UKV8" s="28"/>
      <c r="UKW8" s="28"/>
      <c r="UKX8" s="28"/>
      <c r="UKY8" s="28"/>
      <c r="UKZ8" s="28"/>
      <c r="ULA8" s="28"/>
      <c r="ULB8" s="28"/>
      <c r="ULC8" s="28"/>
      <c r="ULD8" s="28"/>
      <c r="ULE8" s="28"/>
      <c r="ULF8" s="28"/>
      <c r="ULG8" s="28"/>
      <c r="ULH8" s="28"/>
      <c r="ULI8" s="28"/>
      <c r="ULJ8" s="28"/>
      <c r="ULK8" s="28"/>
      <c r="ULL8" s="28"/>
      <c r="ULM8" s="28"/>
      <c r="ULN8" s="28"/>
      <c r="ULO8" s="28"/>
      <c r="ULP8" s="28"/>
      <c r="ULQ8" s="28"/>
      <c r="ULR8" s="28"/>
      <c r="ULS8" s="28"/>
      <c r="ULT8" s="28"/>
      <c r="ULU8" s="28"/>
      <c r="ULV8" s="28"/>
      <c r="ULW8" s="28"/>
      <c r="ULX8" s="28"/>
      <c r="ULY8" s="28"/>
      <c r="ULZ8" s="28"/>
      <c r="UMA8" s="28"/>
      <c r="UMB8" s="28"/>
      <c r="UMC8" s="28"/>
      <c r="UMD8" s="28"/>
      <c r="UME8" s="28"/>
      <c r="UMF8" s="28"/>
      <c r="UMG8" s="28"/>
      <c r="UMH8" s="28"/>
      <c r="UMI8" s="28"/>
      <c r="UMJ8" s="28"/>
      <c r="UMK8" s="28"/>
      <c r="UML8" s="28"/>
      <c r="UMM8" s="28"/>
      <c r="UMN8" s="28"/>
      <c r="UMO8" s="28"/>
      <c r="UMP8" s="28"/>
      <c r="UMQ8" s="28"/>
      <c r="UMR8" s="28"/>
      <c r="UMS8" s="28"/>
      <c r="UMT8" s="28"/>
      <c r="UMU8" s="28"/>
      <c r="UMV8" s="28"/>
      <c r="UMW8" s="28"/>
      <c r="UMX8" s="28"/>
      <c r="UMY8" s="28"/>
      <c r="UMZ8" s="28"/>
      <c r="UNA8" s="28"/>
      <c r="UNB8" s="28"/>
      <c r="UNC8" s="28"/>
      <c r="UND8" s="28"/>
      <c r="UNE8" s="28"/>
      <c r="UNF8" s="28"/>
      <c r="UNG8" s="28"/>
      <c r="UNH8" s="28"/>
      <c r="UNI8" s="28"/>
      <c r="UNJ8" s="28"/>
      <c r="UNK8" s="28"/>
      <c r="UNL8" s="28"/>
      <c r="UNM8" s="28"/>
      <c r="UNN8" s="28"/>
      <c r="UNO8" s="28"/>
      <c r="UNP8" s="28"/>
      <c r="UNQ8" s="28"/>
      <c r="UNR8" s="28"/>
      <c r="UNS8" s="28"/>
      <c r="UNT8" s="28"/>
      <c r="UNU8" s="28"/>
      <c r="UNV8" s="28"/>
      <c r="UNW8" s="28"/>
      <c r="UNX8" s="28"/>
      <c r="UNY8" s="28"/>
      <c r="UNZ8" s="28"/>
      <c r="UOA8" s="28"/>
      <c r="UOB8" s="28"/>
      <c r="UOC8" s="28"/>
      <c r="UOD8" s="28"/>
      <c r="UOE8" s="28"/>
      <c r="UOF8" s="28"/>
      <c r="UOG8" s="28"/>
      <c r="UOH8" s="28"/>
      <c r="UOI8" s="28"/>
      <c r="UOJ8" s="28"/>
      <c r="UOK8" s="28"/>
      <c r="UOL8" s="28"/>
      <c r="UOM8" s="28"/>
      <c r="UON8" s="28"/>
      <c r="UOO8" s="28"/>
      <c r="UOP8" s="28"/>
      <c r="UOQ8" s="28"/>
      <c r="UOR8" s="28"/>
      <c r="UOS8" s="28"/>
      <c r="UOT8" s="28"/>
      <c r="UOU8" s="28"/>
      <c r="UOV8" s="28"/>
      <c r="UOW8" s="28"/>
      <c r="UOX8" s="28"/>
      <c r="UOY8" s="28"/>
      <c r="UOZ8" s="28"/>
      <c r="UPA8" s="28"/>
      <c r="UPB8" s="28"/>
      <c r="UPC8" s="28"/>
      <c r="UPD8" s="28"/>
      <c r="UPE8" s="28"/>
      <c r="UPF8" s="28"/>
      <c r="UPG8" s="28"/>
      <c r="UPH8" s="28"/>
      <c r="UPI8" s="28"/>
      <c r="UPJ8" s="28"/>
      <c r="UPK8" s="28"/>
      <c r="UPL8" s="28"/>
      <c r="UPM8" s="28"/>
      <c r="UPN8" s="28"/>
      <c r="UPO8" s="28"/>
      <c r="UPP8" s="28"/>
      <c r="UPQ8" s="28"/>
      <c r="UPR8" s="28"/>
      <c r="UPS8" s="28"/>
      <c r="UPT8" s="28"/>
      <c r="UPU8" s="28"/>
      <c r="UPV8" s="28"/>
      <c r="UPW8" s="28"/>
      <c r="UPX8" s="28"/>
      <c r="UPY8" s="28"/>
      <c r="UPZ8" s="28"/>
      <c r="UQA8" s="28"/>
      <c r="UQB8" s="28"/>
      <c r="UQC8" s="28"/>
      <c r="UQD8" s="28"/>
      <c r="UQE8" s="28"/>
      <c r="UQF8" s="28"/>
      <c r="UQG8" s="28"/>
      <c r="UQH8" s="28"/>
      <c r="UQI8" s="28"/>
      <c r="UQJ8" s="28"/>
      <c r="UQK8" s="28"/>
      <c r="UQL8" s="28"/>
      <c r="UQM8" s="28"/>
      <c r="UQN8" s="28"/>
      <c r="UQO8" s="28"/>
      <c r="UQP8" s="28"/>
      <c r="UQQ8" s="28"/>
      <c r="UQR8" s="28"/>
      <c r="UQS8" s="28"/>
      <c r="UQT8" s="28"/>
      <c r="UQU8" s="28"/>
      <c r="UQV8" s="28"/>
      <c r="UQW8" s="28"/>
      <c r="UQX8" s="28"/>
      <c r="UQY8" s="28"/>
      <c r="UQZ8" s="28"/>
      <c r="URA8" s="28"/>
      <c r="URB8" s="28"/>
      <c r="URC8" s="28"/>
      <c r="URD8" s="28"/>
      <c r="URE8" s="28"/>
      <c r="URF8" s="28"/>
      <c r="URG8" s="28"/>
      <c r="URH8" s="28"/>
      <c r="URI8" s="28"/>
      <c r="URJ8" s="28"/>
      <c r="URK8" s="28"/>
      <c r="URL8" s="28"/>
      <c r="URM8" s="28"/>
      <c r="URN8" s="28"/>
      <c r="URO8" s="28"/>
      <c r="URP8" s="28"/>
      <c r="URQ8" s="28"/>
      <c r="URR8" s="28"/>
      <c r="URS8" s="28"/>
      <c r="URT8" s="28"/>
      <c r="URU8" s="28"/>
      <c r="URV8" s="28"/>
      <c r="URW8" s="28"/>
      <c r="URX8" s="28"/>
      <c r="URY8" s="28"/>
      <c r="URZ8" s="28"/>
      <c r="USA8" s="28"/>
      <c r="USB8" s="28"/>
      <c r="USC8" s="28"/>
      <c r="USD8" s="28"/>
      <c r="USE8" s="28"/>
      <c r="USF8" s="28"/>
      <c r="USG8" s="28"/>
      <c r="USH8" s="28"/>
      <c r="USI8" s="28"/>
      <c r="USJ8" s="28"/>
      <c r="USK8" s="28"/>
      <c r="USL8" s="28"/>
      <c r="USM8" s="28"/>
      <c r="USN8" s="28"/>
      <c r="USO8" s="28"/>
      <c r="USP8" s="28"/>
      <c r="USQ8" s="28"/>
      <c r="USR8" s="28"/>
      <c r="USS8" s="28"/>
      <c r="UST8" s="28"/>
      <c r="USU8" s="28"/>
      <c r="USV8" s="28"/>
      <c r="USW8" s="28"/>
      <c r="USX8" s="28"/>
      <c r="USY8" s="28"/>
      <c r="USZ8" s="28"/>
      <c r="UTA8" s="28"/>
      <c r="UTB8" s="28"/>
      <c r="UTC8" s="28"/>
      <c r="UTD8" s="28"/>
      <c r="UTE8" s="28"/>
      <c r="UTF8" s="28"/>
      <c r="UTG8" s="28"/>
      <c r="UTH8" s="28"/>
      <c r="UTI8" s="28"/>
      <c r="UTJ8" s="28"/>
      <c r="UTK8" s="28"/>
      <c r="UTL8" s="28"/>
      <c r="UTM8" s="28"/>
      <c r="UTN8" s="28"/>
      <c r="UTO8" s="28"/>
      <c r="UTP8" s="28"/>
      <c r="UTQ8" s="28"/>
      <c r="UTR8" s="28"/>
      <c r="UTS8" s="28"/>
      <c r="UTT8" s="28"/>
      <c r="UTU8" s="28"/>
      <c r="UTV8" s="28"/>
      <c r="UTW8" s="28"/>
      <c r="UTX8" s="28"/>
      <c r="UTY8" s="28"/>
      <c r="UTZ8" s="28"/>
      <c r="UUA8" s="28"/>
      <c r="UUB8" s="28"/>
      <c r="UUC8" s="28"/>
      <c r="UUD8" s="28"/>
      <c r="UUE8" s="28"/>
      <c r="UUF8" s="28"/>
      <c r="UUG8" s="28"/>
      <c r="UUH8" s="28"/>
      <c r="UUI8" s="28"/>
      <c r="UUJ8" s="28"/>
      <c r="UUK8" s="28"/>
      <c r="UUL8" s="28"/>
      <c r="UUM8" s="28"/>
      <c r="UUN8" s="28"/>
      <c r="UUO8" s="28"/>
      <c r="UUP8" s="28"/>
      <c r="UUQ8" s="28"/>
      <c r="UUR8" s="28"/>
      <c r="UUS8" s="28"/>
      <c r="UUT8" s="28"/>
      <c r="UUU8" s="28"/>
      <c r="UUV8" s="28"/>
      <c r="UUW8" s="28"/>
      <c r="UUX8" s="28"/>
      <c r="UUY8" s="28"/>
      <c r="UUZ8" s="28"/>
      <c r="UVA8" s="28"/>
      <c r="UVB8" s="28"/>
      <c r="UVC8" s="28"/>
      <c r="UVD8" s="28"/>
      <c r="UVE8" s="28"/>
      <c r="UVF8" s="28"/>
      <c r="UVG8" s="28"/>
      <c r="UVH8" s="28"/>
      <c r="UVI8" s="28"/>
      <c r="UVJ8" s="28"/>
      <c r="UVK8" s="28"/>
      <c r="UVL8" s="28"/>
      <c r="UVM8" s="28"/>
      <c r="UVN8" s="28"/>
      <c r="UVO8" s="28"/>
      <c r="UVP8" s="28"/>
      <c r="UVQ8" s="28"/>
      <c r="UVR8" s="28"/>
      <c r="UVS8" s="28"/>
      <c r="UVT8" s="28"/>
      <c r="UVU8" s="28"/>
      <c r="UVV8" s="28"/>
      <c r="UVW8" s="28"/>
      <c r="UVX8" s="28"/>
      <c r="UVY8" s="28"/>
      <c r="UVZ8" s="28"/>
      <c r="UWA8" s="28"/>
      <c r="UWB8" s="28"/>
      <c r="UWC8" s="28"/>
      <c r="UWD8" s="28"/>
      <c r="UWE8" s="28"/>
      <c r="UWF8" s="28"/>
      <c r="UWG8" s="28"/>
      <c r="UWH8" s="28"/>
      <c r="UWI8" s="28"/>
      <c r="UWJ8" s="28"/>
      <c r="UWK8" s="28"/>
      <c r="UWL8" s="28"/>
      <c r="UWM8" s="28"/>
      <c r="UWN8" s="28"/>
      <c r="UWO8" s="28"/>
      <c r="UWP8" s="28"/>
      <c r="UWQ8" s="28"/>
      <c r="UWR8" s="28"/>
      <c r="UWS8" s="28"/>
      <c r="UWT8" s="28"/>
      <c r="UWU8" s="28"/>
      <c r="UWV8" s="28"/>
      <c r="UWW8" s="28"/>
      <c r="UWX8" s="28"/>
      <c r="UWY8" s="28"/>
      <c r="UWZ8" s="28"/>
      <c r="UXA8" s="28"/>
      <c r="UXB8" s="28"/>
      <c r="UXC8" s="28"/>
      <c r="UXD8" s="28"/>
      <c r="UXE8" s="28"/>
      <c r="UXF8" s="28"/>
      <c r="UXG8" s="28"/>
      <c r="UXH8" s="28"/>
      <c r="UXI8" s="28"/>
      <c r="UXJ8" s="28"/>
      <c r="UXK8" s="28"/>
      <c r="UXL8" s="28"/>
      <c r="UXM8" s="28"/>
      <c r="UXN8" s="28"/>
      <c r="UXO8" s="28"/>
      <c r="UXP8" s="28"/>
      <c r="UXQ8" s="28"/>
      <c r="UXR8" s="28"/>
      <c r="UXS8" s="28"/>
      <c r="UXT8" s="28"/>
      <c r="UXU8" s="28"/>
      <c r="UXV8" s="28"/>
      <c r="UXW8" s="28"/>
      <c r="UXX8" s="28"/>
      <c r="UXY8" s="28"/>
      <c r="UXZ8" s="28"/>
      <c r="UYA8" s="28"/>
      <c r="UYB8" s="28"/>
      <c r="UYC8" s="28"/>
      <c r="UYD8" s="28"/>
      <c r="UYE8" s="28"/>
      <c r="UYF8" s="28"/>
      <c r="UYG8" s="28"/>
      <c r="UYH8" s="28"/>
      <c r="UYI8" s="28"/>
      <c r="UYJ8" s="28"/>
      <c r="UYK8" s="28"/>
      <c r="UYL8" s="28"/>
      <c r="UYM8" s="28"/>
      <c r="UYN8" s="28"/>
      <c r="UYO8" s="28"/>
      <c r="UYP8" s="28"/>
      <c r="UYQ8" s="28"/>
      <c r="UYR8" s="28"/>
      <c r="UYS8" s="28"/>
      <c r="UYT8" s="28"/>
      <c r="UYU8" s="28"/>
      <c r="UYV8" s="28"/>
      <c r="UYW8" s="28"/>
      <c r="UYX8" s="28"/>
      <c r="UYY8" s="28"/>
      <c r="UYZ8" s="28"/>
      <c r="UZA8" s="28"/>
      <c r="UZB8" s="28"/>
      <c r="UZC8" s="28"/>
      <c r="UZD8" s="28"/>
      <c r="UZE8" s="28"/>
      <c r="UZF8" s="28"/>
      <c r="UZG8" s="28"/>
      <c r="UZH8" s="28"/>
      <c r="UZI8" s="28"/>
      <c r="UZJ8" s="28"/>
      <c r="UZK8" s="28"/>
      <c r="UZL8" s="28"/>
      <c r="UZM8" s="28"/>
      <c r="UZN8" s="28"/>
      <c r="UZO8" s="28"/>
      <c r="UZP8" s="28"/>
      <c r="UZQ8" s="28"/>
      <c r="UZR8" s="28"/>
      <c r="UZS8" s="28"/>
      <c r="UZT8" s="28"/>
      <c r="UZU8" s="28"/>
      <c r="UZV8" s="28"/>
      <c r="UZW8" s="28"/>
      <c r="UZX8" s="28"/>
      <c r="UZY8" s="28"/>
      <c r="UZZ8" s="28"/>
      <c r="VAA8" s="28"/>
      <c r="VAB8" s="28"/>
      <c r="VAC8" s="28"/>
      <c r="VAD8" s="28"/>
      <c r="VAE8" s="28"/>
      <c r="VAF8" s="28"/>
      <c r="VAG8" s="28"/>
      <c r="VAH8" s="28"/>
      <c r="VAI8" s="28"/>
      <c r="VAJ8" s="28"/>
      <c r="VAK8" s="28"/>
      <c r="VAL8" s="28"/>
      <c r="VAM8" s="28"/>
      <c r="VAN8" s="28"/>
      <c r="VAO8" s="28"/>
      <c r="VAP8" s="28"/>
      <c r="VAQ8" s="28"/>
      <c r="VAR8" s="28"/>
      <c r="VAS8" s="28"/>
      <c r="VAT8" s="28"/>
      <c r="VAU8" s="28"/>
      <c r="VAV8" s="28"/>
      <c r="VAW8" s="28"/>
      <c r="VAX8" s="28"/>
      <c r="VAY8" s="28"/>
      <c r="VAZ8" s="28"/>
      <c r="VBA8" s="28"/>
      <c r="VBB8" s="28"/>
      <c r="VBC8" s="28"/>
      <c r="VBD8" s="28"/>
      <c r="VBE8" s="28"/>
      <c r="VBF8" s="28"/>
      <c r="VBG8" s="28"/>
      <c r="VBH8" s="28"/>
      <c r="VBI8" s="28"/>
      <c r="VBJ8" s="28"/>
      <c r="VBK8" s="28"/>
      <c r="VBL8" s="28"/>
      <c r="VBM8" s="28"/>
      <c r="VBN8" s="28"/>
      <c r="VBO8" s="28"/>
      <c r="VBP8" s="28"/>
      <c r="VBQ8" s="28"/>
      <c r="VBR8" s="28"/>
      <c r="VBS8" s="28"/>
      <c r="VBT8" s="28"/>
      <c r="VBU8" s="28"/>
      <c r="VBV8" s="28"/>
      <c r="VBW8" s="28"/>
      <c r="VBX8" s="28"/>
      <c r="VBY8" s="28"/>
      <c r="VBZ8" s="28"/>
      <c r="VCA8" s="28"/>
      <c r="VCB8" s="28"/>
      <c r="VCC8" s="28"/>
      <c r="VCD8" s="28"/>
      <c r="VCE8" s="28"/>
      <c r="VCF8" s="28"/>
      <c r="VCG8" s="28"/>
      <c r="VCH8" s="28"/>
      <c r="VCI8" s="28"/>
      <c r="VCJ8" s="28"/>
      <c r="VCK8" s="28"/>
      <c r="VCL8" s="28"/>
      <c r="VCM8" s="28"/>
      <c r="VCN8" s="28"/>
      <c r="VCO8" s="28"/>
      <c r="VCP8" s="28"/>
      <c r="VCQ8" s="28"/>
      <c r="VCR8" s="28"/>
      <c r="VCS8" s="28"/>
      <c r="VCT8" s="28"/>
      <c r="VCU8" s="28"/>
      <c r="VCV8" s="28"/>
      <c r="VCW8" s="28"/>
      <c r="VCX8" s="28"/>
      <c r="VCY8" s="28"/>
      <c r="VCZ8" s="28"/>
      <c r="VDA8" s="28"/>
      <c r="VDB8" s="28"/>
      <c r="VDC8" s="28"/>
      <c r="VDD8" s="28"/>
      <c r="VDE8" s="28"/>
      <c r="VDF8" s="28"/>
      <c r="VDG8" s="28"/>
      <c r="VDH8" s="28"/>
      <c r="VDI8" s="28"/>
      <c r="VDJ8" s="28"/>
      <c r="VDK8" s="28"/>
      <c r="VDL8" s="28"/>
      <c r="VDM8" s="28"/>
      <c r="VDN8" s="28"/>
      <c r="VDO8" s="28"/>
      <c r="VDP8" s="28"/>
      <c r="VDQ8" s="28"/>
      <c r="VDR8" s="28"/>
      <c r="VDS8" s="28"/>
      <c r="VDT8" s="28"/>
      <c r="VDU8" s="28"/>
      <c r="VDV8" s="28"/>
      <c r="VDW8" s="28"/>
      <c r="VDX8" s="28"/>
      <c r="VDY8" s="28"/>
      <c r="VDZ8" s="28"/>
      <c r="VEA8" s="28"/>
      <c r="VEB8" s="28"/>
      <c r="VEC8" s="28"/>
      <c r="VED8" s="28"/>
      <c r="VEE8" s="28"/>
      <c r="VEF8" s="28"/>
      <c r="VEG8" s="28"/>
      <c r="VEH8" s="28"/>
      <c r="VEI8" s="28"/>
      <c r="VEJ8" s="28"/>
      <c r="VEK8" s="28"/>
      <c r="VEL8" s="28"/>
      <c r="VEM8" s="28"/>
      <c r="VEN8" s="28"/>
      <c r="VEO8" s="28"/>
      <c r="VEP8" s="28"/>
      <c r="VEQ8" s="28"/>
      <c r="VER8" s="28"/>
      <c r="VES8" s="28"/>
      <c r="VET8" s="28"/>
      <c r="VEU8" s="28"/>
      <c r="VEV8" s="28"/>
      <c r="VEW8" s="28"/>
      <c r="VEX8" s="28"/>
      <c r="VEY8" s="28"/>
      <c r="VEZ8" s="28"/>
      <c r="VFA8" s="28"/>
      <c r="VFB8" s="28"/>
      <c r="VFC8" s="28"/>
      <c r="VFD8" s="28"/>
      <c r="VFE8" s="28"/>
      <c r="VFF8" s="28"/>
      <c r="VFG8" s="28"/>
      <c r="VFH8" s="28"/>
      <c r="VFI8" s="28"/>
      <c r="VFJ8" s="28"/>
      <c r="VFK8" s="28"/>
      <c r="VFL8" s="28"/>
      <c r="VFM8" s="28"/>
      <c r="VFN8" s="28"/>
      <c r="VFO8" s="28"/>
      <c r="VFP8" s="28"/>
      <c r="VFQ8" s="28"/>
      <c r="VFR8" s="28"/>
      <c r="VFS8" s="28"/>
      <c r="VFT8" s="28"/>
      <c r="VFU8" s="28"/>
      <c r="VFV8" s="28"/>
      <c r="VFW8" s="28"/>
      <c r="VFX8" s="28"/>
      <c r="VFY8" s="28"/>
      <c r="VFZ8" s="28"/>
      <c r="VGA8" s="28"/>
      <c r="VGB8" s="28"/>
      <c r="VGC8" s="28"/>
      <c r="VGD8" s="28"/>
      <c r="VGE8" s="28"/>
      <c r="VGF8" s="28"/>
      <c r="VGG8" s="28"/>
      <c r="VGH8" s="28"/>
      <c r="VGI8" s="28"/>
      <c r="VGJ8" s="28"/>
      <c r="VGK8" s="28"/>
      <c r="VGL8" s="28"/>
      <c r="VGM8" s="28"/>
      <c r="VGN8" s="28"/>
      <c r="VGO8" s="28"/>
      <c r="VGP8" s="28"/>
      <c r="VGQ8" s="28"/>
      <c r="VGR8" s="28"/>
      <c r="VGS8" s="28"/>
      <c r="VGT8" s="28"/>
      <c r="VGU8" s="28"/>
      <c r="VGV8" s="28"/>
      <c r="VGW8" s="28"/>
      <c r="VGX8" s="28"/>
      <c r="VGY8" s="28"/>
      <c r="VGZ8" s="28"/>
      <c r="VHA8" s="28"/>
      <c r="VHB8" s="28"/>
      <c r="VHC8" s="28"/>
      <c r="VHD8" s="28"/>
      <c r="VHE8" s="28"/>
      <c r="VHF8" s="28"/>
      <c r="VHG8" s="28"/>
      <c r="VHH8" s="28"/>
      <c r="VHI8" s="28"/>
      <c r="VHJ8" s="28"/>
      <c r="VHK8" s="28"/>
      <c r="VHL8" s="28"/>
      <c r="VHM8" s="28"/>
      <c r="VHN8" s="28"/>
      <c r="VHO8" s="28"/>
      <c r="VHP8" s="28"/>
      <c r="VHQ8" s="28"/>
      <c r="VHR8" s="28"/>
      <c r="VHS8" s="28"/>
      <c r="VHT8" s="28"/>
      <c r="VHU8" s="28"/>
      <c r="VHV8" s="28"/>
      <c r="VHW8" s="28"/>
      <c r="VHX8" s="28"/>
      <c r="VHY8" s="28"/>
      <c r="VHZ8" s="28"/>
      <c r="VIA8" s="28"/>
      <c r="VIB8" s="28"/>
      <c r="VIC8" s="28"/>
      <c r="VID8" s="28"/>
      <c r="VIE8" s="28"/>
      <c r="VIF8" s="28"/>
      <c r="VIG8" s="28"/>
      <c r="VIH8" s="28"/>
      <c r="VII8" s="28"/>
      <c r="VIJ8" s="28"/>
      <c r="VIK8" s="28"/>
      <c r="VIL8" s="28"/>
      <c r="VIM8" s="28"/>
      <c r="VIN8" s="28"/>
      <c r="VIO8" s="28"/>
      <c r="VIP8" s="28"/>
      <c r="VIQ8" s="28"/>
      <c r="VIR8" s="28"/>
      <c r="VIS8" s="28"/>
      <c r="VIT8" s="28"/>
      <c r="VIU8" s="28"/>
      <c r="VIV8" s="28"/>
      <c r="VIW8" s="28"/>
      <c r="VIX8" s="28"/>
      <c r="VIY8" s="28"/>
      <c r="VIZ8" s="28"/>
      <c r="VJA8" s="28"/>
      <c r="VJB8" s="28"/>
      <c r="VJC8" s="28"/>
      <c r="VJD8" s="28"/>
      <c r="VJE8" s="28"/>
      <c r="VJF8" s="28"/>
      <c r="VJG8" s="28"/>
      <c r="VJH8" s="28"/>
      <c r="VJI8" s="28"/>
      <c r="VJJ8" s="28"/>
      <c r="VJK8" s="28"/>
      <c r="VJL8" s="28"/>
      <c r="VJM8" s="28"/>
      <c r="VJN8" s="28"/>
      <c r="VJO8" s="28"/>
      <c r="VJP8" s="28"/>
      <c r="VJQ8" s="28"/>
      <c r="VJR8" s="28"/>
      <c r="VJS8" s="28"/>
      <c r="VJT8" s="28"/>
      <c r="VJU8" s="28"/>
      <c r="VJV8" s="28"/>
      <c r="VJW8" s="28"/>
      <c r="VJX8" s="28"/>
      <c r="VJY8" s="28"/>
      <c r="VJZ8" s="28"/>
      <c r="VKA8" s="28"/>
      <c r="VKB8" s="28"/>
      <c r="VKC8" s="28"/>
      <c r="VKD8" s="28"/>
      <c r="VKE8" s="28"/>
      <c r="VKF8" s="28"/>
      <c r="VKG8" s="28"/>
      <c r="VKH8" s="28"/>
      <c r="VKI8" s="28"/>
      <c r="VKJ8" s="28"/>
      <c r="VKK8" s="28"/>
      <c r="VKL8" s="28"/>
      <c r="VKM8" s="28"/>
      <c r="VKN8" s="28"/>
      <c r="VKO8" s="28"/>
      <c r="VKP8" s="28"/>
      <c r="VKQ8" s="28"/>
      <c r="VKR8" s="28"/>
      <c r="VKS8" s="28"/>
      <c r="VKT8" s="28"/>
      <c r="VKU8" s="28"/>
      <c r="VKV8" s="28"/>
      <c r="VKW8" s="28"/>
      <c r="VKX8" s="28"/>
      <c r="VKY8" s="28"/>
      <c r="VKZ8" s="28"/>
      <c r="VLA8" s="28"/>
      <c r="VLB8" s="28"/>
      <c r="VLC8" s="28"/>
      <c r="VLD8" s="28"/>
      <c r="VLE8" s="28"/>
      <c r="VLF8" s="28"/>
      <c r="VLG8" s="28"/>
      <c r="VLH8" s="28"/>
      <c r="VLI8" s="28"/>
      <c r="VLJ8" s="28"/>
      <c r="VLK8" s="28"/>
      <c r="VLL8" s="28"/>
      <c r="VLM8" s="28"/>
      <c r="VLN8" s="28"/>
      <c r="VLO8" s="28"/>
      <c r="VLP8" s="28"/>
      <c r="VLQ8" s="28"/>
      <c r="VLR8" s="28"/>
      <c r="VLS8" s="28"/>
      <c r="VLT8" s="28"/>
      <c r="VLU8" s="28"/>
      <c r="VLV8" s="28"/>
      <c r="VLW8" s="28"/>
      <c r="VLX8" s="28"/>
      <c r="VLY8" s="28"/>
      <c r="VLZ8" s="28"/>
      <c r="VMA8" s="28"/>
      <c r="VMB8" s="28"/>
      <c r="VMC8" s="28"/>
      <c r="VMD8" s="28"/>
      <c r="VME8" s="28"/>
      <c r="VMF8" s="28"/>
      <c r="VMG8" s="28"/>
      <c r="VMH8" s="28"/>
      <c r="VMI8" s="28"/>
      <c r="VMJ8" s="28"/>
      <c r="VMK8" s="28"/>
      <c r="VML8" s="28"/>
      <c r="VMM8" s="28"/>
      <c r="VMN8" s="28"/>
      <c r="VMO8" s="28"/>
      <c r="VMP8" s="28"/>
      <c r="VMQ8" s="28"/>
      <c r="VMR8" s="28"/>
      <c r="VMS8" s="28"/>
      <c r="VMT8" s="28"/>
      <c r="VMU8" s="28"/>
      <c r="VMV8" s="28"/>
      <c r="VMW8" s="28"/>
      <c r="VMX8" s="28"/>
      <c r="VMY8" s="28"/>
      <c r="VMZ8" s="28"/>
      <c r="VNA8" s="28"/>
      <c r="VNB8" s="28"/>
      <c r="VNC8" s="28"/>
      <c r="VND8" s="28"/>
      <c r="VNE8" s="28"/>
      <c r="VNF8" s="28"/>
      <c r="VNG8" s="28"/>
      <c r="VNH8" s="28"/>
      <c r="VNI8" s="28"/>
      <c r="VNJ8" s="28"/>
      <c r="VNK8" s="28"/>
      <c r="VNL8" s="28"/>
      <c r="VNM8" s="28"/>
      <c r="VNN8" s="28"/>
      <c r="VNO8" s="28"/>
      <c r="VNP8" s="28"/>
      <c r="VNQ8" s="28"/>
      <c r="VNR8" s="28"/>
      <c r="VNS8" s="28"/>
      <c r="VNT8" s="28"/>
      <c r="VNU8" s="28"/>
      <c r="VNV8" s="28"/>
      <c r="VNW8" s="28"/>
      <c r="VNX8" s="28"/>
      <c r="VNY8" s="28"/>
      <c r="VNZ8" s="28"/>
      <c r="VOA8" s="28"/>
      <c r="VOB8" s="28"/>
      <c r="VOC8" s="28"/>
      <c r="VOD8" s="28"/>
      <c r="VOE8" s="28"/>
      <c r="VOF8" s="28"/>
      <c r="VOG8" s="28"/>
      <c r="VOH8" s="28"/>
      <c r="VOI8" s="28"/>
      <c r="VOJ8" s="28"/>
      <c r="VOK8" s="28"/>
      <c r="VOL8" s="28"/>
      <c r="VOM8" s="28"/>
      <c r="VON8" s="28"/>
      <c r="VOO8" s="28"/>
      <c r="VOP8" s="28"/>
      <c r="VOQ8" s="28"/>
      <c r="VOR8" s="28"/>
      <c r="VOS8" s="28"/>
      <c r="VOT8" s="28"/>
      <c r="VOU8" s="28"/>
      <c r="VOV8" s="28"/>
      <c r="VOW8" s="28"/>
      <c r="VOX8" s="28"/>
      <c r="VOY8" s="28"/>
      <c r="VOZ8" s="28"/>
      <c r="VPA8" s="28"/>
      <c r="VPB8" s="28"/>
      <c r="VPC8" s="28"/>
      <c r="VPD8" s="28"/>
      <c r="VPE8" s="28"/>
      <c r="VPF8" s="28"/>
      <c r="VPG8" s="28"/>
      <c r="VPH8" s="28"/>
      <c r="VPI8" s="28"/>
      <c r="VPJ8" s="28"/>
      <c r="VPK8" s="28"/>
      <c r="VPL8" s="28"/>
      <c r="VPM8" s="28"/>
      <c r="VPN8" s="28"/>
      <c r="VPO8" s="28"/>
      <c r="VPP8" s="28"/>
      <c r="VPQ8" s="28"/>
      <c r="VPR8" s="28"/>
      <c r="VPS8" s="28"/>
      <c r="VPT8" s="28"/>
      <c r="VPU8" s="28"/>
      <c r="VPV8" s="28"/>
      <c r="VPW8" s="28"/>
      <c r="VPX8" s="28"/>
      <c r="VPY8" s="28"/>
      <c r="VPZ8" s="28"/>
      <c r="VQA8" s="28"/>
      <c r="VQB8" s="28"/>
      <c r="VQC8" s="28"/>
      <c r="VQD8" s="28"/>
      <c r="VQE8" s="28"/>
      <c r="VQF8" s="28"/>
      <c r="VQG8" s="28"/>
      <c r="VQH8" s="28"/>
      <c r="VQI8" s="28"/>
      <c r="VQJ8" s="28"/>
      <c r="VQK8" s="28"/>
      <c r="VQL8" s="28"/>
      <c r="VQM8" s="28"/>
      <c r="VQN8" s="28"/>
      <c r="VQO8" s="28"/>
      <c r="VQP8" s="28"/>
      <c r="VQQ8" s="28"/>
      <c r="VQR8" s="28"/>
      <c r="VQS8" s="28"/>
      <c r="VQT8" s="28"/>
      <c r="VQU8" s="28"/>
      <c r="VQV8" s="28"/>
      <c r="VQW8" s="28"/>
      <c r="VQX8" s="28"/>
      <c r="VQY8" s="28"/>
      <c r="VQZ8" s="28"/>
      <c r="VRA8" s="28"/>
      <c r="VRB8" s="28"/>
      <c r="VRC8" s="28"/>
      <c r="VRD8" s="28"/>
      <c r="VRE8" s="28"/>
      <c r="VRF8" s="28"/>
      <c r="VRG8" s="28"/>
      <c r="VRH8" s="28"/>
      <c r="VRI8" s="28"/>
      <c r="VRJ8" s="28"/>
      <c r="VRK8" s="28"/>
      <c r="VRL8" s="28"/>
      <c r="VRM8" s="28"/>
      <c r="VRN8" s="28"/>
      <c r="VRO8" s="28"/>
      <c r="VRP8" s="28"/>
      <c r="VRQ8" s="28"/>
      <c r="VRR8" s="28"/>
      <c r="VRS8" s="28"/>
      <c r="VRT8" s="28"/>
      <c r="VRU8" s="28"/>
      <c r="VRV8" s="28"/>
      <c r="VRW8" s="28"/>
      <c r="VRX8" s="28"/>
      <c r="VRY8" s="28"/>
      <c r="VRZ8" s="28"/>
      <c r="VSA8" s="28"/>
      <c r="VSB8" s="28"/>
      <c r="VSC8" s="28"/>
      <c r="VSD8" s="28"/>
      <c r="VSE8" s="28"/>
      <c r="VSF8" s="28"/>
      <c r="VSG8" s="28"/>
      <c r="VSH8" s="28"/>
      <c r="VSI8" s="28"/>
      <c r="VSJ8" s="28"/>
      <c r="VSK8" s="28"/>
      <c r="VSL8" s="28"/>
      <c r="VSM8" s="28"/>
      <c r="VSN8" s="28"/>
      <c r="VSO8" s="28"/>
      <c r="VSP8" s="28"/>
      <c r="VSQ8" s="28"/>
      <c r="VSR8" s="28"/>
      <c r="VSS8" s="28"/>
      <c r="VST8" s="28"/>
      <c r="VSU8" s="28"/>
      <c r="VSV8" s="28"/>
      <c r="VSW8" s="28"/>
      <c r="VSX8" s="28"/>
      <c r="VSY8" s="28"/>
      <c r="VSZ8" s="28"/>
      <c r="VTA8" s="28"/>
      <c r="VTB8" s="28"/>
      <c r="VTC8" s="28"/>
      <c r="VTD8" s="28"/>
      <c r="VTE8" s="28"/>
      <c r="VTF8" s="28"/>
      <c r="VTG8" s="28"/>
      <c r="VTH8" s="28"/>
      <c r="VTI8" s="28"/>
      <c r="VTJ8" s="28"/>
      <c r="VTK8" s="28"/>
      <c r="VTL8" s="28"/>
      <c r="VTM8" s="28"/>
      <c r="VTN8" s="28"/>
      <c r="VTO8" s="28"/>
      <c r="VTP8" s="28"/>
      <c r="VTQ8" s="28"/>
      <c r="VTR8" s="28"/>
      <c r="VTS8" s="28"/>
      <c r="VTT8" s="28"/>
      <c r="VTU8" s="28"/>
      <c r="VTV8" s="28"/>
      <c r="VTW8" s="28"/>
      <c r="VTX8" s="28"/>
      <c r="VTY8" s="28"/>
      <c r="VTZ8" s="28"/>
      <c r="VUA8" s="28"/>
      <c r="VUB8" s="28"/>
      <c r="VUC8" s="28"/>
      <c r="VUD8" s="28"/>
      <c r="VUE8" s="28"/>
      <c r="VUF8" s="28"/>
      <c r="VUG8" s="28"/>
      <c r="VUH8" s="28"/>
      <c r="VUI8" s="28"/>
      <c r="VUJ8" s="28"/>
      <c r="VUK8" s="28"/>
      <c r="VUL8" s="28"/>
      <c r="VUM8" s="28"/>
      <c r="VUN8" s="28"/>
      <c r="VUO8" s="28"/>
      <c r="VUP8" s="28"/>
      <c r="VUQ8" s="28"/>
      <c r="VUR8" s="28"/>
      <c r="VUS8" s="28"/>
      <c r="VUT8" s="28"/>
      <c r="VUU8" s="28"/>
      <c r="VUV8" s="28"/>
      <c r="VUW8" s="28"/>
      <c r="VUX8" s="28"/>
      <c r="VUY8" s="28"/>
      <c r="VUZ8" s="28"/>
      <c r="VVA8" s="28"/>
      <c r="VVB8" s="28"/>
      <c r="VVC8" s="28"/>
      <c r="VVD8" s="28"/>
      <c r="VVE8" s="28"/>
      <c r="VVF8" s="28"/>
      <c r="VVG8" s="28"/>
      <c r="VVH8" s="28"/>
      <c r="VVI8" s="28"/>
      <c r="VVJ8" s="28"/>
      <c r="VVK8" s="28"/>
      <c r="VVL8" s="28"/>
      <c r="VVM8" s="28"/>
      <c r="VVN8" s="28"/>
      <c r="VVO8" s="28"/>
      <c r="VVP8" s="28"/>
      <c r="VVQ8" s="28"/>
      <c r="VVR8" s="28"/>
      <c r="VVS8" s="28"/>
      <c r="VVT8" s="28"/>
      <c r="VVU8" s="28"/>
      <c r="VVV8" s="28"/>
      <c r="VVW8" s="28"/>
      <c r="VVX8" s="28"/>
      <c r="VVY8" s="28"/>
      <c r="VVZ8" s="28"/>
      <c r="VWA8" s="28"/>
      <c r="VWB8" s="28"/>
      <c r="VWC8" s="28"/>
      <c r="VWD8" s="28"/>
      <c r="VWE8" s="28"/>
      <c r="VWF8" s="28"/>
      <c r="VWG8" s="28"/>
      <c r="VWH8" s="28"/>
      <c r="VWI8" s="28"/>
      <c r="VWJ8" s="28"/>
      <c r="VWK8" s="28"/>
      <c r="VWL8" s="28"/>
      <c r="VWM8" s="28"/>
      <c r="VWN8" s="28"/>
      <c r="VWO8" s="28"/>
      <c r="VWP8" s="28"/>
      <c r="VWQ8" s="28"/>
      <c r="VWR8" s="28"/>
      <c r="VWS8" s="28"/>
      <c r="VWT8" s="28"/>
      <c r="VWU8" s="28"/>
      <c r="VWV8" s="28"/>
      <c r="VWW8" s="28"/>
      <c r="VWX8" s="28"/>
      <c r="VWY8" s="28"/>
      <c r="VWZ8" s="28"/>
      <c r="VXA8" s="28"/>
      <c r="VXB8" s="28"/>
      <c r="VXC8" s="28"/>
      <c r="VXD8" s="28"/>
      <c r="VXE8" s="28"/>
      <c r="VXF8" s="28"/>
      <c r="VXG8" s="28"/>
      <c r="VXH8" s="28"/>
      <c r="VXI8" s="28"/>
      <c r="VXJ8" s="28"/>
      <c r="VXK8" s="28"/>
      <c r="VXL8" s="28"/>
      <c r="VXM8" s="28"/>
      <c r="VXN8" s="28"/>
      <c r="VXO8" s="28"/>
      <c r="VXP8" s="28"/>
      <c r="VXQ8" s="28"/>
      <c r="VXR8" s="28"/>
      <c r="VXS8" s="28"/>
      <c r="VXT8" s="28"/>
      <c r="VXU8" s="28"/>
      <c r="VXV8" s="28"/>
      <c r="VXW8" s="28"/>
      <c r="VXX8" s="28"/>
      <c r="VXY8" s="28"/>
      <c r="VXZ8" s="28"/>
      <c r="VYA8" s="28"/>
      <c r="VYB8" s="28"/>
      <c r="VYC8" s="28"/>
      <c r="VYD8" s="28"/>
      <c r="VYE8" s="28"/>
      <c r="VYF8" s="28"/>
      <c r="VYG8" s="28"/>
      <c r="VYH8" s="28"/>
      <c r="VYI8" s="28"/>
      <c r="VYJ8" s="28"/>
      <c r="VYK8" s="28"/>
      <c r="VYL8" s="28"/>
      <c r="VYM8" s="28"/>
      <c r="VYN8" s="28"/>
      <c r="VYO8" s="28"/>
      <c r="VYP8" s="28"/>
      <c r="VYQ8" s="28"/>
      <c r="VYR8" s="28"/>
      <c r="VYS8" s="28"/>
      <c r="VYT8" s="28"/>
      <c r="VYU8" s="28"/>
      <c r="VYV8" s="28"/>
      <c r="VYW8" s="28"/>
      <c r="VYX8" s="28"/>
      <c r="VYY8" s="28"/>
      <c r="VYZ8" s="28"/>
      <c r="VZA8" s="28"/>
      <c r="VZB8" s="28"/>
      <c r="VZC8" s="28"/>
      <c r="VZD8" s="28"/>
      <c r="VZE8" s="28"/>
      <c r="VZF8" s="28"/>
      <c r="VZG8" s="28"/>
      <c r="VZH8" s="28"/>
      <c r="VZI8" s="28"/>
      <c r="VZJ8" s="28"/>
      <c r="VZK8" s="28"/>
      <c r="VZL8" s="28"/>
      <c r="VZM8" s="28"/>
      <c r="VZN8" s="28"/>
      <c r="VZO8" s="28"/>
      <c r="VZP8" s="28"/>
      <c r="VZQ8" s="28"/>
      <c r="VZR8" s="28"/>
      <c r="VZS8" s="28"/>
      <c r="VZT8" s="28"/>
      <c r="VZU8" s="28"/>
      <c r="VZV8" s="28"/>
      <c r="VZW8" s="28"/>
      <c r="VZX8" s="28"/>
      <c r="VZY8" s="28"/>
      <c r="VZZ8" s="28"/>
      <c r="WAA8" s="28"/>
      <c r="WAB8" s="28"/>
      <c r="WAC8" s="28"/>
      <c r="WAD8" s="28"/>
      <c r="WAE8" s="28"/>
      <c r="WAF8" s="28"/>
      <c r="WAG8" s="28"/>
      <c r="WAH8" s="28"/>
      <c r="WAI8" s="28"/>
      <c r="WAJ8" s="28"/>
      <c r="WAK8" s="28"/>
      <c r="WAL8" s="28"/>
      <c r="WAM8" s="28"/>
      <c r="WAN8" s="28"/>
      <c r="WAO8" s="28"/>
      <c r="WAP8" s="28"/>
      <c r="WAQ8" s="28"/>
      <c r="WAR8" s="28"/>
      <c r="WAS8" s="28"/>
      <c r="WAT8" s="28"/>
      <c r="WAU8" s="28"/>
      <c r="WAV8" s="28"/>
      <c r="WAW8" s="28"/>
      <c r="WAX8" s="28"/>
      <c r="WAY8" s="28"/>
      <c r="WAZ8" s="28"/>
      <c r="WBA8" s="28"/>
      <c r="WBB8" s="28"/>
      <c r="WBC8" s="28"/>
      <c r="WBD8" s="28"/>
      <c r="WBE8" s="28"/>
      <c r="WBF8" s="28"/>
      <c r="WBG8" s="28"/>
      <c r="WBH8" s="28"/>
      <c r="WBI8" s="28"/>
      <c r="WBJ8" s="28"/>
      <c r="WBK8" s="28"/>
      <c r="WBL8" s="28"/>
      <c r="WBM8" s="28"/>
      <c r="WBN8" s="28"/>
      <c r="WBO8" s="28"/>
      <c r="WBP8" s="28"/>
      <c r="WBQ8" s="28"/>
      <c r="WBR8" s="28"/>
      <c r="WBS8" s="28"/>
      <c r="WBT8" s="28"/>
      <c r="WBU8" s="28"/>
      <c r="WBV8" s="28"/>
      <c r="WBW8" s="28"/>
      <c r="WBX8" s="28"/>
      <c r="WBY8" s="28"/>
      <c r="WBZ8" s="28"/>
      <c r="WCA8" s="28"/>
      <c r="WCB8" s="28"/>
      <c r="WCC8" s="28"/>
      <c r="WCD8" s="28"/>
      <c r="WCE8" s="28"/>
      <c r="WCF8" s="28"/>
      <c r="WCG8" s="28"/>
      <c r="WCH8" s="28"/>
      <c r="WCI8" s="28"/>
      <c r="WCJ8" s="28"/>
      <c r="WCK8" s="28"/>
      <c r="WCL8" s="28"/>
      <c r="WCM8" s="28"/>
      <c r="WCN8" s="28"/>
      <c r="WCO8" s="28"/>
      <c r="WCP8" s="28"/>
      <c r="WCQ8" s="28"/>
      <c r="WCR8" s="28"/>
      <c r="WCS8" s="28"/>
      <c r="WCT8" s="28"/>
      <c r="WCU8" s="28"/>
      <c r="WCV8" s="28"/>
      <c r="WCW8" s="28"/>
      <c r="WCX8" s="28"/>
      <c r="WCY8" s="28"/>
      <c r="WCZ8" s="28"/>
      <c r="WDA8" s="28"/>
      <c r="WDB8" s="28"/>
      <c r="WDC8" s="28"/>
      <c r="WDD8" s="28"/>
      <c r="WDE8" s="28"/>
      <c r="WDF8" s="28"/>
      <c r="WDG8" s="28"/>
      <c r="WDH8" s="28"/>
      <c r="WDI8" s="28"/>
      <c r="WDJ8" s="28"/>
      <c r="WDK8" s="28"/>
      <c r="WDL8" s="28"/>
      <c r="WDM8" s="28"/>
      <c r="WDN8" s="28"/>
      <c r="WDO8" s="28"/>
      <c r="WDP8" s="28"/>
      <c r="WDQ8" s="28"/>
      <c r="WDR8" s="28"/>
      <c r="WDS8" s="28"/>
      <c r="WDT8" s="28"/>
      <c r="WDU8" s="28"/>
      <c r="WDV8" s="28"/>
      <c r="WDW8" s="28"/>
      <c r="WDX8" s="28"/>
      <c r="WDY8" s="28"/>
      <c r="WDZ8" s="28"/>
      <c r="WEA8" s="28"/>
      <c r="WEB8" s="28"/>
      <c r="WEC8" s="28"/>
      <c r="WED8" s="28"/>
      <c r="WEE8" s="28"/>
      <c r="WEF8" s="28"/>
      <c r="WEG8" s="28"/>
      <c r="WEH8" s="28"/>
      <c r="WEI8" s="28"/>
      <c r="WEJ8" s="28"/>
      <c r="WEK8" s="28"/>
      <c r="WEL8" s="28"/>
      <c r="WEM8" s="28"/>
      <c r="WEN8" s="28"/>
      <c r="WEO8" s="28"/>
      <c r="WEP8" s="28"/>
      <c r="WEQ8" s="28"/>
      <c r="WER8" s="28"/>
      <c r="WES8" s="28"/>
      <c r="WET8" s="28"/>
      <c r="WEU8" s="28"/>
      <c r="WEV8" s="28"/>
      <c r="WEW8" s="28"/>
      <c r="WEX8" s="28"/>
      <c r="WEY8" s="28"/>
      <c r="WEZ8" s="28"/>
      <c r="WFA8" s="28"/>
      <c r="WFB8" s="28"/>
      <c r="WFC8" s="28"/>
      <c r="WFD8" s="28"/>
      <c r="WFE8" s="28"/>
      <c r="WFF8" s="28"/>
      <c r="WFG8" s="28"/>
      <c r="WFH8" s="28"/>
      <c r="WFI8" s="28"/>
      <c r="WFJ8" s="28"/>
      <c r="WFK8" s="28"/>
      <c r="WFL8" s="28"/>
      <c r="WFM8" s="28"/>
      <c r="WFN8" s="28"/>
      <c r="WFO8" s="28"/>
      <c r="WFP8" s="28"/>
      <c r="WFQ8" s="28"/>
      <c r="WFR8" s="28"/>
      <c r="WFS8" s="28"/>
      <c r="WFT8" s="28"/>
      <c r="WFU8" s="28"/>
      <c r="WFV8" s="28"/>
      <c r="WFW8" s="28"/>
      <c r="WFX8" s="28"/>
      <c r="WFY8" s="28"/>
      <c r="WFZ8" s="28"/>
      <c r="WGA8" s="28"/>
      <c r="WGB8" s="28"/>
      <c r="WGC8" s="28"/>
      <c r="WGD8" s="28"/>
      <c r="WGE8" s="28"/>
      <c r="WGF8" s="28"/>
      <c r="WGG8" s="28"/>
      <c r="WGH8" s="28"/>
      <c r="WGI8" s="28"/>
      <c r="WGJ8" s="28"/>
      <c r="WGK8" s="28"/>
      <c r="WGL8" s="28"/>
      <c r="WGM8" s="28"/>
      <c r="WGN8" s="28"/>
      <c r="WGO8" s="28"/>
      <c r="WGP8" s="28"/>
      <c r="WGQ8" s="28"/>
      <c r="WGR8" s="28"/>
      <c r="WGS8" s="28"/>
      <c r="WGT8" s="28"/>
      <c r="WGU8" s="28"/>
      <c r="WGV8" s="28"/>
      <c r="WGW8" s="28"/>
      <c r="WGX8" s="28"/>
      <c r="WGY8" s="28"/>
      <c r="WGZ8" s="28"/>
      <c r="WHA8" s="28"/>
      <c r="WHB8" s="28"/>
      <c r="WHC8" s="28"/>
      <c r="WHD8" s="28"/>
      <c r="WHE8" s="28"/>
      <c r="WHF8" s="28"/>
      <c r="WHG8" s="28"/>
      <c r="WHH8" s="28"/>
      <c r="WHI8" s="28"/>
      <c r="WHJ8" s="28"/>
      <c r="WHK8" s="28"/>
      <c r="WHL8" s="28"/>
      <c r="WHM8" s="28"/>
      <c r="WHN8" s="28"/>
      <c r="WHO8" s="28"/>
      <c r="WHP8" s="28"/>
      <c r="WHQ8" s="28"/>
      <c r="WHR8" s="28"/>
      <c r="WHS8" s="28"/>
      <c r="WHT8" s="28"/>
      <c r="WHU8" s="28"/>
      <c r="WHV8" s="28"/>
      <c r="WHW8" s="28"/>
      <c r="WHX8" s="28"/>
      <c r="WHY8" s="28"/>
      <c r="WHZ8" s="28"/>
      <c r="WIA8" s="28"/>
      <c r="WIB8" s="28"/>
      <c r="WIC8" s="28"/>
      <c r="WID8" s="28"/>
      <c r="WIE8" s="28"/>
      <c r="WIF8" s="28"/>
      <c r="WIG8" s="28"/>
      <c r="WIH8" s="28"/>
      <c r="WII8" s="28"/>
      <c r="WIJ8" s="28"/>
      <c r="WIK8" s="28"/>
      <c r="WIL8" s="28"/>
      <c r="WIM8" s="28"/>
      <c r="WIN8" s="28"/>
      <c r="WIO8" s="28"/>
      <c r="WIP8" s="28"/>
      <c r="WIQ8" s="28"/>
      <c r="WIR8" s="28"/>
      <c r="WIS8" s="28"/>
      <c r="WIT8" s="28"/>
      <c r="WIU8" s="28"/>
      <c r="WIV8" s="28"/>
      <c r="WIW8" s="28"/>
      <c r="WIX8" s="28"/>
      <c r="WIY8" s="28"/>
      <c r="WIZ8" s="28"/>
      <c r="WJA8" s="28"/>
      <c r="WJB8" s="28"/>
      <c r="WJC8" s="28"/>
      <c r="WJD8" s="28"/>
      <c r="WJE8" s="28"/>
      <c r="WJF8" s="28"/>
      <c r="WJG8" s="28"/>
      <c r="WJH8" s="28"/>
      <c r="WJI8" s="28"/>
      <c r="WJJ8" s="28"/>
      <c r="WJK8" s="28"/>
      <c r="WJL8" s="28"/>
      <c r="WJM8" s="28"/>
      <c r="WJN8" s="28"/>
      <c r="WJO8" s="28"/>
      <c r="WJP8" s="28"/>
      <c r="WJQ8" s="28"/>
      <c r="WJR8" s="28"/>
      <c r="WJS8" s="28"/>
      <c r="WJT8" s="28"/>
      <c r="WJU8" s="28"/>
      <c r="WJV8" s="28"/>
      <c r="WJW8" s="28"/>
      <c r="WJX8" s="28"/>
      <c r="WJY8" s="28"/>
      <c r="WJZ8" s="28"/>
      <c r="WKA8" s="28"/>
      <c r="WKB8" s="28"/>
      <c r="WKC8" s="28"/>
      <c r="WKD8" s="28"/>
      <c r="WKE8" s="28"/>
      <c r="WKF8" s="28"/>
      <c r="WKG8" s="28"/>
      <c r="WKH8" s="28"/>
      <c r="WKI8" s="28"/>
      <c r="WKJ8" s="28"/>
      <c r="WKK8" s="28"/>
      <c r="WKL8" s="28"/>
      <c r="WKM8" s="28"/>
      <c r="WKN8" s="28"/>
      <c r="WKO8" s="28"/>
      <c r="WKP8" s="28"/>
      <c r="WKQ8" s="28"/>
      <c r="WKR8" s="28"/>
      <c r="WKS8" s="28"/>
      <c r="WKT8" s="28"/>
      <c r="WKU8" s="28"/>
      <c r="WKV8" s="28"/>
      <c r="WKW8" s="28"/>
      <c r="WKX8" s="28"/>
      <c r="WKY8" s="28"/>
      <c r="WKZ8" s="28"/>
      <c r="WLA8" s="28"/>
      <c r="WLB8" s="28"/>
      <c r="WLC8" s="28"/>
      <c r="WLD8" s="28"/>
      <c r="WLE8" s="28"/>
      <c r="WLF8" s="28"/>
      <c r="WLG8" s="28"/>
      <c r="WLH8" s="28"/>
      <c r="WLI8" s="28"/>
      <c r="WLJ8" s="28"/>
      <c r="WLK8" s="28"/>
      <c r="WLL8" s="28"/>
      <c r="WLM8" s="28"/>
      <c r="WLN8" s="28"/>
      <c r="WLO8" s="28"/>
      <c r="WLP8" s="28"/>
      <c r="WLQ8" s="28"/>
      <c r="WLR8" s="28"/>
      <c r="WLS8" s="28"/>
      <c r="WLT8" s="28"/>
      <c r="WLU8" s="28"/>
      <c r="WLV8" s="28"/>
      <c r="WLW8" s="28"/>
      <c r="WLX8" s="28"/>
      <c r="WLY8" s="28"/>
      <c r="WLZ8" s="28"/>
      <c r="WMA8" s="28"/>
      <c r="WMB8" s="28"/>
      <c r="WMC8" s="28"/>
      <c r="WMD8" s="28"/>
      <c r="WME8" s="28"/>
      <c r="WMF8" s="28"/>
      <c r="WMG8" s="28"/>
      <c r="WMH8" s="28"/>
      <c r="WMI8" s="28"/>
      <c r="WMJ8" s="28"/>
      <c r="WMK8" s="28"/>
      <c r="WML8" s="28"/>
      <c r="WMM8" s="28"/>
      <c r="WMN8" s="28"/>
      <c r="WMO8" s="28"/>
      <c r="WMP8" s="28"/>
      <c r="WMQ8" s="28"/>
      <c r="WMR8" s="28"/>
      <c r="WMS8" s="28"/>
      <c r="WMT8" s="28"/>
      <c r="WMU8" s="28"/>
      <c r="WMV8" s="28"/>
      <c r="WMW8" s="28"/>
      <c r="WMX8" s="28"/>
      <c r="WMY8" s="28"/>
      <c r="WMZ8" s="28"/>
      <c r="WNA8" s="28"/>
      <c r="WNB8" s="28"/>
      <c r="WNC8" s="28"/>
      <c r="WND8" s="28"/>
      <c r="WNE8" s="28"/>
      <c r="WNF8" s="28"/>
      <c r="WNG8" s="28"/>
      <c r="WNH8" s="28"/>
      <c r="WNI8" s="28"/>
      <c r="WNJ8" s="28"/>
      <c r="WNK8" s="28"/>
      <c r="WNL8" s="28"/>
      <c r="WNM8" s="28"/>
      <c r="WNN8" s="28"/>
      <c r="WNO8" s="28"/>
      <c r="WNP8" s="28"/>
      <c r="WNQ8" s="28"/>
      <c r="WNR8" s="28"/>
      <c r="WNS8" s="28"/>
      <c r="WNT8" s="28"/>
      <c r="WNU8" s="28"/>
      <c r="WNV8" s="28"/>
      <c r="WNW8" s="28"/>
      <c r="WNX8" s="28"/>
      <c r="WNY8" s="28"/>
      <c r="WNZ8" s="28"/>
      <c r="WOA8" s="28"/>
      <c r="WOB8" s="28"/>
      <c r="WOC8" s="28"/>
      <c r="WOD8" s="28"/>
      <c r="WOE8" s="28"/>
      <c r="WOF8" s="28"/>
      <c r="WOG8" s="28"/>
      <c r="WOH8" s="28"/>
      <c r="WOI8" s="28"/>
      <c r="WOJ8" s="28"/>
      <c r="WOK8" s="28"/>
      <c r="WOL8" s="28"/>
      <c r="WOM8" s="28"/>
      <c r="WON8" s="28"/>
      <c r="WOO8" s="28"/>
      <c r="WOP8" s="28"/>
      <c r="WOQ8" s="28"/>
      <c r="WOR8" s="28"/>
      <c r="WOS8" s="28"/>
      <c r="WOT8" s="28"/>
      <c r="WOU8" s="28"/>
      <c r="WOV8" s="28"/>
      <c r="WOW8" s="28"/>
      <c r="WOX8" s="28"/>
      <c r="WOY8" s="28"/>
      <c r="WOZ8" s="28"/>
      <c r="WPA8" s="28"/>
      <c r="WPB8" s="28"/>
      <c r="WPC8" s="28"/>
      <c r="WPD8" s="28"/>
      <c r="WPE8" s="28"/>
      <c r="WPF8" s="28"/>
      <c r="WPG8" s="28"/>
      <c r="WPH8" s="28"/>
      <c r="WPI8" s="28"/>
      <c r="WPJ8" s="28"/>
      <c r="WPK8" s="28"/>
      <c r="WPL8" s="28"/>
      <c r="WPM8" s="28"/>
      <c r="WPN8" s="28"/>
      <c r="WPO8" s="28"/>
      <c r="WPP8" s="28"/>
      <c r="WPQ8" s="28"/>
      <c r="WPR8" s="28"/>
      <c r="WPS8" s="28"/>
      <c r="WPT8" s="28"/>
      <c r="WPU8" s="28"/>
      <c r="WPV8" s="28"/>
      <c r="WPW8" s="28"/>
      <c r="WPX8" s="28"/>
      <c r="WPY8" s="28"/>
      <c r="WPZ8" s="28"/>
      <c r="WQA8" s="28"/>
      <c r="WQB8" s="28"/>
      <c r="WQC8" s="28"/>
      <c r="WQD8" s="28"/>
      <c r="WQE8" s="28"/>
      <c r="WQF8" s="28"/>
      <c r="WQG8" s="28"/>
      <c r="WQH8" s="28"/>
      <c r="WQI8" s="28"/>
      <c r="WQJ8" s="28"/>
      <c r="WQK8" s="28"/>
      <c r="WQL8" s="28"/>
      <c r="WQM8" s="28"/>
      <c r="WQN8" s="28"/>
      <c r="WQO8" s="28"/>
      <c r="WQP8" s="28"/>
      <c r="WQQ8" s="28"/>
      <c r="WQR8" s="28"/>
      <c r="WQS8" s="28"/>
      <c r="WQT8" s="28"/>
      <c r="WQU8" s="28"/>
      <c r="WQV8" s="28"/>
      <c r="WQW8" s="28"/>
      <c r="WQX8" s="28"/>
      <c r="WQY8" s="28"/>
      <c r="WQZ8" s="28"/>
      <c r="WRA8" s="28"/>
      <c r="WRB8" s="28"/>
      <c r="WRC8" s="28"/>
      <c r="WRD8" s="28"/>
      <c r="WRE8" s="28"/>
      <c r="WRF8" s="28"/>
      <c r="WRG8" s="28"/>
      <c r="WRH8" s="28"/>
      <c r="WRI8" s="28"/>
      <c r="WRJ8" s="28"/>
      <c r="WRK8" s="28"/>
      <c r="WRL8" s="28"/>
      <c r="WRM8" s="28"/>
      <c r="WRN8" s="28"/>
      <c r="WRO8" s="28"/>
      <c r="WRP8" s="28"/>
      <c r="WRQ8" s="28"/>
      <c r="WRR8" s="28"/>
      <c r="WRS8" s="28"/>
      <c r="WRT8" s="28"/>
      <c r="WRU8" s="28"/>
      <c r="WRV8" s="28"/>
      <c r="WRW8" s="28"/>
      <c r="WRX8" s="28"/>
      <c r="WRY8" s="28"/>
      <c r="WRZ8" s="28"/>
      <c r="WSA8" s="28"/>
      <c r="WSB8" s="28"/>
      <c r="WSC8" s="28"/>
      <c r="WSD8" s="28"/>
      <c r="WSE8" s="28"/>
      <c r="WSF8" s="28"/>
      <c r="WSG8" s="28"/>
      <c r="WSH8" s="28"/>
      <c r="WSI8" s="28"/>
      <c r="WSJ8" s="28"/>
      <c r="WSK8" s="28"/>
      <c r="WSL8" s="28"/>
      <c r="WSM8" s="28"/>
      <c r="WSN8" s="28"/>
      <c r="WSO8" s="28"/>
      <c r="WSP8" s="28"/>
      <c r="WSQ8" s="28"/>
      <c r="WSR8" s="28"/>
      <c r="WSS8" s="28"/>
      <c r="WST8" s="28"/>
      <c r="WSU8" s="28"/>
      <c r="WSV8" s="28"/>
      <c r="WSW8" s="28"/>
      <c r="WSX8" s="28"/>
      <c r="WSY8" s="28"/>
      <c r="WSZ8" s="28"/>
      <c r="WTA8" s="28"/>
      <c r="WTB8" s="28"/>
      <c r="WTC8" s="28"/>
      <c r="WTD8" s="28"/>
      <c r="WTE8" s="28"/>
      <c r="WTF8" s="28"/>
      <c r="WTG8" s="28"/>
      <c r="WTH8" s="28"/>
      <c r="WTI8" s="28"/>
      <c r="WTJ8" s="28"/>
      <c r="WTK8" s="28"/>
      <c r="WTL8" s="28"/>
      <c r="WTM8" s="28"/>
      <c r="WTN8" s="28"/>
      <c r="WTO8" s="28"/>
      <c r="WTP8" s="28"/>
      <c r="WTQ8" s="28"/>
      <c r="WTR8" s="28"/>
      <c r="WTS8" s="28"/>
      <c r="WTT8" s="28"/>
      <c r="WTU8" s="28"/>
      <c r="WTV8" s="28"/>
      <c r="WTW8" s="28"/>
      <c r="WTX8" s="28"/>
      <c r="WTY8" s="28"/>
      <c r="WTZ8" s="28"/>
      <c r="WUA8" s="28"/>
      <c r="WUB8" s="28"/>
      <c r="WUC8" s="28"/>
      <c r="WUD8" s="28"/>
      <c r="WUE8" s="28"/>
      <c r="WUF8" s="28"/>
      <c r="WUG8" s="28"/>
      <c r="WUH8" s="28"/>
      <c r="WUI8" s="28"/>
      <c r="WUJ8" s="28"/>
      <c r="WUK8" s="28"/>
      <c r="WUL8" s="28"/>
      <c r="WUM8" s="28"/>
      <c r="WUN8" s="28"/>
      <c r="WUO8" s="28"/>
      <c r="WUP8" s="28"/>
      <c r="WUQ8" s="28"/>
      <c r="WUR8" s="28"/>
      <c r="WUS8" s="28"/>
      <c r="WUT8" s="28"/>
      <c r="WUU8" s="28"/>
      <c r="WUV8" s="28"/>
      <c r="WUW8" s="28"/>
      <c r="WUX8" s="28"/>
      <c r="WUY8" s="28"/>
      <c r="WUZ8" s="28"/>
      <c r="WVA8" s="28"/>
      <c r="WVB8" s="28"/>
      <c r="WVC8" s="28"/>
      <c r="WVD8" s="28"/>
      <c r="WVE8" s="28"/>
      <c r="WVF8" s="28"/>
      <c r="WVG8" s="28"/>
      <c r="WVH8" s="28"/>
      <c r="WVI8" s="28"/>
      <c r="WVJ8" s="28"/>
      <c r="WVK8" s="28"/>
      <c r="WVL8" s="28"/>
      <c r="WVM8" s="28"/>
      <c r="WVN8" s="28"/>
      <c r="WVO8" s="28"/>
      <c r="WVP8" s="28"/>
      <c r="WVQ8" s="28"/>
      <c r="WVR8" s="28"/>
      <c r="WVS8" s="28"/>
      <c r="WVT8" s="28"/>
      <c r="WVU8" s="28"/>
      <c r="WVV8" s="28"/>
      <c r="WVW8" s="28"/>
      <c r="WVX8" s="28"/>
      <c r="WVY8" s="28"/>
      <c r="WVZ8" s="28"/>
      <c r="WWA8" s="28"/>
      <c r="WWB8" s="28"/>
      <c r="WWC8" s="28"/>
      <c r="WWD8" s="28"/>
      <c r="WWE8" s="28"/>
      <c r="WWF8" s="28"/>
      <c r="WWG8" s="28"/>
      <c r="WWH8" s="28"/>
      <c r="WWI8" s="28"/>
      <c r="WWJ8" s="28"/>
      <c r="WWK8" s="28"/>
      <c r="WWL8" s="28"/>
      <c r="WWM8" s="28"/>
      <c r="WWN8" s="28"/>
      <c r="WWO8" s="28"/>
      <c r="WWP8" s="28"/>
      <c r="WWQ8" s="28"/>
      <c r="WWR8" s="28"/>
      <c r="WWS8" s="28"/>
      <c r="WWT8" s="28"/>
      <c r="WWU8" s="28"/>
      <c r="WWV8" s="28"/>
      <c r="WWW8" s="28"/>
      <c r="WWX8" s="28"/>
      <c r="WWY8" s="28"/>
      <c r="WWZ8" s="28"/>
      <c r="WXA8" s="28"/>
      <c r="WXB8" s="28"/>
      <c r="WXC8" s="28"/>
      <c r="WXD8" s="28"/>
      <c r="WXE8" s="28"/>
      <c r="WXF8" s="28"/>
      <c r="WXG8" s="28"/>
      <c r="WXH8" s="28"/>
      <c r="WXI8" s="28"/>
      <c r="WXJ8" s="28"/>
      <c r="WXK8" s="28"/>
      <c r="WXL8" s="28"/>
      <c r="WXM8" s="28"/>
      <c r="WXN8" s="28"/>
      <c r="WXO8" s="28"/>
      <c r="WXP8" s="28"/>
      <c r="WXQ8" s="28"/>
      <c r="WXR8" s="28"/>
      <c r="WXS8" s="28"/>
      <c r="WXT8" s="28"/>
      <c r="WXU8" s="28"/>
      <c r="WXV8" s="28"/>
      <c r="WXW8" s="28"/>
      <c r="WXX8" s="28"/>
      <c r="WXY8" s="28"/>
      <c r="WXZ8" s="28"/>
      <c r="WYA8" s="28"/>
      <c r="WYB8" s="28"/>
      <c r="WYC8" s="28"/>
      <c r="WYD8" s="28"/>
      <c r="WYE8" s="28"/>
      <c r="WYF8" s="28"/>
      <c r="WYG8" s="28"/>
      <c r="WYH8" s="28"/>
      <c r="WYI8" s="28"/>
      <c r="WYJ8" s="28"/>
      <c r="WYK8" s="28"/>
      <c r="WYL8" s="28"/>
      <c r="WYM8" s="28"/>
      <c r="WYN8" s="28"/>
      <c r="WYO8" s="28"/>
      <c r="WYP8" s="28"/>
      <c r="WYQ8" s="28"/>
      <c r="WYR8" s="28"/>
      <c r="WYS8" s="28"/>
      <c r="WYT8" s="28"/>
      <c r="WYU8" s="28"/>
      <c r="WYV8" s="28"/>
      <c r="WYW8" s="28"/>
      <c r="WYX8" s="28"/>
      <c r="WYY8" s="28"/>
      <c r="WYZ8" s="28"/>
      <c r="WZA8" s="28"/>
      <c r="WZB8" s="28"/>
      <c r="WZC8" s="28"/>
      <c r="WZD8" s="28"/>
      <c r="WZE8" s="28"/>
      <c r="WZF8" s="28"/>
      <c r="WZG8" s="28"/>
      <c r="WZH8" s="28"/>
      <c r="WZI8" s="28"/>
      <c r="WZJ8" s="28"/>
      <c r="WZK8" s="28"/>
      <c r="WZL8" s="28"/>
      <c r="WZM8" s="28"/>
      <c r="WZN8" s="28"/>
      <c r="WZO8" s="28"/>
      <c r="WZP8" s="28"/>
      <c r="WZQ8" s="28"/>
      <c r="WZR8" s="28"/>
      <c r="WZS8" s="28"/>
      <c r="WZT8" s="28"/>
      <c r="WZU8" s="28"/>
      <c r="WZV8" s="28"/>
      <c r="WZW8" s="28"/>
      <c r="WZX8" s="28"/>
      <c r="WZY8" s="28"/>
      <c r="WZZ8" s="28"/>
      <c r="XAA8" s="28"/>
      <c r="XAB8" s="28"/>
      <c r="XAC8" s="28"/>
      <c r="XAD8" s="28"/>
      <c r="XAE8" s="28"/>
      <c r="XAF8" s="28"/>
      <c r="XAG8" s="28"/>
      <c r="XAH8" s="28"/>
      <c r="XAI8" s="28"/>
      <c r="XAJ8" s="28"/>
      <c r="XAK8" s="28"/>
      <c r="XAL8" s="28"/>
      <c r="XAM8" s="28"/>
      <c r="XAN8" s="28"/>
      <c r="XAO8" s="28"/>
      <c r="XAP8" s="28"/>
      <c r="XAQ8" s="28"/>
      <c r="XAR8" s="28"/>
      <c r="XAS8" s="28"/>
      <c r="XAT8" s="28"/>
      <c r="XAU8" s="28"/>
      <c r="XAV8" s="28"/>
      <c r="XAW8" s="28"/>
      <c r="XAX8" s="28"/>
      <c r="XAY8" s="28"/>
      <c r="XAZ8" s="28"/>
      <c r="XBA8" s="28"/>
      <c r="XBB8" s="28"/>
      <c r="XBC8" s="28"/>
      <c r="XBD8" s="28"/>
      <c r="XBE8" s="28"/>
      <c r="XBF8" s="28"/>
      <c r="XBG8" s="28"/>
      <c r="XBH8" s="28"/>
      <c r="XBI8" s="28"/>
      <c r="XBJ8" s="28"/>
      <c r="XBK8" s="28"/>
      <c r="XBL8" s="28"/>
      <c r="XBM8" s="28"/>
      <c r="XBN8" s="28"/>
      <c r="XBO8" s="28"/>
      <c r="XBP8" s="28"/>
      <c r="XBQ8" s="28"/>
      <c r="XBR8" s="28"/>
      <c r="XBS8" s="28"/>
      <c r="XBT8" s="28"/>
      <c r="XBU8" s="28"/>
      <c r="XBV8" s="28"/>
      <c r="XBW8" s="28"/>
      <c r="XBX8" s="28"/>
      <c r="XBY8" s="28"/>
      <c r="XBZ8" s="28"/>
      <c r="XCA8" s="28"/>
      <c r="XCB8" s="28"/>
      <c r="XCC8" s="28"/>
      <c r="XCD8" s="28"/>
      <c r="XCE8" s="28"/>
      <c r="XCF8" s="28"/>
      <c r="XCG8" s="28"/>
      <c r="XCH8" s="28"/>
      <c r="XCI8" s="28"/>
      <c r="XCJ8" s="28"/>
      <c r="XCK8" s="28"/>
      <c r="XCL8" s="28"/>
      <c r="XCM8" s="28"/>
      <c r="XCN8" s="28"/>
      <c r="XCO8" s="28"/>
      <c r="XCP8" s="28"/>
      <c r="XCQ8" s="28"/>
      <c r="XCR8" s="28"/>
      <c r="XCS8" s="28"/>
      <c r="XCT8" s="28"/>
      <c r="XCU8" s="28"/>
      <c r="XCV8" s="28"/>
      <c r="XCW8" s="28"/>
      <c r="XCX8" s="28"/>
      <c r="XCY8" s="28"/>
      <c r="XCZ8" s="28"/>
      <c r="XDA8" s="28"/>
      <c r="XDB8" s="28"/>
      <c r="XDC8" s="28"/>
      <c r="XDD8" s="28"/>
      <c r="XDE8" s="28"/>
      <c r="XDF8" s="28"/>
      <c r="XDG8" s="28"/>
      <c r="XDH8" s="28"/>
      <c r="XDI8" s="28"/>
      <c r="XDJ8" s="28"/>
      <c r="XDK8" s="28"/>
      <c r="XDL8" s="28"/>
      <c r="XDM8" s="28"/>
      <c r="XDN8" s="28"/>
      <c r="XDO8" s="28"/>
      <c r="XDP8" s="28"/>
      <c r="XDQ8" s="28"/>
      <c r="XDR8" s="28"/>
      <c r="XDS8" s="28"/>
      <c r="XDT8" s="28"/>
      <c r="XDU8" s="28"/>
      <c r="XDV8" s="28"/>
      <c r="XDW8" s="28"/>
      <c r="XDX8" s="28"/>
      <c r="XDY8" s="28"/>
      <c r="XDZ8" s="28"/>
      <c r="XEA8" s="28"/>
      <c r="XEB8" s="28"/>
      <c r="XEC8" s="28"/>
      <c r="XED8" s="28"/>
      <c r="XEE8" s="28"/>
      <c r="XEF8" s="28"/>
      <c r="XEG8" s="28"/>
      <c r="XEH8" s="28"/>
      <c r="XEI8" s="28"/>
      <c r="XEJ8" s="28"/>
      <c r="XEK8" s="28"/>
      <c r="XEL8" s="28"/>
      <c r="XEM8" s="28"/>
      <c r="XEN8" s="28"/>
      <c r="XEO8" s="28"/>
      <c r="XEP8" s="28"/>
      <c r="XEQ8" s="28"/>
      <c r="XER8" s="28"/>
      <c r="XES8" s="28"/>
      <c r="XET8" s="28"/>
      <c r="XEU8" s="28"/>
      <c r="XEV8" s="28"/>
      <c r="XEW8" s="28"/>
      <c r="XEX8" s="28"/>
      <c r="XEY8" s="28"/>
      <c r="XEZ8" s="28"/>
      <c r="XFA8" s="28"/>
      <c r="XFB8" s="28"/>
    </row>
    <row r="9" spans="1:16382" ht="30" customHeight="1" x14ac:dyDescent="0.25">
      <c r="B9" s="46" t="s">
        <v>51</v>
      </c>
      <c r="C9" s="43"/>
      <c r="D9" s="30"/>
      <c r="E9" s="37"/>
      <c r="F9" s="37"/>
      <c r="G9" s="37"/>
      <c r="H9" s="37"/>
      <c r="I9" s="37"/>
      <c r="J9" s="37"/>
      <c r="K9" s="37"/>
      <c r="L9" s="37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17"/>
      <c r="MT9" s="17"/>
      <c r="MU9" s="17"/>
      <c r="MV9" s="17"/>
      <c r="MW9" s="17"/>
      <c r="MX9" s="17"/>
      <c r="MY9" s="17"/>
      <c r="MZ9" s="17"/>
      <c r="NA9" s="17"/>
      <c r="NB9" s="17"/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17"/>
      <c r="OX9" s="17"/>
      <c r="OY9" s="17"/>
      <c r="OZ9" s="17"/>
      <c r="PA9" s="17"/>
      <c r="PB9" s="17"/>
      <c r="PC9" s="17"/>
      <c r="PD9" s="17"/>
      <c r="PE9" s="17"/>
      <c r="PF9" s="17"/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17"/>
      <c r="RA9" s="17"/>
      <c r="RB9" s="17"/>
      <c r="RC9" s="17"/>
      <c r="RD9" s="17"/>
      <c r="RE9" s="17"/>
      <c r="RF9" s="17"/>
      <c r="RG9" s="17"/>
      <c r="RH9" s="17"/>
      <c r="RI9" s="17"/>
      <c r="RJ9" s="17"/>
      <c r="RK9" s="17"/>
      <c r="RL9" s="17"/>
      <c r="RM9" s="17"/>
      <c r="RN9" s="17"/>
      <c r="RO9" s="17"/>
      <c r="RP9" s="17"/>
      <c r="RQ9" s="17"/>
      <c r="RR9" s="17"/>
      <c r="RS9" s="17"/>
      <c r="RT9" s="17"/>
      <c r="RU9" s="17"/>
      <c r="RV9" s="17"/>
      <c r="RW9" s="17"/>
      <c r="RX9" s="17"/>
      <c r="RY9" s="17"/>
      <c r="RZ9" s="17"/>
      <c r="SA9" s="17"/>
      <c r="SB9" s="17"/>
      <c r="SC9" s="17"/>
      <c r="SD9" s="17"/>
      <c r="SE9" s="17"/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17"/>
      <c r="TQ9" s="17"/>
      <c r="TR9" s="17"/>
      <c r="TS9" s="17"/>
      <c r="TT9" s="17"/>
      <c r="TU9" s="17"/>
      <c r="TV9" s="17"/>
      <c r="TW9" s="17"/>
      <c r="TX9" s="17"/>
      <c r="TY9" s="17"/>
      <c r="TZ9" s="17"/>
      <c r="UA9" s="17"/>
      <c r="UB9" s="17"/>
      <c r="UC9" s="17"/>
      <c r="UD9" s="17"/>
      <c r="UE9" s="17"/>
      <c r="UF9" s="17"/>
      <c r="UG9" s="17"/>
      <c r="UH9" s="17"/>
      <c r="UI9" s="17"/>
      <c r="UJ9" s="17"/>
      <c r="UK9" s="17"/>
      <c r="UL9" s="17"/>
      <c r="UM9" s="17"/>
      <c r="UN9" s="17"/>
      <c r="UO9" s="17"/>
      <c r="UP9" s="17"/>
      <c r="UQ9" s="17"/>
      <c r="UR9" s="17"/>
      <c r="US9" s="17"/>
      <c r="UT9" s="17"/>
      <c r="UU9" s="17"/>
      <c r="UV9" s="17"/>
      <c r="UW9" s="17"/>
      <c r="UX9" s="17"/>
      <c r="UY9" s="17"/>
      <c r="UZ9" s="17"/>
      <c r="VA9" s="17"/>
      <c r="VB9" s="17"/>
      <c r="VC9" s="17"/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17"/>
      <c r="WG9" s="17"/>
      <c r="WH9" s="17"/>
      <c r="WI9" s="17"/>
      <c r="WJ9" s="17"/>
      <c r="WK9" s="17"/>
      <c r="WL9" s="17"/>
      <c r="WM9" s="17"/>
      <c r="WN9" s="17"/>
      <c r="WO9" s="17"/>
      <c r="WP9" s="17"/>
      <c r="WQ9" s="17"/>
      <c r="WR9" s="17"/>
      <c r="WS9" s="17"/>
      <c r="WT9" s="17"/>
      <c r="WU9" s="17"/>
      <c r="WV9" s="17"/>
      <c r="WW9" s="17"/>
      <c r="WX9" s="17"/>
      <c r="WY9" s="17"/>
      <c r="WZ9" s="17"/>
      <c r="XA9" s="17"/>
      <c r="XB9" s="17"/>
      <c r="XC9" s="17"/>
      <c r="XD9" s="17"/>
      <c r="XE9" s="17"/>
      <c r="XF9" s="17"/>
      <c r="XG9" s="17"/>
      <c r="XH9" s="17"/>
      <c r="XI9" s="17"/>
      <c r="XJ9" s="17"/>
      <c r="XK9" s="17"/>
      <c r="XL9" s="17"/>
      <c r="XM9" s="17"/>
      <c r="XN9" s="17"/>
      <c r="XO9" s="17"/>
      <c r="XP9" s="17"/>
      <c r="XQ9" s="17"/>
      <c r="XR9" s="17"/>
      <c r="XS9" s="17"/>
      <c r="XT9" s="17"/>
      <c r="XU9" s="17"/>
      <c r="XV9" s="17"/>
      <c r="XW9" s="17"/>
      <c r="XX9" s="17"/>
      <c r="XY9" s="17"/>
      <c r="XZ9" s="17"/>
      <c r="YA9" s="17"/>
      <c r="YB9" s="17"/>
      <c r="YC9" s="17"/>
      <c r="YD9" s="17"/>
      <c r="YE9" s="17"/>
      <c r="YF9" s="17"/>
      <c r="YG9" s="17"/>
      <c r="YH9" s="17"/>
      <c r="YI9" s="17"/>
      <c r="YJ9" s="17"/>
      <c r="YK9" s="17"/>
      <c r="YL9" s="17"/>
      <c r="YM9" s="17"/>
      <c r="YN9" s="17"/>
      <c r="YO9" s="17"/>
      <c r="YP9" s="17"/>
      <c r="YQ9" s="17"/>
      <c r="YR9" s="17"/>
      <c r="YS9" s="17"/>
      <c r="YT9" s="17"/>
      <c r="YU9" s="17"/>
      <c r="YV9" s="17"/>
      <c r="YW9" s="17"/>
      <c r="YX9" s="17"/>
      <c r="YY9" s="17"/>
      <c r="YZ9" s="17"/>
      <c r="ZA9" s="17"/>
      <c r="ZB9" s="17"/>
      <c r="ZC9" s="17"/>
      <c r="ZD9" s="17"/>
      <c r="ZE9" s="17"/>
      <c r="ZF9" s="17"/>
      <c r="ZG9" s="17"/>
      <c r="ZH9" s="17"/>
      <c r="ZI9" s="17"/>
      <c r="ZJ9" s="17"/>
      <c r="ZK9" s="17"/>
      <c r="ZL9" s="17"/>
      <c r="ZM9" s="17"/>
      <c r="ZN9" s="17"/>
      <c r="ZO9" s="17"/>
      <c r="ZP9" s="17"/>
      <c r="ZQ9" s="17"/>
      <c r="ZR9" s="17"/>
      <c r="ZS9" s="17"/>
      <c r="ZT9" s="17"/>
      <c r="ZU9" s="17"/>
      <c r="ZV9" s="17"/>
      <c r="ZW9" s="17"/>
      <c r="ZX9" s="17"/>
      <c r="ZY9" s="17"/>
      <c r="ZZ9" s="17"/>
      <c r="AAA9" s="17"/>
      <c r="AAB9" s="17"/>
      <c r="AAC9" s="17"/>
      <c r="AAD9" s="17"/>
      <c r="AAE9" s="17"/>
      <c r="AAF9" s="17"/>
      <c r="AAG9" s="17"/>
      <c r="AAH9" s="17"/>
      <c r="AAI9" s="17"/>
      <c r="AAJ9" s="17"/>
      <c r="AAK9" s="17"/>
      <c r="AAL9" s="17"/>
      <c r="AAM9" s="17"/>
      <c r="AAN9" s="17"/>
      <c r="AAO9" s="17"/>
      <c r="AAP9" s="17"/>
      <c r="AAQ9" s="17"/>
      <c r="AAR9" s="17"/>
      <c r="AAS9" s="17"/>
      <c r="AAT9" s="17"/>
      <c r="AAU9" s="17"/>
      <c r="AAV9" s="17"/>
      <c r="AAW9" s="17"/>
      <c r="AAX9" s="17"/>
      <c r="AAY9" s="17"/>
      <c r="AAZ9" s="17"/>
      <c r="ABA9" s="17"/>
      <c r="ABB9" s="17"/>
      <c r="ABC9" s="17"/>
      <c r="ABD9" s="17"/>
      <c r="ABE9" s="17"/>
      <c r="ABF9" s="17"/>
      <c r="ABG9" s="17"/>
      <c r="ABH9" s="17"/>
      <c r="ABI9" s="17"/>
      <c r="ABJ9" s="17"/>
      <c r="ABK9" s="17"/>
      <c r="ABL9" s="17"/>
      <c r="ABM9" s="17"/>
      <c r="ABN9" s="17"/>
      <c r="ABO9" s="17"/>
      <c r="ABP9" s="17"/>
      <c r="ABQ9" s="17"/>
      <c r="ABR9" s="17"/>
      <c r="ABS9" s="17"/>
      <c r="ABT9" s="17"/>
      <c r="ABU9" s="17"/>
      <c r="ABV9" s="17"/>
      <c r="ABW9" s="17"/>
      <c r="ABX9" s="17"/>
      <c r="ABY9" s="17"/>
      <c r="ABZ9" s="17"/>
      <c r="ACA9" s="17"/>
      <c r="ACB9" s="17"/>
      <c r="ACC9" s="17"/>
      <c r="ACD9" s="17"/>
      <c r="ACE9" s="17"/>
      <c r="ACF9" s="17"/>
      <c r="ACG9" s="17"/>
      <c r="ACH9" s="17"/>
      <c r="ACI9" s="17"/>
      <c r="ACJ9" s="17"/>
      <c r="ACK9" s="17"/>
      <c r="ACL9" s="17"/>
      <c r="ACM9" s="17"/>
      <c r="ACN9" s="17"/>
      <c r="ACO9" s="17"/>
      <c r="ACP9" s="17"/>
      <c r="ACQ9" s="17"/>
      <c r="ACR9" s="17"/>
      <c r="ACS9" s="17"/>
      <c r="ACT9" s="17"/>
      <c r="ACU9" s="17"/>
      <c r="ACV9" s="17"/>
      <c r="ACW9" s="17"/>
      <c r="ACX9" s="17"/>
      <c r="ACY9" s="17"/>
      <c r="ACZ9" s="17"/>
      <c r="ADA9" s="17"/>
      <c r="ADB9" s="17"/>
      <c r="ADC9" s="17"/>
      <c r="ADD9" s="17"/>
      <c r="ADE9" s="17"/>
      <c r="ADF9" s="17"/>
      <c r="ADG9" s="17"/>
      <c r="ADH9" s="17"/>
      <c r="ADI9" s="17"/>
      <c r="ADJ9" s="17"/>
      <c r="ADK9" s="17"/>
      <c r="ADL9" s="17"/>
      <c r="ADM9" s="17"/>
      <c r="ADN9" s="17"/>
      <c r="ADO9" s="17"/>
      <c r="ADP9" s="17"/>
      <c r="ADQ9" s="17"/>
      <c r="ADR9" s="17"/>
      <c r="ADS9" s="17"/>
      <c r="ADT9" s="17"/>
      <c r="ADU9" s="17"/>
      <c r="ADV9" s="17"/>
      <c r="ADW9" s="17"/>
      <c r="ADX9" s="17"/>
      <c r="ADY9" s="17"/>
      <c r="ADZ9" s="17"/>
      <c r="AEA9" s="17"/>
      <c r="AEB9" s="17"/>
      <c r="AEC9" s="17"/>
      <c r="AED9" s="17"/>
      <c r="AEE9" s="17"/>
      <c r="AEF9" s="17"/>
      <c r="AEG9" s="17"/>
      <c r="AEH9" s="17"/>
      <c r="AEI9" s="17"/>
      <c r="AEJ9" s="17"/>
      <c r="AEK9" s="17"/>
      <c r="AEL9" s="17"/>
      <c r="AEM9" s="17"/>
      <c r="AEN9" s="17"/>
      <c r="AEO9" s="17"/>
      <c r="AEP9" s="17"/>
      <c r="AEQ9" s="17"/>
      <c r="AER9" s="17"/>
      <c r="AES9" s="17"/>
      <c r="AET9" s="17"/>
      <c r="AEU9" s="17"/>
      <c r="AEV9" s="17"/>
      <c r="AEW9" s="17"/>
      <c r="AEX9" s="17"/>
      <c r="AEY9" s="17"/>
      <c r="AEZ9" s="17"/>
      <c r="AFA9" s="17"/>
      <c r="AFB9" s="17"/>
      <c r="AFC9" s="17"/>
      <c r="AFD9" s="17"/>
      <c r="AFE9" s="17"/>
      <c r="AFF9" s="17"/>
      <c r="AFG9" s="17"/>
      <c r="AFH9" s="17"/>
      <c r="AFI9" s="17"/>
      <c r="AFJ9" s="17"/>
      <c r="AFK9" s="17"/>
      <c r="AFL9" s="17"/>
      <c r="AFM9" s="17"/>
      <c r="AFN9" s="17"/>
      <c r="AFO9" s="17"/>
      <c r="AFP9" s="17"/>
      <c r="AFQ9" s="17"/>
      <c r="AFR9" s="17"/>
      <c r="AFS9" s="17"/>
      <c r="AFT9" s="17"/>
      <c r="AFU9" s="17"/>
      <c r="AFV9" s="17"/>
      <c r="AFW9" s="17"/>
      <c r="AFX9" s="17"/>
      <c r="AFY9" s="17"/>
      <c r="AFZ9" s="17"/>
      <c r="AGA9" s="17"/>
      <c r="AGB9" s="17"/>
      <c r="AGC9" s="17"/>
      <c r="AGD9" s="17"/>
      <c r="AGE9" s="17"/>
      <c r="AGF9" s="17"/>
      <c r="AGG9" s="17"/>
      <c r="AGH9" s="17"/>
      <c r="AGI9" s="17"/>
      <c r="AGJ9" s="17"/>
      <c r="AGK9" s="17"/>
      <c r="AGL9" s="17"/>
      <c r="AGM9" s="17"/>
      <c r="AGN9" s="17"/>
      <c r="AGO9" s="17"/>
      <c r="AGP9" s="17"/>
      <c r="AGQ9" s="17"/>
      <c r="AGR9" s="17"/>
      <c r="AGS9" s="17"/>
      <c r="AGT9" s="17"/>
      <c r="AGU9" s="17"/>
      <c r="AGV9" s="17"/>
      <c r="AGW9" s="17"/>
      <c r="AGX9" s="17"/>
      <c r="AGY9" s="17"/>
      <c r="AGZ9" s="17"/>
      <c r="AHA9" s="17"/>
      <c r="AHB9" s="17"/>
      <c r="AHC9" s="17"/>
      <c r="AHD9" s="17"/>
      <c r="AHE9" s="17"/>
      <c r="AHF9" s="17"/>
      <c r="AHG9" s="17"/>
      <c r="AHH9" s="17"/>
      <c r="AHI9" s="17"/>
      <c r="AHJ9" s="17"/>
      <c r="AHK9" s="17"/>
      <c r="AHL9" s="17"/>
      <c r="AHM9" s="17"/>
      <c r="AHN9" s="17"/>
      <c r="AHO9" s="17"/>
      <c r="AHP9" s="17"/>
      <c r="AHQ9" s="17"/>
      <c r="AHR9" s="17"/>
      <c r="AHS9" s="17"/>
      <c r="AHT9" s="17"/>
      <c r="AHU9" s="17"/>
      <c r="AHV9" s="17"/>
      <c r="AHW9" s="17"/>
      <c r="AHX9" s="17"/>
      <c r="AHY9" s="17"/>
      <c r="AHZ9" s="17"/>
      <c r="AIA9" s="17"/>
      <c r="AIB9" s="17"/>
      <c r="AIC9" s="17"/>
      <c r="AID9" s="17"/>
      <c r="AIE9" s="17"/>
      <c r="AIF9" s="17"/>
      <c r="AIG9" s="17"/>
      <c r="AIH9" s="17"/>
      <c r="AII9" s="17"/>
      <c r="AIJ9" s="17"/>
      <c r="AIK9" s="17"/>
      <c r="AIL9" s="17"/>
      <c r="AIM9" s="17"/>
      <c r="AIN9" s="17"/>
      <c r="AIO9" s="17"/>
      <c r="AIP9" s="17"/>
      <c r="AIQ9" s="17"/>
      <c r="AIR9" s="17"/>
      <c r="AIS9" s="17"/>
      <c r="AIT9" s="17"/>
      <c r="AIU9" s="17"/>
      <c r="AIV9" s="17"/>
      <c r="AIW9" s="17"/>
      <c r="AIX9" s="17"/>
      <c r="AIY9" s="17"/>
      <c r="AIZ9" s="17"/>
      <c r="AJA9" s="17"/>
      <c r="AJB9" s="17"/>
      <c r="AJC9" s="17"/>
      <c r="AJD9" s="17"/>
      <c r="AJE9" s="17"/>
      <c r="AJF9" s="17"/>
      <c r="AJG9" s="17"/>
      <c r="AJH9" s="17"/>
      <c r="AJI9" s="17"/>
      <c r="AJJ9" s="17"/>
      <c r="AJK9" s="17"/>
      <c r="AJL9" s="17"/>
      <c r="AJM9" s="17"/>
      <c r="AJN9" s="17"/>
      <c r="AJO9" s="17"/>
      <c r="AJP9" s="17"/>
      <c r="AJQ9" s="17"/>
      <c r="AJR9" s="17"/>
      <c r="AJS9" s="17"/>
      <c r="AJT9" s="17"/>
      <c r="AJU9" s="17"/>
      <c r="AJV9" s="17"/>
      <c r="AJW9" s="17"/>
      <c r="AJX9" s="17"/>
      <c r="AJY9" s="17"/>
      <c r="AJZ9" s="17"/>
      <c r="AKA9" s="17"/>
      <c r="AKB9" s="17"/>
      <c r="AKC9" s="17"/>
      <c r="AKD9" s="17"/>
      <c r="AKE9" s="17"/>
      <c r="AKF9" s="17"/>
      <c r="AKG9" s="17"/>
      <c r="AKH9" s="17"/>
      <c r="AKI9" s="17"/>
      <c r="AKJ9" s="17"/>
      <c r="AKK9" s="17"/>
      <c r="AKL9" s="17"/>
      <c r="AKM9" s="17"/>
      <c r="AKN9" s="17"/>
      <c r="AKO9" s="17"/>
      <c r="AKP9" s="17"/>
      <c r="AKQ9" s="17"/>
      <c r="AKR9" s="17"/>
      <c r="AKS9" s="17"/>
      <c r="AKT9" s="17"/>
      <c r="AKU9" s="17"/>
      <c r="AKV9" s="17"/>
      <c r="AKW9" s="17"/>
      <c r="AKX9" s="17"/>
      <c r="AKY9" s="17"/>
      <c r="AKZ9" s="17"/>
      <c r="ALA9" s="17"/>
      <c r="ALB9" s="17"/>
      <c r="ALC9" s="17"/>
      <c r="ALD9" s="17"/>
      <c r="ALE9" s="17"/>
      <c r="ALF9" s="17"/>
      <c r="ALG9" s="17"/>
      <c r="ALH9" s="17"/>
      <c r="ALI9" s="17"/>
      <c r="ALJ9" s="17"/>
      <c r="ALK9" s="17"/>
      <c r="ALL9" s="17"/>
      <c r="ALM9" s="17"/>
      <c r="ALN9" s="17"/>
      <c r="ALO9" s="17"/>
      <c r="ALP9" s="17"/>
      <c r="ALQ9" s="17"/>
      <c r="ALR9" s="17"/>
      <c r="ALS9" s="17"/>
      <c r="ALT9" s="17"/>
      <c r="ALU9" s="17"/>
      <c r="ALV9" s="17"/>
      <c r="ALW9" s="17"/>
      <c r="ALX9" s="17"/>
      <c r="ALY9" s="17"/>
      <c r="ALZ9" s="17"/>
      <c r="AMA9" s="17"/>
      <c r="AMB9" s="17"/>
      <c r="AMC9" s="17"/>
      <c r="AMD9" s="17"/>
      <c r="AME9" s="17"/>
      <c r="AMF9" s="17"/>
      <c r="AMG9" s="17"/>
      <c r="AMH9" s="17"/>
      <c r="AMI9" s="17"/>
      <c r="AMJ9" s="17"/>
      <c r="AMK9" s="17"/>
      <c r="AML9" s="17"/>
      <c r="AMM9" s="17"/>
      <c r="AMN9" s="17"/>
      <c r="AMO9" s="17"/>
      <c r="AMP9" s="17"/>
      <c r="AMQ9" s="17"/>
      <c r="AMR9" s="17"/>
      <c r="AMS9" s="17"/>
      <c r="AMT9" s="17"/>
      <c r="AMU9" s="17"/>
      <c r="AMV9" s="17"/>
      <c r="AMW9" s="17"/>
      <c r="AMX9" s="17"/>
      <c r="AMY9" s="17"/>
      <c r="AMZ9" s="17"/>
      <c r="ANA9" s="17"/>
      <c r="ANB9" s="17"/>
      <c r="ANC9" s="17"/>
      <c r="AND9" s="17"/>
      <c r="ANE9" s="17"/>
      <c r="ANF9" s="17"/>
      <c r="ANG9" s="17"/>
      <c r="ANH9" s="17"/>
      <c r="ANI9" s="17"/>
      <c r="ANJ9" s="17"/>
      <c r="ANK9" s="17"/>
      <c r="ANL9" s="17"/>
      <c r="ANM9" s="17"/>
      <c r="ANN9" s="17"/>
      <c r="ANO9" s="17"/>
      <c r="ANP9" s="17"/>
      <c r="ANQ9" s="17"/>
      <c r="ANR9" s="17"/>
      <c r="ANS9" s="17"/>
      <c r="ANT9" s="17"/>
      <c r="ANU9" s="17"/>
      <c r="ANV9" s="17"/>
      <c r="ANW9" s="17"/>
      <c r="ANX9" s="17"/>
      <c r="ANY9" s="17"/>
      <c r="ANZ9" s="17"/>
      <c r="AOA9" s="17"/>
      <c r="AOB9" s="17"/>
      <c r="AOC9" s="17"/>
      <c r="AOD9" s="17"/>
      <c r="AOE9" s="17"/>
      <c r="AOF9" s="17"/>
      <c r="AOG9" s="17"/>
      <c r="AOH9" s="17"/>
      <c r="AOI9" s="17"/>
      <c r="AOJ9" s="17"/>
      <c r="AOK9" s="17"/>
      <c r="AOL9" s="17"/>
      <c r="AOM9" s="17"/>
      <c r="AON9" s="17"/>
      <c r="AOO9" s="17"/>
      <c r="AOP9" s="17"/>
      <c r="AOQ9" s="17"/>
      <c r="AOR9" s="17"/>
      <c r="AOS9" s="17"/>
      <c r="AOT9" s="17"/>
      <c r="AOU9" s="17"/>
      <c r="AOV9" s="17"/>
      <c r="AOW9" s="17"/>
      <c r="AOX9" s="17"/>
      <c r="AOY9" s="17"/>
      <c r="AOZ9" s="17"/>
      <c r="APA9" s="17"/>
      <c r="APB9" s="17"/>
      <c r="APC9" s="17"/>
      <c r="APD9" s="17"/>
      <c r="APE9" s="17"/>
      <c r="APF9" s="17"/>
      <c r="APG9" s="17"/>
      <c r="APH9" s="17"/>
      <c r="API9" s="17"/>
      <c r="APJ9" s="17"/>
      <c r="APK9" s="17"/>
      <c r="APL9" s="17"/>
      <c r="APM9" s="17"/>
      <c r="APN9" s="17"/>
      <c r="APO9" s="17"/>
      <c r="APP9" s="17"/>
      <c r="APQ9" s="17"/>
      <c r="APR9" s="17"/>
      <c r="APS9" s="17"/>
      <c r="APT9" s="17"/>
      <c r="APU9" s="17"/>
      <c r="APV9" s="17"/>
      <c r="APW9" s="17"/>
      <c r="APX9" s="17"/>
      <c r="APY9" s="17"/>
      <c r="APZ9" s="17"/>
      <c r="AQA9" s="17"/>
      <c r="AQB9" s="17"/>
      <c r="AQC9" s="17"/>
      <c r="AQD9" s="17"/>
      <c r="AQE9" s="17"/>
      <c r="AQF9" s="17"/>
      <c r="AQG9" s="17"/>
      <c r="AQH9" s="17"/>
      <c r="AQI9" s="17"/>
      <c r="AQJ9" s="17"/>
      <c r="AQK9" s="17"/>
      <c r="AQL9" s="17"/>
      <c r="AQM9" s="17"/>
      <c r="AQN9" s="17"/>
      <c r="AQO9" s="17"/>
      <c r="AQP9" s="17"/>
      <c r="AQQ9" s="17"/>
      <c r="AQR9" s="17"/>
      <c r="AQS9" s="17"/>
      <c r="AQT9" s="17"/>
      <c r="AQU9" s="17"/>
      <c r="AQV9" s="17"/>
      <c r="AQW9" s="17"/>
      <c r="AQX9" s="17"/>
      <c r="AQY9" s="17"/>
      <c r="AQZ9" s="17"/>
      <c r="ARA9" s="17"/>
      <c r="ARB9" s="17"/>
      <c r="ARC9" s="17"/>
      <c r="ARD9" s="17"/>
      <c r="ARE9" s="17"/>
      <c r="ARF9" s="17"/>
      <c r="ARG9" s="17"/>
      <c r="ARH9" s="17"/>
      <c r="ARI9" s="17"/>
      <c r="ARJ9" s="17"/>
      <c r="ARK9" s="17"/>
      <c r="ARL9" s="17"/>
      <c r="ARM9" s="17"/>
      <c r="ARN9" s="17"/>
      <c r="ARO9" s="17"/>
      <c r="ARP9" s="17"/>
      <c r="ARQ9" s="17"/>
      <c r="ARR9" s="17"/>
      <c r="ARS9" s="17"/>
      <c r="ART9" s="17"/>
      <c r="ARU9" s="17"/>
      <c r="ARV9" s="17"/>
      <c r="ARW9" s="17"/>
      <c r="ARX9" s="17"/>
      <c r="ARY9" s="17"/>
      <c r="ARZ9" s="17"/>
      <c r="ASA9" s="17"/>
      <c r="ASB9" s="17"/>
      <c r="ASC9" s="17"/>
      <c r="ASD9" s="17"/>
      <c r="ASE9" s="17"/>
      <c r="ASF9" s="17"/>
      <c r="ASG9" s="17"/>
      <c r="ASH9" s="17"/>
      <c r="ASI9" s="17"/>
      <c r="ASJ9" s="17"/>
      <c r="ASK9" s="17"/>
      <c r="ASL9" s="17"/>
      <c r="ASM9" s="17"/>
      <c r="ASN9" s="17"/>
      <c r="ASO9" s="17"/>
      <c r="ASP9" s="17"/>
      <c r="ASQ9" s="17"/>
      <c r="ASR9" s="17"/>
      <c r="ASS9" s="17"/>
      <c r="AST9" s="17"/>
      <c r="ASU9" s="17"/>
      <c r="ASV9" s="17"/>
      <c r="ASW9" s="17"/>
      <c r="ASX9" s="17"/>
      <c r="ASY9" s="17"/>
      <c r="ASZ9" s="17"/>
      <c r="ATA9" s="17"/>
      <c r="ATB9" s="17"/>
      <c r="ATC9" s="17"/>
      <c r="ATD9" s="17"/>
      <c r="ATE9" s="17"/>
      <c r="ATF9" s="17"/>
      <c r="ATG9" s="17"/>
      <c r="ATH9" s="17"/>
      <c r="ATI9" s="17"/>
      <c r="ATJ9" s="17"/>
      <c r="ATK9" s="17"/>
      <c r="ATL9" s="17"/>
      <c r="ATM9" s="17"/>
      <c r="ATN9" s="17"/>
      <c r="ATO9" s="17"/>
      <c r="ATP9" s="17"/>
      <c r="ATQ9" s="17"/>
      <c r="ATR9" s="17"/>
      <c r="ATS9" s="17"/>
      <c r="ATT9" s="17"/>
      <c r="ATU9" s="17"/>
      <c r="ATV9" s="17"/>
      <c r="ATW9" s="17"/>
      <c r="ATX9" s="17"/>
      <c r="ATY9" s="17"/>
      <c r="ATZ9" s="17"/>
      <c r="AUA9" s="17"/>
      <c r="AUB9" s="17"/>
      <c r="AUC9" s="17"/>
      <c r="AUD9" s="17"/>
      <c r="AUE9" s="17"/>
      <c r="AUF9" s="17"/>
      <c r="AUG9" s="17"/>
      <c r="AUH9" s="17"/>
      <c r="AUI9" s="17"/>
      <c r="AUJ9" s="17"/>
      <c r="AUK9" s="17"/>
      <c r="AUL9" s="17"/>
      <c r="AUM9" s="17"/>
      <c r="AUN9" s="17"/>
      <c r="AUO9" s="17"/>
      <c r="AUP9" s="17"/>
      <c r="AUQ9" s="17"/>
      <c r="AUR9" s="17"/>
      <c r="AUS9" s="17"/>
      <c r="AUT9" s="17"/>
      <c r="AUU9" s="17"/>
      <c r="AUV9" s="17"/>
      <c r="AUW9" s="17"/>
      <c r="AUX9" s="17"/>
      <c r="AUY9" s="17"/>
      <c r="AUZ9" s="17"/>
      <c r="AVA9" s="17"/>
      <c r="AVB9" s="17"/>
      <c r="AVC9" s="17"/>
      <c r="AVD9" s="17"/>
      <c r="AVE9" s="17"/>
      <c r="AVF9" s="17"/>
      <c r="AVG9" s="17"/>
      <c r="AVH9" s="17"/>
      <c r="AVI9" s="17"/>
      <c r="AVJ9" s="17"/>
      <c r="AVK9" s="17"/>
      <c r="AVL9" s="17"/>
      <c r="AVM9" s="17"/>
      <c r="AVN9" s="17"/>
      <c r="AVO9" s="17"/>
      <c r="AVP9" s="17"/>
      <c r="AVQ9" s="17"/>
      <c r="AVR9" s="17"/>
      <c r="AVS9" s="17"/>
      <c r="AVT9" s="17"/>
      <c r="AVU9" s="17"/>
      <c r="AVV9" s="17"/>
      <c r="AVW9" s="17"/>
      <c r="AVX9" s="17"/>
      <c r="AVY9" s="17"/>
      <c r="AVZ9" s="17"/>
      <c r="AWA9" s="17"/>
      <c r="AWB9" s="17"/>
      <c r="AWC9" s="17"/>
      <c r="AWD9" s="17"/>
      <c r="AWE9" s="17"/>
      <c r="AWF9" s="17"/>
      <c r="AWG9" s="17"/>
      <c r="AWH9" s="17"/>
      <c r="AWI9" s="17"/>
      <c r="AWJ9" s="17"/>
      <c r="AWK9" s="17"/>
      <c r="AWL9" s="17"/>
      <c r="AWM9" s="17"/>
      <c r="AWN9" s="17"/>
      <c r="AWO9" s="17"/>
      <c r="AWP9" s="17"/>
      <c r="AWQ9" s="17"/>
      <c r="AWR9" s="17"/>
      <c r="AWS9" s="17"/>
      <c r="AWT9" s="17"/>
      <c r="AWU9" s="17"/>
      <c r="AWV9" s="17"/>
      <c r="AWW9" s="17"/>
      <c r="AWX9" s="17"/>
      <c r="AWY9" s="17"/>
      <c r="AWZ9" s="17"/>
      <c r="AXA9" s="17"/>
      <c r="AXB9" s="17"/>
      <c r="AXC9" s="17"/>
      <c r="AXD9" s="17"/>
      <c r="AXE9" s="17"/>
      <c r="AXF9" s="17"/>
      <c r="AXG9" s="17"/>
      <c r="AXH9" s="17"/>
      <c r="AXI9" s="17"/>
      <c r="AXJ9" s="17"/>
      <c r="AXK9" s="17"/>
      <c r="AXL9" s="17"/>
      <c r="AXM9" s="17"/>
      <c r="AXN9" s="17"/>
      <c r="AXO9" s="17"/>
      <c r="AXP9" s="17"/>
      <c r="AXQ9" s="17"/>
      <c r="AXR9" s="17"/>
      <c r="AXS9" s="17"/>
      <c r="AXT9" s="17"/>
      <c r="AXU9" s="17"/>
      <c r="AXV9" s="17"/>
      <c r="AXW9" s="17"/>
      <c r="AXX9" s="17"/>
      <c r="AXY9" s="17"/>
      <c r="AXZ9" s="17"/>
      <c r="AYA9" s="17"/>
      <c r="AYB9" s="17"/>
      <c r="AYC9" s="17"/>
      <c r="AYD9" s="17"/>
      <c r="AYE9" s="17"/>
      <c r="AYF9" s="17"/>
      <c r="AYG9" s="17"/>
      <c r="AYH9" s="17"/>
      <c r="AYI9" s="17"/>
      <c r="AYJ9" s="17"/>
      <c r="AYK9" s="17"/>
      <c r="AYL9" s="17"/>
      <c r="AYM9" s="17"/>
      <c r="AYN9" s="17"/>
      <c r="AYO9" s="17"/>
      <c r="AYP9" s="17"/>
      <c r="AYQ9" s="17"/>
      <c r="AYR9" s="17"/>
      <c r="AYS9" s="17"/>
      <c r="AYT9" s="17"/>
      <c r="AYU9" s="17"/>
      <c r="AYV9" s="17"/>
      <c r="AYW9" s="17"/>
      <c r="AYX9" s="17"/>
      <c r="AYY9" s="17"/>
      <c r="AYZ9" s="17"/>
      <c r="AZA9" s="17"/>
      <c r="AZB9" s="17"/>
      <c r="AZC9" s="17"/>
      <c r="AZD9" s="17"/>
      <c r="AZE9" s="17"/>
      <c r="AZF9" s="17"/>
      <c r="AZG9" s="17"/>
      <c r="AZH9" s="17"/>
      <c r="AZI9" s="17"/>
      <c r="AZJ9" s="17"/>
      <c r="AZK9" s="17"/>
      <c r="AZL9" s="17"/>
      <c r="AZM9" s="17"/>
      <c r="AZN9" s="17"/>
      <c r="AZO9" s="17"/>
      <c r="AZP9" s="17"/>
      <c r="AZQ9" s="17"/>
      <c r="AZR9" s="17"/>
      <c r="AZS9" s="17"/>
      <c r="AZT9" s="17"/>
      <c r="AZU9" s="17"/>
      <c r="AZV9" s="17"/>
      <c r="AZW9" s="17"/>
      <c r="AZX9" s="17"/>
      <c r="AZY9" s="17"/>
      <c r="AZZ9" s="17"/>
      <c r="BAA9" s="17"/>
      <c r="BAB9" s="17"/>
      <c r="BAC9" s="17"/>
      <c r="BAD9" s="17"/>
      <c r="BAE9" s="17"/>
      <c r="BAF9" s="17"/>
      <c r="BAG9" s="17"/>
      <c r="BAH9" s="17"/>
      <c r="BAI9" s="17"/>
      <c r="BAJ9" s="17"/>
      <c r="BAK9" s="17"/>
      <c r="BAL9" s="17"/>
      <c r="BAM9" s="17"/>
      <c r="BAN9" s="17"/>
      <c r="BAO9" s="17"/>
      <c r="BAP9" s="17"/>
      <c r="BAQ9" s="17"/>
      <c r="BAR9" s="17"/>
      <c r="BAS9" s="17"/>
      <c r="BAT9" s="17"/>
      <c r="BAU9" s="17"/>
      <c r="BAV9" s="17"/>
      <c r="BAW9" s="17"/>
      <c r="BAX9" s="17"/>
      <c r="BAY9" s="17"/>
      <c r="BAZ9" s="17"/>
      <c r="BBA9" s="17"/>
      <c r="BBB9" s="17"/>
      <c r="BBC9" s="17"/>
      <c r="BBD9" s="17"/>
      <c r="BBE9" s="17"/>
      <c r="BBF9" s="17"/>
      <c r="BBG9" s="17"/>
      <c r="BBH9" s="17"/>
      <c r="BBI9" s="17"/>
      <c r="BBJ9" s="17"/>
      <c r="BBK9" s="17"/>
      <c r="BBL9" s="17"/>
      <c r="BBM9" s="17"/>
      <c r="BBN9" s="17"/>
      <c r="BBO9" s="17"/>
      <c r="BBP9" s="17"/>
      <c r="BBQ9" s="17"/>
      <c r="BBR9" s="17"/>
      <c r="BBS9" s="17"/>
      <c r="BBT9" s="17"/>
      <c r="BBU9" s="17"/>
      <c r="BBV9" s="17"/>
      <c r="BBW9" s="17"/>
      <c r="BBX9" s="17"/>
      <c r="BBY9" s="17"/>
      <c r="BBZ9" s="17"/>
      <c r="BCA9" s="17"/>
      <c r="BCB9" s="17"/>
      <c r="BCC9" s="17"/>
      <c r="BCD9" s="17"/>
      <c r="BCE9" s="17"/>
      <c r="BCF9" s="17"/>
      <c r="BCG9" s="17"/>
      <c r="BCH9" s="17"/>
      <c r="BCI9" s="17"/>
      <c r="BCJ9" s="17"/>
      <c r="BCK9" s="17"/>
      <c r="BCL9" s="17"/>
      <c r="BCM9" s="17"/>
      <c r="BCN9" s="17"/>
      <c r="BCO9" s="17"/>
      <c r="BCP9" s="17"/>
      <c r="BCQ9" s="17"/>
      <c r="BCR9" s="17"/>
      <c r="BCS9" s="17"/>
      <c r="BCT9" s="17"/>
      <c r="BCU9" s="17"/>
      <c r="BCV9" s="17"/>
      <c r="BCW9" s="17"/>
      <c r="BCX9" s="17"/>
      <c r="BCY9" s="17"/>
      <c r="BCZ9" s="17"/>
      <c r="BDA9" s="17"/>
      <c r="BDB9" s="17"/>
      <c r="BDC9" s="17"/>
      <c r="BDD9" s="17"/>
      <c r="BDE9" s="17"/>
      <c r="BDF9" s="17"/>
      <c r="BDG9" s="17"/>
      <c r="BDH9" s="17"/>
      <c r="BDI9" s="17"/>
      <c r="BDJ9" s="17"/>
      <c r="BDK9" s="17"/>
      <c r="BDL9" s="17"/>
      <c r="BDM9" s="17"/>
      <c r="BDN9" s="17"/>
      <c r="BDO9" s="17"/>
      <c r="BDP9" s="17"/>
      <c r="BDQ9" s="17"/>
      <c r="BDR9" s="17"/>
      <c r="BDS9" s="17"/>
      <c r="BDT9" s="17"/>
      <c r="BDU9" s="17"/>
      <c r="BDV9" s="17"/>
      <c r="BDW9" s="17"/>
      <c r="BDX9" s="17"/>
      <c r="BDY9" s="17"/>
      <c r="BDZ9" s="17"/>
      <c r="BEA9" s="17"/>
      <c r="BEB9" s="17"/>
      <c r="BEC9" s="17"/>
      <c r="BED9" s="17"/>
      <c r="BEE9" s="17"/>
      <c r="BEF9" s="17"/>
      <c r="BEG9" s="17"/>
      <c r="BEH9" s="17"/>
      <c r="BEI9" s="17"/>
      <c r="BEJ9" s="17"/>
      <c r="BEK9" s="17"/>
      <c r="BEL9" s="17"/>
      <c r="BEM9" s="17"/>
      <c r="BEN9" s="17"/>
      <c r="BEO9" s="17"/>
      <c r="BEP9" s="17"/>
      <c r="BEQ9" s="17"/>
      <c r="BER9" s="17"/>
      <c r="BES9" s="17"/>
      <c r="BET9" s="17"/>
      <c r="BEU9" s="17"/>
      <c r="BEV9" s="17"/>
      <c r="BEW9" s="17"/>
      <c r="BEX9" s="17"/>
      <c r="BEY9" s="17"/>
      <c r="BEZ9" s="17"/>
      <c r="BFA9" s="17"/>
      <c r="BFB9" s="17"/>
      <c r="BFC9" s="17"/>
      <c r="BFD9" s="17"/>
      <c r="BFE9" s="17"/>
      <c r="BFF9" s="17"/>
      <c r="BFG9" s="17"/>
      <c r="BFH9" s="17"/>
      <c r="BFI9" s="17"/>
      <c r="BFJ9" s="17"/>
      <c r="BFK9" s="17"/>
      <c r="BFL9" s="17"/>
      <c r="BFM9" s="17"/>
      <c r="BFN9" s="17"/>
      <c r="BFO9" s="17"/>
      <c r="BFP9" s="17"/>
      <c r="BFQ9" s="17"/>
      <c r="BFR9" s="17"/>
      <c r="BFS9" s="17"/>
      <c r="BFT9" s="17"/>
      <c r="BFU9" s="17"/>
      <c r="BFV9" s="17"/>
      <c r="BFW9" s="17"/>
      <c r="BFX9" s="17"/>
      <c r="BFY9" s="17"/>
      <c r="BFZ9" s="17"/>
      <c r="BGA9" s="17"/>
      <c r="BGB9" s="17"/>
      <c r="BGC9" s="17"/>
      <c r="BGD9" s="17"/>
      <c r="BGE9" s="17"/>
      <c r="BGF9" s="17"/>
      <c r="BGG9" s="17"/>
      <c r="BGH9" s="17"/>
      <c r="BGI9" s="17"/>
      <c r="BGJ9" s="17"/>
      <c r="BGK9" s="17"/>
      <c r="BGL9" s="17"/>
      <c r="BGM9" s="17"/>
      <c r="BGN9" s="17"/>
      <c r="BGO9" s="17"/>
      <c r="BGP9" s="17"/>
      <c r="BGQ9" s="17"/>
      <c r="BGR9" s="17"/>
      <c r="BGS9" s="17"/>
      <c r="BGT9" s="17"/>
      <c r="BGU9" s="17"/>
      <c r="BGV9" s="17"/>
      <c r="BGW9" s="17"/>
      <c r="BGX9" s="17"/>
      <c r="BGY9" s="17"/>
      <c r="BGZ9" s="17"/>
      <c r="BHA9" s="17"/>
      <c r="BHB9" s="17"/>
      <c r="BHC9" s="17"/>
      <c r="BHD9" s="17"/>
      <c r="BHE9" s="17"/>
      <c r="BHF9" s="17"/>
      <c r="BHG9" s="17"/>
      <c r="BHH9" s="17"/>
      <c r="BHI9" s="17"/>
      <c r="BHJ9" s="17"/>
      <c r="BHK9" s="17"/>
      <c r="BHL9" s="17"/>
      <c r="BHM9" s="17"/>
      <c r="BHN9" s="17"/>
      <c r="BHO9" s="17"/>
      <c r="BHP9" s="17"/>
      <c r="BHQ9" s="17"/>
      <c r="BHR9" s="17"/>
      <c r="BHS9" s="17"/>
      <c r="BHT9" s="17"/>
      <c r="BHU9" s="17"/>
      <c r="BHV9" s="17"/>
      <c r="BHW9" s="17"/>
      <c r="BHX9" s="17"/>
      <c r="BHY9" s="17"/>
      <c r="BHZ9" s="17"/>
      <c r="BIA9" s="17"/>
      <c r="BIB9" s="17"/>
      <c r="BIC9" s="17"/>
      <c r="BID9" s="17"/>
      <c r="BIE9" s="17"/>
      <c r="BIF9" s="17"/>
      <c r="BIG9" s="17"/>
      <c r="BIH9" s="17"/>
      <c r="BII9" s="17"/>
      <c r="BIJ9" s="17"/>
      <c r="BIK9" s="17"/>
      <c r="BIL9" s="17"/>
      <c r="BIM9" s="17"/>
      <c r="BIN9" s="17"/>
      <c r="BIO9" s="17"/>
      <c r="BIP9" s="17"/>
      <c r="BIQ9" s="17"/>
      <c r="BIR9" s="17"/>
      <c r="BIS9" s="17"/>
      <c r="BIT9" s="17"/>
      <c r="BIU9" s="17"/>
      <c r="BIV9" s="17"/>
      <c r="BIW9" s="17"/>
      <c r="BIX9" s="17"/>
      <c r="BIY9" s="17"/>
      <c r="BIZ9" s="17"/>
      <c r="BJA9" s="17"/>
      <c r="BJB9" s="17"/>
      <c r="BJC9" s="17"/>
      <c r="BJD9" s="17"/>
      <c r="BJE9" s="17"/>
      <c r="BJF9" s="17"/>
      <c r="BJG9" s="17"/>
      <c r="BJH9" s="17"/>
      <c r="BJI9" s="17"/>
      <c r="BJJ9" s="17"/>
      <c r="BJK9" s="17"/>
      <c r="BJL9" s="17"/>
      <c r="BJM9" s="17"/>
      <c r="BJN9" s="17"/>
      <c r="BJO9" s="17"/>
      <c r="BJP9" s="17"/>
      <c r="BJQ9" s="17"/>
      <c r="BJR9" s="17"/>
      <c r="BJS9" s="17"/>
      <c r="BJT9" s="17"/>
      <c r="BJU9" s="17"/>
      <c r="BJV9" s="17"/>
      <c r="BJW9" s="17"/>
      <c r="BJX9" s="17"/>
      <c r="BJY9" s="17"/>
      <c r="BJZ9" s="17"/>
      <c r="BKA9" s="17"/>
      <c r="BKB9" s="17"/>
      <c r="BKC9" s="17"/>
      <c r="BKD9" s="17"/>
      <c r="BKE9" s="17"/>
      <c r="BKF9" s="17"/>
      <c r="BKG9" s="17"/>
      <c r="BKH9" s="17"/>
      <c r="BKI9" s="17"/>
      <c r="BKJ9" s="17"/>
      <c r="BKK9" s="17"/>
      <c r="BKL9" s="17"/>
      <c r="BKM9" s="17"/>
      <c r="BKN9" s="17"/>
      <c r="BKO9" s="17"/>
      <c r="BKP9" s="17"/>
      <c r="BKQ9" s="17"/>
      <c r="BKR9" s="17"/>
      <c r="BKS9" s="17"/>
      <c r="BKT9" s="17"/>
      <c r="BKU9" s="17"/>
      <c r="BKV9" s="17"/>
      <c r="BKW9" s="17"/>
      <c r="BKX9" s="17"/>
      <c r="BKY9" s="17"/>
      <c r="BKZ9" s="17"/>
      <c r="BLA9" s="17"/>
      <c r="BLB9" s="17"/>
      <c r="BLC9" s="17"/>
      <c r="BLD9" s="17"/>
      <c r="BLE9" s="17"/>
      <c r="BLF9" s="17"/>
      <c r="BLG9" s="17"/>
      <c r="BLH9" s="17"/>
      <c r="BLI9" s="17"/>
      <c r="BLJ9" s="17"/>
      <c r="BLK9" s="17"/>
      <c r="BLL9" s="17"/>
      <c r="BLM9" s="17"/>
      <c r="BLN9" s="17"/>
      <c r="BLO9" s="17"/>
      <c r="BLP9" s="17"/>
      <c r="BLQ9" s="17"/>
      <c r="BLR9" s="17"/>
      <c r="BLS9" s="17"/>
      <c r="BLT9" s="17"/>
      <c r="BLU9" s="17"/>
      <c r="BLV9" s="17"/>
      <c r="BLW9" s="17"/>
      <c r="BLX9" s="17"/>
      <c r="BLY9" s="17"/>
      <c r="BLZ9" s="17"/>
      <c r="BMA9" s="17"/>
      <c r="BMB9" s="17"/>
      <c r="BMC9" s="17"/>
      <c r="BMD9" s="17"/>
      <c r="BME9" s="17"/>
      <c r="BMF9" s="17"/>
      <c r="BMG9" s="17"/>
      <c r="BMH9" s="17"/>
      <c r="BMI9" s="17"/>
      <c r="BMJ9" s="17"/>
      <c r="BMK9" s="17"/>
      <c r="BML9" s="17"/>
      <c r="BMM9" s="17"/>
      <c r="BMN9" s="17"/>
      <c r="BMO9" s="17"/>
      <c r="BMP9" s="17"/>
      <c r="BMQ9" s="17"/>
      <c r="BMR9" s="17"/>
      <c r="BMS9" s="17"/>
      <c r="BMT9" s="17"/>
      <c r="BMU9" s="17"/>
      <c r="BMV9" s="17"/>
      <c r="BMW9" s="17"/>
      <c r="BMX9" s="17"/>
      <c r="BMY9" s="17"/>
      <c r="BMZ9" s="17"/>
      <c r="BNA9" s="17"/>
      <c r="BNB9" s="17"/>
      <c r="BNC9" s="17"/>
      <c r="BND9" s="17"/>
      <c r="BNE9" s="17"/>
      <c r="BNF9" s="17"/>
      <c r="BNG9" s="17"/>
      <c r="BNH9" s="17"/>
      <c r="BNI9" s="17"/>
      <c r="BNJ9" s="17"/>
      <c r="BNK9" s="17"/>
      <c r="BNL9" s="17"/>
      <c r="BNM9" s="17"/>
      <c r="BNN9" s="17"/>
      <c r="BNO9" s="17"/>
      <c r="BNP9" s="17"/>
      <c r="BNQ9" s="17"/>
      <c r="BNR9" s="17"/>
      <c r="BNS9" s="17"/>
      <c r="BNT9" s="17"/>
      <c r="BNU9" s="17"/>
      <c r="BNV9" s="17"/>
      <c r="BNW9" s="17"/>
      <c r="BNX9" s="17"/>
      <c r="BNY9" s="17"/>
      <c r="BNZ9" s="17"/>
      <c r="BOA9" s="17"/>
      <c r="BOB9" s="17"/>
      <c r="BOC9" s="17"/>
      <c r="BOD9" s="17"/>
      <c r="BOE9" s="17"/>
      <c r="BOF9" s="17"/>
      <c r="BOG9" s="17"/>
      <c r="BOH9" s="17"/>
      <c r="BOI9" s="17"/>
      <c r="BOJ9" s="17"/>
      <c r="BOK9" s="17"/>
      <c r="BOL9" s="17"/>
      <c r="BOM9" s="17"/>
      <c r="BON9" s="17"/>
      <c r="BOO9" s="17"/>
      <c r="BOP9" s="17"/>
      <c r="BOQ9" s="17"/>
      <c r="BOR9" s="17"/>
      <c r="BOS9" s="17"/>
      <c r="BOT9" s="17"/>
      <c r="BOU9" s="17"/>
      <c r="BOV9" s="17"/>
      <c r="BOW9" s="17"/>
      <c r="BOX9" s="17"/>
      <c r="BOY9" s="17"/>
      <c r="BOZ9" s="17"/>
      <c r="BPA9" s="17"/>
      <c r="BPB9" s="17"/>
      <c r="BPC9" s="17"/>
      <c r="BPD9" s="17"/>
      <c r="BPE9" s="17"/>
      <c r="BPF9" s="17"/>
      <c r="BPG9" s="17"/>
      <c r="BPH9" s="17"/>
      <c r="BPI9" s="17"/>
      <c r="BPJ9" s="17"/>
      <c r="BPK9" s="17"/>
      <c r="BPL9" s="17"/>
      <c r="BPM9" s="17"/>
      <c r="BPN9" s="17"/>
      <c r="BPO9" s="17"/>
      <c r="BPP9" s="17"/>
      <c r="BPQ9" s="17"/>
      <c r="BPR9" s="17"/>
      <c r="BPS9" s="17"/>
      <c r="BPT9" s="17"/>
      <c r="BPU9" s="17"/>
      <c r="BPV9" s="17"/>
      <c r="BPW9" s="17"/>
      <c r="BPX9" s="17"/>
      <c r="BPY9" s="17"/>
      <c r="BPZ9" s="17"/>
      <c r="BQA9" s="17"/>
      <c r="BQB9" s="17"/>
      <c r="BQC9" s="17"/>
      <c r="BQD9" s="17"/>
      <c r="BQE9" s="17"/>
      <c r="BQF9" s="17"/>
      <c r="BQG9" s="17"/>
      <c r="BQH9" s="17"/>
      <c r="BQI9" s="17"/>
      <c r="BQJ9" s="17"/>
      <c r="BQK9" s="17"/>
      <c r="BQL9" s="17"/>
      <c r="BQM9" s="17"/>
      <c r="BQN9" s="17"/>
      <c r="BQO9" s="17"/>
      <c r="BQP9" s="17"/>
      <c r="BQQ9" s="17"/>
      <c r="BQR9" s="17"/>
      <c r="BQS9" s="17"/>
      <c r="BQT9" s="17"/>
      <c r="BQU9" s="17"/>
      <c r="BQV9" s="17"/>
      <c r="BQW9" s="17"/>
      <c r="BQX9" s="17"/>
      <c r="BQY9" s="17"/>
      <c r="BQZ9" s="17"/>
      <c r="BRA9" s="17"/>
      <c r="BRB9" s="17"/>
      <c r="BRC9" s="17"/>
      <c r="BRD9" s="17"/>
      <c r="BRE9" s="17"/>
      <c r="BRF9" s="17"/>
      <c r="BRG9" s="17"/>
      <c r="BRH9" s="17"/>
      <c r="BRI9" s="17"/>
      <c r="BRJ9" s="17"/>
      <c r="BRK9" s="17"/>
      <c r="BRL9" s="17"/>
      <c r="BRM9" s="17"/>
      <c r="BRN9" s="17"/>
      <c r="BRO9" s="17"/>
      <c r="BRP9" s="17"/>
      <c r="BRQ9" s="17"/>
      <c r="BRR9" s="17"/>
      <c r="BRS9" s="17"/>
      <c r="BRT9" s="17"/>
      <c r="BRU9" s="17"/>
      <c r="BRV9" s="17"/>
      <c r="BRW9" s="17"/>
      <c r="BRX9" s="17"/>
      <c r="BRY9" s="17"/>
      <c r="BRZ9" s="17"/>
      <c r="BSA9" s="17"/>
      <c r="BSB9" s="17"/>
      <c r="BSC9" s="17"/>
      <c r="BSD9" s="17"/>
      <c r="BSE9" s="17"/>
      <c r="BSF9" s="17"/>
      <c r="BSG9" s="17"/>
      <c r="BSH9" s="17"/>
      <c r="BSI9" s="17"/>
      <c r="BSJ9" s="17"/>
      <c r="BSK9" s="17"/>
      <c r="BSL9" s="17"/>
      <c r="BSM9" s="17"/>
      <c r="BSN9" s="17"/>
      <c r="BSO9" s="17"/>
      <c r="BSP9" s="17"/>
      <c r="BSQ9" s="17"/>
      <c r="BSR9" s="17"/>
      <c r="BSS9" s="17"/>
      <c r="BST9" s="17"/>
      <c r="BSU9" s="17"/>
      <c r="BSV9" s="17"/>
      <c r="BSW9" s="17"/>
      <c r="BSX9" s="17"/>
      <c r="BSY9" s="17"/>
      <c r="BSZ9" s="17"/>
      <c r="BTA9" s="17"/>
      <c r="BTB9" s="17"/>
      <c r="BTC9" s="17"/>
      <c r="BTD9" s="17"/>
      <c r="BTE9" s="17"/>
      <c r="BTF9" s="17"/>
      <c r="BTG9" s="17"/>
      <c r="BTH9" s="17"/>
      <c r="BTI9" s="17"/>
      <c r="BTJ9" s="17"/>
      <c r="BTK9" s="17"/>
      <c r="BTL9" s="17"/>
      <c r="BTM9" s="17"/>
      <c r="BTN9" s="17"/>
      <c r="BTO9" s="17"/>
      <c r="BTP9" s="17"/>
      <c r="BTQ9" s="17"/>
      <c r="BTR9" s="17"/>
      <c r="BTS9" s="17"/>
      <c r="BTT9" s="17"/>
      <c r="BTU9" s="17"/>
      <c r="BTV9" s="17"/>
      <c r="BTW9" s="17"/>
      <c r="BTX9" s="17"/>
      <c r="BTY9" s="17"/>
      <c r="BTZ9" s="17"/>
      <c r="BUA9" s="17"/>
      <c r="BUB9" s="17"/>
      <c r="BUC9" s="17"/>
      <c r="BUD9" s="17"/>
      <c r="BUE9" s="17"/>
      <c r="BUF9" s="17"/>
      <c r="BUG9" s="17"/>
      <c r="BUH9" s="17"/>
      <c r="BUI9" s="17"/>
      <c r="BUJ9" s="17"/>
      <c r="BUK9" s="17"/>
      <c r="BUL9" s="17"/>
      <c r="BUM9" s="17"/>
      <c r="BUN9" s="17"/>
      <c r="BUO9" s="17"/>
      <c r="BUP9" s="17"/>
      <c r="BUQ9" s="17"/>
      <c r="BUR9" s="17"/>
      <c r="BUS9" s="17"/>
      <c r="BUT9" s="17"/>
      <c r="BUU9" s="17"/>
      <c r="BUV9" s="17"/>
      <c r="BUW9" s="17"/>
      <c r="BUX9" s="17"/>
      <c r="BUY9" s="17"/>
      <c r="BUZ9" s="17"/>
      <c r="BVA9" s="17"/>
      <c r="BVB9" s="17"/>
      <c r="BVC9" s="17"/>
      <c r="BVD9" s="17"/>
      <c r="BVE9" s="17"/>
      <c r="BVF9" s="17"/>
      <c r="BVG9" s="17"/>
      <c r="BVH9" s="17"/>
      <c r="BVI9" s="17"/>
      <c r="BVJ9" s="17"/>
      <c r="BVK9" s="17"/>
      <c r="BVL9" s="17"/>
      <c r="BVM9" s="17"/>
      <c r="BVN9" s="17"/>
      <c r="BVO9" s="17"/>
      <c r="BVP9" s="17"/>
      <c r="BVQ9" s="17"/>
      <c r="BVR9" s="17"/>
      <c r="BVS9" s="17"/>
      <c r="BVT9" s="17"/>
      <c r="BVU9" s="17"/>
      <c r="BVV9" s="17"/>
      <c r="BVW9" s="17"/>
      <c r="BVX9" s="17"/>
      <c r="BVY9" s="17"/>
      <c r="BVZ9" s="17"/>
      <c r="BWA9" s="17"/>
      <c r="BWB9" s="17"/>
      <c r="BWC9" s="17"/>
      <c r="BWD9" s="17"/>
      <c r="BWE9" s="17"/>
      <c r="BWF9" s="17"/>
      <c r="BWG9" s="17"/>
      <c r="BWH9" s="17"/>
      <c r="BWI9" s="17"/>
      <c r="BWJ9" s="17"/>
      <c r="BWK9" s="17"/>
      <c r="BWL9" s="17"/>
      <c r="BWM9" s="17"/>
      <c r="BWN9" s="17"/>
      <c r="BWO9" s="17"/>
      <c r="BWP9" s="17"/>
      <c r="BWQ9" s="17"/>
      <c r="BWR9" s="17"/>
      <c r="BWS9" s="17"/>
      <c r="BWT9" s="17"/>
      <c r="BWU9" s="17"/>
      <c r="BWV9" s="17"/>
      <c r="BWW9" s="17"/>
      <c r="BWX9" s="17"/>
      <c r="BWY9" s="17"/>
      <c r="BWZ9" s="17"/>
      <c r="BXA9" s="17"/>
      <c r="BXB9" s="17"/>
      <c r="BXC9" s="17"/>
      <c r="BXD9" s="17"/>
      <c r="BXE9" s="17"/>
      <c r="BXF9" s="17"/>
      <c r="BXG9" s="17"/>
      <c r="BXH9" s="17"/>
      <c r="BXI9" s="17"/>
      <c r="BXJ9" s="17"/>
      <c r="BXK9" s="17"/>
      <c r="BXL9" s="17"/>
      <c r="BXM9" s="17"/>
      <c r="BXN9" s="17"/>
      <c r="BXO9" s="17"/>
      <c r="BXP9" s="17"/>
      <c r="BXQ9" s="17"/>
      <c r="BXR9" s="17"/>
      <c r="BXS9" s="17"/>
      <c r="BXT9" s="17"/>
      <c r="BXU9" s="17"/>
      <c r="BXV9" s="17"/>
      <c r="BXW9" s="17"/>
      <c r="BXX9" s="17"/>
      <c r="BXY9" s="17"/>
      <c r="BXZ9" s="17"/>
      <c r="BYA9" s="17"/>
      <c r="BYB9" s="17"/>
      <c r="BYC9" s="17"/>
      <c r="BYD9" s="17"/>
      <c r="BYE9" s="17"/>
      <c r="BYF9" s="17"/>
      <c r="BYG9" s="17"/>
      <c r="BYH9" s="17"/>
      <c r="BYI9" s="17"/>
      <c r="BYJ9" s="17"/>
      <c r="BYK9" s="17"/>
      <c r="BYL9" s="17"/>
      <c r="BYM9" s="17"/>
      <c r="BYN9" s="17"/>
      <c r="BYO9" s="17"/>
      <c r="BYP9" s="17"/>
      <c r="BYQ9" s="17"/>
      <c r="BYR9" s="17"/>
      <c r="BYS9" s="17"/>
      <c r="BYT9" s="17"/>
      <c r="BYU9" s="17"/>
      <c r="BYV9" s="17"/>
      <c r="BYW9" s="17"/>
      <c r="BYX9" s="17"/>
      <c r="BYY9" s="17"/>
      <c r="BYZ9" s="17"/>
      <c r="BZA9" s="17"/>
      <c r="BZB9" s="17"/>
      <c r="BZC9" s="17"/>
      <c r="BZD9" s="17"/>
      <c r="BZE9" s="17"/>
      <c r="BZF9" s="17"/>
      <c r="BZG9" s="17"/>
      <c r="BZH9" s="17"/>
      <c r="BZI9" s="17"/>
      <c r="BZJ9" s="17"/>
      <c r="BZK9" s="17"/>
      <c r="BZL9" s="17"/>
      <c r="BZM9" s="17"/>
      <c r="BZN9" s="17"/>
      <c r="BZO9" s="17"/>
      <c r="BZP9" s="17"/>
      <c r="BZQ9" s="17"/>
      <c r="BZR9" s="17"/>
      <c r="BZS9" s="17"/>
      <c r="BZT9" s="17"/>
      <c r="BZU9" s="17"/>
      <c r="BZV9" s="17"/>
      <c r="BZW9" s="17"/>
      <c r="BZX9" s="17"/>
      <c r="BZY9" s="17"/>
      <c r="BZZ9" s="17"/>
      <c r="CAA9" s="17"/>
      <c r="CAB9" s="17"/>
      <c r="CAC9" s="17"/>
      <c r="CAD9" s="17"/>
      <c r="CAE9" s="17"/>
      <c r="CAF9" s="17"/>
      <c r="CAG9" s="17"/>
      <c r="CAH9" s="17"/>
      <c r="CAI9" s="17"/>
      <c r="CAJ9" s="17"/>
      <c r="CAK9" s="17"/>
      <c r="CAL9" s="17"/>
      <c r="CAM9" s="17"/>
      <c r="CAN9" s="17"/>
      <c r="CAO9" s="17"/>
      <c r="CAP9" s="17"/>
      <c r="CAQ9" s="17"/>
      <c r="CAR9" s="17"/>
      <c r="CAS9" s="17"/>
      <c r="CAT9" s="17"/>
      <c r="CAU9" s="17"/>
      <c r="CAV9" s="17"/>
      <c r="CAW9" s="17"/>
      <c r="CAX9" s="17"/>
      <c r="CAY9" s="17"/>
      <c r="CAZ9" s="17"/>
      <c r="CBA9" s="17"/>
      <c r="CBB9" s="17"/>
      <c r="CBC9" s="17"/>
      <c r="CBD9" s="17"/>
      <c r="CBE9" s="17"/>
      <c r="CBF9" s="17"/>
      <c r="CBG9" s="17"/>
      <c r="CBH9" s="17"/>
      <c r="CBI9" s="17"/>
      <c r="CBJ9" s="17"/>
      <c r="CBK9" s="17"/>
      <c r="CBL9" s="17"/>
      <c r="CBM9" s="17"/>
      <c r="CBN9" s="17"/>
      <c r="CBO9" s="17"/>
      <c r="CBP9" s="17"/>
      <c r="CBQ9" s="17"/>
      <c r="CBR9" s="17"/>
      <c r="CBS9" s="17"/>
      <c r="CBT9" s="17"/>
      <c r="CBU9" s="17"/>
      <c r="CBV9" s="17"/>
      <c r="CBW9" s="17"/>
      <c r="CBX9" s="17"/>
      <c r="CBY9" s="17"/>
      <c r="CBZ9" s="17"/>
      <c r="CCA9" s="17"/>
      <c r="CCB9" s="17"/>
      <c r="CCC9" s="17"/>
      <c r="CCD9" s="17"/>
      <c r="CCE9" s="17"/>
      <c r="CCF9" s="17"/>
      <c r="CCG9" s="17"/>
      <c r="CCH9" s="17"/>
      <c r="CCI9" s="17"/>
      <c r="CCJ9" s="17"/>
      <c r="CCK9" s="17"/>
      <c r="CCL9" s="17"/>
      <c r="CCM9" s="17"/>
      <c r="CCN9" s="17"/>
      <c r="CCO9" s="17"/>
      <c r="CCP9" s="17"/>
      <c r="CCQ9" s="17"/>
      <c r="CCR9" s="17"/>
      <c r="CCS9" s="17"/>
      <c r="CCT9" s="17"/>
      <c r="CCU9" s="17"/>
      <c r="CCV9" s="17"/>
      <c r="CCW9" s="17"/>
      <c r="CCX9" s="17"/>
      <c r="CCY9" s="17"/>
      <c r="CCZ9" s="17"/>
      <c r="CDA9" s="17"/>
      <c r="CDB9" s="17"/>
      <c r="CDC9" s="17"/>
      <c r="CDD9" s="17"/>
      <c r="CDE9" s="17"/>
      <c r="CDF9" s="17"/>
      <c r="CDG9" s="17"/>
      <c r="CDH9" s="17"/>
      <c r="CDI9" s="17"/>
      <c r="CDJ9" s="17"/>
      <c r="CDK9" s="17"/>
      <c r="CDL9" s="17"/>
      <c r="CDM9" s="17"/>
      <c r="CDN9" s="17"/>
      <c r="CDO9" s="17"/>
      <c r="CDP9" s="17"/>
      <c r="CDQ9" s="17"/>
      <c r="CDR9" s="17"/>
      <c r="CDS9" s="17"/>
      <c r="CDT9" s="17"/>
      <c r="CDU9" s="17"/>
      <c r="CDV9" s="17"/>
      <c r="CDW9" s="17"/>
      <c r="CDX9" s="17"/>
      <c r="CDY9" s="17"/>
      <c r="CDZ9" s="17"/>
      <c r="CEA9" s="17"/>
      <c r="CEB9" s="17"/>
      <c r="CEC9" s="17"/>
      <c r="CED9" s="17"/>
      <c r="CEE9" s="17"/>
      <c r="CEF9" s="17"/>
      <c r="CEG9" s="17"/>
      <c r="CEH9" s="17"/>
      <c r="CEI9" s="17"/>
      <c r="CEJ9" s="17"/>
      <c r="CEK9" s="17"/>
      <c r="CEL9" s="17"/>
      <c r="CEM9" s="17"/>
      <c r="CEN9" s="17"/>
      <c r="CEO9" s="17"/>
      <c r="CEP9" s="17"/>
      <c r="CEQ9" s="17"/>
      <c r="CER9" s="17"/>
      <c r="CES9" s="17"/>
      <c r="CET9" s="17"/>
      <c r="CEU9" s="17"/>
      <c r="CEV9" s="17"/>
      <c r="CEW9" s="17"/>
      <c r="CEX9" s="17"/>
      <c r="CEY9" s="17"/>
      <c r="CEZ9" s="17"/>
      <c r="CFA9" s="17"/>
      <c r="CFB9" s="17"/>
      <c r="CFC9" s="17"/>
      <c r="CFD9" s="17"/>
      <c r="CFE9" s="17"/>
      <c r="CFF9" s="17"/>
      <c r="CFG9" s="17"/>
      <c r="CFH9" s="17"/>
      <c r="CFI9" s="17"/>
      <c r="CFJ9" s="17"/>
      <c r="CFK9" s="17"/>
      <c r="CFL9" s="17"/>
      <c r="CFM9" s="17"/>
      <c r="CFN9" s="17"/>
      <c r="CFO9" s="17"/>
      <c r="CFP9" s="17"/>
      <c r="CFQ9" s="17"/>
      <c r="CFR9" s="17"/>
      <c r="CFS9" s="17"/>
      <c r="CFT9" s="17"/>
      <c r="CFU9" s="17"/>
      <c r="CFV9" s="17"/>
      <c r="CFW9" s="17"/>
      <c r="CFX9" s="17"/>
      <c r="CFY9" s="17"/>
      <c r="CFZ9" s="17"/>
      <c r="CGA9" s="17"/>
      <c r="CGB9" s="17"/>
      <c r="CGC9" s="17"/>
      <c r="CGD9" s="17"/>
      <c r="CGE9" s="17"/>
      <c r="CGF9" s="17"/>
      <c r="CGG9" s="17"/>
      <c r="CGH9" s="17"/>
      <c r="CGI9" s="17"/>
      <c r="CGJ9" s="17"/>
      <c r="CGK9" s="17"/>
      <c r="CGL9" s="17"/>
      <c r="CGM9" s="17"/>
      <c r="CGN9" s="17"/>
      <c r="CGO9" s="17"/>
      <c r="CGP9" s="17"/>
      <c r="CGQ9" s="17"/>
      <c r="CGR9" s="17"/>
      <c r="CGS9" s="17"/>
      <c r="CGT9" s="17"/>
      <c r="CGU9" s="17"/>
      <c r="CGV9" s="17"/>
      <c r="CGW9" s="17"/>
      <c r="CGX9" s="17"/>
      <c r="CGY9" s="17"/>
      <c r="CGZ9" s="17"/>
      <c r="CHA9" s="17"/>
      <c r="CHB9" s="17"/>
      <c r="CHC9" s="17"/>
      <c r="CHD9" s="17"/>
      <c r="CHE9" s="17"/>
      <c r="CHF9" s="17"/>
      <c r="CHG9" s="17"/>
      <c r="CHH9" s="17"/>
      <c r="CHI9" s="17"/>
      <c r="CHJ9" s="17"/>
      <c r="CHK9" s="17"/>
      <c r="CHL9" s="17"/>
      <c r="CHM9" s="17"/>
      <c r="CHN9" s="17"/>
      <c r="CHO9" s="17"/>
      <c r="CHP9" s="17"/>
      <c r="CHQ9" s="17"/>
      <c r="CHR9" s="17"/>
      <c r="CHS9" s="17"/>
      <c r="CHT9" s="17"/>
      <c r="CHU9" s="17"/>
      <c r="CHV9" s="17"/>
      <c r="CHW9" s="17"/>
      <c r="CHX9" s="17"/>
      <c r="CHY9" s="17"/>
      <c r="CHZ9" s="17"/>
      <c r="CIA9" s="17"/>
      <c r="CIB9" s="17"/>
      <c r="CIC9" s="17"/>
      <c r="CID9" s="17"/>
      <c r="CIE9" s="17"/>
      <c r="CIF9" s="17"/>
      <c r="CIG9" s="17"/>
      <c r="CIH9" s="17"/>
      <c r="CII9" s="17"/>
      <c r="CIJ9" s="17"/>
      <c r="CIK9" s="17"/>
      <c r="CIL9" s="17"/>
      <c r="CIM9" s="17"/>
      <c r="CIN9" s="17"/>
      <c r="CIO9" s="17"/>
      <c r="CIP9" s="17"/>
      <c r="CIQ9" s="17"/>
      <c r="CIR9" s="17"/>
      <c r="CIS9" s="17"/>
      <c r="CIT9" s="17"/>
      <c r="CIU9" s="17"/>
      <c r="CIV9" s="17"/>
      <c r="CIW9" s="17"/>
      <c r="CIX9" s="17"/>
      <c r="CIY9" s="17"/>
      <c r="CIZ9" s="17"/>
      <c r="CJA9" s="17"/>
      <c r="CJB9" s="17"/>
      <c r="CJC9" s="17"/>
      <c r="CJD9" s="17"/>
      <c r="CJE9" s="17"/>
      <c r="CJF9" s="17"/>
      <c r="CJG9" s="17"/>
      <c r="CJH9" s="17"/>
      <c r="CJI9" s="17"/>
      <c r="CJJ9" s="17"/>
      <c r="CJK9" s="17"/>
      <c r="CJL9" s="17"/>
      <c r="CJM9" s="17"/>
      <c r="CJN9" s="17"/>
      <c r="CJO9" s="17"/>
      <c r="CJP9" s="17"/>
      <c r="CJQ9" s="17"/>
      <c r="CJR9" s="17"/>
      <c r="CJS9" s="17"/>
      <c r="CJT9" s="17"/>
      <c r="CJU9" s="17"/>
      <c r="CJV9" s="17"/>
      <c r="CJW9" s="17"/>
      <c r="CJX9" s="17"/>
      <c r="CJY9" s="17"/>
      <c r="CJZ9" s="17"/>
      <c r="CKA9" s="17"/>
      <c r="CKB9" s="17"/>
      <c r="CKC9" s="17"/>
      <c r="CKD9" s="17"/>
      <c r="CKE9" s="17"/>
      <c r="CKF9" s="17"/>
      <c r="CKG9" s="17"/>
      <c r="CKH9" s="17"/>
      <c r="CKI9" s="17"/>
      <c r="CKJ9" s="17"/>
      <c r="CKK9" s="17"/>
      <c r="CKL9" s="17"/>
      <c r="CKM9" s="17"/>
      <c r="CKN9" s="17"/>
      <c r="CKO9" s="17"/>
      <c r="CKP9" s="17"/>
      <c r="CKQ9" s="17"/>
      <c r="CKR9" s="17"/>
      <c r="CKS9" s="17"/>
      <c r="CKT9" s="17"/>
      <c r="CKU9" s="17"/>
      <c r="CKV9" s="17"/>
      <c r="CKW9" s="17"/>
      <c r="CKX9" s="17"/>
      <c r="CKY9" s="17"/>
      <c r="CKZ9" s="17"/>
      <c r="CLA9" s="17"/>
      <c r="CLB9" s="17"/>
      <c r="CLC9" s="17"/>
      <c r="CLD9" s="17"/>
      <c r="CLE9" s="17"/>
      <c r="CLF9" s="17"/>
      <c r="CLG9" s="17"/>
      <c r="CLH9" s="17"/>
      <c r="CLI9" s="17"/>
      <c r="CLJ9" s="17"/>
      <c r="CLK9" s="17"/>
      <c r="CLL9" s="17"/>
      <c r="CLM9" s="17"/>
      <c r="CLN9" s="17"/>
      <c r="CLO9" s="17"/>
      <c r="CLP9" s="17"/>
      <c r="CLQ9" s="17"/>
      <c r="CLR9" s="17"/>
      <c r="CLS9" s="17"/>
      <c r="CLT9" s="17"/>
      <c r="CLU9" s="17"/>
      <c r="CLV9" s="17"/>
      <c r="CLW9" s="17"/>
      <c r="CLX9" s="17"/>
      <c r="CLY9" s="17"/>
      <c r="CLZ9" s="17"/>
      <c r="CMA9" s="17"/>
      <c r="CMB9" s="17"/>
      <c r="CMC9" s="17"/>
      <c r="CMD9" s="17"/>
      <c r="CME9" s="17"/>
      <c r="CMF9" s="17"/>
      <c r="CMG9" s="17"/>
      <c r="CMH9" s="17"/>
      <c r="CMI9" s="17"/>
      <c r="CMJ9" s="17"/>
      <c r="CMK9" s="17"/>
      <c r="CML9" s="17"/>
      <c r="CMM9" s="17"/>
      <c r="CMN9" s="17"/>
      <c r="CMO9" s="17"/>
      <c r="CMP9" s="17"/>
      <c r="CMQ9" s="17"/>
      <c r="CMR9" s="17"/>
      <c r="CMS9" s="17"/>
      <c r="CMT9" s="17"/>
      <c r="CMU9" s="17"/>
      <c r="CMV9" s="17"/>
      <c r="CMW9" s="17"/>
      <c r="CMX9" s="17"/>
      <c r="CMY9" s="17"/>
      <c r="CMZ9" s="17"/>
      <c r="CNA9" s="17"/>
      <c r="CNB9" s="17"/>
      <c r="CNC9" s="17"/>
      <c r="CND9" s="17"/>
      <c r="CNE9" s="17"/>
      <c r="CNF9" s="17"/>
      <c r="CNG9" s="17"/>
      <c r="CNH9" s="17"/>
      <c r="CNI9" s="17"/>
      <c r="CNJ9" s="17"/>
      <c r="CNK9" s="17"/>
      <c r="CNL9" s="17"/>
      <c r="CNM9" s="17"/>
      <c r="CNN9" s="17"/>
      <c r="CNO9" s="17"/>
      <c r="CNP9" s="17"/>
      <c r="CNQ9" s="17"/>
      <c r="CNR9" s="17"/>
      <c r="CNS9" s="17"/>
      <c r="CNT9" s="17"/>
      <c r="CNU9" s="17"/>
      <c r="CNV9" s="17"/>
      <c r="CNW9" s="17"/>
      <c r="CNX9" s="17"/>
      <c r="CNY9" s="17"/>
      <c r="CNZ9" s="17"/>
      <c r="COA9" s="17"/>
      <c r="COB9" s="17"/>
      <c r="COC9" s="17"/>
      <c r="COD9" s="17"/>
      <c r="COE9" s="17"/>
      <c r="COF9" s="17"/>
      <c r="COG9" s="17"/>
      <c r="COH9" s="17"/>
      <c r="COI9" s="17"/>
      <c r="COJ9" s="17"/>
      <c r="COK9" s="17"/>
      <c r="COL9" s="17"/>
      <c r="COM9" s="17"/>
      <c r="CON9" s="17"/>
      <c r="COO9" s="17"/>
      <c r="COP9" s="17"/>
      <c r="COQ9" s="17"/>
      <c r="COR9" s="17"/>
      <c r="COS9" s="17"/>
      <c r="COT9" s="17"/>
      <c r="COU9" s="17"/>
      <c r="COV9" s="17"/>
      <c r="COW9" s="17"/>
      <c r="COX9" s="17"/>
      <c r="COY9" s="17"/>
      <c r="COZ9" s="17"/>
      <c r="CPA9" s="17"/>
      <c r="CPB9" s="17"/>
      <c r="CPC9" s="17"/>
      <c r="CPD9" s="17"/>
      <c r="CPE9" s="17"/>
      <c r="CPF9" s="17"/>
      <c r="CPG9" s="17"/>
      <c r="CPH9" s="17"/>
      <c r="CPI9" s="17"/>
      <c r="CPJ9" s="17"/>
      <c r="CPK9" s="17"/>
      <c r="CPL9" s="17"/>
      <c r="CPM9" s="17"/>
      <c r="CPN9" s="17"/>
      <c r="CPO9" s="17"/>
      <c r="CPP9" s="17"/>
      <c r="CPQ9" s="17"/>
      <c r="CPR9" s="17"/>
      <c r="CPS9" s="17"/>
      <c r="CPT9" s="17"/>
      <c r="CPU9" s="17"/>
      <c r="CPV9" s="17"/>
      <c r="CPW9" s="17"/>
      <c r="CPX9" s="17"/>
      <c r="CPY9" s="17"/>
      <c r="CPZ9" s="17"/>
      <c r="CQA9" s="17"/>
      <c r="CQB9" s="17"/>
      <c r="CQC9" s="17"/>
      <c r="CQD9" s="17"/>
      <c r="CQE9" s="17"/>
      <c r="CQF9" s="17"/>
      <c r="CQG9" s="17"/>
      <c r="CQH9" s="17"/>
      <c r="CQI9" s="17"/>
      <c r="CQJ9" s="17"/>
      <c r="CQK9" s="17"/>
      <c r="CQL9" s="17"/>
      <c r="CQM9" s="17"/>
      <c r="CQN9" s="17"/>
      <c r="CQO9" s="17"/>
      <c r="CQP9" s="17"/>
      <c r="CQQ9" s="17"/>
      <c r="CQR9" s="17"/>
      <c r="CQS9" s="17"/>
      <c r="CQT9" s="17"/>
      <c r="CQU9" s="17"/>
      <c r="CQV9" s="17"/>
      <c r="CQW9" s="17"/>
      <c r="CQX9" s="17"/>
      <c r="CQY9" s="17"/>
      <c r="CQZ9" s="17"/>
      <c r="CRA9" s="17"/>
      <c r="CRB9" s="17"/>
      <c r="CRC9" s="17"/>
      <c r="CRD9" s="17"/>
      <c r="CRE9" s="17"/>
      <c r="CRF9" s="17"/>
      <c r="CRG9" s="17"/>
      <c r="CRH9" s="17"/>
      <c r="CRI9" s="17"/>
      <c r="CRJ9" s="17"/>
      <c r="CRK9" s="17"/>
      <c r="CRL9" s="17"/>
      <c r="CRM9" s="17"/>
      <c r="CRN9" s="17"/>
      <c r="CRO9" s="17"/>
      <c r="CRP9" s="17"/>
      <c r="CRQ9" s="17"/>
      <c r="CRR9" s="17"/>
      <c r="CRS9" s="17"/>
      <c r="CRT9" s="17"/>
      <c r="CRU9" s="17"/>
      <c r="CRV9" s="17"/>
      <c r="CRW9" s="17"/>
      <c r="CRX9" s="17"/>
      <c r="CRY9" s="17"/>
      <c r="CRZ9" s="17"/>
      <c r="CSA9" s="17"/>
      <c r="CSB9" s="17"/>
      <c r="CSC9" s="17"/>
      <c r="CSD9" s="17"/>
      <c r="CSE9" s="17"/>
      <c r="CSF9" s="17"/>
      <c r="CSG9" s="17"/>
      <c r="CSH9" s="17"/>
      <c r="CSI9" s="17"/>
      <c r="CSJ9" s="17"/>
      <c r="CSK9" s="17"/>
      <c r="CSL9" s="17"/>
      <c r="CSM9" s="17"/>
      <c r="CSN9" s="17"/>
      <c r="CSO9" s="17"/>
      <c r="CSP9" s="17"/>
      <c r="CSQ9" s="17"/>
      <c r="CSR9" s="17"/>
      <c r="CSS9" s="17"/>
      <c r="CST9" s="17"/>
      <c r="CSU9" s="17"/>
      <c r="CSV9" s="17"/>
      <c r="CSW9" s="17"/>
      <c r="CSX9" s="17"/>
      <c r="CSY9" s="17"/>
      <c r="CSZ9" s="17"/>
      <c r="CTA9" s="17"/>
      <c r="CTB9" s="17"/>
      <c r="CTC9" s="17"/>
      <c r="CTD9" s="17"/>
      <c r="CTE9" s="17"/>
      <c r="CTF9" s="17"/>
      <c r="CTG9" s="17"/>
      <c r="CTH9" s="17"/>
      <c r="CTI9" s="17"/>
      <c r="CTJ9" s="17"/>
      <c r="CTK9" s="17"/>
      <c r="CTL9" s="17"/>
      <c r="CTM9" s="17"/>
      <c r="CTN9" s="17"/>
      <c r="CTO9" s="17"/>
      <c r="CTP9" s="17"/>
      <c r="CTQ9" s="17"/>
      <c r="CTR9" s="17"/>
      <c r="CTS9" s="17"/>
      <c r="CTT9" s="17"/>
      <c r="CTU9" s="17"/>
      <c r="CTV9" s="17"/>
      <c r="CTW9" s="17"/>
      <c r="CTX9" s="17"/>
      <c r="CTY9" s="17"/>
      <c r="CTZ9" s="17"/>
      <c r="CUA9" s="17"/>
      <c r="CUB9" s="17"/>
      <c r="CUC9" s="17"/>
      <c r="CUD9" s="17"/>
      <c r="CUE9" s="17"/>
      <c r="CUF9" s="17"/>
      <c r="CUG9" s="17"/>
      <c r="CUH9" s="17"/>
      <c r="CUI9" s="17"/>
      <c r="CUJ9" s="17"/>
      <c r="CUK9" s="17"/>
      <c r="CUL9" s="17"/>
      <c r="CUM9" s="17"/>
      <c r="CUN9" s="17"/>
      <c r="CUO9" s="17"/>
      <c r="CUP9" s="17"/>
      <c r="CUQ9" s="17"/>
      <c r="CUR9" s="17"/>
      <c r="CUS9" s="17"/>
      <c r="CUT9" s="17"/>
      <c r="CUU9" s="17"/>
      <c r="CUV9" s="17"/>
      <c r="CUW9" s="17"/>
      <c r="CUX9" s="17"/>
      <c r="CUY9" s="17"/>
      <c r="CUZ9" s="17"/>
      <c r="CVA9" s="17"/>
      <c r="CVB9" s="17"/>
      <c r="CVC9" s="17"/>
      <c r="CVD9" s="17"/>
      <c r="CVE9" s="17"/>
      <c r="CVF9" s="17"/>
      <c r="CVG9" s="17"/>
      <c r="CVH9" s="17"/>
      <c r="CVI9" s="17"/>
      <c r="CVJ9" s="17"/>
      <c r="CVK9" s="17"/>
      <c r="CVL9" s="17"/>
      <c r="CVM9" s="17"/>
      <c r="CVN9" s="17"/>
      <c r="CVO9" s="17"/>
      <c r="CVP9" s="17"/>
      <c r="CVQ9" s="17"/>
      <c r="CVR9" s="17"/>
      <c r="CVS9" s="17"/>
      <c r="CVT9" s="17"/>
      <c r="CVU9" s="17"/>
      <c r="CVV9" s="17"/>
      <c r="CVW9" s="17"/>
      <c r="CVX9" s="17"/>
      <c r="CVY9" s="17"/>
      <c r="CVZ9" s="17"/>
      <c r="CWA9" s="17"/>
      <c r="CWB9" s="17"/>
      <c r="CWC9" s="17"/>
      <c r="CWD9" s="17"/>
      <c r="CWE9" s="17"/>
      <c r="CWF9" s="17"/>
      <c r="CWG9" s="17"/>
      <c r="CWH9" s="17"/>
      <c r="CWI9" s="17"/>
      <c r="CWJ9" s="17"/>
      <c r="CWK9" s="17"/>
      <c r="CWL9" s="17"/>
      <c r="CWM9" s="17"/>
      <c r="CWN9" s="17"/>
      <c r="CWO9" s="17"/>
      <c r="CWP9" s="17"/>
      <c r="CWQ9" s="17"/>
      <c r="CWR9" s="17"/>
      <c r="CWS9" s="17"/>
      <c r="CWT9" s="17"/>
      <c r="CWU9" s="17"/>
      <c r="CWV9" s="17"/>
      <c r="CWW9" s="17"/>
      <c r="CWX9" s="17"/>
      <c r="CWY9" s="17"/>
      <c r="CWZ9" s="17"/>
      <c r="CXA9" s="17"/>
      <c r="CXB9" s="17"/>
      <c r="CXC9" s="17"/>
      <c r="CXD9" s="17"/>
      <c r="CXE9" s="17"/>
      <c r="CXF9" s="17"/>
      <c r="CXG9" s="17"/>
      <c r="CXH9" s="17"/>
      <c r="CXI9" s="17"/>
      <c r="CXJ9" s="17"/>
      <c r="CXK9" s="17"/>
      <c r="CXL9" s="17"/>
      <c r="CXM9" s="17"/>
      <c r="CXN9" s="17"/>
      <c r="CXO9" s="17"/>
      <c r="CXP9" s="17"/>
      <c r="CXQ9" s="17"/>
      <c r="CXR9" s="17"/>
      <c r="CXS9" s="17"/>
      <c r="CXT9" s="17"/>
      <c r="CXU9" s="17"/>
      <c r="CXV9" s="17"/>
      <c r="CXW9" s="17"/>
      <c r="CXX9" s="17"/>
      <c r="CXY9" s="17"/>
      <c r="CXZ9" s="17"/>
      <c r="CYA9" s="17"/>
      <c r="CYB9" s="17"/>
      <c r="CYC9" s="17"/>
      <c r="CYD9" s="17"/>
      <c r="CYE9" s="17"/>
      <c r="CYF9" s="17"/>
      <c r="CYG9" s="17"/>
      <c r="CYH9" s="17"/>
      <c r="CYI9" s="17"/>
      <c r="CYJ9" s="17"/>
      <c r="CYK9" s="17"/>
      <c r="CYL9" s="17"/>
      <c r="CYM9" s="17"/>
      <c r="CYN9" s="17"/>
      <c r="CYO9" s="17"/>
      <c r="CYP9" s="17"/>
      <c r="CYQ9" s="17"/>
      <c r="CYR9" s="17"/>
      <c r="CYS9" s="17"/>
      <c r="CYT9" s="17"/>
      <c r="CYU9" s="17"/>
      <c r="CYV9" s="17"/>
      <c r="CYW9" s="17"/>
      <c r="CYX9" s="17"/>
      <c r="CYY9" s="17"/>
      <c r="CYZ9" s="17"/>
      <c r="CZA9" s="17"/>
      <c r="CZB9" s="17"/>
      <c r="CZC9" s="17"/>
      <c r="CZD9" s="17"/>
      <c r="CZE9" s="17"/>
      <c r="CZF9" s="17"/>
      <c r="CZG9" s="17"/>
      <c r="CZH9" s="17"/>
      <c r="CZI9" s="17"/>
      <c r="CZJ9" s="17"/>
      <c r="CZK9" s="17"/>
      <c r="CZL9" s="17"/>
      <c r="CZM9" s="17"/>
      <c r="CZN9" s="17"/>
      <c r="CZO9" s="17"/>
      <c r="CZP9" s="17"/>
      <c r="CZQ9" s="17"/>
      <c r="CZR9" s="17"/>
      <c r="CZS9" s="17"/>
      <c r="CZT9" s="17"/>
      <c r="CZU9" s="17"/>
      <c r="CZV9" s="17"/>
      <c r="CZW9" s="17"/>
      <c r="CZX9" s="17"/>
      <c r="CZY9" s="17"/>
      <c r="CZZ9" s="17"/>
      <c r="DAA9" s="17"/>
      <c r="DAB9" s="17"/>
      <c r="DAC9" s="17"/>
      <c r="DAD9" s="17"/>
      <c r="DAE9" s="17"/>
      <c r="DAF9" s="17"/>
      <c r="DAG9" s="17"/>
      <c r="DAH9" s="17"/>
      <c r="DAI9" s="17"/>
      <c r="DAJ9" s="17"/>
      <c r="DAK9" s="17"/>
      <c r="DAL9" s="17"/>
      <c r="DAM9" s="17"/>
      <c r="DAN9" s="17"/>
      <c r="DAO9" s="17"/>
      <c r="DAP9" s="17"/>
      <c r="DAQ9" s="17"/>
      <c r="DAR9" s="17"/>
      <c r="DAS9" s="17"/>
      <c r="DAT9" s="17"/>
      <c r="DAU9" s="17"/>
      <c r="DAV9" s="17"/>
      <c r="DAW9" s="17"/>
      <c r="DAX9" s="17"/>
      <c r="DAY9" s="17"/>
      <c r="DAZ9" s="17"/>
      <c r="DBA9" s="17"/>
      <c r="DBB9" s="17"/>
      <c r="DBC9" s="17"/>
      <c r="DBD9" s="17"/>
      <c r="DBE9" s="17"/>
      <c r="DBF9" s="17"/>
      <c r="DBG9" s="17"/>
      <c r="DBH9" s="17"/>
      <c r="DBI9" s="17"/>
      <c r="DBJ9" s="17"/>
      <c r="DBK9" s="17"/>
      <c r="DBL9" s="17"/>
      <c r="DBM9" s="17"/>
      <c r="DBN9" s="17"/>
      <c r="DBO9" s="17"/>
      <c r="DBP9" s="17"/>
      <c r="DBQ9" s="17"/>
      <c r="DBR9" s="17"/>
      <c r="DBS9" s="17"/>
      <c r="DBT9" s="17"/>
      <c r="DBU9" s="17"/>
      <c r="DBV9" s="17"/>
      <c r="DBW9" s="17"/>
      <c r="DBX9" s="17"/>
      <c r="DBY9" s="17"/>
      <c r="DBZ9" s="17"/>
      <c r="DCA9" s="17"/>
      <c r="DCB9" s="17"/>
      <c r="DCC9" s="17"/>
      <c r="DCD9" s="17"/>
      <c r="DCE9" s="17"/>
      <c r="DCF9" s="17"/>
      <c r="DCG9" s="17"/>
      <c r="DCH9" s="17"/>
      <c r="DCI9" s="17"/>
      <c r="DCJ9" s="17"/>
      <c r="DCK9" s="17"/>
      <c r="DCL9" s="17"/>
      <c r="DCM9" s="17"/>
      <c r="DCN9" s="17"/>
      <c r="DCO9" s="17"/>
      <c r="DCP9" s="17"/>
      <c r="DCQ9" s="17"/>
      <c r="DCR9" s="17"/>
      <c r="DCS9" s="17"/>
      <c r="DCT9" s="17"/>
      <c r="DCU9" s="17"/>
      <c r="DCV9" s="17"/>
      <c r="DCW9" s="17"/>
      <c r="DCX9" s="17"/>
      <c r="DCY9" s="17"/>
      <c r="DCZ9" s="17"/>
      <c r="DDA9" s="17"/>
      <c r="DDB9" s="17"/>
      <c r="DDC9" s="17"/>
      <c r="DDD9" s="17"/>
      <c r="DDE9" s="17"/>
      <c r="DDF9" s="17"/>
      <c r="DDG9" s="17"/>
      <c r="DDH9" s="17"/>
      <c r="DDI9" s="17"/>
      <c r="DDJ9" s="17"/>
      <c r="DDK9" s="17"/>
      <c r="DDL9" s="17"/>
      <c r="DDM9" s="17"/>
      <c r="DDN9" s="17"/>
      <c r="DDO9" s="17"/>
      <c r="DDP9" s="17"/>
      <c r="DDQ9" s="17"/>
      <c r="DDR9" s="17"/>
      <c r="DDS9" s="17"/>
      <c r="DDT9" s="17"/>
      <c r="DDU9" s="17"/>
      <c r="DDV9" s="17"/>
      <c r="DDW9" s="17"/>
      <c r="DDX9" s="17"/>
      <c r="DDY9" s="17"/>
      <c r="DDZ9" s="17"/>
      <c r="DEA9" s="17"/>
      <c r="DEB9" s="17"/>
      <c r="DEC9" s="17"/>
      <c r="DED9" s="17"/>
      <c r="DEE9" s="17"/>
      <c r="DEF9" s="17"/>
      <c r="DEG9" s="17"/>
      <c r="DEH9" s="17"/>
      <c r="DEI9" s="17"/>
      <c r="DEJ9" s="17"/>
      <c r="DEK9" s="17"/>
      <c r="DEL9" s="17"/>
      <c r="DEM9" s="17"/>
      <c r="DEN9" s="17"/>
      <c r="DEO9" s="17"/>
      <c r="DEP9" s="17"/>
      <c r="DEQ9" s="17"/>
      <c r="DER9" s="17"/>
      <c r="DES9" s="17"/>
      <c r="DET9" s="17"/>
      <c r="DEU9" s="17"/>
      <c r="DEV9" s="17"/>
      <c r="DEW9" s="17"/>
      <c r="DEX9" s="17"/>
      <c r="DEY9" s="17"/>
      <c r="DEZ9" s="17"/>
      <c r="DFA9" s="17"/>
      <c r="DFB9" s="17"/>
      <c r="DFC9" s="17"/>
      <c r="DFD9" s="17"/>
      <c r="DFE9" s="17"/>
      <c r="DFF9" s="17"/>
      <c r="DFG9" s="17"/>
      <c r="DFH9" s="17"/>
      <c r="DFI9" s="17"/>
      <c r="DFJ9" s="17"/>
      <c r="DFK9" s="17"/>
      <c r="DFL9" s="17"/>
      <c r="DFM9" s="17"/>
      <c r="DFN9" s="17"/>
      <c r="DFO9" s="17"/>
      <c r="DFP9" s="17"/>
      <c r="DFQ9" s="17"/>
      <c r="DFR9" s="17"/>
      <c r="DFS9" s="17"/>
      <c r="DFT9" s="17"/>
      <c r="DFU9" s="17"/>
      <c r="DFV9" s="17"/>
      <c r="DFW9" s="17"/>
      <c r="DFX9" s="17"/>
      <c r="DFY9" s="17"/>
      <c r="DFZ9" s="17"/>
      <c r="DGA9" s="17"/>
      <c r="DGB9" s="17"/>
      <c r="DGC9" s="17"/>
      <c r="DGD9" s="17"/>
      <c r="DGE9" s="17"/>
      <c r="DGF9" s="17"/>
      <c r="DGG9" s="17"/>
      <c r="DGH9" s="17"/>
      <c r="DGI9" s="17"/>
      <c r="DGJ9" s="17"/>
      <c r="DGK9" s="17"/>
      <c r="DGL9" s="17"/>
      <c r="DGM9" s="17"/>
      <c r="DGN9" s="17"/>
      <c r="DGO9" s="17"/>
      <c r="DGP9" s="17"/>
      <c r="DGQ9" s="17"/>
      <c r="DGR9" s="17"/>
      <c r="DGS9" s="17"/>
      <c r="DGT9" s="17"/>
      <c r="DGU9" s="17"/>
      <c r="DGV9" s="17"/>
      <c r="DGW9" s="17"/>
      <c r="DGX9" s="17"/>
      <c r="DGY9" s="17"/>
      <c r="DGZ9" s="17"/>
      <c r="DHA9" s="17"/>
      <c r="DHB9" s="17"/>
      <c r="DHC9" s="17"/>
      <c r="DHD9" s="17"/>
      <c r="DHE9" s="17"/>
      <c r="DHF9" s="17"/>
      <c r="DHG9" s="17"/>
      <c r="DHH9" s="17"/>
      <c r="DHI9" s="17"/>
      <c r="DHJ9" s="17"/>
      <c r="DHK9" s="17"/>
      <c r="DHL9" s="17"/>
      <c r="DHM9" s="17"/>
      <c r="DHN9" s="17"/>
      <c r="DHO9" s="17"/>
      <c r="DHP9" s="17"/>
      <c r="DHQ9" s="17"/>
      <c r="DHR9" s="17"/>
      <c r="DHS9" s="17"/>
      <c r="DHT9" s="17"/>
      <c r="DHU9" s="17"/>
      <c r="DHV9" s="17"/>
      <c r="DHW9" s="17"/>
      <c r="DHX9" s="17"/>
      <c r="DHY9" s="17"/>
      <c r="DHZ9" s="17"/>
      <c r="DIA9" s="17"/>
      <c r="DIB9" s="17"/>
      <c r="DIC9" s="17"/>
      <c r="DID9" s="17"/>
      <c r="DIE9" s="17"/>
      <c r="DIF9" s="17"/>
      <c r="DIG9" s="17"/>
      <c r="DIH9" s="17"/>
      <c r="DII9" s="17"/>
      <c r="DIJ9" s="17"/>
      <c r="DIK9" s="17"/>
      <c r="DIL9" s="17"/>
      <c r="DIM9" s="17"/>
      <c r="DIN9" s="17"/>
      <c r="DIO9" s="17"/>
      <c r="DIP9" s="17"/>
      <c r="DIQ9" s="17"/>
      <c r="DIR9" s="17"/>
      <c r="DIS9" s="17"/>
      <c r="DIT9" s="17"/>
      <c r="DIU9" s="17"/>
      <c r="DIV9" s="17"/>
      <c r="DIW9" s="17"/>
      <c r="DIX9" s="17"/>
      <c r="DIY9" s="17"/>
      <c r="DIZ9" s="17"/>
      <c r="DJA9" s="17"/>
      <c r="DJB9" s="17"/>
      <c r="DJC9" s="17"/>
      <c r="DJD9" s="17"/>
      <c r="DJE9" s="17"/>
      <c r="DJF9" s="17"/>
      <c r="DJG9" s="17"/>
      <c r="DJH9" s="17"/>
      <c r="DJI9" s="17"/>
      <c r="DJJ9" s="17"/>
      <c r="DJK9" s="17"/>
      <c r="DJL9" s="17"/>
      <c r="DJM9" s="17"/>
      <c r="DJN9" s="17"/>
      <c r="DJO9" s="17"/>
      <c r="DJP9" s="17"/>
      <c r="DJQ9" s="17"/>
      <c r="DJR9" s="17"/>
      <c r="DJS9" s="17"/>
      <c r="DJT9" s="17"/>
      <c r="DJU9" s="17"/>
      <c r="DJV9" s="17"/>
      <c r="DJW9" s="17"/>
      <c r="DJX9" s="17"/>
      <c r="DJY9" s="17"/>
      <c r="DJZ9" s="17"/>
      <c r="DKA9" s="17"/>
      <c r="DKB9" s="17"/>
      <c r="DKC9" s="17"/>
      <c r="DKD9" s="17"/>
      <c r="DKE9" s="17"/>
      <c r="DKF9" s="17"/>
      <c r="DKG9" s="17"/>
      <c r="DKH9" s="17"/>
      <c r="DKI9" s="17"/>
      <c r="DKJ9" s="17"/>
      <c r="DKK9" s="17"/>
      <c r="DKL9" s="17"/>
      <c r="DKM9" s="17"/>
      <c r="DKN9" s="17"/>
      <c r="DKO9" s="17"/>
      <c r="DKP9" s="17"/>
      <c r="DKQ9" s="17"/>
      <c r="DKR9" s="17"/>
      <c r="DKS9" s="17"/>
      <c r="DKT9" s="17"/>
      <c r="DKU9" s="17"/>
      <c r="DKV9" s="17"/>
      <c r="DKW9" s="17"/>
      <c r="DKX9" s="17"/>
      <c r="DKY9" s="17"/>
      <c r="DKZ9" s="17"/>
      <c r="DLA9" s="17"/>
      <c r="DLB9" s="17"/>
      <c r="DLC9" s="17"/>
      <c r="DLD9" s="17"/>
      <c r="DLE9" s="17"/>
      <c r="DLF9" s="17"/>
      <c r="DLG9" s="17"/>
      <c r="DLH9" s="17"/>
      <c r="DLI9" s="17"/>
      <c r="DLJ9" s="17"/>
      <c r="DLK9" s="17"/>
      <c r="DLL9" s="17"/>
      <c r="DLM9" s="17"/>
      <c r="DLN9" s="17"/>
      <c r="DLO9" s="17"/>
      <c r="DLP9" s="17"/>
      <c r="DLQ9" s="17"/>
      <c r="DLR9" s="17"/>
      <c r="DLS9" s="17"/>
      <c r="DLT9" s="17"/>
      <c r="DLU9" s="17"/>
      <c r="DLV9" s="17"/>
      <c r="DLW9" s="17"/>
      <c r="DLX9" s="17"/>
      <c r="DLY9" s="17"/>
      <c r="DLZ9" s="17"/>
      <c r="DMA9" s="17"/>
      <c r="DMB9" s="17"/>
      <c r="DMC9" s="17"/>
      <c r="DMD9" s="17"/>
      <c r="DME9" s="17"/>
      <c r="DMF9" s="17"/>
      <c r="DMG9" s="17"/>
      <c r="DMH9" s="17"/>
      <c r="DMI9" s="17"/>
      <c r="DMJ9" s="17"/>
      <c r="DMK9" s="17"/>
      <c r="DML9" s="17"/>
      <c r="DMM9" s="17"/>
      <c r="DMN9" s="17"/>
      <c r="DMO9" s="17"/>
      <c r="DMP9" s="17"/>
      <c r="DMQ9" s="17"/>
      <c r="DMR9" s="17"/>
      <c r="DMS9" s="17"/>
      <c r="DMT9" s="17"/>
      <c r="DMU9" s="17"/>
      <c r="DMV9" s="17"/>
      <c r="DMW9" s="17"/>
      <c r="DMX9" s="17"/>
      <c r="DMY9" s="17"/>
      <c r="DMZ9" s="17"/>
      <c r="DNA9" s="17"/>
      <c r="DNB9" s="17"/>
      <c r="DNC9" s="17"/>
      <c r="DND9" s="17"/>
      <c r="DNE9" s="17"/>
      <c r="DNF9" s="17"/>
      <c r="DNG9" s="17"/>
      <c r="DNH9" s="17"/>
      <c r="DNI9" s="17"/>
      <c r="DNJ9" s="17"/>
      <c r="DNK9" s="17"/>
      <c r="DNL9" s="17"/>
      <c r="DNM9" s="17"/>
      <c r="DNN9" s="17"/>
      <c r="DNO9" s="17"/>
      <c r="DNP9" s="17"/>
      <c r="DNQ9" s="17"/>
      <c r="DNR9" s="17"/>
      <c r="DNS9" s="17"/>
      <c r="DNT9" s="17"/>
      <c r="DNU9" s="17"/>
      <c r="DNV9" s="17"/>
      <c r="DNW9" s="17"/>
      <c r="DNX9" s="17"/>
      <c r="DNY9" s="17"/>
      <c r="DNZ9" s="17"/>
      <c r="DOA9" s="17"/>
      <c r="DOB9" s="17"/>
      <c r="DOC9" s="17"/>
      <c r="DOD9" s="17"/>
      <c r="DOE9" s="17"/>
      <c r="DOF9" s="17"/>
      <c r="DOG9" s="17"/>
      <c r="DOH9" s="17"/>
      <c r="DOI9" s="17"/>
      <c r="DOJ9" s="17"/>
      <c r="DOK9" s="17"/>
      <c r="DOL9" s="17"/>
      <c r="DOM9" s="17"/>
      <c r="DON9" s="17"/>
      <c r="DOO9" s="17"/>
      <c r="DOP9" s="17"/>
      <c r="DOQ9" s="17"/>
      <c r="DOR9" s="17"/>
      <c r="DOS9" s="17"/>
      <c r="DOT9" s="17"/>
      <c r="DOU9" s="17"/>
      <c r="DOV9" s="17"/>
      <c r="DOW9" s="17"/>
      <c r="DOX9" s="17"/>
      <c r="DOY9" s="17"/>
      <c r="DOZ9" s="17"/>
      <c r="DPA9" s="17"/>
      <c r="DPB9" s="17"/>
      <c r="DPC9" s="17"/>
      <c r="DPD9" s="17"/>
      <c r="DPE9" s="17"/>
      <c r="DPF9" s="17"/>
      <c r="DPG9" s="17"/>
      <c r="DPH9" s="17"/>
      <c r="DPI9" s="17"/>
      <c r="DPJ9" s="17"/>
      <c r="DPK9" s="17"/>
      <c r="DPL9" s="17"/>
      <c r="DPM9" s="17"/>
      <c r="DPN9" s="17"/>
      <c r="DPO9" s="17"/>
      <c r="DPP9" s="17"/>
      <c r="DPQ9" s="17"/>
      <c r="DPR9" s="17"/>
      <c r="DPS9" s="17"/>
      <c r="DPT9" s="17"/>
      <c r="DPU9" s="17"/>
      <c r="DPV9" s="17"/>
      <c r="DPW9" s="17"/>
      <c r="DPX9" s="17"/>
      <c r="DPY9" s="17"/>
      <c r="DPZ9" s="17"/>
      <c r="DQA9" s="17"/>
      <c r="DQB9" s="17"/>
      <c r="DQC9" s="17"/>
      <c r="DQD9" s="17"/>
      <c r="DQE9" s="17"/>
      <c r="DQF9" s="17"/>
      <c r="DQG9" s="17"/>
      <c r="DQH9" s="17"/>
      <c r="DQI9" s="17"/>
      <c r="DQJ9" s="17"/>
      <c r="DQK9" s="17"/>
      <c r="DQL9" s="17"/>
      <c r="DQM9" s="17"/>
      <c r="DQN9" s="17"/>
      <c r="DQO9" s="17"/>
      <c r="DQP9" s="17"/>
      <c r="DQQ9" s="17"/>
      <c r="DQR9" s="17"/>
      <c r="DQS9" s="17"/>
      <c r="DQT9" s="17"/>
      <c r="DQU9" s="17"/>
      <c r="DQV9" s="17"/>
      <c r="DQW9" s="17"/>
      <c r="DQX9" s="17"/>
      <c r="DQY9" s="17"/>
      <c r="DQZ9" s="17"/>
      <c r="DRA9" s="17"/>
      <c r="DRB9" s="17"/>
      <c r="DRC9" s="17"/>
      <c r="DRD9" s="17"/>
      <c r="DRE9" s="17"/>
      <c r="DRF9" s="17"/>
      <c r="DRG9" s="17"/>
      <c r="DRH9" s="17"/>
      <c r="DRI9" s="17"/>
      <c r="DRJ9" s="17"/>
      <c r="DRK9" s="17"/>
      <c r="DRL9" s="17"/>
      <c r="DRM9" s="17"/>
      <c r="DRN9" s="17"/>
      <c r="DRO9" s="17"/>
      <c r="DRP9" s="17"/>
      <c r="DRQ9" s="17"/>
      <c r="DRR9" s="17"/>
      <c r="DRS9" s="17"/>
      <c r="DRT9" s="17"/>
      <c r="DRU9" s="17"/>
      <c r="DRV9" s="17"/>
      <c r="DRW9" s="17"/>
      <c r="DRX9" s="17"/>
      <c r="DRY9" s="17"/>
      <c r="DRZ9" s="17"/>
      <c r="DSA9" s="17"/>
      <c r="DSB9" s="17"/>
      <c r="DSC9" s="17"/>
      <c r="DSD9" s="17"/>
      <c r="DSE9" s="17"/>
      <c r="DSF9" s="17"/>
      <c r="DSG9" s="17"/>
      <c r="DSH9" s="17"/>
      <c r="DSI9" s="17"/>
      <c r="DSJ9" s="17"/>
      <c r="DSK9" s="17"/>
      <c r="DSL9" s="17"/>
      <c r="DSM9" s="17"/>
      <c r="DSN9" s="17"/>
      <c r="DSO9" s="17"/>
      <c r="DSP9" s="17"/>
      <c r="DSQ9" s="17"/>
      <c r="DSR9" s="17"/>
      <c r="DSS9" s="17"/>
      <c r="DST9" s="17"/>
      <c r="DSU9" s="17"/>
      <c r="DSV9" s="17"/>
      <c r="DSW9" s="17"/>
      <c r="DSX9" s="17"/>
      <c r="DSY9" s="17"/>
      <c r="DSZ9" s="17"/>
      <c r="DTA9" s="17"/>
      <c r="DTB9" s="17"/>
      <c r="DTC9" s="17"/>
      <c r="DTD9" s="17"/>
      <c r="DTE9" s="17"/>
      <c r="DTF9" s="17"/>
      <c r="DTG9" s="17"/>
      <c r="DTH9" s="17"/>
      <c r="DTI9" s="17"/>
      <c r="DTJ9" s="17"/>
      <c r="DTK9" s="17"/>
      <c r="DTL9" s="17"/>
      <c r="DTM9" s="17"/>
      <c r="DTN9" s="17"/>
      <c r="DTO9" s="17"/>
      <c r="DTP9" s="17"/>
      <c r="DTQ9" s="17"/>
      <c r="DTR9" s="17"/>
      <c r="DTS9" s="17"/>
      <c r="DTT9" s="17"/>
      <c r="DTU9" s="17"/>
      <c r="DTV9" s="17"/>
      <c r="DTW9" s="17"/>
      <c r="DTX9" s="17"/>
      <c r="DTY9" s="17"/>
      <c r="DTZ9" s="17"/>
      <c r="DUA9" s="17"/>
      <c r="DUB9" s="17"/>
      <c r="DUC9" s="17"/>
      <c r="DUD9" s="17"/>
      <c r="DUE9" s="17"/>
      <c r="DUF9" s="17"/>
      <c r="DUG9" s="17"/>
      <c r="DUH9" s="17"/>
      <c r="DUI9" s="17"/>
      <c r="DUJ9" s="17"/>
      <c r="DUK9" s="17"/>
      <c r="DUL9" s="17"/>
      <c r="DUM9" s="17"/>
      <c r="DUN9" s="17"/>
      <c r="DUO9" s="17"/>
      <c r="DUP9" s="17"/>
      <c r="DUQ9" s="17"/>
      <c r="DUR9" s="17"/>
      <c r="DUS9" s="17"/>
      <c r="DUT9" s="17"/>
      <c r="DUU9" s="17"/>
      <c r="DUV9" s="17"/>
      <c r="DUW9" s="17"/>
      <c r="DUX9" s="17"/>
      <c r="DUY9" s="17"/>
      <c r="DUZ9" s="17"/>
      <c r="DVA9" s="17"/>
      <c r="DVB9" s="17"/>
      <c r="DVC9" s="17"/>
      <c r="DVD9" s="17"/>
      <c r="DVE9" s="17"/>
      <c r="DVF9" s="17"/>
      <c r="DVG9" s="17"/>
      <c r="DVH9" s="17"/>
      <c r="DVI9" s="17"/>
      <c r="DVJ9" s="17"/>
      <c r="DVK9" s="17"/>
      <c r="DVL9" s="17"/>
      <c r="DVM9" s="17"/>
      <c r="DVN9" s="17"/>
      <c r="DVO9" s="17"/>
      <c r="DVP9" s="17"/>
      <c r="DVQ9" s="17"/>
      <c r="DVR9" s="17"/>
      <c r="DVS9" s="17"/>
      <c r="DVT9" s="17"/>
      <c r="DVU9" s="17"/>
      <c r="DVV9" s="17"/>
      <c r="DVW9" s="17"/>
      <c r="DVX9" s="17"/>
      <c r="DVY9" s="17"/>
      <c r="DVZ9" s="17"/>
      <c r="DWA9" s="17"/>
      <c r="DWB9" s="17"/>
      <c r="DWC9" s="17"/>
      <c r="DWD9" s="17"/>
      <c r="DWE9" s="17"/>
      <c r="DWF9" s="17"/>
      <c r="DWG9" s="17"/>
      <c r="DWH9" s="17"/>
      <c r="DWI9" s="17"/>
      <c r="DWJ9" s="17"/>
      <c r="DWK9" s="17"/>
      <c r="DWL9" s="17"/>
      <c r="DWM9" s="17"/>
      <c r="DWN9" s="17"/>
      <c r="DWO9" s="17"/>
      <c r="DWP9" s="17"/>
      <c r="DWQ9" s="17"/>
      <c r="DWR9" s="17"/>
      <c r="DWS9" s="17"/>
      <c r="DWT9" s="17"/>
      <c r="DWU9" s="17"/>
      <c r="DWV9" s="17"/>
      <c r="DWW9" s="17"/>
      <c r="DWX9" s="17"/>
      <c r="DWY9" s="17"/>
      <c r="DWZ9" s="17"/>
      <c r="DXA9" s="17"/>
      <c r="DXB9" s="17"/>
      <c r="DXC9" s="17"/>
      <c r="DXD9" s="17"/>
      <c r="DXE9" s="17"/>
      <c r="DXF9" s="17"/>
      <c r="DXG9" s="17"/>
      <c r="DXH9" s="17"/>
      <c r="DXI9" s="17"/>
      <c r="DXJ9" s="17"/>
      <c r="DXK9" s="17"/>
      <c r="DXL9" s="17"/>
      <c r="DXM9" s="17"/>
      <c r="DXN9" s="17"/>
      <c r="DXO9" s="17"/>
      <c r="DXP9" s="17"/>
      <c r="DXQ9" s="17"/>
      <c r="DXR9" s="17"/>
      <c r="DXS9" s="17"/>
      <c r="DXT9" s="17"/>
      <c r="DXU9" s="17"/>
      <c r="DXV9" s="17"/>
      <c r="DXW9" s="17"/>
      <c r="DXX9" s="17"/>
      <c r="DXY9" s="17"/>
      <c r="DXZ9" s="17"/>
      <c r="DYA9" s="17"/>
      <c r="DYB9" s="17"/>
      <c r="DYC9" s="17"/>
      <c r="DYD9" s="17"/>
      <c r="DYE9" s="17"/>
      <c r="DYF9" s="17"/>
      <c r="DYG9" s="17"/>
      <c r="DYH9" s="17"/>
      <c r="DYI9" s="17"/>
      <c r="DYJ9" s="17"/>
      <c r="DYK9" s="17"/>
      <c r="DYL9" s="17"/>
      <c r="DYM9" s="17"/>
      <c r="DYN9" s="17"/>
      <c r="DYO9" s="17"/>
      <c r="DYP9" s="17"/>
      <c r="DYQ9" s="17"/>
      <c r="DYR9" s="17"/>
      <c r="DYS9" s="17"/>
      <c r="DYT9" s="17"/>
      <c r="DYU9" s="17"/>
      <c r="DYV9" s="17"/>
      <c r="DYW9" s="17"/>
      <c r="DYX9" s="17"/>
      <c r="DYY9" s="17"/>
      <c r="DYZ9" s="17"/>
      <c r="DZA9" s="17"/>
      <c r="DZB9" s="17"/>
      <c r="DZC9" s="17"/>
      <c r="DZD9" s="17"/>
      <c r="DZE9" s="17"/>
      <c r="DZF9" s="17"/>
      <c r="DZG9" s="17"/>
      <c r="DZH9" s="17"/>
      <c r="DZI9" s="17"/>
      <c r="DZJ9" s="17"/>
      <c r="DZK9" s="17"/>
      <c r="DZL9" s="17"/>
      <c r="DZM9" s="17"/>
      <c r="DZN9" s="17"/>
      <c r="DZO9" s="17"/>
      <c r="DZP9" s="17"/>
      <c r="DZQ9" s="17"/>
      <c r="DZR9" s="17"/>
      <c r="DZS9" s="17"/>
      <c r="DZT9" s="17"/>
      <c r="DZU9" s="17"/>
      <c r="DZV9" s="17"/>
      <c r="DZW9" s="17"/>
      <c r="DZX9" s="17"/>
      <c r="DZY9" s="17"/>
      <c r="DZZ9" s="17"/>
      <c r="EAA9" s="17"/>
      <c r="EAB9" s="17"/>
      <c r="EAC9" s="17"/>
      <c r="EAD9" s="17"/>
      <c r="EAE9" s="17"/>
      <c r="EAF9" s="17"/>
      <c r="EAG9" s="17"/>
      <c r="EAH9" s="17"/>
      <c r="EAI9" s="17"/>
      <c r="EAJ9" s="17"/>
      <c r="EAK9" s="17"/>
      <c r="EAL9" s="17"/>
      <c r="EAM9" s="17"/>
      <c r="EAN9" s="17"/>
      <c r="EAO9" s="17"/>
      <c r="EAP9" s="17"/>
      <c r="EAQ9" s="17"/>
      <c r="EAR9" s="17"/>
      <c r="EAS9" s="17"/>
      <c r="EAT9" s="17"/>
      <c r="EAU9" s="17"/>
      <c r="EAV9" s="17"/>
      <c r="EAW9" s="17"/>
      <c r="EAX9" s="17"/>
      <c r="EAY9" s="17"/>
      <c r="EAZ9" s="17"/>
      <c r="EBA9" s="17"/>
      <c r="EBB9" s="17"/>
      <c r="EBC9" s="17"/>
      <c r="EBD9" s="17"/>
      <c r="EBE9" s="17"/>
      <c r="EBF9" s="17"/>
      <c r="EBG9" s="17"/>
      <c r="EBH9" s="17"/>
      <c r="EBI9" s="17"/>
      <c r="EBJ9" s="17"/>
      <c r="EBK9" s="17"/>
      <c r="EBL9" s="17"/>
      <c r="EBM9" s="17"/>
      <c r="EBN9" s="17"/>
      <c r="EBO9" s="17"/>
      <c r="EBP9" s="17"/>
      <c r="EBQ9" s="17"/>
      <c r="EBR9" s="17"/>
      <c r="EBS9" s="17"/>
      <c r="EBT9" s="17"/>
      <c r="EBU9" s="17"/>
      <c r="EBV9" s="17"/>
      <c r="EBW9" s="17"/>
      <c r="EBX9" s="17"/>
      <c r="EBY9" s="17"/>
      <c r="EBZ9" s="17"/>
      <c r="ECA9" s="17"/>
      <c r="ECB9" s="17"/>
      <c r="ECC9" s="17"/>
      <c r="ECD9" s="17"/>
      <c r="ECE9" s="17"/>
      <c r="ECF9" s="17"/>
      <c r="ECG9" s="17"/>
      <c r="ECH9" s="17"/>
      <c r="ECI9" s="17"/>
      <c r="ECJ9" s="17"/>
      <c r="ECK9" s="17"/>
      <c r="ECL9" s="17"/>
      <c r="ECM9" s="17"/>
      <c r="ECN9" s="17"/>
      <c r="ECO9" s="17"/>
      <c r="ECP9" s="17"/>
      <c r="ECQ9" s="17"/>
      <c r="ECR9" s="17"/>
      <c r="ECS9" s="17"/>
      <c r="ECT9" s="17"/>
      <c r="ECU9" s="17"/>
      <c r="ECV9" s="17"/>
      <c r="ECW9" s="17"/>
      <c r="ECX9" s="17"/>
      <c r="ECY9" s="17"/>
      <c r="ECZ9" s="17"/>
      <c r="EDA9" s="17"/>
      <c r="EDB9" s="17"/>
      <c r="EDC9" s="17"/>
      <c r="EDD9" s="17"/>
      <c r="EDE9" s="17"/>
      <c r="EDF9" s="17"/>
      <c r="EDG9" s="17"/>
      <c r="EDH9" s="17"/>
      <c r="EDI9" s="17"/>
      <c r="EDJ9" s="17"/>
      <c r="EDK9" s="17"/>
      <c r="EDL9" s="17"/>
      <c r="EDM9" s="17"/>
      <c r="EDN9" s="17"/>
      <c r="EDO9" s="17"/>
      <c r="EDP9" s="17"/>
      <c r="EDQ9" s="17"/>
      <c r="EDR9" s="17"/>
      <c r="EDS9" s="17"/>
      <c r="EDT9" s="17"/>
      <c r="EDU9" s="17"/>
      <c r="EDV9" s="17"/>
      <c r="EDW9" s="17"/>
      <c r="EDX9" s="17"/>
      <c r="EDY9" s="17"/>
      <c r="EDZ9" s="17"/>
      <c r="EEA9" s="17"/>
      <c r="EEB9" s="17"/>
      <c r="EEC9" s="17"/>
      <c r="EED9" s="17"/>
      <c r="EEE9" s="17"/>
      <c r="EEF9" s="17"/>
      <c r="EEG9" s="17"/>
      <c r="EEH9" s="17"/>
      <c r="EEI9" s="17"/>
      <c r="EEJ9" s="17"/>
      <c r="EEK9" s="17"/>
      <c r="EEL9" s="17"/>
      <c r="EEM9" s="17"/>
      <c r="EEN9" s="17"/>
      <c r="EEO9" s="17"/>
      <c r="EEP9" s="17"/>
      <c r="EEQ9" s="17"/>
      <c r="EER9" s="17"/>
      <c r="EES9" s="17"/>
      <c r="EET9" s="17"/>
      <c r="EEU9" s="17"/>
      <c r="EEV9" s="17"/>
      <c r="EEW9" s="17"/>
      <c r="EEX9" s="17"/>
      <c r="EEY9" s="17"/>
      <c r="EEZ9" s="17"/>
      <c r="EFA9" s="17"/>
      <c r="EFB9" s="17"/>
      <c r="EFC9" s="17"/>
      <c r="EFD9" s="17"/>
      <c r="EFE9" s="17"/>
      <c r="EFF9" s="17"/>
      <c r="EFG9" s="17"/>
      <c r="EFH9" s="17"/>
      <c r="EFI9" s="17"/>
      <c r="EFJ9" s="17"/>
      <c r="EFK9" s="17"/>
      <c r="EFL9" s="17"/>
      <c r="EFM9" s="17"/>
      <c r="EFN9" s="17"/>
      <c r="EFO9" s="17"/>
      <c r="EFP9" s="17"/>
      <c r="EFQ9" s="17"/>
      <c r="EFR9" s="17"/>
      <c r="EFS9" s="17"/>
      <c r="EFT9" s="17"/>
      <c r="EFU9" s="17"/>
      <c r="EFV9" s="17"/>
      <c r="EFW9" s="17"/>
      <c r="EFX9" s="17"/>
      <c r="EFY9" s="17"/>
      <c r="EFZ9" s="17"/>
      <c r="EGA9" s="17"/>
      <c r="EGB9" s="17"/>
      <c r="EGC9" s="17"/>
      <c r="EGD9" s="17"/>
      <c r="EGE9" s="17"/>
      <c r="EGF9" s="17"/>
      <c r="EGG9" s="17"/>
      <c r="EGH9" s="17"/>
      <c r="EGI9" s="17"/>
      <c r="EGJ9" s="17"/>
      <c r="EGK9" s="17"/>
      <c r="EGL9" s="17"/>
      <c r="EGM9" s="17"/>
      <c r="EGN9" s="17"/>
      <c r="EGO9" s="17"/>
      <c r="EGP9" s="17"/>
      <c r="EGQ9" s="17"/>
      <c r="EGR9" s="17"/>
      <c r="EGS9" s="17"/>
      <c r="EGT9" s="17"/>
      <c r="EGU9" s="17"/>
      <c r="EGV9" s="17"/>
      <c r="EGW9" s="17"/>
      <c r="EGX9" s="17"/>
      <c r="EGY9" s="17"/>
      <c r="EGZ9" s="17"/>
      <c r="EHA9" s="17"/>
      <c r="EHB9" s="17"/>
      <c r="EHC9" s="17"/>
      <c r="EHD9" s="17"/>
      <c r="EHE9" s="17"/>
      <c r="EHF9" s="17"/>
      <c r="EHG9" s="17"/>
      <c r="EHH9" s="17"/>
      <c r="EHI9" s="17"/>
      <c r="EHJ9" s="17"/>
      <c r="EHK9" s="17"/>
      <c r="EHL9" s="17"/>
      <c r="EHM9" s="17"/>
      <c r="EHN9" s="17"/>
      <c r="EHO9" s="17"/>
      <c r="EHP9" s="17"/>
      <c r="EHQ9" s="17"/>
      <c r="EHR9" s="17"/>
      <c r="EHS9" s="17"/>
      <c r="EHT9" s="17"/>
      <c r="EHU9" s="17"/>
      <c r="EHV9" s="17"/>
      <c r="EHW9" s="17"/>
      <c r="EHX9" s="17"/>
      <c r="EHY9" s="17"/>
      <c r="EHZ9" s="17"/>
      <c r="EIA9" s="17"/>
      <c r="EIB9" s="17"/>
      <c r="EIC9" s="17"/>
      <c r="EID9" s="17"/>
      <c r="EIE9" s="17"/>
      <c r="EIF9" s="17"/>
      <c r="EIG9" s="17"/>
      <c r="EIH9" s="17"/>
      <c r="EII9" s="17"/>
      <c r="EIJ9" s="17"/>
      <c r="EIK9" s="17"/>
      <c r="EIL9" s="17"/>
      <c r="EIM9" s="17"/>
      <c r="EIN9" s="17"/>
      <c r="EIO9" s="17"/>
      <c r="EIP9" s="17"/>
      <c r="EIQ9" s="17"/>
      <c r="EIR9" s="17"/>
      <c r="EIS9" s="17"/>
      <c r="EIT9" s="17"/>
      <c r="EIU9" s="17"/>
      <c r="EIV9" s="17"/>
      <c r="EIW9" s="17"/>
      <c r="EIX9" s="17"/>
      <c r="EIY9" s="17"/>
      <c r="EIZ9" s="17"/>
      <c r="EJA9" s="17"/>
      <c r="EJB9" s="17"/>
      <c r="EJC9" s="17"/>
      <c r="EJD9" s="17"/>
      <c r="EJE9" s="17"/>
      <c r="EJF9" s="17"/>
      <c r="EJG9" s="17"/>
      <c r="EJH9" s="17"/>
      <c r="EJI9" s="17"/>
      <c r="EJJ9" s="17"/>
      <c r="EJK9" s="17"/>
      <c r="EJL9" s="17"/>
      <c r="EJM9" s="17"/>
      <c r="EJN9" s="17"/>
      <c r="EJO9" s="17"/>
      <c r="EJP9" s="17"/>
      <c r="EJQ9" s="17"/>
      <c r="EJR9" s="17"/>
      <c r="EJS9" s="17"/>
      <c r="EJT9" s="17"/>
      <c r="EJU9" s="17"/>
      <c r="EJV9" s="17"/>
      <c r="EJW9" s="17"/>
      <c r="EJX9" s="17"/>
      <c r="EJY9" s="17"/>
      <c r="EJZ9" s="17"/>
      <c r="EKA9" s="17"/>
      <c r="EKB9" s="17"/>
      <c r="EKC9" s="17"/>
      <c r="EKD9" s="17"/>
      <c r="EKE9" s="17"/>
      <c r="EKF9" s="17"/>
      <c r="EKG9" s="17"/>
      <c r="EKH9" s="17"/>
      <c r="EKI9" s="17"/>
      <c r="EKJ9" s="17"/>
      <c r="EKK9" s="17"/>
      <c r="EKL9" s="17"/>
      <c r="EKM9" s="17"/>
      <c r="EKN9" s="17"/>
      <c r="EKO9" s="17"/>
      <c r="EKP9" s="17"/>
      <c r="EKQ9" s="17"/>
      <c r="EKR9" s="17"/>
      <c r="EKS9" s="17"/>
      <c r="EKT9" s="17"/>
      <c r="EKU9" s="17"/>
      <c r="EKV9" s="17"/>
      <c r="EKW9" s="17"/>
      <c r="EKX9" s="17"/>
      <c r="EKY9" s="17"/>
      <c r="EKZ9" s="17"/>
      <c r="ELA9" s="17"/>
      <c r="ELB9" s="17"/>
      <c r="ELC9" s="17"/>
      <c r="ELD9" s="17"/>
      <c r="ELE9" s="17"/>
      <c r="ELF9" s="17"/>
      <c r="ELG9" s="17"/>
      <c r="ELH9" s="17"/>
      <c r="ELI9" s="17"/>
      <c r="ELJ9" s="17"/>
      <c r="ELK9" s="17"/>
      <c r="ELL9" s="17"/>
      <c r="ELM9" s="17"/>
      <c r="ELN9" s="17"/>
      <c r="ELO9" s="17"/>
      <c r="ELP9" s="17"/>
      <c r="ELQ9" s="17"/>
      <c r="ELR9" s="17"/>
      <c r="ELS9" s="17"/>
      <c r="ELT9" s="17"/>
      <c r="ELU9" s="17"/>
      <c r="ELV9" s="17"/>
      <c r="ELW9" s="17"/>
      <c r="ELX9" s="17"/>
      <c r="ELY9" s="17"/>
      <c r="ELZ9" s="17"/>
      <c r="EMA9" s="17"/>
      <c r="EMB9" s="17"/>
      <c r="EMC9" s="17"/>
      <c r="EMD9" s="17"/>
      <c r="EME9" s="17"/>
      <c r="EMF9" s="17"/>
      <c r="EMG9" s="17"/>
      <c r="EMH9" s="17"/>
      <c r="EMI9" s="17"/>
      <c r="EMJ9" s="17"/>
      <c r="EMK9" s="17"/>
      <c r="EML9" s="17"/>
      <c r="EMM9" s="17"/>
      <c r="EMN9" s="17"/>
      <c r="EMO9" s="17"/>
      <c r="EMP9" s="17"/>
      <c r="EMQ9" s="17"/>
      <c r="EMR9" s="17"/>
      <c r="EMS9" s="17"/>
      <c r="EMT9" s="17"/>
      <c r="EMU9" s="17"/>
      <c r="EMV9" s="17"/>
      <c r="EMW9" s="17"/>
      <c r="EMX9" s="17"/>
      <c r="EMY9" s="17"/>
      <c r="EMZ9" s="17"/>
      <c r="ENA9" s="17"/>
      <c r="ENB9" s="17"/>
      <c r="ENC9" s="17"/>
      <c r="END9" s="17"/>
      <c r="ENE9" s="17"/>
      <c r="ENF9" s="17"/>
      <c r="ENG9" s="17"/>
      <c r="ENH9" s="17"/>
      <c r="ENI9" s="17"/>
      <c r="ENJ9" s="17"/>
      <c r="ENK9" s="17"/>
      <c r="ENL9" s="17"/>
      <c r="ENM9" s="17"/>
      <c r="ENN9" s="17"/>
      <c r="ENO9" s="17"/>
      <c r="ENP9" s="17"/>
      <c r="ENQ9" s="17"/>
      <c r="ENR9" s="17"/>
      <c r="ENS9" s="17"/>
      <c r="ENT9" s="17"/>
      <c r="ENU9" s="17"/>
      <c r="ENV9" s="17"/>
      <c r="ENW9" s="17"/>
      <c r="ENX9" s="17"/>
      <c r="ENY9" s="17"/>
      <c r="ENZ9" s="17"/>
      <c r="EOA9" s="17"/>
      <c r="EOB9" s="17"/>
      <c r="EOC9" s="17"/>
      <c r="EOD9" s="17"/>
      <c r="EOE9" s="17"/>
      <c r="EOF9" s="17"/>
      <c r="EOG9" s="17"/>
      <c r="EOH9" s="17"/>
      <c r="EOI9" s="17"/>
      <c r="EOJ9" s="17"/>
      <c r="EOK9" s="17"/>
      <c r="EOL9" s="17"/>
      <c r="EOM9" s="17"/>
      <c r="EON9" s="17"/>
      <c r="EOO9" s="17"/>
      <c r="EOP9" s="17"/>
      <c r="EOQ9" s="17"/>
      <c r="EOR9" s="17"/>
      <c r="EOS9" s="17"/>
      <c r="EOT9" s="17"/>
      <c r="EOU9" s="17"/>
      <c r="EOV9" s="17"/>
      <c r="EOW9" s="17"/>
      <c r="EOX9" s="17"/>
      <c r="EOY9" s="17"/>
      <c r="EOZ9" s="17"/>
      <c r="EPA9" s="17"/>
      <c r="EPB9" s="17"/>
      <c r="EPC9" s="17"/>
      <c r="EPD9" s="17"/>
      <c r="EPE9" s="17"/>
      <c r="EPF9" s="17"/>
      <c r="EPG9" s="17"/>
      <c r="EPH9" s="17"/>
      <c r="EPI9" s="17"/>
      <c r="EPJ9" s="17"/>
      <c r="EPK9" s="17"/>
      <c r="EPL9" s="17"/>
      <c r="EPM9" s="17"/>
      <c r="EPN9" s="17"/>
      <c r="EPO9" s="17"/>
      <c r="EPP9" s="17"/>
      <c r="EPQ9" s="17"/>
      <c r="EPR9" s="17"/>
      <c r="EPS9" s="17"/>
      <c r="EPT9" s="17"/>
      <c r="EPU9" s="17"/>
      <c r="EPV9" s="17"/>
      <c r="EPW9" s="17"/>
      <c r="EPX9" s="17"/>
      <c r="EPY9" s="17"/>
      <c r="EPZ9" s="17"/>
      <c r="EQA9" s="17"/>
      <c r="EQB9" s="17"/>
      <c r="EQC9" s="17"/>
      <c r="EQD9" s="17"/>
      <c r="EQE9" s="17"/>
      <c r="EQF9" s="17"/>
      <c r="EQG9" s="17"/>
      <c r="EQH9" s="17"/>
      <c r="EQI9" s="17"/>
      <c r="EQJ9" s="17"/>
      <c r="EQK9" s="17"/>
      <c r="EQL9" s="17"/>
      <c r="EQM9" s="17"/>
      <c r="EQN9" s="17"/>
      <c r="EQO9" s="17"/>
      <c r="EQP9" s="17"/>
      <c r="EQQ9" s="17"/>
      <c r="EQR9" s="17"/>
      <c r="EQS9" s="17"/>
      <c r="EQT9" s="17"/>
      <c r="EQU9" s="17"/>
      <c r="EQV9" s="17"/>
      <c r="EQW9" s="17"/>
      <c r="EQX9" s="17"/>
      <c r="EQY9" s="17"/>
      <c r="EQZ9" s="17"/>
      <c r="ERA9" s="17"/>
      <c r="ERB9" s="17"/>
      <c r="ERC9" s="17"/>
      <c r="ERD9" s="17"/>
      <c r="ERE9" s="17"/>
      <c r="ERF9" s="17"/>
      <c r="ERG9" s="17"/>
      <c r="ERH9" s="17"/>
      <c r="ERI9" s="17"/>
      <c r="ERJ9" s="17"/>
      <c r="ERK9" s="17"/>
      <c r="ERL9" s="17"/>
      <c r="ERM9" s="17"/>
      <c r="ERN9" s="17"/>
      <c r="ERO9" s="17"/>
      <c r="ERP9" s="17"/>
      <c r="ERQ9" s="17"/>
      <c r="ERR9" s="17"/>
      <c r="ERS9" s="17"/>
      <c r="ERT9" s="17"/>
      <c r="ERU9" s="17"/>
      <c r="ERV9" s="17"/>
      <c r="ERW9" s="17"/>
      <c r="ERX9" s="17"/>
      <c r="ERY9" s="17"/>
      <c r="ERZ9" s="17"/>
      <c r="ESA9" s="17"/>
      <c r="ESB9" s="17"/>
      <c r="ESC9" s="17"/>
      <c r="ESD9" s="17"/>
      <c r="ESE9" s="17"/>
      <c r="ESF9" s="17"/>
      <c r="ESG9" s="17"/>
      <c r="ESH9" s="17"/>
      <c r="ESI9" s="17"/>
      <c r="ESJ9" s="17"/>
      <c r="ESK9" s="17"/>
      <c r="ESL9" s="17"/>
      <c r="ESM9" s="17"/>
      <c r="ESN9" s="17"/>
      <c r="ESO9" s="17"/>
      <c r="ESP9" s="17"/>
      <c r="ESQ9" s="17"/>
      <c r="ESR9" s="17"/>
      <c r="ESS9" s="17"/>
      <c r="EST9" s="17"/>
      <c r="ESU9" s="17"/>
      <c r="ESV9" s="17"/>
      <c r="ESW9" s="17"/>
      <c r="ESX9" s="17"/>
      <c r="ESY9" s="17"/>
      <c r="ESZ9" s="17"/>
      <c r="ETA9" s="17"/>
      <c r="ETB9" s="17"/>
      <c r="ETC9" s="17"/>
      <c r="ETD9" s="17"/>
      <c r="ETE9" s="17"/>
      <c r="ETF9" s="17"/>
      <c r="ETG9" s="17"/>
      <c r="ETH9" s="17"/>
      <c r="ETI9" s="17"/>
      <c r="ETJ9" s="17"/>
      <c r="ETK9" s="17"/>
      <c r="ETL9" s="17"/>
      <c r="ETM9" s="17"/>
      <c r="ETN9" s="17"/>
      <c r="ETO9" s="17"/>
      <c r="ETP9" s="17"/>
      <c r="ETQ9" s="17"/>
      <c r="ETR9" s="17"/>
      <c r="ETS9" s="17"/>
      <c r="ETT9" s="17"/>
      <c r="ETU9" s="17"/>
      <c r="ETV9" s="17"/>
      <c r="ETW9" s="17"/>
      <c r="ETX9" s="17"/>
      <c r="ETY9" s="17"/>
      <c r="ETZ9" s="17"/>
      <c r="EUA9" s="17"/>
      <c r="EUB9" s="17"/>
      <c r="EUC9" s="17"/>
      <c r="EUD9" s="17"/>
      <c r="EUE9" s="17"/>
      <c r="EUF9" s="17"/>
      <c r="EUG9" s="17"/>
      <c r="EUH9" s="17"/>
      <c r="EUI9" s="17"/>
      <c r="EUJ9" s="17"/>
      <c r="EUK9" s="17"/>
      <c r="EUL9" s="17"/>
      <c r="EUM9" s="17"/>
      <c r="EUN9" s="17"/>
      <c r="EUO9" s="17"/>
      <c r="EUP9" s="17"/>
      <c r="EUQ9" s="17"/>
      <c r="EUR9" s="17"/>
      <c r="EUS9" s="17"/>
      <c r="EUT9" s="17"/>
      <c r="EUU9" s="17"/>
      <c r="EUV9" s="17"/>
      <c r="EUW9" s="17"/>
      <c r="EUX9" s="17"/>
      <c r="EUY9" s="17"/>
      <c r="EUZ9" s="17"/>
      <c r="EVA9" s="17"/>
      <c r="EVB9" s="17"/>
      <c r="EVC9" s="17"/>
      <c r="EVD9" s="17"/>
      <c r="EVE9" s="17"/>
      <c r="EVF9" s="17"/>
      <c r="EVG9" s="17"/>
      <c r="EVH9" s="17"/>
      <c r="EVI9" s="17"/>
      <c r="EVJ9" s="17"/>
      <c r="EVK9" s="17"/>
      <c r="EVL9" s="17"/>
      <c r="EVM9" s="17"/>
      <c r="EVN9" s="17"/>
      <c r="EVO9" s="17"/>
      <c r="EVP9" s="17"/>
      <c r="EVQ9" s="17"/>
      <c r="EVR9" s="17"/>
      <c r="EVS9" s="17"/>
      <c r="EVT9" s="17"/>
      <c r="EVU9" s="17"/>
      <c r="EVV9" s="17"/>
      <c r="EVW9" s="17"/>
      <c r="EVX9" s="17"/>
      <c r="EVY9" s="17"/>
      <c r="EVZ9" s="17"/>
      <c r="EWA9" s="17"/>
      <c r="EWB9" s="17"/>
      <c r="EWC9" s="17"/>
      <c r="EWD9" s="17"/>
      <c r="EWE9" s="17"/>
      <c r="EWF9" s="17"/>
      <c r="EWG9" s="17"/>
      <c r="EWH9" s="17"/>
      <c r="EWI9" s="17"/>
      <c r="EWJ9" s="17"/>
      <c r="EWK9" s="17"/>
      <c r="EWL9" s="17"/>
      <c r="EWM9" s="17"/>
      <c r="EWN9" s="17"/>
      <c r="EWO9" s="17"/>
      <c r="EWP9" s="17"/>
      <c r="EWQ9" s="17"/>
      <c r="EWR9" s="17"/>
      <c r="EWS9" s="17"/>
      <c r="EWT9" s="17"/>
      <c r="EWU9" s="17"/>
      <c r="EWV9" s="17"/>
      <c r="EWW9" s="17"/>
      <c r="EWX9" s="17"/>
      <c r="EWY9" s="17"/>
      <c r="EWZ9" s="17"/>
      <c r="EXA9" s="17"/>
      <c r="EXB9" s="17"/>
      <c r="EXC9" s="17"/>
      <c r="EXD9" s="17"/>
      <c r="EXE9" s="17"/>
      <c r="EXF9" s="17"/>
      <c r="EXG9" s="17"/>
      <c r="EXH9" s="17"/>
      <c r="EXI9" s="17"/>
      <c r="EXJ9" s="17"/>
      <c r="EXK9" s="17"/>
      <c r="EXL9" s="17"/>
      <c r="EXM9" s="17"/>
      <c r="EXN9" s="17"/>
      <c r="EXO9" s="17"/>
      <c r="EXP9" s="17"/>
      <c r="EXQ9" s="17"/>
      <c r="EXR9" s="17"/>
      <c r="EXS9" s="17"/>
      <c r="EXT9" s="17"/>
      <c r="EXU9" s="17"/>
      <c r="EXV9" s="17"/>
      <c r="EXW9" s="17"/>
      <c r="EXX9" s="17"/>
      <c r="EXY9" s="17"/>
      <c r="EXZ9" s="17"/>
      <c r="EYA9" s="17"/>
      <c r="EYB9" s="17"/>
      <c r="EYC9" s="17"/>
      <c r="EYD9" s="17"/>
      <c r="EYE9" s="17"/>
      <c r="EYF9" s="17"/>
      <c r="EYG9" s="17"/>
      <c r="EYH9" s="17"/>
      <c r="EYI9" s="17"/>
      <c r="EYJ9" s="17"/>
      <c r="EYK9" s="17"/>
      <c r="EYL9" s="17"/>
      <c r="EYM9" s="17"/>
      <c r="EYN9" s="17"/>
      <c r="EYO9" s="17"/>
      <c r="EYP9" s="17"/>
      <c r="EYQ9" s="17"/>
      <c r="EYR9" s="17"/>
      <c r="EYS9" s="17"/>
      <c r="EYT9" s="17"/>
      <c r="EYU9" s="17"/>
      <c r="EYV9" s="17"/>
      <c r="EYW9" s="17"/>
      <c r="EYX9" s="17"/>
      <c r="EYY9" s="17"/>
      <c r="EYZ9" s="17"/>
      <c r="EZA9" s="17"/>
      <c r="EZB9" s="17"/>
      <c r="EZC9" s="17"/>
      <c r="EZD9" s="17"/>
      <c r="EZE9" s="17"/>
      <c r="EZF9" s="17"/>
      <c r="EZG9" s="17"/>
      <c r="EZH9" s="17"/>
      <c r="EZI9" s="17"/>
      <c r="EZJ9" s="17"/>
      <c r="EZK9" s="17"/>
      <c r="EZL9" s="17"/>
      <c r="EZM9" s="17"/>
      <c r="EZN9" s="17"/>
      <c r="EZO9" s="17"/>
      <c r="EZP9" s="17"/>
      <c r="EZQ9" s="17"/>
      <c r="EZR9" s="17"/>
      <c r="EZS9" s="17"/>
      <c r="EZT9" s="17"/>
      <c r="EZU9" s="17"/>
      <c r="EZV9" s="17"/>
      <c r="EZW9" s="17"/>
      <c r="EZX9" s="17"/>
      <c r="EZY9" s="17"/>
      <c r="EZZ9" s="17"/>
      <c r="FAA9" s="17"/>
      <c r="FAB9" s="17"/>
      <c r="FAC9" s="17"/>
      <c r="FAD9" s="17"/>
      <c r="FAE9" s="17"/>
      <c r="FAF9" s="17"/>
      <c r="FAG9" s="17"/>
      <c r="FAH9" s="17"/>
      <c r="FAI9" s="17"/>
      <c r="FAJ9" s="17"/>
      <c r="FAK9" s="17"/>
      <c r="FAL9" s="17"/>
      <c r="FAM9" s="17"/>
      <c r="FAN9" s="17"/>
      <c r="FAO9" s="17"/>
      <c r="FAP9" s="17"/>
      <c r="FAQ9" s="17"/>
      <c r="FAR9" s="17"/>
      <c r="FAS9" s="17"/>
      <c r="FAT9" s="17"/>
      <c r="FAU9" s="17"/>
      <c r="FAV9" s="17"/>
      <c r="FAW9" s="17"/>
      <c r="FAX9" s="17"/>
      <c r="FAY9" s="17"/>
      <c r="FAZ9" s="17"/>
      <c r="FBA9" s="17"/>
      <c r="FBB9" s="17"/>
      <c r="FBC9" s="17"/>
      <c r="FBD9" s="17"/>
      <c r="FBE9" s="17"/>
      <c r="FBF9" s="17"/>
      <c r="FBG9" s="17"/>
      <c r="FBH9" s="17"/>
      <c r="FBI9" s="17"/>
      <c r="FBJ9" s="17"/>
      <c r="FBK9" s="17"/>
      <c r="FBL9" s="17"/>
      <c r="FBM9" s="17"/>
      <c r="FBN9" s="17"/>
      <c r="FBO9" s="17"/>
      <c r="FBP9" s="17"/>
      <c r="FBQ9" s="17"/>
      <c r="FBR9" s="17"/>
      <c r="FBS9" s="17"/>
      <c r="FBT9" s="17"/>
      <c r="FBU9" s="17"/>
      <c r="FBV9" s="17"/>
      <c r="FBW9" s="17"/>
      <c r="FBX9" s="17"/>
      <c r="FBY9" s="17"/>
      <c r="FBZ9" s="17"/>
      <c r="FCA9" s="17"/>
      <c r="FCB9" s="17"/>
      <c r="FCC9" s="17"/>
      <c r="FCD9" s="17"/>
      <c r="FCE9" s="17"/>
      <c r="FCF9" s="17"/>
      <c r="FCG9" s="17"/>
      <c r="FCH9" s="17"/>
      <c r="FCI9" s="17"/>
      <c r="FCJ9" s="17"/>
      <c r="FCK9" s="17"/>
      <c r="FCL9" s="17"/>
      <c r="FCM9" s="17"/>
      <c r="FCN9" s="17"/>
      <c r="FCO9" s="17"/>
      <c r="FCP9" s="17"/>
      <c r="FCQ9" s="17"/>
      <c r="FCR9" s="17"/>
      <c r="FCS9" s="17"/>
      <c r="FCT9" s="17"/>
      <c r="FCU9" s="17"/>
      <c r="FCV9" s="17"/>
      <c r="FCW9" s="17"/>
      <c r="FCX9" s="17"/>
      <c r="FCY9" s="17"/>
      <c r="FCZ9" s="17"/>
      <c r="FDA9" s="17"/>
      <c r="FDB9" s="17"/>
      <c r="FDC9" s="17"/>
      <c r="FDD9" s="17"/>
      <c r="FDE9" s="17"/>
      <c r="FDF9" s="17"/>
      <c r="FDG9" s="17"/>
      <c r="FDH9" s="17"/>
      <c r="FDI9" s="17"/>
      <c r="FDJ9" s="17"/>
      <c r="FDK9" s="17"/>
      <c r="FDL9" s="17"/>
      <c r="FDM9" s="17"/>
      <c r="FDN9" s="17"/>
      <c r="FDO9" s="17"/>
      <c r="FDP9" s="17"/>
      <c r="FDQ9" s="17"/>
      <c r="FDR9" s="17"/>
      <c r="FDS9" s="17"/>
      <c r="FDT9" s="17"/>
      <c r="FDU9" s="17"/>
      <c r="FDV9" s="17"/>
      <c r="FDW9" s="17"/>
      <c r="FDX9" s="17"/>
      <c r="FDY9" s="17"/>
      <c r="FDZ9" s="17"/>
      <c r="FEA9" s="17"/>
      <c r="FEB9" s="17"/>
      <c r="FEC9" s="17"/>
      <c r="FED9" s="17"/>
      <c r="FEE9" s="17"/>
      <c r="FEF9" s="17"/>
      <c r="FEG9" s="17"/>
      <c r="FEH9" s="17"/>
      <c r="FEI9" s="17"/>
      <c r="FEJ9" s="17"/>
      <c r="FEK9" s="17"/>
      <c r="FEL9" s="17"/>
      <c r="FEM9" s="17"/>
      <c r="FEN9" s="17"/>
      <c r="FEO9" s="17"/>
      <c r="FEP9" s="17"/>
      <c r="FEQ9" s="17"/>
      <c r="FER9" s="17"/>
      <c r="FES9" s="17"/>
      <c r="FET9" s="17"/>
      <c r="FEU9" s="17"/>
      <c r="FEV9" s="17"/>
      <c r="FEW9" s="17"/>
      <c r="FEX9" s="17"/>
      <c r="FEY9" s="17"/>
      <c r="FEZ9" s="17"/>
      <c r="FFA9" s="17"/>
      <c r="FFB9" s="17"/>
      <c r="FFC9" s="17"/>
      <c r="FFD9" s="17"/>
      <c r="FFE9" s="17"/>
      <c r="FFF9" s="17"/>
      <c r="FFG9" s="17"/>
      <c r="FFH9" s="17"/>
      <c r="FFI9" s="17"/>
      <c r="FFJ9" s="17"/>
      <c r="FFK9" s="17"/>
      <c r="FFL9" s="17"/>
      <c r="FFM9" s="17"/>
      <c r="FFN9" s="17"/>
      <c r="FFO9" s="17"/>
      <c r="FFP9" s="17"/>
      <c r="FFQ9" s="17"/>
      <c r="FFR9" s="17"/>
      <c r="FFS9" s="17"/>
      <c r="FFT9" s="17"/>
      <c r="FFU9" s="17"/>
      <c r="FFV9" s="17"/>
      <c r="FFW9" s="17"/>
      <c r="FFX9" s="17"/>
      <c r="FFY9" s="17"/>
      <c r="FFZ9" s="17"/>
      <c r="FGA9" s="17"/>
      <c r="FGB9" s="17"/>
      <c r="FGC9" s="17"/>
      <c r="FGD9" s="17"/>
      <c r="FGE9" s="17"/>
      <c r="FGF9" s="17"/>
      <c r="FGG9" s="17"/>
      <c r="FGH9" s="17"/>
      <c r="FGI9" s="17"/>
      <c r="FGJ9" s="17"/>
      <c r="FGK9" s="17"/>
      <c r="FGL9" s="17"/>
      <c r="FGM9" s="17"/>
      <c r="FGN9" s="17"/>
      <c r="FGO9" s="17"/>
      <c r="FGP9" s="17"/>
      <c r="FGQ9" s="17"/>
      <c r="FGR9" s="17"/>
      <c r="FGS9" s="17"/>
      <c r="FGT9" s="17"/>
      <c r="FGU9" s="17"/>
      <c r="FGV9" s="17"/>
      <c r="FGW9" s="17"/>
      <c r="FGX9" s="17"/>
      <c r="FGY9" s="17"/>
      <c r="FGZ9" s="17"/>
      <c r="FHA9" s="17"/>
      <c r="FHB9" s="17"/>
      <c r="FHC9" s="17"/>
      <c r="FHD9" s="17"/>
      <c r="FHE9" s="17"/>
      <c r="FHF9" s="17"/>
      <c r="FHG9" s="17"/>
      <c r="FHH9" s="17"/>
      <c r="FHI9" s="17"/>
      <c r="FHJ9" s="17"/>
      <c r="FHK9" s="17"/>
      <c r="FHL9" s="17"/>
      <c r="FHM9" s="17"/>
      <c r="FHN9" s="17"/>
      <c r="FHO9" s="17"/>
      <c r="FHP9" s="17"/>
      <c r="FHQ9" s="17"/>
      <c r="FHR9" s="17"/>
      <c r="FHS9" s="17"/>
      <c r="FHT9" s="17"/>
      <c r="FHU9" s="17"/>
      <c r="FHV9" s="17"/>
      <c r="FHW9" s="17"/>
      <c r="FHX9" s="17"/>
      <c r="FHY9" s="17"/>
      <c r="FHZ9" s="17"/>
      <c r="FIA9" s="17"/>
      <c r="FIB9" s="17"/>
      <c r="FIC9" s="17"/>
      <c r="FID9" s="17"/>
      <c r="FIE9" s="17"/>
      <c r="FIF9" s="17"/>
      <c r="FIG9" s="17"/>
      <c r="FIH9" s="17"/>
      <c r="FII9" s="17"/>
      <c r="FIJ9" s="17"/>
      <c r="FIK9" s="17"/>
      <c r="FIL9" s="17"/>
      <c r="FIM9" s="17"/>
      <c r="FIN9" s="17"/>
      <c r="FIO9" s="17"/>
      <c r="FIP9" s="17"/>
      <c r="FIQ9" s="17"/>
      <c r="FIR9" s="17"/>
      <c r="FIS9" s="17"/>
      <c r="FIT9" s="17"/>
      <c r="FIU9" s="17"/>
      <c r="FIV9" s="17"/>
      <c r="FIW9" s="17"/>
      <c r="FIX9" s="17"/>
      <c r="FIY9" s="17"/>
      <c r="FIZ9" s="17"/>
      <c r="FJA9" s="17"/>
      <c r="FJB9" s="17"/>
      <c r="FJC9" s="17"/>
      <c r="FJD9" s="17"/>
      <c r="FJE9" s="17"/>
      <c r="FJF9" s="17"/>
      <c r="FJG9" s="17"/>
      <c r="FJH9" s="17"/>
      <c r="FJI9" s="17"/>
      <c r="FJJ9" s="17"/>
      <c r="FJK9" s="17"/>
      <c r="FJL9" s="17"/>
      <c r="FJM9" s="17"/>
      <c r="FJN9" s="17"/>
      <c r="FJO9" s="17"/>
      <c r="FJP9" s="17"/>
      <c r="FJQ9" s="17"/>
      <c r="FJR9" s="17"/>
      <c r="FJS9" s="17"/>
      <c r="FJT9" s="17"/>
      <c r="FJU9" s="17"/>
      <c r="FJV9" s="17"/>
      <c r="FJW9" s="17"/>
      <c r="FJX9" s="17"/>
      <c r="FJY9" s="17"/>
      <c r="FJZ9" s="17"/>
      <c r="FKA9" s="17"/>
      <c r="FKB9" s="17"/>
      <c r="FKC9" s="17"/>
      <c r="FKD9" s="17"/>
      <c r="FKE9" s="17"/>
      <c r="FKF9" s="17"/>
      <c r="FKG9" s="17"/>
      <c r="FKH9" s="17"/>
      <c r="FKI9" s="17"/>
      <c r="FKJ9" s="17"/>
      <c r="FKK9" s="17"/>
      <c r="FKL9" s="17"/>
      <c r="FKM9" s="17"/>
      <c r="FKN9" s="17"/>
      <c r="FKO9" s="17"/>
      <c r="FKP9" s="17"/>
      <c r="FKQ9" s="17"/>
      <c r="FKR9" s="17"/>
      <c r="FKS9" s="17"/>
      <c r="FKT9" s="17"/>
      <c r="FKU9" s="17"/>
      <c r="FKV9" s="17"/>
      <c r="FKW9" s="17"/>
      <c r="FKX9" s="17"/>
      <c r="FKY9" s="17"/>
      <c r="FKZ9" s="17"/>
      <c r="FLA9" s="17"/>
      <c r="FLB9" s="17"/>
      <c r="FLC9" s="17"/>
      <c r="FLD9" s="17"/>
      <c r="FLE9" s="17"/>
      <c r="FLF9" s="17"/>
      <c r="FLG9" s="17"/>
      <c r="FLH9" s="17"/>
      <c r="FLI9" s="17"/>
      <c r="FLJ9" s="17"/>
      <c r="FLK9" s="17"/>
      <c r="FLL9" s="17"/>
      <c r="FLM9" s="17"/>
      <c r="FLN9" s="17"/>
      <c r="FLO9" s="17"/>
      <c r="FLP9" s="17"/>
      <c r="FLQ9" s="17"/>
      <c r="FLR9" s="17"/>
      <c r="FLS9" s="17"/>
      <c r="FLT9" s="17"/>
      <c r="FLU9" s="17"/>
      <c r="FLV9" s="17"/>
      <c r="FLW9" s="17"/>
      <c r="FLX9" s="17"/>
      <c r="FLY9" s="17"/>
      <c r="FLZ9" s="17"/>
      <c r="FMA9" s="17"/>
      <c r="FMB9" s="17"/>
      <c r="FMC9" s="17"/>
      <c r="FMD9" s="17"/>
      <c r="FME9" s="17"/>
      <c r="FMF9" s="17"/>
      <c r="FMG9" s="17"/>
      <c r="FMH9" s="17"/>
      <c r="FMI9" s="17"/>
      <c r="FMJ9" s="17"/>
      <c r="FMK9" s="17"/>
      <c r="FML9" s="17"/>
      <c r="FMM9" s="17"/>
      <c r="FMN9" s="17"/>
      <c r="FMO9" s="17"/>
      <c r="FMP9" s="17"/>
      <c r="FMQ9" s="17"/>
      <c r="FMR9" s="17"/>
      <c r="FMS9" s="17"/>
      <c r="FMT9" s="17"/>
      <c r="FMU9" s="17"/>
      <c r="FMV9" s="17"/>
      <c r="FMW9" s="17"/>
      <c r="FMX9" s="17"/>
      <c r="FMY9" s="17"/>
      <c r="FMZ9" s="17"/>
      <c r="FNA9" s="17"/>
      <c r="FNB9" s="17"/>
      <c r="FNC9" s="17"/>
      <c r="FND9" s="17"/>
      <c r="FNE9" s="17"/>
      <c r="FNF9" s="17"/>
      <c r="FNG9" s="17"/>
      <c r="FNH9" s="17"/>
      <c r="FNI9" s="17"/>
      <c r="FNJ9" s="17"/>
      <c r="FNK9" s="17"/>
      <c r="FNL9" s="17"/>
      <c r="FNM9" s="17"/>
      <c r="FNN9" s="17"/>
      <c r="FNO9" s="17"/>
      <c r="FNP9" s="17"/>
      <c r="FNQ9" s="17"/>
      <c r="FNR9" s="17"/>
      <c r="FNS9" s="17"/>
      <c r="FNT9" s="17"/>
      <c r="FNU9" s="17"/>
      <c r="FNV9" s="17"/>
      <c r="FNW9" s="17"/>
      <c r="FNX9" s="17"/>
      <c r="FNY9" s="17"/>
      <c r="FNZ9" s="17"/>
      <c r="FOA9" s="17"/>
      <c r="FOB9" s="17"/>
      <c r="FOC9" s="17"/>
      <c r="FOD9" s="17"/>
      <c r="FOE9" s="17"/>
      <c r="FOF9" s="17"/>
      <c r="FOG9" s="17"/>
      <c r="FOH9" s="17"/>
      <c r="FOI9" s="17"/>
      <c r="FOJ9" s="17"/>
      <c r="FOK9" s="17"/>
      <c r="FOL9" s="17"/>
      <c r="FOM9" s="17"/>
      <c r="FON9" s="17"/>
      <c r="FOO9" s="17"/>
      <c r="FOP9" s="17"/>
      <c r="FOQ9" s="17"/>
      <c r="FOR9" s="17"/>
      <c r="FOS9" s="17"/>
      <c r="FOT9" s="17"/>
      <c r="FOU9" s="17"/>
      <c r="FOV9" s="17"/>
      <c r="FOW9" s="17"/>
      <c r="FOX9" s="17"/>
      <c r="FOY9" s="17"/>
      <c r="FOZ9" s="17"/>
      <c r="FPA9" s="17"/>
      <c r="FPB9" s="17"/>
      <c r="FPC9" s="17"/>
      <c r="FPD9" s="17"/>
      <c r="FPE9" s="17"/>
      <c r="FPF9" s="17"/>
      <c r="FPG9" s="17"/>
      <c r="FPH9" s="17"/>
      <c r="FPI9" s="17"/>
      <c r="FPJ9" s="17"/>
      <c r="FPK9" s="17"/>
      <c r="FPL9" s="17"/>
      <c r="FPM9" s="17"/>
      <c r="FPN9" s="17"/>
      <c r="FPO9" s="17"/>
      <c r="FPP9" s="17"/>
      <c r="FPQ9" s="17"/>
      <c r="FPR9" s="17"/>
      <c r="FPS9" s="17"/>
      <c r="FPT9" s="17"/>
      <c r="FPU9" s="17"/>
      <c r="FPV9" s="17"/>
      <c r="FPW9" s="17"/>
      <c r="FPX9" s="17"/>
      <c r="FPY9" s="17"/>
      <c r="FPZ9" s="17"/>
      <c r="FQA9" s="17"/>
      <c r="FQB9" s="17"/>
      <c r="FQC9" s="17"/>
      <c r="FQD9" s="17"/>
      <c r="FQE9" s="17"/>
      <c r="FQF9" s="17"/>
      <c r="FQG9" s="17"/>
      <c r="FQH9" s="17"/>
      <c r="FQI9" s="17"/>
      <c r="FQJ9" s="17"/>
      <c r="FQK9" s="17"/>
      <c r="FQL9" s="17"/>
      <c r="FQM9" s="17"/>
      <c r="FQN9" s="17"/>
      <c r="FQO9" s="17"/>
      <c r="FQP9" s="17"/>
      <c r="FQQ9" s="17"/>
      <c r="FQR9" s="17"/>
      <c r="FQS9" s="17"/>
      <c r="FQT9" s="17"/>
      <c r="FQU9" s="17"/>
      <c r="FQV9" s="17"/>
      <c r="FQW9" s="17"/>
      <c r="FQX9" s="17"/>
      <c r="FQY9" s="17"/>
      <c r="FQZ9" s="17"/>
      <c r="FRA9" s="17"/>
      <c r="FRB9" s="17"/>
      <c r="FRC9" s="17"/>
      <c r="FRD9" s="17"/>
      <c r="FRE9" s="17"/>
      <c r="FRF9" s="17"/>
      <c r="FRG9" s="17"/>
      <c r="FRH9" s="17"/>
      <c r="FRI9" s="17"/>
      <c r="FRJ9" s="17"/>
      <c r="FRK9" s="17"/>
      <c r="FRL9" s="17"/>
      <c r="FRM9" s="17"/>
      <c r="FRN9" s="17"/>
      <c r="FRO9" s="17"/>
      <c r="FRP9" s="17"/>
      <c r="FRQ9" s="17"/>
      <c r="FRR9" s="17"/>
      <c r="FRS9" s="17"/>
      <c r="FRT9" s="17"/>
      <c r="FRU9" s="17"/>
      <c r="FRV9" s="17"/>
      <c r="FRW9" s="17"/>
      <c r="FRX9" s="17"/>
      <c r="FRY9" s="17"/>
      <c r="FRZ9" s="17"/>
      <c r="FSA9" s="17"/>
      <c r="FSB9" s="17"/>
      <c r="FSC9" s="17"/>
      <c r="FSD9" s="17"/>
      <c r="FSE9" s="17"/>
      <c r="FSF9" s="17"/>
      <c r="FSG9" s="17"/>
      <c r="FSH9" s="17"/>
      <c r="FSI9" s="17"/>
      <c r="FSJ9" s="17"/>
      <c r="FSK9" s="17"/>
      <c r="FSL9" s="17"/>
      <c r="FSM9" s="17"/>
      <c r="FSN9" s="17"/>
      <c r="FSO9" s="17"/>
      <c r="FSP9" s="17"/>
      <c r="FSQ9" s="17"/>
      <c r="FSR9" s="17"/>
      <c r="FSS9" s="17"/>
      <c r="FST9" s="17"/>
      <c r="FSU9" s="17"/>
      <c r="FSV9" s="17"/>
      <c r="FSW9" s="17"/>
      <c r="FSX9" s="17"/>
      <c r="FSY9" s="17"/>
      <c r="FSZ9" s="17"/>
      <c r="FTA9" s="17"/>
      <c r="FTB9" s="17"/>
      <c r="FTC9" s="17"/>
      <c r="FTD9" s="17"/>
      <c r="FTE9" s="17"/>
      <c r="FTF9" s="17"/>
      <c r="FTG9" s="17"/>
      <c r="FTH9" s="17"/>
      <c r="FTI9" s="17"/>
      <c r="FTJ9" s="17"/>
      <c r="FTK9" s="17"/>
      <c r="FTL9" s="17"/>
      <c r="FTM9" s="17"/>
      <c r="FTN9" s="17"/>
      <c r="FTO9" s="17"/>
      <c r="FTP9" s="17"/>
      <c r="FTQ9" s="17"/>
      <c r="FTR9" s="17"/>
      <c r="FTS9" s="17"/>
      <c r="FTT9" s="17"/>
      <c r="FTU9" s="17"/>
      <c r="FTV9" s="17"/>
      <c r="FTW9" s="17"/>
      <c r="FTX9" s="17"/>
      <c r="FTY9" s="17"/>
      <c r="FTZ9" s="17"/>
      <c r="FUA9" s="17"/>
      <c r="FUB9" s="17"/>
      <c r="FUC9" s="17"/>
      <c r="FUD9" s="17"/>
      <c r="FUE9" s="17"/>
      <c r="FUF9" s="17"/>
      <c r="FUG9" s="17"/>
      <c r="FUH9" s="17"/>
      <c r="FUI9" s="17"/>
      <c r="FUJ9" s="17"/>
      <c r="FUK9" s="17"/>
      <c r="FUL9" s="17"/>
      <c r="FUM9" s="17"/>
      <c r="FUN9" s="17"/>
      <c r="FUO9" s="17"/>
      <c r="FUP9" s="17"/>
      <c r="FUQ9" s="17"/>
      <c r="FUR9" s="17"/>
      <c r="FUS9" s="17"/>
      <c r="FUT9" s="17"/>
      <c r="FUU9" s="17"/>
      <c r="FUV9" s="17"/>
      <c r="FUW9" s="17"/>
      <c r="FUX9" s="17"/>
      <c r="FUY9" s="17"/>
      <c r="FUZ9" s="17"/>
      <c r="FVA9" s="17"/>
      <c r="FVB9" s="17"/>
      <c r="FVC9" s="17"/>
      <c r="FVD9" s="17"/>
      <c r="FVE9" s="17"/>
      <c r="FVF9" s="17"/>
      <c r="FVG9" s="17"/>
      <c r="FVH9" s="17"/>
      <c r="FVI9" s="17"/>
      <c r="FVJ9" s="17"/>
      <c r="FVK9" s="17"/>
      <c r="FVL9" s="17"/>
      <c r="FVM9" s="17"/>
      <c r="FVN9" s="17"/>
      <c r="FVO9" s="17"/>
      <c r="FVP9" s="17"/>
      <c r="FVQ9" s="17"/>
      <c r="FVR9" s="17"/>
      <c r="FVS9" s="17"/>
      <c r="FVT9" s="17"/>
      <c r="FVU9" s="17"/>
      <c r="FVV9" s="17"/>
      <c r="FVW9" s="17"/>
      <c r="FVX9" s="17"/>
      <c r="FVY9" s="17"/>
      <c r="FVZ9" s="17"/>
      <c r="FWA9" s="17"/>
      <c r="FWB9" s="17"/>
      <c r="FWC9" s="17"/>
      <c r="FWD9" s="17"/>
      <c r="FWE9" s="17"/>
      <c r="FWF9" s="17"/>
      <c r="FWG9" s="17"/>
      <c r="FWH9" s="17"/>
      <c r="FWI9" s="17"/>
      <c r="FWJ9" s="17"/>
      <c r="FWK9" s="17"/>
      <c r="FWL9" s="17"/>
      <c r="FWM9" s="17"/>
      <c r="FWN9" s="17"/>
      <c r="FWO9" s="17"/>
      <c r="FWP9" s="17"/>
      <c r="FWQ9" s="17"/>
      <c r="FWR9" s="17"/>
      <c r="FWS9" s="17"/>
      <c r="FWT9" s="17"/>
      <c r="FWU9" s="17"/>
      <c r="FWV9" s="17"/>
      <c r="FWW9" s="17"/>
      <c r="FWX9" s="17"/>
      <c r="FWY9" s="17"/>
      <c r="FWZ9" s="17"/>
      <c r="FXA9" s="17"/>
      <c r="FXB9" s="17"/>
      <c r="FXC9" s="17"/>
      <c r="FXD9" s="17"/>
      <c r="FXE9" s="17"/>
      <c r="FXF9" s="17"/>
      <c r="FXG9" s="17"/>
      <c r="FXH9" s="17"/>
      <c r="FXI9" s="17"/>
      <c r="FXJ9" s="17"/>
      <c r="FXK9" s="17"/>
      <c r="FXL9" s="17"/>
      <c r="FXM9" s="17"/>
      <c r="FXN9" s="17"/>
      <c r="FXO9" s="17"/>
      <c r="FXP9" s="17"/>
      <c r="FXQ9" s="17"/>
      <c r="FXR9" s="17"/>
      <c r="FXS9" s="17"/>
      <c r="FXT9" s="17"/>
      <c r="FXU9" s="17"/>
      <c r="FXV9" s="17"/>
      <c r="FXW9" s="17"/>
      <c r="FXX9" s="17"/>
      <c r="FXY9" s="17"/>
      <c r="FXZ9" s="17"/>
      <c r="FYA9" s="17"/>
      <c r="FYB9" s="17"/>
      <c r="FYC9" s="17"/>
      <c r="FYD9" s="17"/>
      <c r="FYE9" s="17"/>
      <c r="FYF9" s="17"/>
      <c r="FYG9" s="17"/>
      <c r="FYH9" s="17"/>
      <c r="FYI9" s="17"/>
      <c r="FYJ9" s="17"/>
      <c r="FYK9" s="17"/>
      <c r="FYL9" s="17"/>
      <c r="FYM9" s="17"/>
      <c r="FYN9" s="17"/>
      <c r="FYO9" s="17"/>
      <c r="FYP9" s="17"/>
      <c r="FYQ9" s="17"/>
      <c r="FYR9" s="17"/>
      <c r="FYS9" s="17"/>
      <c r="FYT9" s="17"/>
      <c r="FYU9" s="17"/>
      <c r="FYV9" s="17"/>
      <c r="FYW9" s="17"/>
      <c r="FYX9" s="17"/>
      <c r="FYY9" s="17"/>
      <c r="FYZ9" s="17"/>
      <c r="FZA9" s="17"/>
      <c r="FZB9" s="17"/>
      <c r="FZC9" s="17"/>
      <c r="FZD9" s="17"/>
      <c r="FZE9" s="17"/>
      <c r="FZF9" s="17"/>
      <c r="FZG9" s="17"/>
      <c r="FZH9" s="17"/>
      <c r="FZI9" s="17"/>
      <c r="FZJ9" s="17"/>
      <c r="FZK9" s="17"/>
      <c r="FZL9" s="17"/>
      <c r="FZM9" s="17"/>
      <c r="FZN9" s="17"/>
      <c r="FZO9" s="17"/>
      <c r="FZP9" s="17"/>
      <c r="FZQ9" s="17"/>
      <c r="FZR9" s="17"/>
      <c r="FZS9" s="17"/>
      <c r="FZT9" s="17"/>
      <c r="FZU9" s="17"/>
      <c r="FZV9" s="17"/>
      <c r="FZW9" s="17"/>
      <c r="FZX9" s="17"/>
      <c r="FZY9" s="17"/>
      <c r="FZZ9" s="17"/>
      <c r="GAA9" s="17"/>
      <c r="GAB9" s="17"/>
      <c r="GAC9" s="17"/>
      <c r="GAD9" s="17"/>
      <c r="GAE9" s="17"/>
      <c r="GAF9" s="17"/>
      <c r="GAG9" s="17"/>
      <c r="GAH9" s="17"/>
      <c r="GAI9" s="17"/>
      <c r="GAJ9" s="17"/>
      <c r="GAK9" s="17"/>
      <c r="GAL9" s="17"/>
      <c r="GAM9" s="17"/>
      <c r="GAN9" s="17"/>
      <c r="GAO9" s="17"/>
      <c r="GAP9" s="17"/>
      <c r="GAQ9" s="17"/>
      <c r="GAR9" s="17"/>
      <c r="GAS9" s="17"/>
      <c r="GAT9" s="17"/>
      <c r="GAU9" s="17"/>
      <c r="GAV9" s="17"/>
      <c r="GAW9" s="17"/>
      <c r="GAX9" s="17"/>
      <c r="GAY9" s="17"/>
      <c r="GAZ9" s="17"/>
      <c r="GBA9" s="17"/>
      <c r="GBB9" s="17"/>
      <c r="GBC9" s="17"/>
      <c r="GBD9" s="17"/>
      <c r="GBE9" s="17"/>
      <c r="GBF9" s="17"/>
      <c r="GBG9" s="17"/>
      <c r="GBH9" s="17"/>
      <c r="GBI9" s="17"/>
      <c r="GBJ9" s="17"/>
      <c r="GBK9" s="17"/>
      <c r="GBL9" s="17"/>
      <c r="GBM9" s="17"/>
      <c r="GBN9" s="17"/>
      <c r="GBO9" s="17"/>
      <c r="GBP9" s="17"/>
      <c r="GBQ9" s="17"/>
      <c r="GBR9" s="17"/>
      <c r="GBS9" s="17"/>
      <c r="GBT9" s="17"/>
      <c r="GBU9" s="17"/>
      <c r="GBV9" s="17"/>
      <c r="GBW9" s="17"/>
      <c r="GBX9" s="17"/>
      <c r="GBY9" s="17"/>
      <c r="GBZ9" s="17"/>
      <c r="GCA9" s="17"/>
      <c r="GCB9" s="17"/>
      <c r="GCC9" s="17"/>
      <c r="GCD9" s="17"/>
      <c r="GCE9" s="17"/>
      <c r="GCF9" s="17"/>
      <c r="GCG9" s="17"/>
      <c r="GCH9" s="17"/>
      <c r="GCI9" s="17"/>
      <c r="GCJ9" s="17"/>
      <c r="GCK9" s="17"/>
      <c r="GCL9" s="17"/>
      <c r="GCM9" s="17"/>
      <c r="GCN9" s="17"/>
      <c r="GCO9" s="17"/>
      <c r="GCP9" s="17"/>
      <c r="GCQ9" s="17"/>
      <c r="GCR9" s="17"/>
      <c r="GCS9" s="17"/>
      <c r="GCT9" s="17"/>
      <c r="GCU9" s="17"/>
      <c r="GCV9" s="17"/>
      <c r="GCW9" s="17"/>
      <c r="GCX9" s="17"/>
      <c r="GCY9" s="17"/>
      <c r="GCZ9" s="17"/>
      <c r="GDA9" s="17"/>
      <c r="GDB9" s="17"/>
      <c r="GDC9" s="17"/>
      <c r="GDD9" s="17"/>
      <c r="GDE9" s="17"/>
      <c r="GDF9" s="17"/>
      <c r="GDG9" s="17"/>
      <c r="GDH9" s="17"/>
      <c r="GDI9" s="17"/>
      <c r="GDJ9" s="17"/>
      <c r="GDK9" s="17"/>
      <c r="GDL9" s="17"/>
      <c r="GDM9" s="17"/>
      <c r="GDN9" s="17"/>
      <c r="GDO9" s="17"/>
      <c r="GDP9" s="17"/>
      <c r="GDQ9" s="17"/>
      <c r="GDR9" s="17"/>
      <c r="GDS9" s="17"/>
      <c r="GDT9" s="17"/>
      <c r="GDU9" s="17"/>
      <c r="GDV9" s="17"/>
      <c r="GDW9" s="17"/>
      <c r="GDX9" s="17"/>
      <c r="GDY9" s="17"/>
      <c r="GDZ9" s="17"/>
      <c r="GEA9" s="17"/>
      <c r="GEB9" s="17"/>
      <c r="GEC9" s="17"/>
      <c r="GED9" s="17"/>
      <c r="GEE9" s="17"/>
      <c r="GEF9" s="17"/>
      <c r="GEG9" s="17"/>
      <c r="GEH9" s="17"/>
      <c r="GEI9" s="17"/>
      <c r="GEJ9" s="17"/>
      <c r="GEK9" s="17"/>
      <c r="GEL9" s="17"/>
      <c r="GEM9" s="17"/>
      <c r="GEN9" s="17"/>
      <c r="GEO9" s="17"/>
      <c r="GEP9" s="17"/>
      <c r="GEQ9" s="17"/>
      <c r="GER9" s="17"/>
      <c r="GES9" s="17"/>
      <c r="GET9" s="17"/>
      <c r="GEU9" s="17"/>
      <c r="GEV9" s="17"/>
      <c r="GEW9" s="17"/>
      <c r="GEX9" s="17"/>
      <c r="GEY9" s="17"/>
      <c r="GEZ9" s="17"/>
      <c r="GFA9" s="17"/>
      <c r="GFB9" s="17"/>
      <c r="GFC9" s="17"/>
      <c r="GFD9" s="17"/>
      <c r="GFE9" s="17"/>
      <c r="GFF9" s="17"/>
      <c r="GFG9" s="17"/>
      <c r="GFH9" s="17"/>
      <c r="GFI9" s="17"/>
      <c r="GFJ9" s="17"/>
      <c r="GFK9" s="17"/>
      <c r="GFL9" s="17"/>
      <c r="GFM9" s="17"/>
      <c r="GFN9" s="17"/>
      <c r="GFO9" s="17"/>
      <c r="GFP9" s="17"/>
      <c r="GFQ9" s="17"/>
      <c r="GFR9" s="17"/>
      <c r="GFS9" s="17"/>
      <c r="GFT9" s="17"/>
      <c r="GFU9" s="17"/>
      <c r="GFV9" s="17"/>
      <c r="GFW9" s="17"/>
      <c r="GFX9" s="17"/>
      <c r="GFY9" s="17"/>
      <c r="GFZ9" s="17"/>
      <c r="GGA9" s="17"/>
      <c r="GGB9" s="17"/>
      <c r="GGC9" s="17"/>
      <c r="GGD9" s="17"/>
      <c r="GGE9" s="17"/>
      <c r="GGF9" s="17"/>
      <c r="GGG9" s="17"/>
      <c r="GGH9" s="17"/>
      <c r="GGI9" s="17"/>
      <c r="GGJ9" s="17"/>
      <c r="GGK9" s="17"/>
      <c r="GGL9" s="17"/>
      <c r="GGM9" s="17"/>
      <c r="GGN9" s="17"/>
      <c r="GGO9" s="17"/>
      <c r="GGP9" s="17"/>
      <c r="GGQ9" s="17"/>
      <c r="GGR9" s="17"/>
      <c r="GGS9" s="17"/>
      <c r="GGT9" s="17"/>
      <c r="GGU9" s="17"/>
      <c r="GGV9" s="17"/>
      <c r="GGW9" s="17"/>
      <c r="GGX9" s="17"/>
      <c r="GGY9" s="17"/>
      <c r="GGZ9" s="17"/>
      <c r="GHA9" s="17"/>
      <c r="GHB9" s="17"/>
      <c r="GHC9" s="17"/>
      <c r="GHD9" s="17"/>
      <c r="GHE9" s="17"/>
      <c r="GHF9" s="17"/>
      <c r="GHG9" s="17"/>
      <c r="GHH9" s="17"/>
      <c r="GHI9" s="17"/>
      <c r="GHJ9" s="17"/>
      <c r="GHK9" s="17"/>
      <c r="GHL9" s="17"/>
      <c r="GHM9" s="17"/>
      <c r="GHN9" s="17"/>
      <c r="GHO9" s="17"/>
      <c r="GHP9" s="17"/>
      <c r="GHQ9" s="17"/>
      <c r="GHR9" s="17"/>
      <c r="GHS9" s="17"/>
      <c r="GHT9" s="17"/>
      <c r="GHU9" s="17"/>
      <c r="GHV9" s="17"/>
      <c r="GHW9" s="17"/>
      <c r="GHX9" s="17"/>
      <c r="GHY9" s="17"/>
      <c r="GHZ9" s="17"/>
      <c r="GIA9" s="17"/>
      <c r="GIB9" s="17"/>
      <c r="GIC9" s="17"/>
      <c r="GID9" s="17"/>
      <c r="GIE9" s="17"/>
      <c r="GIF9" s="17"/>
      <c r="GIG9" s="17"/>
      <c r="GIH9" s="17"/>
      <c r="GII9" s="17"/>
      <c r="GIJ9" s="17"/>
      <c r="GIK9" s="17"/>
      <c r="GIL9" s="17"/>
      <c r="GIM9" s="17"/>
      <c r="GIN9" s="17"/>
      <c r="GIO9" s="17"/>
      <c r="GIP9" s="17"/>
      <c r="GIQ9" s="17"/>
      <c r="GIR9" s="17"/>
      <c r="GIS9" s="17"/>
      <c r="GIT9" s="17"/>
      <c r="GIU9" s="17"/>
      <c r="GIV9" s="17"/>
      <c r="GIW9" s="17"/>
      <c r="GIX9" s="17"/>
      <c r="GIY9" s="17"/>
      <c r="GIZ9" s="17"/>
      <c r="GJA9" s="17"/>
      <c r="GJB9" s="17"/>
      <c r="GJC9" s="17"/>
      <c r="GJD9" s="17"/>
      <c r="GJE9" s="17"/>
      <c r="GJF9" s="17"/>
      <c r="GJG9" s="17"/>
      <c r="GJH9" s="17"/>
      <c r="GJI9" s="17"/>
      <c r="GJJ9" s="17"/>
      <c r="GJK9" s="17"/>
      <c r="GJL9" s="17"/>
      <c r="GJM9" s="17"/>
      <c r="GJN9" s="17"/>
      <c r="GJO9" s="17"/>
      <c r="GJP9" s="17"/>
      <c r="GJQ9" s="17"/>
      <c r="GJR9" s="17"/>
      <c r="GJS9" s="17"/>
      <c r="GJT9" s="17"/>
      <c r="GJU9" s="17"/>
      <c r="GJV9" s="17"/>
      <c r="GJW9" s="17"/>
      <c r="GJX9" s="17"/>
      <c r="GJY9" s="17"/>
      <c r="GJZ9" s="17"/>
      <c r="GKA9" s="17"/>
      <c r="GKB9" s="17"/>
      <c r="GKC9" s="17"/>
      <c r="GKD9" s="17"/>
      <c r="GKE9" s="17"/>
      <c r="GKF9" s="17"/>
      <c r="GKG9" s="17"/>
      <c r="GKH9" s="17"/>
      <c r="GKI9" s="17"/>
      <c r="GKJ9" s="17"/>
      <c r="GKK9" s="17"/>
      <c r="GKL9" s="17"/>
      <c r="GKM9" s="17"/>
      <c r="GKN9" s="17"/>
      <c r="GKO9" s="17"/>
      <c r="GKP9" s="17"/>
      <c r="GKQ9" s="17"/>
      <c r="GKR9" s="17"/>
      <c r="GKS9" s="17"/>
      <c r="GKT9" s="17"/>
      <c r="GKU9" s="17"/>
      <c r="GKV9" s="17"/>
      <c r="GKW9" s="17"/>
      <c r="GKX9" s="17"/>
      <c r="GKY9" s="17"/>
      <c r="GKZ9" s="17"/>
      <c r="GLA9" s="17"/>
      <c r="GLB9" s="17"/>
      <c r="GLC9" s="17"/>
      <c r="GLD9" s="17"/>
      <c r="GLE9" s="17"/>
      <c r="GLF9" s="17"/>
      <c r="GLG9" s="17"/>
      <c r="GLH9" s="17"/>
      <c r="GLI9" s="17"/>
      <c r="GLJ9" s="17"/>
      <c r="GLK9" s="17"/>
      <c r="GLL9" s="17"/>
      <c r="GLM9" s="17"/>
      <c r="GLN9" s="17"/>
      <c r="GLO9" s="17"/>
      <c r="GLP9" s="17"/>
      <c r="GLQ9" s="17"/>
      <c r="GLR9" s="17"/>
      <c r="GLS9" s="17"/>
      <c r="GLT9" s="17"/>
      <c r="GLU9" s="17"/>
      <c r="GLV9" s="17"/>
      <c r="GLW9" s="17"/>
      <c r="GLX9" s="17"/>
      <c r="GLY9" s="17"/>
      <c r="GLZ9" s="17"/>
      <c r="GMA9" s="17"/>
      <c r="GMB9" s="17"/>
      <c r="GMC9" s="17"/>
      <c r="GMD9" s="17"/>
      <c r="GME9" s="17"/>
      <c r="GMF9" s="17"/>
      <c r="GMG9" s="17"/>
      <c r="GMH9" s="17"/>
      <c r="GMI9" s="17"/>
      <c r="GMJ9" s="17"/>
      <c r="GMK9" s="17"/>
      <c r="GML9" s="17"/>
      <c r="GMM9" s="17"/>
      <c r="GMN9" s="17"/>
      <c r="GMO9" s="17"/>
      <c r="GMP9" s="17"/>
      <c r="GMQ9" s="17"/>
      <c r="GMR9" s="17"/>
      <c r="GMS9" s="17"/>
      <c r="GMT9" s="17"/>
      <c r="GMU9" s="17"/>
      <c r="GMV9" s="17"/>
      <c r="GMW9" s="17"/>
      <c r="GMX9" s="17"/>
      <c r="GMY9" s="17"/>
      <c r="GMZ9" s="17"/>
      <c r="GNA9" s="17"/>
      <c r="GNB9" s="17"/>
      <c r="GNC9" s="17"/>
      <c r="GND9" s="17"/>
      <c r="GNE9" s="17"/>
      <c r="GNF9" s="17"/>
      <c r="GNG9" s="17"/>
      <c r="GNH9" s="17"/>
      <c r="GNI9" s="17"/>
      <c r="GNJ9" s="17"/>
      <c r="GNK9" s="17"/>
      <c r="GNL9" s="17"/>
      <c r="GNM9" s="17"/>
      <c r="GNN9" s="17"/>
      <c r="GNO9" s="17"/>
      <c r="GNP9" s="17"/>
      <c r="GNQ9" s="17"/>
      <c r="GNR9" s="17"/>
      <c r="GNS9" s="17"/>
      <c r="GNT9" s="17"/>
      <c r="GNU9" s="17"/>
      <c r="GNV9" s="17"/>
      <c r="GNW9" s="17"/>
      <c r="GNX9" s="17"/>
      <c r="GNY9" s="17"/>
      <c r="GNZ9" s="17"/>
      <c r="GOA9" s="17"/>
      <c r="GOB9" s="17"/>
      <c r="GOC9" s="17"/>
      <c r="GOD9" s="17"/>
      <c r="GOE9" s="17"/>
      <c r="GOF9" s="17"/>
      <c r="GOG9" s="17"/>
      <c r="GOH9" s="17"/>
      <c r="GOI9" s="17"/>
      <c r="GOJ9" s="17"/>
      <c r="GOK9" s="17"/>
      <c r="GOL9" s="17"/>
      <c r="GOM9" s="17"/>
      <c r="GON9" s="17"/>
      <c r="GOO9" s="17"/>
      <c r="GOP9" s="17"/>
      <c r="GOQ9" s="17"/>
      <c r="GOR9" s="17"/>
      <c r="GOS9" s="17"/>
      <c r="GOT9" s="17"/>
      <c r="GOU9" s="17"/>
      <c r="GOV9" s="17"/>
      <c r="GOW9" s="17"/>
      <c r="GOX9" s="17"/>
      <c r="GOY9" s="17"/>
      <c r="GOZ9" s="17"/>
      <c r="GPA9" s="17"/>
      <c r="GPB9" s="17"/>
      <c r="GPC9" s="17"/>
      <c r="GPD9" s="17"/>
      <c r="GPE9" s="17"/>
      <c r="GPF9" s="17"/>
      <c r="GPG9" s="17"/>
      <c r="GPH9" s="17"/>
      <c r="GPI9" s="17"/>
      <c r="GPJ9" s="17"/>
      <c r="GPK9" s="17"/>
      <c r="GPL9" s="17"/>
      <c r="GPM9" s="17"/>
      <c r="GPN9" s="17"/>
      <c r="GPO9" s="17"/>
      <c r="GPP9" s="17"/>
      <c r="GPQ9" s="17"/>
      <c r="GPR9" s="17"/>
      <c r="GPS9" s="17"/>
      <c r="GPT9" s="17"/>
      <c r="GPU9" s="17"/>
      <c r="GPV9" s="17"/>
      <c r="GPW9" s="17"/>
      <c r="GPX9" s="17"/>
      <c r="GPY9" s="17"/>
      <c r="GPZ9" s="17"/>
      <c r="GQA9" s="17"/>
      <c r="GQB9" s="17"/>
      <c r="GQC9" s="17"/>
      <c r="GQD9" s="17"/>
      <c r="GQE9" s="17"/>
      <c r="GQF9" s="17"/>
      <c r="GQG9" s="17"/>
      <c r="GQH9" s="17"/>
      <c r="GQI9" s="17"/>
      <c r="GQJ9" s="17"/>
      <c r="GQK9" s="17"/>
      <c r="GQL9" s="17"/>
      <c r="GQM9" s="17"/>
      <c r="GQN9" s="17"/>
      <c r="GQO9" s="17"/>
      <c r="GQP9" s="17"/>
      <c r="GQQ9" s="17"/>
      <c r="GQR9" s="17"/>
      <c r="GQS9" s="17"/>
      <c r="GQT9" s="17"/>
      <c r="GQU9" s="17"/>
      <c r="GQV9" s="17"/>
      <c r="GQW9" s="17"/>
      <c r="GQX9" s="17"/>
      <c r="GQY9" s="17"/>
      <c r="GQZ9" s="17"/>
      <c r="GRA9" s="17"/>
      <c r="GRB9" s="17"/>
      <c r="GRC9" s="17"/>
      <c r="GRD9" s="17"/>
      <c r="GRE9" s="17"/>
      <c r="GRF9" s="17"/>
      <c r="GRG9" s="17"/>
      <c r="GRH9" s="17"/>
      <c r="GRI9" s="17"/>
      <c r="GRJ9" s="17"/>
      <c r="GRK9" s="17"/>
      <c r="GRL9" s="17"/>
      <c r="GRM9" s="17"/>
      <c r="GRN9" s="17"/>
      <c r="GRO9" s="17"/>
      <c r="GRP9" s="17"/>
      <c r="GRQ9" s="17"/>
      <c r="GRR9" s="17"/>
      <c r="GRS9" s="17"/>
      <c r="GRT9" s="17"/>
      <c r="GRU9" s="17"/>
      <c r="GRV9" s="17"/>
      <c r="GRW9" s="17"/>
      <c r="GRX9" s="17"/>
      <c r="GRY9" s="17"/>
      <c r="GRZ9" s="17"/>
      <c r="GSA9" s="17"/>
      <c r="GSB9" s="17"/>
      <c r="GSC9" s="17"/>
      <c r="GSD9" s="17"/>
      <c r="GSE9" s="17"/>
      <c r="GSF9" s="17"/>
      <c r="GSG9" s="17"/>
      <c r="GSH9" s="17"/>
      <c r="GSI9" s="17"/>
      <c r="GSJ9" s="17"/>
      <c r="GSK9" s="17"/>
      <c r="GSL9" s="17"/>
      <c r="GSM9" s="17"/>
      <c r="GSN9" s="17"/>
      <c r="GSO9" s="17"/>
      <c r="GSP9" s="17"/>
      <c r="GSQ9" s="17"/>
      <c r="GSR9" s="17"/>
      <c r="GSS9" s="17"/>
      <c r="GST9" s="17"/>
      <c r="GSU9" s="17"/>
      <c r="GSV9" s="17"/>
      <c r="GSW9" s="17"/>
      <c r="GSX9" s="17"/>
      <c r="GSY9" s="17"/>
      <c r="GSZ9" s="17"/>
      <c r="GTA9" s="17"/>
      <c r="GTB9" s="17"/>
      <c r="GTC9" s="17"/>
      <c r="GTD9" s="17"/>
      <c r="GTE9" s="17"/>
      <c r="GTF9" s="17"/>
      <c r="GTG9" s="17"/>
      <c r="GTH9" s="17"/>
      <c r="GTI9" s="17"/>
      <c r="GTJ9" s="17"/>
      <c r="GTK9" s="17"/>
      <c r="GTL9" s="17"/>
      <c r="GTM9" s="17"/>
      <c r="GTN9" s="17"/>
      <c r="GTO9" s="17"/>
      <c r="GTP9" s="17"/>
      <c r="GTQ9" s="17"/>
      <c r="GTR9" s="17"/>
      <c r="GTS9" s="17"/>
      <c r="GTT9" s="17"/>
      <c r="GTU9" s="17"/>
      <c r="GTV9" s="17"/>
      <c r="GTW9" s="17"/>
      <c r="GTX9" s="17"/>
      <c r="GTY9" s="17"/>
      <c r="GTZ9" s="17"/>
      <c r="GUA9" s="17"/>
      <c r="GUB9" s="17"/>
      <c r="GUC9" s="17"/>
      <c r="GUD9" s="17"/>
      <c r="GUE9" s="17"/>
      <c r="GUF9" s="17"/>
      <c r="GUG9" s="17"/>
      <c r="GUH9" s="17"/>
      <c r="GUI9" s="17"/>
      <c r="GUJ9" s="17"/>
      <c r="GUK9" s="17"/>
      <c r="GUL9" s="17"/>
      <c r="GUM9" s="17"/>
      <c r="GUN9" s="17"/>
      <c r="GUO9" s="17"/>
      <c r="GUP9" s="17"/>
      <c r="GUQ9" s="17"/>
      <c r="GUR9" s="17"/>
      <c r="GUS9" s="17"/>
      <c r="GUT9" s="17"/>
      <c r="GUU9" s="17"/>
      <c r="GUV9" s="17"/>
      <c r="GUW9" s="17"/>
      <c r="GUX9" s="17"/>
      <c r="GUY9" s="17"/>
      <c r="GUZ9" s="17"/>
      <c r="GVA9" s="17"/>
      <c r="GVB9" s="17"/>
      <c r="GVC9" s="17"/>
      <c r="GVD9" s="17"/>
      <c r="GVE9" s="17"/>
      <c r="GVF9" s="17"/>
      <c r="GVG9" s="17"/>
      <c r="GVH9" s="17"/>
      <c r="GVI9" s="17"/>
      <c r="GVJ9" s="17"/>
      <c r="GVK9" s="17"/>
      <c r="GVL9" s="17"/>
      <c r="GVM9" s="17"/>
      <c r="GVN9" s="17"/>
      <c r="GVO9" s="17"/>
      <c r="GVP9" s="17"/>
      <c r="GVQ9" s="17"/>
      <c r="GVR9" s="17"/>
      <c r="GVS9" s="17"/>
      <c r="GVT9" s="17"/>
      <c r="GVU9" s="17"/>
      <c r="GVV9" s="17"/>
      <c r="GVW9" s="17"/>
      <c r="GVX9" s="17"/>
      <c r="GVY9" s="17"/>
      <c r="GVZ9" s="17"/>
      <c r="GWA9" s="17"/>
      <c r="GWB9" s="17"/>
      <c r="GWC9" s="17"/>
      <c r="GWD9" s="17"/>
      <c r="GWE9" s="17"/>
      <c r="GWF9" s="17"/>
      <c r="GWG9" s="17"/>
      <c r="GWH9" s="17"/>
      <c r="GWI9" s="17"/>
      <c r="GWJ9" s="17"/>
      <c r="GWK9" s="17"/>
      <c r="GWL9" s="17"/>
      <c r="GWM9" s="17"/>
      <c r="GWN9" s="17"/>
      <c r="GWO9" s="17"/>
      <c r="GWP9" s="17"/>
      <c r="GWQ9" s="17"/>
      <c r="GWR9" s="17"/>
      <c r="GWS9" s="17"/>
      <c r="GWT9" s="17"/>
      <c r="GWU9" s="17"/>
      <c r="GWV9" s="17"/>
      <c r="GWW9" s="17"/>
      <c r="GWX9" s="17"/>
      <c r="GWY9" s="17"/>
      <c r="GWZ9" s="17"/>
      <c r="GXA9" s="17"/>
      <c r="GXB9" s="17"/>
      <c r="GXC9" s="17"/>
      <c r="GXD9" s="17"/>
      <c r="GXE9" s="17"/>
      <c r="GXF9" s="17"/>
      <c r="GXG9" s="17"/>
      <c r="GXH9" s="17"/>
      <c r="GXI9" s="17"/>
      <c r="GXJ9" s="17"/>
      <c r="GXK9" s="17"/>
      <c r="GXL9" s="17"/>
      <c r="GXM9" s="17"/>
      <c r="GXN9" s="17"/>
      <c r="GXO9" s="17"/>
      <c r="GXP9" s="17"/>
      <c r="GXQ9" s="17"/>
      <c r="GXR9" s="17"/>
      <c r="GXS9" s="17"/>
      <c r="GXT9" s="17"/>
      <c r="GXU9" s="17"/>
      <c r="GXV9" s="17"/>
      <c r="GXW9" s="17"/>
      <c r="GXX9" s="17"/>
      <c r="GXY9" s="17"/>
      <c r="GXZ9" s="17"/>
      <c r="GYA9" s="17"/>
      <c r="GYB9" s="17"/>
      <c r="GYC9" s="17"/>
      <c r="GYD9" s="17"/>
      <c r="GYE9" s="17"/>
      <c r="GYF9" s="17"/>
      <c r="GYG9" s="17"/>
      <c r="GYH9" s="17"/>
      <c r="GYI9" s="17"/>
      <c r="GYJ9" s="17"/>
      <c r="GYK9" s="17"/>
      <c r="GYL9" s="17"/>
      <c r="GYM9" s="17"/>
      <c r="GYN9" s="17"/>
      <c r="GYO9" s="17"/>
      <c r="GYP9" s="17"/>
      <c r="GYQ9" s="17"/>
      <c r="GYR9" s="17"/>
      <c r="GYS9" s="17"/>
      <c r="GYT9" s="17"/>
      <c r="GYU9" s="17"/>
      <c r="GYV9" s="17"/>
      <c r="GYW9" s="17"/>
      <c r="GYX9" s="17"/>
      <c r="GYY9" s="17"/>
      <c r="GYZ9" s="17"/>
      <c r="GZA9" s="17"/>
      <c r="GZB9" s="17"/>
      <c r="GZC9" s="17"/>
      <c r="GZD9" s="17"/>
      <c r="GZE9" s="17"/>
      <c r="GZF9" s="17"/>
      <c r="GZG9" s="17"/>
      <c r="GZH9" s="17"/>
      <c r="GZI9" s="17"/>
      <c r="GZJ9" s="17"/>
      <c r="GZK9" s="17"/>
      <c r="GZL9" s="17"/>
      <c r="GZM9" s="17"/>
      <c r="GZN9" s="17"/>
      <c r="GZO9" s="17"/>
      <c r="GZP9" s="17"/>
      <c r="GZQ9" s="17"/>
      <c r="GZR9" s="17"/>
      <c r="GZS9" s="17"/>
      <c r="GZT9" s="17"/>
      <c r="GZU9" s="17"/>
      <c r="GZV9" s="17"/>
      <c r="GZW9" s="17"/>
      <c r="GZX9" s="17"/>
      <c r="GZY9" s="17"/>
      <c r="GZZ9" s="17"/>
      <c r="HAA9" s="17"/>
      <c r="HAB9" s="17"/>
      <c r="HAC9" s="17"/>
      <c r="HAD9" s="17"/>
      <c r="HAE9" s="17"/>
      <c r="HAF9" s="17"/>
      <c r="HAG9" s="17"/>
      <c r="HAH9" s="17"/>
      <c r="HAI9" s="17"/>
      <c r="HAJ9" s="17"/>
      <c r="HAK9" s="17"/>
      <c r="HAL9" s="17"/>
      <c r="HAM9" s="17"/>
      <c r="HAN9" s="17"/>
      <c r="HAO9" s="17"/>
      <c r="HAP9" s="17"/>
      <c r="HAQ9" s="17"/>
      <c r="HAR9" s="17"/>
      <c r="HAS9" s="17"/>
      <c r="HAT9" s="17"/>
      <c r="HAU9" s="17"/>
      <c r="HAV9" s="17"/>
      <c r="HAW9" s="17"/>
      <c r="HAX9" s="17"/>
      <c r="HAY9" s="17"/>
      <c r="HAZ9" s="17"/>
      <c r="HBA9" s="17"/>
      <c r="HBB9" s="17"/>
      <c r="HBC9" s="17"/>
      <c r="HBD9" s="17"/>
      <c r="HBE9" s="17"/>
      <c r="HBF9" s="17"/>
      <c r="HBG9" s="17"/>
      <c r="HBH9" s="17"/>
      <c r="HBI9" s="17"/>
      <c r="HBJ9" s="17"/>
      <c r="HBK9" s="17"/>
      <c r="HBL9" s="17"/>
      <c r="HBM9" s="17"/>
      <c r="HBN9" s="17"/>
      <c r="HBO9" s="17"/>
      <c r="HBP9" s="17"/>
      <c r="HBQ9" s="17"/>
      <c r="HBR9" s="17"/>
      <c r="HBS9" s="17"/>
      <c r="HBT9" s="17"/>
      <c r="HBU9" s="17"/>
      <c r="HBV9" s="17"/>
      <c r="HBW9" s="17"/>
      <c r="HBX9" s="17"/>
      <c r="HBY9" s="17"/>
      <c r="HBZ9" s="17"/>
      <c r="HCA9" s="17"/>
      <c r="HCB9" s="17"/>
      <c r="HCC9" s="17"/>
      <c r="HCD9" s="17"/>
      <c r="HCE9" s="17"/>
      <c r="HCF9" s="17"/>
      <c r="HCG9" s="17"/>
      <c r="HCH9" s="17"/>
      <c r="HCI9" s="17"/>
      <c r="HCJ9" s="17"/>
      <c r="HCK9" s="17"/>
      <c r="HCL9" s="17"/>
      <c r="HCM9" s="17"/>
      <c r="HCN9" s="17"/>
      <c r="HCO9" s="17"/>
      <c r="HCP9" s="17"/>
      <c r="HCQ9" s="17"/>
      <c r="HCR9" s="17"/>
      <c r="HCS9" s="17"/>
      <c r="HCT9" s="17"/>
      <c r="HCU9" s="17"/>
      <c r="HCV9" s="17"/>
      <c r="HCW9" s="17"/>
      <c r="HCX9" s="17"/>
      <c r="HCY9" s="17"/>
      <c r="HCZ9" s="17"/>
      <c r="HDA9" s="17"/>
      <c r="HDB9" s="17"/>
      <c r="HDC9" s="17"/>
      <c r="HDD9" s="17"/>
      <c r="HDE9" s="17"/>
      <c r="HDF9" s="17"/>
      <c r="HDG9" s="17"/>
      <c r="HDH9" s="17"/>
      <c r="HDI9" s="17"/>
      <c r="HDJ9" s="17"/>
      <c r="HDK9" s="17"/>
      <c r="HDL9" s="17"/>
      <c r="HDM9" s="17"/>
      <c r="HDN9" s="17"/>
      <c r="HDO9" s="17"/>
      <c r="HDP9" s="17"/>
      <c r="HDQ9" s="17"/>
      <c r="HDR9" s="17"/>
      <c r="HDS9" s="17"/>
      <c r="HDT9" s="17"/>
      <c r="HDU9" s="17"/>
      <c r="HDV9" s="17"/>
      <c r="HDW9" s="17"/>
      <c r="HDX9" s="17"/>
      <c r="HDY9" s="17"/>
      <c r="HDZ9" s="17"/>
      <c r="HEA9" s="17"/>
      <c r="HEB9" s="17"/>
      <c r="HEC9" s="17"/>
      <c r="HED9" s="17"/>
      <c r="HEE9" s="17"/>
      <c r="HEF9" s="17"/>
      <c r="HEG9" s="17"/>
      <c r="HEH9" s="17"/>
      <c r="HEI9" s="17"/>
      <c r="HEJ9" s="17"/>
      <c r="HEK9" s="17"/>
      <c r="HEL9" s="17"/>
      <c r="HEM9" s="17"/>
      <c r="HEN9" s="17"/>
      <c r="HEO9" s="17"/>
      <c r="HEP9" s="17"/>
      <c r="HEQ9" s="17"/>
      <c r="HER9" s="17"/>
      <c r="HES9" s="17"/>
      <c r="HET9" s="17"/>
      <c r="HEU9" s="17"/>
      <c r="HEV9" s="17"/>
      <c r="HEW9" s="17"/>
      <c r="HEX9" s="17"/>
      <c r="HEY9" s="17"/>
      <c r="HEZ9" s="17"/>
      <c r="HFA9" s="17"/>
      <c r="HFB9" s="17"/>
      <c r="HFC9" s="17"/>
      <c r="HFD9" s="17"/>
      <c r="HFE9" s="17"/>
      <c r="HFF9" s="17"/>
      <c r="HFG9" s="17"/>
      <c r="HFH9" s="17"/>
      <c r="HFI9" s="17"/>
      <c r="HFJ9" s="17"/>
      <c r="HFK9" s="17"/>
      <c r="HFL9" s="17"/>
      <c r="HFM9" s="17"/>
      <c r="HFN9" s="17"/>
      <c r="HFO9" s="17"/>
      <c r="HFP9" s="17"/>
      <c r="HFQ9" s="17"/>
      <c r="HFR9" s="17"/>
      <c r="HFS9" s="17"/>
      <c r="HFT9" s="17"/>
      <c r="HFU9" s="17"/>
      <c r="HFV9" s="17"/>
      <c r="HFW9" s="17"/>
      <c r="HFX9" s="17"/>
      <c r="HFY9" s="17"/>
      <c r="HFZ9" s="17"/>
      <c r="HGA9" s="17"/>
      <c r="HGB9" s="17"/>
      <c r="HGC9" s="17"/>
      <c r="HGD9" s="17"/>
      <c r="HGE9" s="17"/>
      <c r="HGF9" s="17"/>
      <c r="HGG9" s="17"/>
      <c r="HGH9" s="17"/>
      <c r="HGI9" s="17"/>
      <c r="HGJ9" s="17"/>
      <c r="HGK9" s="17"/>
      <c r="HGL9" s="17"/>
      <c r="HGM9" s="17"/>
      <c r="HGN9" s="17"/>
      <c r="HGO9" s="17"/>
      <c r="HGP9" s="17"/>
      <c r="HGQ9" s="17"/>
      <c r="HGR9" s="17"/>
      <c r="HGS9" s="17"/>
      <c r="HGT9" s="17"/>
      <c r="HGU9" s="17"/>
      <c r="HGV9" s="17"/>
      <c r="HGW9" s="17"/>
      <c r="HGX9" s="17"/>
      <c r="HGY9" s="17"/>
      <c r="HGZ9" s="17"/>
      <c r="HHA9" s="17"/>
      <c r="HHB9" s="17"/>
      <c r="HHC9" s="17"/>
      <c r="HHD9" s="17"/>
      <c r="HHE9" s="17"/>
      <c r="HHF9" s="17"/>
      <c r="HHG9" s="17"/>
      <c r="HHH9" s="17"/>
      <c r="HHI9" s="17"/>
      <c r="HHJ9" s="17"/>
      <c r="HHK9" s="17"/>
      <c r="HHL9" s="17"/>
      <c r="HHM9" s="17"/>
      <c r="HHN9" s="17"/>
      <c r="HHO9" s="17"/>
      <c r="HHP9" s="17"/>
      <c r="HHQ9" s="17"/>
      <c r="HHR9" s="17"/>
      <c r="HHS9" s="17"/>
      <c r="HHT9" s="17"/>
      <c r="HHU9" s="17"/>
      <c r="HHV9" s="17"/>
      <c r="HHW9" s="17"/>
      <c r="HHX9" s="17"/>
      <c r="HHY9" s="17"/>
      <c r="HHZ9" s="17"/>
      <c r="HIA9" s="17"/>
      <c r="HIB9" s="17"/>
      <c r="HIC9" s="17"/>
      <c r="HID9" s="17"/>
      <c r="HIE9" s="17"/>
      <c r="HIF9" s="17"/>
      <c r="HIG9" s="17"/>
      <c r="HIH9" s="17"/>
      <c r="HII9" s="17"/>
      <c r="HIJ9" s="17"/>
      <c r="HIK9" s="17"/>
      <c r="HIL9" s="17"/>
      <c r="HIM9" s="17"/>
      <c r="HIN9" s="17"/>
      <c r="HIO9" s="17"/>
      <c r="HIP9" s="17"/>
      <c r="HIQ9" s="17"/>
      <c r="HIR9" s="17"/>
      <c r="HIS9" s="17"/>
      <c r="HIT9" s="17"/>
      <c r="HIU9" s="17"/>
      <c r="HIV9" s="17"/>
      <c r="HIW9" s="17"/>
      <c r="HIX9" s="17"/>
      <c r="HIY9" s="17"/>
      <c r="HIZ9" s="17"/>
      <c r="HJA9" s="17"/>
      <c r="HJB9" s="17"/>
      <c r="HJC9" s="17"/>
      <c r="HJD9" s="17"/>
      <c r="HJE9" s="17"/>
      <c r="HJF9" s="17"/>
      <c r="HJG9" s="17"/>
      <c r="HJH9" s="17"/>
      <c r="HJI9" s="17"/>
      <c r="HJJ9" s="17"/>
      <c r="HJK9" s="17"/>
      <c r="HJL9" s="17"/>
      <c r="HJM9" s="17"/>
      <c r="HJN9" s="17"/>
      <c r="HJO9" s="17"/>
      <c r="HJP9" s="17"/>
      <c r="HJQ9" s="17"/>
      <c r="HJR9" s="17"/>
      <c r="HJS9" s="17"/>
      <c r="HJT9" s="17"/>
      <c r="HJU9" s="17"/>
      <c r="HJV9" s="17"/>
      <c r="HJW9" s="17"/>
      <c r="HJX9" s="17"/>
      <c r="HJY9" s="17"/>
      <c r="HJZ9" s="17"/>
      <c r="HKA9" s="17"/>
      <c r="HKB9" s="17"/>
      <c r="HKC9" s="17"/>
      <c r="HKD9" s="17"/>
      <c r="HKE9" s="17"/>
      <c r="HKF9" s="17"/>
      <c r="HKG9" s="17"/>
      <c r="HKH9" s="17"/>
      <c r="HKI9" s="17"/>
      <c r="HKJ9" s="17"/>
      <c r="HKK9" s="17"/>
      <c r="HKL9" s="17"/>
      <c r="HKM9" s="17"/>
      <c r="HKN9" s="17"/>
      <c r="HKO9" s="17"/>
      <c r="HKP9" s="17"/>
      <c r="HKQ9" s="17"/>
      <c r="HKR9" s="17"/>
      <c r="HKS9" s="17"/>
      <c r="HKT9" s="17"/>
      <c r="HKU9" s="17"/>
      <c r="HKV9" s="17"/>
      <c r="HKW9" s="17"/>
      <c r="HKX9" s="17"/>
      <c r="HKY9" s="17"/>
      <c r="HKZ9" s="17"/>
      <c r="HLA9" s="17"/>
      <c r="HLB9" s="17"/>
      <c r="HLC9" s="17"/>
      <c r="HLD9" s="17"/>
      <c r="HLE9" s="17"/>
      <c r="HLF9" s="17"/>
      <c r="HLG9" s="17"/>
      <c r="HLH9" s="17"/>
      <c r="HLI9" s="17"/>
      <c r="HLJ9" s="17"/>
      <c r="HLK9" s="17"/>
      <c r="HLL9" s="17"/>
      <c r="HLM9" s="17"/>
      <c r="HLN9" s="17"/>
      <c r="HLO9" s="17"/>
      <c r="HLP9" s="17"/>
      <c r="HLQ9" s="17"/>
      <c r="HLR9" s="17"/>
      <c r="HLS9" s="17"/>
      <c r="HLT9" s="17"/>
      <c r="HLU9" s="17"/>
      <c r="HLV9" s="17"/>
      <c r="HLW9" s="17"/>
      <c r="HLX9" s="17"/>
      <c r="HLY9" s="17"/>
      <c r="HLZ9" s="17"/>
      <c r="HMA9" s="17"/>
      <c r="HMB9" s="17"/>
      <c r="HMC9" s="17"/>
      <c r="HMD9" s="17"/>
      <c r="HME9" s="17"/>
      <c r="HMF9" s="17"/>
      <c r="HMG9" s="17"/>
      <c r="HMH9" s="17"/>
      <c r="HMI9" s="17"/>
      <c r="HMJ9" s="17"/>
      <c r="HMK9" s="17"/>
      <c r="HML9" s="17"/>
      <c r="HMM9" s="17"/>
      <c r="HMN9" s="17"/>
      <c r="HMO9" s="17"/>
      <c r="HMP9" s="17"/>
      <c r="HMQ9" s="17"/>
      <c r="HMR9" s="17"/>
      <c r="HMS9" s="17"/>
      <c r="HMT9" s="17"/>
      <c r="HMU9" s="17"/>
      <c r="HMV9" s="17"/>
      <c r="HMW9" s="17"/>
      <c r="HMX9" s="17"/>
      <c r="HMY9" s="17"/>
      <c r="HMZ9" s="17"/>
      <c r="HNA9" s="17"/>
      <c r="HNB9" s="17"/>
      <c r="HNC9" s="17"/>
      <c r="HND9" s="17"/>
      <c r="HNE9" s="17"/>
      <c r="HNF9" s="17"/>
      <c r="HNG9" s="17"/>
      <c r="HNH9" s="17"/>
      <c r="HNI9" s="17"/>
      <c r="HNJ9" s="17"/>
      <c r="HNK9" s="17"/>
      <c r="HNL9" s="17"/>
      <c r="HNM9" s="17"/>
      <c r="HNN9" s="17"/>
      <c r="HNO9" s="17"/>
      <c r="HNP9" s="17"/>
      <c r="HNQ9" s="17"/>
      <c r="HNR9" s="17"/>
      <c r="HNS9" s="17"/>
      <c r="HNT9" s="17"/>
      <c r="HNU9" s="17"/>
      <c r="HNV9" s="17"/>
      <c r="HNW9" s="17"/>
      <c r="HNX9" s="17"/>
      <c r="HNY9" s="17"/>
      <c r="HNZ9" s="17"/>
      <c r="HOA9" s="17"/>
      <c r="HOB9" s="17"/>
      <c r="HOC9" s="17"/>
      <c r="HOD9" s="17"/>
      <c r="HOE9" s="17"/>
      <c r="HOF9" s="17"/>
      <c r="HOG9" s="17"/>
      <c r="HOH9" s="17"/>
      <c r="HOI9" s="17"/>
      <c r="HOJ9" s="17"/>
      <c r="HOK9" s="17"/>
      <c r="HOL9" s="17"/>
      <c r="HOM9" s="17"/>
      <c r="HON9" s="17"/>
      <c r="HOO9" s="17"/>
      <c r="HOP9" s="17"/>
      <c r="HOQ9" s="17"/>
      <c r="HOR9" s="17"/>
      <c r="HOS9" s="17"/>
      <c r="HOT9" s="17"/>
      <c r="HOU9" s="17"/>
      <c r="HOV9" s="17"/>
      <c r="HOW9" s="17"/>
      <c r="HOX9" s="17"/>
      <c r="HOY9" s="17"/>
      <c r="HOZ9" s="17"/>
      <c r="HPA9" s="17"/>
      <c r="HPB9" s="17"/>
      <c r="HPC9" s="17"/>
      <c r="HPD9" s="17"/>
      <c r="HPE9" s="17"/>
      <c r="HPF9" s="17"/>
      <c r="HPG9" s="17"/>
      <c r="HPH9" s="17"/>
      <c r="HPI9" s="17"/>
      <c r="HPJ9" s="17"/>
      <c r="HPK9" s="17"/>
      <c r="HPL9" s="17"/>
      <c r="HPM9" s="17"/>
      <c r="HPN9" s="17"/>
      <c r="HPO9" s="17"/>
      <c r="HPP9" s="17"/>
      <c r="HPQ9" s="17"/>
      <c r="HPR9" s="17"/>
      <c r="HPS9" s="17"/>
      <c r="HPT9" s="17"/>
      <c r="HPU9" s="17"/>
      <c r="HPV9" s="17"/>
      <c r="HPW9" s="17"/>
      <c r="HPX9" s="17"/>
      <c r="HPY9" s="17"/>
      <c r="HPZ9" s="17"/>
      <c r="HQA9" s="17"/>
      <c r="HQB9" s="17"/>
      <c r="HQC9" s="17"/>
      <c r="HQD9" s="17"/>
      <c r="HQE9" s="17"/>
      <c r="HQF9" s="17"/>
      <c r="HQG9" s="17"/>
      <c r="HQH9" s="17"/>
      <c r="HQI9" s="17"/>
      <c r="HQJ9" s="17"/>
      <c r="HQK9" s="17"/>
      <c r="HQL9" s="17"/>
      <c r="HQM9" s="17"/>
      <c r="HQN9" s="17"/>
      <c r="HQO9" s="17"/>
      <c r="HQP9" s="17"/>
      <c r="HQQ9" s="17"/>
      <c r="HQR9" s="17"/>
      <c r="HQS9" s="17"/>
      <c r="HQT9" s="17"/>
      <c r="HQU9" s="17"/>
      <c r="HQV9" s="17"/>
      <c r="HQW9" s="17"/>
      <c r="HQX9" s="17"/>
      <c r="HQY9" s="17"/>
      <c r="HQZ9" s="17"/>
      <c r="HRA9" s="17"/>
      <c r="HRB9" s="17"/>
      <c r="HRC9" s="17"/>
      <c r="HRD9" s="17"/>
      <c r="HRE9" s="17"/>
      <c r="HRF9" s="17"/>
      <c r="HRG9" s="17"/>
      <c r="HRH9" s="17"/>
      <c r="HRI9" s="17"/>
      <c r="HRJ9" s="17"/>
      <c r="HRK9" s="17"/>
      <c r="HRL9" s="17"/>
      <c r="HRM9" s="17"/>
      <c r="HRN9" s="17"/>
      <c r="HRO9" s="17"/>
      <c r="HRP9" s="17"/>
      <c r="HRQ9" s="17"/>
      <c r="HRR9" s="17"/>
      <c r="HRS9" s="17"/>
      <c r="HRT9" s="17"/>
      <c r="HRU9" s="17"/>
      <c r="HRV9" s="17"/>
      <c r="HRW9" s="17"/>
      <c r="HRX9" s="17"/>
      <c r="HRY9" s="17"/>
      <c r="HRZ9" s="17"/>
      <c r="HSA9" s="17"/>
      <c r="HSB9" s="17"/>
      <c r="HSC9" s="17"/>
      <c r="HSD9" s="17"/>
      <c r="HSE9" s="17"/>
      <c r="HSF9" s="17"/>
      <c r="HSG9" s="17"/>
      <c r="HSH9" s="17"/>
      <c r="HSI9" s="17"/>
      <c r="HSJ9" s="17"/>
      <c r="HSK9" s="17"/>
      <c r="HSL9" s="17"/>
      <c r="HSM9" s="17"/>
      <c r="HSN9" s="17"/>
      <c r="HSO9" s="17"/>
      <c r="HSP9" s="17"/>
      <c r="HSQ9" s="17"/>
      <c r="HSR9" s="17"/>
      <c r="HSS9" s="17"/>
      <c r="HST9" s="17"/>
      <c r="HSU9" s="17"/>
      <c r="HSV9" s="17"/>
      <c r="HSW9" s="17"/>
      <c r="HSX9" s="17"/>
      <c r="HSY9" s="17"/>
      <c r="HSZ9" s="17"/>
      <c r="HTA9" s="17"/>
      <c r="HTB9" s="17"/>
      <c r="HTC9" s="17"/>
      <c r="HTD9" s="17"/>
      <c r="HTE9" s="17"/>
      <c r="HTF9" s="17"/>
      <c r="HTG9" s="17"/>
      <c r="HTH9" s="17"/>
      <c r="HTI9" s="17"/>
      <c r="HTJ9" s="17"/>
      <c r="HTK9" s="17"/>
      <c r="HTL9" s="17"/>
      <c r="HTM9" s="17"/>
      <c r="HTN9" s="17"/>
      <c r="HTO9" s="17"/>
      <c r="HTP9" s="17"/>
      <c r="HTQ9" s="17"/>
      <c r="HTR9" s="17"/>
      <c r="HTS9" s="17"/>
      <c r="HTT9" s="17"/>
      <c r="HTU9" s="17"/>
      <c r="HTV9" s="17"/>
      <c r="HTW9" s="17"/>
      <c r="HTX9" s="17"/>
      <c r="HTY9" s="17"/>
      <c r="HTZ9" s="17"/>
      <c r="HUA9" s="17"/>
      <c r="HUB9" s="17"/>
      <c r="HUC9" s="17"/>
      <c r="HUD9" s="17"/>
      <c r="HUE9" s="17"/>
      <c r="HUF9" s="17"/>
      <c r="HUG9" s="17"/>
      <c r="HUH9" s="17"/>
      <c r="HUI9" s="17"/>
      <c r="HUJ9" s="17"/>
      <c r="HUK9" s="17"/>
      <c r="HUL9" s="17"/>
      <c r="HUM9" s="17"/>
      <c r="HUN9" s="17"/>
      <c r="HUO9" s="17"/>
      <c r="HUP9" s="17"/>
      <c r="HUQ9" s="17"/>
      <c r="HUR9" s="17"/>
      <c r="HUS9" s="17"/>
      <c r="HUT9" s="17"/>
      <c r="HUU9" s="17"/>
      <c r="HUV9" s="17"/>
      <c r="HUW9" s="17"/>
      <c r="HUX9" s="17"/>
      <c r="HUY9" s="17"/>
      <c r="HUZ9" s="17"/>
      <c r="HVA9" s="17"/>
      <c r="HVB9" s="17"/>
      <c r="HVC9" s="17"/>
      <c r="HVD9" s="17"/>
      <c r="HVE9" s="17"/>
      <c r="HVF9" s="17"/>
      <c r="HVG9" s="17"/>
      <c r="HVH9" s="17"/>
      <c r="HVI9" s="17"/>
      <c r="HVJ9" s="17"/>
      <c r="HVK9" s="17"/>
      <c r="HVL9" s="17"/>
      <c r="HVM9" s="17"/>
      <c r="HVN9" s="17"/>
      <c r="HVO9" s="17"/>
      <c r="HVP9" s="17"/>
      <c r="HVQ9" s="17"/>
      <c r="HVR9" s="17"/>
      <c r="HVS9" s="17"/>
      <c r="HVT9" s="17"/>
      <c r="HVU9" s="17"/>
      <c r="HVV9" s="17"/>
      <c r="HVW9" s="17"/>
      <c r="HVX9" s="17"/>
      <c r="HVY9" s="17"/>
      <c r="HVZ9" s="17"/>
      <c r="HWA9" s="17"/>
      <c r="HWB9" s="17"/>
      <c r="HWC9" s="17"/>
      <c r="HWD9" s="17"/>
      <c r="HWE9" s="17"/>
      <c r="HWF9" s="17"/>
      <c r="HWG9" s="17"/>
      <c r="HWH9" s="17"/>
      <c r="HWI9" s="17"/>
      <c r="HWJ9" s="17"/>
      <c r="HWK9" s="17"/>
      <c r="HWL9" s="17"/>
      <c r="HWM9" s="17"/>
      <c r="HWN9" s="17"/>
      <c r="HWO9" s="17"/>
      <c r="HWP9" s="17"/>
      <c r="HWQ9" s="17"/>
      <c r="HWR9" s="17"/>
      <c r="HWS9" s="17"/>
      <c r="HWT9" s="17"/>
      <c r="HWU9" s="17"/>
      <c r="HWV9" s="17"/>
      <c r="HWW9" s="17"/>
      <c r="HWX9" s="17"/>
      <c r="HWY9" s="17"/>
      <c r="HWZ9" s="17"/>
      <c r="HXA9" s="17"/>
      <c r="HXB9" s="17"/>
      <c r="HXC9" s="17"/>
      <c r="HXD9" s="17"/>
      <c r="HXE9" s="17"/>
      <c r="HXF9" s="17"/>
      <c r="HXG9" s="17"/>
      <c r="HXH9" s="17"/>
      <c r="HXI9" s="17"/>
      <c r="HXJ9" s="17"/>
      <c r="HXK9" s="17"/>
      <c r="HXL9" s="17"/>
      <c r="HXM9" s="17"/>
      <c r="HXN9" s="17"/>
      <c r="HXO9" s="17"/>
      <c r="HXP9" s="17"/>
      <c r="HXQ9" s="17"/>
      <c r="HXR9" s="17"/>
      <c r="HXS9" s="17"/>
      <c r="HXT9" s="17"/>
      <c r="HXU9" s="17"/>
      <c r="HXV9" s="17"/>
      <c r="HXW9" s="17"/>
      <c r="HXX9" s="17"/>
      <c r="HXY9" s="17"/>
      <c r="HXZ9" s="17"/>
      <c r="HYA9" s="17"/>
      <c r="HYB9" s="17"/>
      <c r="HYC9" s="17"/>
      <c r="HYD9" s="17"/>
      <c r="HYE9" s="17"/>
      <c r="HYF9" s="17"/>
      <c r="HYG9" s="17"/>
      <c r="HYH9" s="17"/>
      <c r="HYI9" s="17"/>
      <c r="HYJ9" s="17"/>
      <c r="HYK9" s="17"/>
      <c r="HYL9" s="17"/>
      <c r="HYM9" s="17"/>
      <c r="HYN9" s="17"/>
      <c r="HYO9" s="17"/>
      <c r="HYP9" s="17"/>
      <c r="HYQ9" s="17"/>
      <c r="HYR9" s="17"/>
      <c r="HYS9" s="17"/>
      <c r="HYT9" s="17"/>
      <c r="HYU9" s="17"/>
      <c r="HYV9" s="17"/>
      <c r="HYW9" s="17"/>
      <c r="HYX9" s="17"/>
      <c r="HYY9" s="17"/>
      <c r="HYZ9" s="17"/>
      <c r="HZA9" s="17"/>
      <c r="HZB9" s="17"/>
      <c r="HZC9" s="17"/>
      <c r="HZD9" s="17"/>
      <c r="HZE9" s="17"/>
      <c r="HZF9" s="17"/>
      <c r="HZG9" s="17"/>
      <c r="HZH9" s="17"/>
      <c r="HZI9" s="17"/>
      <c r="HZJ9" s="17"/>
      <c r="HZK9" s="17"/>
      <c r="HZL9" s="17"/>
      <c r="HZM9" s="17"/>
      <c r="HZN9" s="17"/>
      <c r="HZO9" s="17"/>
      <c r="HZP9" s="17"/>
      <c r="HZQ9" s="17"/>
      <c r="HZR9" s="17"/>
      <c r="HZS9" s="17"/>
      <c r="HZT9" s="17"/>
      <c r="HZU9" s="17"/>
      <c r="HZV9" s="17"/>
      <c r="HZW9" s="17"/>
      <c r="HZX9" s="17"/>
      <c r="HZY9" s="17"/>
      <c r="HZZ9" s="17"/>
      <c r="IAA9" s="17"/>
      <c r="IAB9" s="17"/>
      <c r="IAC9" s="17"/>
      <c r="IAD9" s="17"/>
      <c r="IAE9" s="17"/>
      <c r="IAF9" s="17"/>
      <c r="IAG9" s="17"/>
      <c r="IAH9" s="17"/>
      <c r="IAI9" s="17"/>
      <c r="IAJ9" s="17"/>
      <c r="IAK9" s="17"/>
      <c r="IAL9" s="17"/>
      <c r="IAM9" s="17"/>
      <c r="IAN9" s="17"/>
      <c r="IAO9" s="17"/>
      <c r="IAP9" s="17"/>
      <c r="IAQ9" s="17"/>
      <c r="IAR9" s="17"/>
      <c r="IAS9" s="17"/>
      <c r="IAT9" s="17"/>
      <c r="IAU9" s="17"/>
      <c r="IAV9" s="17"/>
      <c r="IAW9" s="17"/>
      <c r="IAX9" s="17"/>
      <c r="IAY9" s="17"/>
      <c r="IAZ9" s="17"/>
      <c r="IBA9" s="17"/>
      <c r="IBB9" s="17"/>
      <c r="IBC9" s="17"/>
      <c r="IBD9" s="17"/>
      <c r="IBE9" s="17"/>
      <c r="IBF9" s="17"/>
      <c r="IBG9" s="17"/>
      <c r="IBH9" s="17"/>
      <c r="IBI9" s="17"/>
      <c r="IBJ9" s="17"/>
      <c r="IBK9" s="17"/>
      <c r="IBL9" s="17"/>
      <c r="IBM9" s="17"/>
      <c r="IBN9" s="17"/>
      <c r="IBO9" s="17"/>
      <c r="IBP9" s="17"/>
      <c r="IBQ9" s="17"/>
      <c r="IBR9" s="17"/>
      <c r="IBS9" s="17"/>
      <c r="IBT9" s="17"/>
      <c r="IBU9" s="17"/>
      <c r="IBV9" s="17"/>
      <c r="IBW9" s="17"/>
      <c r="IBX9" s="17"/>
      <c r="IBY9" s="17"/>
      <c r="IBZ9" s="17"/>
      <c r="ICA9" s="17"/>
      <c r="ICB9" s="17"/>
      <c r="ICC9" s="17"/>
      <c r="ICD9" s="17"/>
      <c r="ICE9" s="17"/>
      <c r="ICF9" s="17"/>
      <c r="ICG9" s="17"/>
      <c r="ICH9" s="17"/>
      <c r="ICI9" s="17"/>
      <c r="ICJ9" s="17"/>
      <c r="ICK9" s="17"/>
      <c r="ICL9" s="17"/>
      <c r="ICM9" s="17"/>
      <c r="ICN9" s="17"/>
      <c r="ICO9" s="17"/>
      <c r="ICP9" s="17"/>
      <c r="ICQ9" s="17"/>
      <c r="ICR9" s="17"/>
      <c r="ICS9" s="17"/>
      <c r="ICT9" s="17"/>
      <c r="ICU9" s="17"/>
      <c r="ICV9" s="17"/>
      <c r="ICW9" s="17"/>
      <c r="ICX9" s="17"/>
      <c r="ICY9" s="17"/>
      <c r="ICZ9" s="17"/>
      <c r="IDA9" s="17"/>
      <c r="IDB9" s="17"/>
      <c r="IDC9" s="17"/>
      <c r="IDD9" s="17"/>
      <c r="IDE9" s="17"/>
      <c r="IDF9" s="17"/>
      <c r="IDG9" s="17"/>
      <c r="IDH9" s="17"/>
      <c r="IDI9" s="17"/>
      <c r="IDJ9" s="17"/>
      <c r="IDK9" s="17"/>
      <c r="IDL9" s="17"/>
      <c r="IDM9" s="17"/>
      <c r="IDN9" s="17"/>
      <c r="IDO9" s="17"/>
      <c r="IDP9" s="17"/>
      <c r="IDQ9" s="17"/>
      <c r="IDR9" s="17"/>
      <c r="IDS9" s="17"/>
      <c r="IDT9" s="17"/>
      <c r="IDU9" s="17"/>
      <c r="IDV9" s="17"/>
      <c r="IDW9" s="17"/>
      <c r="IDX9" s="17"/>
      <c r="IDY9" s="17"/>
      <c r="IDZ9" s="17"/>
      <c r="IEA9" s="17"/>
      <c r="IEB9" s="17"/>
      <c r="IEC9" s="17"/>
      <c r="IED9" s="17"/>
      <c r="IEE9" s="17"/>
      <c r="IEF9" s="17"/>
      <c r="IEG9" s="17"/>
      <c r="IEH9" s="17"/>
      <c r="IEI9" s="17"/>
      <c r="IEJ9" s="17"/>
      <c r="IEK9" s="17"/>
      <c r="IEL9" s="17"/>
      <c r="IEM9" s="17"/>
      <c r="IEN9" s="17"/>
      <c r="IEO9" s="17"/>
      <c r="IEP9" s="17"/>
      <c r="IEQ9" s="17"/>
      <c r="IER9" s="17"/>
      <c r="IES9" s="17"/>
      <c r="IET9" s="17"/>
      <c r="IEU9" s="17"/>
      <c r="IEV9" s="17"/>
      <c r="IEW9" s="17"/>
      <c r="IEX9" s="17"/>
      <c r="IEY9" s="17"/>
      <c r="IEZ9" s="17"/>
      <c r="IFA9" s="17"/>
      <c r="IFB9" s="17"/>
      <c r="IFC9" s="17"/>
      <c r="IFD9" s="17"/>
      <c r="IFE9" s="17"/>
      <c r="IFF9" s="17"/>
      <c r="IFG9" s="17"/>
      <c r="IFH9" s="17"/>
      <c r="IFI9" s="17"/>
      <c r="IFJ9" s="17"/>
      <c r="IFK9" s="17"/>
      <c r="IFL9" s="17"/>
      <c r="IFM9" s="17"/>
      <c r="IFN9" s="17"/>
      <c r="IFO9" s="17"/>
      <c r="IFP9" s="17"/>
      <c r="IFQ9" s="17"/>
      <c r="IFR9" s="17"/>
      <c r="IFS9" s="17"/>
      <c r="IFT9" s="17"/>
      <c r="IFU9" s="17"/>
      <c r="IFV9" s="17"/>
      <c r="IFW9" s="17"/>
      <c r="IFX9" s="17"/>
      <c r="IFY9" s="17"/>
      <c r="IFZ9" s="17"/>
      <c r="IGA9" s="17"/>
      <c r="IGB9" s="17"/>
      <c r="IGC9" s="17"/>
      <c r="IGD9" s="17"/>
      <c r="IGE9" s="17"/>
      <c r="IGF9" s="17"/>
      <c r="IGG9" s="17"/>
      <c r="IGH9" s="17"/>
      <c r="IGI9" s="17"/>
      <c r="IGJ9" s="17"/>
      <c r="IGK9" s="17"/>
      <c r="IGL9" s="17"/>
      <c r="IGM9" s="17"/>
      <c r="IGN9" s="17"/>
      <c r="IGO9" s="17"/>
      <c r="IGP9" s="17"/>
      <c r="IGQ9" s="17"/>
      <c r="IGR9" s="17"/>
      <c r="IGS9" s="17"/>
      <c r="IGT9" s="17"/>
      <c r="IGU9" s="17"/>
      <c r="IGV9" s="17"/>
      <c r="IGW9" s="17"/>
      <c r="IGX9" s="17"/>
      <c r="IGY9" s="17"/>
      <c r="IGZ9" s="17"/>
      <c r="IHA9" s="17"/>
      <c r="IHB9" s="17"/>
      <c r="IHC9" s="17"/>
      <c r="IHD9" s="17"/>
      <c r="IHE9" s="17"/>
      <c r="IHF9" s="17"/>
      <c r="IHG9" s="17"/>
      <c r="IHH9" s="17"/>
      <c r="IHI9" s="17"/>
      <c r="IHJ9" s="17"/>
      <c r="IHK9" s="17"/>
      <c r="IHL9" s="17"/>
      <c r="IHM9" s="17"/>
      <c r="IHN9" s="17"/>
      <c r="IHO9" s="17"/>
      <c r="IHP9" s="17"/>
      <c r="IHQ9" s="17"/>
      <c r="IHR9" s="17"/>
      <c r="IHS9" s="17"/>
      <c r="IHT9" s="17"/>
      <c r="IHU9" s="17"/>
      <c r="IHV9" s="17"/>
      <c r="IHW9" s="17"/>
      <c r="IHX9" s="17"/>
      <c r="IHY9" s="17"/>
      <c r="IHZ9" s="17"/>
      <c r="IIA9" s="17"/>
      <c r="IIB9" s="17"/>
      <c r="IIC9" s="17"/>
      <c r="IID9" s="17"/>
      <c r="IIE9" s="17"/>
      <c r="IIF9" s="17"/>
      <c r="IIG9" s="17"/>
      <c r="IIH9" s="17"/>
      <c r="III9" s="17"/>
      <c r="IIJ9" s="17"/>
      <c r="IIK9" s="17"/>
      <c r="IIL9" s="17"/>
      <c r="IIM9" s="17"/>
      <c r="IIN9" s="17"/>
      <c r="IIO9" s="17"/>
      <c r="IIP9" s="17"/>
      <c r="IIQ9" s="17"/>
      <c r="IIR9" s="17"/>
      <c r="IIS9" s="17"/>
      <c r="IIT9" s="17"/>
      <c r="IIU9" s="17"/>
      <c r="IIV9" s="17"/>
      <c r="IIW9" s="17"/>
      <c r="IIX9" s="17"/>
      <c r="IIY9" s="17"/>
      <c r="IIZ9" s="17"/>
      <c r="IJA9" s="17"/>
      <c r="IJB9" s="17"/>
      <c r="IJC9" s="17"/>
      <c r="IJD9" s="17"/>
      <c r="IJE9" s="17"/>
      <c r="IJF9" s="17"/>
      <c r="IJG9" s="17"/>
      <c r="IJH9" s="17"/>
      <c r="IJI9" s="17"/>
      <c r="IJJ9" s="17"/>
      <c r="IJK9" s="17"/>
      <c r="IJL9" s="17"/>
      <c r="IJM9" s="17"/>
      <c r="IJN9" s="17"/>
      <c r="IJO9" s="17"/>
      <c r="IJP9" s="17"/>
      <c r="IJQ9" s="17"/>
      <c r="IJR9" s="17"/>
      <c r="IJS9" s="17"/>
      <c r="IJT9" s="17"/>
      <c r="IJU9" s="17"/>
      <c r="IJV9" s="17"/>
      <c r="IJW9" s="17"/>
      <c r="IJX9" s="17"/>
      <c r="IJY9" s="17"/>
      <c r="IJZ9" s="17"/>
      <c r="IKA9" s="17"/>
      <c r="IKB9" s="17"/>
      <c r="IKC9" s="17"/>
      <c r="IKD9" s="17"/>
      <c r="IKE9" s="17"/>
      <c r="IKF9" s="17"/>
      <c r="IKG9" s="17"/>
      <c r="IKH9" s="17"/>
      <c r="IKI9" s="17"/>
      <c r="IKJ9" s="17"/>
      <c r="IKK9" s="17"/>
      <c r="IKL9" s="17"/>
      <c r="IKM9" s="17"/>
      <c r="IKN9" s="17"/>
      <c r="IKO9" s="17"/>
      <c r="IKP9" s="17"/>
      <c r="IKQ9" s="17"/>
      <c r="IKR9" s="17"/>
      <c r="IKS9" s="17"/>
      <c r="IKT9" s="17"/>
      <c r="IKU9" s="17"/>
      <c r="IKV9" s="17"/>
      <c r="IKW9" s="17"/>
      <c r="IKX9" s="17"/>
      <c r="IKY9" s="17"/>
      <c r="IKZ9" s="17"/>
      <c r="ILA9" s="17"/>
      <c r="ILB9" s="17"/>
      <c r="ILC9" s="17"/>
      <c r="ILD9" s="17"/>
      <c r="ILE9" s="17"/>
      <c r="ILF9" s="17"/>
      <c r="ILG9" s="17"/>
      <c r="ILH9" s="17"/>
      <c r="ILI9" s="17"/>
      <c r="ILJ9" s="17"/>
      <c r="ILK9" s="17"/>
      <c r="ILL9" s="17"/>
      <c r="ILM9" s="17"/>
      <c r="ILN9" s="17"/>
      <c r="ILO9" s="17"/>
      <c r="ILP9" s="17"/>
      <c r="ILQ9" s="17"/>
      <c r="ILR9" s="17"/>
      <c r="ILS9" s="17"/>
      <c r="ILT9" s="17"/>
      <c r="ILU9" s="17"/>
      <c r="ILV9" s="17"/>
      <c r="ILW9" s="17"/>
      <c r="ILX9" s="17"/>
      <c r="ILY9" s="17"/>
      <c r="ILZ9" s="17"/>
      <c r="IMA9" s="17"/>
      <c r="IMB9" s="17"/>
      <c r="IMC9" s="17"/>
      <c r="IMD9" s="17"/>
      <c r="IME9" s="17"/>
      <c r="IMF9" s="17"/>
      <c r="IMG9" s="17"/>
      <c r="IMH9" s="17"/>
      <c r="IMI9" s="17"/>
      <c r="IMJ9" s="17"/>
      <c r="IMK9" s="17"/>
      <c r="IML9" s="17"/>
      <c r="IMM9" s="17"/>
      <c r="IMN9" s="17"/>
      <c r="IMO9" s="17"/>
      <c r="IMP9" s="17"/>
      <c r="IMQ9" s="17"/>
      <c r="IMR9" s="17"/>
      <c r="IMS9" s="17"/>
      <c r="IMT9" s="17"/>
      <c r="IMU9" s="17"/>
      <c r="IMV9" s="17"/>
      <c r="IMW9" s="17"/>
      <c r="IMX9" s="17"/>
      <c r="IMY9" s="17"/>
      <c r="IMZ9" s="17"/>
      <c r="INA9" s="17"/>
      <c r="INB9" s="17"/>
      <c r="INC9" s="17"/>
      <c r="IND9" s="17"/>
      <c r="INE9" s="17"/>
      <c r="INF9" s="17"/>
      <c r="ING9" s="17"/>
      <c r="INH9" s="17"/>
      <c r="INI9" s="17"/>
      <c r="INJ9" s="17"/>
      <c r="INK9" s="17"/>
      <c r="INL9" s="17"/>
      <c r="INM9" s="17"/>
      <c r="INN9" s="17"/>
      <c r="INO9" s="17"/>
      <c r="INP9" s="17"/>
      <c r="INQ9" s="17"/>
      <c r="INR9" s="17"/>
      <c r="INS9" s="17"/>
      <c r="INT9" s="17"/>
      <c r="INU9" s="17"/>
      <c r="INV9" s="17"/>
      <c r="INW9" s="17"/>
      <c r="INX9" s="17"/>
      <c r="INY9" s="17"/>
      <c r="INZ9" s="17"/>
      <c r="IOA9" s="17"/>
      <c r="IOB9" s="17"/>
      <c r="IOC9" s="17"/>
      <c r="IOD9" s="17"/>
      <c r="IOE9" s="17"/>
      <c r="IOF9" s="17"/>
      <c r="IOG9" s="17"/>
      <c r="IOH9" s="17"/>
      <c r="IOI9" s="17"/>
      <c r="IOJ9" s="17"/>
      <c r="IOK9" s="17"/>
      <c r="IOL9" s="17"/>
      <c r="IOM9" s="17"/>
      <c r="ION9" s="17"/>
      <c r="IOO9" s="17"/>
      <c r="IOP9" s="17"/>
      <c r="IOQ9" s="17"/>
      <c r="IOR9" s="17"/>
      <c r="IOS9" s="17"/>
      <c r="IOT9" s="17"/>
      <c r="IOU9" s="17"/>
      <c r="IOV9" s="17"/>
      <c r="IOW9" s="17"/>
      <c r="IOX9" s="17"/>
      <c r="IOY9" s="17"/>
      <c r="IOZ9" s="17"/>
      <c r="IPA9" s="17"/>
      <c r="IPB9" s="17"/>
      <c r="IPC9" s="17"/>
      <c r="IPD9" s="17"/>
      <c r="IPE9" s="17"/>
      <c r="IPF9" s="17"/>
      <c r="IPG9" s="17"/>
      <c r="IPH9" s="17"/>
      <c r="IPI9" s="17"/>
      <c r="IPJ9" s="17"/>
      <c r="IPK9" s="17"/>
      <c r="IPL9" s="17"/>
      <c r="IPM9" s="17"/>
      <c r="IPN9" s="17"/>
      <c r="IPO9" s="17"/>
      <c r="IPP9" s="17"/>
      <c r="IPQ9" s="17"/>
      <c r="IPR9" s="17"/>
      <c r="IPS9" s="17"/>
      <c r="IPT9" s="17"/>
      <c r="IPU9" s="17"/>
      <c r="IPV9" s="17"/>
      <c r="IPW9" s="17"/>
      <c r="IPX9" s="17"/>
      <c r="IPY9" s="17"/>
      <c r="IPZ9" s="17"/>
      <c r="IQA9" s="17"/>
      <c r="IQB9" s="17"/>
      <c r="IQC9" s="17"/>
      <c r="IQD9" s="17"/>
      <c r="IQE9" s="17"/>
      <c r="IQF9" s="17"/>
      <c r="IQG9" s="17"/>
      <c r="IQH9" s="17"/>
      <c r="IQI9" s="17"/>
      <c r="IQJ9" s="17"/>
      <c r="IQK9" s="17"/>
      <c r="IQL9" s="17"/>
      <c r="IQM9" s="17"/>
      <c r="IQN9" s="17"/>
      <c r="IQO9" s="17"/>
      <c r="IQP9" s="17"/>
      <c r="IQQ9" s="17"/>
      <c r="IQR9" s="17"/>
      <c r="IQS9" s="17"/>
      <c r="IQT9" s="17"/>
      <c r="IQU9" s="17"/>
      <c r="IQV9" s="17"/>
      <c r="IQW9" s="17"/>
      <c r="IQX9" s="17"/>
      <c r="IQY9" s="17"/>
      <c r="IQZ9" s="17"/>
      <c r="IRA9" s="17"/>
      <c r="IRB9" s="17"/>
      <c r="IRC9" s="17"/>
      <c r="IRD9" s="17"/>
      <c r="IRE9" s="17"/>
      <c r="IRF9" s="17"/>
      <c r="IRG9" s="17"/>
      <c r="IRH9" s="17"/>
      <c r="IRI9" s="17"/>
      <c r="IRJ9" s="17"/>
      <c r="IRK9" s="17"/>
      <c r="IRL9" s="17"/>
      <c r="IRM9" s="17"/>
      <c r="IRN9" s="17"/>
      <c r="IRO9" s="17"/>
      <c r="IRP9" s="17"/>
      <c r="IRQ9" s="17"/>
      <c r="IRR9" s="17"/>
      <c r="IRS9" s="17"/>
      <c r="IRT9" s="17"/>
      <c r="IRU9" s="17"/>
      <c r="IRV9" s="17"/>
      <c r="IRW9" s="17"/>
      <c r="IRX9" s="17"/>
      <c r="IRY9" s="17"/>
      <c r="IRZ9" s="17"/>
      <c r="ISA9" s="17"/>
      <c r="ISB9" s="17"/>
      <c r="ISC9" s="17"/>
      <c r="ISD9" s="17"/>
      <c r="ISE9" s="17"/>
      <c r="ISF9" s="17"/>
      <c r="ISG9" s="17"/>
      <c r="ISH9" s="17"/>
      <c r="ISI9" s="17"/>
      <c r="ISJ9" s="17"/>
      <c r="ISK9" s="17"/>
      <c r="ISL9" s="17"/>
      <c r="ISM9" s="17"/>
      <c r="ISN9" s="17"/>
      <c r="ISO9" s="17"/>
      <c r="ISP9" s="17"/>
      <c r="ISQ9" s="17"/>
      <c r="ISR9" s="17"/>
      <c r="ISS9" s="17"/>
      <c r="IST9" s="17"/>
      <c r="ISU9" s="17"/>
      <c r="ISV9" s="17"/>
      <c r="ISW9" s="17"/>
      <c r="ISX9" s="17"/>
      <c r="ISY9" s="17"/>
      <c r="ISZ9" s="17"/>
      <c r="ITA9" s="17"/>
      <c r="ITB9" s="17"/>
      <c r="ITC9" s="17"/>
      <c r="ITD9" s="17"/>
      <c r="ITE9" s="17"/>
      <c r="ITF9" s="17"/>
      <c r="ITG9" s="17"/>
      <c r="ITH9" s="17"/>
      <c r="ITI9" s="17"/>
      <c r="ITJ9" s="17"/>
      <c r="ITK9" s="17"/>
      <c r="ITL9" s="17"/>
      <c r="ITM9" s="17"/>
      <c r="ITN9" s="17"/>
      <c r="ITO9" s="17"/>
      <c r="ITP9" s="17"/>
      <c r="ITQ9" s="17"/>
      <c r="ITR9" s="17"/>
      <c r="ITS9" s="17"/>
      <c r="ITT9" s="17"/>
      <c r="ITU9" s="17"/>
      <c r="ITV9" s="17"/>
      <c r="ITW9" s="17"/>
      <c r="ITX9" s="17"/>
      <c r="ITY9" s="17"/>
      <c r="ITZ9" s="17"/>
      <c r="IUA9" s="17"/>
      <c r="IUB9" s="17"/>
      <c r="IUC9" s="17"/>
      <c r="IUD9" s="17"/>
      <c r="IUE9" s="17"/>
      <c r="IUF9" s="17"/>
      <c r="IUG9" s="17"/>
      <c r="IUH9" s="17"/>
      <c r="IUI9" s="17"/>
      <c r="IUJ9" s="17"/>
      <c r="IUK9" s="17"/>
      <c r="IUL9" s="17"/>
      <c r="IUM9" s="17"/>
      <c r="IUN9" s="17"/>
      <c r="IUO9" s="17"/>
      <c r="IUP9" s="17"/>
      <c r="IUQ9" s="17"/>
      <c r="IUR9" s="17"/>
      <c r="IUS9" s="17"/>
      <c r="IUT9" s="17"/>
      <c r="IUU9" s="17"/>
      <c r="IUV9" s="17"/>
      <c r="IUW9" s="17"/>
      <c r="IUX9" s="17"/>
      <c r="IUY9" s="17"/>
      <c r="IUZ9" s="17"/>
      <c r="IVA9" s="17"/>
      <c r="IVB9" s="17"/>
      <c r="IVC9" s="17"/>
      <c r="IVD9" s="17"/>
      <c r="IVE9" s="17"/>
      <c r="IVF9" s="17"/>
      <c r="IVG9" s="17"/>
      <c r="IVH9" s="17"/>
      <c r="IVI9" s="17"/>
      <c r="IVJ9" s="17"/>
      <c r="IVK9" s="17"/>
      <c r="IVL9" s="17"/>
      <c r="IVM9" s="17"/>
      <c r="IVN9" s="17"/>
      <c r="IVO9" s="17"/>
      <c r="IVP9" s="17"/>
      <c r="IVQ9" s="17"/>
      <c r="IVR9" s="17"/>
      <c r="IVS9" s="17"/>
      <c r="IVT9" s="17"/>
      <c r="IVU9" s="17"/>
      <c r="IVV9" s="17"/>
      <c r="IVW9" s="17"/>
      <c r="IVX9" s="17"/>
      <c r="IVY9" s="17"/>
      <c r="IVZ9" s="17"/>
      <c r="IWA9" s="17"/>
      <c r="IWB9" s="17"/>
      <c r="IWC9" s="17"/>
      <c r="IWD9" s="17"/>
      <c r="IWE9" s="17"/>
      <c r="IWF9" s="17"/>
      <c r="IWG9" s="17"/>
      <c r="IWH9" s="17"/>
      <c r="IWI9" s="17"/>
      <c r="IWJ9" s="17"/>
      <c r="IWK9" s="17"/>
      <c r="IWL9" s="17"/>
      <c r="IWM9" s="17"/>
      <c r="IWN9" s="17"/>
      <c r="IWO9" s="17"/>
      <c r="IWP9" s="17"/>
      <c r="IWQ9" s="17"/>
      <c r="IWR9" s="17"/>
      <c r="IWS9" s="17"/>
      <c r="IWT9" s="17"/>
      <c r="IWU9" s="17"/>
      <c r="IWV9" s="17"/>
      <c r="IWW9" s="17"/>
      <c r="IWX9" s="17"/>
      <c r="IWY9" s="17"/>
      <c r="IWZ9" s="17"/>
      <c r="IXA9" s="17"/>
      <c r="IXB9" s="17"/>
      <c r="IXC9" s="17"/>
      <c r="IXD9" s="17"/>
      <c r="IXE9" s="17"/>
      <c r="IXF9" s="17"/>
      <c r="IXG9" s="17"/>
      <c r="IXH9" s="17"/>
      <c r="IXI9" s="17"/>
      <c r="IXJ9" s="17"/>
      <c r="IXK9" s="17"/>
      <c r="IXL9" s="17"/>
      <c r="IXM9" s="17"/>
      <c r="IXN9" s="17"/>
      <c r="IXO9" s="17"/>
      <c r="IXP9" s="17"/>
      <c r="IXQ9" s="17"/>
      <c r="IXR9" s="17"/>
      <c r="IXS9" s="17"/>
      <c r="IXT9" s="17"/>
      <c r="IXU9" s="17"/>
      <c r="IXV9" s="17"/>
      <c r="IXW9" s="17"/>
      <c r="IXX9" s="17"/>
      <c r="IXY9" s="17"/>
      <c r="IXZ9" s="17"/>
      <c r="IYA9" s="17"/>
      <c r="IYB9" s="17"/>
      <c r="IYC9" s="17"/>
      <c r="IYD9" s="17"/>
      <c r="IYE9" s="17"/>
      <c r="IYF9" s="17"/>
      <c r="IYG9" s="17"/>
      <c r="IYH9" s="17"/>
      <c r="IYI9" s="17"/>
      <c r="IYJ9" s="17"/>
      <c r="IYK9" s="17"/>
      <c r="IYL9" s="17"/>
      <c r="IYM9" s="17"/>
      <c r="IYN9" s="17"/>
      <c r="IYO9" s="17"/>
      <c r="IYP9" s="17"/>
      <c r="IYQ9" s="17"/>
      <c r="IYR9" s="17"/>
      <c r="IYS9" s="17"/>
      <c r="IYT9" s="17"/>
      <c r="IYU9" s="17"/>
      <c r="IYV9" s="17"/>
      <c r="IYW9" s="17"/>
      <c r="IYX9" s="17"/>
      <c r="IYY9" s="17"/>
      <c r="IYZ9" s="17"/>
      <c r="IZA9" s="17"/>
      <c r="IZB9" s="17"/>
      <c r="IZC9" s="17"/>
      <c r="IZD9" s="17"/>
      <c r="IZE9" s="17"/>
      <c r="IZF9" s="17"/>
      <c r="IZG9" s="17"/>
      <c r="IZH9" s="17"/>
      <c r="IZI9" s="17"/>
      <c r="IZJ9" s="17"/>
      <c r="IZK9" s="17"/>
      <c r="IZL9" s="17"/>
      <c r="IZM9" s="17"/>
      <c r="IZN9" s="17"/>
      <c r="IZO9" s="17"/>
      <c r="IZP9" s="17"/>
      <c r="IZQ9" s="17"/>
      <c r="IZR9" s="17"/>
      <c r="IZS9" s="17"/>
      <c r="IZT9" s="17"/>
      <c r="IZU9" s="17"/>
      <c r="IZV9" s="17"/>
      <c r="IZW9" s="17"/>
      <c r="IZX9" s="17"/>
      <c r="IZY9" s="17"/>
      <c r="IZZ9" s="17"/>
      <c r="JAA9" s="17"/>
      <c r="JAB9" s="17"/>
      <c r="JAC9" s="17"/>
      <c r="JAD9" s="17"/>
      <c r="JAE9" s="17"/>
      <c r="JAF9" s="17"/>
      <c r="JAG9" s="17"/>
      <c r="JAH9" s="17"/>
      <c r="JAI9" s="17"/>
      <c r="JAJ9" s="17"/>
      <c r="JAK9" s="17"/>
      <c r="JAL9" s="17"/>
      <c r="JAM9" s="17"/>
      <c r="JAN9" s="17"/>
      <c r="JAO9" s="17"/>
      <c r="JAP9" s="17"/>
      <c r="JAQ9" s="17"/>
      <c r="JAR9" s="17"/>
      <c r="JAS9" s="17"/>
      <c r="JAT9" s="17"/>
      <c r="JAU9" s="17"/>
      <c r="JAV9" s="17"/>
      <c r="JAW9" s="17"/>
      <c r="JAX9" s="17"/>
      <c r="JAY9" s="17"/>
      <c r="JAZ9" s="17"/>
      <c r="JBA9" s="17"/>
      <c r="JBB9" s="17"/>
      <c r="JBC9" s="17"/>
      <c r="JBD9" s="17"/>
      <c r="JBE9" s="17"/>
      <c r="JBF9" s="17"/>
      <c r="JBG9" s="17"/>
      <c r="JBH9" s="17"/>
      <c r="JBI9" s="17"/>
      <c r="JBJ9" s="17"/>
      <c r="JBK9" s="17"/>
      <c r="JBL9" s="17"/>
      <c r="JBM9" s="17"/>
      <c r="JBN9" s="17"/>
      <c r="JBO9" s="17"/>
      <c r="JBP9" s="17"/>
      <c r="JBQ9" s="17"/>
      <c r="JBR9" s="17"/>
      <c r="JBS9" s="17"/>
      <c r="JBT9" s="17"/>
      <c r="JBU9" s="17"/>
      <c r="JBV9" s="17"/>
      <c r="JBW9" s="17"/>
      <c r="JBX9" s="17"/>
      <c r="JBY9" s="17"/>
      <c r="JBZ9" s="17"/>
      <c r="JCA9" s="17"/>
      <c r="JCB9" s="17"/>
      <c r="JCC9" s="17"/>
      <c r="JCD9" s="17"/>
      <c r="JCE9" s="17"/>
      <c r="JCF9" s="17"/>
      <c r="JCG9" s="17"/>
      <c r="JCH9" s="17"/>
      <c r="JCI9" s="17"/>
      <c r="JCJ9" s="17"/>
      <c r="JCK9" s="17"/>
      <c r="JCL9" s="17"/>
      <c r="JCM9" s="17"/>
      <c r="JCN9" s="17"/>
      <c r="JCO9" s="17"/>
      <c r="JCP9" s="17"/>
      <c r="JCQ9" s="17"/>
      <c r="JCR9" s="17"/>
      <c r="JCS9" s="17"/>
      <c r="JCT9" s="17"/>
      <c r="JCU9" s="17"/>
      <c r="JCV9" s="17"/>
      <c r="JCW9" s="17"/>
      <c r="JCX9" s="17"/>
      <c r="JCY9" s="17"/>
      <c r="JCZ9" s="17"/>
      <c r="JDA9" s="17"/>
      <c r="JDB9" s="17"/>
      <c r="JDC9" s="17"/>
      <c r="JDD9" s="17"/>
      <c r="JDE9" s="17"/>
      <c r="JDF9" s="17"/>
      <c r="JDG9" s="17"/>
      <c r="JDH9" s="17"/>
      <c r="JDI9" s="17"/>
      <c r="JDJ9" s="17"/>
      <c r="JDK9" s="17"/>
      <c r="JDL9" s="17"/>
      <c r="JDM9" s="17"/>
      <c r="JDN9" s="17"/>
      <c r="JDO9" s="17"/>
      <c r="JDP9" s="17"/>
      <c r="JDQ9" s="17"/>
      <c r="JDR9" s="17"/>
      <c r="JDS9" s="17"/>
      <c r="JDT9" s="17"/>
      <c r="JDU9" s="17"/>
      <c r="JDV9" s="17"/>
      <c r="JDW9" s="17"/>
      <c r="JDX9" s="17"/>
      <c r="JDY9" s="17"/>
      <c r="JDZ9" s="17"/>
      <c r="JEA9" s="17"/>
      <c r="JEB9" s="17"/>
      <c r="JEC9" s="17"/>
      <c r="JED9" s="17"/>
      <c r="JEE9" s="17"/>
      <c r="JEF9" s="17"/>
      <c r="JEG9" s="17"/>
      <c r="JEH9" s="17"/>
      <c r="JEI9" s="17"/>
      <c r="JEJ9" s="17"/>
      <c r="JEK9" s="17"/>
      <c r="JEL9" s="17"/>
      <c r="JEM9" s="17"/>
      <c r="JEN9" s="17"/>
      <c r="JEO9" s="17"/>
      <c r="JEP9" s="17"/>
      <c r="JEQ9" s="17"/>
      <c r="JER9" s="17"/>
      <c r="JES9" s="17"/>
      <c r="JET9" s="17"/>
      <c r="JEU9" s="17"/>
      <c r="JEV9" s="17"/>
      <c r="JEW9" s="17"/>
      <c r="JEX9" s="17"/>
      <c r="JEY9" s="17"/>
      <c r="JEZ9" s="17"/>
      <c r="JFA9" s="17"/>
      <c r="JFB9" s="17"/>
      <c r="JFC9" s="17"/>
      <c r="JFD9" s="17"/>
      <c r="JFE9" s="17"/>
      <c r="JFF9" s="17"/>
      <c r="JFG9" s="17"/>
      <c r="JFH9" s="17"/>
      <c r="JFI9" s="17"/>
      <c r="JFJ9" s="17"/>
      <c r="JFK9" s="17"/>
      <c r="JFL9" s="17"/>
      <c r="JFM9" s="17"/>
      <c r="JFN9" s="17"/>
      <c r="JFO9" s="17"/>
      <c r="JFP9" s="17"/>
      <c r="JFQ9" s="17"/>
      <c r="JFR9" s="17"/>
      <c r="JFS9" s="17"/>
      <c r="JFT9" s="17"/>
      <c r="JFU9" s="17"/>
      <c r="JFV9" s="17"/>
      <c r="JFW9" s="17"/>
      <c r="JFX9" s="17"/>
      <c r="JFY9" s="17"/>
      <c r="JFZ9" s="17"/>
      <c r="JGA9" s="17"/>
      <c r="JGB9" s="17"/>
      <c r="JGC9" s="17"/>
      <c r="JGD9" s="17"/>
      <c r="JGE9" s="17"/>
      <c r="JGF9" s="17"/>
      <c r="JGG9" s="17"/>
      <c r="JGH9" s="17"/>
      <c r="JGI9" s="17"/>
      <c r="JGJ9" s="17"/>
      <c r="JGK9" s="17"/>
      <c r="JGL9" s="17"/>
      <c r="JGM9" s="17"/>
      <c r="JGN9" s="17"/>
      <c r="JGO9" s="17"/>
      <c r="JGP9" s="17"/>
      <c r="JGQ9" s="17"/>
      <c r="JGR9" s="17"/>
      <c r="JGS9" s="17"/>
      <c r="JGT9" s="17"/>
      <c r="JGU9" s="17"/>
      <c r="JGV9" s="17"/>
      <c r="JGW9" s="17"/>
      <c r="JGX9" s="17"/>
      <c r="JGY9" s="17"/>
      <c r="JGZ9" s="17"/>
      <c r="JHA9" s="17"/>
      <c r="JHB9" s="17"/>
      <c r="JHC9" s="17"/>
      <c r="JHD9" s="17"/>
      <c r="JHE9" s="17"/>
      <c r="JHF9" s="17"/>
      <c r="JHG9" s="17"/>
      <c r="JHH9" s="17"/>
      <c r="JHI9" s="17"/>
      <c r="JHJ9" s="17"/>
      <c r="JHK9" s="17"/>
      <c r="JHL9" s="17"/>
      <c r="JHM9" s="17"/>
      <c r="JHN9" s="17"/>
      <c r="JHO9" s="17"/>
      <c r="JHP9" s="17"/>
      <c r="JHQ9" s="17"/>
      <c r="JHR9" s="17"/>
      <c r="JHS9" s="17"/>
      <c r="JHT9" s="17"/>
      <c r="JHU9" s="17"/>
      <c r="JHV9" s="17"/>
      <c r="JHW9" s="17"/>
      <c r="JHX9" s="17"/>
      <c r="JHY9" s="17"/>
      <c r="JHZ9" s="17"/>
      <c r="JIA9" s="17"/>
      <c r="JIB9" s="17"/>
      <c r="JIC9" s="17"/>
      <c r="JID9" s="17"/>
      <c r="JIE9" s="17"/>
      <c r="JIF9" s="17"/>
      <c r="JIG9" s="17"/>
      <c r="JIH9" s="17"/>
      <c r="JII9" s="17"/>
      <c r="JIJ9" s="17"/>
      <c r="JIK9" s="17"/>
      <c r="JIL9" s="17"/>
      <c r="JIM9" s="17"/>
      <c r="JIN9" s="17"/>
      <c r="JIO9" s="17"/>
      <c r="JIP9" s="17"/>
      <c r="JIQ9" s="17"/>
      <c r="JIR9" s="17"/>
      <c r="JIS9" s="17"/>
      <c r="JIT9" s="17"/>
      <c r="JIU9" s="17"/>
      <c r="JIV9" s="17"/>
      <c r="JIW9" s="17"/>
      <c r="JIX9" s="17"/>
      <c r="JIY9" s="17"/>
      <c r="JIZ9" s="17"/>
      <c r="JJA9" s="17"/>
      <c r="JJB9" s="17"/>
      <c r="JJC9" s="17"/>
      <c r="JJD9" s="17"/>
      <c r="JJE9" s="17"/>
      <c r="JJF9" s="17"/>
      <c r="JJG9" s="17"/>
      <c r="JJH9" s="17"/>
      <c r="JJI9" s="17"/>
      <c r="JJJ9" s="17"/>
      <c r="JJK9" s="17"/>
      <c r="JJL9" s="17"/>
      <c r="JJM9" s="17"/>
      <c r="JJN9" s="17"/>
      <c r="JJO9" s="17"/>
      <c r="JJP9" s="17"/>
      <c r="JJQ9" s="17"/>
      <c r="JJR9" s="17"/>
      <c r="JJS9" s="17"/>
      <c r="JJT9" s="17"/>
      <c r="JJU9" s="17"/>
      <c r="JJV9" s="17"/>
      <c r="JJW9" s="17"/>
      <c r="JJX9" s="17"/>
      <c r="JJY9" s="17"/>
      <c r="JJZ9" s="17"/>
      <c r="JKA9" s="17"/>
      <c r="JKB9" s="17"/>
      <c r="JKC9" s="17"/>
      <c r="JKD9" s="17"/>
      <c r="JKE9" s="17"/>
      <c r="JKF9" s="17"/>
      <c r="JKG9" s="17"/>
      <c r="JKH9" s="17"/>
      <c r="JKI9" s="17"/>
      <c r="JKJ9" s="17"/>
      <c r="JKK9" s="17"/>
      <c r="JKL9" s="17"/>
      <c r="JKM9" s="17"/>
      <c r="JKN9" s="17"/>
      <c r="JKO9" s="17"/>
      <c r="JKP9" s="17"/>
      <c r="JKQ9" s="17"/>
      <c r="JKR9" s="17"/>
      <c r="JKS9" s="17"/>
      <c r="JKT9" s="17"/>
      <c r="JKU9" s="17"/>
      <c r="JKV9" s="17"/>
      <c r="JKW9" s="17"/>
      <c r="JKX9" s="17"/>
      <c r="JKY9" s="17"/>
      <c r="JKZ9" s="17"/>
      <c r="JLA9" s="17"/>
      <c r="JLB9" s="17"/>
      <c r="JLC9" s="17"/>
      <c r="JLD9" s="17"/>
      <c r="JLE9" s="17"/>
      <c r="JLF9" s="17"/>
      <c r="JLG9" s="17"/>
      <c r="JLH9" s="17"/>
      <c r="JLI9" s="17"/>
      <c r="JLJ9" s="17"/>
      <c r="JLK9" s="17"/>
      <c r="JLL9" s="17"/>
      <c r="JLM9" s="17"/>
      <c r="JLN9" s="17"/>
      <c r="JLO9" s="17"/>
      <c r="JLP9" s="17"/>
      <c r="JLQ9" s="17"/>
      <c r="JLR9" s="17"/>
      <c r="JLS9" s="17"/>
      <c r="JLT9" s="17"/>
      <c r="JLU9" s="17"/>
      <c r="JLV9" s="17"/>
      <c r="JLW9" s="17"/>
      <c r="JLX9" s="17"/>
      <c r="JLY9" s="17"/>
      <c r="JLZ9" s="17"/>
      <c r="JMA9" s="17"/>
      <c r="JMB9" s="17"/>
      <c r="JMC9" s="17"/>
      <c r="JMD9" s="17"/>
      <c r="JME9" s="17"/>
      <c r="JMF9" s="17"/>
      <c r="JMG9" s="17"/>
      <c r="JMH9" s="17"/>
      <c r="JMI9" s="17"/>
      <c r="JMJ9" s="17"/>
      <c r="JMK9" s="17"/>
      <c r="JML9" s="17"/>
      <c r="JMM9" s="17"/>
      <c r="JMN9" s="17"/>
      <c r="JMO9" s="17"/>
      <c r="JMP9" s="17"/>
      <c r="JMQ9" s="17"/>
      <c r="JMR9" s="17"/>
      <c r="JMS9" s="17"/>
      <c r="JMT9" s="17"/>
      <c r="JMU9" s="17"/>
      <c r="JMV9" s="17"/>
      <c r="JMW9" s="17"/>
      <c r="JMX9" s="17"/>
      <c r="JMY9" s="17"/>
      <c r="JMZ9" s="17"/>
      <c r="JNA9" s="17"/>
      <c r="JNB9" s="17"/>
      <c r="JNC9" s="17"/>
      <c r="JND9" s="17"/>
      <c r="JNE9" s="17"/>
      <c r="JNF9" s="17"/>
      <c r="JNG9" s="17"/>
      <c r="JNH9" s="17"/>
      <c r="JNI9" s="17"/>
      <c r="JNJ9" s="17"/>
      <c r="JNK9" s="17"/>
      <c r="JNL9" s="17"/>
      <c r="JNM9" s="17"/>
      <c r="JNN9" s="17"/>
      <c r="JNO9" s="17"/>
      <c r="JNP9" s="17"/>
      <c r="JNQ9" s="17"/>
      <c r="JNR9" s="17"/>
      <c r="JNS9" s="17"/>
      <c r="JNT9" s="17"/>
      <c r="JNU9" s="17"/>
      <c r="JNV9" s="17"/>
      <c r="JNW9" s="17"/>
      <c r="JNX9" s="17"/>
      <c r="JNY9" s="17"/>
      <c r="JNZ9" s="17"/>
      <c r="JOA9" s="17"/>
      <c r="JOB9" s="17"/>
      <c r="JOC9" s="17"/>
      <c r="JOD9" s="17"/>
      <c r="JOE9" s="17"/>
      <c r="JOF9" s="17"/>
      <c r="JOG9" s="17"/>
      <c r="JOH9" s="17"/>
      <c r="JOI9" s="17"/>
      <c r="JOJ9" s="17"/>
      <c r="JOK9" s="17"/>
      <c r="JOL9" s="17"/>
      <c r="JOM9" s="17"/>
      <c r="JON9" s="17"/>
      <c r="JOO9" s="17"/>
      <c r="JOP9" s="17"/>
      <c r="JOQ9" s="17"/>
      <c r="JOR9" s="17"/>
      <c r="JOS9" s="17"/>
      <c r="JOT9" s="17"/>
      <c r="JOU9" s="17"/>
      <c r="JOV9" s="17"/>
      <c r="JOW9" s="17"/>
      <c r="JOX9" s="17"/>
      <c r="JOY9" s="17"/>
      <c r="JOZ9" s="17"/>
      <c r="JPA9" s="17"/>
      <c r="JPB9" s="17"/>
      <c r="JPC9" s="17"/>
      <c r="JPD9" s="17"/>
      <c r="JPE9" s="17"/>
      <c r="JPF9" s="17"/>
      <c r="JPG9" s="17"/>
      <c r="JPH9" s="17"/>
      <c r="JPI9" s="17"/>
      <c r="JPJ9" s="17"/>
      <c r="JPK9" s="17"/>
      <c r="JPL9" s="17"/>
      <c r="JPM9" s="17"/>
      <c r="JPN9" s="17"/>
      <c r="JPO9" s="17"/>
      <c r="JPP9" s="17"/>
      <c r="JPQ9" s="17"/>
      <c r="JPR9" s="17"/>
      <c r="JPS9" s="17"/>
      <c r="JPT9" s="17"/>
      <c r="JPU9" s="17"/>
      <c r="JPV9" s="17"/>
      <c r="JPW9" s="17"/>
      <c r="JPX9" s="17"/>
      <c r="JPY9" s="17"/>
      <c r="JPZ9" s="17"/>
      <c r="JQA9" s="17"/>
      <c r="JQB9" s="17"/>
      <c r="JQC9" s="17"/>
      <c r="JQD9" s="17"/>
      <c r="JQE9" s="17"/>
      <c r="JQF9" s="17"/>
      <c r="JQG9" s="17"/>
      <c r="JQH9" s="17"/>
      <c r="JQI9" s="17"/>
      <c r="JQJ9" s="17"/>
      <c r="JQK9" s="17"/>
      <c r="JQL9" s="17"/>
      <c r="JQM9" s="17"/>
      <c r="JQN9" s="17"/>
      <c r="JQO9" s="17"/>
      <c r="JQP9" s="17"/>
      <c r="JQQ9" s="17"/>
      <c r="JQR9" s="17"/>
      <c r="JQS9" s="17"/>
      <c r="JQT9" s="17"/>
      <c r="JQU9" s="17"/>
      <c r="JQV9" s="17"/>
      <c r="JQW9" s="17"/>
      <c r="JQX9" s="17"/>
      <c r="JQY9" s="17"/>
      <c r="JQZ9" s="17"/>
      <c r="JRA9" s="17"/>
      <c r="JRB9" s="17"/>
      <c r="JRC9" s="17"/>
      <c r="JRD9" s="17"/>
      <c r="JRE9" s="17"/>
      <c r="JRF9" s="17"/>
      <c r="JRG9" s="17"/>
      <c r="JRH9" s="17"/>
      <c r="JRI9" s="17"/>
      <c r="JRJ9" s="17"/>
      <c r="JRK9" s="17"/>
      <c r="JRL9" s="17"/>
      <c r="JRM9" s="17"/>
      <c r="JRN9" s="17"/>
      <c r="JRO9" s="17"/>
      <c r="JRP9" s="17"/>
      <c r="JRQ9" s="17"/>
      <c r="JRR9" s="17"/>
      <c r="JRS9" s="17"/>
      <c r="JRT9" s="17"/>
      <c r="JRU9" s="17"/>
      <c r="JRV9" s="17"/>
      <c r="JRW9" s="17"/>
      <c r="JRX9" s="17"/>
      <c r="JRY9" s="17"/>
      <c r="JRZ9" s="17"/>
      <c r="JSA9" s="17"/>
      <c r="JSB9" s="17"/>
      <c r="JSC9" s="17"/>
      <c r="JSD9" s="17"/>
      <c r="JSE9" s="17"/>
      <c r="JSF9" s="17"/>
      <c r="JSG9" s="17"/>
      <c r="JSH9" s="17"/>
      <c r="JSI9" s="17"/>
      <c r="JSJ9" s="17"/>
      <c r="JSK9" s="17"/>
      <c r="JSL9" s="17"/>
      <c r="JSM9" s="17"/>
      <c r="JSN9" s="17"/>
      <c r="JSO9" s="17"/>
      <c r="JSP9" s="17"/>
      <c r="JSQ9" s="17"/>
      <c r="JSR9" s="17"/>
      <c r="JSS9" s="17"/>
      <c r="JST9" s="17"/>
      <c r="JSU9" s="17"/>
      <c r="JSV9" s="17"/>
      <c r="JSW9" s="17"/>
      <c r="JSX9" s="17"/>
      <c r="JSY9" s="17"/>
      <c r="JSZ9" s="17"/>
      <c r="JTA9" s="17"/>
      <c r="JTB9" s="17"/>
      <c r="JTC9" s="17"/>
      <c r="JTD9" s="17"/>
      <c r="JTE9" s="17"/>
      <c r="JTF9" s="17"/>
      <c r="JTG9" s="17"/>
      <c r="JTH9" s="17"/>
      <c r="JTI9" s="17"/>
      <c r="JTJ9" s="17"/>
      <c r="JTK9" s="17"/>
      <c r="JTL9" s="17"/>
      <c r="JTM9" s="17"/>
      <c r="JTN9" s="17"/>
      <c r="JTO9" s="17"/>
      <c r="JTP9" s="17"/>
      <c r="JTQ9" s="17"/>
      <c r="JTR9" s="17"/>
      <c r="JTS9" s="17"/>
      <c r="JTT9" s="17"/>
      <c r="JTU9" s="17"/>
      <c r="JTV9" s="17"/>
      <c r="JTW9" s="17"/>
      <c r="JTX9" s="17"/>
      <c r="JTY9" s="17"/>
      <c r="JTZ9" s="17"/>
      <c r="JUA9" s="17"/>
      <c r="JUB9" s="17"/>
      <c r="JUC9" s="17"/>
      <c r="JUD9" s="17"/>
      <c r="JUE9" s="17"/>
      <c r="JUF9" s="17"/>
      <c r="JUG9" s="17"/>
      <c r="JUH9" s="17"/>
      <c r="JUI9" s="17"/>
      <c r="JUJ9" s="17"/>
      <c r="JUK9" s="17"/>
      <c r="JUL9" s="17"/>
      <c r="JUM9" s="17"/>
      <c r="JUN9" s="17"/>
      <c r="JUO9" s="17"/>
      <c r="JUP9" s="17"/>
      <c r="JUQ9" s="17"/>
      <c r="JUR9" s="17"/>
      <c r="JUS9" s="17"/>
      <c r="JUT9" s="17"/>
      <c r="JUU9" s="17"/>
      <c r="JUV9" s="17"/>
      <c r="JUW9" s="17"/>
      <c r="JUX9" s="17"/>
      <c r="JUY9" s="17"/>
      <c r="JUZ9" s="17"/>
      <c r="JVA9" s="17"/>
      <c r="JVB9" s="17"/>
      <c r="JVC9" s="17"/>
      <c r="JVD9" s="17"/>
      <c r="JVE9" s="17"/>
      <c r="JVF9" s="17"/>
      <c r="JVG9" s="17"/>
      <c r="JVH9" s="17"/>
      <c r="JVI9" s="17"/>
      <c r="JVJ9" s="17"/>
      <c r="JVK9" s="17"/>
      <c r="JVL9" s="17"/>
      <c r="JVM9" s="17"/>
      <c r="JVN9" s="17"/>
      <c r="JVO9" s="17"/>
      <c r="JVP9" s="17"/>
      <c r="JVQ9" s="17"/>
      <c r="JVR9" s="17"/>
      <c r="JVS9" s="17"/>
      <c r="JVT9" s="17"/>
      <c r="JVU9" s="17"/>
      <c r="JVV9" s="17"/>
      <c r="JVW9" s="17"/>
      <c r="JVX9" s="17"/>
      <c r="JVY9" s="17"/>
      <c r="JVZ9" s="17"/>
      <c r="JWA9" s="17"/>
      <c r="JWB9" s="17"/>
      <c r="JWC9" s="17"/>
      <c r="JWD9" s="17"/>
      <c r="JWE9" s="17"/>
      <c r="JWF9" s="17"/>
      <c r="JWG9" s="17"/>
      <c r="JWH9" s="17"/>
      <c r="JWI9" s="17"/>
      <c r="JWJ9" s="17"/>
      <c r="JWK9" s="17"/>
      <c r="JWL9" s="17"/>
      <c r="JWM9" s="17"/>
      <c r="JWN9" s="17"/>
      <c r="JWO9" s="17"/>
      <c r="JWP9" s="17"/>
      <c r="JWQ9" s="17"/>
      <c r="JWR9" s="17"/>
      <c r="JWS9" s="17"/>
      <c r="JWT9" s="17"/>
      <c r="JWU9" s="17"/>
      <c r="JWV9" s="17"/>
      <c r="JWW9" s="17"/>
      <c r="JWX9" s="17"/>
      <c r="JWY9" s="17"/>
      <c r="JWZ9" s="17"/>
      <c r="JXA9" s="17"/>
      <c r="JXB9" s="17"/>
      <c r="JXC9" s="17"/>
      <c r="JXD9" s="17"/>
      <c r="JXE9" s="17"/>
      <c r="JXF9" s="17"/>
      <c r="JXG9" s="17"/>
      <c r="JXH9" s="17"/>
      <c r="JXI9" s="17"/>
      <c r="JXJ9" s="17"/>
      <c r="JXK9" s="17"/>
      <c r="JXL9" s="17"/>
      <c r="JXM9" s="17"/>
      <c r="JXN9" s="17"/>
      <c r="JXO9" s="17"/>
      <c r="JXP9" s="17"/>
      <c r="JXQ9" s="17"/>
      <c r="JXR9" s="17"/>
      <c r="JXS9" s="17"/>
      <c r="JXT9" s="17"/>
      <c r="JXU9" s="17"/>
      <c r="JXV9" s="17"/>
      <c r="JXW9" s="17"/>
      <c r="JXX9" s="17"/>
      <c r="JXY9" s="17"/>
      <c r="JXZ9" s="17"/>
      <c r="JYA9" s="17"/>
      <c r="JYB9" s="17"/>
      <c r="JYC9" s="17"/>
      <c r="JYD9" s="17"/>
      <c r="JYE9" s="17"/>
      <c r="JYF9" s="17"/>
      <c r="JYG9" s="17"/>
      <c r="JYH9" s="17"/>
      <c r="JYI9" s="17"/>
      <c r="JYJ9" s="17"/>
      <c r="JYK9" s="17"/>
      <c r="JYL9" s="17"/>
      <c r="JYM9" s="17"/>
      <c r="JYN9" s="17"/>
      <c r="JYO9" s="17"/>
      <c r="JYP9" s="17"/>
      <c r="JYQ9" s="17"/>
      <c r="JYR9" s="17"/>
      <c r="JYS9" s="17"/>
      <c r="JYT9" s="17"/>
      <c r="JYU9" s="17"/>
      <c r="JYV9" s="17"/>
      <c r="JYW9" s="17"/>
      <c r="JYX9" s="17"/>
      <c r="JYY9" s="17"/>
      <c r="JYZ9" s="17"/>
      <c r="JZA9" s="17"/>
      <c r="JZB9" s="17"/>
      <c r="JZC9" s="17"/>
      <c r="JZD9" s="17"/>
      <c r="JZE9" s="17"/>
      <c r="JZF9" s="17"/>
      <c r="JZG9" s="17"/>
      <c r="JZH9" s="17"/>
      <c r="JZI9" s="17"/>
      <c r="JZJ9" s="17"/>
      <c r="JZK9" s="17"/>
      <c r="JZL9" s="17"/>
      <c r="JZM9" s="17"/>
      <c r="JZN9" s="17"/>
      <c r="JZO9" s="17"/>
      <c r="JZP9" s="17"/>
      <c r="JZQ9" s="17"/>
      <c r="JZR9" s="17"/>
      <c r="JZS9" s="17"/>
      <c r="JZT9" s="17"/>
      <c r="JZU9" s="17"/>
      <c r="JZV9" s="17"/>
      <c r="JZW9" s="17"/>
      <c r="JZX9" s="17"/>
      <c r="JZY9" s="17"/>
      <c r="JZZ9" s="17"/>
      <c r="KAA9" s="17"/>
      <c r="KAB9" s="17"/>
      <c r="KAC9" s="17"/>
      <c r="KAD9" s="17"/>
      <c r="KAE9" s="17"/>
      <c r="KAF9" s="17"/>
      <c r="KAG9" s="17"/>
      <c r="KAH9" s="17"/>
      <c r="KAI9" s="17"/>
      <c r="KAJ9" s="17"/>
      <c r="KAK9" s="17"/>
      <c r="KAL9" s="17"/>
      <c r="KAM9" s="17"/>
      <c r="KAN9" s="17"/>
      <c r="KAO9" s="17"/>
      <c r="KAP9" s="17"/>
      <c r="KAQ9" s="17"/>
      <c r="KAR9" s="17"/>
      <c r="KAS9" s="17"/>
      <c r="KAT9" s="17"/>
      <c r="KAU9" s="17"/>
      <c r="KAV9" s="17"/>
      <c r="KAW9" s="17"/>
      <c r="KAX9" s="17"/>
      <c r="KAY9" s="17"/>
      <c r="KAZ9" s="17"/>
      <c r="KBA9" s="17"/>
      <c r="KBB9" s="17"/>
      <c r="KBC9" s="17"/>
      <c r="KBD9" s="17"/>
      <c r="KBE9" s="17"/>
      <c r="KBF9" s="17"/>
      <c r="KBG9" s="17"/>
      <c r="KBH9" s="17"/>
      <c r="KBI9" s="17"/>
      <c r="KBJ9" s="17"/>
      <c r="KBK9" s="17"/>
      <c r="KBL9" s="17"/>
      <c r="KBM9" s="17"/>
      <c r="KBN9" s="17"/>
      <c r="KBO9" s="17"/>
      <c r="KBP9" s="17"/>
      <c r="KBQ9" s="17"/>
      <c r="KBR9" s="17"/>
      <c r="KBS9" s="17"/>
      <c r="KBT9" s="17"/>
      <c r="KBU9" s="17"/>
      <c r="KBV9" s="17"/>
      <c r="KBW9" s="17"/>
      <c r="KBX9" s="17"/>
      <c r="KBY9" s="17"/>
      <c r="KBZ9" s="17"/>
      <c r="KCA9" s="17"/>
      <c r="KCB9" s="17"/>
      <c r="KCC9" s="17"/>
      <c r="KCD9" s="17"/>
      <c r="KCE9" s="17"/>
      <c r="KCF9" s="17"/>
      <c r="KCG9" s="17"/>
      <c r="KCH9" s="17"/>
      <c r="KCI9" s="17"/>
      <c r="KCJ9" s="17"/>
      <c r="KCK9" s="17"/>
      <c r="KCL9" s="17"/>
      <c r="KCM9" s="17"/>
      <c r="KCN9" s="17"/>
      <c r="KCO9" s="17"/>
      <c r="KCP9" s="17"/>
      <c r="KCQ9" s="17"/>
      <c r="KCR9" s="17"/>
      <c r="KCS9" s="17"/>
      <c r="KCT9" s="17"/>
      <c r="KCU9" s="17"/>
      <c r="KCV9" s="17"/>
      <c r="KCW9" s="17"/>
      <c r="KCX9" s="17"/>
      <c r="KCY9" s="17"/>
      <c r="KCZ9" s="17"/>
      <c r="KDA9" s="17"/>
      <c r="KDB9" s="17"/>
      <c r="KDC9" s="17"/>
      <c r="KDD9" s="17"/>
      <c r="KDE9" s="17"/>
      <c r="KDF9" s="17"/>
      <c r="KDG9" s="17"/>
      <c r="KDH9" s="17"/>
      <c r="KDI9" s="17"/>
      <c r="KDJ9" s="17"/>
      <c r="KDK9" s="17"/>
      <c r="KDL9" s="17"/>
      <c r="KDM9" s="17"/>
      <c r="KDN9" s="17"/>
      <c r="KDO9" s="17"/>
      <c r="KDP9" s="17"/>
      <c r="KDQ9" s="17"/>
      <c r="KDR9" s="17"/>
      <c r="KDS9" s="17"/>
      <c r="KDT9" s="17"/>
      <c r="KDU9" s="17"/>
      <c r="KDV9" s="17"/>
      <c r="KDW9" s="17"/>
      <c r="KDX9" s="17"/>
      <c r="KDY9" s="17"/>
      <c r="KDZ9" s="17"/>
      <c r="KEA9" s="17"/>
      <c r="KEB9" s="17"/>
      <c r="KEC9" s="17"/>
      <c r="KED9" s="17"/>
      <c r="KEE9" s="17"/>
      <c r="KEF9" s="17"/>
      <c r="KEG9" s="17"/>
      <c r="KEH9" s="17"/>
      <c r="KEI9" s="17"/>
      <c r="KEJ9" s="17"/>
      <c r="KEK9" s="17"/>
      <c r="KEL9" s="17"/>
      <c r="KEM9" s="17"/>
      <c r="KEN9" s="17"/>
      <c r="KEO9" s="17"/>
      <c r="KEP9" s="17"/>
      <c r="KEQ9" s="17"/>
      <c r="KER9" s="17"/>
      <c r="KES9" s="17"/>
      <c r="KET9" s="17"/>
      <c r="KEU9" s="17"/>
      <c r="KEV9" s="17"/>
      <c r="KEW9" s="17"/>
      <c r="KEX9" s="17"/>
      <c r="KEY9" s="17"/>
      <c r="KEZ9" s="17"/>
      <c r="KFA9" s="17"/>
      <c r="KFB9" s="17"/>
      <c r="KFC9" s="17"/>
      <c r="KFD9" s="17"/>
      <c r="KFE9" s="17"/>
      <c r="KFF9" s="17"/>
      <c r="KFG9" s="17"/>
      <c r="KFH9" s="17"/>
      <c r="KFI9" s="17"/>
      <c r="KFJ9" s="17"/>
      <c r="KFK9" s="17"/>
      <c r="KFL9" s="17"/>
      <c r="KFM9" s="17"/>
      <c r="KFN9" s="17"/>
      <c r="KFO9" s="17"/>
      <c r="KFP9" s="17"/>
      <c r="KFQ9" s="17"/>
      <c r="KFR9" s="17"/>
      <c r="KFS9" s="17"/>
      <c r="KFT9" s="17"/>
      <c r="KFU9" s="17"/>
      <c r="KFV9" s="17"/>
      <c r="KFW9" s="17"/>
      <c r="KFX9" s="17"/>
      <c r="KFY9" s="17"/>
      <c r="KFZ9" s="17"/>
      <c r="KGA9" s="17"/>
      <c r="KGB9" s="17"/>
      <c r="KGC9" s="17"/>
      <c r="KGD9" s="17"/>
      <c r="KGE9" s="17"/>
      <c r="KGF9" s="17"/>
      <c r="KGG9" s="17"/>
      <c r="KGH9" s="17"/>
      <c r="KGI9" s="17"/>
      <c r="KGJ9" s="17"/>
      <c r="KGK9" s="17"/>
      <c r="KGL9" s="17"/>
      <c r="KGM9" s="17"/>
      <c r="KGN9" s="17"/>
      <c r="KGO9" s="17"/>
      <c r="KGP9" s="17"/>
      <c r="KGQ9" s="17"/>
      <c r="KGR9" s="17"/>
      <c r="KGS9" s="17"/>
      <c r="KGT9" s="17"/>
      <c r="KGU9" s="17"/>
      <c r="KGV9" s="17"/>
      <c r="KGW9" s="17"/>
      <c r="KGX9" s="17"/>
      <c r="KGY9" s="17"/>
      <c r="KGZ9" s="17"/>
      <c r="KHA9" s="17"/>
      <c r="KHB9" s="17"/>
      <c r="KHC9" s="17"/>
      <c r="KHD9" s="17"/>
      <c r="KHE9" s="17"/>
      <c r="KHF9" s="17"/>
      <c r="KHG9" s="17"/>
      <c r="KHH9" s="17"/>
      <c r="KHI9" s="17"/>
      <c r="KHJ9" s="17"/>
      <c r="KHK9" s="17"/>
      <c r="KHL9" s="17"/>
      <c r="KHM9" s="17"/>
      <c r="KHN9" s="17"/>
      <c r="KHO9" s="17"/>
      <c r="KHP9" s="17"/>
      <c r="KHQ9" s="17"/>
      <c r="KHR9" s="17"/>
      <c r="KHS9" s="17"/>
      <c r="KHT9" s="17"/>
      <c r="KHU9" s="17"/>
      <c r="KHV9" s="17"/>
      <c r="KHW9" s="17"/>
      <c r="KHX9" s="17"/>
      <c r="KHY9" s="17"/>
      <c r="KHZ9" s="17"/>
      <c r="KIA9" s="17"/>
      <c r="KIB9" s="17"/>
      <c r="KIC9" s="17"/>
      <c r="KID9" s="17"/>
      <c r="KIE9" s="17"/>
      <c r="KIF9" s="17"/>
      <c r="KIG9" s="17"/>
      <c r="KIH9" s="17"/>
      <c r="KII9" s="17"/>
      <c r="KIJ9" s="17"/>
      <c r="KIK9" s="17"/>
      <c r="KIL9" s="17"/>
      <c r="KIM9" s="17"/>
      <c r="KIN9" s="17"/>
      <c r="KIO9" s="17"/>
      <c r="KIP9" s="17"/>
      <c r="KIQ9" s="17"/>
      <c r="KIR9" s="17"/>
      <c r="KIS9" s="17"/>
      <c r="KIT9" s="17"/>
      <c r="KIU9" s="17"/>
      <c r="KIV9" s="17"/>
      <c r="KIW9" s="17"/>
      <c r="KIX9" s="17"/>
      <c r="KIY9" s="17"/>
      <c r="KIZ9" s="17"/>
      <c r="KJA9" s="17"/>
      <c r="KJB9" s="17"/>
      <c r="KJC9" s="17"/>
      <c r="KJD9" s="17"/>
      <c r="KJE9" s="17"/>
      <c r="KJF9" s="17"/>
      <c r="KJG9" s="17"/>
      <c r="KJH9" s="17"/>
      <c r="KJI9" s="17"/>
      <c r="KJJ9" s="17"/>
      <c r="KJK9" s="17"/>
      <c r="KJL9" s="17"/>
      <c r="KJM9" s="17"/>
      <c r="KJN9" s="17"/>
      <c r="KJO9" s="17"/>
      <c r="KJP9" s="17"/>
      <c r="KJQ9" s="17"/>
      <c r="KJR9" s="17"/>
      <c r="KJS9" s="17"/>
      <c r="KJT9" s="17"/>
      <c r="KJU9" s="17"/>
      <c r="KJV9" s="17"/>
      <c r="KJW9" s="17"/>
      <c r="KJX9" s="17"/>
      <c r="KJY9" s="17"/>
      <c r="KJZ9" s="17"/>
      <c r="KKA9" s="17"/>
      <c r="KKB9" s="17"/>
      <c r="KKC9" s="17"/>
      <c r="KKD9" s="17"/>
      <c r="KKE9" s="17"/>
      <c r="KKF9" s="17"/>
      <c r="KKG9" s="17"/>
      <c r="KKH9" s="17"/>
      <c r="KKI9" s="17"/>
      <c r="KKJ9" s="17"/>
      <c r="KKK9" s="17"/>
      <c r="KKL9" s="17"/>
      <c r="KKM9" s="17"/>
      <c r="KKN9" s="17"/>
      <c r="KKO9" s="17"/>
      <c r="KKP9" s="17"/>
      <c r="KKQ9" s="17"/>
      <c r="KKR9" s="17"/>
      <c r="KKS9" s="17"/>
      <c r="KKT9" s="17"/>
      <c r="KKU9" s="17"/>
      <c r="KKV9" s="17"/>
      <c r="KKW9" s="17"/>
      <c r="KKX9" s="17"/>
      <c r="KKY9" s="17"/>
      <c r="KKZ9" s="17"/>
      <c r="KLA9" s="17"/>
      <c r="KLB9" s="17"/>
      <c r="KLC9" s="17"/>
      <c r="KLD9" s="17"/>
      <c r="KLE9" s="17"/>
      <c r="KLF9" s="17"/>
      <c r="KLG9" s="17"/>
      <c r="KLH9" s="17"/>
      <c r="KLI9" s="17"/>
      <c r="KLJ9" s="17"/>
      <c r="KLK9" s="17"/>
      <c r="KLL9" s="17"/>
      <c r="KLM9" s="17"/>
      <c r="KLN9" s="17"/>
      <c r="KLO9" s="17"/>
      <c r="KLP9" s="17"/>
      <c r="KLQ9" s="17"/>
      <c r="KLR9" s="17"/>
      <c r="KLS9" s="17"/>
      <c r="KLT9" s="17"/>
      <c r="KLU9" s="17"/>
      <c r="KLV9" s="17"/>
      <c r="KLW9" s="17"/>
      <c r="KLX9" s="17"/>
      <c r="KLY9" s="17"/>
      <c r="KLZ9" s="17"/>
      <c r="KMA9" s="17"/>
      <c r="KMB9" s="17"/>
      <c r="KMC9" s="17"/>
      <c r="KMD9" s="17"/>
      <c r="KME9" s="17"/>
      <c r="KMF9" s="17"/>
      <c r="KMG9" s="17"/>
      <c r="KMH9" s="17"/>
      <c r="KMI9" s="17"/>
      <c r="KMJ9" s="17"/>
      <c r="KMK9" s="17"/>
      <c r="KML9" s="17"/>
      <c r="KMM9" s="17"/>
      <c r="KMN9" s="17"/>
      <c r="KMO9" s="17"/>
      <c r="KMP9" s="17"/>
      <c r="KMQ9" s="17"/>
      <c r="KMR9" s="17"/>
      <c r="KMS9" s="17"/>
      <c r="KMT9" s="17"/>
      <c r="KMU9" s="17"/>
      <c r="KMV9" s="17"/>
      <c r="KMW9" s="17"/>
      <c r="KMX9" s="17"/>
      <c r="KMY9" s="17"/>
      <c r="KMZ9" s="17"/>
      <c r="KNA9" s="17"/>
      <c r="KNB9" s="17"/>
      <c r="KNC9" s="17"/>
      <c r="KND9" s="17"/>
      <c r="KNE9" s="17"/>
      <c r="KNF9" s="17"/>
      <c r="KNG9" s="17"/>
      <c r="KNH9" s="17"/>
      <c r="KNI9" s="17"/>
      <c r="KNJ9" s="17"/>
      <c r="KNK9" s="17"/>
      <c r="KNL9" s="17"/>
      <c r="KNM9" s="17"/>
      <c r="KNN9" s="17"/>
      <c r="KNO9" s="17"/>
      <c r="KNP9" s="17"/>
      <c r="KNQ9" s="17"/>
      <c r="KNR9" s="17"/>
      <c r="KNS9" s="17"/>
      <c r="KNT9" s="17"/>
      <c r="KNU9" s="17"/>
      <c r="KNV9" s="17"/>
      <c r="KNW9" s="17"/>
      <c r="KNX9" s="17"/>
      <c r="KNY9" s="17"/>
      <c r="KNZ9" s="17"/>
      <c r="KOA9" s="17"/>
      <c r="KOB9" s="17"/>
      <c r="KOC9" s="17"/>
      <c r="KOD9" s="17"/>
      <c r="KOE9" s="17"/>
      <c r="KOF9" s="17"/>
      <c r="KOG9" s="17"/>
      <c r="KOH9" s="17"/>
      <c r="KOI9" s="17"/>
      <c r="KOJ9" s="17"/>
      <c r="KOK9" s="17"/>
      <c r="KOL9" s="17"/>
      <c r="KOM9" s="17"/>
      <c r="KON9" s="17"/>
      <c r="KOO9" s="17"/>
      <c r="KOP9" s="17"/>
      <c r="KOQ9" s="17"/>
      <c r="KOR9" s="17"/>
      <c r="KOS9" s="17"/>
      <c r="KOT9" s="17"/>
      <c r="KOU9" s="17"/>
      <c r="KOV9" s="17"/>
      <c r="KOW9" s="17"/>
      <c r="KOX9" s="17"/>
      <c r="KOY9" s="17"/>
      <c r="KOZ9" s="17"/>
      <c r="KPA9" s="17"/>
      <c r="KPB9" s="17"/>
      <c r="KPC9" s="17"/>
      <c r="KPD9" s="17"/>
      <c r="KPE9" s="17"/>
      <c r="KPF9" s="17"/>
      <c r="KPG9" s="17"/>
      <c r="KPH9" s="17"/>
      <c r="KPI9" s="17"/>
      <c r="KPJ9" s="17"/>
      <c r="KPK9" s="17"/>
      <c r="KPL9" s="17"/>
      <c r="KPM9" s="17"/>
      <c r="KPN9" s="17"/>
      <c r="KPO9" s="17"/>
      <c r="KPP9" s="17"/>
      <c r="KPQ9" s="17"/>
      <c r="KPR9" s="17"/>
      <c r="KPS9" s="17"/>
      <c r="KPT9" s="17"/>
      <c r="KPU9" s="17"/>
      <c r="KPV9" s="17"/>
      <c r="KPW9" s="17"/>
      <c r="KPX9" s="17"/>
      <c r="KPY9" s="17"/>
      <c r="KPZ9" s="17"/>
      <c r="KQA9" s="17"/>
      <c r="KQB9" s="17"/>
      <c r="KQC9" s="17"/>
      <c r="KQD9" s="17"/>
      <c r="KQE9" s="17"/>
      <c r="KQF9" s="17"/>
      <c r="KQG9" s="17"/>
      <c r="KQH9" s="17"/>
      <c r="KQI9" s="17"/>
      <c r="KQJ9" s="17"/>
      <c r="KQK9" s="17"/>
      <c r="KQL9" s="17"/>
      <c r="KQM9" s="17"/>
      <c r="KQN9" s="17"/>
      <c r="KQO9" s="17"/>
      <c r="KQP9" s="17"/>
      <c r="KQQ9" s="17"/>
      <c r="KQR9" s="17"/>
      <c r="KQS9" s="17"/>
      <c r="KQT9" s="17"/>
      <c r="KQU9" s="17"/>
      <c r="KQV9" s="17"/>
      <c r="KQW9" s="17"/>
      <c r="KQX9" s="17"/>
      <c r="KQY9" s="17"/>
      <c r="KQZ9" s="17"/>
      <c r="KRA9" s="17"/>
      <c r="KRB9" s="17"/>
      <c r="KRC9" s="17"/>
      <c r="KRD9" s="17"/>
      <c r="KRE9" s="17"/>
      <c r="KRF9" s="17"/>
      <c r="KRG9" s="17"/>
      <c r="KRH9" s="17"/>
      <c r="KRI9" s="17"/>
      <c r="KRJ9" s="17"/>
      <c r="KRK9" s="17"/>
      <c r="KRL9" s="17"/>
      <c r="KRM9" s="17"/>
      <c r="KRN9" s="17"/>
      <c r="KRO9" s="17"/>
      <c r="KRP9" s="17"/>
      <c r="KRQ9" s="17"/>
      <c r="KRR9" s="17"/>
      <c r="KRS9" s="17"/>
      <c r="KRT9" s="17"/>
      <c r="KRU9" s="17"/>
      <c r="KRV9" s="17"/>
      <c r="KRW9" s="17"/>
      <c r="KRX9" s="17"/>
      <c r="KRY9" s="17"/>
      <c r="KRZ9" s="17"/>
      <c r="KSA9" s="17"/>
      <c r="KSB9" s="17"/>
      <c r="KSC9" s="17"/>
      <c r="KSD9" s="17"/>
      <c r="KSE9" s="17"/>
      <c r="KSF9" s="17"/>
      <c r="KSG9" s="17"/>
      <c r="KSH9" s="17"/>
      <c r="KSI9" s="17"/>
      <c r="KSJ9" s="17"/>
      <c r="KSK9" s="17"/>
      <c r="KSL9" s="17"/>
      <c r="KSM9" s="17"/>
      <c r="KSN9" s="17"/>
      <c r="KSO9" s="17"/>
      <c r="KSP9" s="17"/>
      <c r="KSQ9" s="17"/>
      <c r="KSR9" s="17"/>
      <c r="KSS9" s="17"/>
      <c r="KST9" s="17"/>
      <c r="KSU9" s="17"/>
      <c r="KSV9" s="17"/>
      <c r="KSW9" s="17"/>
      <c r="KSX9" s="17"/>
      <c r="KSY9" s="17"/>
      <c r="KSZ9" s="17"/>
      <c r="KTA9" s="17"/>
      <c r="KTB9" s="17"/>
      <c r="KTC9" s="17"/>
      <c r="KTD9" s="17"/>
      <c r="KTE9" s="17"/>
      <c r="KTF9" s="17"/>
      <c r="KTG9" s="17"/>
      <c r="KTH9" s="17"/>
      <c r="KTI9" s="17"/>
      <c r="KTJ9" s="17"/>
      <c r="KTK9" s="17"/>
      <c r="KTL9" s="17"/>
      <c r="KTM9" s="17"/>
      <c r="KTN9" s="17"/>
      <c r="KTO9" s="17"/>
      <c r="KTP9" s="17"/>
      <c r="KTQ9" s="17"/>
      <c r="KTR9" s="17"/>
      <c r="KTS9" s="17"/>
      <c r="KTT9" s="17"/>
      <c r="KTU9" s="17"/>
      <c r="KTV9" s="17"/>
      <c r="KTW9" s="17"/>
      <c r="KTX9" s="17"/>
      <c r="KTY9" s="17"/>
      <c r="KTZ9" s="17"/>
      <c r="KUA9" s="17"/>
      <c r="KUB9" s="17"/>
      <c r="KUC9" s="17"/>
      <c r="KUD9" s="17"/>
      <c r="KUE9" s="17"/>
      <c r="KUF9" s="17"/>
      <c r="KUG9" s="17"/>
      <c r="KUH9" s="17"/>
      <c r="KUI9" s="17"/>
      <c r="KUJ9" s="17"/>
      <c r="KUK9" s="17"/>
      <c r="KUL9" s="17"/>
      <c r="KUM9" s="17"/>
      <c r="KUN9" s="17"/>
      <c r="KUO9" s="17"/>
      <c r="KUP9" s="17"/>
      <c r="KUQ9" s="17"/>
      <c r="KUR9" s="17"/>
      <c r="KUS9" s="17"/>
      <c r="KUT9" s="17"/>
      <c r="KUU9" s="17"/>
      <c r="KUV9" s="17"/>
      <c r="KUW9" s="17"/>
      <c r="KUX9" s="17"/>
      <c r="KUY9" s="17"/>
      <c r="KUZ9" s="17"/>
      <c r="KVA9" s="17"/>
      <c r="KVB9" s="17"/>
      <c r="KVC9" s="17"/>
      <c r="KVD9" s="17"/>
      <c r="KVE9" s="17"/>
      <c r="KVF9" s="17"/>
      <c r="KVG9" s="17"/>
      <c r="KVH9" s="17"/>
      <c r="KVI9" s="17"/>
      <c r="KVJ9" s="17"/>
      <c r="KVK9" s="17"/>
      <c r="KVL9" s="17"/>
      <c r="KVM9" s="17"/>
      <c r="KVN9" s="17"/>
      <c r="KVO9" s="17"/>
      <c r="KVP9" s="17"/>
      <c r="KVQ9" s="17"/>
      <c r="KVR9" s="17"/>
      <c r="KVS9" s="17"/>
      <c r="KVT9" s="17"/>
      <c r="KVU9" s="17"/>
      <c r="KVV9" s="17"/>
      <c r="KVW9" s="17"/>
      <c r="KVX9" s="17"/>
      <c r="KVY9" s="17"/>
      <c r="KVZ9" s="17"/>
      <c r="KWA9" s="17"/>
      <c r="KWB9" s="17"/>
      <c r="KWC9" s="17"/>
      <c r="KWD9" s="17"/>
      <c r="KWE9" s="17"/>
      <c r="KWF9" s="17"/>
      <c r="KWG9" s="17"/>
      <c r="KWH9" s="17"/>
      <c r="KWI9" s="17"/>
      <c r="KWJ9" s="17"/>
      <c r="KWK9" s="17"/>
      <c r="KWL9" s="17"/>
      <c r="KWM9" s="17"/>
      <c r="KWN9" s="17"/>
      <c r="KWO9" s="17"/>
      <c r="KWP9" s="17"/>
      <c r="KWQ9" s="17"/>
      <c r="KWR9" s="17"/>
      <c r="KWS9" s="17"/>
      <c r="KWT9" s="17"/>
      <c r="KWU9" s="17"/>
      <c r="KWV9" s="17"/>
      <c r="KWW9" s="17"/>
      <c r="KWX9" s="17"/>
      <c r="KWY9" s="17"/>
      <c r="KWZ9" s="17"/>
      <c r="KXA9" s="17"/>
      <c r="KXB9" s="17"/>
      <c r="KXC9" s="17"/>
      <c r="KXD9" s="17"/>
      <c r="KXE9" s="17"/>
      <c r="KXF9" s="17"/>
      <c r="KXG9" s="17"/>
      <c r="KXH9" s="17"/>
      <c r="KXI9" s="17"/>
      <c r="KXJ9" s="17"/>
      <c r="KXK9" s="17"/>
      <c r="KXL9" s="17"/>
      <c r="KXM9" s="17"/>
      <c r="KXN9" s="17"/>
      <c r="KXO9" s="17"/>
      <c r="KXP9" s="17"/>
      <c r="KXQ9" s="17"/>
      <c r="KXR9" s="17"/>
      <c r="KXS9" s="17"/>
      <c r="KXT9" s="17"/>
      <c r="KXU9" s="17"/>
      <c r="KXV9" s="17"/>
      <c r="KXW9" s="17"/>
      <c r="KXX9" s="17"/>
      <c r="KXY9" s="17"/>
      <c r="KXZ9" s="17"/>
      <c r="KYA9" s="17"/>
      <c r="KYB9" s="17"/>
      <c r="KYC9" s="17"/>
      <c r="KYD9" s="17"/>
      <c r="KYE9" s="17"/>
      <c r="KYF9" s="17"/>
      <c r="KYG9" s="17"/>
      <c r="KYH9" s="17"/>
      <c r="KYI9" s="17"/>
      <c r="KYJ9" s="17"/>
      <c r="KYK9" s="17"/>
      <c r="KYL9" s="17"/>
      <c r="KYM9" s="17"/>
      <c r="KYN9" s="17"/>
      <c r="KYO9" s="17"/>
      <c r="KYP9" s="17"/>
      <c r="KYQ9" s="17"/>
      <c r="KYR9" s="17"/>
      <c r="KYS9" s="17"/>
      <c r="KYT9" s="17"/>
      <c r="KYU9" s="17"/>
      <c r="KYV9" s="17"/>
      <c r="KYW9" s="17"/>
      <c r="KYX9" s="17"/>
      <c r="KYY9" s="17"/>
      <c r="KYZ9" s="17"/>
      <c r="KZA9" s="17"/>
      <c r="KZB9" s="17"/>
      <c r="KZC9" s="17"/>
      <c r="KZD9" s="17"/>
      <c r="KZE9" s="17"/>
      <c r="KZF9" s="17"/>
      <c r="KZG9" s="17"/>
      <c r="KZH9" s="17"/>
      <c r="KZI9" s="17"/>
      <c r="KZJ9" s="17"/>
      <c r="KZK9" s="17"/>
      <c r="KZL9" s="17"/>
      <c r="KZM9" s="17"/>
      <c r="KZN9" s="17"/>
      <c r="KZO9" s="17"/>
      <c r="KZP9" s="17"/>
      <c r="KZQ9" s="17"/>
      <c r="KZR9" s="17"/>
      <c r="KZS9" s="17"/>
      <c r="KZT9" s="17"/>
      <c r="KZU9" s="17"/>
      <c r="KZV9" s="17"/>
      <c r="KZW9" s="17"/>
      <c r="KZX9" s="17"/>
      <c r="KZY9" s="17"/>
      <c r="KZZ9" s="17"/>
      <c r="LAA9" s="17"/>
      <c r="LAB9" s="17"/>
      <c r="LAC9" s="17"/>
      <c r="LAD9" s="17"/>
      <c r="LAE9" s="17"/>
      <c r="LAF9" s="17"/>
      <c r="LAG9" s="17"/>
      <c r="LAH9" s="17"/>
      <c r="LAI9" s="17"/>
      <c r="LAJ9" s="17"/>
      <c r="LAK9" s="17"/>
      <c r="LAL9" s="17"/>
      <c r="LAM9" s="17"/>
      <c r="LAN9" s="17"/>
      <c r="LAO9" s="17"/>
      <c r="LAP9" s="17"/>
      <c r="LAQ9" s="17"/>
      <c r="LAR9" s="17"/>
      <c r="LAS9" s="17"/>
      <c r="LAT9" s="17"/>
      <c r="LAU9" s="17"/>
      <c r="LAV9" s="17"/>
      <c r="LAW9" s="17"/>
      <c r="LAX9" s="17"/>
      <c r="LAY9" s="17"/>
      <c r="LAZ9" s="17"/>
      <c r="LBA9" s="17"/>
      <c r="LBB9" s="17"/>
      <c r="LBC9" s="17"/>
      <c r="LBD9" s="17"/>
      <c r="LBE9" s="17"/>
      <c r="LBF9" s="17"/>
      <c r="LBG9" s="17"/>
      <c r="LBH9" s="17"/>
      <c r="LBI9" s="17"/>
      <c r="LBJ9" s="17"/>
      <c r="LBK9" s="17"/>
      <c r="LBL9" s="17"/>
      <c r="LBM9" s="17"/>
      <c r="LBN9" s="17"/>
      <c r="LBO9" s="17"/>
      <c r="LBP9" s="17"/>
      <c r="LBQ9" s="17"/>
      <c r="LBR9" s="17"/>
      <c r="LBS9" s="17"/>
      <c r="LBT9" s="17"/>
      <c r="LBU9" s="17"/>
      <c r="LBV9" s="17"/>
      <c r="LBW9" s="17"/>
      <c r="LBX9" s="17"/>
      <c r="LBY9" s="17"/>
      <c r="LBZ9" s="17"/>
      <c r="LCA9" s="17"/>
      <c r="LCB9" s="17"/>
      <c r="LCC9" s="17"/>
      <c r="LCD9" s="17"/>
      <c r="LCE9" s="17"/>
      <c r="LCF9" s="17"/>
      <c r="LCG9" s="17"/>
      <c r="LCH9" s="17"/>
      <c r="LCI9" s="17"/>
      <c r="LCJ9" s="17"/>
      <c r="LCK9" s="17"/>
      <c r="LCL9" s="17"/>
      <c r="LCM9" s="17"/>
      <c r="LCN9" s="17"/>
      <c r="LCO9" s="17"/>
      <c r="LCP9" s="17"/>
      <c r="LCQ9" s="17"/>
      <c r="LCR9" s="17"/>
      <c r="LCS9" s="17"/>
      <c r="LCT9" s="17"/>
      <c r="LCU9" s="17"/>
      <c r="LCV9" s="17"/>
      <c r="LCW9" s="17"/>
      <c r="LCX9" s="17"/>
      <c r="LCY9" s="17"/>
      <c r="LCZ9" s="17"/>
      <c r="LDA9" s="17"/>
      <c r="LDB9" s="17"/>
      <c r="LDC9" s="17"/>
      <c r="LDD9" s="17"/>
      <c r="LDE9" s="17"/>
      <c r="LDF9" s="17"/>
      <c r="LDG9" s="17"/>
      <c r="LDH9" s="17"/>
      <c r="LDI9" s="17"/>
      <c r="LDJ9" s="17"/>
      <c r="LDK9" s="17"/>
      <c r="LDL9" s="17"/>
      <c r="LDM9" s="17"/>
      <c r="LDN9" s="17"/>
      <c r="LDO9" s="17"/>
      <c r="LDP9" s="17"/>
      <c r="LDQ9" s="17"/>
      <c r="LDR9" s="17"/>
      <c r="LDS9" s="17"/>
      <c r="LDT9" s="17"/>
      <c r="LDU9" s="17"/>
      <c r="LDV9" s="17"/>
      <c r="LDW9" s="17"/>
      <c r="LDX9" s="17"/>
      <c r="LDY9" s="17"/>
      <c r="LDZ9" s="17"/>
      <c r="LEA9" s="17"/>
      <c r="LEB9" s="17"/>
      <c r="LEC9" s="17"/>
      <c r="LED9" s="17"/>
      <c r="LEE9" s="17"/>
      <c r="LEF9" s="17"/>
      <c r="LEG9" s="17"/>
      <c r="LEH9" s="17"/>
      <c r="LEI9" s="17"/>
      <c r="LEJ9" s="17"/>
      <c r="LEK9" s="17"/>
      <c r="LEL9" s="17"/>
      <c r="LEM9" s="17"/>
      <c r="LEN9" s="17"/>
      <c r="LEO9" s="17"/>
      <c r="LEP9" s="17"/>
      <c r="LEQ9" s="17"/>
      <c r="LER9" s="17"/>
      <c r="LES9" s="17"/>
      <c r="LET9" s="17"/>
      <c r="LEU9" s="17"/>
      <c r="LEV9" s="17"/>
      <c r="LEW9" s="17"/>
      <c r="LEX9" s="17"/>
      <c r="LEY9" s="17"/>
      <c r="LEZ9" s="17"/>
      <c r="LFA9" s="17"/>
      <c r="LFB9" s="17"/>
      <c r="LFC9" s="17"/>
      <c r="LFD9" s="17"/>
      <c r="LFE9" s="17"/>
      <c r="LFF9" s="17"/>
      <c r="LFG9" s="17"/>
      <c r="LFH9" s="17"/>
      <c r="LFI9" s="17"/>
      <c r="LFJ9" s="17"/>
      <c r="LFK9" s="17"/>
      <c r="LFL9" s="17"/>
      <c r="LFM9" s="17"/>
      <c r="LFN9" s="17"/>
      <c r="LFO9" s="17"/>
      <c r="LFP9" s="17"/>
      <c r="LFQ9" s="17"/>
      <c r="LFR9" s="17"/>
      <c r="LFS9" s="17"/>
      <c r="LFT9" s="17"/>
      <c r="LFU9" s="17"/>
      <c r="LFV9" s="17"/>
      <c r="LFW9" s="17"/>
      <c r="LFX9" s="17"/>
      <c r="LFY9" s="17"/>
      <c r="LFZ9" s="17"/>
      <c r="LGA9" s="17"/>
      <c r="LGB9" s="17"/>
      <c r="LGC9" s="17"/>
      <c r="LGD9" s="17"/>
      <c r="LGE9" s="17"/>
      <c r="LGF9" s="17"/>
      <c r="LGG9" s="17"/>
      <c r="LGH9" s="17"/>
      <c r="LGI9" s="17"/>
      <c r="LGJ9" s="17"/>
      <c r="LGK9" s="17"/>
      <c r="LGL9" s="17"/>
      <c r="LGM9" s="17"/>
      <c r="LGN9" s="17"/>
      <c r="LGO9" s="17"/>
      <c r="LGP9" s="17"/>
      <c r="LGQ9" s="17"/>
      <c r="LGR9" s="17"/>
      <c r="LGS9" s="17"/>
      <c r="LGT9" s="17"/>
      <c r="LGU9" s="17"/>
      <c r="LGV9" s="17"/>
      <c r="LGW9" s="17"/>
      <c r="LGX9" s="17"/>
      <c r="LGY9" s="17"/>
      <c r="LGZ9" s="17"/>
      <c r="LHA9" s="17"/>
      <c r="LHB9" s="17"/>
      <c r="LHC9" s="17"/>
      <c r="LHD9" s="17"/>
      <c r="LHE9" s="17"/>
      <c r="LHF9" s="17"/>
      <c r="LHG9" s="17"/>
      <c r="LHH9" s="17"/>
      <c r="LHI9" s="17"/>
      <c r="LHJ9" s="17"/>
      <c r="LHK9" s="17"/>
      <c r="LHL9" s="17"/>
      <c r="LHM9" s="17"/>
      <c r="LHN9" s="17"/>
      <c r="LHO9" s="17"/>
      <c r="LHP9" s="17"/>
      <c r="LHQ9" s="17"/>
      <c r="LHR9" s="17"/>
      <c r="LHS9" s="17"/>
      <c r="LHT9" s="17"/>
      <c r="LHU9" s="17"/>
      <c r="LHV9" s="17"/>
      <c r="LHW9" s="17"/>
      <c r="LHX9" s="17"/>
      <c r="LHY9" s="17"/>
      <c r="LHZ9" s="17"/>
      <c r="LIA9" s="17"/>
      <c r="LIB9" s="17"/>
      <c r="LIC9" s="17"/>
      <c r="LID9" s="17"/>
      <c r="LIE9" s="17"/>
      <c r="LIF9" s="17"/>
      <c r="LIG9" s="17"/>
      <c r="LIH9" s="17"/>
      <c r="LII9" s="17"/>
      <c r="LIJ9" s="17"/>
      <c r="LIK9" s="17"/>
      <c r="LIL9" s="17"/>
      <c r="LIM9" s="17"/>
      <c r="LIN9" s="17"/>
      <c r="LIO9" s="17"/>
      <c r="LIP9" s="17"/>
      <c r="LIQ9" s="17"/>
      <c r="LIR9" s="17"/>
      <c r="LIS9" s="17"/>
      <c r="LIT9" s="17"/>
      <c r="LIU9" s="17"/>
      <c r="LIV9" s="17"/>
      <c r="LIW9" s="17"/>
      <c r="LIX9" s="17"/>
      <c r="LIY9" s="17"/>
      <c r="LIZ9" s="17"/>
      <c r="LJA9" s="17"/>
      <c r="LJB9" s="17"/>
      <c r="LJC9" s="17"/>
      <c r="LJD9" s="17"/>
      <c r="LJE9" s="17"/>
      <c r="LJF9" s="17"/>
      <c r="LJG9" s="17"/>
      <c r="LJH9" s="17"/>
      <c r="LJI9" s="17"/>
      <c r="LJJ9" s="17"/>
      <c r="LJK9" s="17"/>
      <c r="LJL9" s="17"/>
      <c r="LJM9" s="17"/>
      <c r="LJN9" s="17"/>
      <c r="LJO9" s="17"/>
      <c r="LJP9" s="17"/>
      <c r="LJQ9" s="17"/>
      <c r="LJR9" s="17"/>
      <c r="LJS9" s="17"/>
      <c r="LJT9" s="17"/>
      <c r="LJU9" s="17"/>
      <c r="LJV9" s="17"/>
      <c r="LJW9" s="17"/>
      <c r="LJX9" s="17"/>
      <c r="LJY9" s="17"/>
      <c r="LJZ9" s="17"/>
      <c r="LKA9" s="17"/>
      <c r="LKB9" s="17"/>
      <c r="LKC9" s="17"/>
      <c r="LKD9" s="17"/>
      <c r="LKE9" s="17"/>
      <c r="LKF9" s="17"/>
      <c r="LKG9" s="17"/>
      <c r="LKH9" s="17"/>
      <c r="LKI9" s="17"/>
      <c r="LKJ9" s="17"/>
      <c r="LKK9" s="17"/>
      <c r="LKL9" s="17"/>
      <c r="LKM9" s="17"/>
      <c r="LKN9" s="17"/>
      <c r="LKO9" s="17"/>
      <c r="LKP9" s="17"/>
      <c r="LKQ9" s="17"/>
      <c r="LKR9" s="17"/>
      <c r="LKS9" s="17"/>
      <c r="LKT9" s="17"/>
      <c r="LKU9" s="17"/>
      <c r="LKV9" s="17"/>
      <c r="LKW9" s="17"/>
      <c r="LKX9" s="17"/>
      <c r="LKY9" s="17"/>
      <c r="LKZ9" s="17"/>
      <c r="LLA9" s="17"/>
      <c r="LLB9" s="17"/>
      <c r="LLC9" s="17"/>
      <c r="LLD9" s="17"/>
      <c r="LLE9" s="17"/>
      <c r="LLF9" s="17"/>
      <c r="LLG9" s="17"/>
      <c r="LLH9" s="17"/>
      <c r="LLI9" s="17"/>
      <c r="LLJ9" s="17"/>
      <c r="LLK9" s="17"/>
      <c r="LLL9" s="17"/>
      <c r="LLM9" s="17"/>
      <c r="LLN9" s="17"/>
      <c r="LLO9" s="17"/>
      <c r="LLP9" s="17"/>
      <c r="LLQ9" s="17"/>
      <c r="LLR9" s="17"/>
      <c r="LLS9" s="17"/>
      <c r="LLT9" s="17"/>
      <c r="LLU9" s="17"/>
      <c r="LLV9" s="17"/>
      <c r="LLW9" s="17"/>
      <c r="LLX9" s="17"/>
      <c r="LLY9" s="17"/>
      <c r="LLZ9" s="17"/>
      <c r="LMA9" s="17"/>
      <c r="LMB9" s="17"/>
      <c r="LMC9" s="17"/>
      <c r="LMD9" s="17"/>
      <c r="LME9" s="17"/>
      <c r="LMF9" s="17"/>
      <c r="LMG9" s="17"/>
      <c r="LMH9" s="17"/>
      <c r="LMI9" s="17"/>
      <c r="LMJ9" s="17"/>
      <c r="LMK9" s="17"/>
      <c r="LML9" s="17"/>
      <c r="LMM9" s="17"/>
      <c r="LMN9" s="17"/>
      <c r="LMO9" s="17"/>
      <c r="LMP9" s="17"/>
      <c r="LMQ9" s="17"/>
      <c r="LMR9" s="17"/>
      <c r="LMS9" s="17"/>
      <c r="LMT9" s="17"/>
      <c r="LMU9" s="17"/>
      <c r="LMV9" s="17"/>
      <c r="LMW9" s="17"/>
      <c r="LMX9" s="17"/>
      <c r="LMY9" s="17"/>
      <c r="LMZ9" s="17"/>
      <c r="LNA9" s="17"/>
      <c r="LNB9" s="17"/>
      <c r="LNC9" s="17"/>
      <c r="LND9" s="17"/>
      <c r="LNE9" s="17"/>
      <c r="LNF9" s="17"/>
      <c r="LNG9" s="17"/>
      <c r="LNH9" s="17"/>
      <c r="LNI9" s="17"/>
      <c r="LNJ9" s="17"/>
      <c r="LNK9" s="17"/>
      <c r="LNL9" s="17"/>
      <c r="LNM9" s="17"/>
      <c r="LNN9" s="17"/>
      <c r="LNO9" s="17"/>
      <c r="LNP9" s="17"/>
      <c r="LNQ9" s="17"/>
      <c r="LNR9" s="17"/>
      <c r="LNS9" s="17"/>
      <c r="LNT9" s="17"/>
      <c r="LNU9" s="17"/>
      <c r="LNV9" s="17"/>
      <c r="LNW9" s="17"/>
      <c r="LNX9" s="17"/>
      <c r="LNY9" s="17"/>
      <c r="LNZ9" s="17"/>
      <c r="LOA9" s="17"/>
      <c r="LOB9" s="17"/>
      <c r="LOC9" s="17"/>
      <c r="LOD9" s="17"/>
      <c r="LOE9" s="17"/>
      <c r="LOF9" s="17"/>
      <c r="LOG9" s="17"/>
      <c r="LOH9" s="17"/>
      <c r="LOI9" s="17"/>
      <c r="LOJ9" s="17"/>
      <c r="LOK9" s="17"/>
      <c r="LOL9" s="17"/>
      <c r="LOM9" s="17"/>
      <c r="LON9" s="17"/>
      <c r="LOO9" s="17"/>
      <c r="LOP9" s="17"/>
      <c r="LOQ9" s="17"/>
      <c r="LOR9" s="17"/>
      <c r="LOS9" s="17"/>
      <c r="LOT9" s="17"/>
      <c r="LOU9" s="17"/>
      <c r="LOV9" s="17"/>
      <c r="LOW9" s="17"/>
      <c r="LOX9" s="17"/>
      <c r="LOY9" s="17"/>
      <c r="LOZ9" s="17"/>
      <c r="LPA9" s="17"/>
      <c r="LPB9" s="17"/>
      <c r="LPC9" s="17"/>
      <c r="LPD9" s="17"/>
      <c r="LPE9" s="17"/>
      <c r="LPF9" s="17"/>
      <c r="LPG9" s="17"/>
      <c r="LPH9" s="17"/>
      <c r="LPI9" s="17"/>
      <c r="LPJ9" s="17"/>
      <c r="LPK9" s="17"/>
      <c r="LPL9" s="17"/>
      <c r="LPM9" s="17"/>
      <c r="LPN9" s="17"/>
      <c r="LPO9" s="17"/>
      <c r="LPP9" s="17"/>
      <c r="LPQ9" s="17"/>
      <c r="LPR9" s="17"/>
      <c r="LPS9" s="17"/>
      <c r="LPT9" s="17"/>
      <c r="LPU9" s="17"/>
      <c r="LPV9" s="17"/>
      <c r="LPW9" s="17"/>
      <c r="LPX9" s="17"/>
      <c r="LPY9" s="17"/>
      <c r="LPZ9" s="17"/>
      <c r="LQA9" s="17"/>
      <c r="LQB9" s="17"/>
      <c r="LQC9" s="17"/>
      <c r="LQD9" s="17"/>
      <c r="LQE9" s="17"/>
      <c r="LQF9" s="17"/>
      <c r="LQG9" s="17"/>
      <c r="LQH9" s="17"/>
      <c r="LQI9" s="17"/>
      <c r="LQJ9" s="17"/>
      <c r="LQK9" s="17"/>
      <c r="LQL9" s="17"/>
      <c r="LQM9" s="17"/>
      <c r="LQN9" s="17"/>
      <c r="LQO9" s="17"/>
      <c r="LQP9" s="17"/>
      <c r="LQQ9" s="17"/>
      <c r="LQR9" s="17"/>
      <c r="LQS9" s="17"/>
      <c r="LQT9" s="17"/>
      <c r="LQU9" s="17"/>
      <c r="LQV9" s="17"/>
      <c r="LQW9" s="17"/>
      <c r="LQX9" s="17"/>
      <c r="LQY9" s="17"/>
      <c r="LQZ9" s="17"/>
      <c r="LRA9" s="17"/>
      <c r="LRB9" s="17"/>
      <c r="LRC9" s="17"/>
      <c r="LRD9" s="17"/>
      <c r="LRE9" s="17"/>
      <c r="LRF9" s="17"/>
      <c r="LRG9" s="17"/>
      <c r="LRH9" s="17"/>
      <c r="LRI9" s="17"/>
      <c r="LRJ9" s="17"/>
      <c r="LRK9" s="17"/>
      <c r="LRL9" s="17"/>
      <c r="LRM9" s="17"/>
      <c r="LRN9" s="17"/>
      <c r="LRO9" s="17"/>
      <c r="LRP9" s="17"/>
      <c r="LRQ9" s="17"/>
      <c r="LRR9" s="17"/>
      <c r="LRS9" s="17"/>
      <c r="LRT9" s="17"/>
      <c r="LRU9" s="17"/>
      <c r="LRV9" s="17"/>
      <c r="LRW9" s="17"/>
      <c r="LRX9" s="17"/>
      <c r="LRY9" s="17"/>
      <c r="LRZ9" s="17"/>
      <c r="LSA9" s="17"/>
      <c r="LSB9" s="17"/>
      <c r="LSC9" s="17"/>
      <c r="LSD9" s="17"/>
      <c r="LSE9" s="17"/>
      <c r="LSF9" s="17"/>
      <c r="LSG9" s="17"/>
      <c r="LSH9" s="17"/>
      <c r="LSI9" s="17"/>
      <c r="LSJ9" s="17"/>
      <c r="LSK9" s="17"/>
      <c r="LSL9" s="17"/>
      <c r="LSM9" s="17"/>
      <c r="LSN9" s="17"/>
      <c r="LSO9" s="17"/>
      <c r="LSP9" s="17"/>
      <c r="LSQ9" s="17"/>
      <c r="LSR9" s="17"/>
      <c r="LSS9" s="17"/>
      <c r="LST9" s="17"/>
      <c r="LSU9" s="17"/>
      <c r="LSV9" s="17"/>
      <c r="LSW9" s="17"/>
      <c r="LSX9" s="17"/>
      <c r="LSY9" s="17"/>
      <c r="LSZ9" s="17"/>
      <c r="LTA9" s="17"/>
      <c r="LTB9" s="17"/>
      <c r="LTC9" s="17"/>
      <c r="LTD9" s="17"/>
      <c r="LTE9" s="17"/>
      <c r="LTF9" s="17"/>
      <c r="LTG9" s="17"/>
      <c r="LTH9" s="17"/>
      <c r="LTI9" s="17"/>
      <c r="LTJ9" s="17"/>
      <c r="LTK9" s="17"/>
      <c r="LTL9" s="17"/>
      <c r="LTM9" s="17"/>
      <c r="LTN9" s="17"/>
      <c r="LTO9" s="17"/>
      <c r="LTP9" s="17"/>
      <c r="LTQ9" s="17"/>
      <c r="LTR9" s="17"/>
      <c r="LTS9" s="17"/>
      <c r="LTT9" s="17"/>
      <c r="LTU9" s="17"/>
      <c r="LTV9" s="17"/>
      <c r="LTW9" s="17"/>
      <c r="LTX9" s="17"/>
      <c r="LTY9" s="17"/>
      <c r="LTZ9" s="17"/>
      <c r="LUA9" s="17"/>
      <c r="LUB9" s="17"/>
      <c r="LUC9" s="17"/>
      <c r="LUD9" s="17"/>
      <c r="LUE9" s="17"/>
      <c r="LUF9" s="17"/>
      <c r="LUG9" s="17"/>
      <c r="LUH9" s="17"/>
      <c r="LUI9" s="17"/>
      <c r="LUJ9" s="17"/>
      <c r="LUK9" s="17"/>
      <c r="LUL9" s="17"/>
      <c r="LUM9" s="17"/>
      <c r="LUN9" s="17"/>
      <c r="LUO9" s="17"/>
      <c r="LUP9" s="17"/>
      <c r="LUQ9" s="17"/>
      <c r="LUR9" s="17"/>
      <c r="LUS9" s="17"/>
      <c r="LUT9" s="17"/>
      <c r="LUU9" s="17"/>
      <c r="LUV9" s="17"/>
      <c r="LUW9" s="17"/>
      <c r="LUX9" s="17"/>
      <c r="LUY9" s="17"/>
      <c r="LUZ9" s="17"/>
      <c r="LVA9" s="17"/>
      <c r="LVB9" s="17"/>
      <c r="LVC9" s="17"/>
      <c r="LVD9" s="17"/>
      <c r="LVE9" s="17"/>
      <c r="LVF9" s="17"/>
      <c r="LVG9" s="17"/>
      <c r="LVH9" s="17"/>
      <c r="LVI9" s="17"/>
      <c r="LVJ9" s="17"/>
      <c r="LVK9" s="17"/>
      <c r="LVL9" s="17"/>
      <c r="LVM9" s="17"/>
      <c r="LVN9" s="17"/>
      <c r="LVO9" s="17"/>
      <c r="LVP9" s="17"/>
      <c r="LVQ9" s="17"/>
      <c r="LVR9" s="17"/>
      <c r="LVS9" s="17"/>
      <c r="LVT9" s="17"/>
      <c r="LVU9" s="17"/>
      <c r="LVV9" s="17"/>
      <c r="LVW9" s="17"/>
      <c r="LVX9" s="17"/>
      <c r="LVY9" s="17"/>
      <c r="LVZ9" s="17"/>
      <c r="LWA9" s="17"/>
      <c r="LWB9" s="17"/>
      <c r="LWC9" s="17"/>
      <c r="LWD9" s="17"/>
      <c r="LWE9" s="17"/>
      <c r="LWF9" s="17"/>
      <c r="LWG9" s="17"/>
      <c r="LWH9" s="17"/>
      <c r="LWI9" s="17"/>
      <c r="LWJ9" s="17"/>
      <c r="LWK9" s="17"/>
      <c r="LWL9" s="17"/>
      <c r="LWM9" s="17"/>
      <c r="LWN9" s="17"/>
      <c r="LWO9" s="17"/>
      <c r="LWP9" s="17"/>
      <c r="LWQ9" s="17"/>
      <c r="LWR9" s="17"/>
      <c r="LWS9" s="17"/>
      <c r="LWT9" s="17"/>
      <c r="LWU9" s="17"/>
      <c r="LWV9" s="17"/>
      <c r="LWW9" s="17"/>
      <c r="LWX9" s="17"/>
      <c r="LWY9" s="17"/>
      <c r="LWZ9" s="17"/>
      <c r="LXA9" s="17"/>
      <c r="LXB9" s="17"/>
      <c r="LXC9" s="17"/>
      <c r="LXD9" s="17"/>
      <c r="LXE9" s="17"/>
      <c r="LXF9" s="17"/>
      <c r="LXG9" s="17"/>
      <c r="LXH9" s="17"/>
      <c r="LXI9" s="17"/>
      <c r="LXJ9" s="17"/>
      <c r="LXK9" s="17"/>
      <c r="LXL9" s="17"/>
      <c r="LXM9" s="17"/>
      <c r="LXN9" s="17"/>
      <c r="LXO9" s="17"/>
      <c r="LXP9" s="17"/>
      <c r="LXQ9" s="17"/>
      <c r="LXR9" s="17"/>
      <c r="LXS9" s="17"/>
      <c r="LXT9" s="17"/>
      <c r="LXU9" s="17"/>
      <c r="LXV9" s="17"/>
      <c r="LXW9" s="17"/>
      <c r="LXX9" s="17"/>
      <c r="LXY9" s="17"/>
      <c r="LXZ9" s="17"/>
      <c r="LYA9" s="17"/>
      <c r="LYB9" s="17"/>
      <c r="LYC9" s="17"/>
      <c r="LYD9" s="17"/>
      <c r="LYE9" s="17"/>
      <c r="LYF9" s="17"/>
      <c r="LYG9" s="17"/>
      <c r="LYH9" s="17"/>
      <c r="LYI9" s="17"/>
      <c r="LYJ9" s="17"/>
      <c r="LYK9" s="17"/>
      <c r="LYL9" s="17"/>
      <c r="LYM9" s="17"/>
      <c r="LYN9" s="17"/>
      <c r="LYO9" s="17"/>
      <c r="LYP9" s="17"/>
      <c r="LYQ9" s="17"/>
      <c r="LYR9" s="17"/>
      <c r="LYS9" s="17"/>
      <c r="LYT9" s="17"/>
      <c r="LYU9" s="17"/>
      <c r="LYV9" s="17"/>
      <c r="LYW9" s="17"/>
      <c r="LYX9" s="17"/>
      <c r="LYY9" s="17"/>
      <c r="LYZ9" s="17"/>
      <c r="LZA9" s="17"/>
      <c r="LZB9" s="17"/>
      <c r="LZC9" s="17"/>
      <c r="LZD9" s="17"/>
      <c r="LZE9" s="17"/>
      <c r="LZF9" s="17"/>
      <c r="LZG9" s="17"/>
      <c r="LZH9" s="17"/>
      <c r="LZI9" s="17"/>
      <c r="LZJ9" s="17"/>
      <c r="LZK9" s="17"/>
      <c r="LZL9" s="17"/>
      <c r="LZM9" s="17"/>
      <c r="LZN9" s="17"/>
      <c r="LZO9" s="17"/>
      <c r="LZP9" s="17"/>
      <c r="LZQ9" s="17"/>
      <c r="LZR9" s="17"/>
      <c r="LZS9" s="17"/>
      <c r="LZT9" s="17"/>
      <c r="LZU9" s="17"/>
      <c r="LZV9" s="17"/>
      <c r="LZW9" s="17"/>
      <c r="LZX9" s="17"/>
      <c r="LZY9" s="17"/>
      <c r="LZZ9" s="17"/>
      <c r="MAA9" s="17"/>
      <c r="MAB9" s="17"/>
      <c r="MAC9" s="17"/>
      <c r="MAD9" s="17"/>
      <c r="MAE9" s="17"/>
      <c r="MAF9" s="17"/>
      <c r="MAG9" s="17"/>
      <c r="MAH9" s="17"/>
      <c r="MAI9" s="17"/>
      <c r="MAJ9" s="17"/>
      <c r="MAK9" s="17"/>
      <c r="MAL9" s="17"/>
      <c r="MAM9" s="17"/>
      <c r="MAN9" s="17"/>
      <c r="MAO9" s="17"/>
      <c r="MAP9" s="17"/>
      <c r="MAQ9" s="17"/>
      <c r="MAR9" s="17"/>
      <c r="MAS9" s="17"/>
      <c r="MAT9" s="17"/>
      <c r="MAU9" s="17"/>
      <c r="MAV9" s="17"/>
      <c r="MAW9" s="17"/>
      <c r="MAX9" s="17"/>
      <c r="MAY9" s="17"/>
      <c r="MAZ9" s="17"/>
      <c r="MBA9" s="17"/>
      <c r="MBB9" s="17"/>
      <c r="MBC9" s="17"/>
      <c r="MBD9" s="17"/>
      <c r="MBE9" s="17"/>
      <c r="MBF9" s="17"/>
      <c r="MBG9" s="17"/>
      <c r="MBH9" s="17"/>
      <c r="MBI9" s="17"/>
      <c r="MBJ9" s="17"/>
      <c r="MBK9" s="17"/>
      <c r="MBL9" s="17"/>
      <c r="MBM9" s="17"/>
      <c r="MBN9" s="17"/>
      <c r="MBO9" s="17"/>
      <c r="MBP9" s="17"/>
      <c r="MBQ9" s="17"/>
      <c r="MBR9" s="17"/>
      <c r="MBS9" s="17"/>
      <c r="MBT9" s="17"/>
      <c r="MBU9" s="17"/>
      <c r="MBV9" s="17"/>
      <c r="MBW9" s="17"/>
      <c r="MBX9" s="17"/>
      <c r="MBY9" s="17"/>
      <c r="MBZ9" s="17"/>
      <c r="MCA9" s="17"/>
      <c r="MCB9" s="17"/>
      <c r="MCC9" s="17"/>
      <c r="MCD9" s="17"/>
      <c r="MCE9" s="17"/>
      <c r="MCF9" s="17"/>
      <c r="MCG9" s="17"/>
      <c r="MCH9" s="17"/>
      <c r="MCI9" s="17"/>
      <c r="MCJ9" s="17"/>
      <c r="MCK9" s="17"/>
      <c r="MCL9" s="17"/>
      <c r="MCM9" s="17"/>
      <c r="MCN9" s="17"/>
      <c r="MCO9" s="17"/>
      <c r="MCP9" s="17"/>
      <c r="MCQ9" s="17"/>
      <c r="MCR9" s="17"/>
      <c r="MCS9" s="17"/>
      <c r="MCT9" s="17"/>
      <c r="MCU9" s="17"/>
      <c r="MCV9" s="17"/>
      <c r="MCW9" s="17"/>
      <c r="MCX9" s="17"/>
      <c r="MCY9" s="17"/>
      <c r="MCZ9" s="17"/>
      <c r="MDA9" s="17"/>
      <c r="MDB9" s="17"/>
      <c r="MDC9" s="17"/>
      <c r="MDD9" s="17"/>
      <c r="MDE9" s="17"/>
      <c r="MDF9" s="17"/>
      <c r="MDG9" s="17"/>
      <c r="MDH9" s="17"/>
      <c r="MDI9" s="17"/>
      <c r="MDJ9" s="17"/>
      <c r="MDK9" s="17"/>
      <c r="MDL9" s="17"/>
      <c r="MDM9" s="17"/>
      <c r="MDN9" s="17"/>
      <c r="MDO9" s="17"/>
      <c r="MDP9" s="17"/>
      <c r="MDQ9" s="17"/>
      <c r="MDR9" s="17"/>
      <c r="MDS9" s="17"/>
      <c r="MDT9" s="17"/>
      <c r="MDU9" s="17"/>
      <c r="MDV9" s="17"/>
      <c r="MDW9" s="17"/>
      <c r="MDX9" s="17"/>
      <c r="MDY9" s="17"/>
      <c r="MDZ9" s="17"/>
      <c r="MEA9" s="17"/>
      <c r="MEB9" s="17"/>
      <c r="MEC9" s="17"/>
      <c r="MED9" s="17"/>
      <c r="MEE9" s="17"/>
      <c r="MEF9" s="17"/>
      <c r="MEG9" s="17"/>
      <c r="MEH9" s="17"/>
      <c r="MEI9" s="17"/>
      <c r="MEJ9" s="17"/>
      <c r="MEK9" s="17"/>
      <c r="MEL9" s="17"/>
      <c r="MEM9" s="17"/>
      <c r="MEN9" s="17"/>
      <c r="MEO9" s="17"/>
      <c r="MEP9" s="17"/>
      <c r="MEQ9" s="17"/>
      <c r="MER9" s="17"/>
      <c r="MES9" s="17"/>
      <c r="MET9" s="17"/>
      <c r="MEU9" s="17"/>
      <c r="MEV9" s="17"/>
      <c r="MEW9" s="17"/>
      <c r="MEX9" s="17"/>
      <c r="MEY9" s="17"/>
      <c r="MEZ9" s="17"/>
      <c r="MFA9" s="17"/>
      <c r="MFB9" s="17"/>
      <c r="MFC9" s="17"/>
      <c r="MFD9" s="17"/>
      <c r="MFE9" s="17"/>
      <c r="MFF9" s="17"/>
      <c r="MFG9" s="17"/>
      <c r="MFH9" s="17"/>
      <c r="MFI9" s="17"/>
      <c r="MFJ9" s="17"/>
      <c r="MFK9" s="17"/>
      <c r="MFL9" s="17"/>
      <c r="MFM9" s="17"/>
      <c r="MFN9" s="17"/>
      <c r="MFO9" s="17"/>
      <c r="MFP9" s="17"/>
      <c r="MFQ9" s="17"/>
      <c r="MFR9" s="17"/>
      <c r="MFS9" s="17"/>
      <c r="MFT9" s="17"/>
      <c r="MFU9" s="17"/>
      <c r="MFV9" s="17"/>
      <c r="MFW9" s="17"/>
      <c r="MFX9" s="17"/>
      <c r="MFY9" s="17"/>
      <c r="MFZ9" s="17"/>
      <c r="MGA9" s="17"/>
      <c r="MGB9" s="17"/>
      <c r="MGC9" s="17"/>
      <c r="MGD9" s="17"/>
      <c r="MGE9" s="17"/>
      <c r="MGF9" s="17"/>
      <c r="MGG9" s="17"/>
      <c r="MGH9" s="17"/>
      <c r="MGI9" s="17"/>
      <c r="MGJ9" s="17"/>
      <c r="MGK9" s="17"/>
      <c r="MGL9" s="17"/>
      <c r="MGM9" s="17"/>
      <c r="MGN9" s="17"/>
      <c r="MGO9" s="17"/>
      <c r="MGP9" s="17"/>
      <c r="MGQ9" s="17"/>
      <c r="MGR9" s="17"/>
      <c r="MGS9" s="17"/>
      <c r="MGT9" s="17"/>
      <c r="MGU9" s="17"/>
      <c r="MGV9" s="17"/>
      <c r="MGW9" s="17"/>
      <c r="MGX9" s="17"/>
      <c r="MGY9" s="17"/>
      <c r="MGZ9" s="17"/>
      <c r="MHA9" s="17"/>
      <c r="MHB9" s="17"/>
      <c r="MHC9" s="17"/>
      <c r="MHD9" s="17"/>
      <c r="MHE9" s="17"/>
      <c r="MHF9" s="17"/>
      <c r="MHG9" s="17"/>
      <c r="MHH9" s="17"/>
      <c r="MHI9" s="17"/>
      <c r="MHJ9" s="17"/>
      <c r="MHK9" s="17"/>
      <c r="MHL9" s="17"/>
      <c r="MHM9" s="17"/>
      <c r="MHN9" s="17"/>
      <c r="MHO9" s="17"/>
      <c r="MHP9" s="17"/>
      <c r="MHQ9" s="17"/>
      <c r="MHR9" s="17"/>
      <c r="MHS9" s="17"/>
      <c r="MHT9" s="17"/>
      <c r="MHU9" s="17"/>
      <c r="MHV9" s="17"/>
      <c r="MHW9" s="17"/>
      <c r="MHX9" s="17"/>
      <c r="MHY9" s="17"/>
      <c r="MHZ9" s="17"/>
      <c r="MIA9" s="17"/>
      <c r="MIB9" s="17"/>
      <c r="MIC9" s="17"/>
      <c r="MID9" s="17"/>
      <c r="MIE9" s="17"/>
      <c r="MIF9" s="17"/>
      <c r="MIG9" s="17"/>
      <c r="MIH9" s="17"/>
      <c r="MII9" s="17"/>
      <c r="MIJ9" s="17"/>
      <c r="MIK9" s="17"/>
      <c r="MIL9" s="17"/>
      <c r="MIM9" s="17"/>
      <c r="MIN9" s="17"/>
      <c r="MIO9" s="17"/>
      <c r="MIP9" s="17"/>
      <c r="MIQ9" s="17"/>
      <c r="MIR9" s="17"/>
      <c r="MIS9" s="17"/>
      <c r="MIT9" s="17"/>
      <c r="MIU9" s="17"/>
      <c r="MIV9" s="17"/>
      <c r="MIW9" s="17"/>
      <c r="MIX9" s="17"/>
      <c r="MIY9" s="17"/>
      <c r="MIZ9" s="17"/>
      <c r="MJA9" s="17"/>
      <c r="MJB9" s="17"/>
      <c r="MJC9" s="17"/>
      <c r="MJD9" s="17"/>
      <c r="MJE9" s="17"/>
      <c r="MJF9" s="17"/>
      <c r="MJG9" s="17"/>
      <c r="MJH9" s="17"/>
      <c r="MJI9" s="17"/>
      <c r="MJJ9" s="17"/>
      <c r="MJK9" s="17"/>
      <c r="MJL9" s="17"/>
      <c r="MJM9" s="17"/>
      <c r="MJN9" s="17"/>
      <c r="MJO9" s="17"/>
      <c r="MJP9" s="17"/>
      <c r="MJQ9" s="17"/>
      <c r="MJR9" s="17"/>
      <c r="MJS9" s="17"/>
      <c r="MJT9" s="17"/>
      <c r="MJU9" s="17"/>
      <c r="MJV9" s="17"/>
      <c r="MJW9" s="17"/>
      <c r="MJX9" s="17"/>
      <c r="MJY9" s="17"/>
      <c r="MJZ9" s="17"/>
      <c r="MKA9" s="17"/>
      <c r="MKB9" s="17"/>
      <c r="MKC9" s="17"/>
      <c r="MKD9" s="17"/>
      <c r="MKE9" s="17"/>
      <c r="MKF9" s="17"/>
      <c r="MKG9" s="17"/>
      <c r="MKH9" s="17"/>
      <c r="MKI9" s="17"/>
      <c r="MKJ9" s="17"/>
      <c r="MKK9" s="17"/>
      <c r="MKL9" s="17"/>
      <c r="MKM9" s="17"/>
      <c r="MKN9" s="17"/>
      <c r="MKO9" s="17"/>
      <c r="MKP9" s="17"/>
      <c r="MKQ9" s="17"/>
      <c r="MKR9" s="17"/>
      <c r="MKS9" s="17"/>
      <c r="MKT9" s="17"/>
      <c r="MKU9" s="17"/>
      <c r="MKV9" s="17"/>
      <c r="MKW9" s="17"/>
      <c r="MKX9" s="17"/>
      <c r="MKY9" s="17"/>
      <c r="MKZ9" s="17"/>
      <c r="MLA9" s="17"/>
      <c r="MLB9" s="17"/>
      <c r="MLC9" s="17"/>
      <c r="MLD9" s="17"/>
      <c r="MLE9" s="17"/>
      <c r="MLF9" s="17"/>
      <c r="MLG9" s="17"/>
      <c r="MLH9" s="17"/>
      <c r="MLI9" s="17"/>
      <c r="MLJ9" s="17"/>
      <c r="MLK9" s="17"/>
      <c r="MLL9" s="17"/>
      <c r="MLM9" s="17"/>
      <c r="MLN9" s="17"/>
      <c r="MLO9" s="17"/>
      <c r="MLP9" s="17"/>
      <c r="MLQ9" s="17"/>
      <c r="MLR9" s="17"/>
      <c r="MLS9" s="17"/>
      <c r="MLT9" s="17"/>
      <c r="MLU9" s="17"/>
      <c r="MLV9" s="17"/>
      <c r="MLW9" s="17"/>
      <c r="MLX9" s="17"/>
      <c r="MLY9" s="17"/>
      <c r="MLZ9" s="17"/>
      <c r="MMA9" s="17"/>
      <c r="MMB9" s="17"/>
      <c r="MMC9" s="17"/>
      <c r="MMD9" s="17"/>
      <c r="MME9" s="17"/>
      <c r="MMF9" s="17"/>
      <c r="MMG9" s="17"/>
      <c r="MMH9" s="17"/>
      <c r="MMI9" s="17"/>
      <c r="MMJ9" s="17"/>
      <c r="MMK9" s="17"/>
      <c r="MML9" s="17"/>
      <c r="MMM9" s="17"/>
      <c r="MMN9" s="17"/>
      <c r="MMO9" s="17"/>
      <c r="MMP9" s="17"/>
      <c r="MMQ9" s="17"/>
      <c r="MMR9" s="17"/>
      <c r="MMS9" s="17"/>
      <c r="MMT9" s="17"/>
      <c r="MMU9" s="17"/>
      <c r="MMV9" s="17"/>
      <c r="MMW9" s="17"/>
      <c r="MMX9" s="17"/>
      <c r="MMY9" s="17"/>
      <c r="MMZ9" s="17"/>
      <c r="MNA9" s="17"/>
      <c r="MNB9" s="17"/>
      <c r="MNC9" s="17"/>
      <c r="MND9" s="17"/>
      <c r="MNE9" s="17"/>
      <c r="MNF9" s="17"/>
      <c r="MNG9" s="17"/>
      <c r="MNH9" s="17"/>
      <c r="MNI9" s="17"/>
      <c r="MNJ9" s="17"/>
      <c r="MNK9" s="17"/>
      <c r="MNL9" s="17"/>
      <c r="MNM9" s="17"/>
      <c r="MNN9" s="17"/>
      <c r="MNO9" s="17"/>
      <c r="MNP9" s="17"/>
      <c r="MNQ9" s="17"/>
      <c r="MNR9" s="17"/>
      <c r="MNS9" s="17"/>
      <c r="MNT9" s="17"/>
      <c r="MNU9" s="17"/>
      <c r="MNV9" s="17"/>
      <c r="MNW9" s="17"/>
      <c r="MNX9" s="17"/>
      <c r="MNY9" s="17"/>
      <c r="MNZ9" s="17"/>
      <c r="MOA9" s="17"/>
      <c r="MOB9" s="17"/>
      <c r="MOC9" s="17"/>
      <c r="MOD9" s="17"/>
      <c r="MOE9" s="17"/>
      <c r="MOF9" s="17"/>
      <c r="MOG9" s="17"/>
      <c r="MOH9" s="17"/>
      <c r="MOI9" s="17"/>
      <c r="MOJ9" s="17"/>
      <c r="MOK9" s="17"/>
      <c r="MOL9" s="17"/>
      <c r="MOM9" s="17"/>
      <c r="MON9" s="17"/>
      <c r="MOO9" s="17"/>
      <c r="MOP9" s="17"/>
      <c r="MOQ9" s="17"/>
      <c r="MOR9" s="17"/>
      <c r="MOS9" s="17"/>
      <c r="MOT9" s="17"/>
      <c r="MOU9" s="17"/>
      <c r="MOV9" s="17"/>
      <c r="MOW9" s="17"/>
      <c r="MOX9" s="17"/>
      <c r="MOY9" s="17"/>
      <c r="MOZ9" s="17"/>
      <c r="MPA9" s="17"/>
      <c r="MPB9" s="17"/>
      <c r="MPC9" s="17"/>
      <c r="MPD9" s="17"/>
      <c r="MPE9" s="17"/>
      <c r="MPF9" s="17"/>
      <c r="MPG9" s="17"/>
      <c r="MPH9" s="17"/>
      <c r="MPI9" s="17"/>
      <c r="MPJ9" s="17"/>
      <c r="MPK9" s="17"/>
      <c r="MPL9" s="17"/>
      <c r="MPM9" s="17"/>
      <c r="MPN9" s="17"/>
      <c r="MPO9" s="17"/>
      <c r="MPP9" s="17"/>
      <c r="MPQ9" s="17"/>
      <c r="MPR9" s="17"/>
      <c r="MPS9" s="17"/>
      <c r="MPT9" s="17"/>
      <c r="MPU9" s="17"/>
      <c r="MPV9" s="17"/>
      <c r="MPW9" s="17"/>
      <c r="MPX9" s="17"/>
      <c r="MPY9" s="17"/>
      <c r="MPZ9" s="17"/>
      <c r="MQA9" s="17"/>
      <c r="MQB9" s="17"/>
      <c r="MQC9" s="17"/>
      <c r="MQD9" s="17"/>
      <c r="MQE9" s="17"/>
      <c r="MQF9" s="17"/>
      <c r="MQG9" s="17"/>
      <c r="MQH9" s="17"/>
      <c r="MQI9" s="17"/>
      <c r="MQJ9" s="17"/>
      <c r="MQK9" s="17"/>
      <c r="MQL9" s="17"/>
      <c r="MQM9" s="17"/>
      <c r="MQN9" s="17"/>
      <c r="MQO9" s="17"/>
      <c r="MQP9" s="17"/>
      <c r="MQQ9" s="17"/>
      <c r="MQR9" s="17"/>
      <c r="MQS9" s="17"/>
      <c r="MQT9" s="17"/>
      <c r="MQU9" s="17"/>
      <c r="MQV9" s="17"/>
      <c r="MQW9" s="17"/>
      <c r="MQX9" s="17"/>
      <c r="MQY9" s="17"/>
      <c r="MQZ9" s="17"/>
      <c r="MRA9" s="17"/>
      <c r="MRB9" s="17"/>
      <c r="MRC9" s="17"/>
      <c r="MRD9" s="17"/>
      <c r="MRE9" s="17"/>
      <c r="MRF9" s="17"/>
      <c r="MRG9" s="17"/>
      <c r="MRH9" s="17"/>
      <c r="MRI9" s="17"/>
      <c r="MRJ9" s="17"/>
      <c r="MRK9" s="17"/>
      <c r="MRL9" s="17"/>
      <c r="MRM9" s="17"/>
      <c r="MRN9" s="17"/>
      <c r="MRO9" s="17"/>
      <c r="MRP9" s="17"/>
      <c r="MRQ9" s="17"/>
      <c r="MRR9" s="17"/>
      <c r="MRS9" s="17"/>
      <c r="MRT9" s="17"/>
      <c r="MRU9" s="17"/>
      <c r="MRV9" s="17"/>
      <c r="MRW9" s="17"/>
      <c r="MRX9" s="17"/>
      <c r="MRY9" s="17"/>
      <c r="MRZ9" s="17"/>
      <c r="MSA9" s="17"/>
      <c r="MSB9" s="17"/>
      <c r="MSC9" s="17"/>
      <c r="MSD9" s="17"/>
      <c r="MSE9" s="17"/>
      <c r="MSF9" s="17"/>
      <c r="MSG9" s="17"/>
      <c r="MSH9" s="17"/>
      <c r="MSI9" s="17"/>
      <c r="MSJ9" s="17"/>
      <c r="MSK9" s="17"/>
      <c r="MSL9" s="17"/>
      <c r="MSM9" s="17"/>
      <c r="MSN9" s="17"/>
      <c r="MSO9" s="17"/>
      <c r="MSP9" s="17"/>
      <c r="MSQ9" s="17"/>
      <c r="MSR9" s="17"/>
      <c r="MSS9" s="17"/>
      <c r="MST9" s="17"/>
      <c r="MSU9" s="17"/>
      <c r="MSV9" s="17"/>
      <c r="MSW9" s="17"/>
      <c r="MSX9" s="17"/>
      <c r="MSY9" s="17"/>
      <c r="MSZ9" s="17"/>
      <c r="MTA9" s="17"/>
      <c r="MTB9" s="17"/>
      <c r="MTC9" s="17"/>
      <c r="MTD9" s="17"/>
      <c r="MTE9" s="17"/>
      <c r="MTF9" s="17"/>
      <c r="MTG9" s="17"/>
      <c r="MTH9" s="17"/>
      <c r="MTI9" s="17"/>
      <c r="MTJ9" s="17"/>
      <c r="MTK9" s="17"/>
      <c r="MTL9" s="17"/>
      <c r="MTM9" s="17"/>
      <c r="MTN9" s="17"/>
      <c r="MTO9" s="17"/>
      <c r="MTP9" s="17"/>
      <c r="MTQ9" s="17"/>
      <c r="MTR9" s="17"/>
      <c r="MTS9" s="17"/>
      <c r="MTT9" s="17"/>
      <c r="MTU9" s="17"/>
      <c r="MTV9" s="17"/>
      <c r="MTW9" s="17"/>
      <c r="MTX9" s="17"/>
      <c r="MTY9" s="17"/>
      <c r="MTZ9" s="17"/>
      <c r="MUA9" s="17"/>
      <c r="MUB9" s="17"/>
      <c r="MUC9" s="17"/>
      <c r="MUD9" s="17"/>
      <c r="MUE9" s="17"/>
      <c r="MUF9" s="17"/>
      <c r="MUG9" s="17"/>
      <c r="MUH9" s="17"/>
      <c r="MUI9" s="17"/>
      <c r="MUJ9" s="17"/>
      <c r="MUK9" s="17"/>
      <c r="MUL9" s="17"/>
      <c r="MUM9" s="17"/>
      <c r="MUN9" s="17"/>
      <c r="MUO9" s="17"/>
      <c r="MUP9" s="17"/>
      <c r="MUQ9" s="17"/>
      <c r="MUR9" s="17"/>
      <c r="MUS9" s="17"/>
      <c r="MUT9" s="17"/>
      <c r="MUU9" s="17"/>
      <c r="MUV9" s="17"/>
      <c r="MUW9" s="17"/>
      <c r="MUX9" s="17"/>
      <c r="MUY9" s="17"/>
      <c r="MUZ9" s="17"/>
      <c r="MVA9" s="17"/>
      <c r="MVB9" s="17"/>
      <c r="MVC9" s="17"/>
      <c r="MVD9" s="17"/>
      <c r="MVE9" s="17"/>
      <c r="MVF9" s="17"/>
      <c r="MVG9" s="17"/>
      <c r="MVH9" s="17"/>
      <c r="MVI9" s="17"/>
      <c r="MVJ9" s="17"/>
      <c r="MVK9" s="17"/>
      <c r="MVL9" s="17"/>
      <c r="MVM9" s="17"/>
      <c r="MVN9" s="17"/>
      <c r="MVO9" s="17"/>
      <c r="MVP9" s="17"/>
      <c r="MVQ9" s="17"/>
      <c r="MVR9" s="17"/>
      <c r="MVS9" s="17"/>
      <c r="MVT9" s="17"/>
      <c r="MVU9" s="17"/>
      <c r="MVV9" s="17"/>
      <c r="MVW9" s="17"/>
      <c r="MVX9" s="17"/>
      <c r="MVY9" s="17"/>
      <c r="MVZ9" s="17"/>
      <c r="MWA9" s="17"/>
      <c r="MWB9" s="17"/>
      <c r="MWC9" s="17"/>
      <c r="MWD9" s="17"/>
      <c r="MWE9" s="17"/>
      <c r="MWF9" s="17"/>
      <c r="MWG9" s="17"/>
      <c r="MWH9" s="17"/>
      <c r="MWI9" s="17"/>
      <c r="MWJ9" s="17"/>
      <c r="MWK9" s="17"/>
      <c r="MWL9" s="17"/>
      <c r="MWM9" s="17"/>
      <c r="MWN9" s="17"/>
      <c r="MWO9" s="17"/>
      <c r="MWP9" s="17"/>
      <c r="MWQ9" s="17"/>
      <c r="MWR9" s="17"/>
      <c r="MWS9" s="17"/>
      <c r="MWT9" s="17"/>
      <c r="MWU9" s="17"/>
      <c r="MWV9" s="17"/>
      <c r="MWW9" s="17"/>
      <c r="MWX9" s="17"/>
      <c r="MWY9" s="17"/>
      <c r="MWZ9" s="17"/>
      <c r="MXA9" s="17"/>
      <c r="MXB9" s="17"/>
      <c r="MXC9" s="17"/>
      <c r="MXD9" s="17"/>
      <c r="MXE9" s="17"/>
      <c r="MXF9" s="17"/>
      <c r="MXG9" s="17"/>
      <c r="MXH9" s="17"/>
      <c r="MXI9" s="17"/>
      <c r="MXJ9" s="17"/>
      <c r="MXK9" s="17"/>
      <c r="MXL9" s="17"/>
      <c r="MXM9" s="17"/>
      <c r="MXN9" s="17"/>
      <c r="MXO9" s="17"/>
      <c r="MXP9" s="17"/>
      <c r="MXQ9" s="17"/>
      <c r="MXR9" s="17"/>
      <c r="MXS9" s="17"/>
      <c r="MXT9" s="17"/>
      <c r="MXU9" s="17"/>
      <c r="MXV9" s="17"/>
      <c r="MXW9" s="17"/>
      <c r="MXX9" s="17"/>
      <c r="MXY9" s="17"/>
      <c r="MXZ9" s="17"/>
      <c r="MYA9" s="17"/>
      <c r="MYB9" s="17"/>
      <c r="MYC9" s="17"/>
      <c r="MYD9" s="17"/>
      <c r="MYE9" s="17"/>
      <c r="MYF9" s="17"/>
      <c r="MYG9" s="17"/>
      <c r="MYH9" s="17"/>
      <c r="MYI9" s="17"/>
      <c r="MYJ9" s="17"/>
      <c r="MYK9" s="17"/>
      <c r="MYL9" s="17"/>
      <c r="MYM9" s="17"/>
      <c r="MYN9" s="17"/>
      <c r="MYO9" s="17"/>
      <c r="MYP9" s="17"/>
      <c r="MYQ9" s="17"/>
      <c r="MYR9" s="17"/>
      <c r="MYS9" s="17"/>
      <c r="MYT9" s="17"/>
      <c r="MYU9" s="17"/>
      <c r="MYV9" s="17"/>
      <c r="MYW9" s="17"/>
      <c r="MYX9" s="17"/>
      <c r="MYY9" s="17"/>
      <c r="MYZ9" s="17"/>
      <c r="MZA9" s="17"/>
      <c r="MZB9" s="17"/>
      <c r="MZC9" s="17"/>
      <c r="MZD9" s="17"/>
      <c r="MZE9" s="17"/>
      <c r="MZF9" s="17"/>
      <c r="MZG9" s="17"/>
      <c r="MZH9" s="17"/>
      <c r="MZI9" s="17"/>
      <c r="MZJ9" s="17"/>
      <c r="MZK9" s="17"/>
      <c r="MZL9" s="17"/>
      <c r="MZM9" s="17"/>
      <c r="MZN9" s="17"/>
      <c r="MZO9" s="17"/>
      <c r="MZP9" s="17"/>
      <c r="MZQ9" s="17"/>
      <c r="MZR9" s="17"/>
      <c r="MZS9" s="17"/>
      <c r="MZT9" s="17"/>
      <c r="MZU9" s="17"/>
      <c r="MZV9" s="17"/>
      <c r="MZW9" s="17"/>
      <c r="MZX9" s="17"/>
      <c r="MZY9" s="17"/>
      <c r="MZZ9" s="17"/>
      <c r="NAA9" s="17"/>
      <c r="NAB9" s="17"/>
      <c r="NAC9" s="17"/>
      <c r="NAD9" s="17"/>
      <c r="NAE9" s="17"/>
      <c r="NAF9" s="17"/>
      <c r="NAG9" s="17"/>
      <c r="NAH9" s="17"/>
      <c r="NAI9" s="17"/>
      <c r="NAJ9" s="17"/>
      <c r="NAK9" s="17"/>
      <c r="NAL9" s="17"/>
      <c r="NAM9" s="17"/>
      <c r="NAN9" s="17"/>
      <c r="NAO9" s="17"/>
      <c r="NAP9" s="17"/>
      <c r="NAQ9" s="17"/>
      <c r="NAR9" s="17"/>
      <c r="NAS9" s="17"/>
      <c r="NAT9" s="17"/>
      <c r="NAU9" s="17"/>
      <c r="NAV9" s="17"/>
      <c r="NAW9" s="17"/>
      <c r="NAX9" s="17"/>
      <c r="NAY9" s="17"/>
      <c r="NAZ9" s="17"/>
      <c r="NBA9" s="17"/>
      <c r="NBB9" s="17"/>
      <c r="NBC9" s="17"/>
      <c r="NBD9" s="17"/>
      <c r="NBE9" s="17"/>
      <c r="NBF9" s="17"/>
      <c r="NBG9" s="17"/>
      <c r="NBH9" s="17"/>
      <c r="NBI9" s="17"/>
      <c r="NBJ9" s="17"/>
      <c r="NBK9" s="17"/>
      <c r="NBL9" s="17"/>
      <c r="NBM9" s="17"/>
      <c r="NBN9" s="17"/>
      <c r="NBO9" s="17"/>
      <c r="NBP9" s="17"/>
      <c r="NBQ9" s="17"/>
      <c r="NBR9" s="17"/>
      <c r="NBS9" s="17"/>
      <c r="NBT9" s="17"/>
      <c r="NBU9" s="17"/>
      <c r="NBV9" s="17"/>
      <c r="NBW9" s="17"/>
      <c r="NBX9" s="17"/>
      <c r="NBY9" s="17"/>
      <c r="NBZ9" s="17"/>
      <c r="NCA9" s="17"/>
      <c r="NCB9" s="17"/>
      <c r="NCC9" s="17"/>
      <c r="NCD9" s="17"/>
      <c r="NCE9" s="17"/>
      <c r="NCF9" s="17"/>
      <c r="NCG9" s="17"/>
      <c r="NCH9" s="17"/>
      <c r="NCI9" s="17"/>
      <c r="NCJ9" s="17"/>
      <c r="NCK9" s="17"/>
      <c r="NCL9" s="17"/>
      <c r="NCM9" s="17"/>
      <c r="NCN9" s="17"/>
      <c r="NCO9" s="17"/>
      <c r="NCP9" s="17"/>
      <c r="NCQ9" s="17"/>
      <c r="NCR9" s="17"/>
      <c r="NCS9" s="17"/>
      <c r="NCT9" s="17"/>
      <c r="NCU9" s="17"/>
      <c r="NCV9" s="17"/>
      <c r="NCW9" s="17"/>
      <c r="NCX9" s="17"/>
      <c r="NCY9" s="17"/>
      <c r="NCZ9" s="17"/>
      <c r="NDA9" s="17"/>
      <c r="NDB9" s="17"/>
      <c r="NDC9" s="17"/>
      <c r="NDD9" s="17"/>
      <c r="NDE9" s="17"/>
      <c r="NDF9" s="17"/>
      <c r="NDG9" s="17"/>
      <c r="NDH9" s="17"/>
      <c r="NDI9" s="17"/>
      <c r="NDJ9" s="17"/>
      <c r="NDK9" s="17"/>
      <c r="NDL9" s="17"/>
      <c r="NDM9" s="17"/>
      <c r="NDN9" s="17"/>
      <c r="NDO9" s="17"/>
      <c r="NDP9" s="17"/>
      <c r="NDQ9" s="17"/>
      <c r="NDR9" s="17"/>
      <c r="NDS9" s="17"/>
      <c r="NDT9" s="17"/>
      <c r="NDU9" s="17"/>
      <c r="NDV9" s="17"/>
      <c r="NDW9" s="17"/>
      <c r="NDX9" s="17"/>
      <c r="NDY9" s="17"/>
      <c r="NDZ9" s="17"/>
      <c r="NEA9" s="17"/>
      <c r="NEB9" s="17"/>
      <c r="NEC9" s="17"/>
      <c r="NED9" s="17"/>
      <c r="NEE9" s="17"/>
      <c r="NEF9" s="17"/>
      <c r="NEG9" s="17"/>
      <c r="NEH9" s="17"/>
      <c r="NEI9" s="17"/>
      <c r="NEJ9" s="17"/>
      <c r="NEK9" s="17"/>
      <c r="NEL9" s="17"/>
      <c r="NEM9" s="17"/>
      <c r="NEN9" s="17"/>
      <c r="NEO9" s="17"/>
      <c r="NEP9" s="17"/>
      <c r="NEQ9" s="17"/>
      <c r="NER9" s="17"/>
      <c r="NES9" s="17"/>
      <c r="NET9" s="17"/>
      <c r="NEU9" s="17"/>
      <c r="NEV9" s="17"/>
      <c r="NEW9" s="17"/>
      <c r="NEX9" s="17"/>
      <c r="NEY9" s="17"/>
      <c r="NEZ9" s="17"/>
      <c r="NFA9" s="17"/>
      <c r="NFB9" s="17"/>
      <c r="NFC9" s="17"/>
      <c r="NFD9" s="17"/>
      <c r="NFE9" s="17"/>
      <c r="NFF9" s="17"/>
      <c r="NFG9" s="17"/>
      <c r="NFH9" s="17"/>
      <c r="NFI9" s="17"/>
      <c r="NFJ9" s="17"/>
      <c r="NFK9" s="17"/>
      <c r="NFL9" s="17"/>
      <c r="NFM9" s="17"/>
      <c r="NFN9" s="17"/>
      <c r="NFO9" s="17"/>
      <c r="NFP9" s="17"/>
      <c r="NFQ9" s="17"/>
      <c r="NFR9" s="17"/>
      <c r="NFS9" s="17"/>
      <c r="NFT9" s="17"/>
      <c r="NFU9" s="17"/>
      <c r="NFV9" s="17"/>
      <c r="NFW9" s="17"/>
      <c r="NFX9" s="17"/>
      <c r="NFY9" s="17"/>
      <c r="NFZ9" s="17"/>
      <c r="NGA9" s="17"/>
      <c r="NGB9" s="17"/>
      <c r="NGC9" s="17"/>
      <c r="NGD9" s="17"/>
      <c r="NGE9" s="17"/>
      <c r="NGF9" s="17"/>
      <c r="NGG9" s="17"/>
      <c r="NGH9" s="17"/>
      <c r="NGI9" s="17"/>
      <c r="NGJ9" s="17"/>
      <c r="NGK9" s="17"/>
      <c r="NGL9" s="17"/>
      <c r="NGM9" s="17"/>
      <c r="NGN9" s="17"/>
      <c r="NGO9" s="17"/>
      <c r="NGP9" s="17"/>
      <c r="NGQ9" s="17"/>
      <c r="NGR9" s="17"/>
      <c r="NGS9" s="17"/>
      <c r="NGT9" s="17"/>
      <c r="NGU9" s="17"/>
      <c r="NGV9" s="17"/>
      <c r="NGW9" s="17"/>
      <c r="NGX9" s="17"/>
      <c r="NGY9" s="17"/>
      <c r="NGZ9" s="17"/>
      <c r="NHA9" s="17"/>
      <c r="NHB9" s="17"/>
      <c r="NHC9" s="17"/>
      <c r="NHD9" s="17"/>
      <c r="NHE9" s="17"/>
      <c r="NHF9" s="17"/>
      <c r="NHG9" s="17"/>
      <c r="NHH9" s="17"/>
      <c r="NHI9" s="17"/>
      <c r="NHJ9" s="17"/>
      <c r="NHK9" s="17"/>
      <c r="NHL9" s="17"/>
      <c r="NHM9" s="17"/>
      <c r="NHN9" s="17"/>
      <c r="NHO9" s="17"/>
      <c r="NHP9" s="17"/>
      <c r="NHQ9" s="17"/>
      <c r="NHR9" s="17"/>
      <c r="NHS9" s="17"/>
      <c r="NHT9" s="17"/>
      <c r="NHU9" s="17"/>
      <c r="NHV9" s="17"/>
      <c r="NHW9" s="17"/>
      <c r="NHX9" s="17"/>
      <c r="NHY9" s="17"/>
      <c r="NHZ9" s="17"/>
      <c r="NIA9" s="17"/>
      <c r="NIB9" s="17"/>
      <c r="NIC9" s="17"/>
      <c r="NID9" s="17"/>
      <c r="NIE9" s="17"/>
      <c r="NIF9" s="17"/>
      <c r="NIG9" s="17"/>
      <c r="NIH9" s="17"/>
      <c r="NII9" s="17"/>
      <c r="NIJ9" s="17"/>
      <c r="NIK9" s="17"/>
      <c r="NIL9" s="17"/>
      <c r="NIM9" s="17"/>
      <c r="NIN9" s="17"/>
      <c r="NIO9" s="17"/>
      <c r="NIP9" s="17"/>
      <c r="NIQ9" s="17"/>
      <c r="NIR9" s="17"/>
      <c r="NIS9" s="17"/>
      <c r="NIT9" s="17"/>
      <c r="NIU9" s="17"/>
      <c r="NIV9" s="17"/>
      <c r="NIW9" s="17"/>
      <c r="NIX9" s="17"/>
      <c r="NIY9" s="17"/>
      <c r="NIZ9" s="17"/>
      <c r="NJA9" s="17"/>
      <c r="NJB9" s="17"/>
      <c r="NJC9" s="17"/>
      <c r="NJD9" s="17"/>
      <c r="NJE9" s="17"/>
      <c r="NJF9" s="17"/>
      <c r="NJG9" s="17"/>
      <c r="NJH9" s="17"/>
      <c r="NJI9" s="17"/>
      <c r="NJJ9" s="17"/>
      <c r="NJK9" s="17"/>
      <c r="NJL9" s="17"/>
      <c r="NJM9" s="17"/>
      <c r="NJN9" s="17"/>
      <c r="NJO9" s="17"/>
      <c r="NJP9" s="17"/>
      <c r="NJQ9" s="17"/>
      <c r="NJR9" s="17"/>
      <c r="NJS9" s="17"/>
      <c r="NJT9" s="17"/>
      <c r="NJU9" s="17"/>
      <c r="NJV9" s="17"/>
      <c r="NJW9" s="17"/>
      <c r="NJX9" s="17"/>
      <c r="NJY9" s="17"/>
      <c r="NJZ9" s="17"/>
      <c r="NKA9" s="17"/>
      <c r="NKB9" s="17"/>
      <c r="NKC9" s="17"/>
      <c r="NKD9" s="17"/>
      <c r="NKE9" s="17"/>
      <c r="NKF9" s="17"/>
      <c r="NKG9" s="17"/>
      <c r="NKH9" s="17"/>
      <c r="NKI9" s="17"/>
      <c r="NKJ9" s="17"/>
      <c r="NKK9" s="17"/>
      <c r="NKL9" s="17"/>
      <c r="NKM9" s="17"/>
      <c r="NKN9" s="17"/>
      <c r="NKO9" s="17"/>
      <c r="NKP9" s="17"/>
      <c r="NKQ9" s="17"/>
      <c r="NKR9" s="17"/>
      <c r="NKS9" s="17"/>
      <c r="NKT9" s="17"/>
      <c r="NKU9" s="17"/>
      <c r="NKV9" s="17"/>
      <c r="NKW9" s="17"/>
      <c r="NKX9" s="17"/>
      <c r="NKY9" s="17"/>
      <c r="NKZ9" s="17"/>
      <c r="NLA9" s="17"/>
      <c r="NLB9" s="17"/>
      <c r="NLC9" s="17"/>
      <c r="NLD9" s="17"/>
      <c r="NLE9" s="17"/>
      <c r="NLF9" s="17"/>
      <c r="NLG9" s="17"/>
      <c r="NLH9" s="17"/>
      <c r="NLI9" s="17"/>
      <c r="NLJ9" s="17"/>
      <c r="NLK9" s="17"/>
      <c r="NLL9" s="17"/>
      <c r="NLM9" s="17"/>
      <c r="NLN9" s="17"/>
      <c r="NLO9" s="17"/>
      <c r="NLP9" s="17"/>
      <c r="NLQ9" s="17"/>
      <c r="NLR9" s="17"/>
      <c r="NLS9" s="17"/>
      <c r="NLT9" s="17"/>
      <c r="NLU9" s="17"/>
      <c r="NLV9" s="17"/>
      <c r="NLW9" s="17"/>
      <c r="NLX9" s="17"/>
      <c r="NLY9" s="17"/>
      <c r="NLZ9" s="17"/>
      <c r="NMA9" s="17"/>
      <c r="NMB9" s="17"/>
      <c r="NMC9" s="17"/>
      <c r="NMD9" s="17"/>
      <c r="NME9" s="17"/>
      <c r="NMF9" s="17"/>
      <c r="NMG9" s="17"/>
      <c r="NMH9" s="17"/>
      <c r="NMI9" s="17"/>
      <c r="NMJ9" s="17"/>
      <c r="NMK9" s="17"/>
      <c r="NML9" s="17"/>
      <c r="NMM9" s="17"/>
      <c r="NMN9" s="17"/>
      <c r="NMO9" s="17"/>
      <c r="NMP9" s="17"/>
      <c r="NMQ9" s="17"/>
      <c r="NMR9" s="17"/>
      <c r="NMS9" s="17"/>
      <c r="NMT9" s="17"/>
      <c r="NMU9" s="17"/>
      <c r="NMV9" s="17"/>
      <c r="NMW9" s="17"/>
      <c r="NMX9" s="17"/>
      <c r="NMY9" s="17"/>
      <c r="NMZ9" s="17"/>
      <c r="NNA9" s="17"/>
      <c r="NNB9" s="17"/>
      <c r="NNC9" s="17"/>
      <c r="NND9" s="17"/>
      <c r="NNE9" s="17"/>
      <c r="NNF9" s="17"/>
      <c r="NNG9" s="17"/>
      <c r="NNH9" s="17"/>
      <c r="NNI9" s="17"/>
      <c r="NNJ9" s="17"/>
      <c r="NNK9" s="17"/>
      <c r="NNL9" s="17"/>
      <c r="NNM9" s="17"/>
      <c r="NNN9" s="17"/>
      <c r="NNO9" s="17"/>
      <c r="NNP9" s="17"/>
      <c r="NNQ9" s="17"/>
      <c r="NNR9" s="17"/>
      <c r="NNS9" s="17"/>
      <c r="NNT9" s="17"/>
      <c r="NNU9" s="17"/>
      <c r="NNV9" s="17"/>
      <c r="NNW9" s="17"/>
      <c r="NNX9" s="17"/>
      <c r="NNY9" s="17"/>
      <c r="NNZ9" s="17"/>
      <c r="NOA9" s="17"/>
      <c r="NOB9" s="17"/>
      <c r="NOC9" s="17"/>
      <c r="NOD9" s="17"/>
      <c r="NOE9" s="17"/>
      <c r="NOF9" s="17"/>
      <c r="NOG9" s="17"/>
      <c r="NOH9" s="17"/>
      <c r="NOI9" s="17"/>
      <c r="NOJ9" s="17"/>
      <c r="NOK9" s="17"/>
      <c r="NOL9" s="17"/>
      <c r="NOM9" s="17"/>
      <c r="NON9" s="17"/>
      <c r="NOO9" s="17"/>
      <c r="NOP9" s="17"/>
      <c r="NOQ9" s="17"/>
      <c r="NOR9" s="17"/>
      <c r="NOS9" s="17"/>
      <c r="NOT9" s="17"/>
      <c r="NOU9" s="17"/>
      <c r="NOV9" s="17"/>
      <c r="NOW9" s="17"/>
      <c r="NOX9" s="17"/>
      <c r="NOY9" s="17"/>
      <c r="NOZ9" s="17"/>
      <c r="NPA9" s="17"/>
      <c r="NPB9" s="17"/>
      <c r="NPC9" s="17"/>
      <c r="NPD9" s="17"/>
      <c r="NPE9" s="17"/>
      <c r="NPF9" s="17"/>
      <c r="NPG9" s="17"/>
      <c r="NPH9" s="17"/>
      <c r="NPI9" s="17"/>
      <c r="NPJ9" s="17"/>
      <c r="NPK9" s="17"/>
      <c r="NPL9" s="17"/>
      <c r="NPM9" s="17"/>
      <c r="NPN9" s="17"/>
      <c r="NPO9" s="17"/>
      <c r="NPP9" s="17"/>
      <c r="NPQ9" s="17"/>
      <c r="NPR9" s="17"/>
      <c r="NPS9" s="17"/>
      <c r="NPT9" s="17"/>
      <c r="NPU9" s="17"/>
      <c r="NPV9" s="17"/>
      <c r="NPW9" s="17"/>
      <c r="NPX9" s="17"/>
      <c r="NPY9" s="17"/>
      <c r="NPZ9" s="17"/>
      <c r="NQA9" s="17"/>
      <c r="NQB9" s="17"/>
      <c r="NQC9" s="17"/>
      <c r="NQD9" s="17"/>
      <c r="NQE9" s="17"/>
      <c r="NQF9" s="17"/>
      <c r="NQG9" s="17"/>
      <c r="NQH9" s="17"/>
      <c r="NQI9" s="17"/>
      <c r="NQJ9" s="17"/>
      <c r="NQK9" s="17"/>
      <c r="NQL9" s="17"/>
      <c r="NQM9" s="17"/>
      <c r="NQN9" s="17"/>
      <c r="NQO9" s="17"/>
      <c r="NQP9" s="17"/>
      <c r="NQQ9" s="17"/>
      <c r="NQR9" s="17"/>
      <c r="NQS9" s="17"/>
      <c r="NQT9" s="17"/>
      <c r="NQU9" s="17"/>
      <c r="NQV9" s="17"/>
      <c r="NQW9" s="17"/>
      <c r="NQX9" s="17"/>
      <c r="NQY9" s="17"/>
      <c r="NQZ9" s="17"/>
      <c r="NRA9" s="17"/>
      <c r="NRB9" s="17"/>
      <c r="NRC9" s="17"/>
      <c r="NRD9" s="17"/>
      <c r="NRE9" s="17"/>
      <c r="NRF9" s="17"/>
      <c r="NRG9" s="17"/>
      <c r="NRH9" s="17"/>
      <c r="NRI9" s="17"/>
      <c r="NRJ9" s="17"/>
      <c r="NRK9" s="17"/>
      <c r="NRL9" s="17"/>
      <c r="NRM9" s="17"/>
      <c r="NRN9" s="17"/>
      <c r="NRO9" s="17"/>
      <c r="NRP9" s="17"/>
      <c r="NRQ9" s="17"/>
      <c r="NRR9" s="17"/>
      <c r="NRS9" s="17"/>
      <c r="NRT9" s="17"/>
      <c r="NRU9" s="17"/>
      <c r="NRV9" s="17"/>
      <c r="NRW9" s="17"/>
      <c r="NRX9" s="17"/>
      <c r="NRY9" s="17"/>
      <c r="NRZ9" s="17"/>
      <c r="NSA9" s="17"/>
      <c r="NSB9" s="17"/>
      <c r="NSC9" s="17"/>
      <c r="NSD9" s="17"/>
      <c r="NSE9" s="17"/>
      <c r="NSF9" s="17"/>
      <c r="NSG9" s="17"/>
      <c r="NSH9" s="17"/>
      <c r="NSI9" s="17"/>
      <c r="NSJ9" s="17"/>
      <c r="NSK9" s="17"/>
      <c r="NSL9" s="17"/>
      <c r="NSM9" s="17"/>
      <c r="NSN9" s="17"/>
      <c r="NSO9" s="17"/>
      <c r="NSP9" s="17"/>
      <c r="NSQ9" s="17"/>
      <c r="NSR9" s="17"/>
      <c r="NSS9" s="17"/>
      <c r="NST9" s="17"/>
      <c r="NSU9" s="17"/>
      <c r="NSV9" s="17"/>
      <c r="NSW9" s="17"/>
      <c r="NSX9" s="17"/>
      <c r="NSY9" s="17"/>
      <c r="NSZ9" s="17"/>
      <c r="NTA9" s="17"/>
      <c r="NTB9" s="17"/>
      <c r="NTC9" s="17"/>
      <c r="NTD9" s="17"/>
      <c r="NTE9" s="17"/>
      <c r="NTF9" s="17"/>
      <c r="NTG9" s="17"/>
      <c r="NTH9" s="17"/>
      <c r="NTI9" s="17"/>
      <c r="NTJ9" s="17"/>
      <c r="NTK9" s="17"/>
      <c r="NTL9" s="17"/>
      <c r="NTM9" s="17"/>
      <c r="NTN9" s="17"/>
      <c r="NTO9" s="17"/>
      <c r="NTP9" s="17"/>
      <c r="NTQ9" s="17"/>
      <c r="NTR9" s="17"/>
      <c r="NTS9" s="17"/>
      <c r="NTT9" s="17"/>
      <c r="NTU9" s="17"/>
      <c r="NTV9" s="17"/>
      <c r="NTW9" s="17"/>
      <c r="NTX9" s="17"/>
      <c r="NTY9" s="17"/>
      <c r="NTZ9" s="17"/>
      <c r="NUA9" s="17"/>
      <c r="NUB9" s="17"/>
      <c r="NUC9" s="17"/>
      <c r="NUD9" s="17"/>
      <c r="NUE9" s="17"/>
      <c r="NUF9" s="17"/>
      <c r="NUG9" s="17"/>
      <c r="NUH9" s="17"/>
      <c r="NUI9" s="17"/>
      <c r="NUJ9" s="17"/>
      <c r="NUK9" s="17"/>
      <c r="NUL9" s="17"/>
      <c r="NUM9" s="17"/>
      <c r="NUN9" s="17"/>
      <c r="NUO9" s="17"/>
      <c r="NUP9" s="17"/>
      <c r="NUQ9" s="17"/>
      <c r="NUR9" s="17"/>
      <c r="NUS9" s="17"/>
      <c r="NUT9" s="17"/>
      <c r="NUU9" s="17"/>
      <c r="NUV9" s="17"/>
      <c r="NUW9" s="17"/>
      <c r="NUX9" s="17"/>
      <c r="NUY9" s="17"/>
      <c r="NUZ9" s="17"/>
      <c r="NVA9" s="17"/>
      <c r="NVB9" s="17"/>
      <c r="NVC9" s="17"/>
      <c r="NVD9" s="17"/>
      <c r="NVE9" s="17"/>
      <c r="NVF9" s="17"/>
      <c r="NVG9" s="17"/>
      <c r="NVH9" s="17"/>
      <c r="NVI9" s="17"/>
      <c r="NVJ9" s="17"/>
      <c r="NVK9" s="17"/>
      <c r="NVL9" s="17"/>
      <c r="NVM9" s="17"/>
      <c r="NVN9" s="17"/>
      <c r="NVO9" s="17"/>
      <c r="NVP9" s="17"/>
      <c r="NVQ9" s="17"/>
      <c r="NVR9" s="17"/>
      <c r="NVS9" s="17"/>
      <c r="NVT9" s="17"/>
      <c r="NVU9" s="17"/>
      <c r="NVV9" s="17"/>
      <c r="NVW9" s="17"/>
      <c r="NVX9" s="17"/>
      <c r="NVY9" s="17"/>
      <c r="NVZ9" s="17"/>
      <c r="NWA9" s="17"/>
      <c r="NWB9" s="17"/>
      <c r="NWC9" s="17"/>
      <c r="NWD9" s="17"/>
      <c r="NWE9" s="17"/>
      <c r="NWF9" s="17"/>
      <c r="NWG9" s="17"/>
      <c r="NWH9" s="17"/>
      <c r="NWI9" s="17"/>
      <c r="NWJ9" s="17"/>
      <c r="NWK9" s="17"/>
      <c r="NWL9" s="17"/>
      <c r="NWM9" s="17"/>
      <c r="NWN9" s="17"/>
      <c r="NWO9" s="17"/>
      <c r="NWP9" s="17"/>
      <c r="NWQ9" s="17"/>
      <c r="NWR9" s="17"/>
      <c r="NWS9" s="17"/>
      <c r="NWT9" s="17"/>
      <c r="NWU9" s="17"/>
      <c r="NWV9" s="17"/>
      <c r="NWW9" s="17"/>
      <c r="NWX9" s="17"/>
      <c r="NWY9" s="17"/>
      <c r="NWZ9" s="17"/>
      <c r="NXA9" s="17"/>
      <c r="NXB9" s="17"/>
      <c r="NXC9" s="17"/>
      <c r="NXD9" s="17"/>
      <c r="NXE9" s="17"/>
      <c r="NXF9" s="17"/>
      <c r="NXG9" s="17"/>
      <c r="NXH9" s="17"/>
      <c r="NXI9" s="17"/>
      <c r="NXJ9" s="17"/>
      <c r="NXK9" s="17"/>
      <c r="NXL9" s="17"/>
      <c r="NXM9" s="17"/>
      <c r="NXN9" s="17"/>
      <c r="NXO9" s="17"/>
      <c r="NXP9" s="17"/>
      <c r="NXQ9" s="17"/>
      <c r="NXR9" s="17"/>
      <c r="NXS9" s="17"/>
      <c r="NXT9" s="17"/>
      <c r="NXU9" s="17"/>
      <c r="NXV9" s="17"/>
      <c r="NXW9" s="17"/>
      <c r="NXX9" s="17"/>
      <c r="NXY9" s="17"/>
      <c r="NXZ9" s="17"/>
      <c r="NYA9" s="17"/>
      <c r="NYB9" s="17"/>
      <c r="NYC9" s="17"/>
      <c r="NYD9" s="17"/>
      <c r="NYE9" s="17"/>
      <c r="NYF9" s="17"/>
      <c r="NYG9" s="17"/>
      <c r="NYH9" s="17"/>
      <c r="NYI9" s="17"/>
      <c r="NYJ9" s="17"/>
      <c r="NYK9" s="17"/>
      <c r="NYL9" s="17"/>
      <c r="NYM9" s="17"/>
      <c r="NYN9" s="17"/>
      <c r="NYO9" s="17"/>
      <c r="NYP9" s="17"/>
      <c r="NYQ9" s="17"/>
      <c r="NYR9" s="17"/>
      <c r="NYS9" s="17"/>
      <c r="NYT9" s="17"/>
      <c r="NYU9" s="17"/>
      <c r="NYV9" s="17"/>
      <c r="NYW9" s="17"/>
      <c r="NYX9" s="17"/>
      <c r="NYY9" s="17"/>
      <c r="NYZ9" s="17"/>
      <c r="NZA9" s="17"/>
      <c r="NZB9" s="17"/>
      <c r="NZC9" s="17"/>
      <c r="NZD9" s="17"/>
      <c r="NZE9" s="17"/>
      <c r="NZF9" s="17"/>
      <c r="NZG9" s="17"/>
      <c r="NZH9" s="17"/>
      <c r="NZI9" s="17"/>
      <c r="NZJ9" s="17"/>
      <c r="NZK9" s="17"/>
      <c r="NZL9" s="17"/>
      <c r="NZM9" s="17"/>
      <c r="NZN9" s="17"/>
      <c r="NZO9" s="17"/>
      <c r="NZP9" s="17"/>
      <c r="NZQ9" s="17"/>
      <c r="NZR9" s="17"/>
      <c r="NZS9" s="17"/>
      <c r="NZT9" s="17"/>
      <c r="NZU9" s="17"/>
      <c r="NZV9" s="17"/>
      <c r="NZW9" s="17"/>
      <c r="NZX9" s="17"/>
      <c r="NZY9" s="17"/>
      <c r="NZZ9" s="17"/>
      <c r="OAA9" s="17"/>
      <c r="OAB9" s="17"/>
      <c r="OAC9" s="17"/>
      <c r="OAD9" s="17"/>
      <c r="OAE9" s="17"/>
      <c r="OAF9" s="17"/>
      <c r="OAG9" s="17"/>
      <c r="OAH9" s="17"/>
      <c r="OAI9" s="17"/>
      <c r="OAJ9" s="17"/>
      <c r="OAK9" s="17"/>
      <c r="OAL9" s="17"/>
      <c r="OAM9" s="17"/>
      <c r="OAN9" s="17"/>
      <c r="OAO9" s="17"/>
      <c r="OAP9" s="17"/>
      <c r="OAQ9" s="17"/>
      <c r="OAR9" s="17"/>
      <c r="OAS9" s="17"/>
      <c r="OAT9" s="17"/>
      <c r="OAU9" s="17"/>
      <c r="OAV9" s="17"/>
      <c r="OAW9" s="17"/>
      <c r="OAX9" s="17"/>
      <c r="OAY9" s="17"/>
      <c r="OAZ9" s="17"/>
      <c r="OBA9" s="17"/>
      <c r="OBB9" s="17"/>
      <c r="OBC9" s="17"/>
      <c r="OBD9" s="17"/>
      <c r="OBE9" s="17"/>
      <c r="OBF9" s="17"/>
      <c r="OBG9" s="17"/>
      <c r="OBH9" s="17"/>
      <c r="OBI9" s="17"/>
      <c r="OBJ9" s="17"/>
      <c r="OBK9" s="17"/>
      <c r="OBL9" s="17"/>
      <c r="OBM9" s="17"/>
      <c r="OBN9" s="17"/>
      <c r="OBO9" s="17"/>
      <c r="OBP9" s="17"/>
      <c r="OBQ9" s="17"/>
      <c r="OBR9" s="17"/>
      <c r="OBS9" s="17"/>
      <c r="OBT9" s="17"/>
      <c r="OBU9" s="17"/>
      <c r="OBV9" s="17"/>
      <c r="OBW9" s="17"/>
      <c r="OBX9" s="17"/>
      <c r="OBY9" s="17"/>
      <c r="OBZ9" s="17"/>
      <c r="OCA9" s="17"/>
      <c r="OCB9" s="17"/>
      <c r="OCC9" s="17"/>
      <c r="OCD9" s="17"/>
      <c r="OCE9" s="17"/>
      <c r="OCF9" s="17"/>
      <c r="OCG9" s="17"/>
      <c r="OCH9" s="17"/>
      <c r="OCI9" s="17"/>
      <c r="OCJ9" s="17"/>
      <c r="OCK9" s="17"/>
      <c r="OCL9" s="17"/>
      <c r="OCM9" s="17"/>
      <c r="OCN9" s="17"/>
      <c r="OCO9" s="17"/>
      <c r="OCP9" s="17"/>
      <c r="OCQ9" s="17"/>
      <c r="OCR9" s="17"/>
      <c r="OCS9" s="17"/>
      <c r="OCT9" s="17"/>
      <c r="OCU9" s="17"/>
      <c r="OCV9" s="17"/>
      <c r="OCW9" s="17"/>
      <c r="OCX9" s="17"/>
      <c r="OCY9" s="17"/>
      <c r="OCZ9" s="17"/>
      <c r="ODA9" s="17"/>
      <c r="ODB9" s="17"/>
      <c r="ODC9" s="17"/>
      <c r="ODD9" s="17"/>
      <c r="ODE9" s="17"/>
      <c r="ODF9" s="17"/>
      <c r="ODG9" s="17"/>
      <c r="ODH9" s="17"/>
      <c r="ODI9" s="17"/>
      <c r="ODJ9" s="17"/>
      <c r="ODK9" s="17"/>
      <c r="ODL9" s="17"/>
      <c r="ODM9" s="17"/>
      <c r="ODN9" s="17"/>
      <c r="ODO9" s="17"/>
      <c r="ODP9" s="17"/>
      <c r="ODQ9" s="17"/>
      <c r="ODR9" s="17"/>
      <c r="ODS9" s="17"/>
      <c r="ODT9" s="17"/>
      <c r="ODU9" s="17"/>
      <c r="ODV9" s="17"/>
      <c r="ODW9" s="17"/>
      <c r="ODX9" s="17"/>
      <c r="ODY9" s="17"/>
      <c r="ODZ9" s="17"/>
      <c r="OEA9" s="17"/>
      <c r="OEB9" s="17"/>
      <c r="OEC9" s="17"/>
      <c r="OED9" s="17"/>
      <c r="OEE9" s="17"/>
      <c r="OEF9" s="17"/>
      <c r="OEG9" s="17"/>
      <c r="OEH9" s="17"/>
      <c r="OEI9" s="17"/>
      <c r="OEJ9" s="17"/>
      <c r="OEK9" s="17"/>
      <c r="OEL9" s="17"/>
      <c r="OEM9" s="17"/>
      <c r="OEN9" s="17"/>
      <c r="OEO9" s="17"/>
      <c r="OEP9" s="17"/>
      <c r="OEQ9" s="17"/>
      <c r="OER9" s="17"/>
      <c r="OES9" s="17"/>
      <c r="OET9" s="17"/>
      <c r="OEU9" s="17"/>
      <c r="OEV9" s="17"/>
      <c r="OEW9" s="17"/>
      <c r="OEX9" s="17"/>
      <c r="OEY9" s="17"/>
      <c r="OEZ9" s="17"/>
      <c r="OFA9" s="17"/>
      <c r="OFB9" s="17"/>
      <c r="OFC9" s="17"/>
      <c r="OFD9" s="17"/>
      <c r="OFE9" s="17"/>
      <c r="OFF9" s="17"/>
      <c r="OFG9" s="17"/>
      <c r="OFH9" s="17"/>
      <c r="OFI9" s="17"/>
      <c r="OFJ9" s="17"/>
      <c r="OFK9" s="17"/>
      <c r="OFL9" s="17"/>
      <c r="OFM9" s="17"/>
      <c r="OFN9" s="17"/>
      <c r="OFO9" s="17"/>
      <c r="OFP9" s="17"/>
      <c r="OFQ9" s="17"/>
      <c r="OFR9" s="17"/>
      <c r="OFS9" s="17"/>
      <c r="OFT9" s="17"/>
      <c r="OFU9" s="17"/>
      <c r="OFV9" s="17"/>
      <c r="OFW9" s="17"/>
      <c r="OFX9" s="17"/>
      <c r="OFY9" s="17"/>
      <c r="OFZ9" s="17"/>
      <c r="OGA9" s="17"/>
      <c r="OGB9" s="17"/>
      <c r="OGC9" s="17"/>
      <c r="OGD9" s="17"/>
      <c r="OGE9" s="17"/>
      <c r="OGF9" s="17"/>
      <c r="OGG9" s="17"/>
      <c r="OGH9" s="17"/>
      <c r="OGI9" s="17"/>
      <c r="OGJ9" s="17"/>
      <c r="OGK9" s="17"/>
      <c r="OGL9" s="17"/>
      <c r="OGM9" s="17"/>
      <c r="OGN9" s="17"/>
      <c r="OGO9" s="17"/>
      <c r="OGP9" s="17"/>
      <c r="OGQ9" s="17"/>
      <c r="OGR9" s="17"/>
      <c r="OGS9" s="17"/>
      <c r="OGT9" s="17"/>
      <c r="OGU9" s="17"/>
      <c r="OGV9" s="17"/>
      <c r="OGW9" s="17"/>
      <c r="OGX9" s="17"/>
      <c r="OGY9" s="17"/>
      <c r="OGZ9" s="17"/>
      <c r="OHA9" s="17"/>
      <c r="OHB9" s="17"/>
      <c r="OHC9" s="17"/>
      <c r="OHD9" s="17"/>
      <c r="OHE9" s="17"/>
      <c r="OHF9" s="17"/>
      <c r="OHG9" s="17"/>
      <c r="OHH9" s="17"/>
      <c r="OHI9" s="17"/>
      <c r="OHJ9" s="17"/>
      <c r="OHK9" s="17"/>
      <c r="OHL9" s="17"/>
      <c r="OHM9" s="17"/>
      <c r="OHN9" s="17"/>
      <c r="OHO9" s="17"/>
      <c r="OHP9" s="17"/>
      <c r="OHQ9" s="17"/>
      <c r="OHR9" s="17"/>
      <c r="OHS9" s="17"/>
      <c r="OHT9" s="17"/>
      <c r="OHU9" s="17"/>
      <c r="OHV9" s="17"/>
      <c r="OHW9" s="17"/>
      <c r="OHX9" s="17"/>
      <c r="OHY9" s="17"/>
      <c r="OHZ9" s="17"/>
      <c r="OIA9" s="17"/>
      <c r="OIB9" s="17"/>
      <c r="OIC9" s="17"/>
      <c r="OID9" s="17"/>
      <c r="OIE9" s="17"/>
      <c r="OIF9" s="17"/>
      <c r="OIG9" s="17"/>
      <c r="OIH9" s="17"/>
      <c r="OII9" s="17"/>
      <c r="OIJ9" s="17"/>
      <c r="OIK9" s="17"/>
      <c r="OIL9" s="17"/>
      <c r="OIM9" s="17"/>
      <c r="OIN9" s="17"/>
      <c r="OIO9" s="17"/>
      <c r="OIP9" s="17"/>
      <c r="OIQ9" s="17"/>
      <c r="OIR9" s="17"/>
      <c r="OIS9" s="17"/>
      <c r="OIT9" s="17"/>
      <c r="OIU9" s="17"/>
      <c r="OIV9" s="17"/>
      <c r="OIW9" s="17"/>
      <c r="OIX9" s="17"/>
      <c r="OIY9" s="17"/>
      <c r="OIZ9" s="17"/>
      <c r="OJA9" s="17"/>
      <c r="OJB9" s="17"/>
      <c r="OJC9" s="17"/>
      <c r="OJD9" s="17"/>
      <c r="OJE9" s="17"/>
      <c r="OJF9" s="17"/>
      <c r="OJG9" s="17"/>
      <c r="OJH9" s="17"/>
      <c r="OJI9" s="17"/>
      <c r="OJJ9" s="17"/>
      <c r="OJK9" s="17"/>
      <c r="OJL9" s="17"/>
      <c r="OJM9" s="17"/>
      <c r="OJN9" s="17"/>
      <c r="OJO9" s="17"/>
      <c r="OJP9" s="17"/>
      <c r="OJQ9" s="17"/>
      <c r="OJR9" s="17"/>
      <c r="OJS9" s="17"/>
      <c r="OJT9" s="17"/>
      <c r="OJU9" s="17"/>
      <c r="OJV9" s="17"/>
      <c r="OJW9" s="17"/>
      <c r="OJX9" s="17"/>
      <c r="OJY9" s="17"/>
      <c r="OJZ9" s="17"/>
      <c r="OKA9" s="17"/>
      <c r="OKB9" s="17"/>
      <c r="OKC9" s="17"/>
      <c r="OKD9" s="17"/>
      <c r="OKE9" s="17"/>
      <c r="OKF9" s="17"/>
      <c r="OKG9" s="17"/>
      <c r="OKH9" s="17"/>
      <c r="OKI9" s="17"/>
      <c r="OKJ9" s="17"/>
      <c r="OKK9" s="17"/>
      <c r="OKL9" s="17"/>
      <c r="OKM9" s="17"/>
      <c r="OKN9" s="17"/>
      <c r="OKO9" s="17"/>
      <c r="OKP9" s="17"/>
      <c r="OKQ9" s="17"/>
      <c r="OKR9" s="17"/>
      <c r="OKS9" s="17"/>
      <c r="OKT9" s="17"/>
      <c r="OKU9" s="17"/>
      <c r="OKV9" s="17"/>
      <c r="OKW9" s="17"/>
      <c r="OKX9" s="17"/>
      <c r="OKY9" s="17"/>
      <c r="OKZ9" s="17"/>
      <c r="OLA9" s="17"/>
      <c r="OLB9" s="17"/>
      <c r="OLC9" s="17"/>
      <c r="OLD9" s="17"/>
      <c r="OLE9" s="17"/>
      <c r="OLF9" s="17"/>
      <c r="OLG9" s="17"/>
      <c r="OLH9" s="17"/>
      <c r="OLI9" s="17"/>
      <c r="OLJ9" s="17"/>
      <c r="OLK9" s="17"/>
      <c r="OLL9" s="17"/>
      <c r="OLM9" s="17"/>
      <c r="OLN9" s="17"/>
      <c r="OLO9" s="17"/>
      <c r="OLP9" s="17"/>
      <c r="OLQ9" s="17"/>
      <c r="OLR9" s="17"/>
      <c r="OLS9" s="17"/>
      <c r="OLT9" s="17"/>
      <c r="OLU9" s="17"/>
      <c r="OLV9" s="17"/>
      <c r="OLW9" s="17"/>
      <c r="OLX9" s="17"/>
      <c r="OLY9" s="17"/>
      <c r="OLZ9" s="17"/>
      <c r="OMA9" s="17"/>
      <c r="OMB9" s="17"/>
      <c r="OMC9" s="17"/>
      <c r="OMD9" s="17"/>
      <c r="OME9" s="17"/>
      <c r="OMF9" s="17"/>
      <c r="OMG9" s="17"/>
      <c r="OMH9" s="17"/>
      <c r="OMI9" s="17"/>
      <c r="OMJ9" s="17"/>
      <c r="OMK9" s="17"/>
      <c r="OML9" s="17"/>
      <c r="OMM9" s="17"/>
      <c r="OMN9" s="17"/>
      <c r="OMO9" s="17"/>
      <c r="OMP9" s="17"/>
      <c r="OMQ9" s="17"/>
      <c r="OMR9" s="17"/>
      <c r="OMS9" s="17"/>
      <c r="OMT9" s="17"/>
      <c r="OMU9" s="17"/>
      <c r="OMV9" s="17"/>
      <c r="OMW9" s="17"/>
      <c r="OMX9" s="17"/>
      <c r="OMY9" s="17"/>
      <c r="OMZ9" s="17"/>
      <c r="ONA9" s="17"/>
      <c r="ONB9" s="17"/>
      <c r="ONC9" s="17"/>
      <c r="OND9" s="17"/>
      <c r="ONE9" s="17"/>
      <c r="ONF9" s="17"/>
      <c r="ONG9" s="17"/>
      <c r="ONH9" s="17"/>
      <c r="ONI9" s="17"/>
      <c r="ONJ9" s="17"/>
      <c r="ONK9" s="17"/>
      <c r="ONL9" s="17"/>
      <c r="ONM9" s="17"/>
      <c r="ONN9" s="17"/>
      <c r="ONO9" s="17"/>
      <c r="ONP9" s="17"/>
      <c r="ONQ9" s="17"/>
      <c r="ONR9" s="17"/>
      <c r="ONS9" s="17"/>
      <c r="ONT9" s="17"/>
      <c r="ONU9" s="17"/>
      <c r="ONV9" s="17"/>
      <c r="ONW9" s="17"/>
      <c r="ONX9" s="17"/>
      <c r="ONY9" s="17"/>
      <c r="ONZ9" s="17"/>
      <c r="OOA9" s="17"/>
      <c r="OOB9" s="17"/>
      <c r="OOC9" s="17"/>
      <c r="OOD9" s="17"/>
      <c r="OOE9" s="17"/>
      <c r="OOF9" s="17"/>
      <c r="OOG9" s="17"/>
      <c r="OOH9" s="17"/>
      <c r="OOI9" s="17"/>
      <c r="OOJ9" s="17"/>
      <c r="OOK9" s="17"/>
      <c r="OOL9" s="17"/>
      <c r="OOM9" s="17"/>
      <c r="OON9" s="17"/>
      <c r="OOO9" s="17"/>
      <c r="OOP9" s="17"/>
      <c r="OOQ9" s="17"/>
      <c r="OOR9" s="17"/>
      <c r="OOS9" s="17"/>
      <c r="OOT9" s="17"/>
      <c r="OOU9" s="17"/>
      <c r="OOV9" s="17"/>
      <c r="OOW9" s="17"/>
      <c r="OOX9" s="17"/>
      <c r="OOY9" s="17"/>
      <c r="OOZ9" s="17"/>
      <c r="OPA9" s="17"/>
      <c r="OPB9" s="17"/>
      <c r="OPC9" s="17"/>
      <c r="OPD9" s="17"/>
      <c r="OPE9" s="17"/>
      <c r="OPF9" s="17"/>
      <c r="OPG9" s="17"/>
      <c r="OPH9" s="17"/>
      <c r="OPI9" s="17"/>
      <c r="OPJ9" s="17"/>
      <c r="OPK9" s="17"/>
      <c r="OPL9" s="17"/>
      <c r="OPM9" s="17"/>
      <c r="OPN9" s="17"/>
      <c r="OPO9" s="17"/>
      <c r="OPP9" s="17"/>
      <c r="OPQ9" s="17"/>
      <c r="OPR9" s="17"/>
      <c r="OPS9" s="17"/>
      <c r="OPT9" s="17"/>
      <c r="OPU9" s="17"/>
      <c r="OPV9" s="17"/>
      <c r="OPW9" s="17"/>
      <c r="OPX9" s="17"/>
      <c r="OPY9" s="17"/>
      <c r="OPZ9" s="17"/>
      <c r="OQA9" s="17"/>
      <c r="OQB9" s="17"/>
      <c r="OQC9" s="17"/>
      <c r="OQD9" s="17"/>
      <c r="OQE9" s="17"/>
      <c r="OQF9" s="17"/>
      <c r="OQG9" s="17"/>
      <c r="OQH9" s="17"/>
      <c r="OQI9" s="17"/>
      <c r="OQJ9" s="17"/>
      <c r="OQK9" s="17"/>
      <c r="OQL9" s="17"/>
      <c r="OQM9" s="17"/>
      <c r="OQN9" s="17"/>
      <c r="OQO9" s="17"/>
      <c r="OQP9" s="17"/>
      <c r="OQQ9" s="17"/>
      <c r="OQR9" s="17"/>
      <c r="OQS9" s="17"/>
      <c r="OQT9" s="17"/>
      <c r="OQU9" s="17"/>
      <c r="OQV9" s="17"/>
      <c r="OQW9" s="17"/>
      <c r="OQX9" s="17"/>
      <c r="OQY9" s="17"/>
      <c r="OQZ9" s="17"/>
      <c r="ORA9" s="17"/>
      <c r="ORB9" s="17"/>
      <c r="ORC9" s="17"/>
      <c r="ORD9" s="17"/>
      <c r="ORE9" s="17"/>
      <c r="ORF9" s="17"/>
      <c r="ORG9" s="17"/>
      <c r="ORH9" s="17"/>
      <c r="ORI9" s="17"/>
      <c r="ORJ9" s="17"/>
      <c r="ORK9" s="17"/>
      <c r="ORL9" s="17"/>
      <c r="ORM9" s="17"/>
      <c r="ORN9" s="17"/>
      <c r="ORO9" s="17"/>
      <c r="ORP9" s="17"/>
      <c r="ORQ9" s="17"/>
      <c r="ORR9" s="17"/>
      <c r="ORS9" s="17"/>
      <c r="ORT9" s="17"/>
      <c r="ORU9" s="17"/>
      <c r="ORV9" s="17"/>
      <c r="ORW9" s="17"/>
      <c r="ORX9" s="17"/>
      <c r="ORY9" s="17"/>
      <c r="ORZ9" s="17"/>
      <c r="OSA9" s="17"/>
      <c r="OSB9" s="17"/>
      <c r="OSC9" s="17"/>
      <c r="OSD9" s="17"/>
      <c r="OSE9" s="17"/>
      <c r="OSF9" s="17"/>
      <c r="OSG9" s="17"/>
      <c r="OSH9" s="17"/>
      <c r="OSI9" s="17"/>
      <c r="OSJ9" s="17"/>
      <c r="OSK9" s="17"/>
      <c r="OSL9" s="17"/>
      <c r="OSM9" s="17"/>
      <c r="OSN9" s="17"/>
      <c r="OSO9" s="17"/>
      <c r="OSP9" s="17"/>
      <c r="OSQ9" s="17"/>
      <c r="OSR9" s="17"/>
      <c r="OSS9" s="17"/>
      <c r="OST9" s="17"/>
      <c r="OSU9" s="17"/>
      <c r="OSV9" s="17"/>
      <c r="OSW9" s="17"/>
      <c r="OSX9" s="17"/>
      <c r="OSY9" s="17"/>
      <c r="OSZ9" s="17"/>
      <c r="OTA9" s="17"/>
      <c r="OTB9" s="17"/>
      <c r="OTC9" s="17"/>
      <c r="OTD9" s="17"/>
      <c r="OTE9" s="17"/>
      <c r="OTF9" s="17"/>
      <c r="OTG9" s="17"/>
      <c r="OTH9" s="17"/>
      <c r="OTI9" s="17"/>
      <c r="OTJ9" s="17"/>
      <c r="OTK9" s="17"/>
      <c r="OTL9" s="17"/>
      <c r="OTM9" s="17"/>
      <c r="OTN9" s="17"/>
      <c r="OTO9" s="17"/>
      <c r="OTP9" s="17"/>
      <c r="OTQ9" s="17"/>
      <c r="OTR9" s="17"/>
      <c r="OTS9" s="17"/>
      <c r="OTT9" s="17"/>
      <c r="OTU9" s="17"/>
      <c r="OTV9" s="17"/>
      <c r="OTW9" s="17"/>
      <c r="OTX9" s="17"/>
      <c r="OTY9" s="17"/>
      <c r="OTZ9" s="17"/>
      <c r="OUA9" s="17"/>
      <c r="OUB9" s="17"/>
      <c r="OUC9" s="17"/>
      <c r="OUD9" s="17"/>
      <c r="OUE9" s="17"/>
      <c r="OUF9" s="17"/>
      <c r="OUG9" s="17"/>
      <c r="OUH9" s="17"/>
      <c r="OUI9" s="17"/>
      <c r="OUJ9" s="17"/>
      <c r="OUK9" s="17"/>
      <c r="OUL9" s="17"/>
      <c r="OUM9" s="17"/>
      <c r="OUN9" s="17"/>
      <c r="OUO9" s="17"/>
      <c r="OUP9" s="17"/>
      <c r="OUQ9" s="17"/>
      <c r="OUR9" s="17"/>
      <c r="OUS9" s="17"/>
      <c r="OUT9" s="17"/>
      <c r="OUU9" s="17"/>
      <c r="OUV9" s="17"/>
      <c r="OUW9" s="17"/>
      <c r="OUX9" s="17"/>
      <c r="OUY9" s="17"/>
      <c r="OUZ9" s="17"/>
      <c r="OVA9" s="17"/>
      <c r="OVB9" s="17"/>
      <c r="OVC9" s="17"/>
      <c r="OVD9" s="17"/>
      <c r="OVE9" s="17"/>
      <c r="OVF9" s="17"/>
      <c r="OVG9" s="17"/>
      <c r="OVH9" s="17"/>
      <c r="OVI9" s="17"/>
      <c r="OVJ9" s="17"/>
      <c r="OVK9" s="17"/>
      <c r="OVL9" s="17"/>
      <c r="OVM9" s="17"/>
      <c r="OVN9" s="17"/>
      <c r="OVO9" s="17"/>
      <c r="OVP9" s="17"/>
      <c r="OVQ9" s="17"/>
      <c r="OVR9" s="17"/>
      <c r="OVS9" s="17"/>
      <c r="OVT9" s="17"/>
      <c r="OVU9" s="17"/>
      <c r="OVV9" s="17"/>
      <c r="OVW9" s="17"/>
      <c r="OVX9" s="17"/>
      <c r="OVY9" s="17"/>
      <c r="OVZ9" s="17"/>
      <c r="OWA9" s="17"/>
      <c r="OWB9" s="17"/>
      <c r="OWC9" s="17"/>
      <c r="OWD9" s="17"/>
      <c r="OWE9" s="17"/>
      <c r="OWF9" s="17"/>
      <c r="OWG9" s="17"/>
      <c r="OWH9" s="17"/>
      <c r="OWI9" s="17"/>
      <c r="OWJ9" s="17"/>
      <c r="OWK9" s="17"/>
      <c r="OWL9" s="17"/>
      <c r="OWM9" s="17"/>
      <c r="OWN9" s="17"/>
      <c r="OWO9" s="17"/>
      <c r="OWP9" s="17"/>
      <c r="OWQ9" s="17"/>
      <c r="OWR9" s="17"/>
      <c r="OWS9" s="17"/>
      <c r="OWT9" s="17"/>
      <c r="OWU9" s="17"/>
      <c r="OWV9" s="17"/>
      <c r="OWW9" s="17"/>
      <c r="OWX9" s="17"/>
      <c r="OWY9" s="17"/>
      <c r="OWZ9" s="17"/>
      <c r="OXA9" s="17"/>
      <c r="OXB9" s="17"/>
      <c r="OXC9" s="17"/>
      <c r="OXD9" s="17"/>
      <c r="OXE9" s="17"/>
      <c r="OXF9" s="17"/>
      <c r="OXG9" s="17"/>
      <c r="OXH9" s="17"/>
      <c r="OXI9" s="17"/>
      <c r="OXJ9" s="17"/>
      <c r="OXK9" s="17"/>
      <c r="OXL9" s="17"/>
      <c r="OXM9" s="17"/>
      <c r="OXN9" s="17"/>
      <c r="OXO9" s="17"/>
      <c r="OXP9" s="17"/>
      <c r="OXQ9" s="17"/>
      <c r="OXR9" s="17"/>
      <c r="OXS9" s="17"/>
      <c r="OXT9" s="17"/>
      <c r="OXU9" s="17"/>
      <c r="OXV9" s="17"/>
      <c r="OXW9" s="17"/>
      <c r="OXX9" s="17"/>
      <c r="OXY9" s="17"/>
      <c r="OXZ9" s="17"/>
      <c r="OYA9" s="17"/>
      <c r="OYB9" s="17"/>
      <c r="OYC9" s="17"/>
      <c r="OYD9" s="17"/>
      <c r="OYE9" s="17"/>
      <c r="OYF9" s="17"/>
      <c r="OYG9" s="17"/>
      <c r="OYH9" s="17"/>
      <c r="OYI9" s="17"/>
      <c r="OYJ9" s="17"/>
      <c r="OYK9" s="17"/>
      <c r="OYL9" s="17"/>
      <c r="OYM9" s="17"/>
      <c r="OYN9" s="17"/>
      <c r="OYO9" s="17"/>
      <c r="OYP9" s="17"/>
      <c r="OYQ9" s="17"/>
      <c r="OYR9" s="17"/>
      <c r="OYS9" s="17"/>
      <c r="OYT9" s="17"/>
      <c r="OYU9" s="17"/>
      <c r="OYV9" s="17"/>
      <c r="OYW9" s="17"/>
      <c r="OYX9" s="17"/>
      <c r="OYY9" s="17"/>
      <c r="OYZ9" s="17"/>
      <c r="OZA9" s="17"/>
      <c r="OZB9" s="17"/>
      <c r="OZC9" s="17"/>
      <c r="OZD9" s="17"/>
      <c r="OZE9" s="17"/>
      <c r="OZF9" s="17"/>
      <c r="OZG9" s="17"/>
      <c r="OZH9" s="17"/>
      <c r="OZI9" s="17"/>
      <c r="OZJ9" s="17"/>
      <c r="OZK9" s="17"/>
      <c r="OZL9" s="17"/>
      <c r="OZM9" s="17"/>
      <c r="OZN9" s="17"/>
      <c r="OZO9" s="17"/>
      <c r="OZP9" s="17"/>
      <c r="OZQ9" s="17"/>
      <c r="OZR9" s="17"/>
      <c r="OZS9" s="17"/>
      <c r="OZT9" s="17"/>
      <c r="OZU9" s="17"/>
      <c r="OZV9" s="17"/>
      <c r="OZW9" s="17"/>
      <c r="OZX9" s="17"/>
      <c r="OZY9" s="17"/>
      <c r="OZZ9" s="17"/>
      <c r="PAA9" s="17"/>
      <c r="PAB9" s="17"/>
      <c r="PAC9" s="17"/>
      <c r="PAD9" s="17"/>
      <c r="PAE9" s="17"/>
      <c r="PAF9" s="17"/>
      <c r="PAG9" s="17"/>
      <c r="PAH9" s="17"/>
      <c r="PAI9" s="17"/>
      <c r="PAJ9" s="17"/>
      <c r="PAK9" s="17"/>
      <c r="PAL9" s="17"/>
      <c r="PAM9" s="17"/>
      <c r="PAN9" s="17"/>
      <c r="PAO9" s="17"/>
      <c r="PAP9" s="17"/>
      <c r="PAQ9" s="17"/>
      <c r="PAR9" s="17"/>
      <c r="PAS9" s="17"/>
      <c r="PAT9" s="17"/>
      <c r="PAU9" s="17"/>
      <c r="PAV9" s="17"/>
      <c r="PAW9" s="17"/>
      <c r="PAX9" s="17"/>
      <c r="PAY9" s="17"/>
      <c r="PAZ9" s="17"/>
      <c r="PBA9" s="17"/>
      <c r="PBB9" s="17"/>
      <c r="PBC9" s="17"/>
      <c r="PBD9" s="17"/>
      <c r="PBE9" s="17"/>
      <c r="PBF9" s="17"/>
      <c r="PBG9" s="17"/>
      <c r="PBH9" s="17"/>
      <c r="PBI9" s="17"/>
      <c r="PBJ9" s="17"/>
      <c r="PBK9" s="17"/>
      <c r="PBL9" s="17"/>
      <c r="PBM9" s="17"/>
      <c r="PBN9" s="17"/>
      <c r="PBO9" s="17"/>
      <c r="PBP9" s="17"/>
      <c r="PBQ9" s="17"/>
      <c r="PBR9" s="17"/>
      <c r="PBS9" s="17"/>
      <c r="PBT9" s="17"/>
      <c r="PBU9" s="17"/>
      <c r="PBV9" s="17"/>
      <c r="PBW9" s="17"/>
      <c r="PBX9" s="17"/>
      <c r="PBY9" s="17"/>
      <c r="PBZ9" s="17"/>
      <c r="PCA9" s="17"/>
      <c r="PCB9" s="17"/>
      <c r="PCC9" s="17"/>
      <c r="PCD9" s="17"/>
      <c r="PCE9" s="17"/>
      <c r="PCF9" s="17"/>
      <c r="PCG9" s="17"/>
      <c r="PCH9" s="17"/>
      <c r="PCI9" s="17"/>
      <c r="PCJ9" s="17"/>
      <c r="PCK9" s="17"/>
      <c r="PCL9" s="17"/>
      <c r="PCM9" s="17"/>
      <c r="PCN9" s="17"/>
      <c r="PCO9" s="17"/>
      <c r="PCP9" s="17"/>
      <c r="PCQ9" s="17"/>
      <c r="PCR9" s="17"/>
      <c r="PCS9" s="17"/>
      <c r="PCT9" s="17"/>
      <c r="PCU9" s="17"/>
      <c r="PCV9" s="17"/>
      <c r="PCW9" s="17"/>
      <c r="PCX9" s="17"/>
      <c r="PCY9" s="17"/>
      <c r="PCZ9" s="17"/>
      <c r="PDA9" s="17"/>
      <c r="PDB9" s="17"/>
      <c r="PDC9" s="17"/>
      <c r="PDD9" s="17"/>
      <c r="PDE9" s="17"/>
      <c r="PDF9" s="17"/>
      <c r="PDG9" s="17"/>
      <c r="PDH9" s="17"/>
      <c r="PDI9" s="17"/>
      <c r="PDJ9" s="17"/>
      <c r="PDK9" s="17"/>
      <c r="PDL9" s="17"/>
      <c r="PDM9" s="17"/>
      <c r="PDN9" s="17"/>
      <c r="PDO9" s="17"/>
      <c r="PDP9" s="17"/>
      <c r="PDQ9" s="17"/>
      <c r="PDR9" s="17"/>
      <c r="PDS9" s="17"/>
      <c r="PDT9" s="17"/>
      <c r="PDU9" s="17"/>
      <c r="PDV9" s="17"/>
      <c r="PDW9" s="17"/>
      <c r="PDX9" s="17"/>
      <c r="PDY9" s="17"/>
      <c r="PDZ9" s="17"/>
      <c r="PEA9" s="17"/>
      <c r="PEB9" s="17"/>
      <c r="PEC9" s="17"/>
      <c r="PED9" s="17"/>
      <c r="PEE9" s="17"/>
      <c r="PEF9" s="17"/>
      <c r="PEG9" s="17"/>
      <c r="PEH9" s="17"/>
      <c r="PEI9" s="17"/>
      <c r="PEJ9" s="17"/>
      <c r="PEK9" s="17"/>
      <c r="PEL9" s="17"/>
      <c r="PEM9" s="17"/>
      <c r="PEN9" s="17"/>
      <c r="PEO9" s="17"/>
      <c r="PEP9" s="17"/>
      <c r="PEQ9" s="17"/>
      <c r="PER9" s="17"/>
      <c r="PES9" s="17"/>
      <c r="PET9" s="17"/>
      <c r="PEU9" s="17"/>
      <c r="PEV9" s="17"/>
      <c r="PEW9" s="17"/>
      <c r="PEX9" s="17"/>
      <c r="PEY9" s="17"/>
      <c r="PEZ9" s="17"/>
      <c r="PFA9" s="17"/>
      <c r="PFB9" s="17"/>
      <c r="PFC9" s="17"/>
      <c r="PFD9" s="17"/>
      <c r="PFE9" s="17"/>
      <c r="PFF9" s="17"/>
      <c r="PFG9" s="17"/>
      <c r="PFH9" s="17"/>
      <c r="PFI9" s="17"/>
      <c r="PFJ9" s="17"/>
      <c r="PFK9" s="17"/>
      <c r="PFL9" s="17"/>
      <c r="PFM9" s="17"/>
      <c r="PFN9" s="17"/>
      <c r="PFO9" s="17"/>
      <c r="PFP9" s="17"/>
      <c r="PFQ9" s="17"/>
      <c r="PFR9" s="17"/>
      <c r="PFS9" s="17"/>
      <c r="PFT9" s="17"/>
      <c r="PFU9" s="17"/>
      <c r="PFV9" s="17"/>
      <c r="PFW9" s="17"/>
      <c r="PFX9" s="17"/>
      <c r="PFY9" s="17"/>
      <c r="PFZ9" s="17"/>
      <c r="PGA9" s="17"/>
      <c r="PGB9" s="17"/>
      <c r="PGC9" s="17"/>
      <c r="PGD9" s="17"/>
      <c r="PGE9" s="17"/>
      <c r="PGF9" s="17"/>
      <c r="PGG9" s="17"/>
      <c r="PGH9" s="17"/>
      <c r="PGI9" s="17"/>
      <c r="PGJ9" s="17"/>
      <c r="PGK9" s="17"/>
      <c r="PGL9" s="17"/>
      <c r="PGM9" s="17"/>
      <c r="PGN9" s="17"/>
      <c r="PGO9" s="17"/>
      <c r="PGP9" s="17"/>
      <c r="PGQ9" s="17"/>
      <c r="PGR9" s="17"/>
      <c r="PGS9" s="17"/>
      <c r="PGT9" s="17"/>
      <c r="PGU9" s="17"/>
      <c r="PGV9" s="17"/>
      <c r="PGW9" s="17"/>
      <c r="PGX9" s="17"/>
      <c r="PGY9" s="17"/>
      <c r="PGZ9" s="17"/>
      <c r="PHA9" s="17"/>
      <c r="PHB9" s="17"/>
      <c r="PHC9" s="17"/>
      <c r="PHD9" s="17"/>
      <c r="PHE9" s="17"/>
      <c r="PHF9" s="17"/>
      <c r="PHG9" s="17"/>
      <c r="PHH9" s="17"/>
      <c r="PHI9" s="17"/>
      <c r="PHJ9" s="17"/>
      <c r="PHK9" s="17"/>
      <c r="PHL9" s="17"/>
      <c r="PHM9" s="17"/>
      <c r="PHN9" s="17"/>
      <c r="PHO9" s="17"/>
      <c r="PHP9" s="17"/>
      <c r="PHQ9" s="17"/>
      <c r="PHR9" s="17"/>
      <c r="PHS9" s="17"/>
      <c r="PHT9" s="17"/>
      <c r="PHU9" s="17"/>
      <c r="PHV9" s="17"/>
      <c r="PHW9" s="17"/>
      <c r="PHX9" s="17"/>
      <c r="PHY9" s="17"/>
      <c r="PHZ9" s="17"/>
      <c r="PIA9" s="17"/>
      <c r="PIB9" s="17"/>
      <c r="PIC9" s="17"/>
      <c r="PID9" s="17"/>
      <c r="PIE9" s="17"/>
      <c r="PIF9" s="17"/>
      <c r="PIG9" s="17"/>
      <c r="PIH9" s="17"/>
      <c r="PII9" s="17"/>
      <c r="PIJ9" s="17"/>
      <c r="PIK9" s="17"/>
      <c r="PIL9" s="17"/>
      <c r="PIM9" s="17"/>
      <c r="PIN9" s="17"/>
      <c r="PIO9" s="17"/>
      <c r="PIP9" s="17"/>
      <c r="PIQ9" s="17"/>
      <c r="PIR9" s="17"/>
      <c r="PIS9" s="17"/>
      <c r="PIT9" s="17"/>
      <c r="PIU9" s="17"/>
      <c r="PIV9" s="17"/>
      <c r="PIW9" s="17"/>
      <c r="PIX9" s="17"/>
      <c r="PIY9" s="17"/>
      <c r="PIZ9" s="17"/>
      <c r="PJA9" s="17"/>
      <c r="PJB9" s="17"/>
      <c r="PJC9" s="17"/>
      <c r="PJD9" s="17"/>
      <c r="PJE9" s="17"/>
      <c r="PJF9" s="17"/>
      <c r="PJG9" s="17"/>
      <c r="PJH9" s="17"/>
      <c r="PJI9" s="17"/>
      <c r="PJJ9" s="17"/>
      <c r="PJK9" s="17"/>
      <c r="PJL9" s="17"/>
      <c r="PJM9" s="17"/>
      <c r="PJN9" s="17"/>
      <c r="PJO9" s="17"/>
      <c r="PJP9" s="17"/>
      <c r="PJQ9" s="17"/>
      <c r="PJR9" s="17"/>
      <c r="PJS9" s="17"/>
      <c r="PJT9" s="17"/>
      <c r="PJU9" s="17"/>
      <c r="PJV9" s="17"/>
      <c r="PJW9" s="17"/>
      <c r="PJX9" s="17"/>
      <c r="PJY9" s="17"/>
      <c r="PJZ9" s="17"/>
      <c r="PKA9" s="17"/>
      <c r="PKB9" s="17"/>
      <c r="PKC9" s="17"/>
      <c r="PKD9" s="17"/>
      <c r="PKE9" s="17"/>
      <c r="PKF9" s="17"/>
      <c r="PKG9" s="17"/>
      <c r="PKH9" s="17"/>
      <c r="PKI9" s="17"/>
      <c r="PKJ9" s="17"/>
      <c r="PKK9" s="17"/>
      <c r="PKL9" s="17"/>
      <c r="PKM9" s="17"/>
      <c r="PKN9" s="17"/>
      <c r="PKO9" s="17"/>
      <c r="PKP9" s="17"/>
      <c r="PKQ9" s="17"/>
      <c r="PKR9" s="17"/>
      <c r="PKS9" s="17"/>
      <c r="PKT9" s="17"/>
      <c r="PKU9" s="17"/>
      <c r="PKV9" s="17"/>
      <c r="PKW9" s="17"/>
      <c r="PKX9" s="17"/>
      <c r="PKY9" s="17"/>
      <c r="PKZ9" s="17"/>
      <c r="PLA9" s="17"/>
      <c r="PLB9" s="17"/>
      <c r="PLC9" s="17"/>
      <c r="PLD9" s="17"/>
      <c r="PLE9" s="17"/>
      <c r="PLF9" s="17"/>
      <c r="PLG9" s="17"/>
      <c r="PLH9" s="17"/>
      <c r="PLI9" s="17"/>
      <c r="PLJ9" s="17"/>
      <c r="PLK9" s="17"/>
      <c r="PLL9" s="17"/>
      <c r="PLM9" s="17"/>
      <c r="PLN9" s="17"/>
      <c r="PLO9" s="17"/>
      <c r="PLP9" s="17"/>
      <c r="PLQ9" s="17"/>
      <c r="PLR9" s="17"/>
      <c r="PLS9" s="17"/>
      <c r="PLT9" s="17"/>
      <c r="PLU9" s="17"/>
      <c r="PLV9" s="17"/>
      <c r="PLW9" s="17"/>
      <c r="PLX9" s="17"/>
      <c r="PLY9" s="17"/>
      <c r="PLZ9" s="17"/>
      <c r="PMA9" s="17"/>
      <c r="PMB9" s="17"/>
      <c r="PMC9" s="17"/>
      <c r="PMD9" s="17"/>
      <c r="PME9" s="17"/>
      <c r="PMF9" s="17"/>
      <c r="PMG9" s="17"/>
      <c r="PMH9" s="17"/>
      <c r="PMI9" s="17"/>
      <c r="PMJ9" s="17"/>
      <c r="PMK9" s="17"/>
      <c r="PML9" s="17"/>
      <c r="PMM9" s="17"/>
      <c r="PMN9" s="17"/>
      <c r="PMO9" s="17"/>
      <c r="PMP9" s="17"/>
      <c r="PMQ9" s="17"/>
      <c r="PMR9" s="17"/>
      <c r="PMS9" s="17"/>
      <c r="PMT9" s="17"/>
      <c r="PMU9" s="17"/>
      <c r="PMV9" s="17"/>
      <c r="PMW9" s="17"/>
      <c r="PMX9" s="17"/>
      <c r="PMY9" s="17"/>
      <c r="PMZ9" s="17"/>
      <c r="PNA9" s="17"/>
      <c r="PNB9" s="17"/>
      <c r="PNC9" s="17"/>
      <c r="PND9" s="17"/>
      <c r="PNE9" s="17"/>
      <c r="PNF9" s="17"/>
      <c r="PNG9" s="17"/>
      <c r="PNH9" s="17"/>
      <c r="PNI9" s="17"/>
      <c r="PNJ9" s="17"/>
      <c r="PNK9" s="17"/>
      <c r="PNL9" s="17"/>
      <c r="PNM9" s="17"/>
      <c r="PNN9" s="17"/>
      <c r="PNO9" s="17"/>
      <c r="PNP9" s="17"/>
      <c r="PNQ9" s="17"/>
      <c r="PNR9" s="17"/>
      <c r="PNS9" s="17"/>
      <c r="PNT9" s="17"/>
      <c r="PNU9" s="17"/>
      <c r="PNV9" s="17"/>
      <c r="PNW9" s="17"/>
      <c r="PNX9" s="17"/>
      <c r="PNY9" s="17"/>
      <c r="PNZ9" s="17"/>
      <c r="POA9" s="17"/>
      <c r="POB9" s="17"/>
      <c r="POC9" s="17"/>
      <c r="POD9" s="17"/>
      <c r="POE9" s="17"/>
      <c r="POF9" s="17"/>
      <c r="POG9" s="17"/>
      <c r="POH9" s="17"/>
      <c r="POI9" s="17"/>
      <c r="POJ9" s="17"/>
      <c r="POK9" s="17"/>
      <c r="POL9" s="17"/>
      <c r="POM9" s="17"/>
      <c r="PON9" s="17"/>
      <c r="POO9" s="17"/>
      <c r="POP9" s="17"/>
      <c r="POQ9" s="17"/>
      <c r="POR9" s="17"/>
      <c r="POS9" s="17"/>
      <c r="POT9" s="17"/>
      <c r="POU9" s="17"/>
      <c r="POV9" s="17"/>
      <c r="POW9" s="17"/>
      <c r="POX9" s="17"/>
      <c r="POY9" s="17"/>
      <c r="POZ9" s="17"/>
      <c r="PPA9" s="17"/>
      <c r="PPB9" s="17"/>
      <c r="PPC9" s="17"/>
      <c r="PPD9" s="17"/>
      <c r="PPE9" s="17"/>
      <c r="PPF9" s="17"/>
      <c r="PPG9" s="17"/>
      <c r="PPH9" s="17"/>
      <c r="PPI9" s="17"/>
      <c r="PPJ9" s="17"/>
      <c r="PPK9" s="17"/>
      <c r="PPL9" s="17"/>
      <c r="PPM9" s="17"/>
      <c r="PPN9" s="17"/>
      <c r="PPO9" s="17"/>
      <c r="PPP9" s="17"/>
      <c r="PPQ9" s="17"/>
      <c r="PPR9" s="17"/>
      <c r="PPS9" s="17"/>
      <c r="PPT9" s="17"/>
      <c r="PPU9" s="17"/>
      <c r="PPV9" s="17"/>
      <c r="PPW9" s="17"/>
      <c r="PPX9" s="17"/>
      <c r="PPY9" s="17"/>
      <c r="PPZ9" s="17"/>
      <c r="PQA9" s="17"/>
      <c r="PQB9" s="17"/>
      <c r="PQC9" s="17"/>
      <c r="PQD9" s="17"/>
      <c r="PQE9" s="17"/>
      <c r="PQF9" s="17"/>
      <c r="PQG9" s="17"/>
      <c r="PQH9" s="17"/>
      <c r="PQI9" s="17"/>
      <c r="PQJ9" s="17"/>
      <c r="PQK9" s="17"/>
      <c r="PQL9" s="17"/>
      <c r="PQM9" s="17"/>
      <c r="PQN9" s="17"/>
      <c r="PQO9" s="17"/>
      <c r="PQP9" s="17"/>
      <c r="PQQ9" s="17"/>
      <c r="PQR9" s="17"/>
      <c r="PQS9" s="17"/>
      <c r="PQT9" s="17"/>
      <c r="PQU9" s="17"/>
      <c r="PQV9" s="17"/>
      <c r="PQW9" s="17"/>
      <c r="PQX9" s="17"/>
      <c r="PQY9" s="17"/>
      <c r="PQZ9" s="17"/>
      <c r="PRA9" s="17"/>
      <c r="PRB9" s="17"/>
      <c r="PRC9" s="17"/>
      <c r="PRD9" s="17"/>
      <c r="PRE9" s="17"/>
      <c r="PRF9" s="17"/>
      <c r="PRG9" s="17"/>
      <c r="PRH9" s="17"/>
      <c r="PRI9" s="17"/>
      <c r="PRJ9" s="17"/>
      <c r="PRK9" s="17"/>
      <c r="PRL9" s="17"/>
      <c r="PRM9" s="17"/>
      <c r="PRN9" s="17"/>
      <c r="PRO9" s="17"/>
      <c r="PRP9" s="17"/>
      <c r="PRQ9" s="17"/>
      <c r="PRR9" s="17"/>
      <c r="PRS9" s="17"/>
      <c r="PRT9" s="17"/>
      <c r="PRU9" s="17"/>
      <c r="PRV9" s="17"/>
      <c r="PRW9" s="17"/>
      <c r="PRX9" s="17"/>
      <c r="PRY9" s="17"/>
      <c r="PRZ9" s="17"/>
      <c r="PSA9" s="17"/>
      <c r="PSB9" s="17"/>
      <c r="PSC9" s="17"/>
      <c r="PSD9" s="17"/>
      <c r="PSE9" s="17"/>
      <c r="PSF9" s="17"/>
      <c r="PSG9" s="17"/>
      <c r="PSH9" s="17"/>
      <c r="PSI9" s="17"/>
      <c r="PSJ9" s="17"/>
      <c r="PSK9" s="17"/>
      <c r="PSL9" s="17"/>
      <c r="PSM9" s="17"/>
      <c r="PSN9" s="17"/>
      <c r="PSO9" s="17"/>
      <c r="PSP9" s="17"/>
      <c r="PSQ9" s="17"/>
      <c r="PSR9" s="17"/>
      <c r="PSS9" s="17"/>
      <c r="PST9" s="17"/>
      <c r="PSU9" s="17"/>
      <c r="PSV9" s="17"/>
      <c r="PSW9" s="17"/>
      <c r="PSX9" s="17"/>
      <c r="PSY9" s="17"/>
      <c r="PSZ9" s="17"/>
      <c r="PTA9" s="17"/>
      <c r="PTB9" s="17"/>
      <c r="PTC9" s="17"/>
      <c r="PTD9" s="17"/>
      <c r="PTE9" s="17"/>
      <c r="PTF9" s="17"/>
      <c r="PTG9" s="17"/>
      <c r="PTH9" s="17"/>
      <c r="PTI9" s="17"/>
      <c r="PTJ9" s="17"/>
      <c r="PTK9" s="17"/>
      <c r="PTL9" s="17"/>
      <c r="PTM9" s="17"/>
      <c r="PTN9" s="17"/>
      <c r="PTO9" s="17"/>
      <c r="PTP9" s="17"/>
      <c r="PTQ9" s="17"/>
      <c r="PTR9" s="17"/>
      <c r="PTS9" s="17"/>
      <c r="PTT9" s="17"/>
      <c r="PTU9" s="17"/>
      <c r="PTV9" s="17"/>
      <c r="PTW9" s="17"/>
      <c r="PTX9" s="17"/>
      <c r="PTY9" s="17"/>
      <c r="PTZ9" s="17"/>
      <c r="PUA9" s="17"/>
      <c r="PUB9" s="17"/>
      <c r="PUC9" s="17"/>
      <c r="PUD9" s="17"/>
      <c r="PUE9" s="17"/>
      <c r="PUF9" s="17"/>
      <c r="PUG9" s="17"/>
      <c r="PUH9" s="17"/>
      <c r="PUI9" s="17"/>
      <c r="PUJ9" s="17"/>
      <c r="PUK9" s="17"/>
      <c r="PUL9" s="17"/>
      <c r="PUM9" s="17"/>
      <c r="PUN9" s="17"/>
      <c r="PUO9" s="17"/>
      <c r="PUP9" s="17"/>
      <c r="PUQ9" s="17"/>
      <c r="PUR9" s="17"/>
      <c r="PUS9" s="17"/>
      <c r="PUT9" s="17"/>
      <c r="PUU9" s="17"/>
      <c r="PUV9" s="17"/>
      <c r="PUW9" s="17"/>
      <c r="PUX9" s="17"/>
      <c r="PUY9" s="17"/>
      <c r="PUZ9" s="17"/>
      <c r="PVA9" s="17"/>
      <c r="PVB9" s="17"/>
      <c r="PVC9" s="17"/>
      <c r="PVD9" s="17"/>
      <c r="PVE9" s="17"/>
      <c r="PVF9" s="17"/>
      <c r="PVG9" s="17"/>
      <c r="PVH9" s="17"/>
      <c r="PVI9" s="17"/>
      <c r="PVJ9" s="17"/>
      <c r="PVK9" s="17"/>
      <c r="PVL9" s="17"/>
      <c r="PVM9" s="17"/>
      <c r="PVN9" s="17"/>
      <c r="PVO9" s="17"/>
      <c r="PVP9" s="17"/>
      <c r="PVQ9" s="17"/>
      <c r="PVR9" s="17"/>
      <c r="PVS9" s="17"/>
      <c r="PVT9" s="17"/>
      <c r="PVU9" s="17"/>
      <c r="PVV9" s="17"/>
      <c r="PVW9" s="17"/>
      <c r="PVX9" s="17"/>
      <c r="PVY9" s="17"/>
      <c r="PVZ9" s="17"/>
      <c r="PWA9" s="17"/>
      <c r="PWB9" s="17"/>
      <c r="PWC9" s="17"/>
      <c r="PWD9" s="17"/>
      <c r="PWE9" s="17"/>
      <c r="PWF9" s="17"/>
      <c r="PWG9" s="17"/>
      <c r="PWH9" s="17"/>
      <c r="PWI9" s="17"/>
      <c r="PWJ9" s="17"/>
      <c r="PWK9" s="17"/>
      <c r="PWL9" s="17"/>
      <c r="PWM9" s="17"/>
      <c r="PWN9" s="17"/>
      <c r="PWO9" s="17"/>
      <c r="PWP9" s="17"/>
      <c r="PWQ9" s="17"/>
      <c r="PWR9" s="17"/>
      <c r="PWS9" s="17"/>
      <c r="PWT9" s="17"/>
      <c r="PWU9" s="17"/>
      <c r="PWV9" s="17"/>
      <c r="PWW9" s="17"/>
      <c r="PWX9" s="17"/>
      <c r="PWY9" s="17"/>
      <c r="PWZ9" s="17"/>
      <c r="PXA9" s="17"/>
      <c r="PXB9" s="17"/>
      <c r="PXC9" s="17"/>
      <c r="PXD9" s="17"/>
      <c r="PXE9" s="17"/>
      <c r="PXF9" s="17"/>
      <c r="PXG9" s="17"/>
      <c r="PXH9" s="17"/>
      <c r="PXI9" s="17"/>
      <c r="PXJ9" s="17"/>
      <c r="PXK9" s="17"/>
      <c r="PXL9" s="17"/>
      <c r="PXM9" s="17"/>
      <c r="PXN9" s="17"/>
      <c r="PXO9" s="17"/>
      <c r="PXP9" s="17"/>
      <c r="PXQ9" s="17"/>
      <c r="PXR9" s="17"/>
      <c r="PXS9" s="17"/>
      <c r="PXT9" s="17"/>
      <c r="PXU9" s="17"/>
      <c r="PXV9" s="17"/>
      <c r="PXW9" s="17"/>
      <c r="PXX9" s="17"/>
      <c r="PXY9" s="17"/>
      <c r="PXZ9" s="17"/>
      <c r="PYA9" s="17"/>
      <c r="PYB9" s="17"/>
      <c r="PYC9" s="17"/>
      <c r="PYD9" s="17"/>
      <c r="PYE9" s="17"/>
      <c r="PYF9" s="17"/>
      <c r="PYG9" s="17"/>
      <c r="PYH9" s="17"/>
      <c r="PYI9" s="17"/>
      <c r="PYJ9" s="17"/>
      <c r="PYK9" s="17"/>
      <c r="PYL9" s="17"/>
      <c r="PYM9" s="17"/>
      <c r="PYN9" s="17"/>
      <c r="PYO9" s="17"/>
      <c r="PYP9" s="17"/>
      <c r="PYQ9" s="17"/>
      <c r="PYR9" s="17"/>
      <c r="PYS9" s="17"/>
      <c r="PYT9" s="17"/>
      <c r="PYU9" s="17"/>
      <c r="PYV9" s="17"/>
      <c r="PYW9" s="17"/>
      <c r="PYX9" s="17"/>
      <c r="PYY9" s="17"/>
      <c r="PYZ9" s="17"/>
      <c r="PZA9" s="17"/>
      <c r="PZB9" s="17"/>
      <c r="PZC9" s="17"/>
      <c r="PZD9" s="17"/>
      <c r="PZE9" s="17"/>
      <c r="PZF9" s="17"/>
      <c r="PZG9" s="17"/>
      <c r="PZH9" s="17"/>
      <c r="PZI9" s="17"/>
      <c r="PZJ9" s="17"/>
      <c r="PZK9" s="17"/>
      <c r="PZL9" s="17"/>
      <c r="PZM9" s="17"/>
      <c r="PZN9" s="17"/>
      <c r="PZO9" s="17"/>
      <c r="PZP9" s="17"/>
      <c r="PZQ9" s="17"/>
      <c r="PZR9" s="17"/>
      <c r="PZS9" s="17"/>
      <c r="PZT9" s="17"/>
      <c r="PZU9" s="17"/>
      <c r="PZV9" s="17"/>
      <c r="PZW9" s="17"/>
      <c r="PZX9" s="17"/>
      <c r="PZY9" s="17"/>
      <c r="PZZ9" s="17"/>
      <c r="QAA9" s="17"/>
      <c r="QAB9" s="17"/>
      <c r="QAC9" s="17"/>
      <c r="QAD9" s="17"/>
      <c r="QAE9" s="17"/>
      <c r="QAF9" s="17"/>
      <c r="QAG9" s="17"/>
      <c r="QAH9" s="17"/>
      <c r="QAI9" s="17"/>
      <c r="QAJ9" s="17"/>
      <c r="QAK9" s="17"/>
      <c r="QAL9" s="17"/>
      <c r="QAM9" s="17"/>
      <c r="QAN9" s="17"/>
      <c r="QAO9" s="17"/>
      <c r="QAP9" s="17"/>
      <c r="QAQ9" s="17"/>
      <c r="QAR9" s="17"/>
      <c r="QAS9" s="17"/>
      <c r="QAT9" s="17"/>
      <c r="QAU9" s="17"/>
      <c r="QAV9" s="17"/>
      <c r="QAW9" s="17"/>
      <c r="QAX9" s="17"/>
      <c r="QAY9" s="17"/>
      <c r="QAZ9" s="17"/>
      <c r="QBA9" s="17"/>
      <c r="QBB9" s="17"/>
      <c r="QBC9" s="17"/>
      <c r="QBD9" s="17"/>
      <c r="QBE9" s="17"/>
      <c r="QBF9" s="17"/>
      <c r="QBG9" s="17"/>
      <c r="QBH9" s="17"/>
      <c r="QBI9" s="17"/>
      <c r="QBJ9" s="17"/>
      <c r="QBK9" s="17"/>
      <c r="QBL9" s="17"/>
      <c r="QBM9" s="17"/>
      <c r="QBN9" s="17"/>
      <c r="QBO9" s="17"/>
      <c r="QBP9" s="17"/>
      <c r="QBQ9" s="17"/>
      <c r="QBR9" s="17"/>
      <c r="QBS9" s="17"/>
      <c r="QBT9" s="17"/>
      <c r="QBU9" s="17"/>
      <c r="QBV9" s="17"/>
      <c r="QBW9" s="17"/>
      <c r="QBX9" s="17"/>
      <c r="QBY9" s="17"/>
      <c r="QBZ9" s="17"/>
      <c r="QCA9" s="17"/>
      <c r="QCB9" s="17"/>
      <c r="QCC9" s="17"/>
      <c r="QCD9" s="17"/>
      <c r="QCE9" s="17"/>
      <c r="QCF9" s="17"/>
      <c r="QCG9" s="17"/>
      <c r="QCH9" s="17"/>
      <c r="QCI9" s="17"/>
      <c r="QCJ9" s="17"/>
      <c r="QCK9" s="17"/>
      <c r="QCL9" s="17"/>
      <c r="QCM9" s="17"/>
      <c r="QCN9" s="17"/>
      <c r="QCO9" s="17"/>
      <c r="QCP9" s="17"/>
      <c r="QCQ9" s="17"/>
      <c r="QCR9" s="17"/>
      <c r="QCS9" s="17"/>
      <c r="QCT9" s="17"/>
      <c r="QCU9" s="17"/>
      <c r="QCV9" s="17"/>
      <c r="QCW9" s="17"/>
      <c r="QCX9" s="17"/>
      <c r="QCY9" s="17"/>
      <c r="QCZ9" s="17"/>
      <c r="QDA9" s="17"/>
      <c r="QDB9" s="17"/>
      <c r="QDC9" s="17"/>
      <c r="QDD9" s="17"/>
      <c r="QDE9" s="17"/>
      <c r="QDF9" s="17"/>
      <c r="QDG9" s="17"/>
      <c r="QDH9" s="17"/>
      <c r="QDI9" s="17"/>
      <c r="QDJ9" s="17"/>
      <c r="QDK9" s="17"/>
      <c r="QDL9" s="17"/>
      <c r="QDM9" s="17"/>
      <c r="QDN9" s="17"/>
      <c r="QDO9" s="17"/>
      <c r="QDP9" s="17"/>
      <c r="QDQ9" s="17"/>
      <c r="QDR9" s="17"/>
      <c r="QDS9" s="17"/>
      <c r="QDT9" s="17"/>
      <c r="QDU9" s="17"/>
      <c r="QDV9" s="17"/>
      <c r="QDW9" s="17"/>
      <c r="QDX9" s="17"/>
      <c r="QDY9" s="17"/>
      <c r="QDZ9" s="17"/>
      <c r="QEA9" s="17"/>
      <c r="QEB9" s="17"/>
      <c r="QEC9" s="17"/>
      <c r="QED9" s="17"/>
      <c r="QEE9" s="17"/>
      <c r="QEF9" s="17"/>
      <c r="QEG9" s="17"/>
      <c r="QEH9" s="17"/>
      <c r="QEI9" s="17"/>
      <c r="QEJ9" s="17"/>
      <c r="QEK9" s="17"/>
      <c r="QEL9" s="17"/>
      <c r="QEM9" s="17"/>
      <c r="QEN9" s="17"/>
      <c r="QEO9" s="17"/>
      <c r="QEP9" s="17"/>
      <c r="QEQ9" s="17"/>
      <c r="QER9" s="17"/>
      <c r="QES9" s="17"/>
      <c r="QET9" s="17"/>
      <c r="QEU9" s="17"/>
      <c r="QEV9" s="17"/>
      <c r="QEW9" s="17"/>
      <c r="QEX9" s="17"/>
      <c r="QEY9" s="17"/>
      <c r="QEZ9" s="17"/>
      <c r="QFA9" s="17"/>
      <c r="QFB9" s="17"/>
      <c r="QFC9" s="17"/>
      <c r="QFD9" s="17"/>
      <c r="QFE9" s="17"/>
      <c r="QFF9" s="17"/>
      <c r="QFG9" s="17"/>
      <c r="QFH9" s="17"/>
      <c r="QFI9" s="17"/>
      <c r="QFJ9" s="17"/>
      <c r="QFK9" s="17"/>
      <c r="QFL9" s="17"/>
      <c r="QFM9" s="17"/>
      <c r="QFN9" s="17"/>
      <c r="QFO9" s="17"/>
      <c r="QFP9" s="17"/>
      <c r="QFQ9" s="17"/>
      <c r="QFR9" s="17"/>
      <c r="QFS9" s="17"/>
      <c r="QFT9" s="17"/>
      <c r="QFU9" s="17"/>
      <c r="QFV9" s="17"/>
      <c r="QFW9" s="17"/>
      <c r="QFX9" s="17"/>
      <c r="QFY9" s="17"/>
      <c r="QFZ9" s="17"/>
      <c r="QGA9" s="17"/>
      <c r="QGB9" s="17"/>
      <c r="QGC9" s="17"/>
      <c r="QGD9" s="17"/>
      <c r="QGE9" s="17"/>
      <c r="QGF9" s="17"/>
      <c r="QGG9" s="17"/>
      <c r="QGH9" s="17"/>
      <c r="QGI9" s="17"/>
      <c r="QGJ9" s="17"/>
      <c r="QGK9" s="17"/>
      <c r="QGL9" s="17"/>
      <c r="QGM9" s="17"/>
      <c r="QGN9" s="17"/>
      <c r="QGO9" s="17"/>
      <c r="QGP9" s="17"/>
      <c r="QGQ9" s="17"/>
      <c r="QGR9" s="17"/>
      <c r="QGS9" s="17"/>
      <c r="QGT9" s="17"/>
      <c r="QGU9" s="17"/>
      <c r="QGV9" s="17"/>
      <c r="QGW9" s="17"/>
      <c r="QGX9" s="17"/>
      <c r="QGY9" s="17"/>
      <c r="QGZ9" s="17"/>
      <c r="QHA9" s="17"/>
      <c r="QHB9" s="17"/>
      <c r="QHC9" s="17"/>
      <c r="QHD9" s="17"/>
      <c r="QHE9" s="17"/>
      <c r="QHF9" s="17"/>
      <c r="QHG9" s="17"/>
      <c r="QHH9" s="17"/>
      <c r="QHI9" s="17"/>
      <c r="QHJ9" s="17"/>
      <c r="QHK9" s="17"/>
      <c r="QHL9" s="17"/>
      <c r="QHM9" s="17"/>
      <c r="QHN9" s="17"/>
      <c r="QHO9" s="17"/>
      <c r="QHP9" s="17"/>
      <c r="QHQ9" s="17"/>
      <c r="QHR9" s="17"/>
      <c r="QHS9" s="17"/>
      <c r="QHT9" s="17"/>
      <c r="QHU9" s="17"/>
      <c r="QHV9" s="17"/>
      <c r="QHW9" s="17"/>
      <c r="QHX9" s="17"/>
      <c r="QHY9" s="17"/>
      <c r="QHZ9" s="17"/>
      <c r="QIA9" s="17"/>
      <c r="QIB9" s="17"/>
      <c r="QIC9" s="17"/>
      <c r="QID9" s="17"/>
      <c r="QIE9" s="17"/>
      <c r="QIF9" s="17"/>
      <c r="QIG9" s="17"/>
      <c r="QIH9" s="17"/>
      <c r="QII9" s="17"/>
      <c r="QIJ9" s="17"/>
      <c r="QIK9" s="17"/>
      <c r="QIL9" s="17"/>
      <c r="QIM9" s="17"/>
      <c r="QIN9" s="17"/>
      <c r="QIO9" s="17"/>
      <c r="QIP9" s="17"/>
      <c r="QIQ9" s="17"/>
      <c r="QIR9" s="17"/>
      <c r="QIS9" s="17"/>
      <c r="QIT9" s="17"/>
      <c r="QIU9" s="17"/>
      <c r="QIV9" s="17"/>
      <c r="QIW9" s="17"/>
      <c r="QIX9" s="17"/>
      <c r="QIY9" s="17"/>
      <c r="QIZ9" s="17"/>
      <c r="QJA9" s="17"/>
      <c r="QJB9" s="17"/>
      <c r="QJC9" s="17"/>
      <c r="QJD9" s="17"/>
      <c r="QJE9" s="17"/>
      <c r="QJF9" s="17"/>
      <c r="QJG9" s="17"/>
      <c r="QJH9" s="17"/>
      <c r="QJI9" s="17"/>
      <c r="QJJ9" s="17"/>
      <c r="QJK9" s="17"/>
      <c r="QJL9" s="17"/>
      <c r="QJM9" s="17"/>
      <c r="QJN9" s="17"/>
      <c r="QJO9" s="17"/>
      <c r="QJP9" s="17"/>
      <c r="QJQ9" s="17"/>
      <c r="QJR9" s="17"/>
      <c r="QJS9" s="17"/>
      <c r="QJT9" s="17"/>
      <c r="QJU9" s="17"/>
      <c r="QJV9" s="17"/>
      <c r="QJW9" s="17"/>
      <c r="QJX9" s="17"/>
      <c r="QJY9" s="17"/>
      <c r="QJZ9" s="17"/>
      <c r="QKA9" s="17"/>
      <c r="QKB9" s="17"/>
      <c r="QKC9" s="17"/>
      <c r="QKD9" s="17"/>
      <c r="QKE9" s="17"/>
      <c r="QKF9" s="17"/>
      <c r="QKG9" s="17"/>
      <c r="QKH9" s="17"/>
      <c r="QKI9" s="17"/>
      <c r="QKJ9" s="17"/>
      <c r="QKK9" s="17"/>
      <c r="QKL9" s="17"/>
      <c r="QKM9" s="17"/>
      <c r="QKN9" s="17"/>
      <c r="QKO9" s="17"/>
      <c r="QKP9" s="17"/>
      <c r="QKQ9" s="17"/>
      <c r="QKR9" s="17"/>
      <c r="QKS9" s="17"/>
      <c r="QKT9" s="17"/>
      <c r="QKU9" s="17"/>
      <c r="QKV9" s="17"/>
      <c r="QKW9" s="17"/>
      <c r="QKX9" s="17"/>
      <c r="QKY9" s="17"/>
      <c r="QKZ9" s="17"/>
      <c r="QLA9" s="17"/>
      <c r="QLB9" s="17"/>
      <c r="QLC9" s="17"/>
      <c r="QLD9" s="17"/>
      <c r="QLE9" s="17"/>
      <c r="QLF9" s="17"/>
      <c r="QLG9" s="17"/>
      <c r="QLH9" s="17"/>
      <c r="QLI9" s="17"/>
      <c r="QLJ9" s="17"/>
      <c r="QLK9" s="17"/>
      <c r="QLL9" s="17"/>
      <c r="QLM9" s="17"/>
      <c r="QLN9" s="17"/>
      <c r="QLO9" s="17"/>
      <c r="QLP9" s="17"/>
      <c r="QLQ9" s="17"/>
      <c r="QLR9" s="17"/>
      <c r="QLS9" s="17"/>
      <c r="QLT9" s="17"/>
      <c r="QLU9" s="17"/>
      <c r="QLV9" s="17"/>
      <c r="QLW9" s="17"/>
      <c r="QLX9" s="17"/>
      <c r="QLY9" s="17"/>
      <c r="QLZ9" s="17"/>
      <c r="QMA9" s="17"/>
      <c r="QMB9" s="17"/>
      <c r="QMC9" s="17"/>
      <c r="QMD9" s="17"/>
      <c r="QME9" s="17"/>
      <c r="QMF9" s="17"/>
      <c r="QMG9" s="17"/>
      <c r="QMH9" s="17"/>
      <c r="QMI9" s="17"/>
      <c r="QMJ9" s="17"/>
      <c r="QMK9" s="17"/>
      <c r="QML9" s="17"/>
      <c r="QMM9" s="17"/>
      <c r="QMN9" s="17"/>
      <c r="QMO9" s="17"/>
      <c r="QMP9" s="17"/>
      <c r="QMQ9" s="17"/>
      <c r="QMR9" s="17"/>
      <c r="QMS9" s="17"/>
      <c r="QMT9" s="17"/>
      <c r="QMU9" s="17"/>
      <c r="QMV9" s="17"/>
      <c r="QMW9" s="17"/>
      <c r="QMX9" s="17"/>
      <c r="QMY9" s="17"/>
      <c r="QMZ9" s="17"/>
      <c r="QNA9" s="17"/>
      <c r="QNB9" s="17"/>
      <c r="QNC9" s="17"/>
      <c r="QND9" s="17"/>
      <c r="QNE9" s="17"/>
      <c r="QNF9" s="17"/>
      <c r="QNG9" s="17"/>
      <c r="QNH9" s="17"/>
      <c r="QNI9" s="17"/>
      <c r="QNJ9" s="17"/>
      <c r="QNK9" s="17"/>
      <c r="QNL9" s="17"/>
      <c r="QNM9" s="17"/>
      <c r="QNN9" s="17"/>
      <c r="QNO9" s="17"/>
      <c r="QNP9" s="17"/>
      <c r="QNQ9" s="17"/>
      <c r="QNR9" s="17"/>
      <c r="QNS9" s="17"/>
      <c r="QNT9" s="17"/>
      <c r="QNU9" s="17"/>
      <c r="QNV9" s="17"/>
      <c r="QNW9" s="17"/>
      <c r="QNX9" s="17"/>
      <c r="QNY9" s="17"/>
      <c r="QNZ9" s="17"/>
      <c r="QOA9" s="17"/>
      <c r="QOB9" s="17"/>
      <c r="QOC9" s="17"/>
      <c r="QOD9" s="17"/>
      <c r="QOE9" s="17"/>
      <c r="QOF9" s="17"/>
      <c r="QOG9" s="17"/>
      <c r="QOH9" s="17"/>
      <c r="QOI9" s="17"/>
      <c r="QOJ9" s="17"/>
      <c r="QOK9" s="17"/>
      <c r="QOL9" s="17"/>
      <c r="QOM9" s="17"/>
      <c r="QON9" s="17"/>
      <c r="QOO9" s="17"/>
      <c r="QOP9" s="17"/>
      <c r="QOQ9" s="17"/>
      <c r="QOR9" s="17"/>
      <c r="QOS9" s="17"/>
      <c r="QOT9" s="17"/>
      <c r="QOU9" s="17"/>
      <c r="QOV9" s="17"/>
      <c r="QOW9" s="17"/>
      <c r="QOX9" s="17"/>
      <c r="QOY9" s="17"/>
      <c r="QOZ9" s="17"/>
      <c r="QPA9" s="17"/>
      <c r="QPB9" s="17"/>
      <c r="QPC9" s="17"/>
      <c r="QPD9" s="17"/>
      <c r="QPE9" s="17"/>
      <c r="QPF9" s="17"/>
      <c r="QPG9" s="17"/>
      <c r="QPH9" s="17"/>
      <c r="QPI9" s="17"/>
      <c r="QPJ9" s="17"/>
      <c r="QPK9" s="17"/>
      <c r="QPL9" s="17"/>
      <c r="QPM9" s="17"/>
      <c r="QPN9" s="17"/>
      <c r="QPO9" s="17"/>
      <c r="QPP9" s="17"/>
      <c r="QPQ9" s="17"/>
      <c r="QPR9" s="17"/>
      <c r="QPS9" s="17"/>
      <c r="QPT9" s="17"/>
      <c r="QPU9" s="17"/>
      <c r="QPV9" s="17"/>
      <c r="QPW9" s="17"/>
      <c r="QPX9" s="17"/>
      <c r="QPY9" s="17"/>
      <c r="QPZ9" s="17"/>
      <c r="QQA9" s="17"/>
      <c r="QQB9" s="17"/>
      <c r="QQC9" s="17"/>
      <c r="QQD9" s="17"/>
      <c r="QQE9" s="17"/>
      <c r="QQF9" s="17"/>
      <c r="QQG9" s="17"/>
      <c r="QQH9" s="17"/>
      <c r="QQI9" s="17"/>
      <c r="QQJ9" s="17"/>
      <c r="QQK9" s="17"/>
      <c r="QQL9" s="17"/>
      <c r="QQM9" s="17"/>
      <c r="QQN9" s="17"/>
      <c r="QQO9" s="17"/>
      <c r="QQP9" s="17"/>
      <c r="QQQ9" s="17"/>
      <c r="QQR9" s="17"/>
      <c r="QQS9" s="17"/>
      <c r="QQT9" s="17"/>
      <c r="QQU9" s="17"/>
      <c r="QQV9" s="17"/>
      <c r="QQW9" s="17"/>
      <c r="QQX9" s="17"/>
      <c r="QQY9" s="17"/>
      <c r="QQZ9" s="17"/>
      <c r="QRA9" s="17"/>
      <c r="QRB9" s="17"/>
      <c r="QRC9" s="17"/>
      <c r="QRD9" s="17"/>
      <c r="QRE9" s="17"/>
      <c r="QRF9" s="17"/>
      <c r="QRG9" s="17"/>
      <c r="QRH9" s="17"/>
      <c r="QRI9" s="17"/>
      <c r="QRJ9" s="17"/>
      <c r="QRK9" s="17"/>
      <c r="QRL9" s="17"/>
      <c r="QRM9" s="17"/>
      <c r="QRN9" s="17"/>
      <c r="QRO9" s="17"/>
      <c r="QRP9" s="17"/>
      <c r="QRQ9" s="17"/>
      <c r="QRR9" s="17"/>
      <c r="QRS9" s="17"/>
      <c r="QRT9" s="17"/>
      <c r="QRU9" s="17"/>
      <c r="QRV9" s="17"/>
      <c r="QRW9" s="17"/>
      <c r="QRX9" s="17"/>
      <c r="QRY9" s="17"/>
      <c r="QRZ9" s="17"/>
      <c r="QSA9" s="17"/>
      <c r="QSB9" s="17"/>
      <c r="QSC9" s="17"/>
      <c r="QSD9" s="17"/>
      <c r="QSE9" s="17"/>
      <c r="QSF9" s="17"/>
      <c r="QSG9" s="17"/>
      <c r="QSH9" s="17"/>
      <c r="QSI9" s="17"/>
      <c r="QSJ9" s="17"/>
      <c r="QSK9" s="17"/>
      <c r="QSL9" s="17"/>
      <c r="QSM9" s="17"/>
      <c r="QSN9" s="17"/>
      <c r="QSO9" s="17"/>
      <c r="QSP9" s="17"/>
      <c r="QSQ9" s="17"/>
      <c r="QSR9" s="17"/>
      <c r="QSS9" s="17"/>
      <c r="QST9" s="17"/>
      <c r="QSU9" s="17"/>
      <c r="QSV9" s="17"/>
      <c r="QSW9" s="17"/>
      <c r="QSX9" s="17"/>
      <c r="QSY9" s="17"/>
      <c r="QSZ9" s="17"/>
      <c r="QTA9" s="17"/>
      <c r="QTB9" s="17"/>
      <c r="QTC9" s="17"/>
      <c r="QTD9" s="17"/>
      <c r="QTE9" s="17"/>
      <c r="QTF9" s="17"/>
      <c r="QTG9" s="17"/>
      <c r="QTH9" s="17"/>
      <c r="QTI9" s="17"/>
      <c r="QTJ9" s="17"/>
      <c r="QTK9" s="17"/>
      <c r="QTL9" s="17"/>
      <c r="QTM9" s="17"/>
      <c r="QTN9" s="17"/>
      <c r="QTO9" s="17"/>
      <c r="QTP9" s="17"/>
      <c r="QTQ9" s="17"/>
      <c r="QTR9" s="17"/>
      <c r="QTS9" s="17"/>
      <c r="QTT9" s="17"/>
      <c r="QTU9" s="17"/>
      <c r="QTV9" s="17"/>
      <c r="QTW9" s="17"/>
      <c r="QTX9" s="17"/>
      <c r="QTY9" s="17"/>
      <c r="QTZ9" s="17"/>
      <c r="QUA9" s="17"/>
      <c r="QUB9" s="17"/>
      <c r="QUC9" s="17"/>
      <c r="QUD9" s="17"/>
      <c r="QUE9" s="17"/>
      <c r="QUF9" s="17"/>
      <c r="QUG9" s="17"/>
      <c r="QUH9" s="17"/>
      <c r="QUI9" s="17"/>
      <c r="QUJ9" s="17"/>
      <c r="QUK9" s="17"/>
      <c r="QUL9" s="17"/>
      <c r="QUM9" s="17"/>
      <c r="QUN9" s="17"/>
      <c r="QUO9" s="17"/>
      <c r="QUP9" s="17"/>
      <c r="QUQ9" s="17"/>
      <c r="QUR9" s="17"/>
      <c r="QUS9" s="17"/>
      <c r="QUT9" s="17"/>
      <c r="QUU9" s="17"/>
      <c r="QUV9" s="17"/>
      <c r="QUW9" s="17"/>
      <c r="QUX9" s="17"/>
      <c r="QUY9" s="17"/>
      <c r="QUZ9" s="17"/>
      <c r="QVA9" s="17"/>
      <c r="QVB9" s="17"/>
      <c r="QVC9" s="17"/>
      <c r="QVD9" s="17"/>
      <c r="QVE9" s="17"/>
      <c r="QVF9" s="17"/>
      <c r="QVG9" s="17"/>
      <c r="QVH9" s="17"/>
      <c r="QVI9" s="17"/>
      <c r="QVJ9" s="17"/>
      <c r="QVK9" s="17"/>
      <c r="QVL9" s="17"/>
      <c r="QVM9" s="17"/>
      <c r="QVN9" s="17"/>
      <c r="QVO9" s="17"/>
      <c r="QVP9" s="17"/>
      <c r="QVQ9" s="17"/>
      <c r="QVR9" s="17"/>
      <c r="QVS9" s="17"/>
      <c r="QVT9" s="17"/>
      <c r="QVU9" s="17"/>
      <c r="QVV9" s="17"/>
      <c r="QVW9" s="17"/>
      <c r="QVX9" s="17"/>
      <c r="QVY9" s="17"/>
      <c r="QVZ9" s="17"/>
      <c r="QWA9" s="17"/>
      <c r="QWB9" s="17"/>
      <c r="QWC9" s="17"/>
      <c r="QWD9" s="17"/>
      <c r="QWE9" s="17"/>
      <c r="QWF9" s="17"/>
      <c r="QWG9" s="17"/>
      <c r="QWH9" s="17"/>
      <c r="QWI9" s="17"/>
      <c r="QWJ9" s="17"/>
      <c r="QWK9" s="17"/>
      <c r="QWL9" s="17"/>
      <c r="QWM9" s="17"/>
      <c r="QWN9" s="17"/>
      <c r="QWO9" s="17"/>
      <c r="QWP9" s="17"/>
      <c r="QWQ9" s="17"/>
      <c r="QWR9" s="17"/>
      <c r="QWS9" s="17"/>
      <c r="QWT9" s="17"/>
      <c r="QWU9" s="17"/>
      <c r="QWV9" s="17"/>
      <c r="QWW9" s="17"/>
      <c r="QWX9" s="17"/>
      <c r="QWY9" s="17"/>
      <c r="QWZ9" s="17"/>
      <c r="QXA9" s="17"/>
      <c r="QXB9" s="17"/>
      <c r="QXC9" s="17"/>
      <c r="QXD9" s="17"/>
      <c r="QXE9" s="17"/>
      <c r="QXF9" s="17"/>
      <c r="QXG9" s="17"/>
      <c r="QXH9" s="17"/>
      <c r="QXI9" s="17"/>
      <c r="QXJ9" s="17"/>
      <c r="QXK9" s="17"/>
      <c r="QXL9" s="17"/>
      <c r="QXM9" s="17"/>
      <c r="QXN9" s="17"/>
      <c r="QXO9" s="17"/>
      <c r="QXP9" s="17"/>
      <c r="QXQ9" s="17"/>
      <c r="QXR9" s="17"/>
      <c r="QXS9" s="17"/>
      <c r="QXT9" s="17"/>
      <c r="QXU9" s="17"/>
      <c r="QXV9" s="17"/>
      <c r="QXW9" s="17"/>
      <c r="QXX9" s="17"/>
      <c r="QXY9" s="17"/>
      <c r="QXZ9" s="17"/>
      <c r="QYA9" s="17"/>
      <c r="QYB9" s="17"/>
      <c r="QYC9" s="17"/>
      <c r="QYD9" s="17"/>
      <c r="QYE9" s="17"/>
      <c r="QYF9" s="17"/>
      <c r="QYG9" s="17"/>
      <c r="QYH9" s="17"/>
      <c r="QYI9" s="17"/>
      <c r="QYJ9" s="17"/>
      <c r="QYK9" s="17"/>
      <c r="QYL9" s="17"/>
      <c r="QYM9" s="17"/>
      <c r="QYN9" s="17"/>
      <c r="QYO9" s="17"/>
      <c r="QYP9" s="17"/>
      <c r="QYQ9" s="17"/>
      <c r="QYR9" s="17"/>
      <c r="QYS9" s="17"/>
      <c r="QYT9" s="17"/>
      <c r="QYU9" s="17"/>
      <c r="QYV9" s="17"/>
      <c r="QYW9" s="17"/>
      <c r="QYX9" s="17"/>
      <c r="QYY9" s="17"/>
      <c r="QYZ9" s="17"/>
      <c r="QZA9" s="17"/>
      <c r="QZB9" s="17"/>
      <c r="QZC9" s="17"/>
      <c r="QZD9" s="17"/>
      <c r="QZE9" s="17"/>
      <c r="QZF9" s="17"/>
      <c r="QZG9" s="17"/>
      <c r="QZH9" s="17"/>
      <c r="QZI9" s="17"/>
      <c r="QZJ9" s="17"/>
      <c r="QZK9" s="17"/>
      <c r="QZL9" s="17"/>
      <c r="QZM9" s="17"/>
      <c r="QZN9" s="17"/>
      <c r="QZO9" s="17"/>
      <c r="QZP9" s="17"/>
      <c r="QZQ9" s="17"/>
      <c r="QZR9" s="17"/>
      <c r="QZS9" s="17"/>
      <c r="QZT9" s="17"/>
      <c r="QZU9" s="17"/>
      <c r="QZV9" s="17"/>
      <c r="QZW9" s="17"/>
      <c r="QZX9" s="17"/>
      <c r="QZY9" s="17"/>
      <c r="QZZ9" s="17"/>
      <c r="RAA9" s="17"/>
      <c r="RAB9" s="17"/>
      <c r="RAC9" s="17"/>
      <c r="RAD9" s="17"/>
      <c r="RAE9" s="17"/>
      <c r="RAF9" s="17"/>
      <c r="RAG9" s="17"/>
      <c r="RAH9" s="17"/>
      <c r="RAI9" s="17"/>
      <c r="RAJ9" s="17"/>
      <c r="RAK9" s="17"/>
      <c r="RAL9" s="17"/>
      <c r="RAM9" s="17"/>
      <c r="RAN9" s="17"/>
      <c r="RAO9" s="17"/>
      <c r="RAP9" s="17"/>
      <c r="RAQ9" s="17"/>
      <c r="RAR9" s="17"/>
      <c r="RAS9" s="17"/>
      <c r="RAT9" s="17"/>
      <c r="RAU9" s="17"/>
      <c r="RAV9" s="17"/>
      <c r="RAW9" s="17"/>
      <c r="RAX9" s="17"/>
      <c r="RAY9" s="17"/>
      <c r="RAZ9" s="17"/>
      <c r="RBA9" s="17"/>
      <c r="RBB9" s="17"/>
      <c r="RBC9" s="17"/>
      <c r="RBD9" s="17"/>
      <c r="RBE9" s="17"/>
      <c r="RBF9" s="17"/>
      <c r="RBG9" s="17"/>
      <c r="RBH9" s="17"/>
      <c r="RBI9" s="17"/>
      <c r="RBJ9" s="17"/>
      <c r="RBK9" s="17"/>
      <c r="RBL9" s="17"/>
      <c r="RBM9" s="17"/>
      <c r="RBN9" s="17"/>
      <c r="RBO9" s="17"/>
      <c r="RBP9" s="17"/>
      <c r="RBQ9" s="17"/>
      <c r="RBR9" s="17"/>
      <c r="RBS9" s="17"/>
      <c r="RBT9" s="17"/>
      <c r="RBU9" s="17"/>
      <c r="RBV9" s="17"/>
      <c r="RBW9" s="17"/>
      <c r="RBX9" s="17"/>
      <c r="RBY9" s="17"/>
      <c r="RBZ9" s="17"/>
      <c r="RCA9" s="17"/>
      <c r="RCB9" s="17"/>
      <c r="RCC9" s="17"/>
      <c r="RCD9" s="17"/>
      <c r="RCE9" s="17"/>
      <c r="RCF9" s="17"/>
      <c r="RCG9" s="17"/>
      <c r="RCH9" s="17"/>
      <c r="RCI9" s="17"/>
      <c r="RCJ9" s="17"/>
      <c r="RCK9" s="17"/>
      <c r="RCL9" s="17"/>
      <c r="RCM9" s="17"/>
      <c r="RCN9" s="17"/>
      <c r="RCO9" s="17"/>
      <c r="RCP9" s="17"/>
      <c r="RCQ9" s="17"/>
      <c r="RCR9" s="17"/>
      <c r="RCS9" s="17"/>
      <c r="RCT9" s="17"/>
      <c r="RCU9" s="17"/>
      <c r="RCV9" s="17"/>
      <c r="RCW9" s="17"/>
      <c r="RCX9" s="17"/>
      <c r="RCY9" s="17"/>
      <c r="RCZ9" s="17"/>
      <c r="RDA9" s="17"/>
      <c r="RDB9" s="17"/>
      <c r="RDC9" s="17"/>
      <c r="RDD9" s="17"/>
      <c r="RDE9" s="17"/>
      <c r="RDF9" s="17"/>
      <c r="RDG9" s="17"/>
      <c r="RDH9" s="17"/>
      <c r="RDI9" s="17"/>
      <c r="RDJ9" s="17"/>
      <c r="RDK9" s="17"/>
      <c r="RDL9" s="17"/>
      <c r="RDM9" s="17"/>
      <c r="RDN9" s="17"/>
      <c r="RDO9" s="17"/>
      <c r="RDP9" s="17"/>
      <c r="RDQ9" s="17"/>
      <c r="RDR9" s="17"/>
      <c r="RDS9" s="17"/>
      <c r="RDT9" s="17"/>
      <c r="RDU9" s="17"/>
      <c r="RDV9" s="17"/>
      <c r="RDW9" s="17"/>
      <c r="RDX9" s="17"/>
      <c r="RDY9" s="17"/>
      <c r="RDZ9" s="17"/>
      <c r="REA9" s="17"/>
      <c r="REB9" s="17"/>
      <c r="REC9" s="17"/>
      <c r="RED9" s="17"/>
      <c r="REE9" s="17"/>
      <c r="REF9" s="17"/>
      <c r="REG9" s="17"/>
      <c r="REH9" s="17"/>
      <c r="REI9" s="17"/>
      <c r="REJ9" s="17"/>
      <c r="REK9" s="17"/>
      <c r="REL9" s="17"/>
      <c r="REM9" s="17"/>
      <c r="REN9" s="17"/>
      <c r="REO9" s="17"/>
      <c r="REP9" s="17"/>
      <c r="REQ9" s="17"/>
      <c r="RER9" s="17"/>
      <c r="RES9" s="17"/>
      <c r="RET9" s="17"/>
      <c r="REU9" s="17"/>
      <c r="REV9" s="17"/>
      <c r="REW9" s="17"/>
      <c r="REX9" s="17"/>
      <c r="REY9" s="17"/>
      <c r="REZ9" s="17"/>
      <c r="RFA9" s="17"/>
      <c r="RFB9" s="17"/>
      <c r="RFC9" s="17"/>
      <c r="RFD9" s="17"/>
      <c r="RFE9" s="17"/>
      <c r="RFF9" s="17"/>
      <c r="RFG9" s="17"/>
      <c r="RFH9" s="17"/>
      <c r="RFI9" s="17"/>
      <c r="RFJ9" s="17"/>
      <c r="RFK9" s="17"/>
      <c r="RFL9" s="17"/>
      <c r="RFM9" s="17"/>
      <c r="RFN9" s="17"/>
      <c r="RFO9" s="17"/>
      <c r="RFP9" s="17"/>
      <c r="RFQ9" s="17"/>
      <c r="RFR9" s="17"/>
      <c r="RFS9" s="17"/>
      <c r="RFT9" s="17"/>
      <c r="RFU9" s="17"/>
      <c r="RFV9" s="17"/>
      <c r="RFW9" s="17"/>
      <c r="RFX9" s="17"/>
      <c r="RFY9" s="17"/>
      <c r="RFZ9" s="17"/>
      <c r="RGA9" s="17"/>
      <c r="RGB9" s="17"/>
      <c r="RGC9" s="17"/>
      <c r="RGD9" s="17"/>
      <c r="RGE9" s="17"/>
      <c r="RGF9" s="17"/>
      <c r="RGG9" s="17"/>
      <c r="RGH9" s="17"/>
      <c r="RGI9" s="17"/>
      <c r="RGJ9" s="17"/>
      <c r="RGK9" s="17"/>
      <c r="RGL9" s="17"/>
      <c r="RGM9" s="17"/>
      <c r="RGN9" s="17"/>
      <c r="RGO9" s="17"/>
      <c r="RGP9" s="17"/>
      <c r="RGQ9" s="17"/>
      <c r="RGR9" s="17"/>
      <c r="RGS9" s="17"/>
      <c r="RGT9" s="17"/>
      <c r="RGU9" s="17"/>
      <c r="RGV9" s="17"/>
      <c r="RGW9" s="17"/>
      <c r="RGX9" s="17"/>
      <c r="RGY9" s="17"/>
      <c r="RGZ9" s="17"/>
      <c r="RHA9" s="17"/>
      <c r="RHB9" s="17"/>
      <c r="RHC9" s="17"/>
      <c r="RHD9" s="17"/>
      <c r="RHE9" s="17"/>
      <c r="RHF9" s="17"/>
      <c r="RHG9" s="17"/>
      <c r="RHH9" s="17"/>
      <c r="RHI9" s="17"/>
      <c r="RHJ9" s="17"/>
      <c r="RHK9" s="17"/>
      <c r="RHL9" s="17"/>
      <c r="RHM9" s="17"/>
      <c r="RHN9" s="17"/>
      <c r="RHO9" s="17"/>
      <c r="RHP9" s="17"/>
      <c r="RHQ9" s="17"/>
      <c r="RHR9" s="17"/>
      <c r="RHS9" s="17"/>
      <c r="RHT9" s="17"/>
      <c r="RHU9" s="17"/>
      <c r="RHV9" s="17"/>
      <c r="RHW9" s="17"/>
      <c r="RHX9" s="17"/>
      <c r="RHY9" s="17"/>
      <c r="RHZ9" s="17"/>
      <c r="RIA9" s="17"/>
      <c r="RIB9" s="17"/>
      <c r="RIC9" s="17"/>
      <c r="RID9" s="17"/>
      <c r="RIE9" s="17"/>
      <c r="RIF9" s="17"/>
      <c r="RIG9" s="17"/>
      <c r="RIH9" s="17"/>
      <c r="RII9" s="17"/>
      <c r="RIJ9" s="17"/>
      <c r="RIK9" s="17"/>
      <c r="RIL9" s="17"/>
      <c r="RIM9" s="17"/>
      <c r="RIN9" s="17"/>
      <c r="RIO9" s="17"/>
      <c r="RIP9" s="17"/>
      <c r="RIQ9" s="17"/>
      <c r="RIR9" s="17"/>
      <c r="RIS9" s="17"/>
      <c r="RIT9" s="17"/>
      <c r="RIU9" s="17"/>
      <c r="RIV9" s="17"/>
      <c r="RIW9" s="17"/>
      <c r="RIX9" s="17"/>
      <c r="RIY9" s="17"/>
      <c r="RIZ9" s="17"/>
      <c r="RJA9" s="17"/>
      <c r="RJB9" s="17"/>
      <c r="RJC9" s="17"/>
      <c r="RJD9" s="17"/>
      <c r="RJE9" s="17"/>
      <c r="RJF9" s="17"/>
      <c r="RJG9" s="17"/>
      <c r="RJH9" s="17"/>
      <c r="RJI9" s="17"/>
      <c r="RJJ9" s="17"/>
      <c r="RJK9" s="17"/>
      <c r="RJL9" s="17"/>
      <c r="RJM9" s="17"/>
      <c r="RJN9" s="17"/>
      <c r="RJO9" s="17"/>
      <c r="RJP9" s="17"/>
      <c r="RJQ9" s="17"/>
      <c r="RJR9" s="17"/>
      <c r="RJS9" s="17"/>
      <c r="RJT9" s="17"/>
      <c r="RJU9" s="17"/>
      <c r="RJV9" s="17"/>
      <c r="RJW9" s="17"/>
      <c r="RJX9" s="17"/>
      <c r="RJY9" s="17"/>
      <c r="RJZ9" s="17"/>
      <c r="RKA9" s="17"/>
      <c r="RKB9" s="17"/>
      <c r="RKC9" s="17"/>
      <c r="RKD9" s="17"/>
      <c r="RKE9" s="17"/>
      <c r="RKF9" s="17"/>
      <c r="RKG9" s="17"/>
      <c r="RKH9" s="17"/>
      <c r="RKI9" s="17"/>
      <c r="RKJ9" s="17"/>
      <c r="RKK9" s="17"/>
      <c r="RKL9" s="17"/>
      <c r="RKM9" s="17"/>
      <c r="RKN9" s="17"/>
      <c r="RKO9" s="17"/>
      <c r="RKP9" s="17"/>
      <c r="RKQ9" s="17"/>
      <c r="RKR9" s="17"/>
      <c r="RKS9" s="17"/>
      <c r="RKT9" s="17"/>
      <c r="RKU9" s="17"/>
      <c r="RKV9" s="17"/>
      <c r="RKW9" s="17"/>
      <c r="RKX9" s="17"/>
      <c r="RKY9" s="17"/>
      <c r="RKZ9" s="17"/>
      <c r="RLA9" s="17"/>
      <c r="RLB9" s="17"/>
      <c r="RLC9" s="17"/>
      <c r="RLD9" s="17"/>
      <c r="RLE9" s="17"/>
      <c r="RLF9" s="17"/>
      <c r="RLG9" s="17"/>
      <c r="RLH9" s="17"/>
      <c r="RLI9" s="17"/>
      <c r="RLJ9" s="17"/>
      <c r="RLK9" s="17"/>
      <c r="RLL9" s="17"/>
      <c r="RLM9" s="17"/>
      <c r="RLN9" s="17"/>
      <c r="RLO9" s="17"/>
      <c r="RLP9" s="17"/>
      <c r="RLQ9" s="17"/>
      <c r="RLR9" s="17"/>
      <c r="RLS9" s="17"/>
      <c r="RLT9" s="17"/>
      <c r="RLU9" s="17"/>
      <c r="RLV9" s="17"/>
      <c r="RLW9" s="17"/>
      <c r="RLX9" s="17"/>
      <c r="RLY9" s="17"/>
      <c r="RLZ9" s="17"/>
      <c r="RMA9" s="17"/>
      <c r="RMB9" s="17"/>
      <c r="RMC9" s="17"/>
      <c r="RMD9" s="17"/>
      <c r="RME9" s="17"/>
      <c r="RMF9" s="17"/>
      <c r="RMG9" s="17"/>
      <c r="RMH9" s="17"/>
      <c r="RMI9" s="17"/>
      <c r="RMJ9" s="17"/>
      <c r="RMK9" s="17"/>
      <c r="RML9" s="17"/>
      <c r="RMM9" s="17"/>
      <c r="RMN9" s="17"/>
      <c r="RMO9" s="17"/>
      <c r="RMP9" s="17"/>
      <c r="RMQ9" s="17"/>
      <c r="RMR9" s="17"/>
      <c r="RMS9" s="17"/>
      <c r="RMT9" s="17"/>
      <c r="RMU9" s="17"/>
      <c r="RMV9" s="17"/>
      <c r="RMW9" s="17"/>
      <c r="RMX9" s="17"/>
      <c r="RMY9" s="17"/>
      <c r="RMZ9" s="17"/>
      <c r="RNA9" s="17"/>
      <c r="RNB9" s="17"/>
      <c r="RNC9" s="17"/>
      <c r="RND9" s="17"/>
      <c r="RNE9" s="17"/>
      <c r="RNF9" s="17"/>
      <c r="RNG9" s="17"/>
      <c r="RNH9" s="17"/>
      <c r="RNI9" s="17"/>
      <c r="RNJ9" s="17"/>
      <c r="RNK9" s="17"/>
      <c r="RNL9" s="17"/>
      <c r="RNM9" s="17"/>
      <c r="RNN9" s="17"/>
      <c r="RNO9" s="17"/>
      <c r="RNP9" s="17"/>
      <c r="RNQ9" s="17"/>
      <c r="RNR9" s="17"/>
      <c r="RNS9" s="17"/>
      <c r="RNT9" s="17"/>
      <c r="RNU9" s="17"/>
      <c r="RNV9" s="17"/>
      <c r="RNW9" s="17"/>
      <c r="RNX9" s="17"/>
      <c r="RNY9" s="17"/>
      <c r="RNZ9" s="17"/>
      <c r="ROA9" s="17"/>
      <c r="ROB9" s="17"/>
      <c r="ROC9" s="17"/>
      <c r="ROD9" s="17"/>
      <c r="ROE9" s="17"/>
      <c r="ROF9" s="17"/>
      <c r="ROG9" s="17"/>
      <c r="ROH9" s="17"/>
      <c r="ROI9" s="17"/>
      <c r="ROJ9" s="17"/>
      <c r="ROK9" s="17"/>
      <c r="ROL9" s="17"/>
      <c r="ROM9" s="17"/>
      <c r="RON9" s="17"/>
      <c r="ROO9" s="17"/>
      <c r="ROP9" s="17"/>
      <c r="ROQ9" s="17"/>
      <c r="ROR9" s="17"/>
      <c r="ROS9" s="17"/>
      <c r="ROT9" s="17"/>
      <c r="ROU9" s="17"/>
      <c r="ROV9" s="17"/>
      <c r="ROW9" s="17"/>
      <c r="ROX9" s="17"/>
      <c r="ROY9" s="17"/>
      <c r="ROZ9" s="17"/>
      <c r="RPA9" s="17"/>
      <c r="RPB9" s="17"/>
      <c r="RPC9" s="17"/>
      <c r="RPD9" s="17"/>
      <c r="RPE9" s="17"/>
      <c r="RPF9" s="17"/>
      <c r="RPG9" s="17"/>
      <c r="RPH9" s="17"/>
      <c r="RPI9" s="17"/>
      <c r="RPJ9" s="17"/>
      <c r="RPK9" s="17"/>
      <c r="RPL9" s="17"/>
      <c r="RPM9" s="17"/>
      <c r="RPN9" s="17"/>
      <c r="RPO9" s="17"/>
      <c r="RPP9" s="17"/>
      <c r="RPQ9" s="17"/>
      <c r="RPR9" s="17"/>
      <c r="RPS9" s="17"/>
      <c r="RPT9" s="17"/>
      <c r="RPU9" s="17"/>
      <c r="RPV9" s="17"/>
      <c r="RPW9" s="17"/>
      <c r="RPX9" s="17"/>
      <c r="RPY9" s="17"/>
      <c r="RPZ9" s="17"/>
      <c r="RQA9" s="17"/>
      <c r="RQB9" s="17"/>
      <c r="RQC9" s="17"/>
      <c r="RQD9" s="17"/>
      <c r="RQE9" s="17"/>
      <c r="RQF9" s="17"/>
      <c r="RQG9" s="17"/>
      <c r="RQH9" s="17"/>
      <c r="RQI9" s="17"/>
      <c r="RQJ9" s="17"/>
      <c r="RQK9" s="17"/>
      <c r="RQL9" s="17"/>
      <c r="RQM9" s="17"/>
      <c r="RQN9" s="17"/>
      <c r="RQO9" s="17"/>
      <c r="RQP9" s="17"/>
      <c r="RQQ9" s="17"/>
      <c r="RQR9" s="17"/>
      <c r="RQS9" s="17"/>
      <c r="RQT9" s="17"/>
      <c r="RQU9" s="17"/>
      <c r="RQV9" s="17"/>
      <c r="RQW9" s="17"/>
      <c r="RQX9" s="17"/>
      <c r="RQY9" s="17"/>
      <c r="RQZ9" s="17"/>
      <c r="RRA9" s="17"/>
      <c r="RRB9" s="17"/>
      <c r="RRC9" s="17"/>
      <c r="RRD9" s="17"/>
      <c r="RRE9" s="17"/>
      <c r="RRF9" s="17"/>
      <c r="RRG9" s="17"/>
      <c r="RRH9" s="17"/>
      <c r="RRI9" s="17"/>
      <c r="RRJ9" s="17"/>
      <c r="RRK9" s="17"/>
      <c r="RRL9" s="17"/>
      <c r="RRM9" s="17"/>
      <c r="RRN9" s="17"/>
      <c r="RRO9" s="17"/>
      <c r="RRP9" s="17"/>
      <c r="RRQ9" s="17"/>
      <c r="RRR9" s="17"/>
      <c r="RRS9" s="17"/>
      <c r="RRT9" s="17"/>
      <c r="RRU9" s="17"/>
      <c r="RRV9" s="17"/>
      <c r="RRW9" s="17"/>
      <c r="RRX9" s="17"/>
      <c r="RRY9" s="17"/>
      <c r="RRZ9" s="17"/>
      <c r="RSA9" s="17"/>
      <c r="RSB9" s="17"/>
      <c r="RSC9" s="17"/>
      <c r="RSD9" s="17"/>
      <c r="RSE9" s="17"/>
      <c r="RSF9" s="17"/>
      <c r="RSG9" s="17"/>
      <c r="RSH9" s="17"/>
      <c r="RSI9" s="17"/>
      <c r="RSJ9" s="17"/>
      <c r="RSK9" s="17"/>
      <c r="RSL9" s="17"/>
      <c r="RSM9" s="17"/>
      <c r="RSN9" s="17"/>
      <c r="RSO9" s="17"/>
      <c r="RSP9" s="17"/>
      <c r="RSQ9" s="17"/>
      <c r="RSR9" s="17"/>
      <c r="RSS9" s="17"/>
      <c r="RST9" s="17"/>
      <c r="RSU9" s="17"/>
      <c r="RSV9" s="17"/>
      <c r="RSW9" s="17"/>
      <c r="RSX9" s="17"/>
      <c r="RSY9" s="17"/>
      <c r="RSZ9" s="17"/>
      <c r="RTA9" s="17"/>
      <c r="RTB9" s="17"/>
      <c r="RTC9" s="17"/>
      <c r="RTD9" s="17"/>
      <c r="RTE9" s="17"/>
      <c r="RTF9" s="17"/>
      <c r="RTG9" s="17"/>
      <c r="RTH9" s="17"/>
      <c r="RTI9" s="17"/>
      <c r="RTJ9" s="17"/>
      <c r="RTK9" s="17"/>
      <c r="RTL9" s="17"/>
      <c r="RTM9" s="17"/>
      <c r="RTN9" s="17"/>
      <c r="RTO9" s="17"/>
      <c r="RTP9" s="17"/>
      <c r="RTQ9" s="17"/>
      <c r="RTR9" s="17"/>
      <c r="RTS9" s="17"/>
      <c r="RTT9" s="17"/>
      <c r="RTU9" s="17"/>
      <c r="RTV9" s="17"/>
      <c r="RTW9" s="17"/>
      <c r="RTX9" s="17"/>
      <c r="RTY9" s="17"/>
      <c r="RTZ9" s="17"/>
      <c r="RUA9" s="17"/>
      <c r="RUB9" s="17"/>
      <c r="RUC9" s="17"/>
      <c r="RUD9" s="17"/>
      <c r="RUE9" s="17"/>
      <c r="RUF9" s="17"/>
      <c r="RUG9" s="17"/>
      <c r="RUH9" s="17"/>
      <c r="RUI9" s="17"/>
      <c r="RUJ9" s="17"/>
      <c r="RUK9" s="17"/>
      <c r="RUL9" s="17"/>
      <c r="RUM9" s="17"/>
      <c r="RUN9" s="17"/>
      <c r="RUO9" s="17"/>
      <c r="RUP9" s="17"/>
      <c r="RUQ9" s="17"/>
      <c r="RUR9" s="17"/>
      <c r="RUS9" s="17"/>
      <c r="RUT9" s="17"/>
      <c r="RUU9" s="17"/>
      <c r="RUV9" s="17"/>
      <c r="RUW9" s="17"/>
      <c r="RUX9" s="17"/>
      <c r="RUY9" s="17"/>
      <c r="RUZ9" s="17"/>
      <c r="RVA9" s="17"/>
      <c r="RVB9" s="17"/>
      <c r="RVC9" s="17"/>
      <c r="RVD9" s="17"/>
      <c r="RVE9" s="17"/>
      <c r="RVF9" s="17"/>
      <c r="RVG9" s="17"/>
      <c r="RVH9" s="17"/>
      <c r="RVI9" s="17"/>
      <c r="RVJ9" s="17"/>
      <c r="RVK9" s="17"/>
      <c r="RVL9" s="17"/>
      <c r="RVM9" s="17"/>
      <c r="RVN9" s="17"/>
      <c r="RVO9" s="17"/>
      <c r="RVP9" s="17"/>
      <c r="RVQ9" s="17"/>
      <c r="RVR9" s="17"/>
      <c r="RVS9" s="17"/>
      <c r="RVT9" s="17"/>
      <c r="RVU9" s="17"/>
      <c r="RVV9" s="17"/>
      <c r="RVW9" s="17"/>
      <c r="RVX9" s="17"/>
      <c r="RVY9" s="17"/>
      <c r="RVZ9" s="17"/>
      <c r="RWA9" s="17"/>
      <c r="RWB9" s="17"/>
      <c r="RWC9" s="17"/>
      <c r="RWD9" s="17"/>
      <c r="RWE9" s="17"/>
      <c r="RWF9" s="17"/>
      <c r="RWG9" s="17"/>
      <c r="RWH9" s="17"/>
      <c r="RWI9" s="17"/>
      <c r="RWJ9" s="17"/>
      <c r="RWK9" s="17"/>
      <c r="RWL9" s="17"/>
      <c r="RWM9" s="17"/>
      <c r="RWN9" s="17"/>
      <c r="RWO9" s="17"/>
      <c r="RWP9" s="17"/>
      <c r="RWQ9" s="17"/>
      <c r="RWR9" s="17"/>
      <c r="RWS9" s="17"/>
      <c r="RWT9" s="17"/>
      <c r="RWU9" s="17"/>
      <c r="RWV9" s="17"/>
      <c r="RWW9" s="17"/>
      <c r="RWX9" s="17"/>
      <c r="RWY9" s="17"/>
      <c r="RWZ9" s="17"/>
      <c r="RXA9" s="17"/>
      <c r="RXB9" s="17"/>
      <c r="RXC9" s="17"/>
      <c r="RXD9" s="17"/>
      <c r="RXE9" s="17"/>
      <c r="RXF9" s="17"/>
      <c r="RXG9" s="17"/>
      <c r="RXH9" s="17"/>
      <c r="RXI9" s="17"/>
      <c r="RXJ9" s="17"/>
      <c r="RXK9" s="17"/>
      <c r="RXL9" s="17"/>
      <c r="RXM9" s="17"/>
      <c r="RXN9" s="17"/>
      <c r="RXO9" s="17"/>
      <c r="RXP9" s="17"/>
      <c r="RXQ9" s="17"/>
      <c r="RXR9" s="17"/>
      <c r="RXS9" s="17"/>
      <c r="RXT9" s="17"/>
      <c r="RXU9" s="17"/>
      <c r="RXV9" s="17"/>
      <c r="RXW9" s="17"/>
      <c r="RXX9" s="17"/>
      <c r="RXY9" s="17"/>
      <c r="RXZ9" s="17"/>
      <c r="RYA9" s="17"/>
      <c r="RYB9" s="17"/>
      <c r="RYC9" s="17"/>
      <c r="RYD9" s="17"/>
      <c r="RYE9" s="17"/>
      <c r="RYF9" s="17"/>
      <c r="RYG9" s="17"/>
      <c r="RYH9" s="17"/>
      <c r="RYI9" s="17"/>
      <c r="RYJ9" s="17"/>
      <c r="RYK9" s="17"/>
      <c r="RYL9" s="17"/>
      <c r="RYM9" s="17"/>
      <c r="RYN9" s="17"/>
      <c r="RYO9" s="17"/>
      <c r="RYP9" s="17"/>
      <c r="RYQ9" s="17"/>
      <c r="RYR9" s="17"/>
      <c r="RYS9" s="17"/>
      <c r="RYT9" s="17"/>
      <c r="RYU9" s="17"/>
      <c r="RYV9" s="17"/>
      <c r="RYW9" s="17"/>
      <c r="RYX9" s="17"/>
      <c r="RYY9" s="17"/>
      <c r="RYZ9" s="17"/>
      <c r="RZA9" s="17"/>
      <c r="RZB9" s="17"/>
      <c r="RZC9" s="17"/>
      <c r="RZD9" s="17"/>
      <c r="RZE9" s="17"/>
      <c r="RZF9" s="17"/>
      <c r="RZG9" s="17"/>
      <c r="RZH9" s="17"/>
      <c r="RZI9" s="17"/>
      <c r="RZJ9" s="17"/>
      <c r="RZK9" s="17"/>
      <c r="RZL9" s="17"/>
      <c r="RZM9" s="17"/>
      <c r="RZN9" s="17"/>
      <c r="RZO9" s="17"/>
      <c r="RZP9" s="17"/>
      <c r="RZQ9" s="17"/>
      <c r="RZR9" s="17"/>
      <c r="RZS9" s="17"/>
      <c r="RZT9" s="17"/>
      <c r="RZU9" s="17"/>
      <c r="RZV9" s="17"/>
      <c r="RZW9" s="17"/>
      <c r="RZX9" s="17"/>
      <c r="RZY9" s="17"/>
      <c r="RZZ9" s="17"/>
      <c r="SAA9" s="17"/>
      <c r="SAB9" s="17"/>
      <c r="SAC9" s="17"/>
      <c r="SAD9" s="17"/>
      <c r="SAE9" s="17"/>
      <c r="SAF9" s="17"/>
      <c r="SAG9" s="17"/>
      <c r="SAH9" s="17"/>
      <c r="SAI9" s="17"/>
      <c r="SAJ9" s="17"/>
      <c r="SAK9" s="17"/>
      <c r="SAL9" s="17"/>
      <c r="SAM9" s="17"/>
      <c r="SAN9" s="17"/>
      <c r="SAO9" s="17"/>
      <c r="SAP9" s="17"/>
      <c r="SAQ9" s="17"/>
      <c r="SAR9" s="17"/>
      <c r="SAS9" s="17"/>
      <c r="SAT9" s="17"/>
      <c r="SAU9" s="17"/>
      <c r="SAV9" s="17"/>
      <c r="SAW9" s="17"/>
      <c r="SAX9" s="17"/>
      <c r="SAY9" s="17"/>
      <c r="SAZ9" s="17"/>
      <c r="SBA9" s="17"/>
      <c r="SBB9" s="17"/>
      <c r="SBC9" s="17"/>
      <c r="SBD9" s="17"/>
      <c r="SBE9" s="17"/>
      <c r="SBF9" s="17"/>
      <c r="SBG9" s="17"/>
      <c r="SBH9" s="17"/>
      <c r="SBI9" s="17"/>
      <c r="SBJ9" s="17"/>
      <c r="SBK9" s="17"/>
      <c r="SBL9" s="17"/>
      <c r="SBM9" s="17"/>
      <c r="SBN9" s="17"/>
      <c r="SBO9" s="17"/>
      <c r="SBP9" s="17"/>
      <c r="SBQ9" s="17"/>
      <c r="SBR9" s="17"/>
      <c r="SBS9" s="17"/>
      <c r="SBT9" s="17"/>
      <c r="SBU9" s="17"/>
      <c r="SBV9" s="17"/>
      <c r="SBW9" s="17"/>
      <c r="SBX9" s="17"/>
      <c r="SBY9" s="17"/>
      <c r="SBZ9" s="17"/>
      <c r="SCA9" s="17"/>
      <c r="SCB9" s="17"/>
      <c r="SCC9" s="17"/>
      <c r="SCD9" s="17"/>
      <c r="SCE9" s="17"/>
      <c r="SCF9" s="17"/>
      <c r="SCG9" s="17"/>
      <c r="SCH9" s="17"/>
      <c r="SCI9" s="17"/>
      <c r="SCJ9" s="17"/>
      <c r="SCK9" s="17"/>
      <c r="SCL9" s="17"/>
      <c r="SCM9" s="17"/>
      <c r="SCN9" s="17"/>
      <c r="SCO9" s="17"/>
      <c r="SCP9" s="17"/>
      <c r="SCQ9" s="17"/>
      <c r="SCR9" s="17"/>
      <c r="SCS9" s="17"/>
      <c r="SCT9" s="17"/>
      <c r="SCU9" s="17"/>
      <c r="SCV9" s="17"/>
      <c r="SCW9" s="17"/>
      <c r="SCX9" s="17"/>
      <c r="SCY9" s="17"/>
      <c r="SCZ9" s="17"/>
      <c r="SDA9" s="17"/>
      <c r="SDB9" s="17"/>
      <c r="SDC9" s="17"/>
      <c r="SDD9" s="17"/>
      <c r="SDE9" s="17"/>
      <c r="SDF9" s="17"/>
      <c r="SDG9" s="17"/>
      <c r="SDH9" s="17"/>
      <c r="SDI9" s="17"/>
      <c r="SDJ9" s="17"/>
      <c r="SDK9" s="17"/>
      <c r="SDL9" s="17"/>
      <c r="SDM9" s="17"/>
      <c r="SDN9" s="17"/>
      <c r="SDO9" s="17"/>
      <c r="SDP9" s="17"/>
      <c r="SDQ9" s="17"/>
      <c r="SDR9" s="17"/>
      <c r="SDS9" s="17"/>
      <c r="SDT9" s="17"/>
      <c r="SDU9" s="17"/>
      <c r="SDV9" s="17"/>
      <c r="SDW9" s="17"/>
      <c r="SDX9" s="17"/>
      <c r="SDY9" s="17"/>
      <c r="SDZ9" s="17"/>
      <c r="SEA9" s="17"/>
      <c r="SEB9" s="17"/>
      <c r="SEC9" s="17"/>
      <c r="SED9" s="17"/>
      <c r="SEE9" s="17"/>
      <c r="SEF9" s="17"/>
      <c r="SEG9" s="17"/>
      <c r="SEH9" s="17"/>
      <c r="SEI9" s="17"/>
      <c r="SEJ9" s="17"/>
      <c r="SEK9" s="17"/>
      <c r="SEL9" s="17"/>
      <c r="SEM9" s="17"/>
      <c r="SEN9" s="17"/>
      <c r="SEO9" s="17"/>
      <c r="SEP9" s="17"/>
      <c r="SEQ9" s="17"/>
      <c r="SER9" s="17"/>
      <c r="SES9" s="17"/>
      <c r="SET9" s="17"/>
      <c r="SEU9" s="17"/>
      <c r="SEV9" s="17"/>
      <c r="SEW9" s="17"/>
      <c r="SEX9" s="17"/>
      <c r="SEY9" s="17"/>
      <c r="SEZ9" s="17"/>
      <c r="SFA9" s="17"/>
      <c r="SFB9" s="17"/>
      <c r="SFC9" s="17"/>
      <c r="SFD9" s="17"/>
      <c r="SFE9" s="17"/>
      <c r="SFF9" s="17"/>
      <c r="SFG9" s="17"/>
      <c r="SFH9" s="17"/>
      <c r="SFI9" s="17"/>
      <c r="SFJ9" s="17"/>
      <c r="SFK9" s="17"/>
      <c r="SFL9" s="17"/>
      <c r="SFM9" s="17"/>
      <c r="SFN9" s="17"/>
      <c r="SFO9" s="17"/>
      <c r="SFP9" s="17"/>
      <c r="SFQ9" s="17"/>
      <c r="SFR9" s="17"/>
      <c r="SFS9" s="17"/>
      <c r="SFT9" s="17"/>
      <c r="SFU9" s="17"/>
      <c r="SFV9" s="17"/>
      <c r="SFW9" s="17"/>
      <c r="SFX9" s="17"/>
      <c r="SFY9" s="17"/>
      <c r="SFZ9" s="17"/>
      <c r="SGA9" s="17"/>
      <c r="SGB9" s="17"/>
      <c r="SGC9" s="17"/>
      <c r="SGD9" s="17"/>
      <c r="SGE9" s="17"/>
      <c r="SGF9" s="17"/>
      <c r="SGG9" s="17"/>
      <c r="SGH9" s="17"/>
      <c r="SGI9" s="17"/>
      <c r="SGJ9" s="17"/>
      <c r="SGK9" s="17"/>
      <c r="SGL9" s="17"/>
      <c r="SGM9" s="17"/>
      <c r="SGN9" s="17"/>
      <c r="SGO9" s="17"/>
      <c r="SGP9" s="17"/>
      <c r="SGQ9" s="17"/>
      <c r="SGR9" s="17"/>
      <c r="SGS9" s="17"/>
      <c r="SGT9" s="17"/>
      <c r="SGU9" s="17"/>
      <c r="SGV9" s="17"/>
      <c r="SGW9" s="17"/>
      <c r="SGX9" s="17"/>
      <c r="SGY9" s="17"/>
      <c r="SGZ9" s="17"/>
      <c r="SHA9" s="17"/>
      <c r="SHB9" s="17"/>
      <c r="SHC9" s="17"/>
      <c r="SHD9" s="17"/>
      <c r="SHE9" s="17"/>
      <c r="SHF9" s="17"/>
      <c r="SHG9" s="17"/>
      <c r="SHH9" s="17"/>
      <c r="SHI9" s="17"/>
      <c r="SHJ9" s="17"/>
      <c r="SHK9" s="17"/>
      <c r="SHL9" s="17"/>
      <c r="SHM9" s="17"/>
      <c r="SHN9" s="17"/>
      <c r="SHO9" s="17"/>
      <c r="SHP9" s="17"/>
      <c r="SHQ9" s="17"/>
      <c r="SHR9" s="17"/>
      <c r="SHS9" s="17"/>
      <c r="SHT9" s="17"/>
      <c r="SHU9" s="17"/>
      <c r="SHV9" s="17"/>
      <c r="SHW9" s="17"/>
      <c r="SHX9" s="17"/>
      <c r="SHY9" s="17"/>
      <c r="SHZ9" s="17"/>
      <c r="SIA9" s="17"/>
      <c r="SIB9" s="17"/>
      <c r="SIC9" s="17"/>
      <c r="SID9" s="17"/>
      <c r="SIE9" s="17"/>
      <c r="SIF9" s="17"/>
      <c r="SIG9" s="17"/>
      <c r="SIH9" s="17"/>
      <c r="SII9" s="17"/>
      <c r="SIJ9" s="17"/>
      <c r="SIK9" s="17"/>
      <c r="SIL9" s="17"/>
      <c r="SIM9" s="17"/>
      <c r="SIN9" s="17"/>
      <c r="SIO9" s="17"/>
      <c r="SIP9" s="17"/>
      <c r="SIQ9" s="17"/>
      <c r="SIR9" s="17"/>
      <c r="SIS9" s="17"/>
      <c r="SIT9" s="17"/>
      <c r="SIU9" s="17"/>
      <c r="SIV9" s="17"/>
      <c r="SIW9" s="17"/>
      <c r="SIX9" s="17"/>
      <c r="SIY9" s="17"/>
      <c r="SIZ9" s="17"/>
      <c r="SJA9" s="17"/>
      <c r="SJB9" s="17"/>
      <c r="SJC9" s="17"/>
      <c r="SJD9" s="17"/>
      <c r="SJE9" s="17"/>
      <c r="SJF9" s="17"/>
      <c r="SJG9" s="17"/>
      <c r="SJH9" s="17"/>
      <c r="SJI9" s="17"/>
      <c r="SJJ9" s="17"/>
      <c r="SJK9" s="17"/>
      <c r="SJL9" s="17"/>
      <c r="SJM9" s="17"/>
      <c r="SJN9" s="17"/>
      <c r="SJO9" s="17"/>
      <c r="SJP9" s="17"/>
      <c r="SJQ9" s="17"/>
      <c r="SJR9" s="17"/>
      <c r="SJS9" s="17"/>
      <c r="SJT9" s="17"/>
      <c r="SJU9" s="17"/>
      <c r="SJV9" s="17"/>
      <c r="SJW9" s="17"/>
      <c r="SJX9" s="17"/>
      <c r="SJY9" s="17"/>
      <c r="SJZ9" s="17"/>
      <c r="SKA9" s="17"/>
      <c r="SKB9" s="17"/>
      <c r="SKC9" s="17"/>
      <c r="SKD9" s="17"/>
      <c r="SKE9" s="17"/>
      <c r="SKF9" s="17"/>
      <c r="SKG9" s="17"/>
      <c r="SKH9" s="17"/>
      <c r="SKI9" s="17"/>
      <c r="SKJ9" s="17"/>
      <c r="SKK9" s="17"/>
      <c r="SKL9" s="17"/>
      <c r="SKM9" s="17"/>
      <c r="SKN9" s="17"/>
      <c r="SKO9" s="17"/>
      <c r="SKP9" s="17"/>
      <c r="SKQ9" s="17"/>
      <c r="SKR9" s="17"/>
      <c r="SKS9" s="17"/>
      <c r="SKT9" s="17"/>
      <c r="SKU9" s="17"/>
      <c r="SKV9" s="17"/>
      <c r="SKW9" s="17"/>
      <c r="SKX9" s="17"/>
      <c r="SKY9" s="17"/>
      <c r="SKZ9" s="17"/>
      <c r="SLA9" s="17"/>
      <c r="SLB9" s="17"/>
      <c r="SLC9" s="17"/>
      <c r="SLD9" s="17"/>
      <c r="SLE9" s="17"/>
      <c r="SLF9" s="17"/>
      <c r="SLG9" s="17"/>
      <c r="SLH9" s="17"/>
      <c r="SLI9" s="17"/>
      <c r="SLJ9" s="17"/>
      <c r="SLK9" s="17"/>
      <c r="SLL9" s="17"/>
      <c r="SLM9" s="17"/>
      <c r="SLN9" s="17"/>
      <c r="SLO9" s="17"/>
      <c r="SLP9" s="17"/>
      <c r="SLQ9" s="17"/>
      <c r="SLR9" s="17"/>
      <c r="SLS9" s="17"/>
      <c r="SLT9" s="17"/>
      <c r="SLU9" s="17"/>
      <c r="SLV9" s="17"/>
      <c r="SLW9" s="17"/>
      <c r="SLX9" s="17"/>
      <c r="SLY9" s="17"/>
      <c r="SLZ9" s="17"/>
      <c r="SMA9" s="17"/>
      <c r="SMB9" s="17"/>
      <c r="SMC9" s="17"/>
      <c r="SMD9" s="17"/>
      <c r="SME9" s="17"/>
      <c r="SMF9" s="17"/>
      <c r="SMG9" s="17"/>
      <c r="SMH9" s="17"/>
      <c r="SMI9" s="17"/>
      <c r="SMJ9" s="17"/>
      <c r="SMK9" s="17"/>
      <c r="SML9" s="17"/>
      <c r="SMM9" s="17"/>
      <c r="SMN9" s="17"/>
      <c r="SMO9" s="17"/>
      <c r="SMP9" s="17"/>
      <c r="SMQ9" s="17"/>
      <c r="SMR9" s="17"/>
      <c r="SMS9" s="17"/>
      <c r="SMT9" s="17"/>
      <c r="SMU9" s="17"/>
      <c r="SMV9" s="17"/>
      <c r="SMW9" s="17"/>
      <c r="SMX9" s="17"/>
      <c r="SMY9" s="17"/>
      <c r="SMZ9" s="17"/>
      <c r="SNA9" s="17"/>
      <c r="SNB9" s="17"/>
      <c r="SNC9" s="17"/>
      <c r="SND9" s="17"/>
      <c r="SNE9" s="17"/>
      <c r="SNF9" s="17"/>
      <c r="SNG9" s="17"/>
      <c r="SNH9" s="17"/>
      <c r="SNI9" s="17"/>
      <c r="SNJ9" s="17"/>
      <c r="SNK9" s="17"/>
      <c r="SNL9" s="17"/>
      <c r="SNM9" s="17"/>
      <c r="SNN9" s="17"/>
      <c r="SNO9" s="17"/>
      <c r="SNP9" s="17"/>
      <c r="SNQ9" s="17"/>
      <c r="SNR9" s="17"/>
      <c r="SNS9" s="17"/>
      <c r="SNT9" s="17"/>
      <c r="SNU9" s="17"/>
      <c r="SNV9" s="17"/>
      <c r="SNW9" s="17"/>
      <c r="SNX9" s="17"/>
      <c r="SNY9" s="17"/>
      <c r="SNZ9" s="17"/>
      <c r="SOA9" s="17"/>
      <c r="SOB9" s="17"/>
      <c r="SOC9" s="17"/>
      <c r="SOD9" s="17"/>
      <c r="SOE9" s="17"/>
      <c r="SOF9" s="17"/>
      <c r="SOG9" s="17"/>
      <c r="SOH9" s="17"/>
      <c r="SOI9" s="17"/>
      <c r="SOJ9" s="17"/>
      <c r="SOK9" s="17"/>
      <c r="SOL9" s="17"/>
      <c r="SOM9" s="17"/>
      <c r="SON9" s="17"/>
      <c r="SOO9" s="17"/>
      <c r="SOP9" s="17"/>
      <c r="SOQ9" s="17"/>
      <c r="SOR9" s="17"/>
      <c r="SOS9" s="17"/>
      <c r="SOT9" s="17"/>
      <c r="SOU9" s="17"/>
      <c r="SOV9" s="17"/>
      <c r="SOW9" s="17"/>
      <c r="SOX9" s="17"/>
      <c r="SOY9" s="17"/>
      <c r="SOZ9" s="17"/>
      <c r="SPA9" s="17"/>
      <c r="SPB9" s="17"/>
      <c r="SPC9" s="17"/>
      <c r="SPD9" s="17"/>
      <c r="SPE9" s="17"/>
      <c r="SPF9" s="17"/>
      <c r="SPG9" s="17"/>
      <c r="SPH9" s="17"/>
      <c r="SPI9" s="17"/>
      <c r="SPJ9" s="17"/>
      <c r="SPK9" s="17"/>
      <c r="SPL9" s="17"/>
      <c r="SPM9" s="17"/>
      <c r="SPN9" s="17"/>
      <c r="SPO9" s="17"/>
      <c r="SPP9" s="17"/>
      <c r="SPQ9" s="17"/>
      <c r="SPR9" s="17"/>
      <c r="SPS9" s="17"/>
      <c r="SPT9" s="17"/>
      <c r="SPU9" s="17"/>
      <c r="SPV9" s="17"/>
      <c r="SPW9" s="17"/>
      <c r="SPX9" s="17"/>
      <c r="SPY9" s="17"/>
      <c r="SPZ9" s="17"/>
      <c r="SQA9" s="17"/>
      <c r="SQB9" s="17"/>
      <c r="SQC9" s="17"/>
      <c r="SQD9" s="17"/>
      <c r="SQE9" s="17"/>
      <c r="SQF9" s="17"/>
      <c r="SQG9" s="17"/>
      <c r="SQH9" s="17"/>
      <c r="SQI9" s="17"/>
      <c r="SQJ9" s="17"/>
      <c r="SQK9" s="17"/>
      <c r="SQL9" s="17"/>
      <c r="SQM9" s="17"/>
      <c r="SQN9" s="17"/>
      <c r="SQO9" s="17"/>
      <c r="SQP9" s="17"/>
      <c r="SQQ9" s="17"/>
      <c r="SQR9" s="17"/>
      <c r="SQS9" s="17"/>
      <c r="SQT9" s="17"/>
      <c r="SQU9" s="17"/>
      <c r="SQV9" s="17"/>
      <c r="SQW9" s="17"/>
      <c r="SQX9" s="17"/>
      <c r="SQY9" s="17"/>
      <c r="SQZ9" s="17"/>
      <c r="SRA9" s="17"/>
      <c r="SRB9" s="17"/>
      <c r="SRC9" s="17"/>
      <c r="SRD9" s="17"/>
      <c r="SRE9" s="17"/>
      <c r="SRF9" s="17"/>
      <c r="SRG9" s="17"/>
      <c r="SRH9" s="17"/>
      <c r="SRI9" s="17"/>
      <c r="SRJ9" s="17"/>
      <c r="SRK9" s="17"/>
      <c r="SRL9" s="17"/>
      <c r="SRM9" s="17"/>
      <c r="SRN9" s="17"/>
      <c r="SRO9" s="17"/>
      <c r="SRP9" s="17"/>
      <c r="SRQ9" s="17"/>
      <c r="SRR9" s="17"/>
      <c r="SRS9" s="17"/>
      <c r="SRT9" s="17"/>
      <c r="SRU9" s="17"/>
      <c r="SRV9" s="17"/>
      <c r="SRW9" s="17"/>
      <c r="SRX9" s="17"/>
      <c r="SRY9" s="17"/>
      <c r="SRZ9" s="17"/>
      <c r="SSA9" s="17"/>
      <c r="SSB9" s="17"/>
      <c r="SSC9" s="17"/>
      <c r="SSD9" s="17"/>
      <c r="SSE9" s="17"/>
      <c r="SSF9" s="17"/>
      <c r="SSG9" s="17"/>
      <c r="SSH9" s="17"/>
      <c r="SSI9" s="17"/>
      <c r="SSJ9" s="17"/>
      <c r="SSK9" s="17"/>
      <c r="SSL9" s="17"/>
      <c r="SSM9" s="17"/>
      <c r="SSN9" s="17"/>
      <c r="SSO9" s="17"/>
      <c r="SSP9" s="17"/>
      <c r="SSQ9" s="17"/>
      <c r="SSR9" s="17"/>
      <c r="SSS9" s="17"/>
      <c r="SST9" s="17"/>
      <c r="SSU9" s="17"/>
      <c r="SSV9" s="17"/>
      <c r="SSW9" s="17"/>
      <c r="SSX9" s="17"/>
      <c r="SSY9" s="17"/>
      <c r="SSZ9" s="17"/>
      <c r="STA9" s="17"/>
      <c r="STB9" s="17"/>
      <c r="STC9" s="17"/>
      <c r="STD9" s="17"/>
      <c r="STE9" s="17"/>
      <c r="STF9" s="17"/>
      <c r="STG9" s="17"/>
      <c r="STH9" s="17"/>
      <c r="STI9" s="17"/>
      <c r="STJ9" s="17"/>
      <c r="STK9" s="17"/>
      <c r="STL9" s="17"/>
      <c r="STM9" s="17"/>
      <c r="STN9" s="17"/>
      <c r="STO9" s="17"/>
      <c r="STP9" s="17"/>
      <c r="STQ9" s="17"/>
      <c r="STR9" s="17"/>
      <c r="STS9" s="17"/>
      <c r="STT9" s="17"/>
      <c r="STU9" s="17"/>
      <c r="STV9" s="17"/>
      <c r="STW9" s="17"/>
      <c r="STX9" s="17"/>
      <c r="STY9" s="17"/>
      <c r="STZ9" s="17"/>
      <c r="SUA9" s="17"/>
      <c r="SUB9" s="17"/>
      <c r="SUC9" s="17"/>
      <c r="SUD9" s="17"/>
      <c r="SUE9" s="17"/>
      <c r="SUF9" s="17"/>
      <c r="SUG9" s="17"/>
      <c r="SUH9" s="17"/>
      <c r="SUI9" s="17"/>
      <c r="SUJ9" s="17"/>
      <c r="SUK9" s="17"/>
      <c r="SUL9" s="17"/>
      <c r="SUM9" s="17"/>
      <c r="SUN9" s="17"/>
      <c r="SUO9" s="17"/>
      <c r="SUP9" s="17"/>
      <c r="SUQ9" s="17"/>
      <c r="SUR9" s="17"/>
      <c r="SUS9" s="17"/>
      <c r="SUT9" s="17"/>
      <c r="SUU9" s="17"/>
      <c r="SUV9" s="17"/>
      <c r="SUW9" s="17"/>
      <c r="SUX9" s="17"/>
      <c r="SUY9" s="17"/>
      <c r="SUZ9" s="17"/>
      <c r="SVA9" s="17"/>
      <c r="SVB9" s="17"/>
      <c r="SVC9" s="17"/>
      <c r="SVD9" s="17"/>
      <c r="SVE9" s="17"/>
      <c r="SVF9" s="17"/>
      <c r="SVG9" s="17"/>
      <c r="SVH9" s="17"/>
      <c r="SVI9" s="17"/>
      <c r="SVJ9" s="17"/>
      <c r="SVK9" s="17"/>
      <c r="SVL9" s="17"/>
      <c r="SVM9" s="17"/>
      <c r="SVN9" s="17"/>
      <c r="SVO9" s="17"/>
      <c r="SVP9" s="17"/>
      <c r="SVQ9" s="17"/>
      <c r="SVR9" s="17"/>
      <c r="SVS9" s="17"/>
      <c r="SVT9" s="17"/>
      <c r="SVU9" s="17"/>
      <c r="SVV9" s="17"/>
      <c r="SVW9" s="17"/>
      <c r="SVX9" s="17"/>
      <c r="SVY9" s="17"/>
      <c r="SVZ9" s="17"/>
      <c r="SWA9" s="17"/>
      <c r="SWB9" s="17"/>
      <c r="SWC9" s="17"/>
      <c r="SWD9" s="17"/>
      <c r="SWE9" s="17"/>
      <c r="SWF9" s="17"/>
      <c r="SWG9" s="17"/>
      <c r="SWH9" s="17"/>
      <c r="SWI9" s="17"/>
      <c r="SWJ9" s="17"/>
      <c r="SWK9" s="17"/>
      <c r="SWL9" s="17"/>
      <c r="SWM9" s="17"/>
      <c r="SWN9" s="17"/>
      <c r="SWO9" s="17"/>
      <c r="SWP9" s="17"/>
      <c r="SWQ9" s="17"/>
      <c r="SWR9" s="17"/>
      <c r="SWS9" s="17"/>
      <c r="SWT9" s="17"/>
      <c r="SWU9" s="17"/>
      <c r="SWV9" s="17"/>
      <c r="SWW9" s="17"/>
      <c r="SWX9" s="17"/>
      <c r="SWY9" s="17"/>
      <c r="SWZ9" s="17"/>
      <c r="SXA9" s="17"/>
      <c r="SXB9" s="17"/>
      <c r="SXC9" s="17"/>
      <c r="SXD9" s="17"/>
      <c r="SXE9" s="17"/>
      <c r="SXF9" s="17"/>
      <c r="SXG9" s="17"/>
      <c r="SXH9" s="17"/>
      <c r="SXI9" s="17"/>
      <c r="SXJ9" s="17"/>
      <c r="SXK9" s="17"/>
      <c r="SXL9" s="17"/>
      <c r="SXM9" s="17"/>
      <c r="SXN9" s="17"/>
      <c r="SXO9" s="17"/>
      <c r="SXP9" s="17"/>
      <c r="SXQ9" s="17"/>
      <c r="SXR9" s="17"/>
      <c r="SXS9" s="17"/>
      <c r="SXT9" s="17"/>
      <c r="SXU9" s="17"/>
      <c r="SXV9" s="17"/>
      <c r="SXW9" s="17"/>
      <c r="SXX9" s="17"/>
      <c r="SXY9" s="17"/>
      <c r="SXZ9" s="17"/>
      <c r="SYA9" s="17"/>
      <c r="SYB9" s="17"/>
      <c r="SYC9" s="17"/>
      <c r="SYD9" s="17"/>
      <c r="SYE9" s="17"/>
      <c r="SYF9" s="17"/>
      <c r="SYG9" s="17"/>
      <c r="SYH9" s="17"/>
      <c r="SYI9" s="17"/>
      <c r="SYJ9" s="17"/>
      <c r="SYK9" s="17"/>
      <c r="SYL9" s="17"/>
      <c r="SYM9" s="17"/>
      <c r="SYN9" s="17"/>
      <c r="SYO9" s="17"/>
      <c r="SYP9" s="17"/>
      <c r="SYQ9" s="17"/>
      <c r="SYR9" s="17"/>
      <c r="SYS9" s="17"/>
      <c r="SYT9" s="17"/>
      <c r="SYU9" s="17"/>
      <c r="SYV9" s="17"/>
      <c r="SYW9" s="17"/>
      <c r="SYX9" s="17"/>
      <c r="SYY9" s="17"/>
      <c r="SYZ9" s="17"/>
      <c r="SZA9" s="17"/>
      <c r="SZB9" s="17"/>
      <c r="SZC9" s="17"/>
      <c r="SZD9" s="17"/>
      <c r="SZE9" s="17"/>
      <c r="SZF9" s="17"/>
      <c r="SZG9" s="17"/>
      <c r="SZH9" s="17"/>
      <c r="SZI9" s="17"/>
      <c r="SZJ9" s="17"/>
      <c r="SZK9" s="17"/>
      <c r="SZL9" s="17"/>
      <c r="SZM9" s="17"/>
      <c r="SZN9" s="17"/>
      <c r="SZO9" s="17"/>
      <c r="SZP9" s="17"/>
      <c r="SZQ9" s="17"/>
      <c r="SZR9" s="17"/>
      <c r="SZS9" s="17"/>
      <c r="SZT9" s="17"/>
      <c r="SZU9" s="17"/>
      <c r="SZV9" s="17"/>
      <c r="SZW9" s="17"/>
      <c r="SZX9" s="17"/>
      <c r="SZY9" s="17"/>
      <c r="SZZ9" s="17"/>
      <c r="TAA9" s="17"/>
      <c r="TAB9" s="17"/>
      <c r="TAC9" s="17"/>
      <c r="TAD9" s="17"/>
      <c r="TAE9" s="17"/>
      <c r="TAF9" s="17"/>
      <c r="TAG9" s="17"/>
      <c r="TAH9" s="17"/>
      <c r="TAI9" s="17"/>
      <c r="TAJ9" s="17"/>
      <c r="TAK9" s="17"/>
      <c r="TAL9" s="17"/>
      <c r="TAM9" s="17"/>
      <c r="TAN9" s="17"/>
      <c r="TAO9" s="17"/>
      <c r="TAP9" s="17"/>
      <c r="TAQ9" s="17"/>
      <c r="TAR9" s="17"/>
      <c r="TAS9" s="17"/>
      <c r="TAT9" s="17"/>
      <c r="TAU9" s="17"/>
      <c r="TAV9" s="17"/>
      <c r="TAW9" s="17"/>
      <c r="TAX9" s="17"/>
      <c r="TAY9" s="17"/>
      <c r="TAZ9" s="17"/>
      <c r="TBA9" s="17"/>
      <c r="TBB9" s="17"/>
      <c r="TBC9" s="17"/>
      <c r="TBD9" s="17"/>
      <c r="TBE9" s="17"/>
      <c r="TBF9" s="17"/>
      <c r="TBG9" s="17"/>
      <c r="TBH9" s="17"/>
      <c r="TBI9" s="17"/>
      <c r="TBJ9" s="17"/>
      <c r="TBK9" s="17"/>
      <c r="TBL9" s="17"/>
      <c r="TBM9" s="17"/>
      <c r="TBN9" s="17"/>
      <c r="TBO9" s="17"/>
      <c r="TBP9" s="17"/>
      <c r="TBQ9" s="17"/>
      <c r="TBR9" s="17"/>
      <c r="TBS9" s="17"/>
      <c r="TBT9" s="17"/>
      <c r="TBU9" s="17"/>
      <c r="TBV9" s="17"/>
      <c r="TBW9" s="17"/>
      <c r="TBX9" s="17"/>
      <c r="TBY9" s="17"/>
      <c r="TBZ9" s="17"/>
      <c r="TCA9" s="17"/>
      <c r="TCB9" s="17"/>
      <c r="TCC9" s="17"/>
      <c r="TCD9" s="17"/>
      <c r="TCE9" s="17"/>
      <c r="TCF9" s="17"/>
      <c r="TCG9" s="17"/>
      <c r="TCH9" s="17"/>
      <c r="TCI9" s="17"/>
      <c r="TCJ9" s="17"/>
      <c r="TCK9" s="17"/>
      <c r="TCL9" s="17"/>
      <c r="TCM9" s="17"/>
      <c r="TCN9" s="17"/>
      <c r="TCO9" s="17"/>
      <c r="TCP9" s="17"/>
      <c r="TCQ9" s="17"/>
      <c r="TCR9" s="17"/>
      <c r="TCS9" s="17"/>
      <c r="TCT9" s="17"/>
      <c r="TCU9" s="17"/>
      <c r="TCV9" s="17"/>
      <c r="TCW9" s="17"/>
      <c r="TCX9" s="17"/>
      <c r="TCY9" s="17"/>
      <c r="TCZ9" s="17"/>
      <c r="TDA9" s="17"/>
      <c r="TDB9" s="17"/>
      <c r="TDC9" s="17"/>
      <c r="TDD9" s="17"/>
      <c r="TDE9" s="17"/>
      <c r="TDF9" s="17"/>
      <c r="TDG9" s="17"/>
      <c r="TDH9" s="17"/>
      <c r="TDI9" s="17"/>
      <c r="TDJ9" s="17"/>
      <c r="TDK9" s="17"/>
      <c r="TDL9" s="17"/>
      <c r="TDM9" s="17"/>
      <c r="TDN9" s="17"/>
      <c r="TDO9" s="17"/>
      <c r="TDP9" s="17"/>
      <c r="TDQ9" s="17"/>
      <c r="TDR9" s="17"/>
      <c r="TDS9" s="17"/>
      <c r="TDT9" s="17"/>
      <c r="TDU9" s="17"/>
      <c r="TDV9" s="17"/>
      <c r="TDW9" s="17"/>
      <c r="TDX9" s="17"/>
      <c r="TDY9" s="17"/>
      <c r="TDZ9" s="17"/>
      <c r="TEA9" s="17"/>
      <c r="TEB9" s="17"/>
      <c r="TEC9" s="17"/>
      <c r="TED9" s="17"/>
      <c r="TEE9" s="17"/>
      <c r="TEF9" s="17"/>
      <c r="TEG9" s="17"/>
      <c r="TEH9" s="17"/>
      <c r="TEI9" s="17"/>
      <c r="TEJ9" s="17"/>
      <c r="TEK9" s="17"/>
      <c r="TEL9" s="17"/>
      <c r="TEM9" s="17"/>
      <c r="TEN9" s="17"/>
      <c r="TEO9" s="17"/>
      <c r="TEP9" s="17"/>
      <c r="TEQ9" s="17"/>
      <c r="TER9" s="17"/>
      <c r="TES9" s="17"/>
      <c r="TET9" s="17"/>
      <c r="TEU9" s="17"/>
      <c r="TEV9" s="17"/>
      <c r="TEW9" s="17"/>
      <c r="TEX9" s="17"/>
      <c r="TEY9" s="17"/>
      <c r="TEZ9" s="17"/>
      <c r="TFA9" s="17"/>
      <c r="TFB9" s="17"/>
      <c r="TFC9" s="17"/>
      <c r="TFD9" s="17"/>
      <c r="TFE9" s="17"/>
      <c r="TFF9" s="17"/>
      <c r="TFG9" s="17"/>
      <c r="TFH9" s="17"/>
      <c r="TFI9" s="17"/>
      <c r="TFJ9" s="17"/>
      <c r="TFK9" s="17"/>
      <c r="TFL9" s="17"/>
      <c r="TFM9" s="17"/>
      <c r="TFN9" s="17"/>
      <c r="TFO9" s="17"/>
      <c r="TFP9" s="17"/>
      <c r="TFQ9" s="17"/>
      <c r="TFR9" s="17"/>
      <c r="TFS9" s="17"/>
      <c r="TFT9" s="17"/>
      <c r="TFU9" s="17"/>
      <c r="TFV9" s="17"/>
      <c r="TFW9" s="17"/>
      <c r="TFX9" s="17"/>
      <c r="TFY9" s="17"/>
      <c r="TFZ9" s="17"/>
      <c r="TGA9" s="17"/>
      <c r="TGB9" s="17"/>
      <c r="TGC9" s="17"/>
      <c r="TGD9" s="17"/>
      <c r="TGE9" s="17"/>
      <c r="TGF9" s="17"/>
      <c r="TGG9" s="17"/>
      <c r="TGH9" s="17"/>
      <c r="TGI9" s="17"/>
      <c r="TGJ9" s="17"/>
      <c r="TGK9" s="17"/>
      <c r="TGL9" s="17"/>
      <c r="TGM9" s="17"/>
      <c r="TGN9" s="17"/>
      <c r="TGO9" s="17"/>
      <c r="TGP9" s="17"/>
      <c r="TGQ9" s="17"/>
      <c r="TGR9" s="17"/>
      <c r="TGS9" s="17"/>
      <c r="TGT9" s="17"/>
      <c r="TGU9" s="17"/>
      <c r="TGV9" s="17"/>
      <c r="TGW9" s="17"/>
      <c r="TGX9" s="17"/>
      <c r="TGY9" s="17"/>
      <c r="TGZ9" s="17"/>
      <c r="THA9" s="17"/>
      <c r="THB9" s="17"/>
      <c r="THC9" s="17"/>
      <c r="THD9" s="17"/>
      <c r="THE9" s="17"/>
      <c r="THF9" s="17"/>
      <c r="THG9" s="17"/>
      <c r="THH9" s="17"/>
      <c r="THI9" s="17"/>
      <c r="THJ9" s="17"/>
      <c r="THK9" s="17"/>
      <c r="THL9" s="17"/>
      <c r="THM9" s="17"/>
      <c r="THN9" s="17"/>
      <c r="THO9" s="17"/>
      <c r="THP9" s="17"/>
      <c r="THQ9" s="17"/>
      <c r="THR9" s="17"/>
      <c r="THS9" s="17"/>
      <c r="THT9" s="17"/>
      <c r="THU9" s="17"/>
      <c r="THV9" s="17"/>
      <c r="THW9" s="17"/>
      <c r="THX9" s="17"/>
      <c r="THY9" s="17"/>
      <c r="THZ9" s="17"/>
      <c r="TIA9" s="17"/>
      <c r="TIB9" s="17"/>
      <c r="TIC9" s="17"/>
      <c r="TID9" s="17"/>
      <c r="TIE9" s="17"/>
      <c r="TIF9" s="17"/>
      <c r="TIG9" s="17"/>
      <c r="TIH9" s="17"/>
      <c r="TII9" s="17"/>
      <c r="TIJ9" s="17"/>
      <c r="TIK9" s="17"/>
      <c r="TIL9" s="17"/>
      <c r="TIM9" s="17"/>
      <c r="TIN9" s="17"/>
      <c r="TIO9" s="17"/>
      <c r="TIP9" s="17"/>
      <c r="TIQ9" s="17"/>
      <c r="TIR9" s="17"/>
      <c r="TIS9" s="17"/>
      <c r="TIT9" s="17"/>
      <c r="TIU9" s="17"/>
      <c r="TIV9" s="17"/>
      <c r="TIW9" s="17"/>
      <c r="TIX9" s="17"/>
      <c r="TIY9" s="17"/>
      <c r="TIZ9" s="17"/>
      <c r="TJA9" s="17"/>
      <c r="TJB9" s="17"/>
      <c r="TJC9" s="17"/>
      <c r="TJD9" s="17"/>
      <c r="TJE9" s="17"/>
      <c r="TJF9" s="17"/>
      <c r="TJG9" s="17"/>
      <c r="TJH9" s="17"/>
      <c r="TJI9" s="17"/>
      <c r="TJJ9" s="17"/>
      <c r="TJK9" s="17"/>
      <c r="TJL9" s="17"/>
      <c r="TJM9" s="17"/>
      <c r="TJN9" s="17"/>
      <c r="TJO9" s="17"/>
      <c r="TJP9" s="17"/>
      <c r="TJQ9" s="17"/>
      <c r="TJR9" s="17"/>
      <c r="TJS9" s="17"/>
      <c r="TJT9" s="17"/>
      <c r="TJU9" s="17"/>
      <c r="TJV9" s="17"/>
      <c r="TJW9" s="17"/>
      <c r="TJX9" s="17"/>
      <c r="TJY9" s="17"/>
      <c r="TJZ9" s="17"/>
      <c r="TKA9" s="17"/>
      <c r="TKB9" s="17"/>
      <c r="TKC9" s="17"/>
      <c r="TKD9" s="17"/>
      <c r="TKE9" s="17"/>
      <c r="TKF9" s="17"/>
      <c r="TKG9" s="17"/>
      <c r="TKH9" s="17"/>
      <c r="TKI9" s="17"/>
      <c r="TKJ9" s="17"/>
      <c r="TKK9" s="17"/>
      <c r="TKL9" s="17"/>
      <c r="TKM9" s="17"/>
      <c r="TKN9" s="17"/>
      <c r="TKO9" s="17"/>
      <c r="TKP9" s="17"/>
      <c r="TKQ9" s="17"/>
      <c r="TKR9" s="17"/>
      <c r="TKS9" s="17"/>
      <c r="TKT9" s="17"/>
      <c r="TKU9" s="17"/>
      <c r="TKV9" s="17"/>
      <c r="TKW9" s="17"/>
      <c r="TKX9" s="17"/>
      <c r="TKY9" s="17"/>
      <c r="TKZ9" s="17"/>
      <c r="TLA9" s="17"/>
      <c r="TLB9" s="17"/>
      <c r="TLC9" s="17"/>
      <c r="TLD9" s="17"/>
      <c r="TLE9" s="17"/>
      <c r="TLF9" s="17"/>
      <c r="TLG9" s="17"/>
      <c r="TLH9" s="17"/>
      <c r="TLI9" s="17"/>
      <c r="TLJ9" s="17"/>
      <c r="TLK9" s="17"/>
      <c r="TLL9" s="17"/>
      <c r="TLM9" s="17"/>
      <c r="TLN9" s="17"/>
      <c r="TLO9" s="17"/>
      <c r="TLP9" s="17"/>
      <c r="TLQ9" s="17"/>
      <c r="TLR9" s="17"/>
      <c r="TLS9" s="17"/>
      <c r="TLT9" s="17"/>
      <c r="TLU9" s="17"/>
      <c r="TLV9" s="17"/>
      <c r="TLW9" s="17"/>
      <c r="TLX9" s="17"/>
      <c r="TLY9" s="17"/>
      <c r="TLZ9" s="17"/>
      <c r="TMA9" s="17"/>
      <c r="TMB9" s="17"/>
      <c r="TMC9" s="17"/>
      <c r="TMD9" s="17"/>
      <c r="TME9" s="17"/>
      <c r="TMF9" s="17"/>
      <c r="TMG9" s="17"/>
      <c r="TMH9" s="17"/>
      <c r="TMI9" s="17"/>
      <c r="TMJ9" s="17"/>
      <c r="TMK9" s="17"/>
      <c r="TML9" s="17"/>
      <c r="TMM9" s="17"/>
      <c r="TMN9" s="17"/>
      <c r="TMO9" s="17"/>
      <c r="TMP9" s="17"/>
      <c r="TMQ9" s="17"/>
      <c r="TMR9" s="17"/>
      <c r="TMS9" s="17"/>
      <c r="TMT9" s="17"/>
      <c r="TMU9" s="17"/>
      <c r="TMV9" s="17"/>
      <c r="TMW9" s="17"/>
      <c r="TMX9" s="17"/>
      <c r="TMY9" s="17"/>
      <c r="TMZ9" s="17"/>
      <c r="TNA9" s="17"/>
      <c r="TNB9" s="17"/>
      <c r="TNC9" s="17"/>
      <c r="TND9" s="17"/>
      <c r="TNE9" s="17"/>
      <c r="TNF9" s="17"/>
      <c r="TNG9" s="17"/>
      <c r="TNH9" s="17"/>
      <c r="TNI9" s="17"/>
      <c r="TNJ9" s="17"/>
      <c r="TNK9" s="17"/>
      <c r="TNL9" s="17"/>
      <c r="TNM9" s="17"/>
      <c r="TNN9" s="17"/>
      <c r="TNO9" s="17"/>
      <c r="TNP9" s="17"/>
      <c r="TNQ9" s="17"/>
      <c r="TNR9" s="17"/>
      <c r="TNS9" s="17"/>
      <c r="TNT9" s="17"/>
      <c r="TNU9" s="17"/>
      <c r="TNV9" s="17"/>
      <c r="TNW9" s="17"/>
      <c r="TNX9" s="17"/>
      <c r="TNY9" s="17"/>
      <c r="TNZ9" s="17"/>
      <c r="TOA9" s="17"/>
      <c r="TOB9" s="17"/>
      <c r="TOC9" s="17"/>
      <c r="TOD9" s="17"/>
      <c r="TOE9" s="17"/>
      <c r="TOF9" s="17"/>
      <c r="TOG9" s="17"/>
      <c r="TOH9" s="17"/>
      <c r="TOI9" s="17"/>
      <c r="TOJ9" s="17"/>
      <c r="TOK9" s="17"/>
      <c r="TOL9" s="17"/>
      <c r="TOM9" s="17"/>
      <c r="TON9" s="17"/>
      <c r="TOO9" s="17"/>
      <c r="TOP9" s="17"/>
      <c r="TOQ9" s="17"/>
      <c r="TOR9" s="17"/>
      <c r="TOS9" s="17"/>
      <c r="TOT9" s="17"/>
      <c r="TOU9" s="17"/>
      <c r="TOV9" s="17"/>
      <c r="TOW9" s="17"/>
      <c r="TOX9" s="17"/>
      <c r="TOY9" s="17"/>
      <c r="TOZ9" s="17"/>
      <c r="TPA9" s="17"/>
      <c r="TPB9" s="17"/>
      <c r="TPC9" s="17"/>
      <c r="TPD9" s="17"/>
      <c r="TPE9" s="17"/>
      <c r="TPF9" s="17"/>
      <c r="TPG9" s="17"/>
      <c r="TPH9" s="17"/>
      <c r="TPI9" s="17"/>
      <c r="TPJ9" s="17"/>
      <c r="TPK9" s="17"/>
      <c r="TPL9" s="17"/>
      <c r="TPM9" s="17"/>
      <c r="TPN9" s="17"/>
      <c r="TPO9" s="17"/>
      <c r="TPP9" s="17"/>
      <c r="TPQ9" s="17"/>
      <c r="TPR9" s="17"/>
      <c r="TPS9" s="17"/>
      <c r="TPT9" s="17"/>
      <c r="TPU9" s="17"/>
      <c r="TPV9" s="17"/>
      <c r="TPW9" s="17"/>
      <c r="TPX9" s="17"/>
      <c r="TPY9" s="17"/>
      <c r="TPZ9" s="17"/>
      <c r="TQA9" s="17"/>
      <c r="TQB9" s="17"/>
      <c r="TQC9" s="17"/>
      <c r="TQD9" s="17"/>
      <c r="TQE9" s="17"/>
      <c r="TQF9" s="17"/>
      <c r="TQG9" s="17"/>
      <c r="TQH9" s="17"/>
      <c r="TQI9" s="17"/>
      <c r="TQJ9" s="17"/>
      <c r="TQK9" s="17"/>
      <c r="TQL9" s="17"/>
      <c r="TQM9" s="17"/>
      <c r="TQN9" s="17"/>
      <c r="TQO9" s="17"/>
      <c r="TQP9" s="17"/>
      <c r="TQQ9" s="17"/>
      <c r="TQR9" s="17"/>
      <c r="TQS9" s="17"/>
      <c r="TQT9" s="17"/>
      <c r="TQU9" s="17"/>
      <c r="TQV9" s="17"/>
      <c r="TQW9" s="17"/>
      <c r="TQX9" s="17"/>
      <c r="TQY9" s="17"/>
      <c r="TQZ9" s="17"/>
      <c r="TRA9" s="17"/>
      <c r="TRB9" s="17"/>
      <c r="TRC9" s="17"/>
      <c r="TRD9" s="17"/>
      <c r="TRE9" s="17"/>
      <c r="TRF9" s="17"/>
      <c r="TRG9" s="17"/>
      <c r="TRH9" s="17"/>
      <c r="TRI9" s="17"/>
      <c r="TRJ9" s="17"/>
      <c r="TRK9" s="17"/>
      <c r="TRL9" s="17"/>
      <c r="TRM9" s="17"/>
      <c r="TRN9" s="17"/>
      <c r="TRO9" s="17"/>
      <c r="TRP9" s="17"/>
      <c r="TRQ9" s="17"/>
      <c r="TRR9" s="17"/>
      <c r="TRS9" s="17"/>
      <c r="TRT9" s="17"/>
      <c r="TRU9" s="17"/>
      <c r="TRV9" s="17"/>
      <c r="TRW9" s="17"/>
      <c r="TRX9" s="17"/>
      <c r="TRY9" s="17"/>
      <c r="TRZ9" s="17"/>
      <c r="TSA9" s="17"/>
      <c r="TSB9" s="17"/>
      <c r="TSC9" s="17"/>
      <c r="TSD9" s="17"/>
      <c r="TSE9" s="17"/>
      <c r="TSF9" s="17"/>
      <c r="TSG9" s="17"/>
      <c r="TSH9" s="17"/>
      <c r="TSI9" s="17"/>
      <c r="TSJ9" s="17"/>
      <c r="TSK9" s="17"/>
      <c r="TSL9" s="17"/>
      <c r="TSM9" s="17"/>
      <c r="TSN9" s="17"/>
      <c r="TSO9" s="17"/>
      <c r="TSP9" s="17"/>
      <c r="TSQ9" s="17"/>
      <c r="TSR9" s="17"/>
      <c r="TSS9" s="17"/>
      <c r="TST9" s="17"/>
      <c r="TSU9" s="17"/>
      <c r="TSV9" s="17"/>
      <c r="TSW9" s="17"/>
      <c r="TSX9" s="17"/>
      <c r="TSY9" s="17"/>
      <c r="TSZ9" s="17"/>
      <c r="TTA9" s="17"/>
      <c r="TTB9" s="17"/>
      <c r="TTC9" s="17"/>
      <c r="TTD9" s="17"/>
      <c r="TTE9" s="17"/>
      <c r="TTF9" s="17"/>
      <c r="TTG9" s="17"/>
      <c r="TTH9" s="17"/>
      <c r="TTI9" s="17"/>
      <c r="TTJ9" s="17"/>
      <c r="TTK9" s="17"/>
      <c r="TTL9" s="17"/>
      <c r="TTM9" s="17"/>
      <c r="TTN9" s="17"/>
      <c r="TTO9" s="17"/>
      <c r="TTP9" s="17"/>
      <c r="TTQ9" s="17"/>
      <c r="TTR9" s="17"/>
      <c r="TTS9" s="17"/>
      <c r="TTT9" s="17"/>
      <c r="TTU9" s="17"/>
      <c r="TTV9" s="17"/>
      <c r="TTW9" s="17"/>
      <c r="TTX9" s="17"/>
      <c r="TTY9" s="17"/>
      <c r="TTZ9" s="17"/>
      <c r="TUA9" s="17"/>
      <c r="TUB9" s="17"/>
      <c r="TUC9" s="17"/>
      <c r="TUD9" s="17"/>
      <c r="TUE9" s="17"/>
      <c r="TUF9" s="17"/>
      <c r="TUG9" s="17"/>
      <c r="TUH9" s="17"/>
      <c r="TUI9" s="17"/>
      <c r="TUJ9" s="17"/>
      <c r="TUK9" s="17"/>
      <c r="TUL9" s="17"/>
      <c r="TUM9" s="17"/>
      <c r="TUN9" s="17"/>
      <c r="TUO9" s="17"/>
      <c r="TUP9" s="17"/>
      <c r="TUQ9" s="17"/>
      <c r="TUR9" s="17"/>
      <c r="TUS9" s="17"/>
      <c r="TUT9" s="17"/>
      <c r="TUU9" s="17"/>
      <c r="TUV9" s="17"/>
      <c r="TUW9" s="17"/>
      <c r="TUX9" s="17"/>
      <c r="TUY9" s="17"/>
      <c r="TUZ9" s="17"/>
      <c r="TVA9" s="17"/>
      <c r="TVB9" s="17"/>
      <c r="TVC9" s="17"/>
      <c r="TVD9" s="17"/>
      <c r="TVE9" s="17"/>
      <c r="TVF9" s="17"/>
      <c r="TVG9" s="17"/>
      <c r="TVH9" s="17"/>
      <c r="TVI9" s="17"/>
      <c r="TVJ9" s="17"/>
      <c r="TVK9" s="17"/>
      <c r="TVL9" s="17"/>
      <c r="TVM9" s="17"/>
      <c r="TVN9" s="17"/>
      <c r="TVO9" s="17"/>
      <c r="TVP9" s="17"/>
      <c r="TVQ9" s="17"/>
      <c r="TVR9" s="17"/>
      <c r="TVS9" s="17"/>
      <c r="TVT9" s="17"/>
      <c r="TVU9" s="17"/>
      <c r="TVV9" s="17"/>
      <c r="TVW9" s="17"/>
      <c r="TVX9" s="17"/>
      <c r="TVY9" s="17"/>
      <c r="TVZ9" s="17"/>
      <c r="TWA9" s="17"/>
      <c r="TWB9" s="17"/>
      <c r="TWC9" s="17"/>
      <c r="TWD9" s="17"/>
      <c r="TWE9" s="17"/>
      <c r="TWF9" s="17"/>
      <c r="TWG9" s="17"/>
      <c r="TWH9" s="17"/>
      <c r="TWI9" s="17"/>
      <c r="TWJ9" s="17"/>
      <c r="TWK9" s="17"/>
      <c r="TWL9" s="17"/>
      <c r="TWM9" s="17"/>
      <c r="TWN9" s="17"/>
      <c r="TWO9" s="17"/>
      <c r="TWP9" s="17"/>
      <c r="TWQ9" s="17"/>
      <c r="TWR9" s="17"/>
      <c r="TWS9" s="17"/>
      <c r="TWT9" s="17"/>
      <c r="TWU9" s="17"/>
      <c r="TWV9" s="17"/>
      <c r="TWW9" s="17"/>
      <c r="TWX9" s="17"/>
      <c r="TWY9" s="17"/>
      <c r="TWZ9" s="17"/>
      <c r="TXA9" s="17"/>
      <c r="TXB9" s="17"/>
      <c r="TXC9" s="17"/>
      <c r="TXD9" s="17"/>
      <c r="TXE9" s="17"/>
      <c r="TXF9" s="17"/>
      <c r="TXG9" s="17"/>
      <c r="TXH9" s="17"/>
      <c r="TXI9" s="17"/>
      <c r="TXJ9" s="17"/>
      <c r="TXK9" s="17"/>
      <c r="TXL9" s="17"/>
      <c r="TXM9" s="17"/>
      <c r="TXN9" s="17"/>
      <c r="TXO9" s="17"/>
      <c r="TXP9" s="17"/>
      <c r="TXQ9" s="17"/>
      <c r="TXR9" s="17"/>
      <c r="TXS9" s="17"/>
      <c r="TXT9" s="17"/>
      <c r="TXU9" s="17"/>
      <c r="TXV9" s="17"/>
      <c r="TXW9" s="17"/>
      <c r="TXX9" s="17"/>
      <c r="TXY9" s="17"/>
      <c r="TXZ9" s="17"/>
      <c r="TYA9" s="17"/>
      <c r="TYB9" s="17"/>
      <c r="TYC9" s="17"/>
      <c r="TYD9" s="17"/>
      <c r="TYE9" s="17"/>
      <c r="TYF9" s="17"/>
      <c r="TYG9" s="17"/>
      <c r="TYH9" s="17"/>
      <c r="TYI9" s="17"/>
      <c r="TYJ9" s="17"/>
      <c r="TYK9" s="17"/>
      <c r="TYL9" s="17"/>
      <c r="TYM9" s="17"/>
      <c r="TYN9" s="17"/>
      <c r="TYO9" s="17"/>
      <c r="TYP9" s="17"/>
      <c r="TYQ9" s="17"/>
      <c r="TYR9" s="17"/>
      <c r="TYS9" s="17"/>
      <c r="TYT9" s="17"/>
      <c r="TYU9" s="17"/>
      <c r="TYV9" s="17"/>
      <c r="TYW9" s="17"/>
      <c r="TYX9" s="17"/>
      <c r="TYY9" s="17"/>
      <c r="TYZ9" s="17"/>
      <c r="TZA9" s="17"/>
      <c r="TZB9" s="17"/>
      <c r="TZC9" s="17"/>
      <c r="TZD9" s="17"/>
      <c r="TZE9" s="17"/>
      <c r="TZF9" s="17"/>
      <c r="TZG9" s="17"/>
      <c r="TZH9" s="17"/>
      <c r="TZI9" s="17"/>
      <c r="TZJ9" s="17"/>
      <c r="TZK9" s="17"/>
      <c r="TZL9" s="17"/>
      <c r="TZM9" s="17"/>
      <c r="TZN9" s="17"/>
      <c r="TZO9" s="17"/>
      <c r="TZP9" s="17"/>
      <c r="TZQ9" s="17"/>
      <c r="TZR9" s="17"/>
      <c r="TZS9" s="17"/>
      <c r="TZT9" s="17"/>
      <c r="TZU9" s="17"/>
      <c r="TZV9" s="17"/>
      <c r="TZW9" s="17"/>
      <c r="TZX9" s="17"/>
      <c r="TZY9" s="17"/>
      <c r="TZZ9" s="17"/>
      <c r="UAA9" s="17"/>
      <c r="UAB9" s="17"/>
      <c r="UAC9" s="17"/>
      <c r="UAD9" s="17"/>
      <c r="UAE9" s="17"/>
      <c r="UAF9" s="17"/>
      <c r="UAG9" s="17"/>
      <c r="UAH9" s="17"/>
      <c r="UAI9" s="17"/>
      <c r="UAJ9" s="17"/>
      <c r="UAK9" s="17"/>
      <c r="UAL9" s="17"/>
      <c r="UAM9" s="17"/>
      <c r="UAN9" s="17"/>
      <c r="UAO9" s="17"/>
      <c r="UAP9" s="17"/>
      <c r="UAQ9" s="17"/>
      <c r="UAR9" s="17"/>
      <c r="UAS9" s="17"/>
      <c r="UAT9" s="17"/>
      <c r="UAU9" s="17"/>
      <c r="UAV9" s="17"/>
      <c r="UAW9" s="17"/>
      <c r="UAX9" s="17"/>
      <c r="UAY9" s="17"/>
      <c r="UAZ9" s="17"/>
      <c r="UBA9" s="17"/>
      <c r="UBB9" s="17"/>
      <c r="UBC9" s="17"/>
      <c r="UBD9" s="17"/>
      <c r="UBE9" s="17"/>
      <c r="UBF9" s="17"/>
      <c r="UBG9" s="17"/>
      <c r="UBH9" s="17"/>
      <c r="UBI9" s="17"/>
      <c r="UBJ9" s="17"/>
      <c r="UBK9" s="17"/>
      <c r="UBL9" s="17"/>
      <c r="UBM9" s="17"/>
      <c r="UBN9" s="17"/>
      <c r="UBO9" s="17"/>
      <c r="UBP9" s="17"/>
      <c r="UBQ9" s="17"/>
      <c r="UBR9" s="17"/>
      <c r="UBS9" s="17"/>
      <c r="UBT9" s="17"/>
      <c r="UBU9" s="17"/>
      <c r="UBV9" s="17"/>
      <c r="UBW9" s="17"/>
      <c r="UBX9" s="17"/>
      <c r="UBY9" s="17"/>
      <c r="UBZ9" s="17"/>
      <c r="UCA9" s="17"/>
      <c r="UCB9" s="17"/>
      <c r="UCC9" s="17"/>
      <c r="UCD9" s="17"/>
      <c r="UCE9" s="17"/>
      <c r="UCF9" s="17"/>
      <c r="UCG9" s="17"/>
      <c r="UCH9" s="17"/>
      <c r="UCI9" s="17"/>
      <c r="UCJ9" s="17"/>
      <c r="UCK9" s="17"/>
      <c r="UCL9" s="17"/>
      <c r="UCM9" s="17"/>
      <c r="UCN9" s="17"/>
      <c r="UCO9" s="17"/>
      <c r="UCP9" s="17"/>
      <c r="UCQ9" s="17"/>
      <c r="UCR9" s="17"/>
      <c r="UCS9" s="17"/>
      <c r="UCT9" s="17"/>
      <c r="UCU9" s="17"/>
      <c r="UCV9" s="17"/>
      <c r="UCW9" s="17"/>
      <c r="UCX9" s="17"/>
      <c r="UCY9" s="17"/>
      <c r="UCZ9" s="17"/>
      <c r="UDA9" s="17"/>
      <c r="UDB9" s="17"/>
      <c r="UDC9" s="17"/>
      <c r="UDD9" s="17"/>
      <c r="UDE9" s="17"/>
      <c r="UDF9" s="17"/>
      <c r="UDG9" s="17"/>
      <c r="UDH9" s="17"/>
      <c r="UDI9" s="17"/>
      <c r="UDJ9" s="17"/>
      <c r="UDK9" s="17"/>
      <c r="UDL9" s="17"/>
      <c r="UDM9" s="17"/>
      <c r="UDN9" s="17"/>
      <c r="UDO9" s="17"/>
      <c r="UDP9" s="17"/>
      <c r="UDQ9" s="17"/>
      <c r="UDR9" s="17"/>
      <c r="UDS9" s="17"/>
      <c r="UDT9" s="17"/>
      <c r="UDU9" s="17"/>
      <c r="UDV9" s="17"/>
      <c r="UDW9" s="17"/>
      <c r="UDX9" s="17"/>
      <c r="UDY9" s="17"/>
      <c r="UDZ9" s="17"/>
      <c r="UEA9" s="17"/>
      <c r="UEB9" s="17"/>
      <c r="UEC9" s="17"/>
      <c r="UED9" s="17"/>
      <c r="UEE9" s="17"/>
      <c r="UEF9" s="17"/>
      <c r="UEG9" s="17"/>
      <c r="UEH9" s="17"/>
      <c r="UEI9" s="17"/>
      <c r="UEJ9" s="17"/>
      <c r="UEK9" s="17"/>
      <c r="UEL9" s="17"/>
      <c r="UEM9" s="17"/>
      <c r="UEN9" s="17"/>
      <c r="UEO9" s="17"/>
      <c r="UEP9" s="17"/>
      <c r="UEQ9" s="17"/>
      <c r="UER9" s="17"/>
      <c r="UES9" s="17"/>
      <c r="UET9" s="17"/>
      <c r="UEU9" s="17"/>
      <c r="UEV9" s="17"/>
      <c r="UEW9" s="17"/>
      <c r="UEX9" s="17"/>
      <c r="UEY9" s="17"/>
      <c r="UEZ9" s="17"/>
      <c r="UFA9" s="17"/>
      <c r="UFB9" s="17"/>
      <c r="UFC9" s="17"/>
      <c r="UFD9" s="17"/>
      <c r="UFE9" s="17"/>
      <c r="UFF9" s="17"/>
      <c r="UFG9" s="17"/>
      <c r="UFH9" s="17"/>
      <c r="UFI9" s="17"/>
      <c r="UFJ9" s="17"/>
      <c r="UFK9" s="17"/>
      <c r="UFL9" s="17"/>
      <c r="UFM9" s="17"/>
      <c r="UFN9" s="17"/>
      <c r="UFO9" s="17"/>
      <c r="UFP9" s="17"/>
      <c r="UFQ9" s="17"/>
      <c r="UFR9" s="17"/>
      <c r="UFS9" s="17"/>
      <c r="UFT9" s="17"/>
      <c r="UFU9" s="17"/>
      <c r="UFV9" s="17"/>
      <c r="UFW9" s="17"/>
      <c r="UFX9" s="17"/>
      <c r="UFY9" s="17"/>
      <c r="UFZ9" s="17"/>
      <c r="UGA9" s="17"/>
      <c r="UGB9" s="17"/>
      <c r="UGC9" s="17"/>
      <c r="UGD9" s="17"/>
      <c r="UGE9" s="17"/>
      <c r="UGF9" s="17"/>
      <c r="UGG9" s="17"/>
      <c r="UGH9" s="17"/>
      <c r="UGI9" s="17"/>
      <c r="UGJ9" s="17"/>
      <c r="UGK9" s="17"/>
      <c r="UGL9" s="17"/>
      <c r="UGM9" s="17"/>
      <c r="UGN9" s="17"/>
      <c r="UGO9" s="17"/>
      <c r="UGP9" s="17"/>
      <c r="UGQ9" s="17"/>
      <c r="UGR9" s="17"/>
      <c r="UGS9" s="17"/>
      <c r="UGT9" s="17"/>
      <c r="UGU9" s="17"/>
      <c r="UGV9" s="17"/>
      <c r="UGW9" s="17"/>
      <c r="UGX9" s="17"/>
      <c r="UGY9" s="17"/>
      <c r="UGZ9" s="17"/>
      <c r="UHA9" s="17"/>
      <c r="UHB9" s="17"/>
      <c r="UHC9" s="17"/>
      <c r="UHD9" s="17"/>
      <c r="UHE9" s="17"/>
      <c r="UHF9" s="17"/>
      <c r="UHG9" s="17"/>
      <c r="UHH9" s="17"/>
      <c r="UHI9" s="17"/>
      <c r="UHJ9" s="17"/>
      <c r="UHK9" s="17"/>
      <c r="UHL9" s="17"/>
      <c r="UHM9" s="17"/>
      <c r="UHN9" s="17"/>
      <c r="UHO9" s="17"/>
      <c r="UHP9" s="17"/>
      <c r="UHQ9" s="17"/>
      <c r="UHR9" s="17"/>
      <c r="UHS9" s="17"/>
      <c r="UHT9" s="17"/>
      <c r="UHU9" s="17"/>
      <c r="UHV9" s="17"/>
      <c r="UHW9" s="17"/>
      <c r="UHX9" s="17"/>
      <c r="UHY9" s="17"/>
      <c r="UHZ9" s="17"/>
      <c r="UIA9" s="17"/>
      <c r="UIB9" s="17"/>
      <c r="UIC9" s="17"/>
      <c r="UID9" s="17"/>
      <c r="UIE9" s="17"/>
      <c r="UIF9" s="17"/>
      <c r="UIG9" s="17"/>
      <c r="UIH9" s="17"/>
      <c r="UII9" s="17"/>
      <c r="UIJ9" s="17"/>
      <c r="UIK9" s="17"/>
      <c r="UIL9" s="17"/>
      <c r="UIM9" s="17"/>
      <c r="UIN9" s="17"/>
      <c r="UIO9" s="17"/>
      <c r="UIP9" s="17"/>
      <c r="UIQ9" s="17"/>
      <c r="UIR9" s="17"/>
      <c r="UIS9" s="17"/>
      <c r="UIT9" s="17"/>
      <c r="UIU9" s="17"/>
      <c r="UIV9" s="17"/>
      <c r="UIW9" s="17"/>
      <c r="UIX9" s="17"/>
      <c r="UIY9" s="17"/>
      <c r="UIZ9" s="17"/>
      <c r="UJA9" s="17"/>
      <c r="UJB9" s="17"/>
      <c r="UJC9" s="17"/>
      <c r="UJD9" s="17"/>
      <c r="UJE9" s="17"/>
      <c r="UJF9" s="17"/>
      <c r="UJG9" s="17"/>
      <c r="UJH9" s="17"/>
      <c r="UJI9" s="17"/>
      <c r="UJJ9" s="17"/>
      <c r="UJK9" s="17"/>
      <c r="UJL9" s="17"/>
      <c r="UJM9" s="17"/>
      <c r="UJN9" s="17"/>
      <c r="UJO9" s="17"/>
      <c r="UJP9" s="17"/>
      <c r="UJQ9" s="17"/>
      <c r="UJR9" s="17"/>
      <c r="UJS9" s="17"/>
      <c r="UJT9" s="17"/>
      <c r="UJU9" s="17"/>
      <c r="UJV9" s="17"/>
      <c r="UJW9" s="17"/>
      <c r="UJX9" s="17"/>
      <c r="UJY9" s="17"/>
      <c r="UJZ9" s="17"/>
      <c r="UKA9" s="17"/>
      <c r="UKB9" s="17"/>
      <c r="UKC9" s="17"/>
      <c r="UKD9" s="17"/>
      <c r="UKE9" s="17"/>
      <c r="UKF9" s="17"/>
      <c r="UKG9" s="17"/>
      <c r="UKH9" s="17"/>
      <c r="UKI9" s="17"/>
      <c r="UKJ9" s="17"/>
      <c r="UKK9" s="17"/>
      <c r="UKL9" s="17"/>
      <c r="UKM9" s="17"/>
      <c r="UKN9" s="17"/>
      <c r="UKO9" s="17"/>
      <c r="UKP9" s="17"/>
      <c r="UKQ9" s="17"/>
      <c r="UKR9" s="17"/>
      <c r="UKS9" s="17"/>
      <c r="UKT9" s="17"/>
      <c r="UKU9" s="17"/>
      <c r="UKV9" s="17"/>
      <c r="UKW9" s="17"/>
      <c r="UKX9" s="17"/>
      <c r="UKY9" s="17"/>
      <c r="UKZ9" s="17"/>
      <c r="ULA9" s="17"/>
      <c r="ULB9" s="17"/>
      <c r="ULC9" s="17"/>
      <c r="ULD9" s="17"/>
      <c r="ULE9" s="17"/>
      <c r="ULF9" s="17"/>
      <c r="ULG9" s="17"/>
      <c r="ULH9" s="17"/>
      <c r="ULI9" s="17"/>
      <c r="ULJ9" s="17"/>
      <c r="ULK9" s="17"/>
      <c r="ULL9" s="17"/>
      <c r="ULM9" s="17"/>
      <c r="ULN9" s="17"/>
      <c r="ULO9" s="17"/>
      <c r="ULP9" s="17"/>
      <c r="ULQ9" s="17"/>
      <c r="ULR9" s="17"/>
      <c r="ULS9" s="17"/>
      <c r="ULT9" s="17"/>
      <c r="ULU9" s="17"/>
      <c r="ULV9" s="17"/>
      <c r="ULW9" s="17"/>
      <c r="ULX9" s="17"/>
      <c r="ULY9" s="17"/>
      <c r="ULZ9" s="17"/>
      <c r="UMA9" s="17"/>
      <c r="UMB9" s="17"/>
      <c r="UMC9" s="17"/>
      <c r="UMD9" s="17"/>
      <c r="UME9" s="17"/>
      <c r="UMF9" s="17"/>
      <c r="UMG9" s="17"/>
      <c r="UMH9" s="17"/>
      <c r="UMI9" s="17"/>
      <c r="UMJ9" s="17"/>
      <c r="UMK9" s="17"/>
      <c r="UML9" s="17"/>
      <c r="UMM9" s="17"/>
      <c r="UMN9" s="17"/>
      <c r="UMO9" s="17"/>
      <c r="UMP9" s="17"/>
      <c r="UMQ9" s="17"/>
      <c r="UMR9" s="17"/>
      <c r="UMS9" s="17"/>
      <c r="UMT9" s="17"/>
      <c r="UMU9" s="17"/>
      <c r="UMV9" s="17"/>
      <c r="UMW9" s="17"/>
      <c r="UMX9" s="17"/>
      <c r="UMY9" s="17"/>
      <c r="UMZ9" s="17"/>
      <c r="UNA9" s="17"/>
      <c r="UNB9" s="17"/>
      <c r="UNC9" s="17"/>
      <c r="UND9" s="17"/>
      <c r="UNE9" s="17"/>
      <c r="UNF9" s="17"/>
      <c r="UNG9" s="17"/>
      <c r="UNH9" s="17"/>
      <c r="UNI9" s="17"/>
      <c r="UNJ9" s="17"/>
      <c r="UNK9" s="17"/>
      <c r="UNL9" s="17"/>
      <c r="UNM9" s="17"/>
      <c r="UNN9" s="17"/>
      <c r="UNO9" s="17"/>
      <c r="UNP9" s="17"/>
      <c r="UNQ9" s="17"/>
      <c r="UNR9" s="17"/>
      <c r="UNS9" s="17"/>
      <c r="UNT9" s="17"/>
      <c r="UNU9" s="17"/>
      <c r="UNV9" s="17"/>
      <c r="UNW9" s="17"/>
      <c r="UNX9" s="17"/>
      <c r="UNY9" s="17"/>
      <c r="UNZ9" s="17"/>
      <c r="UOA9" s="17"/>
      <c r="UOB9" s="17"/>
      <c r="UOC9" s="17"/>
      <c r="UOD9" s="17"/>
      <c r="UOE9" s="17"/>
      <c r="UOF9" s="17"/>
      <c r="UOG9" s="17"/>
      <c r="UOH9" s="17"/>
      <c r="UOI9" s="17"/>
      <c r="UOJ9" s="17"/>
      <c r="UOK9" s="17"/>
      <c r="UOL9" s="17"/>
      <c r="UOM9" s="17"/>
      <c r="UON9" s="17"/>
      <c r="UOO9" s="17"/>
      <c r="UOP9" s="17"/>
      <c r="UOQ9" s="17"/>
      <c r="UOR9" s="17"/>
      <c r="UOS9" s="17"/>
      <c r="UOT9" s="17"/>
      <c r="UOU9" s="17"/>
      <c r="UOV9" s="17"/>
      <c r="UOW9" s="17"/>
      <c r="UOX9" s="17"/>
      <c r="UOY9" s="17"/>
      <c r="UOZ9" s="17"/>
      <c r="UPA9" s="17"/>
      <c r="UPB9" s="17"/>
      <c r="UPC9" s="17"/>
      <c r="UPD9" s="17"/>
      <c r="UPE9" s="17"/>
      <c r="UPF9" s="17"/>
      <c r="UPG9" s="17"/>
      <c r="UPH9" s="17"/>
      <c r="UPI9" s="17"/>
      <c r="UPJ9" s="17"/>
      <c r="UPK9" s="17"/>
      <c r="UPL9" s="17"/>
      <c r="UPM9" s="17"/>
      <c r="UPN9" s="17"/>
      <c r="UPO9" s="17"/>
      <c r="UPP9" s="17"/>
      <c r="UPQ9" s="17"/>
      <c r="UPR9" s="17"/>
      <c r="UPS9" s="17"/>
      <c r="UPT9" s="17"/>
      <c r="UPU9" s="17"/>
      <c r="UPV9" s="17"/>
      <c r="UPW9" s="17"/>
      <c r="UPX9" s="17"/>
      <c r="UPY9" s="17"/>
      <c r="UPZ9" s="17"/>
      <c r="UQA9" s="17"/>
      <c r="UQB9" s="17"/>
      <c r="UQC9" s="17"/>
      <c r="UQD9" s="17"/>
      <c r="UQE9" s="17"/>
      <c r="UQF9" s="17"/>
      <c r="UQG9" s="17"/>
      <c r="UQH9" s="17"/>
      <c r="UQI9" s="17"/>
      <c r="UQJ9" s="17"/>
      <c r="UQK9" s="17"/>
      <c r="UQL9" s="17"/>
      <c r="UQM9" s="17"/>
      <c r="UQN9" s="17"/>
      <c r="UQO9" s="17"/>
      <c r="UQP9" s="17"/>
      <c r="UQQ9" s="17"/>
      <c r="UQR9" s="17"/>
      <c r="UQS9" s="17"/>
      <c r="UQT9" s="17"/>
      <c r="UQU9" s="17"/>
      <c r="UQV9" s="17"/>
      <c r="UQW9" s="17"/>
      <c r="UQX9" s="17"/>
      <c r="UQY9" s="17"/>
      <c r="UQZ9" s="17"/>
      <c r="URA9" s="17"/>
      <c r="URB9" s="17"/>
      <c r="URC9" s="17"/>
      <c r="URD9" s="17"/>
      <c r="URE9" s="17"/>
      <c r="URF9" s="17"/>
      <c r="URG9" s="17"/>
      <c r="URH9" s="17"/>
      <c r="URI9" s="17"/>
      <c r="URJ9" s="17"/>
      <c r="URK9" s="17"/>
      <c r="URL9" s="17"/>
      <c r="URM9" s="17"/>
      <c r="URN9" s="17"/>
      <c r="URO9" s="17"/>
      <c r="URP9" s="17"/>
      <c r="URQ9" s="17"/>
      <c r="URR9" s="17"/>
      <c r="URS9" s="17"/>
      <c r="URT9" s="17"/>
      <c r="URU9" s="17"/>
      <c r="URV9" s="17"/>
      <c r="URW9" s="17"/>
      <c r="URX9" s="17"/>
      <c r="URY9" s="17"/>
      <c r="URZ9" s="17"/>
      <c r="USA9" s="17"/>
      <c r="USB9" s="17"/>
      <c r="USC9" s="17"/>
      <c r="USD9" s="17"/>
      <c r="USE9" s="17"/>
      <c r="USF9" s="17"/>
      <c r="USG9" s="17"/>
      <c r="USH9" s="17"/>
      <c r="USI9" s="17"/>
      <c r="USJ9" s="17"/>
      <c r="USK9" s="17"/>
      <c r="USL9" s="17"/>
      <c r="USM9" s="17"/>
      <c r="USN9" s="17"/>
      <c r="USO9" s="17"/>
      <c r="USP9" s="17"/>
      <c r="USQ9" s="17"/>
      <c r="USR9" s="17"/>
      <c r="USS9" s="17"/>
      <c r="UST9" s="17"/>
      <c r="USU9" s="17"/>
      <c r="USV9" s="17"/>
      <c r="USW9" s="17"/>
      <c r="USX9" s="17"/>
      <c r="USY9" s="17"/>
      <c r="USZ9" s="17"/>
      <c r="UTA9" s="17"/>
      <c r="UTB9" s="17"/>
      <c r="UTC9" s="17"/>
      <c r="UTD9" s="17"/>
      <c r="UTE9" s="17"/>
      <c r="UTF9" s="17"/>
      <c r="UTG9" s="17"/>
      <c r="UTH9" s="17"/>
      <c r="UTI9" s="17"/>
      <c r="UTJ9" s="17"/>
      <c r="UTK9" s="17"/>
      <c r="UTL9" s="17"/>
      <c r="UTM9" s="17"/>
      <c r="UTN9" s="17"/>
      <c r="UTO9" s="17"/>
      <c r="UTP9" s="17"/>
      <c r="UTQ9" s="17"/>
      <c r="UTR9" s="17"/>
      <c r="UTS9" s="17"/>
      <c r="UTT9" s="17"/>
      <c r="UTU9" s="17"/>
      <c r="UTV9" s="17"/>
      <c r="UTW9" s="17"/>
      <c r="UTX9" s="17"/>
      <c r="UTY9" s="17"/>
      <c r="UTZ9" s="17"/>
      <c r="UUA9" s="17"/>
      <c r="UUB9" s="17"/>
      <c r="UUC9" s="17"/>
      <c r="UUD9" s="17"/>
      <c r="UUE9" s="17"/>
      <c r="UUF9" s="17"/>
      <c r="UUG9" s="17"/>
      <c r="UUH9" s="17"/>
      <c r="UUI9" s="17"/>
      <c r="UUJ9" s="17"/>
      <c r="UUK9" s="17"/>
      <c r="UUL9" s="17"/>
      <c r="UUM9" s="17"/>
      <c r="UUN9" s="17"/>
      <c r="UUO9" s="17"/>
      <c r="UUP9" s="17"/>
      <c r="UUQ9" s="17"/>
      <c r="UUR9" s="17"/>
      <c r="UUS9" s="17"/>
      <c r="UUT9" s="17"/>
      <c r="UUU9" s="17"/>
      <c r="UUV9" s="17"/>
      <c r="UUW9" s="17"/>
      <c r="UUX9" s="17"/>
      <c r="UUY9" s="17"/>
      <c r="UUZ9" s="17"/>
      <c r="UVA9" s="17"/>
      <c r="UVB9" s="17"/>
      <c r="UVC9" s="17"/>
      <c r="UVD9" s="17"/>
      <c r="UVE9" s="17"/>
      <c r="UVF9" s="17"/>
      <c r="UVG9" s="17"/>
      <c r="UVH9" s="17"/>
      <c r="UVI9" s="17"/>
      <c r="UVJ9" s="17"/>
      <c r="UVK9" s="17"/>
      <c r="UVL9" s="17"/>
      <c r="UVM9" s="17"/>
      <c r="UVN9" s="17"/>
      <c r="UVO9" s="17"/>
      <c r="UVP9" s="17"/>
      <c r="UVQ9" s="17"/>
      <c r="UVR9" s="17"/>
      <c r="UVS9" s="17"/>
      <c r="UVT9" s="17"/>
      <c r="UVU9" s="17"/>
      <c r="UVV9" s="17"/>
      <c r="UVW9" s="17"/>
      <c r="UVX9" s="17"/>
      <c r="UVY9" s="17"/>
      <c r="UVZ9" s="17"/>
      <c r="UWA9" s="17"/>
      <c r="UWB9" s="17"/>
      <c r="UWC9" s="17"/>
      <c r="UWD9" s="17"/>
      <c r="UWE9" s="17"/>
      <c r="UWF9" s="17"/>
      <c r="UWG9" s="17"/>
      <c r="UWH9" s="17"/>
      <c r="UWI9" s="17"/>
      <c r="UWJ9" s="17"/>
      <c r="UWK9" s="17"/>
      <c r="UWL9" s="17"/>
      <c r="UWM9" s="17"/>
      <c r="UWN9" s="17"/>
      <c r="UWO9" s="17"/>
      <c r="UWP9" s="17"/>
      <c r="UWQ9" s="17"/>
      <c r="UWR9" s="17"/>
      <c r="UWS9" s="17"/>
      <c r="UWT9" s="17"/>
      <c r="UWU9" s="17"/>
      <c r="UWV9" s="17"/>
      <c r="UWW9" s="17"/>
      <c r="UWX9" s="17"/>
      <c r="UWY9" s="17"/>
      <c r="UWZ9" s="17"/>
      <c r="UXA9" s="17"/>
      <c r="UXB9" s="17"/>
      <c r="UXC9" s="17"/>
      <c r="UXD9" s="17"/>
      <c r="UXE9" s="17"/>
      <c r="UXF9" s="17"/>
      <c r="UXG9" s="17"/>
      <c r="UXH9" s="17"/>
      <c r="UXI9" s="17"/>
      <c r="UXJ9" s="17"/>
      <c r="UXK9" s="17"/>
      <c r="UXL9" s="17"/>
      <c r="UXM9" s="17"/>
      <c r="UXN9" s="17"/>
      <c r="UXO9" s="17"/>
      <c r="UXP9" s="17"/>
      <c r="UXQ9" s="17"/>
      <c r="UXR9" s="17"/>
      <c r="UXS9" s="17"/>
      <c r="UXT9" s="17"/>
      <c r="UXU9" s="17"/>
      <c r="UXV9" s="17"/>
      <c r="UXW9" s="17"/>
      <c r="UXX9" s="17"/>
      <c r="UXY9" s="17"/>
      <c r="UXZ9" s="17"/>
      <c r="UYA9" s="17"/>
      <c r="UYB9" s="17"/>
      <c r="UYC9" s="17"/>
      <c r="UYD9" s="17"/>
      <c r="UYE9" s="17"/>
      <c r="UYF9" s="17"/>
      <c r="UYG9" s="17"/>
      <c r="UYH9" s="17"/>
      <c r="UYI9" s="17"/>
      <c r="UYJ9" s="17"/>
      <c r="UYK9" s="17"/>
      <c r="UYL9" s="17"/>
      <c r="UYM9" s="17"/>
      <c r="UYN9" s="17"/>
      <c r="UYO9" s="17"/>
      <c r="UYP9" s="17"/>
      <c r="UYQ9" s="17"/>
      <c r="UYR9" s="17"/>
      <c r="UYS9" s="17"/>
      <c r="UYT9" s="17"/>
      <c r="UYU9" s="17"/>
      <c r="UYV9" s="17"/>
      <c r="UYW9" s="17"/>
      <c r="UYX9" s="17"/>
      <c r="UYY9" s="17"/>
      <c r="UYZ9" s="17"/>
      <c r="UZA9" s="17"/>
      <c r="UZB9" s="17"/>
      <c r="UZC9" s="17"/>
      <c r="UZD9" s="17"/>
      <c r="UZE9" s="17"/>
      <c r="UZF9" s="17"/>
      <c r="UZG9" s="17"/>
      <c r="UZH9" s="17"/>
      <c r="UZI9" s="17"/>
      <c r="UZJ9" s="17"/>
      <c r="UZK9" s="17"/>
      <c r="UZL9" s="17"/>
      <c r="UZM9" s="17"/>
      <c r="UZN9" s="17"/>
      <c r="UZO9" s="17"/>
      <c r="UZP9" s="17"/>
      <c r="UZQ9" s="17"/>
      <c r="UZR9" s="17"/>
      <c r="UZS9" s="17"/>
      <c r="UZT9" s="17"/>
      <c r="UZU9" s="17"/>
      <c r="UZV9" s="17"/>
      <c r="UZW9" s="17"/>
      <c r="UZX9" s="17"/>
      <c r="UZY9" s="17"/>
      <c r="UZZ9" s="17"/>
      <c r="VAA9" s="17"/>
      <c r="VAB9" s="17"/>
      <c r="VAC9" s="17"/>
      <c r="VAD9" s="17"/>
      <c r="VAE9" s="17"/>
      <c r="VAF9" s="17"/>
      <c r="VAG9" s="17"/>
      <c r="VAH9" s="17"/>
      <c r="VAI9" s="17"/>
      <c r="VAJ9" s="17"/>
      <c r="VAK9" s="17"/>
      <c r="VAL9" s="17"/>
      <c r="VAM9" s="17"/>
      <c r="VAN9" s="17"/>
      <c r="VAO9" s="17"/>
      <c r="VAP9" s="17"/>
      <c r="VAQ9" s="17"/>
      <c r="VAR9" s="17"/>
      <c r="VAS9" s="17"/>
      <c r="VAT9" s="17"/>
      <c r="VAU9" s="17"/>
      <c r="VAV9" s="17"/>
      <c r="VAW9" s="17"/>
      <c r="VAX9" s="17"/>
      <c r="VAY9" s="17"/>
      <c r="VAZ9" s="17"/>
      <c r="VBA9" s="17"/>
      <c r="VBB9" s="17"/>
      <c r="VBC9" s="17"/>
      <c r="VBD9" s="17"/>
      <c r="VBE9" s="17"/>
      <c r="VBF9" s="17"/>
      <c r="VBG9" s="17"/>
      <c r="VBH9" s="17"/>
      <c r="VBI9" s="17"/>
      <c r="VBJ9" s="17"/>
      <c r="VBK9" s="17"/>
      <c r="VBL9" s="17"/>
      <c r="VBM9" s="17"/>
      <c r="VBN9" s="17"/>
      <c r="VBO9" s="17"/>
      <c r="VBP9" s="17"/>
      <c r="VBQ9" s="17"/>
      <c r="VBR9" s="17"/>
      <c r="VBS9" s="17"/>
      <c r="VBT9" s="17"/>
      <c r="VBU9" s="17"/>
      <c r="VBV9" s="17"/>
      <c r="VBW9" s="17"/>
      <c r="VBX9" s="17"/>
      <c r="VBY9" s="17"/>
      <c r="VBZ9" s="17"/>
      <c r="VCA9" s="17"/>
      <c r="VCB9" s="17"/>
      <c r="VCC9" s="17"/>
      <c r="VCD9" s="17"/>
      <c r="VCE9" s="17"/>
      <c r="VCF9" s="17"/>
      <c r="VCG9" s="17"/>
      <c r="VCH9" s="17"/>
      <c r="VCI9" s="17"/>
      <c r="VCJ9" s="17"/>
      <c r="VCK9" s="17"/>
      <c r="VCL9" s="17"/>
      <c r="VCM9" s="17"/>
      <c r="VCN9" s="17"/>
      <c r="VCO9" s="17"/>
      <c r="VCP9" s="17"/>
      <c r="VCQ9" s="17"/>
      <c r="VCR9" s="17"/>
      <c r="VCS9" s="17"/>
      <c r="VCT9" s="17"/>
      <c r="VCU9" s="17"/>
      <c r="VCV9" s="17"/>
      <c r="VCW9" s="17"/>
      <c r="VCX9" s="17"/>
      <c r="VCY9" s="17"/>
      <c r="VCZ9" s="17"/>
      <c r="VDA9" s="17"/>
      <c r="VDB9" s="17"/>
      <c r="VDC9" s="17"/>
      <c r="VDD9" s="17"/>
      <c r="VDE9" s="17"/>
      <c r="VDF9" s="17"/>
      <c r="VDG9" s="17"/>
      <c r="VDH9" s="17"/>
      <c r="VDI9" s="17"/>
      <c r="VDJ9" s="17"/>
      <c r="VDK9" s="17"/>
      <c r="VDL9" s="17"/>
      <c r="VDM9" s="17"/>
      <c r="VDN9" s="17"/>
      <c r="VDO9" s="17"/>
      <c r="VDP9" s="17"/>
      <c r="VDQ9" s="17"/>
      <c r="VDR9" s="17"/>
      <c r="VDS9" s="17"/>
      <c r="VDT9" s="17"/>
      <c r="VDU9" s="17"/>
      <c r="VDV9" s="17"/>
      <c r="VDW9" s="17"/>
      <c r="VDX9" s="17"/>
      <c r="VDY9" s="17"/>
      <c r="VDZ9" s="17"/>
      <c r="VEA9" s="17"/>
      <c r="VEB9" s="17"/>
      <c r="VEC9" s="17"/>
      <c r="VED9" s="17"/>
      <c r="VEE9" s="17"/>
      <c r="VEF9" s="17"/>
      <c r="VEG9" s="17"/>
      <c r="VEH9" s="17"/>
      <c r="VEI9" s="17"/>
      <c r="VEJ9" s="17"/>
      <c r="VEK9" s="17"/>
      <c r="VEL9" s="17"/>
      <c r="VEM9" s="17"/>
      <c r="VEN9" s="17"/>
      <c r="VEO9" s="17"/>
      <c r="VEP9" s="17"/>
      <c r="VEQ9" s="17"/>
      <c r="VER9" s="17"/>
      <c r="VES9" s="17"/>
      <c r="VET9" s="17"/>
      <c r="VEU9" s="17"/>
      <c r="VEV9" s="17"/>
      <c r="VEW9" s="17"/>
      <c r="VEX9" s="17"/>
      <c r="VEY9" s="17"/>
      <c r="VEZ9" s="17"/>
      <c r="VFA9" s="17"/>
      <c r="VFB9" s="17"/>
      <c r="VFC9" s="17"/>
      <c r="VFD9" s="17"/>
      <c r="VFE9" s="17"/>
      <c r="VFF9" s="17"/>
      <c r="VFG9" s="17"/>
      <c r="VFH9" s="17"/>
      <c r="VFI9" s="17"/>
      <c r="VFJ9" s="17"/>
      <c r="VFK9" s="17"/>
      <c r="VFL9" s="17"/>
      <c r="VFM9" s="17"/>
      <c r="VFN9" s="17"/>
      <c r="VFO9" s="17"/>
      <c r="VFP9" s="17"/>
      <c r="VFQ9" s="17"/>
      <c r="VFR9" s="17"/>
      <c r="VFS9" s="17"/>
      <c r="VFT9" s="17"/>
      <c r="VFU9" s="17"/>
      <c r="VFV9" s="17"/>
      <c r="VFW9" s="17"/>
      <c r="VFX9" s="17"/>
      <c r="VFY9" s="17"/>
      <c r="VFZ9" s="17"/>
      <c r="VGA9" s="17"/>
      <c r="VGB9" s="17"/>
      <c r="VGC9" s="17"/>
      <c r="VGD9" s="17"/>
      <c r="VGE9" s="17"/>
      <c r="VGF9" s="17"/>
      <c r="VGG9" s="17"/>
      <c r="VGH9" s="17"/>
      <c r="VGI9" s="17"/>
      <c r="VGJ9" s="17"/>
      <c r="VGK9" s="17"/>
      <c r="VGL9" s="17"/>
      <c r="VGM9" s="17"/>
      <c r="VGN9" s="17"/>
      <c r="VGO9" s="17"/>
      <c r="VGP9" s="17"/>
      <c r="VGQ9" s="17"/>
      <c r="VGR9" s="17"/>
      <c r="VGS9" s="17"/>
      <c r="VGT9" s="17"/>
      <c r="VGU9" s="17"/>
      <c r="VGV9" s="17"/>
      <c r="VGW9" s="17"/>
      <c r="VGX9" s="17"/>
      <c r="VGY9" s="17"/>
      <c r="VGZ9" s="17"/>
      <c r="VHA9" s="17"/>
      <c r="VHB9" s="17"/>
      <c r="VHC9" s="17"/>
      <c r="VHD9" s="17"/>
      <c r="VHE9" s="17"/>
      <c r="VHF9" s="17"/>
      <c r="VHG9" s="17"/>
      <c r="VHH9" s="17"/>
      <c r="VHI9" s="17"/>
      <c r="VHJ9" s="17"/>
      <c r="VHK9" s="17"/>
      <c r="VHL9" s="17"/>
      <c r="VHM9" s="17"/>
      <c r="VHN9" s="17"/>
      <c r="VHO9" s="17"/>
      <c r="VHP9" s="17"/>
      <c r="VHQ9" s="17"/>
      <c r="VHR9" s="17"/>
      <c r="VHS9" s="17"/>
      <c r="VHT9" s="17"/>
      <c r="VHU9" s="17"/>
      <c r="VHV9" s="17"/>
      <c r="VHW9" s="17"/>
      <c r="VHX9" s="17"/>
      <c r="VHY9" s="17"/>
      <c r="VHZ9" s="17"/>
      <c r="VIA9" s="17"/>
      <c r="VIB9" s="17"/>
      <c r="VIC9" s="17"/>
      <c r="VID9" s="17"/>
      <c r="VIE9" s="17"/>
      <c r="VIF9" s="17"/>
      <c r="VIG9" s="17"/>
      <c r="VIH9" s="17"/>
      <c r="VII9" s="17"/>
      <c r="VIJ9" s="17"/>
      <c r="VIK9" s="17"/>
      <c r="VIL9" s="17"/>
      <c r="VIM9" s="17"/>
      <c r="VIN9" s="17"/>
      <c r="VIO9" s="17"/>
      <c r="VIP9" s="17"/>
      <c r="VIQ9" s="17"/>
      <c r="VIR9" s="17"/>
      <c r="VIS9" s="17"/>
      <c r="VIT9" s="17"/>
      <c r="VIU9" s="17"/>
      <c r="VIV9" s="17"/>
      <c r="VIW9" s="17"/>
      <c r="VIX9" s="17"/>
      <c r="VIY9" s="17"/>
      <c r="VIZ9" s="17"/>
      <c r="VJA9" s="17"/>
      <c r="VJB9" s="17"/>
      <c r="VJC9" s="17"/>
      <c r="VJD9" s="17"/>
      <c r="VJE9" s="17"/>
      <c r="VJF9" s="17"/>
      <c r="VJG9" s="17"/>
      <c r="VJH9" s="17"/>
      <c r="VJI9" s="17"/>
      <c r="VJJ9" s="17"/>
      <c r="VJK9" s="17"/>
      <c r="VJL9" s="17"/>
      <c r="VJM9" s="17"/>
      <c r="VJN9" s="17"/>
      <c r="VJO9" s="17"/>
      <c r="VJP9" s="17"/>
      <c r="VJQ9" s="17"/>
      <c r="VJR9" s="17"/>
      <c r="VJS9" s="17"/>
      <c r="VJT9" s="17"/>
      <c r="VJU9" s="17"/>
      <c r="VJV9" s="17"/>
      <c r="VJW9" s="17"/>
      <c r="VJX9" s="17"/>
      <c r="VJY9" s="17"/>
      <c r="VJZ9" s="17"/>
      <c r="VKA9" s="17"/>
      <c r="VKB9" s="17"/>
      <c r="VKC9" s="17"/>
      <c r="VKD9" s="17"/>
      <c r="VKE9" s="17"/>
      <c r="VKF9" s="17"/>
      <c r="VKG9" s="17"/>
      <c r="VKH9" s="17"/>
      <c r="VKI9" s="17"/>
      <c r="VKJ9" s="17"/>
      <c r="VKK9" s="17"/>
      <c r="VKL9" s="17"/>
      <c r="VKM9" s="17"/>
      <c r="VKN9" s="17"/>
      <c r="VKO9" s="17"/>
      <c r="VKP9" s="17"/>
      <c r="VKQ9" s="17"/>
      <c r="VKR9" s="17"/>
      <c r="VKS9" s="17"/>
      <c r="VKT9" s="17"/>
      <c r="VKU9" s="17"/>
      <c r="VKV9" s="17"/>
      <c r="VKW9" s="17"/>
      <c r="VKX9" s="17"/>
      <c r="VKY9" s="17"/>
      <c r="VKZ9" s="17"/>
      <c r="VLA9" s="17"/>
      <c r="VLB9" s="17"/>
      <c r="VLC9" s="17"/>
      <c r="VLD9" s="17"/>
      <c r="VLE9" s="17"/>
      <c r="VLF9" s="17"/>
      <c r="VLG9" s="17"/>
      <c r="VLH9" s="17"/>
      <c r="VLI9" s="17"/>
      <c r="VLJ9" s="17"/>
      <c r="VLK9" s="17"/>
      <c r="VLL9" s="17"/>
      <c r="VLM9" s="17"/>
      <c r="VLN9" s="17"/>
      <c r="VLO9" s="17"/>
      <c r="VLP9" s="17"/>
      <c r="VLQ9" s="17"/>
      <c r="VLR9" s="17"/>
      <c r="VLS9" s="17"/>
      <c r="VLT9" s="17"/>
      <c r="VLU9" s="17"/>
      <c r="VLV9" s="17"/>
      <c r="VLW9" s="17"/>
      <c r="VLX9" s="17"/>
      <c r="VLY9" s="17"/>
      <c r="VLZ9" s="17"/>
      <c r="VMA9" s="17"/>
      <c r="VMB9" s="17"/>
      <c r="VMC9" s="17"/>
      <c r="VMD9" s="17"/>
      <c r="VME9" s="17"/>
      <c r="VMF9" s="17"/>
      <c r="VMG9" s="17"/>
      <c r="VMH9" s="17"/>
      <c r="VMI9" s="17"/>
      <c r="VMJ9" s="17"/>
      <c r="VMK9" s="17"/>
      <c r="VML9" s="17"/>
      <c r="VMM9" s="17"/>
      <c r="VMN9" s="17"/>
      <c r="VMO9" s="17"/>
      <c r="VMP9" s="17"/>
      <c r="VMQ9" s="17"/>
      <c r="VMR9" s="17"/>
      <c r="VMS9" s="17"/>
      <c r="VMT9" s="17"/>
      <c r="VMU9" s="17"/>
      <c r="VMV9" s="17"/>
      <c r="VMW9" s="17"/>
      <c r="VMX9" s="17"/>
      <c r="VMY9" s="17"/>
      <c r="VMZ9" s="17"/>
      <c r="VNA9" s="17"/>
      <c r="VNB9" s="17"/>
      <c r="VNC9" s="17"/>
      <c r="VND9" s="17"/>
      <c r="VNE9" s="17"/>
      <c r="VNF9" s="17"/>
      <c r="VNG9" s="17"/>
      <c r="VNH9" s="17"/>
      <c r="VNI9" s="17"/>
      <c r="VNJ9" s="17"/>
      <c r="VNK9" s="17"/>
      <c r="VNL9" s="17"/>
      <c r="VNM9" s="17"/>
      <c r="VNN9" s="17"/>
      <c r="VNO9" s="17"/>
      <c r="VNP9" s="17"/>
      <c r="VNQ9" s="17"/>
      <c r="VNR9" s="17"/>
      <c r="VNS9" s="17"/>
      <c r="VNT9" s="17"/>
      <c r="VNU9" s="17"/>
      <c r="VNV9" s="17"/>
      <c r="VNW9" s="17"/>
      <c r="VNX9" s="17"/>
      <c r="VNY9" s="17"/>
      <c r="VNZ9" s="17"/>
      <c r="VOA9" s="17"/>
      <c r="VOB9" s="17"/>
      <c r="VOC9" s="17"/>
      <c r="VOD9" s="17"/>
      <c r="VOE9" s="17"/>
      <c r="VOF9" s="17"/>
      <c r="VOG9" s="17"/>
      <c r="VOH9" s="17"/>
      <c r="VOI9" s="17"/>
      <c r="VOJ9" s="17"/>
      <c r="VOK9" s="17"/>
      <c r="VOL9" s="17"/>
      <c r="VOM9" s="17"/>
      <c r="VON9" s="17"/>
      <c r="VOO9" s="17"/>
      <c r="VOP9" s="17"/>
      <c r="VOQ9" s="17"/>
      <c r="VOR9" s="17"/>
      <c r="VOS9" s="17"/>
      <c r="VOT9" s="17"/>
      <c r="VOU9" s="17"/>
      <c r="VOV9" s="17"/>
      <c r="VOW9" s="17"/>
      <c r="VOX9" s="17"/>
      <c r="VOY9" s="17"/>
      <c r="VOZ9" s="17"/>
      <c r="VPA9" s="17"/>
      <c r="VPB9" s="17"/>
      <c r="VPC9" s="17"/>
      <c r="VPD9" s="17"/>
      <c r="VPE9" s="17"/>
      <c r="VPF9" s="17"/>
      <c r="VPG9" s="17"/>
      <c r="VPH9" s="17"/>
      <c r="VPI9" s="17"/>
      <c r="VPJ9" s="17"/>
      <c r="VPK9" s="17"/>
      <c r="VPL9" s="17"/>
      <c r="VPM9" s="17"/>
      <c r="VPN9" s="17"/>
      <c r="VPO9" s="17"/>
      <c r="VPP9" s="17"/>
      <c r="VPQ9" s="17"/>
      <c r="VPR9" s="17"/>
      <c r="VPS9" s="17"/>
      <c r="VPT9" s="17"/>
      <c r="VPU9" s="17"/>
      <c r="VPV9" s="17"/>
      <c r="VPW9" s="17"/>
      <c r="VPX9" s="17"/>
      <c r="VPY9" s="17"/>
      <c r="VPZ9" s="17"/>
      <c r="VQA9" s="17"/>
      <c r="VQB9" s="17"/>
      <c r="VQC9" s="17"/>
      <c r="VQD9" s="17"/>
      <c r="VQE9" s="17"/>
      <c r="VQF9" s="17"/>
      <c r="VQG9" s="17"/>
      <c r="VQH9" s="17"/>
      <c r="VQI9" s="17"/>
      <c r="VQJ9" s="17"/>
      <c r="VQK9" s="17"/>
      <c r="VQL9" s="17"/>
      <c r="VQM9" s="17"/>
      <c r="VQN9" s="17"/>
      <c r="VQO9" s="17"/>
      <c r="VQP9" s="17"/>
      <c r="VQQ9" s="17"/>
      <c r="VQR9" s="17"/>
      <c r="VQS9" s="17"/>
      <c r="VQT9" s="17"/>
      <c r="VQU9" s="17"/>
      <c r="VQV9" s="17"/>
      <c r="VQW9" s="17"/>
      <c r="VQX9" s="17"/>
      <c r="VQY9" s="17"/>
      <c r="VQZ9" s="17"/>
      <c r="VRA9" s="17"/>
      <c r="VRB9" s="17"/>
      <c r="VRC9" s="17"/>
      <c r="VRD9" s="17"/>
      <c r="VRE9" s="17"/>
      <c r="VRF9" s="17"/>
      <c r="VRG9" s="17"/>
      <c r="VRH9" s="17"/>
      <c r="VRI9" s="17"/>
      <c r="VRJ9" s="17"/>
      <c r="VRK9" s="17"/>
      <c r="VRL9" s="17"/>
      <c r="VRM9" s="17"/>
      <c r="VRN9" s="17"/>
      <c r="VRO9" s="17"/>
      <c r="VRP9" s="17"/>
      <c r="VRQ9" s="17"/>
      <c r="VRR9" s="17"/>
      <c r="VRS9" s="17"/>
      <c r="VRT9" s="17"/>
      <c r="VRU9" s="17"/>
      <c r="VRV9" s="17"/>
      <c r="VRW9" s="17"/>
      <c r="VRX9" s="17"/>
      <c r="VRY9" s="17"/>
      <c r="VRZ9" s="17"/>
      <c r="VSA9" s="17"/>
      <c r="VSB9" s="17"/>
      <c r="VSC9" s="17"/>
      <c r="VSD9" s="17"/>
      <c r="VSE9" s="17"/>
      <c r="VSF9" s="17"/>
      <c r="VSG9" s="17"/>
      <c r="VSH9" s="17"/>
      <c r="VSI9" s="17"/>
      <c r="VSJ9" s="17"/>
      <c r="VSK9" s="17"/>
      <c r="VSL9" s="17"/>
      <c r="VSM9" s="17"/>
      <c r="VSN9" s="17"/>
      <c r="VSO9" s="17"/>
      <c r="VSP9" s="17"/>
      <c r="VSQ9" s="17"/>
      <c r="VSR9" s="17"/>
      <c r="VSS9" s="17"/>
      <c r="VST9" s="17"/>
      <c r="VSU9" s="17"/>
      <c r="VSV9" s="17"/>
      <c r="VSW9" s="17"/>
      <c r="VSX9" s="17"/>
      <c r="VSY9" s="17"/>
      <c r="VSZ9" s="17"/>
      <c r="VTA9" s="17"/>
      <c r="VTB9" s="17"/>
      <c r="VTC9" s="17"/>
      <c r="VTD9" s="17"/>
      <c r="VTE9" s="17"/>
      <c r="VTF9" s="17"/>
      <c r="VTG9" s="17"/>
      <c r="VTH9" s="17"/>
      <c r="VTI9" s="17"/>
      <c r="VTJ9" s="17"/>
      <c r="VTK9" s="17"/>
      <c r="VTL9" s="17"/>
      <c r="VTM9" s="17"/>
      <c r="VTN9" s="17"/>
      <c r="VTO9" s="17"/>
      <c r="VTP9" s="17"/>
      <c r="VTQ9" s="17"/>
      <c r="VTR9" s="17"/>
      <c r="VTS9" s="17"/>
      <c r="VTT9" s="17"/>
      <c r="VTU9" s="17"/>
      <c r="VTV9" s="17"/>
      <c r="VTW9" s="17"/>
      <c r="VTX9" s="17"/>
      <c r="VTY9" s="17"/>
      <c r="VTZ9" s="17"/>
      <c r="VUA9" s="17"/>
      <c r="VUB9" s="17"/>
      <c r="VUC9" s="17"/>
      <c r="VUD9" s="17"/>
      <c r="VUE9" s="17"/>
      <c r="VUF9" s="17"/>
      <c r="VUG9" s="17"/>
      <c r="VUH9" s="17"/>
      <c r="VUI9" s="17"/>
      <c r="VUJ9" s="17"/>
      <c r="VUK9" s="17"/>
      <c r="VUL9" s="17"/>
      <c r="VUM9" s="17"/>
      <c r="VUN9" s="17"/>
      <c r="VUO9" s="17"/>
      <c r="VUP9" s="17"/>
      <c r="VUQ9" s="17"/>
      <c r="VUR9" s="17"/>
      <c r="VUS9" s="17"/>
      <c r="VUT9" s="17"/>
      <c r="VUU9" s="17"/>
      <c r="VUV9" s="17"/>
      <c r="VUW9" s="17"/>
      <c r="VUX9" s="17"/>
      <c r="VUY9" s="17"/>
      <c r="VUZ9" s="17"/>
      <c r="VVA9" s="17"/>
      <c r="VVB9" s="17"/>
      <c r="VVC9" s="17"/>
      <c r="VVD9" s="17"/>
      <c r="VVE9" s="17"/>
      <c r="VVF9" s="17"/>
      <c r="VVG9" s="17"/>
      <c r="VVH9" s="17"/>
      <c r="VVI9" s="17"/>
      <c r="VVJ9" s="17"/>
      <c r="VVK9" s="17"/>
      <c r="VVL9" s="17"/>
      <c r="VVM9" s="17"/>
      <c r="VVN9" s="17"/>
      <c r="VVO9" s="17"/>
      <c r="VVP9" s="17"/>
      <c r="VVQ9" s="17"/>
      <c r="VVR9" s="17"/>
      <c r="VVS9" s="17"/>
      <c r="VVT9" s="17"/>
      <c r="VVU9" s="17"/>
      <c r="VVV9" s="17"/>
      <c r="VVW9" s="17"/>
      <c r="VVX9" s="17"/>
      <c r="VVY9" s="17"/>
      <c r="VVZ9" s="17"/>
      <c r="VWA9" s="17"/>
      <c r="VWB9" s="17"/>
      <c r="VWC9" s="17"/>
      <c r="VWD9" s="17"/>
      <c r="VWE9" s="17"/>
      <c r="VWF9" s="17"/>
      <c r="VWG9" s="17"/>
      <c r="VWH9" s="17"/>
      <c r="VWI9" s="17"/>
      <c r="VWJ9" s="17"/>
      <c r="VWK9" s="17"/>
      <c r="VWL9" s="17"/>
      <c r="VWM9" s="17"/>
      <c r="VWN9" s="17"/>
      <c r="VWO9" s="17"/>
      <c r="VWP9" s="17"/>
      <c r="VWQ9" s="17"/>
      <c r="VWR9" s="17"/>
      <c r="VWS9" s="17"/>
      <c r="VWT9" s="17"/>
      <c r="VWU9" s="17"/>
      <c r="VWV9" s="17"/>
      <c r="VWW9" s="17"/>
      <c r="VWX9" s="17"/>
      <c r="VWY9" s="17"/>
      <c r="VWZ9" s="17"/>
      <c r="VXA9" s="17"/>
      <c r="VXB9" s="17"/>
      <c r="VXC9" s="17"/>
      <c r="VXD9" s="17"/>
      <c r="VXE9" s="17"/>
      <c r="VXF9" s="17"/>
      <c r="VXG9" s="17"/>
      <c r="VXH9" s="17"/>
      <c r="VXI9" s="17"/>
      <c r="VXJ9" s="17"/>
      <c r="VXK9" s="17"/>
      <c r="VXL9" s="17"/>
      <c r="VXM9" s="17"/>
      <c r="VXN9" s="17"/>
      <c r="VXO9" s="17"/>
      <c r="VXP9" s="17"/>
      <c r="VXQ9" s="17"/>
      <c r="VXR9" s="17"/>
      <c r="VXS9" s="17"/>
      <c r="VXT9" s="17"/>
      <c r="VXU9" s="17"/>
      <c r="VXV9" s="17"/>
      <c r="VXW9" s="17"/>
      <c r="VXX9" s="17"/>
      <c r="VXY9" s="17"/>
      <c r="VXZ9" s="17"/>
      <c r="VYA9" s="17"/>
      <c r="VYB9" s="17"/>
      <c r="VYC9" s="17"/>
      <c r="VYD9" s="17"/>
      <c r="VYE9" s="17"/>
      <c r="VYF9" s="17"/>
      <c r="VYG9" s="17"/>
      <c r="VYH9" s="17"/>
      <c r="VYI9" s="17"/>
      <c r="VYJ9" s="17"/>
      <c r="VYK9" s="17"/>
      <c r="VYL9" s="17"/>
      <c r="VYM9" s="17"/>
      <c r="VYN9" s="17"/>
      <c r="VYO9" s="17"/>
      <c r="VYP9" s="17"/>
      <c r="VYQ9" s="17"/>
      <c r="VYR9" s="17"/>
      <c r="VYS9" s="17"/>
      <c r="VYT9" s="17"/>
      <c r="VYU9" s="17"/>
      <c r="VYV9" s="17"/>
      <c r="VYW9" s="17"/>
      <c r="VYX9" s="17"/>
      <c r="VYY9" s="17"/>
      <c r="VYZ9" s="17"/>
      <c r="VZA9" s="17"/>
      <c r="VZB9" s="17"/>
      <c r="VZC9" s="17"/>
      <c r="VZD9" s="17"/>
      <c r="VZE9" s="17"/>
      <c r="VZF9" s="17"/>
      <c r="VZG9" s="17"/>
      <c r="VZH9" s="17"/>
      <c r="VZI9" s="17"/>
      <c r="VZJ9" s="17"/>
      <c r="VZK9" s="17"/>
      <c r="VZL9" s="17"/>
      <c r="VZM9" s="17"/>
      <c r="VZN9" s="17"/>
      <c r="VZO9" s="17"/>
      <c r="VZP9" s="17"/>
      <c r="VZQ9" s="17"/>
      <c r="VZR9" s="17"/>
      <c r="VZS9" s="17"/>
      <c r="VZT9" s="17"/>
      <c r="VZU9" s="17"/>
      <c r="VZV9" s="17"/>
      <c r="VZW9" s="17"/>
      <c r="VZX9" s="17"/>
      <c r="VZY9" s="17"/>
      <c r="VZZ9" s="17"/>
      <c r="WAA9" s="17"/>
      <c r="WAB9" s="17"/>
      <c r="WAC9" s="17"/>
      <c r="WAD9" s="17"/>
      <c r="WAE9" s="17"/>
      <c r="WAF9" s="17"/>
      <c r="WAG9" s="17"/>
      <c r="WAH9" s="17"/>
      <c r="WAI9" s="17"/>
      <c r="WAJ9" s="17"/>
      <c r="WAK9" s="17"/>
      <c r="WAL9" s="17"/>
      <c r="WAM9" s="17"/>
      <c r="WAN9" s="17"/>
      <c r="WAO9" s="17"/>
      <c r="WAP9" s="17"/>
      <c r="WAQ9" s="17"/>
      <c r="WAR9" s="17"/>
      <c r="WAS9" s="17"/>
      <c r="WAT9" s="17"/>
      <c r="WAU9" s="17"/>
      <c r="WAV9" s="17"/>
      <c r="WAW9" s="17"/>
      <c r="WAX9" s="17"/>
      <c r="WAY9" s="17"/>
      <c r="WAZ9" s="17"/>
      <c r="WBA9" s="17"/>
      <c r="WBB9" s="17"/>
      <c r="WBC9" s="17"/>
      <c r="WBD9" s="17"/>
      <c r="WBE9" s="17"/>
      <c r="WBF9" s="17"/>
      <c r="WBG9" s="17"/>
      <c r="WBH9" s="17"/>
      <c r="WBI9" s="17"/>
      <c r="WBJ9" s="17"/>
      <c r="WBK9" s="17"/>
      <c r="WBL9" s="17"/>
      <c r="WBM9" s="17"/>
      <c r="WBN9" s="17"/>
      <c r="WBO9" s="17"/>
      <c r="WBP9" s="17"/>
      <c r="WBQ9" s="17"/>
      <c r="WBR9" s="17"/>
      <c r="WBS9" s="17"/>
      <c r="WBT9" s="17"/>
      <c r="WBU9" s="17"/>
      <c r="WBV9" s="17"/>
      <c r="WBW9" s="17"/>
      <c r="WBX9" s="17"/>
      <c r="WBY9" s="17"/>
      <c r="WBZ9" s="17"/>
      <c r="WCA9" s="17"/>
      <c r="WCB9" s="17"/>
      <c r="WCC9" s="17"/>
      <c r="WCD9" s="17"/>
      <c r="WCE9" s="17"/>
      <c r="WCF9" s="17"/>
      <c r="WCG9" s="17"/>
      <c r="WCH9" s="17"/>
      <c r="WCI9" s="17"/>
      <c r="WCJ9" s="17"/>
      <c r="WCK9" s="17"/>
      <c r="WCL9" s="17"/>
      <c r="WCM9" s="17"/>
      <c r="WCN9" s="17"/>
      <c r="WCO9" s="17"/>
      <c r="WCP9" s="17"/>
      <c r="WCQ9" s="17"/>
      <c r="WCR9" s="17"/>
      <c r="WCS9" s="17"/>
      <c r="WCT9" s="17"/>
      <c r="WCU9" s="17"/>
      <c r="WCV9" s="17"/>
      <c r="WCW9" s="17"/>
      <c r="WCX9" s="17"/>
      <c r="WCY9" s="17"/>
      <c r="WCZ9" s="17"/>
      <c r="WDA9" s="17"/>
      <c r="WDB9" s="17"/>
      <c r="WDC9" s="17"/>
      <c r="WDD9" s="17"/>
      <c r="WDE9" s="17"/>
      <c r="WDF9" s="17"/>
      <c r="WDG9" s="17"/>
      <c r="WDH9" s="17"/>
      <c r="WDI9" s="17"/>
      <c r="WDJ9" s="17"/>
      <c r="WDK9" s="17"/>
      <c r="WDL9" s="17"/>
      <c r="WDM9" s="17"/>
      <c r="WDN9" s="17"/>
      <c r="WDO9" s="17"/>
      <c r="WDP9" s="17"/>
      <c r="WDQ9" s="17"/>
      <c r="WDR9" s="17"/>
      <c r="WDS9" s="17"/>
      <c r="WDT9" s="17"/>
      <c r="WDU9" s="17"/>
      <c r="WDV9" s="17"/>
      <c r="WDW9" s="17"/>
      <c r="WDX9" s="17"/>
      <c r="WDY9" s="17"/>
      <c r="WDZ9" s="17"/>
      <c r="WEA9" s="17"/>
      <c r="WEB9" s="17"/>
      <c r="WEC9" s="17"/>
      <c r="WED9" s="17"/>
      <c r="WEE9" s="17"/>
      <c r="WEF9" s="17"/>
      <c r="WEG9" s="17"/>
      <c r="WEH9" s="17"/>
      <c r="WEI9" s="17"/>
      <c r="WEJ9" s="17"/>
      <c r="WEK9" s="17"/>
      <c r="WEL9" s="17"/>
      <c r="WEM9" s="17"/>
      <c r="WEN9" s="17"/>
      <c r="WEO9" s="17"/>
      <c r="WEP9" s="17"/>
      <c r="WEQ9" s="17"/>
      <c r="WER9" s="17"/>
      <c r="WES9" s="17"/>
      <c r="WET9" s="17"/>
      <c r="WEU9" s="17"/>
      <c r="WEV9" s="17"/>
      <c r="WEW9" s="17"/>
      <c r="WEX9" s="17"/>
      <c r="WEY9" s="17"/>
      <c r="WEZ9" s="17"/>
      <c r="WFA9" s="17"/>
      <c r="WFB9" s="17"/>
      <c r="WFC9" s="17"/>
      <c r="WFD9" s="17"/>
      <c r="WFE9" s="17"/>
      <c r="WFF9" s="17"/>
      <c r="WFG9" s="17"/>
      <c r="WFH9" s="17"/>
      <c r="WFI9" s="17"/>
      <c r="WFJ9" s="17"/>
      <c r="WFK9" s="17"/>
      <c r="WFL9" s="17"/>
      <c r="WFM9" s="17"/>
      <c r="WFN9" s="17"/>
      <c r="WFO9" s="17"/>
      <c r="WFP9" s="17"/>
      <c r="WFQ9" s="17"/>
      <c r="WFR9" s="17"/>
      <c r="WFS9" s="17"/>
      <c r="WFT9" s="17"/>
      <c r="WFU9" s="17"/>
      <c r="WFV9" s="17"/>
      <c r="WFW9" s="17"/>
      <c r="WFX9" s="17"/>
      <c r="WFY9" s="17"/>
      <c r="WFZ9" s="17"/>
      <c r="WGA9" s="17"/>
      <c r="WGB9" s="17"/>
      <c r="WGC9" s="17"/>
      <c r="WGD9" s="17"/>
      <c r="WGE9" s="17"/>
      <c r="WGF9" s="17"/>
      <c r="WGG9" s="17"/>
      <c r="WGH9" s="17"/>
      <c r="WGI9" s="17"/>
      <c r="WGJ9" s="17"/>
      <c r="WGK9" s="17"/>
      <c r="WGL9" s="17"/>
      <c r="WGM9" s="17"/>
      <c r="WGN9" s="17"/>
      <c r="WGO9" s="17"/>
      <c r="WGP9" s="17"/>
      <c r="WGQ9" s="17"/>
      <c r="WGR9" s="17"/>
      <c r="WGS9" s="17"/>
      <c r="WGT9" s="17"/>
      <c r="WGU9" s="17"/>
      <c r="WGV9" s="17"/>
      <c r="WGW9" s="17"/>
      <c r="WGX9" s="17"/>
      <c r="WGY9" s="17"/>
      <c r="WGZ9" s="17"/>
      <c r="WHA9" s="17"/>
      <c r="WHB9" s="17"/>
      <c r="WHC9" s="17"/>
      <c r="WHD9" s="17"/>
      <c r="WHE9" s="17"/>
      <c r="WHF9" s="17"/>
      <c r="WHG9" s="17"/>
      <c r="WHH9" s="17"/>
      <c r="WHI9" s="17"/>
      <c r="WHJ9" s="17"/>
      <c r="WHK9" s="17"/>
      <c r="WHL9" s="17"/>
      <c r="WHM9" s="17"/>
      <c r="WHN9" s="17"/>
      <c r="WHO9" s="17"/>
      <c r="WHP9" s="17"/>
      <c r="WHQ9" s="17"/>
      <c r="WHR9" s="17"/>
      <c r="WHS9" s="17"/>
      <c r="WHT9" s="17"/>
      <c r="WHU9" s="17"/>
      <c r="WHV9" s="17"/>
      <c r="WHW9" s="17"/>
      <c r="WHX9" s="17"/>
      <c r="WHY9" s="17"/>
      <c r="WHZ9" s="17"/>
      <c r="WIA9" s="17"/>
      <c r="WIB9" s="17"/>
      <c r="WIC9" s="17"/>
      <c r="WID9" s="17"/>
      <c r="WIE9" s="17"/>
      <c r="WIF9" s="17"/>
      <c r="WIG9" s="17"/>
      <c r="WIH9" s="17"/>
      <c r="WII9" s="17"/>
      <c r="WIJ9" s="17"/>
      <c r="WIK9" s="17"/>
      <c r="WIL9" s="17"/>
      <c r="WIM9" s="17"/>
      <c r="WIN9" s="17"/>
      <c r="WIO9" s="17"/>
      <c r="WIP9" s="17"/>
      <c r="WIQ9" s="17"/>
      <c r="WIR9" s="17"/>
      <c r="WIS9" s="17"/>
      <c r="WIT9" s="17"/>
      <c r="WIU9" s="17"/>
      <c r="WIV9" s="17"/>
      <c r="WIW9" s="17"/>
      <c r="WIX9" s="17"/>
      <c r="WIY9" s="17"/>
      <c r="WIZ9" s="17"/>
      <c r="WJA9" s="17"/>
      <c r="WJB9" s="17"/>
      <c r="WJC9" s="17"/>
      <c r="WJD9" s="17"/>
      <c r="WJE9" s="17"/>
      <c r="WJF9" s="17"/>
      <c r="WJG9" s="17"/>
      <c r="WJH9" s="17"/>
      <c r="WJI9" s="17"/>
      <c r="WJJ9" s="17"/>
      <c r="WJK9" s="17"/>
      <c r="WJL9" s="17"/>
      <c r="WJM9" s="17"/>
      <c r="WJN9" s="17"/>
      <c r="WJO9" s="17"/>
      <c r="WJP9" s="17"/>
      <c r="WJQ9" s="17"/>
      <c r="WJR9" s="17"/>
      <c r="WJS9" s="17"/>
      <c r="WJT9" s="17"/>
      <c r="WJU9" s="17"/>
      <c r="WJV9" s="17"/>
      <c r="WJW9" s="17"/>
      <c r="WJX9" s="17"/>
      <c r="WJY9" s="17"/>
      <c r="WJZ9" s="17"/>
      <c r="WKA9" s="17"/>
      <c r="WKB9" s="17"/>
      <c r="WKC9" s="17"/>
      <c r="WKD9" s="17"/>
      <c r="WKE9" s="17"/>
      <c r="WKF9" s="17"/>
      <c r="WKG9" s="17"/>
      <c r="WKH9" s="17"/>
      <c r="WKI9" s="17"/>
      <c r="WKJ9" s="17"/>
      <c r="WKK9" s="17"/>
      <c r="WKL9" s="17"/>
      <c r="WKM9" s="17"/>
      <c r="WKN9" s="17"/>
      <c r="WKO9" s="17"/>
      <c r="WKP9" s="17"/>
      <c r="WKQ9" s="17"/>
      <c r="WKR9" s="17"/>
      <c r="WKS9" s="17"/>
      <c r="WKT9" s="17"/>
      <c r="WKU9" s="17"/>
      <c r="WKV9" s="17"/>
      <c r="WKW9" s="17"/>
      <c r="WKX9" s="17"/>
      <c r="WKY9" s="17"/>
      <c r="WKZ9" s="17"/>
      <c r="WLA9" s="17"/>
      <c r="WLB9" s="17"/>
      <c r="WLC9" s="17"/>
      <c r="WLD9" s="17"/>
      <c r="WLE9" s="17"/>
      <c r="WLF9" s="17"/>
      <c r="WLG9" s="17"/>
      <c r="WLH9" s="17"/>
      <c r="WLI9" s="17"/>
      <c r="WLJ9" s="17"/>
      <c r="WLK9" s="17"/>
      <c r="WLL9" s="17"/>
      <c r="WLM9" s="17"/>
      <c r="WLN9" s="17"/>
      <c r="WLO9" s="17"/>
      <c r="WLP9" s="17"/>
      <c r="WLQ9" s="17"/>
      <c r="WLR9" s="17"/>
      <c r="WLS9" s="17"/>
      <c r="WLT9" s="17"/>
      <c r="WLU9" s="17"/>
      <c r="WLV9" s="17"/>
      <c r="WLW9" s="17"/>
      <c r="WLX9" s="17"/>
      <c r="WLY9" s="17"/>
      <c r="WLZ9" s="17"/>
      <c r="WMA9" s="17"/>
      <c r="WMB9" s="17"/>
      <c r="WMC9" s="17"/>
      <c r="WMD9" s="17"/>
      <c r="WME9" s="17"/>
      <c r="WMF9" s="17"/>
      <c r="WMG9" s="17"/>
      <c r="WMH9" s="17"/>
      <c r="WMI9" s="17"/>
      <c r="WMJ9" s="17"/>
      <c r="WMK9" s="17"/>
      <c r="WML9" s="17"/>
      <c r="WMM9" s="17"/>
      <c r="WMN9" s="17"/>
      <c r="WMO9" s="17"/>
      <c r="WMP9" s="17"/>
      <c r="WMQ9" s="17"/>
      <c r="WMR9" s="17"/>
      <c r="WMS9" s="17"/>
      <c r="WMT9" s="17"/>
      <c r="WMU9" s="17"/>
      <c r="WMV9" s="17"/>
      <c r="WMW9" s="17"/>
      <c r="WMX9" s="17"/>
      <c r="WMY9" s="17"/>
      <c r="WMZ9" s="17"/>
      <c r="WNA9" s="17"/>
      <c r="WNB9" s="17"/>
      <c r="WNC9" s="17"/>
      <c r="WND9" s="17"/>
      <c r="WNE9" s="17"/>
      <c r="WNF9" s="17"/>
      <c r="WNG9" s="17"/>
      <c r="WNH9" s="17"/>
      <c r="WNI9" s="17"/>
      <c r="WNJ9" s="17"/>
      <c r="WNK9" s="17"/>
      <c r="WNL9" s="17"/>
      <c r="WNM9" s="17"/>
      <c r="WNN9" s="17"/>
      <c r="WNO9" s="17"/>
      <c r="WNP9" s="17"/>
      <c r="WNQ9" s="17"/>
      <c r="WNR9" s="17"/>
      <c r="WNS9" s="17"/>
      <c r="WNT9" s="17"/>
      <c r="WNU9" s="17"/>
      <c r="WNV9" s="17"/>
      <c r="WNW9" s="17"/>
      <c r="WNX9" s="17"/>
      <c r="WNY9" s="17"/>
      <c r="WNZ9" s="17"/>
      <c r="WOA9" s="17"/>
      <c r="WOB9" s="17"/>
      <c r="WOC9" s="17"/>
      <c r="WOD9" s="17"/>
      <c r="WOE9" s="17"/>
      <c r="WOF9" s="17"/>
      <c r="WOG9" s="17"/>
      <c r="WOH9" s="17"/>
      <c r="WOI9" s="17"/>
      <c r="WOJ9" s="17"/>
      <c r="WOK9" s="17"/>
      <c r="WOL9" s="17"/>
      <c r="WOM9" s="17"/>
      <c r="WON9" s="17"/>
      <c r="WOO9" s="17"/>
      <c r="WOP9" s="17"/>
      <c r="WOQ9" s="17"/>
      <c r="WOR9" s="17"/>
      <c r="WOS9" s="17"/>
      <c r="WOT9" s="17"/>
      <c r="WOU9" s="17"/>
      <c r="WOV9" s="17"/>
      <c r="WOW9" s="17"/>
      <c r="WOX9" s="17"/>
      <c r="WOY9" s="17"/>
      <c r="WOZ9" s="17"/>
      <c r="WPA9" s="17"/>
      <c r="WPB9" s="17"/>
      <c r="WPC9" s="17"/>
      <c r="WPD9" s="17"/>
      <c r="WPE9" s="17"/>
      <c r="WPF9" s="17"/>
      <c r="WPG9" s="17"/>
      <c r="WPH9" s="17"/>
      <c r="WPI9" s="17"/>
      <c r="WPJ9" s="17"/>
      <c r="WPK9" s="17"/>
      <c r="WPL9" s="17"/>
      <c r="WPM9" s="17"/>
      <c r="WPN9" s="17"/>
      <c r="WPO9" s="17"/>
      <c r="WPP9" s="17"/>
      <c r="WPQ9" s="17"/>
      <c r="WPR9" s="17"/>
      <c r="WPS9" s="17"/>
      <c r="WPT9" s="17"/>
      <c r="WPU9" s="17"/>
      <c r="WPV9" s="17"/>
      <c r="WPW9" s="17"/>
      <c r="WPX9" s="17"/>
      <c r="WPY9" s="17"/>
      <c r="WPZ9" s="17"/>
      <c r="WQA9" s="17"/>
      <c r="WQB9" s="17"/>
      <c r="WQC9" s="17"/>
      <c r="WQD9" s="17"/>
      <c r="WQE9" s="17"/>
      <c r="WQF9" s="17"/>
      <c r="WQG9" s="17"/>
      <c r="WQH9" s="17"/>
      <c r="WQI9" s="17"/>
      <c r="WQJ9" s="17"/>
      <c r="WQK9" s="17"/>
      <c r="WQL9" s="17"/>
      <c r="WQM9" s="17"/>
      <c r="WQN9" s="17"/>
      <c r="WQO9" s="17"/>
      <c r="WQP9" s="17"/>
      <c r="WQQ9" s="17"/>
      <c r="WQR9" s="17"/>
      <c r="WQS9" s="17"/>
      <c r="WQT9" s="17"/>
      <c r="WQU9" s="17"/>
      <c r="WQV9" s="17"/>
      <c r="WQW9" s="17"/>
      <c r="WQX9" s="17"/>
      <c r="WQY9" s="17"/>
      <c r="WQZ9" s="17"/>
      <c r="WRA9" s="17"/>
      <c r="WRB9" s="17"/>
      <c r="WRC9" s="17"/>
      <c r="WRD9" s="17"/>
      <c r="WRE9" s="17"/>
      <c r="WRF9" s="17"/>
      <c r="WRG9" s="17"/>
      <c r="WRH9" s="17"/>
      <c r="WRI9" s="17"/>
      <c r="WRJ9" s="17"/>
      <c r="WRK9" s="17"/>
      <c r="WRL9" s="17"/>
      <c r="WRM9" s="17"/>
      <c r="WRN9" s="17"/>
      <c r="WRO9" s="17"/>
      <c r="WRP9" s="17"/>
      <c r="WRQ9" s="17"/>
      <c r="WRR9" s="17"/>
      <c r="WRS9" s="17"/>
      <c r="WRT9" s="17"/>
      <c r="WRU9" s="17"/>
      <c r="WRV9" s="17"/>
      <c r="WRW9" s="17"/>
      <c r="WRX9" s="17"/>
      <c r="WRY9" s="17"/>
      <c r="WRZ9" s="17"/>
      <c r="WSA9" s="17"/>
      <c r="WSB9" s="17"/>
      <c r="WSC9" s="17"/>
      <c r="WSD9" s="17"/>
      <c r="WSE9" s="17"/>
      <c r="WSF9" s="17"/>
      <c r="WSG9" s="17"/>
      <c r="WSH9" s="17"/>
      <c r="WSI9" s="17"/>
      <c r="WSJ9" s="17"/>
      <c r="WSK9" s="17"/>
      <c r="WSL9" s="17"/>
      <c r="WSM9" s="17"/>
      <c r="WSN9" s="17"/>
      <c r="WSO9" s="17"/>
      <c r="WSP9" s="17"/>
      <c r="WSQ9" s="17"/>
      <c r="WSR9" s="17"/>
      <c r="WSS9" s="17"/>
      <c r="WST9" s="17"/>
      <c r="WSU9" s="17"/>
      <c r="WSV9" s="17"/>
      <c r="WSW9" s="17"/>
      <c r="WSX9" s="17"/>
      <c r="WSY9" s="17"/>
      <c r="WSZ9" s="17"/>
      <c r="WTA9" s="17"/>
      <c r="WTB9" s="17"/>
      <c r="WTC9" s="17"/>
      <c r="WTD9" s="17"/>
      <c r="WTE9" s="17"/>
      <c r="WTF9" s="17"/>
      <c r="WTG9" s="17"/>
      <c r="WTH9" s="17"/>
      <c r="WTI9" s="17"/>
      <c r="WTJ9" s="17"/>
      <c r="WTK9" s="17"/>
      <c r="WTL9" s="17"/>
      <c r="WTM9" s="17"/>
      <c r="WTN9" s="17"/>
      <c r="WTO9" s="17"/>
      <c r="WTP9" s="17"/>
      <c r="WTQ9" s="17"/>
      <c r="WTR9" s="17"/>
      <c r="WTS9" s="17"/>
      <c r="WTT9" s="17"/>
      <c r="WTU9" s="17"/>
      <c r="WTV9" s="17"/>
      <c r="WTW9" s="17"/>
      <c r="WTX9" s="17"/>
      <c r="WTY9" s="17"/>
      <c r="WTZ9" s="17"/>
      <c r="WUA9" s="17"/>
      <c r="WUB9" s="17"/>
      <c r="WUC9" s="17"/>
      <c r="WUD9" s="17"/>
      <c r="WUE9" s="17"/>
      <c r="WUF9" s="17"/>
      <c r="WUG9" s="17"/>
      <c r="WUH9" s="17"/>
      <c r="WUI9" s="17"/>
      <c r="WUJ9" s="17"/>
      <c r="WUK9" s="17"/>
      <c r="WUL9" s="17"/>
      <c r="WUM9" s="17"/>
      <c r="WUN9" s="17"/>
      <c r="WUO9" s="17"/>
      <c r="WUP9" s="17"/>
      <c r="WUQ9" s="17"/>
      <c r="WUR9" s="17"/>
      <c r="WUS9" s="17"/>
      <c r="WUT9" s="17"/>
      <c r="WUU9" s="17"/>
      <c r="WUV9" s="17"/>
      <c r="WUW9" s="17"/>
      <c r="WUX9" s="17"/>
      <c r="WUY9" s="17"/>
      <c r="WUZ9" s="17"/>
      <c r="WVA9" s="17"/>
      <c r="WVB9" s="17"/>
      <c r="WVC9" s="17"/>
      <c r="WVD9" s="17"/>
      <c r="WVE9" s="17"/>
      <c r="WVF9" s="17"/>
      <c r="WVG9" s="17"/>
      <c r="WVH9" s="17"/>
      <c r="WVI9" s="17"/>
      <c r="WVJ9" s="17"/>
      <c r="WVK9" s="17"/>
      <c r="WVL9" s="17"/>
      <c r="WVM9" s="17"/>
      <c r="WVN9" s="17"/>
      <c r="WVO9" s="17"/>
      <c r="WVP9" s="17"/>
      <c r="WVQ9" s="17"/>
      <c r="WVR9" s="17"/>
      <c r="WVS9" s="17"/>
      <c r="WVT9" s="17"/>
      <c r="WVU9" s="17"/>
      <c r="WVV9" s="17"/>
      <c r="WVW9" s="17"/>
      <c r="WVX9" s="17"/>
      <c r="WVY9" s="17"/>
      <c r="WVZ9" s="17"/>
      <c r="WWA9" s="17"/>
      <c r="WWB9" s="17"/>
      <c r="WWC9" s="17"/>
      <c r="WWD9" s="17"/>
      <c r="WWE9" s="17"/>
      <c r="WWF9" s="17"/>
      <c r="WWG9" s="17"/>
      <c r="WWH9" s="17"/>
      <c r="WWI9" s="17"/>
      <c r="WWJ9" s="17"/>
      <c r="WWK9" s="17"/>
      <c r="WWL9" s="17"/>
      <c r="WWM9" s="17"/>
      <c r="WWN9" s="17"/>
      <c r="WWO9" s="17"/>
      <c r="WWP9" s="17"/>
      <c r="WWQ9" s="17"/>
      <c r="WWR9" s="17"/>
      <c r="WWS9" s="17"/>
      <c r="WWT9" s="17"/>
      <c r="WWU9" s="17"/>
      <c r="WWV9" s="17"/>
      <c r="WWW9" s="17"/>
      <c r="WWX9" s="17"/>
      <c r="WWY9" s="17"/>
      <c r="WWZ9" s="17"/>
      <c r="WXA9" s="17"/>
      <c r="WXB9" s="17"/>
      <c r="WXC9" s="17"/>
      <c r="WXD9" s="17"/>
      <c r="WXE9" s="17"/>
      <c r="WXF9" s="17"/>
      <c r="WXG9" s="17"/>
      <c r="WXH9" s="17"/>
      <c r="WXI9" s="17"/>
      <c r="WXJ9" s="17"/>
      <c r="WXK9" s="17"/>
      <c r="WXL9" s="17"/>
      <c r="WXM9" s="17"/>
      <c r="WXN9" s="17"/>
      <c r="WXO9" s="17"/>
      <c r="WXP9" s="17"/>
      <c r="WXQ9" s="17"/>
      <c r="WXR9" s="17"/>
      <c r="WXS9" s="17"/>
      <c r="WXT9" s="17"/>
      <c r="WXU9" s="17"/>
      <c r="WXV9" s="17"/>
      <c r="WXW9" s="17"/>
      <c r="WXX9" s="17"/>
      <c r="WXY9" s="17"/>
      <c r="WXZ9" s="17"/>
      <c r="WYA9" s="17"/>
      <c r="WYB9" s="17"/>
      <c r="WYC9" s="17"/>
      <c r="WYD9" s="17"/>
      <c r="WYE9" s="17"/>
      <c r="WYF9" s="17"/>
      <c r="WYG9" s="17"/>
      <c r="WYH9" s="17"/>
      <c r="WYI9" s="17"/>
      <c r="WYJ9" s="17"/>
      <c r="WYK9" s="17"/>
      <c r="WYL9" s="17"/>
      <c r="WYM9" s="17"/>
      <c r="WYN9" s="17"/>
      <c r="WYO9" s="17"/>
      <c r="WYP9" s="17"/>
      <c r="WYQ9" s="17"/>
      <c r="WYR9" s="17"/>
      <c r="WYS9" s="17"/>
      <c r="WYT9" s="17"/>
      <c r="WYU9" s="17"/>
      <c r="WYV9" s="17"/>
      <c r="WYW9" s="17"/>
      <c r="WYX9" s="17"/>
      <c r="WYY9" s="17"/>
      <c r="WYZ9" s="17"/>
      <c r="WZA9" s="17"/>
      <c r="WZB9" s="17"/>
      <c r="WZC9" s="17"/>
      <c r="WZD9" s="17"/>
      <c r="WZE9" s="17"/>
      <c r="WZF9" s="17"/>
      <c r="WZG9" s="17"/>
      <c r="WZH9" s="17"/>
      <c r="WZI9" s="17"/>
      <c r="WZJ9" s="17"/>
      <c r="WZK9" s="17"/>
      <c r="WZL9" s="17"/>
      <c r="WZM9" s="17"/>
      <c r="WZN9" s="17"/>
      <c r="WZO9" s="17"/>
      <c r="WZP9" s="17"/>
      <c r="WZQ9" s="17"/>
      <c r="WZR9" s="17"/>
      <c r="WZS9" s="17"/>
      <c r="WZT9" s="17"/>
      <c r="WZU9" s="17"/>
      <c r="WZV9" s="17"/>
      <c r="WZW9" s="17"/>
      <c r="WZX9" s="17"/>
      <c r="WZY9" s="17"/>
      <c r="WZZ9" s="17"/>
      <c r="XAA9" s="17"/>
      <c r="XAB9" s="17"/>
      <c r="XAC9" s="17"/>
      <c r="XAD9" s="17"/>
      <c r="XAE9" s="17"/>
      <c r="XAF9" s="17"/>
      <c r="XAG9" s="17"/>
      <c r="XAH9" s="17"/>
      <c r="XAI9" s="17"/>
      <c r="XAJ9" s="17"/>
      <c r="XAK9" s="17"/>
      <c r="XAL9" s="17"/>
      <c r="XAM9" s="17"/>
      <c r="XAN9" s="17"/>
      <c r="XAO9" s="17"/>
      <c r="XAP9" s="17"/>
      <c r="XAQ9" s="17"/>
      <c r="XAR9" s="17"/>
      <c r="XAS9" s="17"/>
      <c r="XAT9" s="17"/>
      <c r="XAU9" s="17"/>
      <c r="XAV9" s="17"/>
      <c r="XAW9" s="17"/>
      <c r="XAX9" s="17"/>
      <c r="XAY9" s="17"/>
      <c r="XAZ9" s="17"/>
      <c r="XBA9" s="17"/>
      <c r="XBB9" s="17"/>
      <c r="XBC9" s="17"/>
      <c r="XBD9" s="17"/>
      <c r="XBE9" s="17"/>
      <c r="XBF9" s="17"/>
      <c r="XBG9" s="17"/>
      <c r="XBH9" s="17"/>
      <c r="XBI9" s="17"/>
      <c r="XBJ9" s="17"/>
      <c r="XBK9" s="17"/>
      <c r="XBL9" s="17"/>
      <c r="XBM9" s="17"/>
      <c r="XBN9" s="17"/>
      <c r="XBO9" s="17"/>
      <c r="XBP9" s="17"/>
      <c r="XBQ9" s="17"/>
      <c r="XBR9" s="17"/>
      <c r="XBS9" s="17"/>
      <c r="XBT9" s="17"/>
      <c r="XBU9" s="17"/>
      <c r="XBV9" s="17"/>
      <c r="XBW9" s="17"/>
      <c r="XBX9" s="17"/>
      <c r="XBY9" s="17"/>
      <c r="XBZ9" s="17"/>
      <c r="XCA9" s="17"/>
      <c r="XCB9" s="17"/>
      <c r="XCC9" s="17"/>
      <c r="XCD9" s="17"/>
      <c r="XCE9" s="17"/>
      <c r="XCF9" s="17"/>
      <c r="XCG9" s="17"/>
      <c r="XCH9" s="17"/>
      <c r="XCI9" s="17"/>
      <c r="XCJ9" s="17"/>
      <c r="XCK9" s="17"/>
      <c r="XCL9" s="17"/>
      <c r="XCM9" s="17"/>
      <c r="XCN9" s="17"/>
      <c r="XCO9" s="17"/>
      <c r="XCP9" s="17"/>
      <c r="XCQ9" s="17"/>
      <c r="XCR9" s="17"/>
      <c r="XCS9" s="17"/>
      <c r="XCT9" s="17"/>
      <c r="XCU9" s="17"/>
      <c r="XCV9" s="17"/>
      <c r="XCW9" s="17"/>
      <c r="XCX9" s="17"/>
      <c r="XCY9" s="17"/>
      <c r="XCZ9" s="17"/>
      <c r="XDA9" s="17"/>
      <c r="XDB9" s="17"/>
      <c r="XDC9" s="17"/>
      <c r="XDD9" s="17"/>
      <c r="XDE9" s="17"/>
      <c r="XDF9" s="17"/>
      <c r="XDG9" s="17"/>
      <c r="XDH9" s="17"/>
      <c r="XDI9" s="17"/>
      <c r="XDJ9" s="17"/>
      <c r="XDK9" s="17"/>
      <c r="XDL9" s="17"/>
      <c r="XDM9" s="17"/>
      <c r="XDN9" s="17"/>
      <c r="XDO9" s="17"/>
      <c r="XDP9" s="17"/>
      <c r="XDQ9" s="17"/>
      <c r="XDR9" s="17"/>
      <c r="XDS9" s="17"/>
      <c r="XDT9" s="17"/>
      <c r="XDU9" s="17"/>
      <c r="XDV9" s="17"/>
      <c r="XDW9" s="17"/>
      <c r="XDX9" s="17"/>
      <c r="XDY9" s="17"/>
      <c r="XDZ9" s="17"/>
      <c r="XEA9" s="17"/>
      <c r="XEB9" s="17"/>
      <c r="XEC9" s="17"/>
      <c r="XED9" s="17"/>
      <c r="XEE9" s="17"/>
      <c r="XEF9" s="17"/>
      <c r="XEG9" s="17"/>
      <c r="XEH9" s="17"/>
      <c r="XEI9" s="17"/>
      <c r="XEJ9" s="17"/>
      <c r="XEK9" s="17"/>
      <c r="XEL9" s="17"/>
      <c r="XEM9" s="17"/>
      <c r="XEN9" s="17"/>
      <c r="XEO9" s="17"/>
      <c r="XEP9" s="17"/>
      <c r="XEQ9" s="17"/>
      <c r="XER9" s="17"/>
      <c r="XES9" s="17"/>
      <c r="XET9" s="17"/>
      <c r="XEU9" s="17"/>
      <c r="XEV9" s="17"/>
      <c r="XEW9" s="17"/>
      <c r="XEX9" s="17"/>
      <c r="XEY9" s="17"/>
      <c r="XEZ9" s="17"/>
      <c r="XFA9" s="17"/>
      <c r="XFB9" s="17"/>
    </row>
    <row r="10" spans="1:16382" s="29" customFormat="1" ht="27.75" customHeight="1" x14ac:dyDescent="0.25">
      <c r="A10" s="18"/>
      <c r="B10" s="52" t="s">
        <v>974</v>
      </c>
      <c r="C10" s="23"/>
      <c r="D10" s="31"/>
      <c r="E10" s="37"/>
      <c r="F10" s="45" t="s">
        <v>49</v>
      </c>
      <c r="G10" s="44">
        <v>0.27</v>
      </c>
      <c r="H10" s="37"/>
      <c r="I10" s="37"/>
      <c r="J10" s="45" t="s">
        <v>49</v>
      </c>
      <c r="K10" s="44">
        <v>0.03</v>
      </c>
      <c r="L10" s="37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</row>
    <row r="11" spans="1:16382" s="29" customFormat="1" ht="27.75" customHeight="1" x14ac:dyDescent="0.25">
      <c r="A11" s="18"/>
      <c r="B11" s="42">
        <f>SUMIF(NF!$E$2:$E$3137,"Bebidas",NF!$K$2:$K$3137)+SUMIF(NF!$E$2:$E$3137,"Feirinha",NF!$K$2:$K$3137)+SUMIF(NF!$E$2:$E$3137,"Hortifruti",NF!$K$2:$K$3137)+SUMIF(NF!$E$2:$E$3137,"Mercado",NF!$K$2:$K$3137)+SUMIF(NF!$E$2:$E$3137,"Carnes",NF!$K$2:$K$3137)+SUMIF(NF!$E$2:$E$3137,"Sobremesa",NF!$K$2:$K$3137)+SUMIF(NF!$E$2:$E$3137,"Sushi",NF!$K$2:$K$3137)+SUMIF(NF!$E$2:$E$3137,"Vendas Caixa",NF!$K$2:$K$3137)</f>
        <v>147450.75453920002</v>
      </c>
      <c r="C11" s="38"/>
      <c r="D11" s="31"/>
      <c r="E11" s="37"/>
      <c r="F11" s="45" t="s">
        <v>48</v>
      </c>
      <c r="G11" s="44">
        <f>IFERROR(B11/$B$5,0%)</f>
        <v>0.25945001969346665</v>
      </c>
      <c r="H11" s="37"/>
      <c r="I11" s="37"/>
      <c r="J11" s="45" t="s">
        <v>48</v>
      </c>
      <c r="K11" s="44">
        <f>IFERROR(B13/$B$5,0%)</f>
        <v>2.8540288695571511E-2</v>
      </c>
      <c r="L11" s="37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</row>
    <row r="12" spans="1:16382" s="29" customFormat="1" ht="27.75" customHeight="1" x14ac:dyDescent="0.25">
      <c r="A12" s="18"/>
      <c r="B12" s="40" t="s">
        <v>973</v>
      </c>
      <c r="C12" s="23"/>
      <c r="D12" s="31"/>
      <c r="E12" s="37"/>
      <c r="F12" s="37"/>
      <c r="G12" s="37"/>
      <c r="H12" s="37"/>
      <c r="I12" s="37"/>
      <c r="J12" s="37"/>
      <c r="K12" s="37"/>
      <c r="L12" s="37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</row>
    <row r="13" spans="1:16382" s="29" customFormat="1" ht="27.75" customHeight="1" thickBot="1" x14ac:dyDescent="0.3">
      <c r="A13" s="18"/>
      <c r="B13" s="39">
        <f>SUMIF(NF!$E$2:$E$3137,"Descartável",NF!$K$2:$K$3137)+SUMIF(NF!$E$2:$E$3137,"Limpeza",NF!$K$2:$K$3137)</f>
        <v>16220.029999999999</v>
      </c>
      <c r="C13" s="38"/>
      <c r="D13" s="31"/>
      <c r="E13" s="37"/>
      <c r="F13" s="37"/>
      <c r="G13" s="37"/>
      <c r="H13" s="37"/>
      <c r="I13" s="37"/>
      <c r="J13" s="37"/>
      <c r="K13" s="37"/>
      <c r="L13" s="37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</row>
    <row r="14" spans="1:16382" ht="12.75" customHeight="1" thickBot="1" x14ac:dyDescent="0.3"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  <c r="AAB14" s="28"/>
      <c r="AAC14" s="28"/>
      <c r="AAD14" s="28"/>
      <c r="AAE14" s="28"/>
      <c r="AAF14" s="28"/>
      <c r="AAG14" s="28"/>
      <c r="AAH14" s="28"/>
      <c r="AAI14" s="28"/>
      <c r="AAJ14" s="28"/>
      <c r="AAK14" s="28"/>
      <c r="AAL14" s="28"/>
      <c r="AAM14" s="28"/>
      <c r="AAN14" s="28"/>
      <c r="AAO14" s="28"/>
      <c r="AAP14" s="28"/>
      <c r="AAQ14" s="28"/>
      <c r="AAR14" s="28"/>
      <c r="AAS14" s="28"/>
      <c r="AAT14" s="28"/>
      <c r="AAU14" s="28"/>
      <c r="AAV14" s="28"/>
      <c r="AAW14" s="28"/>
      <c r="AAX14" s="28"/>
      <c r="AAY14" s="28"/>
      <c r="AAZ14" s="28"/>
      <c r="ABA14" s="28"/>
      <c r="ABB14" s="28"/>
      <c r="ABC14" s="28"/>
      <c r="ABD14" s="28"/>
      <c r="ABE14" s="28"/>
      <c r="ABF14" s="28"/>
      <c r="ABG14" s="28"/>
      <c r="ABH14" s="28"/>
      <c r="ABI14" s="28"/>
      <c r="ABJ14" s="28"/>
      <c r="ABK14" s="28"/>
      <c r="ABL14" s="28"/>
      <c r="ABM14" s="28"/>
      <c r="ABN14" s="28"/>
      <c r="ABO14" s="28"/>
      <c r="ABP14" s="28"/>
      <c r="ABQ14" s="28"/>
      <c r="ABR14" s="28"/>
      <c r="ABS14" s="28"/>
      <c r="ABT14" s="28"/>
      <c r="ABU14" s="28"/>
      <c r="ABV14" s="28"/>
      <c r="ABW14" s="28"/>
      <c r="ABX14" s="28"/>
      <c r="ABY14" s="28"/>
      <c r="ABZ14" s="28"/>
      <c r="ACA14" s="28"/>
      <c r="ACB14" s="28"/>
      <c r="ACC14" s="28"/>
      <c r="ACD14" s="28"/>
      <c r="ACE14" s="28"/>
      <c r="ACF14" s="28"/>
      <c r="ACG14" s="28"/>
      <c r="ACH14" s="28"/>
      <c r="ACI14" s="28"/>
      <c r="ACJ14" s="28"/>
      <c r="ACK14" s="28"/>
      <c r="ACL14" s="28"/>
      <c r="ACM14" s="28"/>
      <c r="ACN14" s="28"/>
      <c r="ACO14" s="28"/>
      <c r="ACP14" s="28"/>
      <c r="ACQ14" s="28"/>
      <c r="ACR14" s="28"/>
      <c r="ACS14" s="28"/>
      <c r="ACT14" s="28"/>
      <c r="ACU14" s="28"/>
      <c r="ACV14" s="28"/>
      <c r="ACW14" s="28"/>
      <c r="ACX14" s="28"/>
      <c r="ACY14" s="28"/>
      <c r="ACZ14" s="28"/>
      <c r="ADA14" s="28"/>
      <c r="ADB14" s="28"/>
      <c r="ADC14" s="28"/>
      <c r="ADD14" s="28"/>
      <c r="ADE14" s="28"/>
      <c r="ADF14" s="28"/>
      <c r="ADG14" s="28"/>
      <c r="ADH14" s="28"/>
      <c r="ADI14" s="28"/>
      <c r="ADJ14" s="28"/>
      <c r="ADK14" s="28"/>
      <c r="ADL14" s="28"/>
      <c r="ADM14" s="28"/>
      <c r="ADN14" s="28"/>
      <c r="ADO14" s="28"/>
      <c r="ADP14" s="28"/>
      <c r="ADQ14" s="28"/>
      <c r="ADR14" s="28"/>
      <c r="ADS14" s="28"/>
      <c r="ADT14" s="28"/>
      <c r="ADU14" s="28"/>
      <c r="ADV14" s="28"/>
      <c r="ADW14" s="28"/>
      <c r="ADX14" s="28"/>
      <c r="ADY14" s="28"/>
      <c r="ADZ14" s="28"/>
      <c r="AEA14" s="28"/>
      <c r="AEB14" s="28"/>
      <c r="AEC14" s="28"/>
      <c r="AED14" s="28"/>
      <c r="AEE14" s="28"/>
      <c r="AEF14" s="28"/>
      <c r="AEG14" s="28"/>
      <c r="AEH14" s="28"/>
      <c r="AEI14" s="28"/>
      <c r="AEJ14" s="28"/>
      <c r="AEK14" s="28"/>
      <c r="AEL14" s="28"/>
      <c r="AEM14" s="28"/>
      <c r="AEN14" s="28"/>
      <c r="AEO14" s="28"/>
      <c r="AEP14" s="28"/>
      <c r="AEQ14" s="28"/>
      <c r="AER14" s="28"/>
      <c r="AES14" s="28"/>
      <c r="AET14" s="28"/>
      <c r="AEU14" s="28"/>
      <c r="AEV14" s="28"/>
      <c r="AEW14" s="28"/>
      <c r="AEX14" s="28"/>
      <c r="AEY14" s="28"/>
      <c r="AEZ14" s="28"/>
      <c r="AFA14" s="28"/>
      <c r="AFB14" s="28"/>
      <c r="AFC14" s="28"/>
      <c r="AFD14" s="28"/>
      <c r="AFE14" s="28"/>
      <c r="AFF14" s="28"/>
      <c r="AFG14" s="28"/>
      <c r="AFH14" s="28"/>
      <c r="AFI14" s="28"/>
      <c r="AFJ14" s="28"/>
      <c r="AFK14" s="28"/>
      <c r="AFL14" s="28"/>
      <c r="AFM14" s="28"/>
      <c r="AFN14" s="28"/>
      <c r="AFO14" s="28"/>
      <c r="AFP14" s="28"/>
      <c r="AFQ14" s="28"/>
      <c r="AFR14" s="28"/>
      <c r="AFS14" s="28"/>
      <c r="AFT14" s="28"/>
      <c r="AFU14" s="28"/>
      <c r="AFV14" s="28"/>
      <c r="AFW14" s="28"/>
      <c r="AFX14" s="28"/>
      <c r="AFY14" s="28"/>
      <c r="AFZ14" s="28"/>
      <c r="AGA14" s="28"/>
      <c r="AGB14" s="28"/>
      <c r="AGC14" s="28"/>
      <c r="AGD14" s="28"/>
      <c r="AGE14" s="28"/>
      <c r="AGF14" s="28"/>
      <c r="AGG14" s="28"/>
      <c r="AGH14" s="28"/>
      <c r="AGI14" s="28"/>
      <c r="AGJ14" s="28"/>
      <c r="AGK14" s="28"/>
      <c r="AGL14" s="28"/>
      <c r="AGM14" s="28"/>
      <c r="AGN14" s="28"/>
      <c r="AGO14" s="28"/>
      <c r="AGP14" s="28"/>
      <c r="AGQ14" s="28"/>
      <c r="AGR14" s="28"/>
      <c r="AGS14" s="28"/>
      <c r="AGT14" s="28"/>
      <c r="AGU14" s="28"/>
      <c r="AGV14" s="28"/>
      <c r="AGW14" s="28"/>
      <c r="AGX14" s="28"/>
      <c r="AGY14" s="28"/>
      <c r="AGZ14" s="28"/>
      <c r="AHA14" s="28"/>
      <c r="AHB14" s="28"/>
      <c r="AHC14" s="28"/>
      <c r="AHD14" s="28"/>
      <c r="AHE14" s="28"/>
      <c r="AHF14" s="28"/>
      <c r="AHG14" s="28"/>
      <c r="AHH14" s="28"/>
      <c r="AHI14" s="28"/>
      <c r="AHJ14" s="28"/>
      <c r="AHK14" s="28"/>
      <c r="AHL14" s="28"/>
      <c r="AHM14" s="28"/>
      <c r="AHN14" s="28"/>
      <c r="AHO14" s="28"/>
      <c r="AHP14" s="28"/>
      <c r="AHQ14" s="28"/>
      <c r="AHR14" s="28"/>
      <c r="AHS14" s="28"/>
      <c r="AHT14" s="28"/>
      <c r="AHU14" s="28"/>
      <c r="AHV14" s="28"/>
      <c r="AHW14" s="28"/>
      <c r="AHX14" s="28"/>
      <c r="AHY14" s="28"/>
      <c r="AHZ14" s="28"/>
      <c r="AIA14" s="28"/>
      <c r="AIB14" s="28"/>
      <c r="AIC14" s="28"/>
      <c r="AID14" s="28"/>
      <c r="AIE14" s="28"/>
      <c r="AIF14" s="28"/>
      <c r="AIG14" s="28"/>
      <c r="AIH14" s="28"/>
      <c r="AII14" s="28"/>
      <c r="AIJ14" s="28"/>
      <c r="AIK14" s="28"/>
      <c r="AIL14" s="28"/>
      <c r="AIM14" s="28"/>
      <c r="AIN14" s="28"/>
      <c r="AIO14" s="28"/>
      <c r="AIP14" s="28"/>
      <c r="AIQ14" s="28"/>
      <c r="AIR14" s="28"/>
      <c r="AIS14" s="28"/>
      <c r="AIT14" s="28"/>
      <c r="AIU14" s="28"/>
      <c r="AIV14" s="28"/>
      <c r="AIW14" s="28"/>
      <c r="AIX14" s="28"/>
      <c r="AIY14" s="28"/>
      <c r="AIZ14" s="28"/>
      <c r="AJA14" s="28"/>
      <c r="AJB14" s="28"/>
      <c r="AJC14" s="28"/>
      <c r="AJD14" s="28"/>
      <c r="AJE14" s="28"/>
      <c r="AJF14" s="28"/>
      <c r="AJG14" s="28"/>
      <c r="AJH14" s="28"/>
      <c r="AJI14" s="28"/>
      <c r="AJJ14" s="28"/>
      <c r="AJK14" s="28"/>
      <c r="AJL14" s="28"/>
      <c r="AJM14" s="28"/>
      <c r="AJN14" s="28"/>
      <c r="AJO14" s="28"/>
      <c r="AJP14" s="28"/>
      <c r="AJQ14" s="28"/>
      <c r="AJR14" s="28"/>
      <c r="AJS14" s="28"/>
      <c r="AJT14" s="28"/>
      <c r="AJU14" s="28"/>
      <c r="AJV14" s="28"/>
      <c r="AJW14" s="28"/>
      <c r="AJX14" s="28"/>
      <c r="AJY14" s="28"/>
      <c r="AJZ14" s="28"/>
      <c r="AKA14" s="28"/>
      <c r="AKB14" s="28"/>
      <c r="AKC14" s="28"/>
      <c r="AKD14" s="28"/>
      <c r="AKE14" s="28"/>
      <c r="AKF14" s="28"/>
      <c r="AKG14" s="28"/>
      <c r="AKH14" s="28"/>
      <c r="AKI14" s="28"/>
      <c r="AKJ14" s="28"/>
      <c r="AKK14" s="28"/>
      <c r="AKL14" s="28"/>
      <c r="AKM14" s="28"/>
      <c r="AKN14" s="28"/>
      <c r="AKO14" s="28"/>
      <c r="AKP14" s="28"/>
      <c r="AKQ14" s="28"/>
      <c r="AKR14" s="28"/>
      <c r="AKS14" s="28"/>
      <c r="AKT14" s="28"/>
      <c r="AKU14" s="28"/>
      <c r="AKV14" s="28"/>
      <c r="AKW14" s="28"/>
      <c r="AKX14" s="28"/>
      <c r="AKY14" s="28"/>
      <c r="AKZ14" s="28"/>
      <c r="ALA14" s="28"/>
      <c r="ALB14" s="28"/>
      <c r="ALC14" s="28"/>
      <c r="ALD14" s="28"/>
      <c r="ALE14" s="28"/>
      <c r="ALF14" s="28"/>
      <c r="ALG14" s="28"/>
      <c r="ALH14" s="28"/>
      <c r="ALI14" s="28"/>
      <c r="ALJ14" s="28"/>
      <c r="ALK14" s="28"/>
      <c r="ALL14" s="28"/>
      <c r="ALM14" s="28"/>
      <c r="ALN14" s="28"/>
      <c r="ALO14" s="28"/>
      <c r="ALP14" s="28"/>
      <c r="ALQ14" s="28"/>
      <c r="ALR14" s="28"/>
      <c r="ALS14" s="28"/>
      <c r="ALT14" s="28"/>
      <c r="ALU14" s="28"/>
      <c r="ALV14" s="28"/>
      <c r="ALW14" s="28"/>
      <c r="ALX14" s="28"/>
      <c r="ALY14" s="28"/>
      <c r="ALZ14" s="28"/>
      <c r="AMA14" s="28"/>
      <c r="AMB14" s="28"/>
      <c r="AMC14" s="28"/>
      <c r="AMD14" s="28"/>
      <c r="AME14" s="28"/>
      <c r="AMF14" s="28"/>
      <c r="AMG14" s="28"/>
      <c r="AMH14" s="28"/>
      <c r="AMI14" s="28"/>
      <c r="AMJ14" s="28"/>
      <c r="AMK14" s="28"/>
      <c r="AML14" s="28"/>
      <c r="AMM14" s="28"/>
      <c r="AMN14" s="28"/>
      <c r="AMO14" s="28"/>
      <c r="AMP14" s="28"/>
      <c r="AMQ14" s="28"/>
      <c r="AMR14" s="28"/>
      <c r="AMS14" s="28"/>
      <c r="AMT14" s="28"/>
      <c r="AMU14" s="28"/>
      <c r="AMV14" s="28"/>
      <c r="AMW14" s="28"/>
      <c r="AMX14" s="28"/>
      <c r="AMY14" s="28"/>
      <c r="AMZ14" s="28"/>
      <c r="ANA14" s="28"/>
      <c r="ANB14" s="28"/>
      <c r="ANC14" s="28"/>
      <c r="AND14" s="28"/>
      <c r="ANE14" s="28"/>
      <c r="ANF14" s="28"/>
      <c r="ANG14" s="28"/>
      <c r="ANH14" s="28"/>
      <c r="ANI14" s="28"/>
      <c r="ANJ14" s="28"/>
      <c r="ANK14" s="28"/>
      <c r="ANL14" s="28"/>
      <c r="ANM14" s="28"/>
      <c r="ANN14" s="28"/>
      <c r="ANO14" s="28"/>
      <c r="ANP14" s="28"/>
      <c r="ANQ14" s="28"/>
      <c r="ANR14" s="28"/>
      <c r="ANS14" s="28"/>
      <c r="ANT14" s="28"/>
      <c r="ANU14" s="28"/>
      <c r="ANV14" s="28"/>
      <c r="ANW14" s="28"/>
      <c r="ANX14" s="28"/>
      <c r="ANY14" s="28"/>
      <c r="ANZ14" s="28"/>
      <c r="AOA14" s="28"/>
      <c r="AOB14" s="28"/>
      <c r="AOC14" s="28"/>
      <c r="AOD14" s="28"/>
      <c r="AOE14" s="28"/>
      <c r="AOF14" s="28"/>
      <c r="AOG14" s="28"/>
      <c r="AOH14" s="28"/>
      <c r="AOI14" s="28"/>
      <c r="AOJ14" s="28"/>
      <c r="AOK14" s="28"/>
      <c r="AOL14" s="28"/>
      <c r="AOM14" s="28"/>
      <c r="AON14" s="28"/>
      <c r="AOO14" s="28"/>
      <c r="AOP14" s="28"/>
      <c r="AOQ14" s="28"/>
      <c r="AOR14" s="28"/>
      <c r="AOS14" s="28"/>
      <c r="AOT14" s="28"/>
      <c r="AOU14" s="28"/>
      <c r="AOV14" s="28"/>
      <c r="AOW14" s="28"/>
      <c r="AOX14" s="28"/>
      <c r="AOY14" s="28"/>
      <c r="AOZ14" s="28"/>
      <c r="APA14" s="28"/>
      <c r="APB14" s="28"/>
      <c r="APC14" s="28"/>
      <c r="APD14" s="28"/>
      <c r="APE14" s="28"/>
      <c r="APF14" s="28"/>
      <c r="APG14" s="28"/>
      <c r="APH14" s="28"/>
      <c r="API14" s="28"/>
      <c r="APJ14" s="28"/>
      <c r="APK14" s="28"/>
      <c r="APL14" s="28"/>
      <c r="APM14" s="28"/>
      <c r="APN14" s="28"/>
      <c r="APO14" s="28"/>
      <c r="APP14" s="28"/>
      <c r="APQ14" s="28"/>
      <c r="APR14" s="28"/>
      <c r="APS14" s="28"/>
      <c r="APT14" s="28"/>
      <c r="APU14" s="28"/>
      <c r="APV14" s="28"/>
      <c r="APW14" s="28"/>
      <c r="APX14" s="28"/>
      <c r="APY14" s="28"/>
      <c r="APZ14" s="28"/>
      <c r="AQA14" s="28"/>
      <c r="AQB14" s="28"/>
      <c r="AQC14" s="28"/>
      <c r="AQD14" s="28"/>
      <c r="AQE14" s="28"/>
      <c r="AQF14" s="28"/>
      <c r="AQG14" s="28"/>
      <c r="AQH14" s="28"/>
      <c r="AQI14" s="28"/>
      <c r="AQJ14" s="28"/>
      <c r="AQK14" s="28"/>
      <c r="AQL14" s="28"/>
      <c r="AQM14" s="28"/>
      <c r="AQN14" s="28"/>
      <c r="AQO14" s="28"/>
      <c r="AQP14" s="28"/>
      <c r="AQQ14" s="28"/>
      <c r="AQR14" s="28"/>
      <c r="AQS14" s="28"/>
      <c r="AQT14" s="28"/>
      <c r="AQU14" s="28"/>
      <c r="AQV14" s="28"/>
      <c r="AQW14" s="28"/>
      <c r="AQX14" s="28"/>
      <c r="AQY14" s="28"/>
      <c r="AQZ14" s="28"/>
      <c r="ARA14" s="28"/>
      <c r="ARB14" s="28"/>
      <c r="ARC14" s="28"/>
      <c r="ARD14" s="28"/>
      <c r="ARE14" s="28"/>
      <c r="ARF14" s="28"/>
      <c r="ARG14" s="28"/>
      <c r="ARH14" s="28"/>
      <c r="ARI14" s="28"/>
      <c r="ARJ14" s="28"/>
      <c r="ARK14" s="28"/>
      <c r="ARL14" s="28"/>
      <c r="ARM14" s="28"/>
      <c r="ARN14" s="28"/>
      <c r="ARO14" s="28"/>
      <c r="ARP14" s="28"/>
      <c r="ARQ14" s="28"/>
      <c r="ARR14" s="28"/>
      <c r="ARS14" s="28"/>
      <c r="ART14" s="28"/>
      <c r="ARU14" s="28"/>
      <c r="ARV14" s="28"/>
      <c r="ARW14" s="28"/>
      <c r="ARX14" s="28"/>
      <c r="ARY14" s="28"/>
      <c r="ARZ14" s="28"/>
      <c r="ASA14" s="28"/>
      <c r="ASB14" s="28"/>
      <c r="ASC14" s="28"/>
      <c r="ASD14" s="28"/>
      <c r="ASE14" s="28"/>
      <c r="ASF14" s="28"/>
      <c r="ASG14" s="28"/>
      <c r="ASH14" s="28"/>
      <c r="ASI14" s="28"/>
      <c r="ASJ14" s="28"/>
      <c r="ASK14" s="28"/>
      <c r="ASL14" s="28"/>
      <c r="ASM14" s="28"/>
      <c r="ASN14" s="28"/>
      <c r="ASO14" s="28"/>
      <c r="ASP14" s="28"/>
      <c r="ASQ14" s="28"/>
      <c r="ASR14" s="28"/>
      <c r="ASS14" s="28"/>
      <c r="AST14" s="28"/>
      <c r="ASU14" s="28"/>
      <c r="ASV14" s="28"/>
      <c r="ASW14" s="28"/>
      <c r="ASX14" s="28"/>
      <c r="ASY14" s="28"/>
      <c r="ASZ14" s="28"/>
      <c r="ATA14" s="28"/>
      <c r="ATB14" s="28"/>
      <c r="ATC14" s="28"/>
      <c r="ATD14" s="28"/>
      <c r="ATE14" s="28"/>
      <c r="ATF14" s="28"/>
      <c r="ATG14" s="28"/>
      <c r="ATH14" s="28"/>
      <c r="ATI14" s="28"/>
      <c r="ATJ14" s="28"/>
      <c r="ATK14" s="28"/>
      <c r="ATL14" s="28"/>
      <c r="ATM14" s="28"/>
      <c r="ATN14" s="28"/>
      <c r="ATO14" s="28"/>
      <c r="ATP14" s="28"/>
      <c r="ATQ14" s="28"/>
      <c r="ATR14" s="28"/>
      <c r="ATS14" s="28"/>
      <c r="ATT14" s="28"/>
      <c r="ATU14" s="28"/>
      <c r="ATV14" s="28"/>
      <c r="ATW14" s="28"/>
      <c r="ATX14" s="28"/>
      <c r="ATY14" s="28"/>
      <c r="ATZ14" s="28"/>
      <c r="AUA14" s="28"/>
      <c r="AUB14" s="28"/>
      <c r="AUC14" s="28"/>
      <c r="AUD14" s="28"/>
      <c r="AUE14" s="28"/>
      <c r="AUF14" s="28"/>
      <c r="AUG14" s="28"/>
      <c r="AUH14" s="28"/>
      <c r="AUI14" s="28"/>
      <c r="AUJ14" s="28"/>
      <c r="AUK14" s="28"/>
      <c r="AUL14" s="28"/>
      <c r="AUM14" s="28"/>
      <c r="AUN14" s="28"/>
      <c r="AUO14" s="28"/>
      <c r="AUP14" s="28"/>
      <c r="AUQ14" s="28"/>
      <c r="AUR14" s="28"/>
      <c r="AUS14" s="28"/>
      <c r="AUT14" s="28"/>
      <c r="AUU14" s="28"/>
      <c r="AUV14" s="28"/>
      <c r="AUW14" s="28"/>
      <c r="AUX14" s="28"/>
      <c r="AUY14" s="28"/>
      <c r="AUZ14" s="28"/>
      <c r="AVA14" s="28"/>
      <c r="AVB14" s="28"/>
      <c r="AVC14" s="28"/>
      <c r="AVD14" s="28"/>
      <c r="AVE14" s="28"/>
      <c r="AVF14" s="28"/>
      <c r="AVG14" s="28"/>
      <c r="AVH14" s="28"/>
      <c r="AVI14" s="28"/>
      <c r="AVJ14" s="28"/>
      <c r="AVK14" s="28"/>
      <c r="AVL14" s="28"/>
      <c r="AVM14" s="28"/>
      <c r="AVN14" s="28"/>
      <c r="AVO14" s="28"/>
      <c r="AVP14" s="28"/>
      <c r="AVQ14" s="28"/>
      <c r="AVR14" s="28"/>
      <c r="AVS14" s="28"/>
      <c r="AVT14" s="28"/>
      <c r="AVU14" s="28"/>
      <c r="AVV14" s="28"/>
      <c r="AVW14" s="28"/>
      <c r="AVX14" s="28"/>
      <c r="AVY14" s="28"/>
      <c r="AVZ14" s="28"/>
      <c r="AWA14" s="28"/>
      <c r="AWB14" s="28"/>
      <c r="AWC14" s="28"/>
      <c r="AWD14" s="28"/>
      <c r="AWE14" s="28"/>
      <c r="AWF14" s="28"/>
      <c r="AWG14" s="28"/>
      <c r="AWH14" s="28"/>
      <c r="AWI14" s="28"/>
      <c r="AWJ14" s="28"/>
      <c r="AWK14" s="28"/>
      <c r="AWL14" s="28"/>
      <c r="AWM14" s="28"/>
      <c r="AWN14" s="28"/>
      <c r="AWO14" s="28"/>
      <c r="AWP14" s="28"/>
      <c r="AWQ14" s="28"/>
      <c r="AWR14" s="28"/>
      <c r="AWS14" s="28"/>
      <c r="AWT14" s="28"/>
      <c r="AWU14" s="28"/>
      <c r="AWV14" s="28"/>
      <c r="AWW14" s="28"/>
      <c r="AWX14" s="28"/>
      <c r="AWY14" s="28"/>
      <c r="AWZ14" s="28"/>
      <c r="AXA14" s="28"/>
      <c r="AXB14" s="28"/>
      <c r="AXC14" s="28"/>
      <c r="AXD14" s="28"/>
      <c r="AXE14" s="28"/>
      <c r="AXF14" s="28"/>
      <c r="AXG14" s="28"/>
      <c r="AXH14" s="28"/>
      <c r="AXI14" s="28"/>
      <c r="AXJ14" s="28"/>
      <c r="AXK14" s="28"/>
      <c r="AXL14" s="28"/>
      <c r="AXM14" s="28"/>
      <c r="AXN14" s="28"/>
      <c r="AXO14" s="28"/>
      <c r="AXP14" s="28"/>
      <c r="AXQ14" s="28"/>
      <c r="AXR14" s="28"/>
      <c r="AXS14" s="28"/>
      <c r="AXT14" s="28"/>
      <c r="AXU14" s="28"/>
      <c r="AXV14" s="28"/>
      <c r="AXW14" s="28"/>
      <c r="AXX14" s="28"/>
      <c r="AXY14" s="28"/>
      <c r="AXZ14" s="28"/>
      <c r="AYA14" s="28"/>
      <c r="AYB14" s="28"/>
      <c r="AYC14" s="28"/>
      <c r="AYD14" s="28"/>
      <c r="AYE14" s="28"/>
      <c r="AYF14" s="28"/>
      <c r="AYG14" s="28"/>
      <c r="AYH14" s="28"/>
      <c r="AYI14" s="28"/>
      <c r="AYJ14" s="28"/>
      <c r="AYK14" s="28"/>
      <c r="AYL14" s="28"/>
      <c r="AYM14" s="28"/>
      <c r="AYN14" s="28"/>
      <c r="AYO14" s="28"/>
      <c r="AYP14" s="28"/>
      <c r="AYQ14" s="28"/>
      <c r="AYR14" s="28"/>
      <c r="AYS14" s="28"/>
      <c r="AYT14" s="28"/>
      <c r="AYU14" s="28"/>
      <c r="AYV14" s="28"/>
      <c r="AYW14" s="28"/>
      <c r="AYX14" s="28"/>
      <c r="AYY14" s="28"/>
      <c r="AYZ14" s="28"/>
      <c r="AZA14" s="28"/>
      <c r="AZB14" s="28"/>
      <c r="AZC14" s="28"/>
      <c r="AZD14" s="28"/>
      <c r="AZE14" s="28"/>
      <c r="AZF14" s="28"/>
      <c r="AZG14" s="28"/>
      <c r="AZH14" s="28"/>
      <c r="AZI14" s="28"/>
      <c r="AZJ14" s="28"/>
      <c r="AZK14" s="28"/>
      <c r="AZL14" s="28"/>
      <c r="AZM14" s="28"/>
      <c r="AZN14" s="28"/>
      <c r="AZO14" s="28"/>
      <c r="AZP14" s="28"/>
      <c r="AZQ14" s="28"/>
      <c r="AZR14" s="28"/>
      <c r="AZS14" s="28"/>
      <c r="AZT14" s="28"/>
      <c r="AZU14" s="28"/>
      <c r="AZV14" s="28"/>
      <c r="AZW14" s="28"/>
      <c r="AZX14" s="28"/>
      <c r="AZY14" s="28"/>
      <c r="AZZ14" s="28"/>
      <c r="BAA14" s="28"/>
      <c r="BAB14" s="28"/>
      <c r="BAC14" s="28"/>
      <c r="BAD14" s="28"/>
      <c r="BAE14" s="28"/>
      <c r="BAF14" s="28"/>
      <c r="BAG14" s="28"/>
      <c r="BAH14" s="28"/>
      <c r="BAI14" s="28"/>
      <c r="BAJ14" s="28"/>
      <c r="BAK14" s="28"/>
      <c r="BAL14" s="28"/>
      <c r="BAM14" s="28"/>
      <c r="BAN14" s="28"/>
      <c r="BAO14" s="28"/>
      <c r="BAP14" s="28"/>
      <c r="BAQ14" s="28"/>
      <c r="BAR14" s="28"/>
      <c r="BAS14" s="28"/>
      <c r="BAT14" s="28"/>
      <c r="BAU14" s="28"/>
      <c r="BAV14" s="28"/>
      <c r="BAW14" s="28"/>
      <c r="BAX14" s="28"/>
      <c r="BAY14" s="28"/>
      <c r="BAZ14" s="28"/>
      <c r="BBA14" s="28"/>
      <c r="BBB14" s="28"/>
      <c r="BBC14" s="28"/>
      <c r="BBD14" s="28"/>
      <c r="BBE14" s="28"/>
      <c r="BBF14" s="28"/>
      <c r="BBG14" s="28"/>
      <c r="BBH14" s="28"/>
      <c r="BBI14" s="28"/>
      <c r="BBJ14" s="28"/>
      <c r="BBK14" s="28"/>
      <c r="BBL14" s="28"/>
      <c r="BBM14" s="28"/>
      <c r="BBN14" s="28"/>
      <c r="BBO14" s="28"/>
      <c r="BBP14" s="28"/>
      <c r="BBQ14" s="28"/>
      <c r="BBR14" s="28"/>
      <c r="BBS14" s="28"/>
      <c r="BBT14" s="28"/>
      <c r="BBU14" s="28"/>
      <c r="BBV14" s="28"/>
      <c r="BBW14" s="28"/>
      <c r="BBX14" s="28"/>
      <c r="BBY14" s="28"/>
      <c r="BBZ14" s="28"/>
      <c r="BCA14" s="28"/>
      <c r="BCB14" s="28"/>
      <c r="BCC14" s="28"/>
      <c r="BCD14" s="28"/>
      <c r="BCE14" s="28"/>
      <c r="BCF14" s="28"/>
      <c r="BCG14" s="28"/>
      <c r="BCH14" s="28"/>
      <c r="BCI14" s="28"/>
      <c r="BCJ14" s="28"/>
      <c r="BCK14" s="28"/>
      <c r="BCL14" s="28"/>
      <c r="BCM14" s="28"/>
      <c r="BCN14" s="28"/>
      <c r="BCO14" s="28"/>
      <c r="BCP14" s="28"/>
      <c r="BCQ14" s="28"/>
      <c r="BCR14" s="28"/>
      <c r="BCS14" s="28"/>
      <c r="BCT14" s="28"/>
      <c r="BCU14" s="28"/>
      <c r="BCV14" s="28"/>
      <c r="BCW14" s="28"/>
      <c r="BCX14" s="28"/>
      <c r="BCY14" s="28"/>
      <c r="BCZ14" s="28"/>
      <c r="BDA14" s="28"/>
      <c r="BDB14" s="28"/>
      <c r="BDC14" s="28"/>
      <c r="BDD14" s="28"/>
      <c r="BDE14" s="28"/>
      <c r="BDF14" s="28"/>
      <c r="BDG14" s="28"/>
      <c r="BDH14" s="28"/>
      <c r="BDI14" s="28"/>
      <c r="BDJ14" s="28"/>
      <c r="BDK14" s="28"/>
      <c r="BDL14" s="28"/>
      <c r="BDM14" s="28"/>
      <c r="BDN14" s="28"/>
      <c r="BDO14" s="28"/>
      <c r="BDP14" s="28"/>
      <c r="BDQ14" s="28"/>
      <c r="BDR14" s="28"/>
      <c r="BDS14" s="28"/>
      <c r="BDT14" s="28"/>
      <c r="BDU14" s="28"/>
      <c r="BDV14" s="28"/>
      <c r="BDW14" s="28"/>
      <c r="BDX14" s="28"/>
      <c r="BDY14" s="28"/>
      <c r="BDZ14" s="28"/>
      <c r="BEA14" s="28"/>
      <c r="BEB14" s="28"/>
      <c r="BEC14" s="28"/>
      <c r="BED14" s="28"/>
      <c r="BEE14" s="28"/>
      <c r="BEF14" s="28"/>
      <c r="BEG14" s="28"/>
      <c r="BEH14" s="28"/>
      <c r="BEI14" s="28"/>
      <c r="BEJ14" s="28"/>
      <c r="BEK14" s="28"/>
      <c r="BEL14" s="28"/>
      <c r="BEM14" s="28"/>
      <c r="BEN14" s="28"/>
      <c r="BEO14" s="28"/>
      <c r="BEP14" s="28"/>
      <c r="BEQ14" s="28"/>
      <c r="BER14" s="28"/>
      <c r="BES14" s="28"/>
      <c r="BET14" s="28"/>
      <c r="BEU14" s="28"/>
      <c r="BEV14" s="28"/>
      <c r="BEW14" s="28"/>
      <c r="BEX14" s="28"/>
      <c r="BEY14" s="28"/>
      <c r="BEZ14" s="28"/>
      <c r="BFA14" s="28"/>
      <c r="BFB14" s="28"/>
      <c r="BFC14" s="28"/>
      <c r="BFD14" s="28"/>
      <c r="BFE14" s="28"/>
      <c r="BFF14" s="28"/>
      <c r="BFG14" s="28"/>
      <c r="BFH14" s="28"/>
      <c r="BFI14" s="28"/>
      <c r="BFJ14" s="28"/>
      <c r="BFK14" s="28"/>
      <c r="BFL14" s="28"/>
      <c r="BFM14" s="28"/>
      <c r="BFN14" s="28"/>
      <c r="BFO14" s="28"/>
      <c r="BFP14" s="28"/>
      <c r="BFQ14" s="28"/>
      <c r="BFR14" s="28"/>
      <c r="BFS14" s="28"/>
      <c r="BFT14" s="28"/>
      <c r="BFU14" s="28"/>
      <c r="BFV14" s="28"/>
      <c r="BFW14" s="28"/>
      <c r="BFX14" s="28"/>
      <c r="BFY14" s="28"/>
      <c r="BFZ14" s="28"/>
      <c r="BGA14" s="28"/>
      <c r="BGB14" s="28"/>
      <c r="BGC14" s="28"/>
      <c r="BGD14" s="28"/>
      <c r="BGE14" s="28"/>
      <c r="BGF14" s="28"/>
      <c r="BGG14" s="28"/>
      <c r="BGH14" s="28"/>
      <c r="BGI14" s="28"/>
      <c r="BGJ14" s="28"/>
      <c r="BGK14" s="28"/>
      <c r="BGL14" s="28"/>
      <c r="BGM14" s="28"/>
      <c r="BGN14" s="28"/>
      <c r="BGO14" s="28"/>
      <c r="BGP14" s="28"/>
      <c r="BGQ14" s="28"/>
      <c r="BGR14" s="28"/>
      <c r="BGS14" s="28"/>
      <c r="BGT14" s="28"/>
      <c r="BGU14" s="28"/>
      <c r="BGV14" s="28"/>
      <c r="BGW14" s="28"/>
      <c r="BGX14" s="28"/>
      <c r="BGY14" s="28"/>
      <c r="BGZ14" s="28"/>
      <c r="BHA14" s="28"/>
      <c r="BHB14" s="28"/>
      <c r="BHC14" s="28"/>
      <c r="BHD14" s="28"/>
      <c r="BHE14" s="28"/>
      <c r="BHF14" s="28"/>
      <c r="BHG14" s="28"/>
      <c r="BHH14" s="28"/>
      <c r="BHI14" s="28"/>
      <c r="BHJ14" s="28"/>
      <c r="BHK14" s="28"/>
      <c r="BHL14" s="28"/>
      <c r="BHM14" s="28"/>
      <c r="BHN14" s="28"/>
      <c r="BHO14" s="28"/>
      <c r="BHP14" s="28"/>
      <c r="BHQ14" s="28"/>
      <c r="BHR14" s="28"/>
      <c r="BHS14" s="28"/>
      <c r="BHT14" s="28"/>
      <c r="BHU14" s="28"/>
      <c r="BHV14" s="28"/>
      <c r="BHW14" s="28"/>
      <c r="BHX14" s="28"/>
      <c r="BHY14" s="28"/>
      <c r="BHZ14" s="28"/>
      <c r="BIA14" s="28"/>
      <c r="BIB14" s="28"/>
      <c r="BIC14" s="28"/>
      <c r="BID14" s="28"/>
      <c r="BIE14" s="28"/>
      <c r="BIF14" s="28"/>
      <c r="BIG14" s="28"/>
      <c r="BIH14" s="28"/>
      <c r="BII14" s="28"/>
      <c r="BIJ14" s="28"/>
      <c r="BIK14" s="28"/>
      <c r="BIL14" s="28"/>
      <c r="BIM14" s="28"/>
      <c r="BIN14" s="28"/>
      <c r="BIO14" s="28"/>
      <c r="BIP14" s="28"/>
      <c r="BIQ14" s="28"/>
      <c r="BIR14" s="28"/>
      <c r="BIS14" s="28"/>
      <c r="BIT14" s="28"/>
      <c r="BIU14" s="28"/>
      <c r="BIV14" s="28"/>
      <c r="BIW14" s="28"/>
      <c r="BIX14" s="28"/>
      <c r="BIY14" s="28"/>
      <c r="BIZ14" s="28"/>
      <c r="BJA14" s="28"/>
      <c r="BJB14" s="28"/>
      <c r="BJC14" s="28"/>
      <c r="BJD14" s="28"/>
      <c r="BJE14" s="28"/>
      <c r="BJF14" s="28"/>
      <c r="BJG14" s="28"/>
      <c r="BJH14" s="28"/>
      <c r="BJI14" s="28"/>
      <c r="BJJ14" s="28"/>
      <c r="BJK14" s="28"/>
      <c r="BJL14" s="28"/>
      <c r="BJM14" s="28"/>
      <c r="BJN14" s="28"/>
      <c r="BJO14" s="28"/>
      <c r="BJP14" s="28"/>
      <c r="BJQ14" s="28"/>
      <c r="BJR14" s="28"/>
      <c r="BJS14" s="28"/>
      <c r="BJT14" s="28"/>
      <c r="BJU14" s="28"/>
      <c r="BJV14" s="28"/>
      <c r="BJW14" s="28"/>
      <c r="BJX14" s="28"/>
      <c r="BJY14" s="28"/>
      <c r="BJZ14" s="28"/>
      <c r="BKA14" s="28"/>
      <c r="BKB14" s="28"/>
      <c r="BKC14" s="28"/>
      <c r="BKD14" s="28"/>
      <c r="BKE14" s="28"/>
      <c r="BKF14" s="28"/>
      <c r="BKG14" s="28"/>
      <c r="BKH14" s="28"/>
      <c r="BKI14" s="28"/>
      <c r="BKJ14" s="28"/>
      <c r="BKK14" s="28"/>
      <c r="BKL14" s="28"/>
      <c r="BKM14" s="28"/>
      <c r="BKN14" s="28"/>
      <c r="BKO14" s="28"/>
      <c r="BKP14" s="28"/>
      <c r="BKQ14" s="28"/>
      <c r="BKR14" s="28"/>
      <c r="BKS14" s="28"/>
      <c r="BKT14" s="28"/>
      <c r="BKU14" s="28"/>
      <c r="BKV14" s="28"/>
      <c r="BKW14" s="28"/>
      <c r="BKX14" s="28"/>
      <c r="BKY14" s="28"/>
      <c r="BKZ14" s="28"/>
      <c r="BLA14" s="28"/>
      <c r="BLB14" s="28"/>
      <c r="BLC14" s="28"/>
      <c r="BLD14" s="28"/>
      <c r="BLE14" s="28"/>
      <c r="BLF14" s="28"/>
      <c r="BLG14" s="28"/>
      <c r="BLH14" s="28"/>
      <c r="BLI14" s="28"/>
      <c r="BLJ14" s="28"/>
      <c r="BLK14" s="28"/>
      <c r="BLL14" s="28"/>
      <c r="BLM14" s="28"/>
      <c r="BLN14" s="28"/>
      <c r="BLO14" s="28"/>
      <c r="BLP14" s="28"/>
      <c r="BLQ14" s="28"/>
      <c r="BLR14" s="28"/>
      <c r="BLS14" s="28"/>
      <c r="BLT14" s="28"/>
      <c r="BLU14" s="28"/>
      <c r="BLV14" s="28"/>
      <c r="BLW14" s="28"/>
      <c r="BLX14" s="28"/>
      <c r="BLY14" s="28"/>
      <c r="BLZ14" s="28"/>
      <c r="BMA14" s="28"/>
      <c r="BMB14" s="28"/>
      <c r="BMC14" s="28"/>
      <c r="BMD14" s="28"/>
      <c r="BME14" s="28"/>
      <c r="BMF14" s="28"/>
      <c r="BMG14" s="28"/>
      <c r="BMH14" s="28"/>
      <c r="BMI14" s="28"/>
      <c r="BMJ14" s="28"/>
      <c r="BMK14" s="28"/>
      <c r="BML14" s="28"/>
      <c r="BMM14" s="28"/>
      <c r="BMN14" s="28"/>
      <c r="BMO14" s="28"/>
      <c r="BMP14" s="28"/>
      <c r="BMQ14" s="28"/>
      <c r="BMR14" s="28"/>
      <c r="BMS14" s="28"/>
      <c r="BMT14" s="28"/>
      <c r="BMU14" s="28"/>
      <c r="BMV14" s="28"/>
      <c r="BMW14" s="28"/>
      <c r="BMX14" s="28"/>
      <c r="BMY14" s="28"/>
      <c r="BMZ14" s="28"/>
      <c r="BNA14" s="28"/>
      <c r="BNB14" s="28"/>
      <c r="BNC14" s="28"/>
      <c r="BND14" s="28"/>
      <c r="BNE14" s="28"/>
      <c r="BNF14" s="28"/>
      <c r="BNG14" s="28"/>
      <c r="BNH14" s="28"/>
      <c r="BNI14" s="28"/>
      <c r="BNJ14" s="28"/>
      <c r="BNK14" s="28"/>
      <c r="BNL14" s="28"/>
      <c r="BNM14" s="28"/>
      <c r="BNN14" s="28"/>
      <c r="BNO14" s="28"/>
      <c r="BNP14" s="28"/>
      <c r="BNQ14" s="28"/>
      <c r="BNR14" s="28"/>
      <c r="BNS14" s="28"/>
      <c r="BNT14" s="28"/>
      <c r="BNU14" s="28"/>
      <c r="BNV14" s="28"/>
      <c r="BNW14" s="28"/>
      <c r="BNX14" s="28"/>
      <c r="BNY14" s="28"/>
      <c r="BNZ14" s="28"/>
      <c r="BOA14" s="28"/>
      <c r="BOB14" s="28"/>
      <c r="BOC14" s="28"/>
      <c r="BOD14" s="28"/>
      <c r="BOE14" s="28"/>
      <c r="BOF14" s="28"/>
      <c r="BOG14" s="28"/>
      <c r="BOH14" s="28"/>
      <c r="BOI14" s="28"/>
      <c r="BOJ14" s="28"/>
      <c r="BOK14" s="28"/>
      <c r="BOL14" s="28"/>
      <c r="BOM14" s="28"/>
      <c r="BON14" s="28"/>
      <c r="BOO14" s="28"/>
      <c r="BOP14" s="28"/>
      <c r="BOQ14" s="28"/>
      <c r="BOR14" s="28"/>
      <c r="BOS14" s="28"/>
      <c r="BOT14" s="28"/>
      <c r="BOU14" s="28"/>
      <c r="BOV14" s="28"/>
      <c r="BOW14" s="28"/>
      <c r="BOX14" s="28"/>
      <c r="BOY14" s="28"/>
      <c r="BOZ14" s="28"/>
      <c r="BPA14" s="28"/>
      <c r="BPB14" s="28"/>
      <c r="BPC14" s="28"/>
      <c r="BPD14" s="28"/>
      <c r="BPE14" s="28"/>
      <c r="BPF14" s="28"/>
      <c r="BPG14" s="28"/>
      <c r="BPH14" s="28"/>
      <c r="BPI14" s="28"/>
      <c r="BPJ14" s="28"/>
      <c r="BPK14" s="28"/>
      <c r="BPL14" s="28"/>
      <c r="BPM14" s="28"/>
      <c r="BPN14" s="28"/>
      <c r="BPO14" s="28"/>
      <c r="BPP14" s="28"/>
      <c r="BPQ14" s="28"/>
      <c r="BPR14" s="28"/>
      <c r="BPS14" s="28"/>
      <c r="BPT14" s="28"/>
      <c r="BPU14" s="28"/>
      <c r="BPV14" s="28"/>
      <c r="BPW14" s="28"/>
      <c r="BPX14" s="28"/>
      <c r="BPY14" s="28"/>
      <c r="BPZ14" s="28"/>
      <c r="BQA14" s="28"/>
      <c r="BQB14" s="28"/>
      <c r="BQC14" s="28"/>
      <c r="BQD14" s="28"/>
      <c r="BQE14" s="28"/>
      <c r="BQF14" s="28"/>
      <c r="BQG14" s="28"/>
      <c r="BQH14" s="28"/>
      <c r="BQI14" s="28"/>
      <c r="BQJ14" s="28"/>
      <c r="BQK14" s="28"/>
      <c r="BQL14" s="28"/>
      <c r="BQM14" s="28"/>
      <c r="BQN14" s="28"/>
      <c r="BQO14" s="28"/>
      <c r="BQP14" s="28"/>
      <c r="BQQ14" s="28"/>
      <c r="BQR14" s="28"/>
      <c r="BQS14" s="28"/>
      <c r="BQT14" s="28"/>
      <c r="BQU14" s="28"/>
      <c r="BQV14" s="28"/>
      <c r="BQW14" s="28"/>
      <c r="BQX14" s="28"/>
      <c r="BQY14" s="28"/>
      <c r="BQZ14" s="28"/>
      <c r="BRA14" s="28"/>
      <c r="BRB14" s="28"/>
      <c r="BRC14" s="28"/>
      <c r="BRD14" s="28"/>
      <c r="BRE14" s="28"/>
      <c r="BRF14" s="28"/>
      <c r="BRG14" s="28"/>
      <c r="BRH14" s="28"/>
      <c r="BRI14" s="28"/>
      <c r="BRJ14" s="28"/>
      <c r="BRK14" s="28"/>
      <c r="BRL14" s="28"/>
      <c r="BRM14" s="28"/>
      <c r="BRN14" s="28"/>
      <c r="BRO14" s="28"/>
      <c r="BRP14" s="28"/>
      <c r="BRQ14" s="28"/>
      <c r="BRR14" s="28"/>
      <c r="BRS14" s="28"/>
      <c r="BRT14" s="28"/>
      <c r="BRU14" s="28"/>
      <c r="BRV14" s="28"/>
      <c r="BRW14" s="28"/>
      <c r="BRX14" s="28"/>
      <c r="BRY14" s="28"/>
      <c r="BRZ14" s="28"/>
      <c r="BSA14" s="28"/>
      <c r="BSB14" s="28"/>
      <c r="BSC14" s="28"/>
      <c r="BSD14" s="28"/>
      <c r="BSE14" s="28"/>
      <c r="BSF14" s="28"/>
      <c r="BSG14" s="28"/>
      <c r="BSH14" s="28"/>
      <c r="BSI14" s="28"/>
      <c r="BSJ14" s="28"/>
      <c r="BSK14" s="28"/>
      <c r="BSL14" s="28"/>
      <c r="BSM14" s="28"/>
      <c r="BSN14" s="28"/>
      <c r="BSO14" s="28"/>
      <c r="BSP14" s="28"/>
      <c r="BSQ14" s="28"/>
      <c r="BSR14" s="28"/>
      <c r="BSS14" s="28"/>
      <c r="BST14" s="28"/>
      <c r="BSU14" s="28"/>
      <c r="BSV14" s="28"/>
      <c r="BSW14" s="28"/>
      <c r="BSX14" s="28"/>
      <c r="BSY14" s="28"/>
      <c r="BSZ14" s="28"/>
      <c r="BTA14" s="28"/>
      <c r="BTB14" s="28"/>
      <c r="BTC14" s="28"/>
      <c r="BTD14" s="28"/>
      <c r="BTE14" s="28"/>
      <c r="BTF14" s="28"/>
      <c r="BTG14" s="28"/>
      <c r="BTH14" s="28"/>
      <c r="BTI14" s="28"/>
      <c r="BTJ14" s="28"/>
      <c r="BTK14" s="28"/>
      <c r="BTL14" s="28"/>
      <c r="BTM14" s="28"/>
      <c r="BTN14" s="28"/>
      <c r="BTO14" s="28"/>
      <c r="BTP14" s="28"/>
      <c r="BTQ14" s="28"/>
      <c r="BTR14" s="28"/>
      <c r="BTS14" s="28"/>
      <c r="BTT14" s="28"/>
      <c r="BTU14" s="28"/>
      <c r="BTV14" s="28"/>
      <c r="BTW14" s="28"/>
      <c r="BTX14" s="28"/>
      <c r="BTY14" s="28"/>
      <c r="BTZ14" s="28"/>
      <c r="BUA14" s="28"/>
      <c r="BUB14" s="28"/>
      <c r="BUC14" s="28"/>
      <c r="BUD14" s="28"/>
      <c r="BUE14" s="28"/>
      <c r="BUF14" s="28"/>
      <c r="BUG14" s="28"/>
      <c r="BUH14" s="28"/>
      <c r="BUI14" s="28"/>
      <c r="BUJ14" s="28"/>
      <c r="BUK14" s="28"/>
      <c r="BUL14" s="28"/>
      <c r="BUM14" s="28"/>
      <c r="BUN14" s="28"/>
      <c r="BUO14" s="28"/>
      <c r="BUP14" s="28"/>
      <c r="BUQ14" s="28"/>
      <c r="BUR14" s="28"/>
      <c r="BUS14" s="28"/>
      <c r="BUT14" s="28"/>
      <c r="BUU14" s="28"/>
      <c r="BUV14" s="28"/>
      <c r="BUW14" s="28"/>
      <c r="BUX14" s="28"/>
      <c r="BUY14" s="28"/>
      <c r="BUZ14" s="28"/>
      <c r="BVA14" s="28"/>
      <c r="BVB14" s="28"/>
      <c r="BVC14" s="28"/>
      <c r="BVD14" s="28"/>
      <c r="BVE14" s="28"/>
      <c r="BVF14" s="28"/>
      <c r="BVG14" s="28"/>
      <c r="BVH14" s="28"/>
      <c r="BVI14" s="28"/>
      <c r="BVJ14" s="28"/>
      <c r="BVK14" s="28"/>
      <c r="BVL14" s="28"/>
      <c r="BVM14" s="28"/>
      <c r="BVN14" s="28"/>
      <c r="BVO14" s="28"/>
      <c r="BVP14" s="28"/>
      <c r="BVQ14" s="28"/>
      <c r="BVR14" s="28"/>
      <c r="BVS14" s="28"/>
      <c r="BVT14" s="28"/>
      <c r="BVU14" s="28"/>
      <c r="BVV14" s="28"/>
      <c r="BVW14" s="28"/>
      <c r="BVX14" s="28"/>
      <c r="BVY14" s="28"/>
      <c r="BVZ14" s="28"/>
      <c r="BWA14" s="28"/>
      <c r="BWB14" s="28"/>
      <c r="BWC14" s="28"/>
      <c r="BWD14" s="28"/>
      <c r="BWE14" s="28"/>
      <c r="BWF14" s="28"/>
      <c r="BWG14" s="28"/>
      <c r="BWH14" s="28"/>
      <c r="BWI14" s="28"/>
      <c r="BWJ14" s="28"/>
      <c r="BWK14" s="28"/>
      <c r="BWL14" s="28"/>
      <c r="BWM14" s="28"/>
      <c r="BWN14" s="28"/>
      <c r="BWO14" s="28"/>
      <c r="BWP14" s="28"/>
      <c r="BWQ14" s="28"/>
      <c r="BWR14" s="28"/>
      <c r="BWS14" s="28"/>
      <c r="BWT14" s="28"/>
      <c r="BWU14" s="28"/>
      <c r="BWV14" s="28"/>
      <c r="BWW14" s="28"/>
      <c r="BWX14" s="28"/>
      <c r="BWY14" s="28"/>
      <c r="BWZ14" s="28"/>
      <c r="BXA14" s="28"/>
      <c r="BXB14" s="28"/>
      <c r="BXC14" s="28"/>
      <c r="BXD14" s="28"/>
      <c r="BXE14" s="28"/>
      <c r="BXF14" s="28"/>
      <c r="BXG14" s="28"/>
      <c r="BXH14" s="28"/>
      <c r="BXI14" s="28"/>
      <c r="BXJ14" s="28"/>
      <c r="BXK14" s="28"/>
      <c r="BXL14" s="28"/>
      <c r="BXM14" s="28"/>
      <c r="BXN14" s="28"/>
      <c r="BXO14" s="28"/>
      <c r="BXP14" s="28"/>
      <c r="BXQ14" s="28"/>
      <c r="BXR14" s="28"/>
      <c r="BXS14" s="28"/>
      <c r="BXT14" s="28"/>
      <c r="BXU14" s="28"/>
      <c r="BXV14" s="28"/>
      <c r="BXW14" s="28"/>
      <c r="BXX14" s="28"/>
      <c r="BXY14" s="28"/>
      <c r="BXZ14" s="28"/>
      <c r="BYA14" s="28"/>
      <c r="BYB14" s="28"/>
      <c r="BYC14" s="28"/>
      <c r="BYD14" s="28"/>
      <c r="BYE14" s="28"/>
      <c r="BYF14" s="28"/>
      <c r="BYG14" s="28"/>
      <c r="BYH14" s="28"/>
      <c r="BYI14" s="28"/>
      <c r="BYJ14" s="28"/>
      <c r="BYK14" s="28"/>
      <c r="BYL14" s="28"/>
      <c r="BYM14" s="28"/>
      <c r="BYN14" s="28"/>
      <c r="BYO14" s="28"/>
      <c r="BYP14" s="28"/>
      <c r="BYQ14" s="28"/>
      <c r="BYR14" s="28"/>
      <c r="BYS14" s="28"/>
      <c r="BYT14" s="28"/>
      <c r="BYU14" s="28"/>
      <c r="BYV14" s="28"/>
      <c r="BYW14" s="28"/>
      <c r="BYX14" s="28"/>
      <c r="BYY14" s="28"/>
      <c r="BYZ14" s="28"/>
      <c r="BZA14" s="28"/>
      <c r="BZB14" s="28"/>
      <c r="BZC14" s="28"/>
      <c r="BZD14" s="28"/>
      <c r="BZE14" s="28"/>
      <c r="BZF14" s="28"/>
      <c r="BZG14" s="28"/>
      <c r="BZH14" s="28"/>
      <c r="BZI14" s="28"/>
      <c r="BZJ14" s="28"/>
      <c r="BZK14" s="28"/>
      <c r="BZL14" s="28"/>
      <c r="BZM14" s="28"/>
      <c r="BZN14" s="28"/>
      <c r="BZO14" s="28"/>
      <c r="BZP14" s="28"/>
      <c r="BZQ14" s="28"/>
      <c r="BZR14" s="28"/>
      <c r="BZS14" s="28"/>
      <c r="BZT14" s="28"/>
      <c r="BZU14" s="28"/>
      <c r="BZV14" s="28"/>
      <c r="BZW14" s="28"/>
      <c r="BZX14" s="28"/>
      <c r="BZY14" s="28"/>
      <c r="BZZ14" s="28"/>
      <c r="CAA14" s="28"/>
      <c r="CAB14" s="28"/>
      <c r="CAC14" s="28"/>
      <c r="CAD14" s="28"/>
      <c r="CAE14" s="28"/>
      <c r="CAF14" s="28"/>
      <c r="CAG14" s="28"/>
      <c r="CAH14" s="28"/>
      <c r="CAI14" s="28"/>
      <c r="CAJ14" s="28"/>
      <c r="CAK14" s="28"/>
      <c r="CAL14" s="28"/>
      <c r="CAM14" s="28"/>
      <c r="CAN14" s="28"/>
      <c r="CAO14" s="28"/>
      <c r="CAP14" s="28"/>
      <c r="CAQ14" s="28"/>
      <c r="CAR14" s="28"/>
      <c r="CAS14" s="28"/>
      <c r="CAT14" s="28"/>
      <c r="CAU14" s="28"/>
      <c r="CAV14" s="28"/>
      <c r="CAW14" s="28"/>
      <c r="CAX14" s="28"/>
      <c r="CAY14" s="28"/>
      <c r="CAZ14" s="28"/>
      <c r="CBA14" s="28"/>
      <c r="CBB14" s="28"/>
      <c r="CBC14" s="28"/>
      <c r="CBD14" s="28"/>
      <c r="CBE14" s="28"/>
      <c r="CBF14" s="28"/>
      <c r="CBG14" s="28"/>
      <c r="CBH14" s="28"/>
      <c r="CBI14" s="28"/>
      <c r="CBJ14" s="28"/>
      <c r="CBK14" s="28"/>
      <c r="CBL14" s="28"/>
      <c r="CBM14" s="28"/>
      <c r="CBN14" s="28"/>
      <c r="CBO14" s="28"/>
      <c r="CBP14" s="28"/>
      <c r="CBQ14" s="28"/>
      <c r="CBR14" s="28"/>
      <c r="CBS14" s="28"/>
      <c r="CBT14" s="28"/>
      <c r="CBU14" s="28"/>
      <c r="CBV14" s="28"/>
      <c r="CBW14" s="28"/>
      <c r="CBX14" s="28"/>
      <c r="CBY14" s="28"/>
      <c r="CBZ14" s="28"/>
      <c r="CCA14" s="28"/>
      <c r="CCB14" s="28"/>
      <c r="CCC14" s="28"/>
      <c r="CCD14" s="28"/>
      <c r="CCE14" s="28"/>
      <c r="CCF14" s="28"/>
      <c r="CCG14" s="28"/>
      <c r="CCH14" s="28"/>
      <c r="CCI14" s="28"/>
      <c r="CCJ14" s="28"/>
      <c r="CCK14" s="28"/>
      <c r="CCL14" s="28"/>
      <c r="CCM14" s="28"/>
      <c r="CCN14" s="28"/>
      <c r="CCO14" s="28"/>
      <c r="CCP14" s="28"/>
      <c r="CCQ14" s="28"/>
      <c r="CCR14" s="28"/>
      <c r="CCS14" s="28"/>
      <c r="CCT14" s="28"/>
      <c r="CCU14" s="28"/>
      <c r="CCV14" s="28"/>
      <c r="CCW14" s="28"/>
      <c r="CCX14" s="28"/>
      <c r="CCY14" s="28"/>
      <c r="CCZ14" s="28"/>
      <c r="CDA14" s="28"/>
      <c r="CDB14" s="28"/>
      <c r="CDC14" s="28"/>
      <c r="CDD14" s="28"/>
      <c r="CDE14" s="28"/>
      <c r="CDF14" s="28"/>
      <c r="CDG14" s="28"/>
      <c r="CDH14" s="28"/>
      <c r="CDI14" s="28"/>
      <c r="CDJ14" s="28"/>
      <c r="CDK14" s="28"/>
      <c r="CDL14" s="28"/>
      <c r="CDM14" s="28"/>
      <c r="CDN14" s="28"/>
      <c r="CDO14" s="28"/>
      <c r="CDP14" s="28"/>
      <c r="CDQ14" s="28"/>
      <c r="CDR14" s="28"/>
      <c r="CDS14" s="28"/>
      <c r="CDT14" s="28"/>
      <c r="CDU14" s="28"/>
      <c r="CDV14" s="28"/>
      <c r="CDW14" s="28"/>
      <c r="CDX14" s="28"/>
      <c r="CDY14" s="28"/>
      <c r="CDZ14" s="28"/>
      <c r="CEA14" s="28"/>
      <c r="CEB14" s="28"/>
      <c r="CEC14" s="28"/>
      <c r="CED14" s="28"/>
      <c r="CEE14" s="28"/>
      <c r="CEF14" s="28"/>
      <c r="CEG14" s="28"/>
      <c r="CEH14" s="28"/>
      <c r="CEI14" s="28"/>
      <c r="CEJ14" s="28"/>
      <c r="CEK14" s="28"/>
      <c r="CEL14" s="28"/>
      <c r="CEM14" s="28"/>
      <c r="CEN14" s="28"/>
      <c r="CEO14" s="28"/>
      <c r="CEP14" s="28"/>
      <c r="CEQ14" s="28"/>
      <c r="CER14" s="28"/>
      <c r="CES14" s="28"/>
      <c r="CET14" s="28"/>
      <c r="CEU14" s="28"/>
      <c r="CEV14" s="28"/>
      <c r="CEW14" s="28"/>
      <c r="CEX14" s="28"/>
      <c r="CEY14" s="28"/>
      <c r="CEZ14" s="28"/>
      <c r="CFA14" s="28"/>
      <c r="CFB14" s="28"/>
      <c r="CFC14" s="28"/>
      <c r="CFD14" s="28"/>
      <c r="CFE14" s="28"/>
      <c r="CFF14" s="28"/>
      <c r="CFG14" s="28"/>
      <c r="CFH14" s="28"/>
      <c r="CFI14" s="28"/>
      <c r="CFJ14" s="28"/>
      <c r="CFK14" s="28"/>
      <c r="CFL14" s="28"/>
      <c r="CFM14" s="28"/>
      <c r="CFN14" s="28"/>
      <c r="CFO14" s="28"/>
      <c r="CFP14" s="28"/>
      <c r="CFQ14" s="28"/>
      <c r="CFR14" s="28"/>
      <c r="CFS14" s="28"/>
      <c r="CFT14" s="28"/>
      <c r="CFU14" s="28"/>
      <c r="CFV14" s="28"/>
      <c r="CFW14" s="28"/>
      <c r="CFX14" s="28"/>
      <c r="CFY14" s="28"/>
      <c r="CFZ14" s="28"/>
      <c r="CGA14" s="28"/>
      <c r="CGB14" s="28"/>
      <c r="CGC14" s="28"/>
      <c r="CGD14" s="28"/>
      <c r="CGE14" s="28"/>
      <c r="CGF14" s="28"/>
      <c r="CGG14" s="28"/>
      <c r="CGH14" s="28"/>
      <c r="CGI14" s="28"/>
      <c r="CGJ14" s="28"/>
      <c r="CGK14" s="28"/>
      <c r="CGL14" s="28"/>
      <c r="CGM14" s="28"/>
      <c r="CGN14" s="28"/>
      <c r="CGO14" s="28"/>
      <c r="CGP14" s="28"/>
      <c r="CGQ14" s="28"/>
      <c r="CGR14" s="28"/>
      <c r="CGS14" s="28"/>
      <c r="CGT14" s="28"/>
      <c r="CGU14" s="28"/>
      <c r="CGV14" s="28"/>
      <c r="CGW14" s="28"/>
      <c r="CGX14" s="28"/>
      <c r="CGY14" s="28"/>
      <c r="CGZ14" s="28"/>
      <c r="CHA14" s="28"/>
      <c r="CHB14" s="28"/>
      <c r="CHC14" s="28"/>
      <c r="CHD14" s="28"/>
      <c r="CHE14" s="28"/>
      <c r="CHF14" s="28"/>
      <c r="CHG14" s="28"/>
      <c r="CHH14" s="28"/>
      <c r="CHI14" s="28"/>
      <c r="CHJ14" s="28"/>
      <c r="CHK14" s="28"/>
      <c r="CHL14" s="28"/>
      <c r="CHM14" s="28"/>
      <c r="CHN14" s="28"/>
      <c r="CHO14" s="28"/>
      <c r="CHP14" s="28"/>
      <c r="CHQ14" s="28"/>
      <c r="CHR14" s="28"/>
      <c r="CHS14" s="28"/>
      <c r="CHT14" s="28"/>
      <c r="CHU14" s="28"/>
      <c r="CHV14" s="28"/>
      <c r="CHW14" s="28"/>
      <c r="CHX14" s="28"/>
      <c r="CHY14" s="28"/>
      <c r="CHZ14" s="28"/>
      <c r="CIA14" s="28"/>
      <c r="CIB14" s="28"/>
      <c r="CIC14" s="28"/>
      <c r="CID14" s="28"/>
      <c r="CIE14" s="28"/>
      <c r="CIF14" s="28"/>
      <c r="CIG14" s="28"/>
      <c r="CIH14" s="28"/>
      <c r="CII14" s="28"/>
      <c r="CIJ14" s="28"/>
      <c r="CIK14" s="28"/>
      <c r="CIL14" s="28"/>
      <c r="CIM14" s="28"/>
      <c r="CIN14" s="28"/>
      <c r="CIO14" s="28"/>
      <c r="CIP14" s="28"/>
      <c r="CIQ14" s="28"/>
      <c r="CIR14" s="28"/>
      <c r="CIS14" s="28"/>
      <c r="CIT14" s="28"/>
      <c r="CIU14" s="28"/>
      <c r="CIV14" s="28"/>
      <c r="CIW14" s="28"/>
      <c r="CIX14" s="28"/>
      <c r="CIY14" s="28"/>
      <c r="CIZ14" s="28"/>
      <c r="CJA14" s="28"/>
      <c r="CJB14" s="28"/>
      <c r="CJC14" s="28"/>
      <c r="CJD14" s="28"/>
      <c r="CJE14" s="28"/>
      <c r="CJF14" s="28"/>
      <c r="CJG14" s="28"/>
      <c r="CJH14" s="28"/>
      <c r="CJI14" s="28"/>
      <c r="CJJ14" s="28"/>
      <c r="CJK14" s="28"/>
      <c r="CJL14" s="28"/>
      <c r="CJM14" s="28"/>
      <c r="CJN14" s="28"/>
      <c r="CJO14" s="28"/>
      <c r="CJP14" s="28"/>
      <c r="CJQ14" s="28"/>
      <c r="CJR14" s="28"/>
      <c r="CJS14" s="28"/>
      <c r="CJT14" s="28"/>
      <c r="CJU14" s="28"/>
      <c r="CJV14" s="28"/>
      <c r="CJW14" s="28"/>
      <c r="CJX14" s="28"/>
      <c r="CJY14" s="28"/>
      <c r="CJZ14" s="28"/>
      <c r="CKA14" s="28"/>
      <c r="CKB14" s="28"/>
      <c r="CKC14" s="28"/>
      <c r="CKD14" s="28"/>
      <c r="CKE14" s="28"/>
      <c r="CKF14" s="28"/>
      <c r="CKG14" s="28"/>
      <c r="CKH14" s="28"/>
      <c r="CKI14" s="28"/>
      <c r="CKJ14" s="28"/>
      <c r="CKK14" s="28"/>
      <c r="CKL14" s="28"/>
      <c r="CKM14" s="28"/>
      <c r="CKN14" s="28"/>
      <c r="CKO14" s="28"/>
      <c r="CKP14" s="28"/>
      <c r="CKQ14" s="28"/>
      <c r="CKR14" s="28"/>
      <c r="CKS14" s="28"/>
      <c r="CKT14" s="28"/>
      <c r="CKU14" s="28"/>
      <c r="CKV14" s="28"/>
      <c r="CKW14" s="28"/>
      <c r="CKX14" s="28"/>
      <c r="CKY14" s="28"/>
      <c r="CKZ14" s="28"/>
      <c r="CLA14" s="28"/>
      <c r="CLB14" s="28"/>
      <c r="CLC14" s="28"/>
      <c r="CLD14" s="28"/>
      <c r="CLE14" s="28"/>
      <c r="CLF14" s="28"/>
      <c r="CLG14" s="28"/>
      <c r="CLH14" s="28"/>
      <c r="CLI14" s="28"/>
      <c r="CLJ14" s="28"/>
      <c r="CLK14" s="28"/>
      <c r="CLL14" s="28"/>
      <c r="CLM14" s="28"/>
      <c r="CLN14" s="28"/>
      <c r="CLO14" s="28"/>
      <c r="CLP14" s="28"/>
      <c r="CLQ14" s="28"/>
      <c r="CLR14" s="28"/>
      <c r="CLS14" s="28"/>
      <c r="CLT14" s="28"/>
      <c r="CLU14" s="28"/>
      <c r="CLV14" s="28"/>
      <c r="CLW14" s="28"/>
      <c r="CLX14" s="28"/>
      <c r="CLY14" s="28"/>
      <c r="CLZ14" s="28"/>
      <c r="CMA14" s="28"/>
      <c r="CMB14" s="28"/>
      <c r="CMC14" s="28"/>
      <c r="CMD14" s="28"/>
      <c r="CME14" s="28"/>
      <c r="CMF14" s="28"/>
      <c r="CMG14" s="28"/>
      <c r="CMH14" s="28"/>
      <c r="CMI14" s="28"/>
      <c r="CMJ14" s="28"/>
      <c r="CMK14" s="28"/>
      <c r="CML14" s="28"/>
      <c r="CMM14" s="28"/>
      <c r="CMN14" s="28"/>
      <c r="CMO14" s="28"/>
      <c r="CMP14" s="28"/>
      <c r="CMQ14" s="28"/>
      <c r="CMR14" s="28"/>
      <c r="CMS14" s="28"/>
      <c r="CMT14" s="28"/>
      <c r="CMU14" s="28"/>
      <c r="CMV14" s="28"/>
      <c r="CMW14" s="28"/>
      <c r="CMX14" s="28"/>
      <c r="CMY14" s="28"/>
      <c r="CMZ14" s="28"/>
      <c r="CNA14" s="28"/>
      <c r="CNB14" s="28"/>
      <c r="CNC14" s="28"/>
      <c r="CND14" s="28"/>
      <c r="CNE14" s="28"/>
      <c r="CNF14" s="28"/>
      <c r="CNG14" s="28"/>
      <c r="CNH14" s="28"/>
      <c r="CNI14" s="28"/>
      <c r="CNJ14" s="28"/>
      <c r="CNK14" s="28"/>
      <c r="CNL14" s="28"/>
      <c r="CNM14" s="28"/>
      <c r="CNN14" s="28"/>
      <c r="CNO14" s="28"/>
      <c r="CNP14" s="28"/>
      <c r="CNQ14" s="28"/>
      <c r="CNR14" s="28"/>
      <c r="CNS14" s="28"/>
      <c r="CNT14" s="28"/>
      <c r="CNU14" s="28"/>
      <c r="CNV14" s="28"/>
      <c r="CNW14" s="28"/>
      <c r="CNX14" s="28"/>
      <c r="CNY14" s="28"/>
      <c r="CNZ14" s="28"/>
      <c r="COA14" s="28"/>
      <c r="COB14" s="28"/>
      <c r="COC14" s="28"/>
      <c r="COD14" s="28"/>
      <c r="COE14" s="28"/>
      <c r="COF14" s="28"/>
      <c r="COG14" s="28"/>
      <c r="COH14" s="28"/>
      <c r="COI14" s="28"/>
      <c r="COJ14" s="28"/>
      <c r="COK14" s="28"/>
      <c r="COL14" s="28"/>
      <c r="COM14" s="28"/>
      <c r="CON14" s="28"/>
      <c r="COO14" s="28"/>
      <c r="COP14" s="28"/>
      <c r="COQ14" s="28"/>
      <c r="COR14" s="28"/>
      <c r="COS14" s="28"/>
      <c r="COT14" s="28"/>
      <c r="COU14" s="28"/>
      <c r="COV14" s="28"/>
      <c r="COW14" s="28"/>
      <c r="COX14" s="28"/>
      <c r="COY14" s="28"/>
      <c r="COZ14" s="28"/>
      <c r="CPA14" s="28"/>
      <c r="CPB14" s="28"/>
      <c r="CPC14" s="28"/>
      <c r="CPD14" s="28"/>
      <c r="CPE14" s="28"/>
      <c r="CPF14" s="28"/>
      <c r="CPG14" s="28"/>
      <c r="CPH14" s="28"/>
      <c r="CPI14" s="28"/>
      <c r="CPJ14" s="28"/>
      <c r="CPK14" s="28"/>
      <c r="CPL14" s="28"/>
      <c r="CPM14" s="28"/>
      <c r="CPN14" s="28"/>
      <c r="CPO14" s="28"/>
      <c r="CPP14" s="28"/>
      <c r="CPQ14" s="28"/>
      <c r="CPR14" s="28"/>
      <c r="CPS14" s="28"/>
      <c r="CPT14" s="28"/>
      <c r="CPU14" s="28"/>
      <c r="CPV14" s="28"/>
      <c r="CPW14" s="28"/>
      <c r="CPX14" s="28"/>
      <c r="CPY14" s="28"/>
      <c r="CPZ14" s="28"/>
      <c r="CQA14" s="28"/>
      <c r="CQB14" s="28"/>
      <c r="CQC14" s="28"/>
      <c r="CQD14" s="28"/>
      <c r="CQE14" s="28"/>
      <c r="CQF14" s="28"/>
      <c r="CQG14" s="28"/>
      <c r="CQH14" s="28"/>
      <c r="CQI14" s="28"/>
      <c r="CQJ14" s="28"/>
      <c r="CQK14" s="28"/>
      <c r="CQL14" s="28"/>
      <c r="CQM14" s="28"/>
      <c r="CQN14" s="28"/>
      <c r="CQO14" s="28"/>
      <c r="CQP14" s="28"/>
      <c r="CQQ14" s="28"/>
      <c r="CQR14" s="28"/>
      <c r="CQS14" s="28"/>
      <c r="CQT14" s="28"/>
      <c r="CQU14" s="28"/>
      <c r="CQV14" s="28"/>
      <c r="CQW14" s="28"/>
      <c r="CQX14" s="28"/>
      <c r="CQY14" s="28"/>
      <c r="CQZ14" s="28"/>
      <c r="CRA14" s="28"/>
      <c r="CRB14" s="28"/>
      <c r="CRC14" s="28"/>
      <c r="CRD14" s="28"/>
      <c r="CRE14" s="28"/>
      <c r="CRF14" s="28"/>
      <c r="CRG14" s="28"/>
      <c r="CRH14" s="28"/>
      <c r="CRI14" s="28"/>
      <c r="CRJ14" s="28"/>
      <c r="CRK14" s="28"/>
      <c r="CRL14" s="28"/>
      <c r="CRM14" s="28"/>
      <c r="CRN14" s="28"/>
      <c r="CRO14" s="28"/>
      <c r="CRP14" s="28"/>
      <c r="CRQ14" s="28"/>
      <c r="CRR14" s="28"/>
      <c r="CRS14" s="28"/>
      <c r="CRT14" s="28"/>
      <c r="CRU14" s="28"/>
      <c r="CRV14" s="28"/>
      <c r="CRW14" s="28"/>
      <c r="CRX14" s="28"/>
      <c r="CRY14" s="28"/>
      <c r="CRZ14" s="28"/>
      <c r="CSA14" s="28"/>
      <c r="CSB14" s="28"/>
      <c r="CSC14" s="28"/>
      <c r="CSD14" s="28"/>
      <c r="CSE14" s="28"/>
      <c r="CSF14" s="28"/>
      <c r="CSG14" s="28"/>
      <c r="CSH14" s="28"/>
      <c r="CSI14" s="28"/>
      <c r="CSJ14" s="28"/>
      <c r="CSK14" s="28"/>
      <c r="CSL14" s="28"/>
      <c r="CSM14" s="28"/>
      <c r="CSN14" s="28"/>
      <c r="CSO14" s="28"/>
      <c r="CSP14" s="28"/>
      <c r="CSQ14" s="28"/>
      <c r="CSR14" s="28"/>
      <c r="CSS14" s="28"/>
      <c r="CST14" s="28"/>
      <c r="CSU14" s="28"/>
      <c r="CSV14" s="28"/>
      <c r="CSW14" s="28"/>
      <c r="CSX14" s="28"/>
      <c r="CSY14" s="28"/>
      <c r="CSZ14" s="28"/>
      <c r="CTA14" s="28"/>
      <c r="CTB14" s="28"/>
      <c r="CTC14" s="28"/>
      <c r="CTD14" s="28"/>
      <c r="CTE14" s="28"/>
      <c r="CTF14" s="28"/>
      <c r="CTG14" s="28"/>
      <c r="CTH14" s="28"/>
      <c r="CTI14" s="28"/>
      <c r="CTJ14" s="28"/>
      <c r="CTK14" s="28"/>
      <c r="CTL14" s="28"/>
      <c r="CTM14" s="28"/>
      <c r="CTN14" s="28"/>
      <c r="CTO14" s="28"/>
      <c r="CTP14" s="28"/>
      <c r="CTQ14" s="28"/>
      <c r="CTR14" s="28"/>
      <c r="CTS14" s="28"/>
      <c r="CTT14" s="28"/>
      <c r="CTU14" s="28"/>
      <c r="CTV14" s="28"/>
      <c r="CTW14" s="28"/>
      <c r="CTX14" s="28"/>
      <c r="CTY14" s="28"/>
      <c r="CTZ14" s="28"/>
      <c r="CUA14" s="28"/>
      <c r="CUB14" s="28"/>
      <c r="CUC14" s="28"/>
      <c r="CUD14" s="28"/>
      <c r="CUE14" s="28"/>
      <c r="CUF14" s="28"/>
      <c r="CUG14" s="28"/>
      <c r="CUH14" s="28"/>
      <c r="CUI14" s="28"/>
      <c r="CUJ14" s="28"/>
      <c r="CUK14" s="28"/>
      <c r="CUL14" s="28"/>
      <c r="CUM14" s="28"/>
      <c r="CUN14" s="28"/>
      <c r="CUO14" s="28"/>
      <c r="CUP14" s="28"/>
      <c r="CUQ14" s="28"/>
      <c r="CUR14" s="28"/>
      <c r="CUS14" s="28"/>
      <c r="CUT14" s="28"/>
      <c r="CUU14" s="28"/>
      <c r="CUV14" s="28"/>
      <c r="CUW14" s="28"/>
      <c r="CUX14" s="28"/>
      <c r="CUY14" s="28"/>
      <c r="CUZ14" s="28"/>
      <c r="CVA14" s="28"/>
      <c r="CVB14" s="28"/>
      <c r="CVC14" s="28"/>
      <c r="CVD14" s="28"/>
      <c r="CVE14" s="28"/>
      <c r="CVF14" s="28"/>
      <c r="CVG14" s="28"/>
      <c r="CVH14" s="28"/>
      <c r="CVI14" s="28"/>
      <c r="CVJ14" s="28"/>
      <c r="CVK14" s="28"/>
      <c r="CVL14" s="28"/>
      <c r="CVM14" s="28"/>
      <c r="CVN14" s="28"/>
      <c r="CVO14" s="28"/>
      <c r="CVP14" s="28"/>
      <c r="CVQ14" s="28"/>
      <c r="CVR14" s="28"/>
      <c r="CVS14" s="28"/>
      <c r="CVT14" s="28"/>
      <c r="CVU14" s="28"/>
      <c r="CVV14" s="28"/>
      <c r="CVW14" s="28"/>
      <c r="CVX14" s="28"/>
      <c r="CVY14" s="28"/>
      <c r="CVZ14" s="28"/>
      <c r="CWA14" s="28"/>
      <c r="CWB14" s="28"/>
      <c r="CWC14" s="28"/>
      <c r="CWD14" s="28"/>
      <c r="CWE14" s="28"/>
      <c r="CWF14" s="28"/>
      <c r="CWG14" s="28"/>
      <c r="CWH14" s="28"/>
      <c r="CWI14" s="28"/>
      <c r="CWJ14" s="28"/>
      <c r="CWK14" s="28"/>
      <c r="CWL14" s="28"/>
      <c r="CWM14" s="28"/>
      <c r="CWN14" s="28"/>
      <c r="CWO14" s="28"/>
      <c r="CWP14" s="28"/>
      <c r="CWQ14" s="28"/>
      <c r="CWR14" s="28"/>
      <c r="CWS14" s="28"/>
      <c r="CWT14" s="28"/>
      <c r="CWU14" s="28"/>
      <c r="CWV14" s="28"/>
      <c r="CWW14" s="28"/>
      <c r="CWX14" s="28"/>
      <c r="CWY14" s="28"/>
      <c r="CWZ14" s="28"/>
      <c r="CXA14" s="28"/>
      <c r="CXB14" s="28"/>
      <c r="CXC14" s="28"/>
      <c r="CXD14" s="28"/>
      <c r="CXE14" s="28"/>
      <c r="CXF14" s="28"/>
      <c r="CXG14" s="28"/>
      <c r="CXH14" s="28"/>
      <c r="CXI14" s="28"/>
      <c r="CXJ14" s="28"/>
      <c r="CXK14" s="28"/>
      <c r="CXL14" s="28"/>
      <c r="CXM14" s="28"/>
      <c r="CXN14" s="28"/>
      <c r="CXO14" s="28"/>
      <c r="CXP14" s="28"/>
      <c r="CXQ14" s="28"/>
      <c r="CXR14" s="28"/>
      <c r="CXS14" s="28"/>
      <c r="CXT14" s="28"/>
      <c r="CXU14" s="28"/>
      <c r="CXV14" s="28"/>
      <c r="CXW14" s="28"/>
      <c r="CXX14" s="28"/>
      <c r="CXY14" s="28"/>
      <c r="CXZ14" s="28"/>
      <c r="CYA14" s="28"/>
      <c r="CYB14" s="28"/>
      <c r="CYC14" s="28"/>
      <c r="CYD14" s="28"/>
      <c r="CYE14" s="28"/>
      <c r="CYF14" s="28"/>
      <c r="CYG14" s="28"/>
      <c r="CYH14" s="28"/>
      <c r="CYI14" s="28"/>
      <c r="CYJ14" s="28"/>
      <c r="CYK14" s="28"/>
      <c r="CYL14" s="28"/>
      <c r="CYM14" s="28"/>
      <c r="CYN14" s="28"/>
      <c r="CYO14" s="28"/>
      <c r="CYP14" s="28"/>
      <c r="CYQ14" s="28"/>
      <c r="CYR14" s="28"/>
      <c r="CYS14" s="28"/>
      <c r="CYT14" s="28"/>
      <c r="CYU14" s="28"/>
      <c r="CYV14" s="28"/>
      <c r="CYW14" s="28"/>
      <c r="CYX14" s="28"/>
      <c r="CYY14" s="28"/>
      <c r="CYZ14" s="28"/>
      <c r="CZA14" s="28"/>
      <c r="CZB14" s="28"/>
      <c r="CZC14" s="28"/>
      <c r="CZD14" s="28"/>
      <c r="CZE14" s="28"/>
      <c r="CZF14" s="28"/>
      <c r="CZG14" s="28"/>
      <c r="CZH14" s="28"/>
      <c r="CZI14" s="28"/>
      <c r="CZJ14" s="28"/>
      <c r="CZK14" s="28"/>
      <c r="CZL14" s="28"/>
      <c r="CZM14" s="28"/>
      <c r="CZN14" s="28"/>
      <c r="CZO14" s="28"/>
      <c r="CZP14" s="28"/>
      <c r="CZQ14" s="28"/>
      <c r="CZR14" s="28"/>
      <c r="CZS14" s="28"/>
      <c r="CZT14" s="28"/>
      <c r="CZU14" s="28"/>
      <c r="CZV14" s="28"/>
      <c r="CZW14" s="28"/>
      <c r="CZX14" s="28"/>
      <c r="CZY14" s="28"/>
      <c r="CZZ14" s="28"/>
      <c r="DAA14" s="28"/>
      <c r="DAB14" s="28"/>
      <c r="DAC14" s="28"/>
      <c r="DAD14" s="28"/>
      <c r="DAE14" s="28"/>
      <c r="DAF14" s="28"/>
      <c r="DAG14" s="28"/>
      <c r="DAH14" s="28"/>
      <c r="DAI14" s="28"/>
      <c r="DAJ14" s="28"/>
      <c r="DAK14" s="28"/>
      <c r="DAL14" s="28"/>
      <c r="DAM14" s="28"/>
      <c r="DAN14" s="28"/>
      <c r="DAO14" s="28"/>
      <c r="DAP14" s="28"/>
      <c r="DAQ14" s="28"/>
      <c r="DAR14" s="28"/>
      <c r="DAS14" s="28"/>
      <c r="DAT14" s="28"/>
      <c r="DAU14" s="28"/>
      <c r="DAV14" s="28"/>
      <c r="DAW14" s="28"/>
      <c r="DAX14" s="28"/>
      <c r="DAY14" s="28"/>
      <c r="DAZ14" s="28"/>
      <c r="DBA14" s="28"/>
      <c r="DBB14" s="28"/>
      <c r="DBC14" s="28"/>
      <c r="DBD14" s="28"/>
      <c r="DBE14" s="28"/>
      <c r="DBF14" s="28"/>
      <c r="DBG14" s="28"/>
      <c r="DBH14" s="28"/>
      <c r="DBI14" s="28"/>
      <c r="DBJ14" s="28"/>
      <c r="DBK14" s="28"/>
      <c r="DBL14" s="28"/>
      <c r="DBM14" s="28"/>
      <c r="DBN14" s="28"/>
      <c r="DBO14" s="28"/>
      <c r="DBP14" s="28"/>
      <c r="DBQ14" s="28"/>
      <c r="DBR14" s="28"/>
      <c r="DBS14" s="28"/>
      <c r="DBT14" s="28"/>
      <c r="DBU14" s="28"/>
      <c r="DBV14" s="28"/>
      <c r="DBW14" s="28"/>
      <c r="DBX14" s="28"/>
      <c r="DBY14" s="28"/>
      <c r="DBZ14" s="28"/>
      <c r="DCA14" s="28"/>
      <c r="DCB14" s="28"/>
      <c r="DCC14" s="28"/>
      <c r="DCD14" s="28"/>
      <c r="DCE14" s="28"/>
      <c r="DCF14" s="28"/>
      <c r="DCG14" s="28"/>
      <c r="DCH14" s="28"/>
      <c r="DCI14" s="28"/>
      <c r="DCJ14" s="28"/>
      <c r="DCK14" s="28"/>
      <c r="DCL14" s="28"/>
      <c r="DCM14" s="28"/>
      <c r="DCN14" s="28"/>
      <c r="DCO14" s="28"/>
      <c r="DCP14" s="28"/>
      <c r="DCQ14" s="28"/>
      <c r="DCR14" s="28"/>
      <c r="DCS14" s="28"/>
      <c r="DCT14" s="28"/>
      <c r="DCU14" s="28"/>
      <c r="DCV14" s="28"/>
      <c r="DCW14" s="28"/>
      <c r="DCX14" s="28"/>
      <c r="DCY14" s="28"/>
      <c r="DCZ14" s="28"/>
      <c r="DDA14" s="28"/>
      <c r="DDB14" s="28"/>
      <c r="DDC14" s="28"/>
      <c r="DDD14" s="28"/>
      <c r="DDE14" s="28"/>
      <c r="DDF14" s="28"/>
      <c r="DDG14" s="28"/>
      <c r="DDH14" s="28"/>
      <c r="DDI14" s="28"/>
      <c r="DDJ14" s="28"/>
      <c r="DDK14" s="28"/>
      <c r="DDL14" s="28"/>
      <c r="DDM14" s="28"/>
      <c r="DDN14" s="28"/>
      <c r="DDO14" s="28"/>
      <c r="DDP14" s="28"/>
      <c r="DDQ14" s="28"/>
      <c r="DDR14" s="28"/>
      <c r="DDS14" s="28"/>
      <c r="DDT14" s="28"/>
      <c r="DDU14" s="28"/>
      <c r="DDV14" s="28"/>
      <c r="DDW14" s="28"/>
      <c r="DDX14" s="28"/>
      <c r="DDY14" s="28"/>
      <c r="DDZ14" s="28"/>
      <c r="DEA14" s="28"/>
      <c r="DEB14" s="28"/>
      <c r="DEC14" s="28"/>
      <c r="DED14" s="28"/>
      <c r="DEE14" s="28"/>
      <c r="DEF14" s="28"/>
      <c r="DEG14" s="28"/>
      <c r="DEH14" s="28"/>
      <c r="DEI14" s="28"/>
      <c r="DEJ14" s="28"/>
      <c r="DEK14" s="28"/>
      <c r="DEL14" s="28"/>
      <c r="DEM14" s="28"/>
      <c r="DEN14" s="28"/>
      <c r="DEO14" s="28"/>
      <c r="DEP14" s="28"/>
      <c r="DEQ14" s="28"/>
      <c r="DER14" s="28"/>
      <c r="DES14" s="28"/>
      <c r="DET14" s="28"/>
      <c r="DEU14" s="28"/>
      <c r="DEV14" s="28"/>
      <c r="DEW14" s="28"/>
      <c r="DEX14" s="28"/>
      <c r="DEY14" s="28"/>
      <c r="DEZ14" s="28"/>
      <c r="DFA14" s="28"/>
      <c r="DFB14" s="28"/>
      <c r="DFC14" s="28"/>
      <c r="DFD14" s="28"/>
      <c r="DFE14" s="28"/>
      <c r="DFF14" s="28"/>
      <c r="DFG14" s="28"/>
      <c r="DFH14" s="28"/>
      <c r="DFI14" s="28"/>
      <c r="DFJ14" s="28"/>
      <c r="DFK14" s="28"/>
      <c r="DFL14" s="28"/>
      <c r="DFM14" s="28"/>
      <c r="DFN14" s="28"/>
      <c r="DFO14" s="28"/>
      <c r="DFP14" s="28"/>
      <c r="DFQ14" s="28"/>
      <c r="DFR14" s="28"/>
      <c r="DFS14" s="28"/>
      <c r="DFT14" s="28"/>
      <c r="DFU14" s="28"/>
      <c r="DFV14" s="28"/>
      <c r="DFW14" s="28"/>
      <c r="DFX14" s="28"/>
      <c r="DFY14" s="28"/>
      <c r="DFZ14" s="28"/>
      <c r="DGA14" s="28"/>
      <c r="DGB14" s="28"/>
      <c r="DGC14" s="28"/>
      <c r="DGD14" s="28"/>
      <c r="DGE14" s="28"/>
      <c r="DGF14" s="28"/>
      <c r="DGG14" s="28"/>
      <c r="DGH14" s="28"/>
      <c r="DGI14" s="28"/>
      <c r="DGJ14" s="28"/>
      <c r="DGK14" s="28"/>
      <c r="DGL14" s="28"/>
      <c r="DGM14" s="28"/>
      <c r="DGN14" s="28"/>
      <c r="DGO14" s="28"/>
      <c r="DGP14" s="28"/>
      <c r="DGQ14" s="28"/>
      <c r="DGR14" s="28"/>
      <c r="DGS14" s="28"/>
      <c r="DGT14" s="28"/>
      <c r="DGU14" s="28"/>
      <c r="DGV14" s="28"/>
      <c r="DGW14" s="28"/>
      <c r="DGX14" s="28"/>
      <c r="DGY14" s="28"/>
      <c r="DGZ14" s="28"/>
      <c r="DHA14" s="28"/>
      <c r="DHB14" s="28"/>
      <c r="DHC14" s="28"/>
      <c r="DHD14" s="28"/>
      <c r="DHE14" s="28"/>
      <c r="DHF14" s="28"/>
      <c r="DHG14" s="28"/>
      <c r="DHH14" s="28"/>
      <c r="DHI14" s="28"/>
      <c r="DHJ14" s="28"/>
      <c r="DHK14" s="28"/>
      <c r="DHL14" s="28"/>
      <c r="DHM14" s="28"/>
      <c r="DHN14" s="28"/>
      <c r="DHO14" s="28"/>
      <c r="DHP14" s="28"/>
      <c r="DHQ14" s="28"/>
      <c r="DHR14" s="28"/>
      <c r="DHS14" s="28"/>
      <c r="DHT14" s="28"/>
      <c r="DHU14" s="28"/>
      <c r="DHV14" s="28"/>
      <c r="DHW14" s="28"/>
      <c r="DHX14" s="28"/>
      <c r="DHY14" s="28"/>
      <c r="DHZ14" s="28"/>
      <c r="DIA14" s="28"/>
      <c r="DIB14" s="28"/>
      <c r="DIC14" s="28"/>
      <c r="DID14" s="28"/>
      <c r="DIE14" s="28"/>
      <c r="DIF14" s="28"/>
      <c r="DIG14" s="28"/>
      <c r="DIH14" s="28"/>
      <c r="DII14" s="28"/>
      <c r="DIJ14" s="28"/>
      <c r="DIK14" s="28"/>
      <c r="DIL14" s="28"/>
      <c r="DIM14" s="28"/>
      <c r="DIN14" s="28"/>
      <c r="DIO14" s="28"/>
      <c r="DIP14" s="28"/>
      <c r="DIQ14" s="28"/>
      <c r="DIR14" s="28"/>
      <c r="DIS14" s="28"/>
      <c r="DIT14" s="28"/>
      <c r="DIU14" s="28"/>
      <c r="DIV14" s="28"/>
      <c r="DIW14" s="28"/>
      <c r="DIX14" s="28"/>
      <c r="DIY14" s="28"/>
      <c r="DIZ14" s="28"/>
      <c r="DJA14" s="28"/>
      <c r="DJB14" s="28"/>
      <c r="DJC14" s="28"/>
      <c r="DJD14" s="28"/>
      <c r="DJE14" s="28"/>
      <c r="DJF14" s="28"/>
      <c r="DJG14" s="28"/>
      <c r="DJH14" s="28"/>
      <c r="DJI14" s="28"/>
      <c r="DJJ14" s="28"/>
      <c r="DJK14" s="28"/>
      <c r="DJL14" s="28"/>
      <c r="DJM14" s="28"/>
      <c r="DJN14" s="28"/>
      <c r="DJO14" s="28"/>
      <c r="DJP14" s="28"/>
      <c r="DJQ14" s="28"/>
      <c r="DJR14" s="28"/>
      <c r="DJS14" s="28"/>
      <c r="DJT14" s="28"/>
      <c r="DJU14" s="28"/>
      <c r="DJV14" s="28"/>
      <c r="DJW14" s="28"/>
      <c r="DJX14" s="28"/>
      <c r="DJY14" s="28"/>
      <c r="DJZ14" s="28"/>
      <c r="DKA14" s="28"/>
      <c r="DKB14" s="28"/>
      <c r="DKC14" s="28"/>
      <c r="DKD14" s="28"/>
      <c r="DKE14" s="28"/>
      <c r="DKF14" s="28"/>
      <c r="DKG14" s="28"/>
      <c r="DKH14" s="28"/>
      <c r="DKI14" s="28"/>
      <c r="DKJ14" s="28"/>
      <c r="DKK14" s="28"/>
      <c r="DKL14" s="28"/>
      <c r="DKM14" s="28"/>
      <c r="DKN14" s="28"/>
      <c r="DKO14" s="28"/>
      <c r="DKP14" s="28"/>
      <c r="DKQ14" s="28"/>
      <c r="DKR14" s="28"/>
      <c r="DKS14" s="28"/>
      <c r="DKT14" s="28"/>
      <c r="DKU14" s="28"/>
      <c r="DKV14" s="28"/>
      <c r="DKW14" s="28"/>
      <c r="DKX14" s="28"/>
      <c r="DKY14" s="28"/>
      <c r="DKZ14" s="28"/>
      <c r="DLA14" s="28"/>
      <c r="DLB14" s="28"/>
      <c r="DLC14" s="28"/>
      <c r="DLD14" s="28"/>
      <c r="DLE14" s="28"/>
      <c r="DLF14" s="28"/>
      <c r="DLG14" s="28"/>
      <c r="DLH14" s="28"/>
      <c r="DLI14" s="28"/>
      <c r="DLJ14" s="28"/>
      <c r="DLK14" s="28"/>
      <c r="DLL14" s="28"/>
      <c r="DLM14" s="28"/>
      <c r="DLN14" s="28"/>
      <c r="DLO14" s="28"/>
      <c r="DLP14" s="28"/>
      <c r="DLQ14" s="28"/>
      <c r="DLR14" s="28"/>
      <c r="DLS14" s="28"/>
      <c r="DLT14" s="28"/>
      <c r="DLU14" s="28"/>
      <c r="DLV14" s="28"/>
      <c r="DLW14" s="28"/>
      <c r="DLX14" s="28"/>
      <c r="DLY14" s="28"/>
      <c r="DLZ14" s="28"/>
      <c r="DMA14" s="28"/>
      <c r="DMB14" s="28"/>
      <c r="DMC14" s="28"/>
      <c r="DMD14" s="28"/>
      <c r="DME14" s="28"/>
      <c r="DMF14" s="28"/>
      <c r="DMG14" s="28"/>
      <c r="DMH14" s="28"/>
      <c r="DMI14" s="28"/>
      <c r="DMJ14" s="28"/>
      <c r="DMK14" s="28"/>
      <c r="DML14" s="28"/>
      <c r="DMM14" s="28"/>
      <c r="DMN14" s="28"/>
      <c r="DMO14" s="28"/>
      <c r="DMP14" s="28"/>
      <c r="DMQ14" s="28"/>
      <c r="DMR14" s="28"/>
      <c r="DMS14" s="28"/>
      <c r="DMT14" s="28"/>
      <c r="DMU14" s="28"/>
      <c r="DMV14" s="28"/>
      <c r="DMW14" s="28"/>
      <c r="DMX14" s="28"/>
      <c r="DMY14" s="28"/>
      <c r="DMZ14" s="28"/>
      <c r="DNA14" s="28"/>
      <c r="DNB14" s="28"/>
      <c r="DNC14" s="28"/>
      <c r="DND14" s="28"/>
      <c r="DNE14" s="28"/>
      <c r="DNF14" s="28"/>
      <c r="DNG14" s="28"/>
      <c r="DNH14" s="28"/>
      <c r="DNI14" s="28"/>
      <c r="DNJ14" s="28"/>
      <c r="DNK14" s="28"/>
      <c r="DNL14" s="28"/>
      <c r="DNM14" s="28"/>
      <c r="DNN14" s="28"/>
      <c r="DNO14" s="28"/>
      <c r="DNP14" s="28"/>
      <c r="DNQ14" s="28"/>
      <c r="DNR14" s="28"/>
      <c r="DNS14" s="28"/>
      <c r="DNT14" s="28"/>
      <c r="DNU14" s="28"/>
      <c r="DNV14" s="28"/>
      <c r="DNW14" s="28"/>
      <c r="DNX14" s="28"/>
      <c r="DNY14" s="28"/>
      <c r="DNZ14" s="28"/>
      <c r="DOA14" s="28"/>
      <c r="DOB14" s="28"/>
      <c r="DOC14" s="28"/>
      <c r="DOD14" s="28"/>
      <c r="DOE14" s="28"/>
      <c r="DOF14" s="28"/>
      <c r="DOG14" s="28"/>
      <c r="DOH14" s="28"/>
      <c r="DOI14" s="28"/>
      <c r="DOJ14" s="28"/>
      <c r="DOK14" s="28"/>
      <c r="DOL14" s="28"/>
      <c r="DOM14" s="28"/>
      <c r="DON14" s="28"/>
      <c r="DOO14" s="28"/>
      <c r="DOP14" s="28"/>
      <c r="DOQ14" s="28"/>
      <c r="DOR14" s="28"/>
      <c r="DOS14" s="28"/>
      <c r="DOT14" s="28"/>
      <c r="DOU14" s="28"/>
      <c r="DOV14" s="28"/>
      <c r="DOW14" s="28"/>
      <c r="DOX14" s="28"/>
      <c r="DOY14" s="28"/>
      <c r="DOZ14" s="28"/>
      <c r="DPA14" s="28"/>
      <c r="DPB14" s="28"/>
      <c r="DPC14" s="28"/>
      <c r="DPD14" s="28"/>
      <c r="DPE14" s="28"/>
      <c r="DPF14" s="28"/>
      <c r="DPG14" s="28"/>
      <c r="DPH14" s="28"/>
      <c r="DPI14" s="28"/>
      <c r="DPJ14" s="28"/>
      <c r="DPK14" s="28"/>
      <c r="DPL14" s="28"/>
      <c r="DPM14" s="28"/>
      <c r="DPN14" s="28"/>
      <c r="DPO14" s="28"/>
      <c r="DPP14" s="28"/>
      <c r="DPQ14" s="28"/>
      <c r="DPR14" s="28"/>
      <c r="DPS14" s="28"/>
      <c r="DPT14" s="28"/>
      <c r="DPU14" s="28"/>
      <c r="DPV14" s="28"/>
      <c r="DPW14" s="28"/>
      <c r="DPX14" s="28"/>
      <c r="DPY14" s="28"/>
      <c r="DPZ14" s="28"/>
      <c r="DQA14" s="28"/>
      <c r="DQB14" s="28"/>
      <c r="DQC14" s="28"/>
      <c r="DQD14" s="28"/>
      <c r="DQE14" s="28"/>
      <c r="DQF14" s="28"/>
      <c r="DQG14" s="28"/>
      <c r="DQH14" s="28"/>
      <c r="DQI14" s="28"/>
      <c r="DQJ14" s="28"/>
      <c r="DQK14" s="28"/>
      <c r="DQL14" s="28"/>
      <c r="DQM14" s="28"/>
      <c r="DQN14" s="28"/>
      <c r="DQO14" s="28"/>
      <c r="DQP14" s="28"/>
      <c r="DQQ14" s="28"/>
      <c r="DQR14" s="28"/>
      <c r="DQS14" s="28"/>
      <c r="DQT14" s="28"/>
      <c r="DQU14" s="28"/>
      <c r="DQV14" s="28"/>
      <c r="DQW14" s="28"/>
      <c r="DQX14" s="28"/>
      <c r="DQY14" s="28"/>
      <c r="DQZ14" s="28"/>
      <c r="DRA14" s="28"/>
      <c r="DRB14" s="28"/>
      <c r="DRC14" s="28"/>
      <c r="DRD14" s="28"/>
      <c r="DRE14" s="28"/>
      <c r="DRF14" s="28"/>
      <c r="DRG14" s="28"/>
      <c r="DRH14" s="28"/>
      <c r="DRI14" s="28"/>
      <c r="DRJ14" s="28"/>
      <c r="DRK14" s="28"/>
      <c r="DRL14" s="28"/>
      <c r="DRM14" s="28"/>
      <c r="DRN14" s="28"/>
      <c r="DRO14" s="28"/>
      <c r="DRP14" s="28"/>
      <c r="DRQ14" s="28"/>
      <c r="DRR14" s="28"/>
      <c r="DRS14" s="28"/>
      <c r="DRT14" s="28"/>
      <c r="DRU14" s="28"/>
      <c r="DRV14" s="28"/>
      <c r="DRW14" s="28"/>
      <c r="DRX14" s="28"/>
      <c r="DRY14" s="28"/>
      <c r="DRZ14" s="28"/>
      <c r="DSA14" s="28"/>
      <c r="DSB14" s="28"/>
      <c r="DSC14" s="28"/>
      <c r="DSD14" s="28"/>
      <c r="DSE14" s="28"/>
      <c r="DSF14" s="28"/>
      <c r="DSG14" s="28"/>
      <c r="DSH14" s="28"/>
      <c r="DSI14" s="28"/>
      <c r="DSJ14" s="28"/>
      <c r="DSK14" s="28"/>
      <c r="DSL14" s="28"/>
      <c r="DSM14" s="28"/>
      <c r="DSN14" s="28"/>
      <c r="DSO14" s="28"/>
      <c r="DSP14" s="28"/>
      <c r="DSQ14" s="28"/>
      <c r="DSR14" s="28"/>
      <c r="DSS14" s="28"/>
      <c r="DST14" s="28"/>
      <c r="DSU14" s="28"/>
      <c r="DSV14" s="28"/>
      <c r="DSW14" s="28"/>
      <c r="DSX14" s="28"/>
      <c r="DSY14" s="28"/>
      <c r="DSZ14" s="28"/>
      <c r="DTA14" s="28"/>
      <c r="DTB14" s="28"/>
      <c r="DTC14" s="28"/>
      <c r="DTD14" s="28"/>
      <c r="DTE14" s="28"/>
      <c r="DTF14" s="28"/>
      <c r="DTG14" s="28"/>
      <c r="DTH14" s="28"/>
      <c r="DTI14" s="28"/>
      <c r="DTJ14" s="28"/>
      <c r="DTK14" s="28"/>
      <c r="DTL14" s="28"/>
      <c r="DTM14" s="28"/>
      <c r="DTN14" s="28"/>
      <c r="DTO14" s="28"/>
      <c r="DTP14" s="28"/>
      <c r="DTQ14" s="28"/>
      <c r="DTR14" s="28"/>
      <c r="DTS14" s="28"/>
      <c r="DTT14" s="28"/>
      <c r="DTU14" s="28"/>
      <c r="DTV14" s="28"/>
      <c r="DTW14" s="28"/>
      <c r="DTX14" s="28"/>
      <c r="DTY14" s="28"/>
      <c r="DTZ14" s="28"/>
      <c r="DUA14" s="28"/>
      <c r="DUB14" s="28"/>
      <c r="DUC14" s="28"/>
      <c r="DUD14" s="28"/>
      <c r="DUE14" s="28"/>
      <c r="DUF14" s="28"/>
      <c r="DUG14" s="28"/>
      <c r="DUH14" s="28"/>
      <c r="DUI14" s="28"/>
      <c r="DUJ14" s="28"/>
      <c r="DUK14" s="28"/>
      <c r="DUL14" s="28"/>
      <c r="DUM14" s="28"/>
      <c r="DUN14" s="28"/>
      <c r="DUO14" s="28"/>
      <c r="DUP14" s="28"/>
      <c r="DUQ14" s="28"/>
      <c r="DUR14" s="28"/>
      <c r="DUS14" s="28"/>
      <c r="DUT14" s="28"/>
      <c r="DUU14" s="28"/>
      <c r="DUV14" s="28"/>
      <c r="DUW14" s="28"/>
      <c r="DUX14" s="28"/>
      <c r="DUY14" s="28"/>
      <c r="DUZ14" s="28"/>
      <c r="DVA14" s="28"/>
      <c r="DVB14" s="28"/>
      <c r="DVC14" s="28"/>
      <c r="DVD14" s="28"/>
      <c r="DVE14" s="28"/>
      <c r="DVF14" s="28"/>
      <c r="DVG14" s="28"/>
      <c r="DVH14" s="28"/>
      <c r="DVI14" s="28"/>
      <c r="DVJ14" s="28"/>
      <c r="DVK14" s="28"/>
      <c r="DVL14" s="28"/>
      <c r="DVM14" s="28"/>
      <c r="DVN14" s="28"/>
      <c r="DVO14" s="28"/>
      <c r="DVP14" s="28"/>
      <c r="DVQ14" s="28"/>
      <c r="DVR14" s="28"/>
      <c r="DVS14" s="28"/>
      <c r="DVT14" s="28"/>
      <c r="DVU14" s="28"/>
      <c r="DVV14" s="28"/>
      <c r="DVW14" s="28"/>
      <c r="DVX14" s="28"/>
      <c r="DVY14" s="28"/>
      <c r="DVZ14" s="28"/>
      <c r="DWA14" s="28"/>
      <c r="DWB14" s="28"/>
      <c r="DWC14" s="28"/>
      <c r="DWD14" s="28"/>
      <c r="DWE14" s="28"/>
      <c r="DWF14" s="28"/>
      <c r="DWG14" s="28"/>
      <c r="DWH14" s="28"/>
      <c r="DWI14" s="28"/>
      <c r="DWJ14" s="28"/>
      <c r="DWK14" s="28"/>
      <c r="DWL14" s="28"/>
      <c r="DWM14" s="28"/>
      <c r="DWN14" s="28"/>
      <c r="DWO14" s="28"/>
      <c r="DWP14" s="28"/>
      <c r="DWQ14" s="28"/>
      <c r="DWR14" s="28"/>
      <c r="DWS14" s="28"/>
      <c r="DWT14" s="28"/>
      <c r="DWU14" s="28"/>
      <c r="DWV14" s="28"/>
      <c r="DWW14" s="28"/>
      <c r="DWX14" s="28"/>
      <c r="DWY14" s="28"/>
      <c r="DWZ14" s="28"/>
      <c r="DXA14" s="28"/>
      <c r="DXB14" s="28"/>
      <c r="DXC14" s="28"/>
      <c r="DXD14" s="28"/>
      <c r="DXE14" s="28"/>
      <c r="DXF14" s="28"/>
      <c r="DXG14" s="28"/>
      <c r="DXH14" s="28"/>
      <c r="DXI14" s="28"/>
      <c r="DXJ14" s="28"/>
      <c r="DXK14" s="28"/>
      <c r="DXL14" s="28"/>
      <c r="DXM14" s="28"/>
      <c r="DXN14" s="28"/>
      <c r="DXO14" s="28"/>
      <c r="DXP14" s="28"/>
      <c r="DXQ14" s="28"/>
      <c r="DXR14" s="28"/>
      <c r="DXS14" s="28"/>
      <c r="DXT14" s="28"/>
      <c r="DXU14" s="28"/>
      <c r="DXV14" s="28"/>
      <c r="DXW14" s="28"/>
      <c r="DXX14" s="28"/>
      <c r="DXY14" s="28"/>
      <c r="DXZ14" s="28"/>
      <c r="DYA14" s="28"/>
      <c r="DYB14" s="28"/>
      <c r="DYC14" s="28"/>
      <c r="DYD14" s="28"/>
      <c r="DYE14" s="28"/>
      <c r="DYF14" s="28"/>
      <c r="DYG14" s="28"/>
      <c r="DYH14" s="28"/>
      <c r="DYI14" s="28"/>
      <c r="DYJ14" s="28"/>
      <c r="DYK14" s="28"/>
      <c r="DYL14" s="28"/>
      <c r="DYM14" s="28"/>
      <c r="DYN14" s="28"/>
      <c r="DYO14" s="28"/>
      <c r="DYP14" s="28"/>
      <c r="DYQ14" s="28"/>
      <c r="DYR14" s="28"/>
      <c r="DYS14" s="28"/>
      <c r="DYT14" s="28"/>
      <c r="DYU14" s="28"/>
      <c r="DYV14" s="28"/>
      <c r="DYW14" s="28"/>
      <c r="DYX14" s="28"/>
      <c r="DYY14" s="28"/>
      <c r="DYZ14" s="28"/>
      <c r="DZA14" s="28"/>
      <c r="DZB14" s="28"/>
      <c r="DZC14" s="28"/>
      <c r="DZD14" s="28"/>
      <c r="DZE14" s="28"/>
      <c r="DZF14" s="28"/>
      <c r="DZG14" s="28"/>
      <c r="DZH14" s="28"/>
      <c r="DZI14" s="28"/>
      <c r="DZJ14" s="28"/>
      <c r="DZK14" s="28"/>
      <c r="DZL14" s="28"/>
      <c r="DZM14" s="28"/>
      <c r="DZN14" s="28"/>
      <c r="DZO14" s="28"/>
      <c r="DZP14" s="28"/>
      <c r="DZQ14" s="28"/>
      <c r="DZR14" s="28"/>
      <c r="DZS14" s="28"/>
      <c r="DZT14" s="28"/>
      <c r="DZU14" s="28"/>
      <c r="DZV14" s="28"/>
      <c r="DZW14" s="28"/>
      <c r="DZX14" s="28"/>
      <c r="DZY14" s="28"/>
      <c r="DZZ14" s="28"/>
      <c r="EAA14" s="28"/>
      <c r="EAB14" s="28"/>
      <c r="EAC14" s="28"/>
      <c r="EAD14" s="28"/>
      <c r="EAE14" s="28"/>
      <c r="EAF14" s="28"/>
      <c r="EAG14" s="28"/>
      <c r="EAH14" s="28"/>
      <c r="EAI14" s="28"/>
      <c r="EAJ14" s="28"/>
      <c r="EAK14" s="28"/>
      <c r="EAL14" s="28"/>
      <c r="EAM14" s="28"/>
      <c r="EAN14" s="28"/>
      <c r="EAO14" s="28"/>
      <c r="EAP14" s="28"/>
      <c r="EAQ14" s="28"/>
      <c r="EAR14" s="28"/>
      <c r="EAS14" s="28"/>
      <c r="EAT14" s="28"/>
      <c r="EAU14" s="28"/>
      <c r="EAV14" s="28"/>
      <c r="EAW14" s="28"/>
      <c r="EAX14" s="28"/>
      <c r="EAY14" s="28"/>
      <c r="EAZ14" s="28"/>
      <c r="EBA14" s="28"/>
      <c r="EBB14" s="28"/>
      <c r="EBC14" s="28"/>
      <c r="EBD14" s="28"/>
      <c r="EBE14" s="28"/>
      <c r="EBF14" s="28"/>
      <c r="EBG14" s="28"/>
      <c r="EBH14" s="28"/>
      <c r="EBI14" s="28"/>
      <c r="EBJ14" s="28"/>
      <c r="EBK14" s="28"/>
      <c r="EBL14" s="28"/>
      <c r="EBM14" s="28"/>
      <c r="EBN14" s="28"/>
      <c r="EBO14" s="28"/>
      <c r="EBP14" s="28"/>
      <c r="EBQ14" s="28"/>
      <c r="EBR14" s="28"/>
      <c r="EBS14" s="28"/>
      <c r="EBT14" s="28"/>
      <c r="EBU14" s="28"/>
      <c r="EBV14" s="28"/>
      <c r="EBW14" s="28"/>
      <c r="EBX14" s="28"/>
      <c r="EBY14" s="28"/>
      <c r="EBZ14" s="28"/>
      <c r="ECA14" s="28"/>
      <c r="ECB14" s="28"/>
      <c r="ECC14" s="28"/>
      <c r="ECD14" s="28"/>
      <c r="ECE14" s="28"/>
      <c r="ECF14" s="28"/>
      <c r="ECG14" s="28"/>
      <c r="ECH14" s="28"/>
      <c r="ECI14" s="28"/>
      <c r="ECJ14" s="28"/>
      <c r="ECK14" s="28"/>
      <c r="ECL14" s="28"/>
      <c r="ECM14" s="28"/>
      <c r="ECN14" s="28"/>
      <c r="ECO14" s="28"/>
      <c r="ECP14" s="28"/>
      <c r="ECQ14" s="28"/>
      <c r="ECR14" s="28"/>
      <c r="ECS14" s="28"/>
      <c r="ECT14" s="28"/>
      <c r="ECU14" s="28"/>
      <c r="ECV14" s="28"/>
      <c r="ECW14" s="28"/>
      <c r="ECX14" s="28"/>
      <c r="ECY14" s="28"/>
      <c r="ECZ14" s="28"/>
      <c r="EDA14" s="28"/>
      <c r="EDB14" s="28"/>
      <c r="EDC14" s="28"/>
      <c r="EDD14" s="28"/>
      <c r="EDE14" s="28"/>
      <c r="EDF14" s="28"/>
      <c r="EDG14" s="28"/>
      <c r="EDH14" s="28"/>
      <c r="EDI14" s="28"/>
      <c r="EDJ14" s="28"/>
      <c r="EDK14" s="28"/>
      <c r="EDL14" s="28"/>
      <c r="EDM14" s="28"/>
      <c r="EDN14" s="28"/>
      <c r="EDO14" s="28"/>
      <c r="EDP14" s="28"/>
      <c r="EDQ14" s="28"/>
      <c r="EDR14" s="28"/>
      <c r="EDS14" s="28"/>
      <c r="EDT14" s="28"/>
      <c r="EDU14" s="28"/>
      <c r="EDV14" s="28"/>
      <c r="EDW14" s="28"/>
      <c r="EDX14" s="28"/>
      <c r="EDY14" s="28"/>
      <c r="EDZ14" s="28"/>
      <c r="EEA14" s="28"/>
      <c r="EEB14" s="28"/>
      <c r="EEC14" s="28"/>
      <c r="EED14" s="28"/>
      <c r="EEE14" s="28"/>
      <c r="EEF14" s="28"/>
      <c r="EEG14" s="28"/>
      <c r="EEH14" s="28"/>
      <c r="EEI14" s="28"/>
      <c r="EEJ14" s="28"/>
      <c r="EEK14" s="28"/>
      <c r="EEL14" s="28"/>
      <c r="EEM14" s="28"/>
      <c r="EEN14" s="28"/>
      <c r="EEO14" s="28"/>
      <c r="EEP14" s="28"/>
      <c r="EEQ14" s="28"/>
      <c r="EER14" s="28"/>
      <c r="EES14" s="28"/>
      <c r="EET14" s="28"/>
      <c r="EEU14" s="28"/>
      <c r="EEV14" s="28"/>
      <c r="EEW14" s="28"/>
      <c r="EEX14" s="28"/>
      <c r="EEY14" s="28"/>
      <c r="EEZ14" s="28"/>
      <c r="EFA14" s="28"/>
      <c r="EFB14" s="28"/>
      <c r="EFC14" s="28"/>
      <c r="EFD14" s="28"/>
      <c r="EFE14" s="28"/>
      <c r="EFF14" s="28"/>
      <c r="EFG14" s="28"/>
      <c r="EFH14" s="28"/>
      <c r="EFI14" s="28"/>
      <c r="EFJ14" s="28"/>
      <c r="EFK14" s="28"/>
      <c r="EFL14" s="28"/>
      <c r="EFM14" s="28"/>
      <c r="EFN14" s="28"/>
      <c r="EFO14" s="28"/>
      <c r="EFP14" s="28"/>
      <c r="EFQ14" s="28"/>
      <c r="EFR14" s="28"/>
      <c r="EFS14" s="28"/>
      <c r="EFT14" s="28"/>
      <c r="EFU14" s="28"/>
      <c r="EFV14" s="28"/>
      <c r="EFW14" s="28"/>
      <c r="EFX14" s="28"/>
      <c r="EFY14" s="28"/>
      <c r="EFZ14" s="28"/>
      <c r="EGA14" s="28"/>
      <c r="EGB14" s="28"/>
      <c r="EGC14" s="28"/>
      <c r="EGD14" s="28"/>
      <c r="EGE14" s="28"/>
      <c r="EGF14" s="28"/>
      <c r="EGG14" s="28"/>
      <c r="EGH14" s="28"/>
      <c r="EGI14" s="28"/>
      <c r="EGJ14" s="28"/>
      <c r="EGK14" s="28"/>
      <c r="EGL14" s="28"/>
      <c r="EGM14" s="28"/>
      <c r="EGN14" s="28"/>
      <c r="EGO14" s="28"/>
      <c r="EGP14" s="28"/>
      <c r="EGQ14" s="28"/>
      <c r="EGR14" s="28"/>
      <c r="EGS14" s="28"/>
      <c r="EGT14" s="28"/>
      <c r="EGU14" s="28"/>
      <c r="EGV14" s="28"/>
      <c r="EGW14" s="28"/>
      <c r="EGX14" s="28"/>
      <c r="EGY14" s="28"/>
      <c r="EGZ14" s="28"/>
      <c r="EHA14" s="28"/>
      <c r="EHB14" s="28"/>
      <c r="EHC14" s="28"/>
      <c r="EHD14" s="28"/>
      <c r="EHE14" s="28"/>
      <c r="EHF14" s="28"/>
      <c r="EHG14" s="28"/>
      <c r="EHH14" s="28"/>
      <c r="EHI14" s="28"/>
      <c r="EHJ14" s="28"/>
      <c r="EHK14" s="28"/>
      <c r="EHL14" s="28"/>
      <c r="EHM14" s="28"/>
      <c r="EHN14" s="28"/>
      <c r="EHO14" s="28"/>
      <c r="EHP14" s="28"/>
      <c r="EHQ14" s="28"/>
      <c r="EHR14" s="28"/>
      <c r="EHS14" s="28"/>
      <c r="EHT14" s="28"/>
      <c r="EHU14" s="28"/>
      <c r="EHV14" s="28"/>
      <c r="EHW14" s="28"/>
      <c r="EHX14" s="28"/>
      <c r="EHY14" s="28"/>
      <c r="EHZ14" s="28"/>
      <c r="EIA14" s="28"/>
      <c r="EIB14" s="28"/>
      <c r="EIC14" s="28"/>
      <c r="EID14" s="28"/>
      <c r="EIE14" s="28"/>
      <c r="EIF14" s="28"/>
      <c r="EIG14" s="28"/>
      <c r="EIH14" s="28"/>
      <c r="EII14" s="28"/>
      <c r="EIJ14" s="28"/>
      <c r="EIK14" s="28"/>
      <c r="EIL14" s="28"/>
      <c r="EIM14" s="28"/>
      <c r="EIN14" s="28"/>
      <c r="EIO14" s="28"/>
      <c r="EIP14" s="28"/>
      <c r="EIQ14" s="28"/>
      <c r="EIR14" s="28"/>
      <c r="EIS14" s="28"/>
      <c r="EIT14" s="28"/>
      <c r="EIU14" s="28"/>
      <c r="EIV14" s="28"/>
      <c r="EIW14" s="28"/>
      <c r="EIX14" s="28"/>
      <c r="EIY14" s="28"/>
      <c r="EIZ14" s="28"/>
      <c r="EJA14" s="28"/>
      <c r="EJB14" s="28"/>
      <c r="EJC14" s="28"/>
      <c r="EJD14" s="28"/>
      <c r="EJE14" s="28"/>
      <c r="EJF14" s="28"/>
      <c r="EJG14" s="28"/>
      <c r="EJH14" s="28"/>
      <c r="EJI14" s="28"/>
      <c r="EJJ14" s="28"/>
      <c r="EJK14" s="28"/>
      <c r="EJL14" s="28"/>
      <c r="EJM14" s="28"/>
      <c r="EJN14" s="28"/>
      <c r="EJO14" s="28"/>
      <c r="EJP14" s="28"/>
      <c r="EJQ14" s="28"/>
      <c r="EJR14" s="28"/>
      <c r="EJS14" s="28"/>
      <c r="EJT14" s="28"/>
      <c r="EJU14" s="28"/>
      <c r="EJV14" s="28"/>
      <c r="EJW14" s="28"/>
      <c r="EJX14" s="28"/>
      <c r="EJY14" s="28"/>
      <c r="EJZ14" s="28"/>
      <c r="EKA14" s="28"/>
      <c r="EKB14" s="28"/>
      <c r="EKC14" s="28"/>
      <c r="EKD14" s="28"/>
      <c r="EKE14" s="28"/>
      <c r="EKF14" s="28"/>
      <c r="EKG14" s="28"/>
      <c r="EKH14" s="28"/>
      <c r="EKI14" s="28"/>
      <c r="EKJ14" s="28"/>
      <c r="EKK14" s="28"/>
      <c r="EKL14" s="28"/>
      <c r="EKM14" s="28"/>
      <c r="EKN14" s="28"/>
      <c r="EKO14" s="28"/>
      <c r="EKP14" s="28"/>
      <c r="EKQ14" s="28"/>
      <c r="EKR14" s="28"/>
      <c r="EKS14" s="28"/>
      <c r="EKT14" s="28"/>
      <c r="EKU14" s="28"/>
      <c r="EKV14" s="28"/>
      <c r="EKW14" s="28"/>
      <c r="EKX14" s="28"/>
      <c r="EKY14" s="28"/>
      <c r="EKZ14" s="28"/>
      <c r="ELA14" s="28"/>
      <c r="ELB14" s="28"/>
      <c r="ELC14" s="28"/>
      <c r="ELD14" s="28"/>
      <c r="ELE14" s="28"/>
      <c r="ELF14" s="28"/>
      <c r="ELG14" s="28"/>
      <c r="ELH14" s="28"/>
      <c r="ELI14" s="28"/>
      <c r="ELJ14" s="28"/>
      <c r="ELK14" s="28"/>
      <c r="ELL14" s="28"/>
      <c r="ELM14" s="28"/>
      <c r="ELN14" s="28"/>
      <c r="ELO14" s="28"/>
      <c r="ELP14" s="28"/>
      <c r="ELQ14" s="28"/>
      <c r="ELR14" s="28"/>
      <c r="ELS14" s="28"/>
      <c r="ELT14" s="28"/>
      <c r="ELU14" s="28"/>
      <c r="ELV14" s="28"/>
      <c r="ELW14" s="28"/>
      <c r="ELX14" s="28"/>
      <c r="ELY14" s="28"/>
      <c r="ELZ14" s="28"/>
      <c r="EMA14" s="28"/>
      <c r="EMB14" s="28"/>
      <c r="EMC14" s="28"/>
      <c r="EMD14" s="28"/>
      <c r="EME14" s="28"/>
      <c r="EMF14" s="28"/>
      <c r="EMG14" s="28"/>
      <c r="EMH14" s="28"/>
      <c r="EMI14" s="28"/>
      <c r="EMJ14" s="28"/>
      <c r="EMK14" s="28"/>
      <c r="EML14" s="28"/>
      <c r="EMM14" s="28"/>
      <c r="EMN14" s="28"/>
      <c r="EMO14" s="28"/>
      <c r="EMP14" s="28"/>
      <c r="EMQ14" s="28"/>
      <c r="EMR14" s="28"/>
      <c r="EMS14" s="28"/>
      <c r="EMT14" s="28"/>
      <c r="EMU14" s="28"/>
      <c r="EMV14" s="28"/>
      <c r="EMW14" s="28"/>
      <c r="EMX14" s="28"/>
      <c r="EMY14" s="28"/>
      <c r="EMZ14" s="28"/>
      <c r="ENA14" s="28"/>
      <c r="ENB14" s="28"/>
      <c r="ENC14" s="28"/>
      <c r="END14" s="28"/>
      <c r="ENE14" s="28"/>
      <c r="ENF14" s="28"/>
      <c r="ENG14" s="28"/>
      <c r="ENH14" s="28"/>
      <c r="ENI14" s="28"/>
      <c r="ENJ14" s="28"/>
      <c r="ENK14" s="28"/>
      <c r="ENL14" s="28"/>
      <c r="ENM14" s="28"/>
      <c r="ENN14" s="28"/>
      <c r="ENO14" s="28"/>
      <c r="ENP14" s="28"/>
      <c r="ENQ14" s="28"/>
      <c r="ENR14" s="28"/>
      <c r="ENS14" s="28"/>
      <c r="ENT14" s="28"/>
      <c r="ENU14" s="28"/>
      <c r="ENV14" s="28"/>
      <c r="ENW14" s="28"/>
      <c r="ENX14" s="28"/>
      <c r="ENY14" s="28"/>
      <c r="ENZ14" s="28"/>
      <c r="EOA14" s="28"/>
      <c r="EOB14" s="28"/>
      <c r="EOC14" s="28"/>
      <c r="EOD14" s="28"/>
      <c r="EOE14" s="28"/>
      <c r="EOF14" s="28"/>
      <c r="EOG14" s="28"/>
      <c r="EOH14" s="28"/>
      <c r="EOI14" s="28"/>
      <c r="EOJ14" s="28"/>
      <c r="EOK14" s="28"/>
      <c r="EOL14" s="28"/>
      <c r="EOM14" s="28"/>
      <c r="EON14" s="28"/>
      <c r="EOO14" s="28"/>
      <c r="EOP14" s="28"/>
      <c r="EOQ14" s="28"/>
      <c r="EOR14" s="28"/>
      <c r="EOS14" s="28"/>
      <c r="EOT14" s="28"/>
      <c r="EOU14" s="28"/>
      <c r="EOV14" s="28"/>
      <c r="EOW14" s="28"/>
      <c r="EOX14" s="28"/>
      <c r="EOY14" s="28"/>
      <c r="EOZ14" s="28"/>
      <c r="EPA14" s="28"/>
      <c r="EPB14" s="28"/>
      <c r="EPC14" s="28"/>
      <c r="EPD14" s="28"/>
      <c r="EPE14" s="28"/>
      <c r="EPF14" s="28"/>
      <c r="EPG14" s="28"/>
      <c r="EPH14" s="28"/>
      <c r="EPI14" s="28"/>
      <c r="EPJ14" s="28"/>
      <c r="EPK14" s="28"/>
      <c r="EPL14" s="28"/>
      <c r="EPM14" s="28"/>
      <c r="EPN14" s="28"/>
      <c r="EPO14" s="28"/>
      <c r="EPP14" s="28"/>
      <c r="EPQ14" s="28"/>
      <c r="EPR14" s="28"/>
      <c r="EPS14" s="28"/>
      <c r="EPT14" s="28"/>
      <c r="EPU14" s="28"/>
      <c r="EPV14" s="28"/>
      <c r="EPW14" s="28"/>
      <c r="EPX14" s="28"/>
      <c r="EPY14" s="28"/>
      <c r="EPZ14" s="28"/>
      <c r="EQA14" s="28"/>
      <c r="EQB14" s="28"/>
      <c r="EQC14" s="28"/>
      <c r="EQD14" s="28"/>
      <c r="EQE14" s="28"/>
      <c r="EQF14" s="28"/>
      <c r="EQG14" s="28"/>
      <c r="EQH14" s="28"/>
      <c r="EQI14" s="28"/>
      <c r="EQJ14" s="28"/>
      <c r="EQK14" s="28"/>
      <c r="EQL14" s="28"/>
      <c r="EQM14" s="28"/>
      <c r="EQN14" s="28"/>
      <c r="EQO14" s="28"/>
      <c r="EQP14" s="28"/>
      <c r="EQQ14" s="28"/>
      <c r="EQR14" s="28"/>
      <c r="EQS14" s="28"/>
      <c r="EQT14" s="28"/>
      <c r="EQU14" s="28"/>
      <c r="EQV14" s="28"/>
      <c r="EQW14" s="28"/>
      <c r="EQX14" s="28"/>
      <c r="EQY14" s="28"/>
      <c r="EQZ14" s="28"/>
      <c r="ERA14" s="28"/>
      <c r="ERB14" s="28"/>
      <c r="ERC14" s="28"/>
      <c r="ERD14" s="28"/>
      <c r="ERE14" s="28"/>
      <c r="ERF14" s="28"/>
      <c r="ERG14" s="28"/>
      <c r="ERH14" s="28"/>
      <c r="ERI14" s="28"/>
      <c r="ERJ14" s="28"/>
      <c r="ERK14" s="28"/>
      <c r="ERL14" s="28"/>
      <c r="ERM14" s="28"/>
      <c r="ERN14" s="28"/>
      <c r="ERO14" s="28"/>
      <c r="ERP14" s="28"/>
      <c r="ERQ14" s="28"/>
      <c r="ERR14" s="28"/>
      <c r="ERS14" s="28"/>
      <c r="ERT14" s="28"/>
      <c r="ERU14" s="28"/>
      <c r="ERV14" s="28"/>
      <c r="ERW14" s="28"/>
      <c r="ERX14" s="28"/>
      <c r="ERY14" s="28"/>
      <c r="ERZ14" s="28"/>
      <c r="ESA14" s="28"/>
      <c r="ESB14" s="28"/>
      <c r="ESC14" s="28"/>
      <c r="ESD14" s="28"/>
      <c r="ESE14" s="28"/>
      <c r="ESF14" s="28"/>
      <c r="ESG14" s="28"/>
      <c r="ESH14" s="28"/>
      <c r="ESI14" s="28"/>
      <c r="ESJ14" s="28"/>
      <c r="ESK14" s="28"/>
      <c r="ESL14" s="28"/>
      <c r="ESM14" s="28"/>
      <c r="ESN14" s="28"/>
      <c r="ESO14" s="28"/>
      <c r="ESP14" s="28"/>
      <c r="ESQ14" s="28"/>
      <c r="ESR14" s="28"/>
      <c r="ESS14" s="28"/>
      <c r="EST14" s="28"/>
      <c r="ESU14" s="28"/>
      <c r="ESV14" s="28"/>
      <c r="ESW14" s="28"/>
      <c r="ESX14" s="28"/>
      <c r="ESY14" s="28"/>
      <c r="ESZ14" s="28"/>
      <c r="ETA14" s="28"/>
      <c r="ETB14" s="28"/>
      <c r="ETC14" s="28"/>
      <c r="ETD14" s="28"/>
      <c r="ETE14" s="28"/>
      <c r="ETF14" s="28"/>
      <c r="ETG14" s="28"/>
      <c r="ETH14" s="28"/>
      <c r="ETI14" s="28"/>
      <c r="ETJ14" s="28"/>
      <c r="ETK14" s="28"/>
      <c r="ETL14" s="28"/>
      <c r="ETM14" s="28"/>
      <c r="ETN14" s="28"/>
      <c r="ETO14" s="28"/>
      <c r="ETP14" s="28"/>
      <c r="ETQ14" s="28"/>
      <c r="ETR14" s="28"/>
      <c r="ETS14" s="28"/>
      <c r="ETT14" s="28"/>
      <c r="ETU14" s="28"/>
      <c r="ETV14" s="28"/>
      <c r="ETW14" s="28"/>
      <c r="ETX14" s="28"/>
      <c r="ETY14" s="28"/>
      <c r="ETZ14" s="28"/>
      <c r="EUA14" s="28"/>
      <c r="EUB14" s="28"/>
      <c r="EUC14" s="28"/>
      <c r="EUD14" s="28"/>
      <c r="EUE14" s="28"/>
      <c r="EUF14" s="28"/>
      <c r="EUG14" s="28"/>
      <c r="EUH14" s="28"/>
      <c r="EUI14" s="28"/>
      <c r="EUJ14" s="28"/>
      <c r="EUK14" s="28"/>
      <c r="EUL14" s="28"/>
      <c r="EUM14" s="28"/>
      <c r="EUN14" s="28"/>
      <c r="EUO14" s="28"/>
      <c r="EUP14" s="28"/>
      <c r="EUQ14" s="28"/>
      <c r="EUR14" s="28"/>
      <c r="EUS14" s="28"/>
      <c r="EUT14" s="28"/>
      <c r="EUU14" s="28"/>
      <c r="EUV14" s="28"/>
      <c r="EUW14" s="28"/>
      <c r="EUX14" s="28"/>
      <c r="EUY14" s="28"/>
      <c r="EUZ14" s="28"/>
      <c r="EVA14" s="28"/>
      <c r="EVB14" s="28"/>
      <c r="EVC14" s="28"/>
      <c r="EVD14" s="28"/>
      <c r="EVE14" s="28"/>
      <c r="EVF14" s="28"/>
      <c r="EVG14" s="28"/>
      <c r="EVH14" s="28"/>
      <c r="EVI14" s="28"/>
      <c r="EVJ14" s="28"/>
      <c r="EVK14" s="28"/>
      <c r="EVL14" s="28"/>
      <c r="EVM14" s="28"/>
      <c r="EVN14" s="28"/>
      <c r="EVO14" s="28"/>
      <c r="EVP14" s="28"/>
      <c r="EVQ14" s="28"/>
      <c r="EVR14" s="28"/>
      <c r="EVS14" s="28"/>
      <c r="EVT14" s="28"/>
      <c r="EVU14" s="28"/>
      <c r="EVV14" s="28"/>
      <c r="EVW14" s="28"/>
      <c r="EVX14" s="28"/>
      <c r="EVY14" s="28"/>
      <c r="EVZ14" s="28"/>
      <c r="EWA14" s="28"/>
      <c r="EWB14" s="28"/>
      <c r="EWC14" s="28"/>
      <c r="EWD14" s="28"/>
      <c r="EWE14" s="28"/>
      <c r="EWF14" s="28"/>
      <c r="EWG14" s="28"/>
      <c r="EWH14" s="28"/>
      <c r="EWI14" s="28"/>
      <c r="EWJ14" s="28"/>
      <c r="EWK14" s="28"/>
      <c r="EWL14" s="28"/>
      <c r="EWM14" s="28"/>
      <c r="EWN14" s="28"/>
      <c r="EWO14" s="28"/>
      <c r="EWP14" s="28"/>
      <c r="EWQ14" s="28"/>
      <c r="EWR14" s="28"/>
      <c r="EWS14" s="28"/>
      <c r="EWT14" s="28"/>
      <c r="EWU14" s="28"/>
      <c r="EWV14" s="28"/>
      <c r="EWW14" s="28"/>
      <c r="EWX14" s="28"/>
      <c r="EWY14" s="28"/>
      <c r="EWZ14" s="28"/>
      <c r="EXA14" s="28"/>
      <c r="EXB14" s="28"/>
      <c r="EXC14" s="28"/>
      <c r="EXD14" s="28"/>
      <c r="EXE14" s="28"/>
      <c r="EXF14" s="28"/>
      <c r="EXG14" s="28"/>
      <c r="EXH14" s="28"/>
      <c r="EXI14" s="28"/>
      <c r="EXJ14" s="28"/>
      <c r="EXK14" s="28"/>
      <c r="EXL14" s="28"/>
      <c r="EXM14" s="28"/>
      <c r="EXN14" s="28"/>
      <c r="EXO14" s="28"/>
      <c r="EXP14" s="28"/>
      <c r="EXQ14" s="28"/>
      <c r="EXR14" s="28"/>
      <c r="EXS14" s="28"/>
      <c r="EXT14" s="28"/>
      <c r="EXU14" s="28"/>
      <c r="EXV14" s="28"/>
      <c r="EXW14" s="28"/>
      <c r="EXX14" s="28"/>
      <c r="EXY14" s="28"/>
      <c r="EXZ14" s="28"/>
      <c r="EYA14" s="28"/>
      <c r="EYB14" s="28"/>
      <c r="EYC14" s="28"/>
      <c r="EYD14" s="28"/>
      <c r="EYE14" s="28"/>
      <c r="EYF14" s="28"/>
      <c r="EYG14" s="28"/>
      <c r="EYH14" s="28"/>
      <c r="EYI14" s="28"/>
      <c r="EYJ14" s="28"/>
      <c r="EYK14" s="28"/>
      <c r="EYL14" s="28"/>
      <c r="EYM14" s="28"/>
      <c r="EYN14" s="28"/>
      <c r="EYO14" s="28"/>
      <c r="EYP14" s="28"/>
      <c r="EYQ14" s="28"/>
      <c r="EYR14" s="28"/>
      <c r="EYS14" s="28"/>
      <c r="EYT14" s="28"/>
      <c r="EYU14" s="28"/>
      <c r="EYV14" s="28"/>
      <c r="EYW14" s="28"/>
      <c r="EYX14" s="28"/>
      <c r="EYY14" s="28"/>
      <c r="EYZ14" s="28"/>
      <c r="EZA14" s="28"/>
      <c r="EZB14" s="28"/>
      <c r="EZC14" s="28"/>
      <c r="EZD14" s="28"/>
      <c r="EZE14" s="28"/>
      <c r="EZF14" s="28"/>
      <c r="EZG14" s="28"/>
      <c r="EZH14" s="28"/>
      <c r="EZI14" s="28"/>
      <c r="EZJ14" s="28"/>
      <c r="EZK14" s="28"/>
      <c r="EZL14" s="28"/>
      <c r="EZM14" s="28"/>
      <c r="EZN14" s="28"/>
      <c r="EZO14" s="28"/>
      <c r="EZP14" s="28"/>
      <c r="EZQ14" s="28"/>
      <c r="EZR14" s="28"/>
      <c r="EZS14" s="28"/>
      <c r="EZT14" s="28"/>
      <c r="EZU14" s="28"/>
      <c r="EZV14" s="28"/>
      <c r="EZW14" s="28"/>
      <c r="EZX14" s="28"/>
      <c r="EZY14" s="28"/>
      <c r="EZZ14" s="28"/>
      <c r="FAA14" s="28"/>
      <c r="FAB14" s="28"/>
      <c r="FAC14" s="28"/>
      <c r="FAD14" s="28"/>
      <c r="FAE14" s="28"/>
      <c r="FAF14" s="28"/>
      <c r="FAG14" s="28"/>
      <c r="FAH14" s="28"/>
      <c r="FAI14" s="28"/>
      <c r="FAJ14" s="28"/>
      <c r="FAK14" s="28"/>
      <c r="FAL14" s="28"/>
      <c r="FAM14" s="28"/>
      <c r="FAN14" s="28"/>
      <c r="FAO14" s="28"/>
      <c r="FAP14" s="28"/>
      <c r="FAQ14" s="28"/>
      <c r="FAR14" s="28"/>
      <c r="FAS14" s="28"/>
      <c r="FAT14" s="28"/>
      <c r="FAU14" s="28"/>
      <c r="FAV14" s="28"/>
      <c r="FAW14" s="28"/>
      <c r="FAX14" s="28"/>
      <c r="FAY14" s="28"/>
      <c r="FAZ14" s="28"/>
      <c r="FBA14" s="28"/>
      <c r="FBB14" s="28"/>
      <c r="FBC14" s="28"/>
      <c r="FBD14" s="28"/>
      <c r="FBE14" s="28"/>
      <c r="FBF14" s="28"/>
      <c r="FBG14" s="28"/>
      <c r="FBH14" s="28"/>
      <c r="FBI14" s="28"/>
      <c r="FBJ14" s="28"/>
      <c r="FBK14" s="28"/>
      <c r="FBL14" s="28"/>
      <c r="FBM14" s="28"/>
      <c r="FBN14" s="28"/>
      <c r="FBO14" s="28"/>
      <c r="FBP14" s="28"/>
      <c r="FBQ14" s="28"/>
      <c r="FBR14" s="28"/>
      <c r="FBS14" s="28"/>
      <c r="FBT14" s="28"/>
      <c r="FBU14" s="28"/>
      <c r="FBV14" s="28"/>
      <c r="FBW14" s="28"/>
      <c r="FBX14" s="28"/>
      <c r="FBY14" s="28"/>
      <c r="FBZ14" s="28"/>
      <c r="FCA14" s="28"/>
      <c r="FCB14" s="28"/>
      <c r="FCC14" s="28"/>
      <c r="FCD14" s="28"/>
      <c r="FCE14" s="28"/>
      <c r="FCF14" s="28"/>
      <c r="FCG14" s="28"/>
      <c r="FCH14" s="28"/>
      <c r="FCI14" s="28"/>
      <c r="FCJ14" s="28"/>
      <c r="FCK14" s="28"/>
      <c r="FCL14" s="28"/>
      <c r="FCM14" s="28"/>
      <c r="FCN14" s="28"/>
      <c r="FCO14" s="28"/>
      <c r="FCP14" s="28"/>
      <c r="FCQ14" s="28"/>
      <c r="FCR14" s="28"/>
      <c r="FCS14" s="28"/>
      <c r="FCT14" s="28"/>
      <c r="FCU14" s="28"/>
      <c r="FCV14" s="28"/>
      <c r="FCW14" s="28"/>
      <c r="FCX14" s="28"/>
      <c r="FCY14" s="28"/>
      <c r="FCZ14" s="28"/>
      <c r="FDA14" s="28"/>
      <c r="FDB14" s="28"/>
      <c r="FDC14" s="28"/>
      <c r="FDD14" s="28"/>
      <c r="FDE14" s="28"/>
      <c r="FDF14" s="28"/>
      <c r="FDG14" s="28"/>
      <c r="FDH14" s="28"/>
      <c r="FDI14" s="28"/>
      <c r="FDJ14" s="28"/>
      <c r="FDK14" s="28"/>
      <c r="FDL14" s="28"/>
      <c r="FDM14" s="28"/>
      <c r="FDN14" s="28"/>
      <c r="FDO14" s="28"/>
      <c r="FDP14" s="28"/>
      <c r="FDQ14" s="28"/>
      <c r="FDR14" s="28"/>
      <c r="FDS14" s="28"/>
      <c r="FDT14" s="28"/>
      <c r="FDU14" s="28"/>
      <c r="FDV14" s="28"/>
      <c r="FDW14" s="28"/>
      <c r="FDX14" s="28"/>
      <c r="FDY14" s="28"/>
      <c r="FDZ14" s="28"/>
      <c r="FEA14" s="28"/>
      <c r="FEB14" s="28"/>
      <c r="FEC14" s="28"/>
      <c r="FED14" s="28"/>
      <c r="FEE14" s="28"/>
      <c r="FEF14" s="28"/>
      <c r="FEG14" s="28"/>
      <c r="FEH14" s="28"/>
      <c r="FEI14" s="28"/>
      <c r="FEJ14" s="28"/>
      <c r="FEK14" s="28"/>
      <c r="FEL14" s="28"/>
      <c r="FEM14" s="28"/>
      <c r="FEN14" s="28"/>
      <c r="FEO14" s="28"/>
      <c r="FEP14" s="28"/>
      <c r="FEQ14" s="28"/>
      <c r="FER14" s="28"/>
      <c r="FES14" s="28"/>
      <c r="FET14" s="28"/>
      <c r="FEU14" s="28"/>
      <c r="FEV14" s="28"/>
      <c r="FEW14" s="28"/>
      <c r="FEX14" s="28"/>
      <c r="FEY14" s="28"/>
      <c r="FEZ14" s="28"/>
      <c r="FFA14" s="28"/>
      <c r="FFB14" s="28"/>
      <c r="FFC14" s="28"/>
      <c r="FFD14" s="28"/>
      <c r="FFE14" s="28"/>
      <c r="FFF14" s="28"/>
      <c r="FFG14" s="28"/>
      <c r="FFH14" s="28"/>
      <c r="FFI14" s="28"/>
      <c r="FFJ14" s="28"/>
      <c r="FFK14" s="28"/>
      <c r="FFL14" s="28"/>
      <c r="FFM14" s="28"/>
      <c r="FFN14" s="28"/>
      <c r="FFO14" s="28"/>
      <c r="FFP14" s="28"/>
      <c r="FFQ14" s="28"/>
      <c r="FFR14" s="28"/>
      <c r="FFS14" s="28"/>
      <c r="FFT14" s="28"/>
      <c r="FFU14" s="28"/>
      <c r="FFV14" s="28"/>
      <c r="FFW14" s="28"/>
      <c r="FFX14" s="28"/>
      <c r="FFY14" s="28"/>
      <c r="FFZ14" s="28"/>
      <c r="FGA14" s="28"/>
      <c r="FGB14" s="28"/>
      <c r="FGC14" s="28"/>
      <c r="FGD14" s="28"/>
      <c r="FGE14" s="28"/>
      <c r="FGF14" s="28"/>
      <c r="FGG14" s="28"/>
      <c r="FGH14" s="28"/>
      <c r="FGI14" s="28"/>
      <c r="FGJ14" s="28"/>
      <c r="FGK14" s="28"/>
      <c r="FGL14" s="28"/>
      <c r="FGM14" s="28"/>
      <c r="FGN14" s="28"/>
      <c r="FGO14" s="28"/>
      <c r="FGP14" s="28"/>
      <c r="FGQ14" s="28"/>
      <c r="FGR14" s="28"/>
      <c r="FGS14" s="28"/>
      <c r="FGT14" s="28"/>
      <c r="FGU14" s="28"/>
      <c r="FGV14" s="28"/>
      <c r="FGW14" s="28"/>
      <c r="FGX14" s="28"/>
      <c r="FGY14" s="28"/>
      <c r="FGZ14" s="28"/>
      <c r="FHA14" s="28"/>
      <c r="FHB14" s="28"/>
      <c r="FHC14" s="28"/>
      <c r="FHD14" s="28"/>
      <c r="FHE14" s="28"/>
      <c r="FHF14" s="28"/>
      <c r="FHG14" s="28"/>
      <c r="FHH14" s="28"/>
      <c r="FHI14" s="28"/>
      <c r="FHJ14" s="28"/>
      <c r="FHK14" s="28"/>
      <c r="FHL14" s="28"/>
      <c r="FHM14" s="28"/>
      <c r="FHN14" s="28"/>
      <c r="FHO14" s="28"/>
      <c r="FHP14" s="28"/>
      <c r="FHQ14" s="28"/>
      <c r="FHR14" s="28"/>
      <c r="FHS14" s="28"/>
      <c r="FHT14" s="28"/>
      <c r="FHU14" s="28"/>
      <c r="FHV14" s="28"/>
      <c r="FHW14" s="28"/>
      <c r="FHX14" s="28"/>
      <c r="FHY14" s="28"/>
      <c r="FHZ14" s="28"/>
      <c r="FIA14" s="28"/>
      <c r="FIB14" s="28"/>
      <c r="FIC14" s="28"/>
      <c r="FID14" s="28"/>
      <c r="FIE14" s="28"/>
      <c r="FIF14" s="28"/>
      <c r="FIG14" s="28"/>
      <c r="FIH14" s="28"/>
      <c r="FII14" s="28"/>
      <c r="FIJ14" s="28"/>
      <c r="FIK14" s="28"/>
      <c r="FIL14" s="28"/>
      <c r="FIM14" s="28"/>
      <c r="FIN14" s="28"/>
      <c r="FIO14" s="28"/>
      <c r="FIP14" s="28"/>
      <c r="FIQ14" s="28"/>
      <c r="FIR14" s="28"/>
      <c r="FIS14" s="28"/>
      <c r="FIT14" s="28"/>
      <c r="FIU14" s="28"/>
      <c r="FIV14" s="28"/>
      <c r="FIW14" s="28"/>
      <c r="FIX14" s="28"/>
      <c r="FIY14" s="28"/>
      <c r="FIZ14" s="28"/>
      <c r="FJA14" s="28"/>
      <c r="FJB14" s="28"/>
      <c r="FJC14" s="28"/>
      <c r="FJD14" s="28"/>
      <c r="FJE14" s="28"/>
      <c r="FJF14" s="28"/>
      <c r="FJG14" s="28"/>
      <c r="FJH14" s="28"/>
      <c r="FJI14" s="28"/>
      <c r="FJJ14" s="28"/>
      <c r="FJK14" s="28"/>
      <c r="FJL14" s="28"/>
      <c r="FJM14" s="28"/>
      <c r="FJN14" s="28"/>
      <c r="FJO14" s="28"/>
      <c r="FJP14" s="28"/>
      <c r="FJQ14" s="28"/>
      <c r="FJR14" s="28"/>
      <c r="FJS14" s="28"/>
      <c r="FJT14" s="28"/>
      <c r="FJU14" s="28"/>
      <c r="FJV14" s="28"/>
      <c r="FJW14" s="28"/>
      <c r="FJX14" s="28"/>
      <c r="FJY14" s="28"/>
      <c r="FJZ14" s="28"/>
      <c r="FKA14" s="28"/>
      <c r="FKB14" s="28"/>
      <c r="FKC14" s="28"/>
      <c r="FKD14" s="28"/>
      <c r="FKE14" s="28"/>
      <c r="FKF14" s="28"/>
      <c r="FKG14" s="28"/>
      <c r="FKH14" s="28"/>
      <c r="FKI14" s="28"/>
      <c r="FKJ14" s="28"/>
      <c r="FKK14" s="28"/>
      <c r="FKL14" s="28"/>
      <c r="FKM14" s="28"/>
      <c r="FKN14" s="28"/>
      <c r="FKO14" s="28"/>
      <c r="FKP14" s="28"/>
      <c r="FKQ14" s="28"/>
      <c r="FKR14" s="28"/>
      <c r="FKS14" s="28"/>
      <c r="FKT14" s="28"/>
      <c r="FKU14" s="28"/>
      <c r="FKV14" s="28"/>
      <c r="FKW14" s="28"/>
      <c r="FKX14" s="28"/>
      <c r="FKY14" s="28"/>
      <c r="FKZ14" s="28"/>
      <c r="FLA14" s="28"/>
      <c r="FLB14" s="28"/>
      <c r="FLC14" s="28"/>
      <c r="FLD14" s="28"/>
      <c r="FLE14" s="28"/>
      <c r="FLF14" s="28"/>
      <c r="FLG14" s="28"/>
      <c r="FLH14" s="28"/>
      <c r="FLI14" s="28"/>
      <c r="FLJ14" s="28"/>
      <c r="FLK14" s="28"/>
      <c r="FLL14" s="28"/>
      <c r="FLM14" s="28"/>
      <c r="FLN14" s="28"/>
      <c r="FLO14" s="28"/>
      <c r="FLP14" s="28"/>
      <c r="FLQ14" s="28"/>
      <c r="FLR14" s="28"/>
      <c r="FLS14" s="28"/>
      <c r="FLT14" s="28"/>
      <c r="FLU14" s="28"/>
      <c r="FLV14" s="28"/>
      <c r="FLW14" s="28"/>
      <c r="FLX14" s="28"/>
      <c r="FLY14" s="28"/>
      <c r="FLZ14" s="28"/>
      <c r="FMA14" s="28"/>
      <c r="FMB14" s="28"/>
      <c r="FMC14" s="28"/>
      <c r="FMD14" s="28"/>
      <c r="FME14" s="28"/>
      <c r="FMF14" s="28"/>
      <c r="FMG14" s="28"/>
      <c r="FMH14" s="28"/>
      <c r="FMI14" s="28"/>
      <c r="FMJ14" s="28"/>
      <c r="FMK14" s="28"/>
      <c r="FML14" s="28"/>
      <c r="FMM14" s="28"/>
      <c r="FMN14" s="28"/>
      <c r="FMO14" s="28"/>
      <c r="FMP14" s="28"/>
      <c r="FMQ14" s="28"/>
      <c r="FMR14" s="28"/>
      <c r="FMS14" s="28"/>
      <c r="FMT14" s="28"/>
      <c r="FMU14" s="28"/>
      <c r="FMV14" s="28"/>
      <c r="FMW14" s="28"/>
      <c r="FMX14" s="28"/>
      <c r="FMY14" s="28"/>
      <c r="FMZ14" s="28"/>
      <c r="FNA14" s="28"/>
      <c r="FNB14" s="28"/>
      <c r="FNC14" s="28"/>
      <c r="FND14" s="28"/>
      <c r="FNE14" s="28"/>
      <c r="FNF14" s="28"/>
      <c r="FNG14" s="28"/>
      <c r="FNH14" s="28"/>
      <c r="FNI14" s="28"/>
      <c r="FNJ14" s="28"/>
      <c r="FNK14" s="28"/>
      <c r="FNL14" s="28"/>
      <c r="FNM14" s="28"/>
      <c r="FNN14" s="28"/>
      <c r="FNO14" s="28"/>
      <c r="FNP14" s="28"/>
      <c r="FNQ14" s="28"/>
      <c r="FNR14" s="28"/>
      <c r="FNS14" s="28"/>
      <c r="FNT14" s="28"/>
      <c r="FNU14" s="28"/>
      <c r="FNV14" s="28"/>
      <c r="FNW14" s="28"/>
      <c r="FNX14" s="28"/>
      <c r="FNY14" s="28"/>
      <c r="FNZ14" s="28"/>
      <c r="FOA14" s="28"/>
      <c r="FOB14" s="28"/>
      <c r="FOC14" s="28"/>
      <c r="FOD14" s="28"/>
      <c r="FOE14" s="28"/>
      <c r="FOF14" s="28"/>
      <c r="FOG14" s="28"/>
      <c r="FOH14" s="28"/>
      <c r="FOI14" s="28"/>
      <c r="FOJ14" s="28"/>
      <c r="FOK14" s="28"/>
      <c r="FOL14" s="28"/>
      <c r="FOM14" s="28"/>
      <c r="FON14" s="28"/>
      <c r="FOO14" s="28"/>
      <c r="FOP14" s="28"/>
      <c r="FOQ14" s="28"/>
      <c r="FOR14" s="28"/>
      <c r="FOS14" s="28"/>
      <c r="FOT14" s="28"/>
      <c r="FOU14" s="28"/>
      <c r="FOV14" s="28"/>
      <c r="FOW14" s="28"/>
      <c r="FOX14" s="28"/>
      <c r="FOY14" s="28"/>
      <c r="FOZ14" s="28"/>
      <c r="FPA14" s="28"/>
      <c r="FPB14" s="28"/>
      <c r="FPC14" s="28"/>
      <c r="FPD14" s="28"/>
      <c r="FPE14" s="28"/>
      <c r="FPF14" s="28"/>
      <c r="FPG14" s="28"/>
      <c r="FPH14" s="28"/>
      <c r="FPI14" s="28"/>
      <c r="FPJ14" s="28"/>
      <c r="FPK14" s="28"/>
      <c r="FPL14" s="28"/>
      <c r="FPM14" s="28"/>
      <c r="FPN14" s="28"/>
      <c r="FPO14" s="28"/>
      <c r="FPP14" s="28"/>
      <c r="FPQ14" s="28"/>
      <c r="FPR14" s="28"/>
      <c r="FPS14" s="28"/>
      <c r="FPT14" s="28"/>
      <c r="FPU14" s="28"/>
      <c r="FPV14" s="28"/>
      <c r="FPW14" s="28"/>
      <c r="FPX14" s="28"/>
      <c r="FPY14" s="28"/>
      <c r="FPZ14" s="28"/>
      <c r="FQA14" s="28"/>
      <c r="FQB14" s="28"/>
      <c r="FQC14" s="28"/>
      <c r="FQD14" s="28"/>
      <c r="FQE14" s="28"/>
      <c r="FQF14" s="28"/>
      <c r="FQG14" s="28"/>
      <c r="FQH14" s="28"/>
      <c r="FQI14" s="28"/>
      <c r="FQJ14" s="28"/>
      <c r="FQK14" s="28"/>
      <c r="FQL14" s="28"/>
      <c r="FQM14" s="28"/>
      <c r="FQN14" s="28"/>
      <c r="FQO14" s="28"/>
      <c r="FQP14" s="28"/>
      <c r="FQQ14" s="28"/>
      <c r="FQR14" s="28"/>
      <c r="FQS14" s="28"/>
      <c r="FQT14" s="28"/>
      <c r="FQU14" s="28"/>
      <c r="FQV14" s="28"/>
      <c r="FQW14" s="28"/>
      <c r="FQX14" s="28"/>
      <c r="FQY14" s="28"/>
      <c r="FQZ14" s="28"/>
      <c r="FRA14" s="28"/>
      <c r="FRB14" s="28"/>
      <c r="FRC14" s="28"/>
      <c r="FRD14" s="28"/>
      <c r="FRE14" s="28"/>
      <c r="FRF14" s="28"/>
      <c r="FRG14" s="28"/>
      <c r="FRH14" s="28"/>
      <c r="FRI14" s="28"/>
      <c r="FRJ14" s="28"/>
      <c r="FRK14" s="28"/>
      <c r="FRL14" s="28"/>
      <c r="FRM14" s="28"/>
      <c r="FRN14" s="28"/>
      <c r="FRO14" s="28"/>
      <c r="FRP14" s="28"/>
      <c r="FRQ14" s="28"/>
      <c r="FRR14" s="28"/>
      <c r="FRS14" s="28"/>
      <c r="FRT14" s="28"/>
      <c r="FRU14" s="28"/>
      <c r="FRV14" s="28"/>
      <c r="FRW14" s="28"/>
      <c r="FRX14" s="28"/>
      <c r="FRY14" s="28"/>
      <c r="FRZ14" s="28"/>
      <c r="FSA14" s="28"/>
      <c r="FSB14" s="28"/>
      <c r="FSC14" s="28"/>
      <c r="FSD14" s="28"/>
      <c r="FSE14" s="28"/>
      <c r="FSF14" s="28"/>
      <c r="FSG14" s="28"/>
      <c r="FSH14" s="28"/>
      <c r="FSI14" s="28"/>
      <c r="FSJ14" s="28"/>
      <c r="FSK14" s="28"/>
      <c r="FSL14" s="28"/>
      <c r="FSM14" s="28"/>
      <c r="FSN14" s="28"/>
      <c r="FSO14" s="28"/>
      <c r="FSP14" s="28"/>
      <c r="FSQ14" s="28"/>
      <c r="FSR14" s="28"/>
      <c r="FSS14" s="28"/>
      <c r="FST14" s="28"/>
      <c r="FSU14" s="28"/>
      <c r="FSV14" s="28"/>
      <c r="FSW14" s="28"/>
      <c r="FSX14" s="28"/>
      <c r="FSY14" s="28"/>
      <c r="FSZ14" s="28"/>
      <c r="FTA14" s="28"/>
      <c r="FTB14" s="28"/>
      <c r="FTC14" s="28"/>
      <c r="FTD14" s="28"/>
      <c r="FTE14" s="28"/>
      <c r="FTF14" s="28"/>
      <c r="FTG14" s="28"/>
      <c r="FTH14" s="28"/>
      <c r="FTI14" s="28"/>
      <c r="FTJ14" s="28"/>
      <c r="FTK14" s="28"/>
      <c r="FTL14" s="28"/>
      <c r="FTM14" s="28"/>
      <c r="FTN14" s="28"/>
      <c r="FTO14" s="28"/>
      <c r="FTP14" s="28"/>
      <c r="FTQ14" s="28"/>
      <c r="FTR14" s="28"/>
      <c r="FTS14" s="28"/>
      <c r="FTT14" s="28"/>
      <c r="FTU14" s="28"/>
      <c r="FTV14" s="28"/>
      <c r="FTW14" s="28"/>
      <c r="FTX14" s="28"/>
      <c r="FTY14" s="28"/>
      <c r="FTZ14" s="28"/>
      <c r="FUA14" s="28"/>
      <c r="FUB14" s="28"/>
      <c r="FUC14" s="28"/>
      <c r="FUD14" s="28"/>
      <c r="FUE14" s="28"/>
      <c r="FUF14" s="28"/>
      <c r="FUG14" s="28"/>
      <c r="FUH14" s="28"/>
      <c r="FUI14" s="28"/>
      <c r="FUJ14" s="28"/>
      <c r="FUK14" s="28"/>
      <c r="FUL14" s="28"/>
      <c r="FUM14" s="28"/>
      <c r="FUN14" s="28"/>
      <c r="FUO14" s="28"/>
      <c r="FUP14" s="28"/>
      <c r="FUQ14" s="28"/>
      <c r="FUR14" s="28"/>
      <c r="FUS14" s="28"/>
      <c r="FUT14" s="28"/>
      <c r="FUU14" s="28"/>
      <c r="FUV14" s="28"/>
      <c r="FUW14" s="28"/>
      <c r="FUX14" s="28"/>
      <c r="FUY14" s="28"/>
      <c r="FUZ14" s="28"/>
      <c r="FVA14" s="28"/>
      <c r="FVB14" s="28"/>
      <c r="FVC14" s="28"/>
      <c r="FVD14" s="28"/>
      <c r="FVE14" s="28"/>
      <c r="FVF14" s="28"/>
      <c r="FVG14" s="28"/>
      <c r="FVH14" s="28"/>
      <c r="FVI14" s="28"/>
      <c r="FVJ14" s="28"/>
      <c r="FVK14" s="28"/>
      <c r="FVL14" s="28"/>
      <c r="FVM14" s="28"/>
      <c r="FVN14" s="28"/>
      <c r="FVO14" s="28"/>
      <c r="FVP14" s="28"/>
      <c r="FVQ14" s="28"/>
      <c r="FVR14" s="28"/>
      <c r="FVS14" s="28"/>
      <c r="FVT14" s="28"/>
      <c r="FVU14" s="28"/>
      <c r="FVV14" s="28"/>
      <c r="FVW14" s="28"/>
      <c r="FVX14" s="28"/>
      <c r="FVY14" s="28"/>
      <c r="FVZ14" s="28"/>
      <c r="FWA14" s="28"/>
      <c r="FWB14" s="28"/>
      <c r="FWC14" s="28"/>
      <c r="FWD14" s="28"/>
      <c r="FWE14" s="28"/>
      <c r="FWF14" s="28"/>
      <c r="FWG14" s="28"/>
      <c r="FWH14" s="28"/>
      <c r="FWI14" s="28"/>
      <c r="FWJ14" s="28"/>
      <c r="FWK14" s="28"/>
      <c r="FWL14" s="28"/>
      <c r="FWM14" s="28"/>
      <c r="FWN14" s="28"/>
      <c r="FWO14" s="28"/>
      <c r="FWP14" s="28"/>
      <c r="FWQ14" s="28"/>
      <c r="FWR14" s="28"/>
      <c r="FWS14" s="28"/>
      <c r="FWT14" s="28"/>
      <c r="FWU14" s="28"/>
      <c r="FWV14" s="28"/>
      <c r="FWW14" s="28"/>
      <c r="FWX14" s="28"/>
      <c r="FWY14" s="28"/>
      <c r="FWZ14" s="28"/>
      <c r="FXA14" s="28"/>
      <c r="FXB14" s="28"/>
      <c r="FXC14" s="28"/>
      <c r="FXD14" s="28"/>
      <c r="FXE14" s="28"/>
      <c r="FXF14" s="28"/>
      <c r="FXG14" s="28"/>
      <c r="FXH14" s="28"/>
      <c r="FXI14" s="28"/>
      <c r="FXJ14" s="28"/>
      <c r="FXK14" s="28"/>
      <c r="FXL14" s="28"/>
      <c r="FXM14" s="28"/>
      <c r="FXN14" s="28"/>
      <c r="FXO14" s="28"/>
      <c r="FXP14" s="28"/>
      <c r="FXQ14" s="28"/>
      <c r="FXR14" s="28"/>
      <c r="FXS14" s="28"/>
      <c r="FXT14" s="28"/>
      <c r="FXU14" s="28"/>
      <c r="FXV14" s="28"/>
      <c r="FXW14" s="28"/>
      <c r="FXX14" s="28"/>
      <c r="FXY14" s="28"/>
      <c r="FXZ14" s="28"/>
      <c r="FYA14" s="28"/>
      <c r="FYB14" s="28"/>
      <c r="FYC14" s="28"/>
      <c r="FYD14" s="28"/>
      <c r="FYE14" s="28"/>
      <c r="FYF14" s="28"/>
      <c r="FYG14" s="28"/>
      <c r="FYH14" s="28"/>
      <c r="FYI14" s="28"/>
      <c r="FYJ14" s="28"/>
      <c r="FYK14" s="28"/>
      <c r="FYL14" s="28"/>
      <c r="FYM14" s="28"/>
      <c r="FYN14" s="28"/>
      <c r="FYO14" s="28"/>
      <c r="FYP14" s="28"/>
      <c r="FYQ14" s="28"/>
      <c r="FYR14" s="28"/>
      <c r="FYS14" s="28"/>
      <c r="FYT14" s="28"/>
      <c r="FYU14" s="28"/>
      <c r="FYV14" s="28"/>
      <c r="FYW14" s="28"/>
      <c r="FYX14" s="28"/>
      <c r="FYY14" s="28"/>
      <c r="FYZ14" s="28"/>
      <c r="FZA14" s="28"/>
      <c r="FZB14" s="28"/>
      <c r="FZC14" s="28"/>
      <c r="FZD14" s="28"/>
      <c r="FZE14" s="28"/>
      <c r="FZF14" s="28"/>
      <c r="FZG14" s="28"/>
      <c r="FZH14" s="28"/>
      <c r="FZI14" s="28"/>
      <c r="FZJ14" s="28"/>
      <c r="FZK14" s="28"/>
      <c r="FZL14" s="28"/>
      <c r="FZM14" s="28"/>
      <c r="FZN14" s="28"/>
      <c r="FZO14" s="28"/>
      <c r="FZP14" s="28"/>
      <c r="FZQ14" s="28"/>
      <c r="FZR14" s="28"/>
      <c r="FZS14" s="28"/>
      <c r="FZT14" s="28"/>
      <c r="FZU14" s="28"/>
      <c r="FZV14" s="28"/>
      <c r="FZW14" s="28"/>
      <c r="FZX14" s="28"/>
      <c r="FZY14" s="28"/>
      <c r="FZZ14" s="28"/>
      <c r="GAA14" s="28"/>
      <c r="GAB14" s="28"/>
      <c r="GAC14" s="28"/>
      <c r="GAD14" s="28"/>
      <c r="GAE14" s="28"/>
      <c r="GAF14" s="28"/>
      <c r="GAG14" s="28"/>
      <c r="GAH14" s="28"/>
      <c r="GAI14" s="28"/>
      <c r="GAJ14" s="28"/>
      <c r="GAK14" s="28"/>
      <c r="GAL14" s="28"/>
      <c r="GAM14" s="28"/>
      <c r="GAN14" s="28"/>
      <c r="GAO14" s="28"/>
      <c r="GAP14" s="28"/>
      <c r="GAQ14" s="28"/>
      <c r="GAR14" s="28"/>
      <c r="GAS14" s="28"/>
      <c r="GAT14" s="28"/>
      <c r="GAU14" s="28"/>
      <c r="GAV14" s="28"/>
      <c r="GAW14" s="28"/>
      <c r="GAX14" s="28"/>
      <c r="GAY14" s="28"/>
      <c r="GAZ14" s="28"/>
      <c r="GBA14" s="28"/>
      <c r="GBB14" s="28"/>
      <c r="GBC14" s="28"/>
      <c r="GBD14" s="28"/>
      <c r="GBE14" s="28"/>
      <c r="GBF14" s="28"/>
      <c r="GBG14" s="28"/>
      <c r="GBH14" s="28"/>
      <c r="GBI14" s="28"/>
      <c r="GBJ14" s="28"/>
      <c r="GBK14" s="28"/>
      <c r="GBL14" s="28"/>
      <c r="GBM14" s="28"/>
      <c r="GBN14" s="28"/>
      <c r="GBO14" s="28"/>
      <c r="GBP14" s="28"/>
      <c r="GBQ14" s="28"/>
      <c r="GBR14" s="28"/>
      <c r="GBS14" s="28"/>
      <c r="GBT14" s="28"/>
      <c r="GBU14" s="28"/>
      <c r="GBV14" s="28"/>
      <c r="GBW14" s="28"/>
      <c r="GBX14" s="28"/>
      <c r="GBY14" s="28"/>
      <c r="GBZ14" s="28"/>
      <c r="GCA14" s="28"/>
      <c r="GCB14" s="28"/>
      <c r="GCC14" s="28"/>
      <c r="GCD14" s="28"/>
      <c r="GCE14" s="28"/>
      <c r="GCF14" s="28"/>
      <c r="GCG14" s="28"/>
      <c r="GCH14" s="28"/>
      <c r="GCI14" s="28"/>
      <c r="GCJ14" s="28"/>
      <c r="GCK14" s="28"/>
      <c r="GCL14" s="28"/>
      <c r="GCM14" s="28"/>
      <c r="GCN14" s="28"/>
      <c r="GCO14" s="28"/>
      <c r="GCP14" s="28"/>
      <c r="GCQ14" s="28"/>
      <c r="GCR14" s="28"/>
      <c r="GCS14" s="28"/>
      <c r="GCT14" s="28"/>
      <c r="GCU14" s="28"/>
      <c r="GCV14" s="28"/>
      <c r="GCW14" s="28"/>
      <c r="GCX14" s="28"/>
      <c r="GCY14" s="28"/>
      <c r="GCZ14" s="28"/>
      <c r="GDA14" s="28"/>
      <c r="GDB14" s="28"/>
      <c r="GDC14" s="28"/>
      <c r="GDD14" s="28"/>
      <c r="GDE14" s="28"/>
      <c r="GDF14" s="28"/>
      <c r="GDG14" s="28"/>
      <c r="GDH14" s="28"/>
      <c r="GDI14" s="28"/>
      <c r="GDJ14" s="28"/>
      <c r="GDK14" s="28"/>
      <c r="GDL14" s="28"/>
      <c r="GDM14" s="28"/>
      <c r="GDN14" s="28"/>
      <c r="GDO14" s="28"/>
      <c r="GDP14" s="28"/>
      <c r="GDQ14" s="28"/>
      <c r="GDR14" s="28"/>
      <c r="GDS14" s="28"/>
      <c r="GDT14" s="28"/>
      <c r="GDU14" s="28"/>
      <c r="GDV14" s="28"/>
      <c r="GDW14" s="28"/>
      <c r="GDX14" s="28"/>
      <c r="GDY14" s="28"/>
      <c r="GDZ14" s="28"/>
      <c r="GEA14" s="28"/>
      <c r="GEB14" s="28"/>
      <c r="GEC14" s="28"/>
      <c r="GED14" s="28"/>
      <c r="GEE14" s="28"/>
      <c r="GEF14" s="28"/>
      <c r="GEG14" s="28"/>
      <c r="GEH14" s="28"/>
      <c r="GEI14" s="28"/>
      <c r="GEJ14" s="28"/>
      <c r="GEK14" s="28"/>
      <c r="GEL14" s="28"/>
      <c r="GEM14" s="28"/>
      <c r="GEN14" s="28"/>
      <c r="GEO14" s="28"/>
      <c r="GEP14" s="28"/>
      <c r="GEQ14" s="28"/>
      <c r="GER14" s="28"/>
      <c r="GES14" s="28"/>
      <c r="GET14" s="28"/>
      <c r="GEU14" s="28"/>
      <c r="GEV14" s="28"/>
      <c r="GEW14" s="28"/>
      <c r="GEX14" s="28"/>
      <c r="GEY14" s="28"/>
      <c r="GEZ14" s="28"/>
      <c r="GFA14" s="28"/>
      <c r="GFB14" s="28"/>
      <c r="GFC14" s="28"/>
      <c r="GFD14" s="28"/>
      <c r="GFE14" s="28"/>
      <c r="GFF14" s="28"/>
      <c r="GFG14" s="28"/>
      <c r="GFH14" s="28"/>
      <c r="GFI14" s="28"/>
      <c r="GFJ14" s="28"/>
      <c r="GFK14" s="28"/>
      <c r="GFL14" s="28"/>
      <c r="GFM14" s="28"/>
      <c r="GFN14" s="28"/>
      <c r="GFO14" s="28"/>
      <c r="GFP14" s="28"/>
      <c r="GFQ14" s="28"/>
      <c r="GFR14" s="28"/>
      <c r="GFS14" s="28"/>
      <c r="GFT14" s="28"/>
      <c r="GFU14" s="28"/>
      <c r="GFV14" s="28"/>
      <c r="GFW14" s="28"/>
      <c r="GFX14" s="28"/>
      <c r="GFY14" s="28"/>
      <c r="GFZ14" s="28"/>
      <c r="GGA14" s="28"/>
      <c r="GGB14" s="28"/>
      <c r="GGC14" s="28"/>
      <c r="GGD14" s="28"/>
      <c r="GGE14" s="28"/>
      <c r="GGF14" s="28"/>
      <c r="GGG14" s="28"/>
      <c r="GGH14" s="28"/>
      <c r="GGI14" s="28"/>
      <c r="GGJ14" s="28"/>
      <c r="GGK14" s="28"/>
      <c r="GGL14" s="28"/>
      <c r="GGM14" s="28"/>
      <c r="GGN14" s="28"/>
      <c r="GGO14" s="28"/>
      <c r="GGP14" s="28"/>
      <c r="GGQ14" s="28"/>
      <c r="GGR14" s="28"/>
      <c r="GGS14" s="28"/>
      <c r="GGT14" s="28"/>
      <c r="GGU14" s="28"/>
      <c r="GGV14" s="28"/>
      <c r="GGW14" s="28"/>
      <c r="GGX14" s="28"/>
      <c r="GGY14" s="28"/>
      <c r="GGZ14" s="28"/>
      <c r="GHA14" s="28"/>
      <c r="GHB14" s="28"/>
      <c r="GHC14" s="28"/>
      <c r="GHD14" s="28"/>
      <c r="GHE14" s="28"/>
      <c r="GHF14" s="28"/>
      <c r="GHG14" s="28"/>
      <c r="GHH14" s="28"/>
      <c r="GHI14" s="28"/>
      <c r="GHJ14" s="28"/>
      <c r="GHK14" s="28"/>
      <c r="GHL14" s="28"/>
      <c r="GHM14" s="28"/>
      <c r="GHN14" s="28"/>
      <c r="GHO14" s="28"/>
      <c r="GHP14" s="28"/>
      <c r="GHQ14" s="28"/>
      <c r="GHR14" s="28"/>
      <c r="GHS14" s="28"/>
      <c r="GHT14" s="28"/>
      <c r="GHU14" s="28"/>
      <c r="GHV14" s="28"/>
      <c r="GHW14" s="28"/>
      <c r="GHX14" s="28"/>
      <c r="GHY14" s="28"/>
      <c r="GHZ14" s="28"/>
      <c r="GIA14" s="28"/>
      <c r="GIB14" s="28"/>
      <c r="GIC14" s="28"/>
      <c r="GID14" s="28"/>
      <c r="GIE14" s="28"/>
      <c r="GIF14" s="28"/>
      <c r="GIG14" s="28"/>
      <c r="GIH14" s="28"/>
      <c r="GII14" s="28"/>
      <c r="GIJ14" s="28"/>
      <c r="GIK14" s="28"/>
      <c r="GIL14" s="28"/>
      <c r="GIM14" s="28"/>
      <c r="GIN14" s="28"/>
      <c r="GIO14" s="28"/>
      <c r="GIP14" s="28"/>
      <c r="GIQ14" s="28"/>
      <c r="GIR14" s="28"/>
      <c r="GIS14" s="28"/>
      <c r="GIT14" s="28"/>
      <c r="GIU14" s="28"/>
      <c r="GIV14" s="28"/>
      <c r="GIW14" s="28"/>
      <c r="GIX14" s="28"/>
      <c r="GIY14" s="28"/>
      <c r="GIZ14" s="28"/>
      <c r="GJA14" s="28"/>
      <c r="GJB14" s="28"/>
      <c r="GJC14" s="28"/>
      <c r="GJD14" s="28"/>
      <c r="GJE14" s="28"/>
      <c r="GJF14" s="28"/>
      <c r="GJG14" s="28"/>
      <c r="GJH14" s="28"/>
      <c r="GJI14" s="28"/>
      <c r="GJJ14" s="28"/>
      <c r="GJK14" s="28"/>
      <c r="GJL14" s="28"/>
      <c r="GJM14" s="28"/>
      <c r="GJN14" s="28"/>
      <c r="GJO14" s="28"/>
      <c r="GJP14" s="28"/>
      <c r="GJQ14" s="28"/>
      <c r="GJR14" s="28"/>
      <c r="GJS14" s="28"/>
      <c r="GJT14" s="28"/>
      <c r="GJU14" s="28"/>
      <c r="GJV14" s="28"/>
      <c r="GJW14" s="28"/>
      <c r="GJX14" s="28"/>
      <c r="GJY14" s="28"/>
      <c r="GJZ14" s="28"/>
      <c r="GKA14" s="28"/>
      <c r="GKB14" s="28"/>
      <c r="GKC14" s="28"/>
      <c r="GKD14" s="28"/>
      <c r="GKE14" s="28"/>
      <c r="GKF14" s="28"/>
      <c r="GKG14" s="28"/>
      <c r="GKH14" s="28"/>
      <c r="GKI14" s="28"/>
      <c r="GKJ14" s="28"/>
      <c r="GKK14" s="28"/>
      <c r="GKL14" s="28"/>
      <c r="GKM14" s="28"/>
      <c r="GKN14" s="28"/>
      <c r="GKO14" s="28"/>
      <c r="GKP14" s="28"/>
      <c r="GKQ14" s="28"/>
      <c r="GKR14" s="28"/>
      <c r="GKS14" s="28"/>
      <c r="GKT14" s="28"/>
      <c r="GKU14" s="28"/>
      <c r="GKV14" s="28"/>
      <c r="GKW14" s="28"/>
      <c r="GKX14" s="28"/>
      <c r="GKY14" s="28"/>
      <c r="GKZ14" s="28"/>
      <c r="GLA14" s="28"/>
      <c r="GLB14" s="28"/>
      <c r="GLC14" s="28"/>
      <c r="GLD14" s="28"/>
      <c r="GLE14" s="28"/>
      <c r="GLF14" s="28"/>
      <c r="GLG14" s="28"/>
      <c r="GLH14" s="28"/>
      <c r="GLI14" s="28"/>
      <c r="GLJ14" s="28"/>
      <c r="GLK14" s="28"/>
      <c r="GLL14" s="28"/>
      <c r="GLM14" s="28"/>
      <c r="GLN14" s="28"/>
      <c r="GLO14" s="28"/>
      <c r="GLP14" s="28"/>
      <c r="GLQ14" s="28"/>
      <c r="GLR14" s="28"/>
      <c r="GLS14" s="28"/>
      <c r="GLT14" s="28"/>
      <c r="GLU14" s="28"/>
      <c r="GLV14" s="28"/>
      <c r="GLW14" s="28"/>
      <c r="GLX14" s="28"/>
      <c r="GLY14" s="28"/>
      <c r="GLZ14" s="28"/>
      <c r="GMA14" s="28"/>
      <c r="GMB14" s="28"/>
      <c r="GMC14" s="28"/>
      <c r="GMD14" s="28"/>
      <c r="GME14" s="28"/>
      <c r="GMF14" s="28"/>
      <c r="GMG14" s="28"/>
      <c r="GMH14" s="28"/>
      <c r="GMI14" s="28"/>
      <c r="GMJ14" s="28"/>
      <c r="GMK14" s="28"/>
      <c r="GML14" s="28"/>
      <c r="GMM14" s="28"/>
      <c r="GMN14" s="28"/>
      <c r="GMO14" s="28"/>
      <c r="GMP14" s="28"/>
      <c r="GMQ14" s="28"/>
      <c r="GMR14" s="28"/>
      <c r="GMS14" s="28"/>
      <c r="GMT14" s="28"/>
      <c r="GMU14" s="28"/>
      <c r="GMV14" s="28"/>
      <c r="GMW14" s="28"/>
      <c r="GMX14" s="28"/>
      <c r="GMY14" s="28"/>
      <c r="GMZ14" s="28"/>
      <c r="GNA14" s="28"/>
      <c r="GNB14" s="28"/>
      <c r="GNC14" s="28"/>
      <c r="GND14" s="28"/>
      <c r="GNE14" s="28"/>
      <c r="GNF14" s="28"/>
      <c r="GNG14" s="28"/>
      <c r="GNH14" s="28"/>
      <c r="GNI14" s="28"/>
      <c r="GNJ14" s="28"/>
      <c r="GNK14" s="28"/>
      <c r="GNL14" s="28"/>
      <c r="GNM14" s="28"/>
      <c r="GNN14" s="28"/>
      <c r="GNO14" s="28"/>
      <c r="GNP14" s="28"/>
      <c r="GNQ14" s="28"/>
      <c r="GNR14" s="28"/>
      <c r="GNS14" s="28"/>
      <c r="GNT14" s="28"/>
      <c r="GNU14" s="28"/>
      <c r="GNV14" s="28"/>
      <c r="GNW14" s="28"/>
      <c r="GNX14" s="28"/>
      <c r="GNY14" s="28"/>
      <c r="GNZ14" s="28"/>
      <c r="GOA14" s="28"/>
      <c r="GOB14" s="28"/>
      <c r="GOC14" s="28"/>
      <c r="GOD14" s="28"/>
      <c r="GOE14" s="28"/>
      <c r="GOF14" s="28"/>
      <c r="GOG14" s="28"/>
      <c r="GOH14" s="28"/>
      <c r="GOI14" s="28"/>
      <c r="GOJ14" s="28"/>
      <c r="GOK14" s="28"/>
      <c r="GOL14" s="28"/>
      <c r="GOM14" s="28"/>
      <c r="GON14" s="28"/>
      <c r="GOO14" s="28"/>
      <c r="GOP14" s="28"/>
      <c r="GOQ14" s="28"/>
      <c r="GOR14" s="28"/>
      <c r="GOS14" s="28"/>
      <c r="GOT14" s="28"/>
      <c r="GOU14" s="28"/>
      <c r="GOV14" s="28"/>
      <c r="GOW14" s="28"/>
      <c r="GOX14" s="28"/>
      <c r="GOY14" s="28"/>
      <c r="GOZ14" s="28"/>
      <c r="GPA14" s="28"/>
      <c r="GPB14" s="28"/>
      <c r="GPC14" s="28"/>
      <c r="GPD14" s="28"/>
      <c r="GPE14" s="28"/>
      <c r="GPF14" s="28"/>
      <c r="GPG14" s="28"/>
      <c r="GPH14" s="28"/>
      <c r="GPI14" s="28"/>
      <c r="GPJ14" s="28"/>
      <c r="GPK14" s="28"/>
      <c r="GPL14" s="28"/>
      <c r="GPM14" s="28"/>
      <c r="GPN14" s="28"/>
      <c r="GPO14" s="28"/>
      <c r="GPP14" s="28"/>
      <c r="GPQ14" s="28"/>
      <c r="GPR14" s="28"/>
      <c r="GPS14" s="28"/>
      <c r="GPT14" s="28"/>
      <c r="GPU14" s="28"/>
      <c r="GPV14" s="28"/>
      <c r="GPW14" s="28"/>
      <c r="GPX14" s="28"/>
      <c r="GPY14" s="28"/>
      <c r="GPZ14" s="28"/>
      <c r="GQA14" s="28"/>
      <c r="GQB14" s="28"/>
      <c r="GQC14" s="28"/>
      <c r="GQD14" s="28"/>
      <c r="GQE14" s="28"/>
      <c r="GQF14" s="28"/>
      <c r="GQG14" s="28"/>
      <c r="GQH14" s="28"/>
      <c r="GQI14" s="28"/>
      <c r="GQJ14" s="28"/>
      <c r="GQK14" s="28"/>
      <c r="GQL14" s="28"/>
      <c r="GQM14" s="28"/>
      <c r="GQN14" s="28"/>
      <c r="GQO14" s="28"/>
      <c r="GQP14" s="28"/>
      <c r="GQQ14" s="28"/>
      <c r="GQR14" s="28"/>
      <c r="GQS14" s="28"/>
      <c r="GQT14" s="28"/>
      <c r="GQU14" s="28"/>
      <c r="GQV14" s="28"/>
      <c r="GQW14" s="28"/>
      <c r="GQX14" s="28"/>
      <c r="GQY14" s="28"/>
      <c r="GQZ14" s="28"/>
      <c r="GRA14" s="28"/>
      <c r="GRB14" s="28"/>
      <c r="GRC14" s="28"/>
      <c r="GRD14" s="28"/>
      <c r="GRE14" s="28"/>
      <c r="GRF14" s="28"/>
      <c r="GRG14" s="28"/>
      <c r="GRH14" s="28"/>
      <c r="GRI14" s="28"/>
      <c r="GRJ14" s="28"/>
      <c r="GRK14" s="28"/>
      <c r="GRL14" s="28"/>
      <c r="GRM14" s="28"/>
      <c r="GRN14" s="28"/>
      <c r="GRO14" s="28"/>
      <c r="GRP14" s="28"/>
      <c r="GRQ14" s="28"/>
      <c r="GRR14" s="28"/>
      <c r="GRS14" s="28"/>
      <c r="GRT14" s="28"/>
      <c r="GRU14" s="28"/>
      <c r="GRV14" s="28"/>
      <c r="GRW14" s="28"/>
      <c r="GRX14" s="28"/>
      <c r="GRY14" s="28"/>
      <c r="GRZ14" s="28"/>
      <c r="GSA14" s="28"/>
      <c r="GSB14" s="28"/>
      <c r="GSC14" s="28"/>
      <c r="GSD14" s="28"/>
      <c r="GSE14" s="28"/>
      <c r="GSF14" s="28"/>
      <c r="GSG14" s="28"/>
      <c r="GSH14" s="28"/>
      <c r="GSI14" s="28"/>
      <c r="GSJ14" s="28"/>
      <c r="GSK14" s="28"/>
      <c r="GSL14" s="28"/>
      <c r="GSM14" s="28"/>
      <c r="GSN14" s="28"/>
      <c r="GSO14" s="28"/>
      <c r="GSP14" s="28"/>
      <c r="GSQ14" s="28"/>
      <c r="GSR14" s="28"/>
      <c r="GSS14" s="28"/>
      <c r="GST14" s="28"/>
      <c r="GSU14" s="28"/>
      <c r="GSV14" s="28"/>
      <c r="GSW14" s="28"/>
      <c r="GSX14" s="28"/>
      <c r="GSY14" s="28"/>
      <c r="GSZ14" s="28"/>
      <c r="GTA14" s="28"/>
      <c r="GTB14" s="28"/>
      <c r="GTC14" s="28"/>
      <c r="GTD14" s="28"/>
      <c r="GTE14" s="28"/>
      <c r="GTF14" s="28"/>
      <c r="GTG14" s="28"/>
      <c r="GTH14" s="28"/>
      <c r="GTI14" s="28"/>
      <c r="GTJ14" s="28"/>
      <c r="GTK14" s="28"/>
      <c r="GTL14" s="28"/>
      <c r="GTM14" s="28"/>
      <c r="GTN14" s="28"/>
      <c r="GTO14" s="28"/>
      <c r="GTP14" s="28"/>
      <c r="GTQ14" s="28"/>
      <c r="GTR14" s="28"/>
      <c r="GTS14" s="28"/>
      <c r="GTT14" s="28"/>
      <c r="GTU14" s="28"/>
      <c r="GTV14" s="28"/>
      <c r="GTW14" s="28"/>
      <c r="GTX14" s="28"/>
      <c r="GTY14" s="28"/>
      <c r="GTZ14" s="28"/>
      <c r="GUA14" s="28"/>
      <c r="GUB14" s="28"/>
      <c r="GUC14" s="28"/>
      <c r="GUD14" s="28"/>
      <c r="GUE14" s="28"/>
      <c r="GUF14" s="28"/>
      <c r="GUG14" s="28"/>
      <c r="GUH14" s="28"/>
      <c r="GUI14" s="28"/>
      <c r="GUJ14" s="28"/>
      <c r="GUK14" s="28"/>
      <c r="GUL14" s="28"/>
      <c r="GUM14" s="28"/>
      <c r="GUN14" s="28"/>
      <c r="GUO14" s="28"/>
      <c r="GUP14" s="28"/>
      <c r="GUQ14" s="28"/>
      <c r="GUR14" s="28"/>
      <c r="GUS14" s="28"/>
      <c r="GUT14" s="28"/>
      <c r="GUU14" s="28"/>
      <c r="GUV14" s="28"/>
      <c r="GUW14" s="28"/>
      <c r="GUX14" s="28"/>
      <c r="GUY14" s="28"/>
      <c r="GUZ14" s="28"/>
      <c r="GVA14" s="28"/>
      <c r="GVB14" s="28"/>
      <c r="GVC14" s="28"/>
      <c r="GVD14" s="28"/>
      <c r="GVE14" s="28"/>
      <c r="GVF14" s="28"/>
      <c r="GVG14" s="28"/>
      <c r="GVH14" s="28"/>
      <c r="GVI14" s="28"/>
      <c r="GVJ14" s="28"/>
      <c r="GVK14" s="28"/>
      <c r="GVL14" s="28"/>
      <c r="GVM14" s="28"/>
      <c r="GVN14" s="28"/>
      <c r="GVO14" s="28"/>
      <c r="GVP14" s="28"/>
      <c r="GVQ14" s="28"/>
      <c r="GVR14" s="28"/>
      <c r="GVS14" s="28"/>
      <c r="GVT14" s="28"/>
      <c r="GVU14" s="28"/>
      <c r="GVV14" s="28"/>
      <c r="GVW14" s="28"/>
      <c r="GVX14" s="28"/>
      <c r="GVY14" s="28"/>
      <c r="GVZ14" s="28"/>
      <c r="GWA14" s="28"/>
      <c r="GWB14" s="28"/>
      <c r="GWC14" s="28"/>
      <c r="GWD14" s="28"/>
      <c r="GWE14" s="28"/>
      <c r="GWF14" s="28"/>
      <c r="GWG14" s="28"/>
      <c r="GWH14" s="28"/>
      <c r="GWI14" s="28"/>
      <c r="GWJ14" s="28"/>
      <c r="GWK14" s="28"/>
      <c r="GWL14" s="28"/>
      <c r="GWM14" s="28"/>
      <c r="GWN14" s="28"/>
      <c r="GWO14" s="28"/>
      <c r="GWP14" s="28"/>
      <c r="GWQ14" s="28"/>
      <c r="GWR14" s="28"/>
      <c r="GWS14" s="28"/>
      <c r="GWT14" s="28"/>
      <c r="GWU14" s="28"/>
      <c r="GWV14" s="28"/>
      <c r="GWW14" s="28"/>
      <c r="GWX14" s="28"/>
      <c r="GWY14" s="28"/>
      <c r="GWZ14" s="28"/>
      <c r="GXA14" s="28"/>
      <c r="GXB14" s="28"/>
      <c r="GXC14" s="28"/>
      <c r="GXD14" s="28"/>
      <c r="GXE14" s="28"/>
      <c r="GXF14" s="28"/>
      <c r="GXG14" s="28"/>
      <c r="GXH14" s="28"/>
      <c r="GXI14" s="28"/>
      <c r="GXJ14" s="28"/>
      <c r="GXK14" s="28"/>
      <c r="GXL14" s="28"/>
      <c r="GXM14" s="28"/>
      <c r="GXN14" s="28"/>
      <c r="GXO14" s="28"/>
      <c r="GXP14" s="28"/>
      <c r="GXQ14" s="28"/>
      <c r="GXR14" s="28"/>
      <c r="GXS14" s="28"/>
      <c r="GXT14" s="28"/>
      <c r="GXU14" s="28"/>
      <c r="GXV14" s="28"/>
      <c r="GXW14" s="28"/>
      <c r="GXX14" s="28"/>
      <c r="GXY14" s="28"/>
      <c r="GXZ14" s="28"/>
      <c r="GYA14" s="28"/>
      <c r="GYB14" s="28"/>
      <c r="GYC14" s="28"/>
      <c r="GYD14" s="28"/>
      <c r="GYE14" s="28"/>
      <c r="GYF14" s="28"/>
      <c r="GYG14" s="28"/>
      <c r="GYH14" s="28"/>
      <c r="GYI14" s="28"/>
      <c r="GYJ14" s="28"/>
      <c r="GYK14" s="28"/>
      <c r="GYL14" s="28"/>
      <c r="GYM14" s="28"/>
      <c r="GYN14" s="28"/>
      <c r="GYO14" s="28"/>
      <c r="GYP14" s="28"/>
      <c r="GYQ14" s="28"/>
      <c r="GYR14" s="28"/>
      <c r="GYS14" s="28"/>
      <c r="GYT14" s="28"/>
      <c r="GYU14" s="28"/>
      <c r="GYV14" s="28"/>
      <c r="GYW14" s="28"/>
      <c r="GYX14" s="28"/>
      <c r="GYY14" s="28"/>
      <c r="GYZ14" s="28"/>
      <c r="GZA14" s="28"/>
      <c r="GZB14" s="28"/>
      <c r="GZC14" s="28"/>
      <c r="GZD14" s="28"/>
      <c r="GZE14" s="28"/>
      <c r="GZF14" s="28"/>
      <c r="GZG14" s="28"/>
      <c r="GZH14" s="28"/>
      <c r="GZI14" s="28"/>
      <c r="GZJ14" s="28"/>
      <c r="GZK14" s="28"/>
      <c r="GZL14" s="28"/>
      <c r="GZM14" s="28"/>
      <c r="GZN14" s="28"/>
      <c r="GZO14" s="28"/>
      <c r="GZP14" s="28"/>
      <c r="GZQ14" s="28"/>
      <c r="GZR14" s="28"/>
      <c r="GZS14" s="28"/>
      <c r="GZT14" s="28"/>
      <c r="GZU14" s="28"/>
      <c r="GZV14" s="28"/>
      <c r="GZW14" s="28"/>
      <c r="GZX14" s="28"/>
      <c r="GZY14" s="28"/>
      <c r="GZZ14" s="28"/>
      <c r="HAA14" s="28"/>
      <c r="HAB14" s="28"/>
      <c r="HAC14" s="28"/>
      <c r="HAD14" s="28"/>
      <c r="HAE14" s="28"/>
      <c r="HAF14" s="28"/>
      <c r="HAG14" s="28"/>
      <c r="HAH14" s="28"/>
      <c r="HAI14" s="28"/>
      <c r="HAJ14" s="28"/>
      <c r="HAK14" s="28"/>
      <c r="HAL14" s="28"/>
      <c r="HAM14" s="28"/>
      <c r="HAN14" s="28"/>
      <c r="HAO14" s="28"/>
      <c r="HAP14" s="28"/>
      <c r="HAQ14" s="28"/>
      <c r="HAR14" s="28"/>
      <c r="HAS14" s="28"/>
      <c r="HAT14" s="28"/>
      <c r="HAU14" s="28"/>
      <c r="HAV14" s="28"/>
      <c r="HAW14" s="28"/>
      <c r="HAX14" s="28"/>
      <c r="HAY14" s="28"/>
      <c r="HAZ14" s="28"/>
      <c r="HBA14" s="28"/>
      <c r="HBB14" s="28"/>
      <c r="HBC14" s="28"/>
      <c r="HBD14" s="28"/>
      <c r="HBE14" s="28"/>
      <c r="HBF14" s="28"/>
      <c r="HBG14" s="28"/>
      <c r="HBH14" s="28"/>
      <c r="HBI14" s="28"/>
      <c r="HBJ14" s="28"/>
      <c r="HBK14" s="28"/>
      <c r="HBL14" s="28"/>
      <c r="HBM14" s="28"/>
      <c r="HBN14" s="28"/>
      <c r="HBO14" s="28"/>
      <c r="HBP14" s="28"/>
      <c r="HBQ14" s="28"/>
      <c r="HBR14" s="28"/>
      <c r="HBS14" s="28"/>
      <c r="HBT14" s="28"/>
      <c r="HBU14" s="28"/>
      <c r="HBV14" s="28"/>
      <c r="HBW14" s="28"/>
      <c r="HBX14" s="28"/>
      <c r="HBY14" s="28"/>
      <c r="HBZ14" s="28"/>
      <c r="HCA14" s="28"/>
      <c r="HCB14" s="28"/>
      <c r="HCC14" s="28"/>
      <c r="HCD14" s="28"/>
      <c r="HCE14" s="28"/>
      <c r="HCF14" s="28"/>
      <c r="HCG14" s="28"/>
      <c r="HCH14" s="28"/>
      <c r="HCI14" s="28"/>
      <c r="HCJ14" s="28"/>
      <c r="HCK14" s="28"/>
      <c r="HCL14" s="28"/>
      <c r="HCM14" s="28"/>
      <c r="HCN14" s="28"/>
      <c r="HCO14" s="28"/>
      <c r="HCP14" s="28"/>
      <c r="HCQ14" s="28"/>
      <c r="HCR14" s="28"/>
      <c r="HCS14" s="28"/>
      <c r="HCT14" s="28"/>
      <c r="HCU14" s="28"/>
      <c r="HCV14" s="28"/>
      <c r="HCW14" s="28"/>
      <c r="HCX14" s="28"/>
      <c r="HCY14" s="28"/>
      <c r="HCZ14" s="28"/>
      <c r="HDA14" s="28"/>
      <c r="HDB14" s="28"/>
      <c r="HDC14" s="28"/>
      <c r="HDD14" s="28"/>
      <c r="HDE14" s="28"/>
      <c r="HDF14" s="28"/>
      <c r="HDG14" s="28"/>
      <c r="HDH14" s="28"/>
      <c r="HDI14" s="28"/>
      <c r="HDJ14" s="28"/>
      <c r="HDK14" s="28"/>
      <c r="HDL14" s="28"/>
      <c r="HDM14" s="28"/>
      <c r="HDN14" s="28"/>
      <c r="HDO14" s="28"/>
      <c r="HDP14" s="28"/>
      <c r="HDQ14" s="28"/>
      <c r="HDR14" s="28"/>
      <c r="HDS14" s="28"/>
      <c r="HDT14" s="28"/>
      <c r="HDU14" s="28"/>
      <c r="HDV14" s="28"/>
      <c r="HDW14" s="28"/>
      <c r="HDX14" s="28"/>
      <c r="HDY14" s="28"/>
      <c r="HDZ14" s="28"/>
      <c r="HEA14" s="28"/>
      <c r="HEB14" s="28"/>
      <c r="HEC14" s="28"/>
      <c r="HED14" s="28"/>
      <c r="HEE14" s="28"/>
      <c r="HEF14" s="28"/>
      <c r="HEG14" s="28"/>
      <c r="HEH14" s="28"/>
      <c r="HEI14" s="28"/>
      <c r="HEJ14" s="28"/>
      <c r="HEK14" s="28"/>
      <c r="HEL14" s="28"/>
      <c r="HEM14" s="28"/>
      <c r="HEN14" s="28"/>
      <c r="HEO14" s="28"/>
      <c r="HEP14" s="28"/>
      <c r="HEQ14" s="28"/>
      <c r="HER14" s="28"/>
      <c r="HES14" s="28"/>
      <c r="HET14" s="28"/>
      <c r="HEU14" s="28"/>
      <c r="HEV14" s="28"/>
      <c r="HEW14" s="28"/>
      <c r="HEX14" s="28"/>
      <c r="HEY14" s="28"/>
      <c r="HEZ14" s="28"/>
      <c r="HFA14" s="28"/>
      <c r="HFB14" s="28"/>
      <c r="HFC14" s="28"/>
      <c r="HFD14" s="28"/>
      <c r="HFE14" s="28"/>
      <c r="HFF14" s="28"/>
      <c r="HFG14" s="28"/>
      <c r="HFH14" s="28"/>
      <c r="HFI14" s="28"/>
      <c r="HFJ14" s="28"/>
      <c r="HFK14" s="28"/>
      <c r="HFL14" s="28"/>
      <c r="HFM14" s="28"/>
      <c r="HFN14" s="28"/>
      <c r="HFO14" s="28"/>
      <c r="HFP14" s="28"/>
      <c r="HFQ14" s="28"/>
      <c r="HFR14" s="28"/>
      <c r="HFS14" s="28"/>
      <c r="HFT14" s="28"/>
      <c r="HFU14" s="28"/>
      <c r="HFV14" s="28"/>
      <c r="HFW14" s="28"/>
      <c r="HFX14" s="28"/>
      <c r="HFY14" s="28"/>
      <c r="HFZ14" s="28"/>
      <c r="HGA14" s="28"/>
      <c r="HGB14" s="28"/>
      <c r="HGC14" s="28"/>
      <c r="HGD14" s="28"/>
      <c r="HGE14" s="28"/>
      <c r="HGF14" s="28"/>
      <c r="HGG14" s="28"/>
      <c r="HGH14" s="28"/>
      <c r="HGI14" s="28"/>
      <c r="HGJ14" s="28"/>
      <c r="HGK14" s="28"/>
      <c r="HGL14" s="28"/>
      <c r="HGM14" s="28"/>
      <c r="HGN14" s="28"/>
      <c r="HGO14" s="28"/>
      <c r="HGP14" s="28"/>
      <c r="HGQ14" s="28"/>
      <c r="HGR14" s="28"/>
      <c r="HGS14" s="28"/>
      <c r="HGT14" s="28"/>
      <c r="HGU14" s="28"/>
      <c r="HGV14" s="28"/>
      <c r="HGW14" s="28"/>
      <c r="HGX14" s="28"/>
      <c r="HGY14" s="28"/>
      <c r="HGZ14" s="28"/>
      <c r="HHA14" s="28"/>
      <c r="HHB14" s="28"/>
      <c r="HHC14" s="28"/>
      <c r="HHD14" s="28"/>
      <c r="HHE14" s="28"/>
      <c r="HHF14" s="28"/>
      <c r="HHG14" s="28"/>
      <c r="HHH14" s="28"/>
      <c r="HHI14" s="28"/>
      <c r="HHJ14" s="28"/>
      <c r="HHK14" s="28"/>
      <c r="HHL14" s="28"/>
      <c r="HHM14" s="28"/>
      <c r="HHN14" s="28"/>
      <c r="HHO14" s="28"/>
      <c r="HHP14" s="28"/>
      <c r="HHQ14" s="28"/>
      <c r="HHR14" s="28"/>
      <c r="HHS14" s="28"/>
      <c r="HHT14" s="28"/>
      <c r="HHU14" s="28"/>
      <c r="HHV14" s="28"/>
      <c r="HHW14" s="28"/>
      <c r="HHX14" s="28"/>
      <c r="HHY14" s="28"/>
      <c r="HHZ14" s="28"/>
      <c r="HIA14" s="28"/>
      <c r="HIB14" s="28"/>
      <c r="HIC14" s="28"/>
      <c r="HID14" s="28"/>
      <c r="HIE14" s="28"/>
      <c r="HIF14" s="28"/>
      <c r="HIG14" s="28"/>
      <c r="HIH14" s="28"/>
      <c r="HII14" s="28"/>
      <c r="HIJ14" s="28"/>
      <c r="HIK14" s="28"/>
      <c r="HIL14" s="28"/>
      <c r="HIM14" s="28"/>
      <c r="HIN14" s="28"/>
      <c r="HIO14" s="28"/>
      <c r="HIP14" s="28"/>
      <c r="HIQ14" s="28"/>
      <c r="HIR14" s="28"/>
      <c r="HIS14" s="28"/>
      <c r="HIT14" s="28"/>
      <c r="HIU14" s="28"/>
      <c r="HIV14" s="28"/>
      <c r="HIW14" s="28"/>
      <c r="HIX14" s="28"/>
      <c r="HIY14" s="28"/>
      <c r="HIZ14" s="28"/>
      <c r="HJA14" s="28"/>
      <c r="HJB14" s="28"/>
      <c r="HJC14" s="28"/>
      <c r="HJD14" s="28"/>
      <c r="HJE14" s="28"/>
      <c r="HJF14" s="28"/>
      <c r="HJG14" s="28"/>
      <c r="HJH14" s="28"/>
      <c r="HJI14" s="28"/>
      <c r="HJJ14" s="28"/>
      <c r="HJK14" s="28"/>
      <c r="HJL14" s="28"/>
      <c r="HJM14" s="28"/>
      <c r="HJN14" s="28"/>
      <c r="HJO14" s="28"/>
      <c r="HJP14" s="28"/>
      <c r="HJQ14" s="28"/>
      <c r="HJR14" s="28"/>
      <c r="HJS14" s="28"/>
      <c r="HJT14" s="28"/>
      <c r="HJU14" s="28"/>
      <c r="HJV14" s="28"/>
      <c r="HJW14" s="28"/>
      <c r="HJX14" s="28"/>
      <c r="HJY14" s="28"/>
      <c r="HJZ14" s="28"/>
      <c r="HKA14" s="28"/>
      <c r="HKB14" s="28"/>
      <c r="HKC14" s="28"/>
      <c r="HKD14" s="28"/>
      <c r="HKE14" s="28"/>
      <c r="HKF14" s="28"/>
      <c r="HKG14" s="28"/>
      <c r="HKH14" s="28"/>
      <c r="HKI14" s="28"/>
      <c r="HKJ14" s="28"/>
      <c r="HKK14" s="28"/>
      <c r="HKL14" s="28"/>
      <c r="HKM14" s="28"/>
      <c r="HKN14" s="28"/>
      <c r="HKO14" s="28"/>
      <c r="HKP14" s="28"/>
      <c r="HKQ14" s="28"/>
      <c r="HKR14" s="28"/>
      <c r="HKS14" s="28"/>
      <c r="HKT14" s="28"/>
      <c r="HKU14" s="28"/>
      <c r="HKV14" s="28"/>
      <c r="HKW14" s="28"/>
      <c r="HKX14" s="28"/>
      <c r="HKY14" s="28"/>
      <c r="HKZ14" s="28"/>
      <c r="HLA14" s="28"/>
      <c r="HLB14" s="28"/>
      <c r="HLC14" s="28"/>
      <c r="HLD14" s="28"/>
      <c r="HLE14" s="28"/>
      <c r="HLF14" s="28"/>
      <c r="HLG14" s="28"/>
      <c r="HLH14" s="28"/>
      <c r="HLI14" s="28"/>
      <c r="HLJ14" s="28"/>
      <c r="HLK14" s="28"/>
      <c r="HLL14" s="28"/>
      <c r="HLM14" s="28"/>
      <c r="HLN14" s="28"/>
      <c r="HLO14" s="28"/>
      <c r="HLP14" s="28"/>
      <c r="HLQ14" s="28"/>
      <c r="HLR14" s="28"/>
      <c r="HLS14" s="28"/>
      <c r="HLT14" s="28"/>
      <c r="HLU14" s="28"/>
      <c r="HLV14" s="28"/>
      <c r="HLW14" s="28"/>
      <c r="HLX14" s="28"/>
      <c r="HLY14" s="28"/>
      <c r="HLZ14" s="28"/>
      <c r="HMA14" s="28"/>
      <c r="HMB14" s="28"/>
      <c r="HMC14" s="28"/>
      <c r="HMD14" s="28"/>
      <c r="HME14" s="28"/>
      <c r="HMF14" s="28"/>
      <c r="HMG14" s="28"/>
      <c r="HMH14" s="28"/>
      <c r="HMI14" s="28"/>
      <c r="HMJ14" s="28"/>
      <c r="HMK14" s="28"/>
      <c r="HML14" s="28"/>
      <c r="HMM14" s="28"/>
      <c r="HMN14" s="28"/>
      <c r="HMO14" s="28"/>
      <c r="HMP14" s="28"/>
      <c r="HMQ14" s="28"/>
      <c r="HMR14" s="28"/>
      <c r="HMS14" s="28"/>
      <c r="HMT14" s="28"/>
      <c r="HMU14" s="28"/>
      <c r="HMV14" s="28"/>
      <c r="HMW14" s="28"/>
      <c r="HMX14" s="28"/>
      <c r="HMY14" s="28"/>
      <c r="HMZ14" s="28"/>
      <c r="HNA14" s="28"/>
      <c r="HNB14" s="28"/>
      <c r="HNC14" s="28"/>
      <c r="HND14" s="28"/>
      <c r="HNE14" s="28"/>
      <c r="HNF14" s="28"/>
      <c r="HNG14" s="28"/>
      <c r="HNH14" s="28"/>
      <c r="HNI14" s="28"/>
      <c r="HNJ14" s="28"/>
      <c r="HNK14" s="28"/>
      <c r="HNL14" s="28"/>
      <c r="HNM14" s="28"/>
      <c r="HNN14" s="28"/>
      <c r="HNO14" s="28"/>
      <c r="HNP14" s="28"/>
      <c r="HNQ14" s="28"/>
      <c r="HNR14" s="28"/>
      <c r="HNS14" s="28"/>
      <c r="HNT14" s="28"/>
      <c r="HNU14" s="28"/>
      <c r="HNV14" s="28"/>
      <c r="HNW14" s="28"/>
      <c r="HNX14" s="28"/>
      <c r="HNY14" s="28"/>
      <c r="HNZ14" s="28"/>
      <c r="HOA14" s="28"/>
      <c r="HOB14" s="28"/>
      <c r="HOC14" s="28"/>
      <c r="HOD14" s="28"/>
      <c r="HOE14" s="28"/>
      <c r="HOF14" s="28"/>
      <c r="HOG14" s="28"/>
      <c r="HOH14" s="28"/>
      <c r="HOI14" s="28"/>
      <c r="HOJ14" s="28"/>
      <c r="HOK14" s="28"/>
      <c r="HOL14" s="28"/>
      <c r="HOM14" s="28"/>
      <c r="HON14" s="28"/>
      <c r="HOO14" s="28"/>
      <c r="HOP14" s="28"/>
      <c r="HOQ14" s="28"/>
      <c r="HOR14" s="28"/>
      <c r="HOS14" s="28"/>
      <c r="HOT14" s="28"/>
      <c r="HOU14" s="28"/>
      <c r="HOV14" s="28"/>
      <c r="HOW14" s="28"/>
      <c r="HOX14" s="28"/>
      <c r="HOY14" s="28"/>
      <c r="HOZ14" s="28"/>
      <c r="HPA14" s="28"/>
      <c r="HPB14" s="28"/>
      <c r="HPC14" s="28"/>
      <c r="HPD14" s="28"/>
      <c r="HPE14" s="28"/>
      <c r="HPF14" s="28"/>
      <c r="HPG14" s="28"/>
      <c r="HPH14" s="28"/>
      <c r="HPI14" s="28"/>
      <c r="HPJ14" s="28"/>
      <c r="HPK14" s="28"/>
      <c r="HPL14" s="28"/>
      <c r="HPM14" s="28"/>
      <c r="HPN14" s="28"/>
      <c r="HPO14" s="28"/>
      <c r="HPP14" s="28"/>
      <c r="HPQ14" s="28"/>
      <c r="HPR14" s="28"/>
      <c r="HPS14" s="28"/>
      <c r="HPT14" s="28"/>
      <c r="HPU14" s="28"/>
      <c r="HPV14" s="28"/>
      <c r="HPW14" s="28"/>
      <c r="HPX14" s="28"/>
      <c r="HPY14" s="28"/>
      <c r="HPZ14" s="28"/>
      <c r="HQA14" s="28"/>
      <c r="HQB14" s="28"/>
      <c r="HQC14" s="28"/>
      <c r="HQD14" s="28"/>
      <c r="HQE14" s="28"/>
      <c r="HQF14" s="28"/>
      <c r="HQG14" s="28"/>
      <c r="HQH14" s="28"/>
      <c r="HQI14" s="28"/>
      <c r="HQJ14" s="28"/>
      <c r="HQK14" s="28"/>
      <c r="HQL14" s="28"/>
      <c r="HQM14" s="28"/>
      <c r="HQN14" s="28"/>
      <c r="HQO14" s="28"/>
      <c r="HQP14" s="28"/>
      <c r="HQQ14" s="28"/>
      <c r="HQR14" s="28"/>
      <c r="HQS14" s="28"/>
      <c r="HQT14" s="28"/>
      <c r="HQU14" s="28"/>
      <c r="HQV14" s="28"/>
      <c r="HQW14" s="28"/>
      <c r="HQX14" s="28"/>
      <c r="HQY14" s="28"/>
      <c r="HQZ14" s="28"/>
      <c r="HRA14" s="28"/>
      <c r="HRB14" s="28"/>
      <c r="HRC14" s="28"/>
      <c r="HRD14" s="28"/>
      <c r="HRE14" s="28"/>
      <c r="HRF14" s="28"/>
      <c r="HRG14" s="28"/>
      <c r="HRH14" s="28"/>
      <c r="HRI14" s="28"/>
      <c r="HRJ14" s="28"/>
      <c r="HRK14" s="28"/>
      <c r="HRL14" s="28"/>
      <c r="HRM14" s="28"/>
      <c r="HRN14" s="28"/>
      <c r="HRO14" s="28"/>
      <c r="HRP14" s="28"/>
      <c r="HRQ14" s="28"/>
      <c r="HRR14" s="28"/>
      <c r="HRS14" s="28"/>
      <c r="HRT14" s="28"/>
      <c r="HRU14" s="28"/>
      <c r="HRV14" s="28"/>
      <c r="HRW14" s="28"/>
      <c r="HRX14" s="28"/>
      <c r="HRY14" s="28"/>
      <c r="HRZ14" s="28"/>
      <c r="HSA14" s="28"/>
      <c r="HSB14" s="28"/>
      <c r="HSC14" s="28"/>
      <c r="HSD14" s="28"/>
      <c r="HSE14" s="28"/>
      <c r="HSF14" s="28"/>
      <c r="HSG14" s="28"/>
      <c r="HSH14" s="28"/>
      <c r="HSI14" s="28"/>
      <c r="HSJ14" s="28"/>
      <c r="HSK14" s="28"/>
      <c r="HSL14" s="28"/>
      <c r="HSM14" s="28"/>
      <c r="HSN14" s="28"/>
      <c r="HSO14" s="28"/>
      <c r="HSP14" s="28"/>
      <c r="HSQ14" s="28"/>
      <c r="HSR14" s="28"/>
      <c r="HSS14" s="28"/>
      <c r="HST14" s="28"/>
      <c r="HSU14" s="28"/>
      <c r="HSV14" s="28"/>
      <c r="HSW14" s="28"/>
      <c r="HSX14" s="28"/>
      <c r="HSY14" s="28"/>
      <c r="HSZ14" s="28"/>
      <c r="HTA14" s="28"/>
      <c r="HTB14" s="28"/>
      <c r="HTC14" s="28"/>
      <c r="HTD14" s="28"/>
      <c r="HTE14" s="28"/>
      <c r="HTF14" s="28"/>
      <c r="HTG14" s="28"/>
      <c r="HTH14" s="28"/>
      <c r="HTI14" s="28"/>
      <c r="HTJ14" s="28"/>
      <c r="HTK14" s="28"/>
      <c r="HTL14" s="28"/>
      <c r="HTM14" s="28"/>
      <c r="HTN14" s="28"/>
      <c r="HTO14" s="28"/>
      <c r="HTP14" s="28"/>
      <c r="HTQ14" s="28"/>
      <c r="HTR14" s="28"/>
      <c r="HTS14" s="28"/>
      <c r="HTT14" s="28"/>
      <c r="HTU14" s="28"/>
      <c r="HTV14" s="28"/>
      <c r="HTW14" s="28"/>
      <c r="HTX14" s="28"/>
      <c r="HTY14" s="28"/>
      <c r="HTZ14" s="28"/>
      <c r="HUA14" s="28"/>
      <c r="HUB14" s="28"/>
      <c r="HUC14" s="28"/>
      <c r="HUD14" s="28"/>
      <c r="HUE14" s="28"/>
      <c r="HUF14" s="28"/>
      <c r="HUG14" s="28"/>
      <c r="HUH14" s="28"/>
      <c r="HUI14" s="28"/>
      <c r="HUJ14" s="28"/>
      <c r="HUK14" s="28"/>
      <c r="HUL14" s="28"/>
      <c r="HUM14" s="28"/>
      <c r="HUN14" s="28"/>
      <c r="HUO14" s="28"/>
      <c r="HUP14" s="28"/>
      <c r="HUQ14" s="28"/>
      <c r="HUR14" s="28"/>
      <c r="HUS14" s="28"/>
      <c r="HUT14" s="28"/>
      <c r="HUU14" s="28"/>
      <c r="HUV14" s="28"/>
      <c r="HUW14" s="28"/>
      <c r="HUX14" s="28"/>
      <c r="HUY14" s="28"/>
      <c r="HUZ14" s="28"/>
      <c r="HVA14" s="28"/>
      <c r="HVB14" s="28"/>
      <c r="HVC14" s="28"/>
      <c r="HVD14" s="28"/>
      <c r="HVE14" s="28"/>
      <c r="HVF14" s="28"/>
      <c r="HVG14" s="28"/>
      <c r="HVH14" s="28"/>
      <c r="HVI14" s="28"/>
      <c r="HVJ14" s="28"/>
      <c r="HVK14" s="28"/>
      <c r="HVL14" s="28"/>
      <c r="HVM14" s="28"/>
      <c r="HVN14" s="28"/>
      <c r="HVO14" s="28"/>
      <c r="HVP14" s="28"/>
      <c r="HVQ14" s="28"/>
      <c r="HVR14" s="28"/>
      <c r="HVS14" s="28"/>
      <c r="HVT14" s="28"/>
      <c r="HVU14" s="28"/>
      <c r="HVV14" s="28"/>
      <c r="HVW14" s="28"/>
      <c r="HVX14" s="28"/>
      <c r="HVY14" s="28"/>
      <c r="HVZ14" s="28"/>
      <c r="HWA14" s="28"/>
      <c r="HWB14" s="28"/>
      <c r="HWC14" s="28"/>
      <c r="HWD14" s="28"/>
      <c r="HWE14" s="28"/>
      <c r="HWF14" s="28"/>
      <c r="HWG14" s="28"/>
      <c r="HWH14" s="28"/>
      <c r="HWI14" s="28"/>
      <c r="HWJ14" s="28"/>
      <c r="HWK14" s="28"/>
      <c r="HWL14" s="28"/>
      <c r="HWM14" s="28"/>
      <c r="HWN14" s="28"/>
      <c r="HWO14" s="28"/>
      <c r="HWP14" s="28"/>
      <c r="HWQ14" s="28"/>
      <c r="HWR14" s="28"/>
      <c r="HWS14" s="28"/>
      <c r="HWT14" s="28"/>
      <c r="HWU14" s="28"/>
      <c r="HWV14" s="28"/>
      <c r="HWW14" s="28"/>
      <c r="HWX14" s="28"/>
      <c r="HWY14" s="28"/>
      <c r="HWZ14" s="28"/>
      <c r="HXA14" s="28"/>
      <c r="HXB14" s="28"/>
      <c r="HXC14" s="28"/>
      <c r="HXD14" s="28"/>
      <c r="HXE14" s="28"/>
      <c r="HXF14" s="28"/>
      <c r="HXG14" s="28"/>
      <c r="HXH14" s="28"/>
      <c r="HXI14" s="28"/>
      <c r="HXJ14" s="28"/>
      <c r="HXK14" s="28"/>
      <c r="HXL14" s="28"/>
      <c r="HXM14" s="28"/>
      <c r="HXN14" s="28"/>
      <c r="HXO14" s="28"/>
      <c r="HXP14" s="28"/>
      <c r="HXQ14" s="28"/>
      <c r="HXR14" s="28"/>
      <c r="HXS14" s="28"/>
      <c r="HXT14" s="28"/>
      <c r="HXU14" s="28"/>
      <c r="HXV14" s="28"/>
      <c r="HXW14" s="28"/>
      <c r="HXX14" s="28"/>
      <c r="HXY14" s="28"/>
      <c r="HXZ14" s="28"/>
      <c r="HYA14" s="28"/>
      <c r="HYB14" s="28"/>
      <c r="HYC14" s="28"/>
      <c r="HYD14" s="28"/>
      <c r="HYE14" s="28"/>
      <c r="HYF14" s="28"/>
      <c r="HYG14" s="28"/>
      <c r="HYH14" s="28"/>
      <c r="HYI14" s="28"/>
      <c r="HYJ14" s="28"/>
      <c r="HYK14" s="28"/>
      <c r="HYL14" s="28"/>
      <c r="HYM14" s="28"/>
      <c r="HYN14" s="28"/>
      <c r="HYO14" s="28"/>
      <c r="HYP14" s="28"/>
      <c r="HYQ14" s="28"/>
      <c r="HYR14" s="28"/>
      <c r="HYS14" s="28"/>
      <c r="HYT14" s="28"/>
      <c r="HYU14" s="28"/>
      <c r="HYV14" s="28"/>
      <c r="HYW14" s="28"/>
      <c r="HYX14" s="28"/>
      <c r="HYY14" s="28"/>
      <c r="HYZ14" s="28"/>
      <c r="HZA14" s="28"/>
      <c r="HZB14" s="28"/>
      <c r="HZC14" s="28"/>
      <c r="HZD14" s="28"/>
      <c r="HZE14" s="28"/>
      <c r="HZF14" s="28"/>
      <c r="HZG14" s="28"/>
      <c r="HZH14" s="28"/>
      <c r="HZI14" s="28"/>
      <c r="HZJ14" s="28"/>
      <c r="HZK14" s="28"/>
      <c r="HZL14" s="28"/>
      <c r="HZM14" s="28"/>
      <c r="HZN14" s="28"/>
      <c r="HZO14" s="28"/>
      <c r="HZP14" s="28"/>
      <c r="HZQ14" s="28"/>
      <c r="HZR14" s="28"/>
      <c r="HZS14" s="28"/>
      <c r="HZT14" s="28"/>
      <c r="HZU14" s="28"/>
      <c r="HZV14" s="28"/>
      <c r="HZW14" s="28"/>
      <c r="HZX14" s="28"/>
      <c r="HZY14" s="28"/>
      <c r="HZZ14" s="28"/>
      <c r="IAA14" s="28"/>
      <c r="IAB14" s="28"/>
      <c r="IAC14" s="28"/>
      <c r="IAD14" s="28"/>
      <c r="IAE14" s="28"/>
      <c r="IAF14" s="28"/>
      <c r="IAG14" s="28"/>
      <c r="IAH14" s="28"/>
      <c r="IAI14" s="28"/>
      <c r="IAJ14" s="28"/>
      <c r="IAK14" s="28"/>
      <c r="IAL14" s="28"/>
      <c r="IAM14" s="28"/>
      <c r="IAN14" s="28"/>
      <c r="IAO14" s="28"/>
      <c r="IAP14" s="28"/>
      <c r="IAQ14" s="28"/>
      <c r="IAR14" s="28"/>
      <c r="IAS14" s="28"/>
      <c r="IAT14" s="28"/>
      <c r="IAU14" s="28"/>
      <c r="IAV14" s="28"/>
      <c r="IAW14" s="28"/>
      <c r="IAX14" s="28"/>
      <c r="IAY14" s="28"/>
      <c r="IAZ14" s="28"/>
      <c r="IBA14" s="28"/>
      <c r="IBB14" s="28"/>
      <c r="IBC14" s="28"/>
      <c r="IBD14" s="28"/>
      <c r="IBE14" s="28"/>
      <c r="IBF14" s="28"/>
      <c r="IBG14" s="28"/>
      <c r="IBH14" s="28"/>
      <c r="IBI14" s="28"/>
      <c r="IBJ14" s="28"/>
      <c r="IBK14" s="28"/>
      <c r="IBL14" s="28"/>
      <c r="IBM14" s="28"/>
      <c r="IBN14" s="28"/>
      <c r="IBO14" s="28"/>
      <c r="IBP14" s="28"/>
      <c r="IBQ14" s="28"/>
      <c r="IBR14" s="28"/>
      <c r="IBS14" s="28"/>
      <c r="IBT14" s="28"/>
      <c r="IBU14" s="28"/>
      <c r="IBV14" s="28"/>
      <c r="IBW14" s="28"/>
      <c r="IBX14" s="28"/>
      <c r="IBY14" s="28"/>
      <c r="IBZ14" s="28"/>
      <c r="ICA14" s="28"/>
      <c r="ICB14" s="28"/>
      <c r="ICC14" s="28"/>
      <c r="ICD14" s="28"/>
      <c r="ICE14" s="28"/>
      <c r="ICF14" s="28"/>
      <c r="ICG14" s="28"/>
      <c r="ICH14" s="28"/>
      <c r="ICI14" s="28"/>
      <c r="ICJ14" s="28"/>
      <c r="ICK14" s="28"/>
      <c r="ICL14" s="28"/>
      <c r="ICM14" s="28"/>
      <c r="ICN14" s="28"/>
      <c r="ICO14" s="28"/>
      <c r="ICP14" s="28"/>
      <c r="ICQ14" s="28"/>
      <c r="ICR14" s="28"/>
      <c r="ICS14" s="28"/>
      <c r="ICT14" s="28"/>
      <c r="ICU14" s="28"/>
      <c r="ICV14" s="28"/>
      <c r="ICW14" s="28"/>
      <c r="ICX14" s="28"/>
      <c r="ICY14" s="28"/>
      <c r="ICZ14" s="28"/>
      <c r="IDA14" s="28"/>
      <c r="IDB14" s="28"/>
      <c r="IDC14" s="28"/>
      <c r="IDD14" s="28"/>
      <c r="IDE14" s="28"/>
      <c r="IDF14" s="28"/>
      <c r="IDG14" s="28"/>
      <c r="IDH14" s="28"/>
      <c r="IDI14" s="28"/>
      <c r="IDJ14" s="28"/>
      <c r="IDK14" s="28"/>
      <c r="IDL14" s="28"/>
      <c r="IDM14" s="28"/>
      <c r="IDN14" s="28"/>
      <c r="IDO14" s="28"/>
      <c r="IDP14" s="28"/>
      <c r="IDQ14" s="28"/>
      <c r="IDR14" s="28"/>
      <c r="IDS14" s="28"/>
      <c r="IDT14" s="28"/>
      <c r="IDU14" s="28"/>
      <c r="IDV14" s="28"/>
      <c r="IDW14" s="28"/>
      <c r="IDX14" s="28"/>
      <c r="IDY14" s="28"/>
      <c r="IDZ14" s="28"/>
      <c r="IEA14" s="28"/>
      <c r="IEB14" s="28"/>
      <c r="IEC14" s="28"/>
      <c r="IED14" s="28"/>
      <c r="IEE14" s="28"/>
      <c r="IEF14" s="28"/>
      <c r="IEG14" s="28"/>
      <c r="IEH14" s="28"/>
      <c r="IEI14" s="28"/>
      <c r="IEJ14" s="28"/>
      <c r="IEK14" s="28"/>
      <c r="IEL14" s="28"/>
      <c r="IEM14" s="28"/>
      <c r="IEN14" s="28"/>
      <c r="IEO14" s="28"/>
      <c r="IEP14" s="28"/>
      <c r="IEQ14" s="28"/>
      <c r="IER14" s="28"/>
      <c r="IES14" s="28"/>
      <c r="IET14" s="28"/>
      <c r="IEU14" s="28"/>
      <c r="IEV14" s="28"/>
      <c r="IEW14" s="28"/>
      <c r="IEX14" s="28"/>
      <c r="IEY14" s="28"/>
      <c r="IEZ14" s="28"/>
      <c r="IFA14" s="28"/>
      <c r="IFB14" s="28"/>
      <c r="IFC14" s="28"/>
      <c r="IFD14" s="28"/>
      <c r="IFE14" s="28"/>
      <c r="IFF14" s="28"/>
      <c r="IFG14" s="28"/>
      <c r="IFH14" s="28"/>
      <c r="IFI14" s="28"/>
      <c r="IFJ14" s="28"/>
      <c r="IFK14" s="28"/>
      <c r="IFL14" s="28"/>
      <c r="IFM14" s="28"/>
      <c r="IFN14" s="28"/>
      <c r="IFO14" s="28"/>
      <c r="IFP14" s="28"/>
      <c r="IFQ14" s="28"/>
      <c r="IFR14" s="28"/>
      <c r="IFS14" s="28"/>
      <c r="IFT14" s="28"/>
      <c r="IFU14" s="28"/>
      <c r="IFV14" s="28"/>
      <c r="IFW14" s="28"/>
      <c r="IFX14" s="28"/>
      <c r="IFY14" s="28"/>
      <c r="IFZ14" s="28"/>
      <c r="IGA14" s="28"/>
      <c r="IGB14" s="28"/>
      <c r="IGC14" s="28"/>
      <c r="IGD14" s="28"/>
      <c r="IGE14" s="28"/>
      <c r="IGF14" s="28"/>
      <c r="IGG14" s="28"/>
      <c r="IGH14" s="28"/>
      <c r="IGI14" s="28"/>
      <c r="IGJ14" s="28"/>
      <c r="IGK14" s="28"/>
      <c r="IGL14" s="28"/>
      <c r="IGM14" s="28"/>
      <c r="IGN14" s="28"/>
      <c r="IGO14" s="28"/>
      <c r="IGP14" s="28"/>
      <c r="IGQ14" s="28"/>
      <c r="IGR14" s="28"/>
      <c r="IGS14" s="28"/>
      <c r="IGT14" s="28"/>
      <c r="IGU14" s="28"/>
      <c r="IGV14" s="28"/>
      <c r="IGW14" s="28"/>
      <c r="IGX14" s="28"/>
      <c r="IGY14" s="28"/>
      <c r="IGZ14" s="28"/>
      <c r="IHA14" s="28"/>
      <c r="IHB14" s="28"/>
      <c r="IHC14" s="28"/>
      <c r="IHD14" s="28"/>
      <c r="IHE14" s="28"/>
      <c r="IHF14" s="28"/>
      <c r="IHG14" s="28"/>
      <c r="IHH14" s="28"/>
      <c r="IHI14" s="28"/>
      <c r="IHJ14" s="28"/>
      <c r="IHK14" s="28"/>
      <c r="IHL14" s="28"/>
      <c r="IHM14" s="28"/>
      <c r="IHN14" s="28"/>
      <c r="IHO14" s="28"/>
      <c r="IHP14" s="28"/>
      <c r="IHQ14" s="28"/>
      <c r="IHR14" s="28"/>
      <c r="IHS14" s="28"/>
      <c r="IHT14" s="28"/>
      <c r="IHU14" s="28"/>
      <c r="IHV14" s="28"/>
      <c r="IHW14" s="28"/>
      <c r="IHX14" s="28"/>
      <c r="IHY14" s="28"/>
      <c r="IHZ14" s="28"/>
      <c r="IIA14" s="28"/>
      <c r="IIB14" s="28"/>
      <c r="IIC14" s="28"/>
      <c r="IID14" s="28"/>
      <c r="IIE14" s="28"/>
      <c r="IIF14" s="28"/>
      <c r="IIG14" s="28"/>
      <c r="IIH14" s="28"/>
      <c r="III14" s="28"/>
      <c r="IIJ14" s="28"/>
      <c r="IIK14" s="28"/>
      <c r="IIL14" s="28"/>
      <c r="IIM14" s="28"/>
      <c r="IIN14" s="28"/>
      <c r="IIO14" s="28"/>
      <c r="IIP14" s="28"/>
      <c r="IIQ14" s="28"/>
      <c r="IIR14" s="28"/>
      <c r="IIS14" s="28"/>
      <c r="IIT14" s="28"/>
      <c r="IIU14" s="28"/>
      <c r="IIV14" s="28"/>
      <c r="IIW14" s="28"/>
      <c r="IIX14" s="28"/>
      <c r="IIY14" s="28"/>
      <c r="IIZ14" s="28"/>
      <c r="IJA14" s="28"/>
      <c r="IJB14" s="28"/>
      <c r="IJC14" s="28"/>
      <c r="IJD14" s="28"/>
      <c r="IJE14" s="28"/>
      <c r="IJF14" s="28"/>
      <c r="IJG14" s="28"/>
      <c r="IJH14" s="28"/>
      <c r="IJI14" s="28"/>
      <c r="IJJ14" s="28"/>
      <c r="IJK14" s="28"/>
      <c r="IJL14" s="28"/>
      <c r="IJM14" s="28"/>
      <c r="IJN14" s="28"/>
      <c r="IJO14" s="28"/>
      <c r="IJP14" s="28"/>
      <c r="IJQ14" s="28"/>
      <c r="IJR14" s="28"/>
      <c r="IJS14" s="28"/>
      <c r="IJT14" s="28"/>
      <c r="IJU14" s="28"/>
      <c r="IJV14" s="28"/>
      <c r="IJW14" s="28"/>
      <c r="IJX14" s="28"/>
      <c r="IJY14" s="28"/>
      <c r="IJZ14" s="28"/>
      <c r="IKA14" s="28"/>
      <c r="IKB14" s="28"/>
      <c r="IKC14" s="28"/>
      <c r="IKD14" s="28"/>
      <c r="IKE14" s="28"/>
      <c r="IKF14" s="28"/>
      <c r="IKG14" s="28"/>
      <c r="IKH14" s="28"/>
      <c r="IKI14" s="28"/>
      <c r="IKJ14" s="28"/>
      <c r="IKK14" s="28"/>
      <c r="IKL14" s="28"/>
      <c r="IKM14" s="28"/>
      <c r="IKN14" s="28"/>
      <c r="IKO14" s="28"/>
      <c r="IKP14" s="28"/>
      <c r="IKQ14" s="28"/>
      <c r="IKR14" s="28"/>
      <c r="IKS14" s="28"/>
      <c r="IKT14" s="28"/>
      <c r="IKU14" s="28"/>
      <c r="IKV14" s="28"/>
      <c r="IKW14" s="28"/>
      <c r="IKX14" s="28"/>
      <c r="IKY14" s="28"/>
      <c r="IKZ14" s="28"/>
      <c r="ILA14" s="28"/>
      <c r="ILB14" s="28"/>
      <c r="ILC14" s="28"/>
      <c r="ILD14" s="28"/>
      <c r="ILE14" s="28"/>
      <c r="ILF14" s="28"/>
      <c r="ILG14" s="28"/>
      <c r="ILH14" s="28"/>
      <c r="ILI14" s="28"/>
      <c r="ILJ14" s="28"/>
      <c r="ILK14" s="28"/>
      <c r="ILL14" s="28"/>
      <c r="ILM14" s="28"/>
      <c r="ILN14" s="28"/>
      <c r="ILO14" s="28"/>
      <c r="ILP14" s="28"/>
      <c r="ILQ14" s="28"/>
      <c r="ILR14" s="28"/>
      <c r="ILS14" s="28"/>
      <c r="ILT14" s="28"/>
      <c r="ILU14" s="28"/>
      <c r="ILV14" s="28"/>
      <c r="ILW14" s="28"/>
      <c r="ILX14" s="28"/>
      <c r="ILY14" s="28"/>
      <c r="ILZ14" s="28"/>
      <c r="IMA14" s="28"/>
      <c r="IMB14" s="28"/>
      <c r="IMC14" s="28"/>
      <c r="IMD14" s="28"/>
      <c r="IME14" s="28"/>
      <c r="IMF14" s="28"/>
      <c r="IMG14" s="28"/>
      <c r="IMH14" s="28"/>
      <c r="IMI14" s="28"/>
      <c r="IMJ14" s="28"/>
      <c r="IMK14" s="28"/>
      <c r="IML14" s="28"/>
      <c r="IMM14" s="28"/>
      <c r="IMN14" s="28"/>
      <c r="IMO14" s="28"/>
      <c r="IMP14" s="28"/>
      <c r="IMQ14" s="28"/>
      <c r="IMR14" s="28"/>
      <c r="IMS14" s="28"/>
      <c r="IMT14" s="28"/>
      <c r="IMU14" s="28"/>
      <c r="IMV14" s="28"/>
      <c r="IMW14" s="28"/>
      <c r="IMX14" s="28"/>
      <c r="IMY14" s="28"/>
      <c r="IMZ14" s="28"/>
      <c r="INA14" s="28"/>
      <c r="INB14" s="28"/>
      <c r="INC14" s="28"/>
      <c r="IND14" s="28"/>
      <c r="INE14" s="28"/>
      <c r="INF14" s="28"/>
      <c r="ING14" s="28"/>
      <c r="INH14" s="28"/>
      <c r="INI14" s="28"/>
      <c r="INJ14" s="28"/>
      <c r="INK14" s="28"/>
      <c r="INL14" s="28"/>
      <c r="INM14" s="28"/>
      <c r="INN14" s="28"/>
      <c r="INO14" s="28"/>
      <c r="INP14" s="28"/>
      <c r="INQ14" s="28"/>
      <c r="INR14" s="28"/>
      <c r="INS14" s="28"/>
      <c r="INT14" s="28"/>
      <c r="INU14" s="28"/>
      <c r="INV14" s="28"/>
      <c r="INW14" s="28"/>
      <c r="INX14" s="28"/>
      <c r="INY14" s="28"/>
      <c r="INZ14" s="28"/>
      <c r="IOA14" s="28"/>
      <c r="IOB14" s="28"/>
      <c r="IOC14" s="28"/>
      <c r="IOD14" s="28"/>
      <c r="IOE14" s="28"/>
      <c r="IOF14" s="28"/>
      <c r="IOG14" s="28"/>
      <c r="IOH14" s="28"/>
      <c r="IOI14" s="28"/>
      <c r="IOJ14" s="28"/>
      <c r="IOK14" s="28"/>
      <c r="IOL14" s="28"/>
      <c r="IOM14" s="28"/>
      <c r="ION14" s="28"/>
      <c r="IOO14" s="28"/>
      <c r="IOP14" s="28"/>
      <c r="IOQ14" s="28"/>
      <c r="IOR14" s="28"/>
      <c r="IOS14" s="28"/>
      <c r="IOT14" s="28"/>
      <c r="IOU14" s="28"/>
      <c r="IOV14" s="28"/>
      <c r="IOW14" s="28"/>
      <c r="IOX14" s="28"/>
      <c r="IOY14" s="28"/>
      <c r="IOZ14" s="28"/>
      <c r="IPA14" s="28"/>
      <c r="IPB14" s="28"/>
      <c r="IPC14" s="28"/>
      <c r="IPD14" s="28"/>
      <c r="IPE14" s="28"/>
      <c r="IPF14" s="28"/>
      <c r="IPG14" s="28"/>
      <c r="IPH14" s="28"/>
      <c r="IPI14" s="28"/>
      <c r="IPJ14" s="28"/>
      <c r="IPK14" s="28"/>
      <c r="IPL14" s="28"/>
      <c r="IPM14" s="28"/>
      <c r="IPN14" s="28"/>
      <c r="IPO14" s="28"/>
      <c r="IPP14" s="28"/>
      <c r="IPQ14" s="28"/>
      <c r="IPR14" s="28"/>
      <c r="IPS14" s="28"/>
      <c r="IPT14" s="28"/>
      <c r="IPU14" s="28"/>
      <c r="IPV14" s="28"/>
      <c r="IPW14" s="28"/>
      <c r="IPX14" s="28"/>
      <c r="IPY14" s="28"/>
      <c r="IPZ14" s="28"/>
      <c r="IQA14" s="28"/>
      <c r="IQB14" s="28"/>
      <c r="IQC14" s="28"/>
      <c r="IQD14" s="28"/>
      <c r="IQE14" s="28"/>
      <c r="IQF14" s="28"/>
      <c r="IQG14" s="28"/>
      <c r="IQH14" s="28"/>
      <c r="IQI14" s="28"/>
      <c r="IQJ14" s="28"/>
      <c r="IQK14" s="28"/>
      <c r="IQL14" s="28"/>
      <c r="IQM14" s="28"/>
      <c r="IQN14" s="28"/>
      <c r="IQO14" s="28"/>
      <c r="IQP14" s="28"/>
      <c r="IQQ14" s="28"/>
      <c r="IQR14" s="28"/>
      <c r="IQS14" s="28"/>
      <c r="IQT14" s="28"/>
      <c r="IQU14" s="28"/>
      <c r="IQV14" s="28"/>
      <c r="IQW14" s="28"/>
      <c r="IQX14" s="28"/>
      <c r="IQY14" s="28"/>
      <c r="IQZ14" s="28"/>
      <c r="IRA14" s="28"/>
      <c r="IRB14" s="28"/>
      <c r="IRC14" s="28"/>
      <c r="IRD14" s="28"/>
      <c r="IRE14" s="28"/>
      <c r="IRF14" s="28"/>
      <c r="IRG14" s="28"/>
      <c r="IRH14" s="28"/>
      <c r="IRI14" s="28"/>
      <c r="IRJ14" s="28"/>
      <c r="IRK14" s="28"/>
      <c r="IRL14" s="28"/>
      <c r="IRM14" s="28"/>
      <c r="IRN14" s="28"/>
      <c r="IRO14" s="28"/>
      <c r="IRP14" s="28"/>
      <c r="IRQ14" s="28"/>
      <c r="IRR14" s="28"/>
      <c r="IRS14" s="28"/>
      <c r="IRT14" s="28"/>
      <c r="IRU14" s="28"/>
      <c r="IRV14" s="28"/>
      <c r="IRW14" s="28"/>
      <c r="IRX14" s="28"/>
      <c r="IRY14" s="28"/>
      <c r="IRZ14" s="28"/>
      <c r="ISA14" s="28"/>
      <c r="ISB14" s="28"/>
      <c r="ISC14" s="28"/>
      <c r="ISD14" s="28"/>
      <c r="ISE14" s="28"/>
      <c r="ISF14" s="28"/>
      <c r="ISG14" s="28"/>
      <c r="ISH14" s="28"/>
      <c r="ISI14" s="28"/>
      <c r="ISJ14" s="28"/>
      <c r="ISK14" s="28"/>
      <c r="ISL14" s="28"/>
      <c r="ISM14" s="28"/>
      <c r="ISN14" s="28"/>
      <c r="ISO14" s="28"/>
      <c r="ISP14" s="28"/>
      <c r="ISQ14" s="28"/>
      <c r="ISR14" s="28"/>
      <c r="ISS14" s="28"/>
      <c r="IST14" s="28"/>
      <c r="ISU14" s="28"/>
      <c r="ISV14" s="28"/>
      <c r="ISW14" s="28"/>
      <c r="ISX14" s="28"/>
      <c r="ISY14" s="28"/>
      <c r="ISZ14" s="28"/>
      <c r="ITA14" s="28"/>
      <c r="ITB14" s="28"/>
      <c r="ITC14" s="28"/>
      <c r="ITD14" s="28"/>
      <c r="ITE14" s="28"/>
      <c r="ITF14" s="28"/>
      <c r="ITG14" s="28"/>
      <c r="ITH14" s="28"/>
      <c r="ITI14" s="28"/>
      <c r="ITJ14" s="28"/>
      <c r="ITK14" s="28"/>
      <c r="ITL14" s="28"/>
      <c r="ITM14" s="28"/>
      <c r="ITN14" s="28"/>
      <c r="ITO14" s="28"/>
      <c r="ITP14" s="28"/>
      <c r="ITQ14" s="28"/>
      <c r="ITR14" s="28"/>
      <c r="ITS14" s="28"/>
      <c r="ITT14" s="28"/>
      <c r="ITU14" s="28"/>
      <c r="ITV14" s="28"/>
      <c r="ITW14" s="28"/>
      <c r="ITX14" s="28"/>
      <c r="ITY14" s="28"/>
      <c r="ITZ14" s="28"/>
      <c r="IUA14" s="28"/>
      <c r="IUB14" s="28"/>
      <c r="IUC14" s="28"/>
      <c r="IUD14" s="28"/>
      <c r="IUE14" s="28"/>
      <c r="IUF14" s="28"/>
      <c r="IUG14" s="28"/>
      <c r="IUH14" s="28"/>
      <c r="IUI14" s="28"/>
      <c r="IUJ14" s="28"/>
      <c r="IUK14" s="28"/>
      <c r="IUL14" s="28"/>
      <c r="IUM14" s="28"/>
      <c r="IUN14" s="28"/>
      <c r="IUO14" s="28"/>
      <c r="IUP14" s="28"/>
      <c r="IUQ14" s="28"/>
      <c r="IUR14" s="28"/>
      <c r="IUS14" s="28"/>
      <c r="IUT14" s="28"/>
      <c r="IUU14" s="28"/>
      <c r="IUV14" s="28"/>
      <c r="IUW14" s="28"/>
      <c r="IUX14" s="28"/>
      <c r="IUY14" s="28"/>
      <c r="IUZ14" s="28"/>
      <c r="IVA14" s="28"/>
      <c r="IVB14" s="28"/>
      <c r="IVC14" s="28"/>
      <c r="IVD14" s="28"/>
      <c r="IVE14" s="28"/>
      <c r="IVF14" s="28"/>
      <c r="IVG14" s="28"/>
      <c r="IVH14" s="28"/>
      <c r="IVI14" s="28"/>
      <c r="IVJ14" s="28"/>
      <c r="IVK14" s="28"/>
      <c r="IVL14" s="28"/>
      <c r="IVM14" s="28"/>
      <c r="IVN14" s="28"/>
      <c r="IVO14" s="28"/>
      <c r="IVP14" s="28"/>
      <c r="IVQ14" s="28"/>
      <c r="IVR14" s="28"/>
      <c r="IVS14" s="28"/>
      <c r="IVT14" s="28"/>
      <c r="IVU14" s="28"/>
      <c r="IVV14" s="28"/>
      <c r="IVW14" s="28"/>
      <c r="IVX14" s="28"/>
      <c r="IVY14" s="28"/>
      <c r="IVZ14" s="28"/>
      <c r="IWA14" s="28"/>
      <c r="IWB14" s="28"/>
      <c r="IWC14" s="28"/>
      <c r="IWD14" s="28"/>
      <c r="IWE14" s="28"/>
      <c r="IWF14" s="28"/>
      <c r="IWG14" s="28"/>
      <c r="IWH14" s="28"/>
      <c r="IWI14" s="28"/>
      <c r="IWJ14" s="28"/>
      <c r="IWK14" s="28"/>
      <c r="IWL14" s="28"/>
      <c r="IWM14" s="28"/>
      <c r="IWN14" s="28"/>
      <c r="IWO14" s="28"/>
      <c r="IWP14" s="28"/>
      <c r="IWQ14" s="28"/>
      <c r="IWR14" s="28"/>
      <c r="IWS14" s="28"/>
      <c r="IWT14" s="28"/>
      <c r="IWU14" s="28"/>
      <c r="IWV14" s="28"/>
      <c r="IWW14" s="28"/>
      <c r="IWX14" s="28"/>
      <c r="IWY14" s="28"/>
      <c r="IWZ14" s="28"/>
      <c r="IXA14" s="28"/>
      <c r="IXB14" s="28"/>
      <c r="IXC14" s="28"/>
      <c r="IXD14" s="28"/>
      <c r="IXE14" s="28"/>
      <c r="IXF14" s="28"/>
      <c r="IXG14" s="28"/>
      <c r="IXH14" s="28"/>
      <c r="IXI14" s="28"/>
      <c r="IXJ14" s="28"/>
      <c r="IXK14" s="28"/>
      <c r="IXL14" s="28"/>
      <c r="IXM14" s="28"/>
      <c r="IXN14" s="28"/>
      <c r="IXO14" s="28"/>
      <c r="IXP14" s="28"/>
      <c r="IXQ14" s="28"/>
      <c r="IXR14" s="28"/>
      <c r="IXS14" s="28"/>
      <c r="IXT14" s="28"/>
      <c r="IXU14" s="28"/>
      <c r="IXV14" s="28"/>
      <c r="IXW14" s="28"/>
      <c r="IXX14" s="28"/>
      <c r="IXY14" s="28"/>
      <c r="IXZ14" s="28"/>
      <c r="IYA14" s="28"/>
      <c r="IYB14" s="28"/>
      <c r="IYC14" s="28"/>
      <c r="IYD14" s="28"/>
      <c r="IYE14" s="28"/>
      <c r="IYF14" s="28"/>
      <c r="IYG14" s="28"/>
      <c r="IYH14" s="28"/>
      <c r="IYI14" s="28"/>
      <c r="IYJ14" s="28"/>
      <c r="IYK14" s="28"/>
      <c r="IYL14" s="28"/>
      <c r="IYM14" s="28"/>
      <c r="IYN14" s="28"/>
      <c r="IYO14" s="28"/>
      <c r="IYP14" s="28"/>
      <c r="IYQ14" s="28"/>
      <c r="IYR14" s="28"/>
      <c r="IYS14" s="28"/>
      <c r="IYT14" s="28"/>
      <c r="IYU14" s="28"/>
      <c r="IYV14" s="28"/>
      <c r="IYW14" s="28"/>
      <c r="IYX14" s="28"/>
      <c r="IYY14" s="28"/>
      <c r="IYZ14" s="28"/>
      <c r="IZA14" s="28"/>
      <c r="IZB14" s="28"/>
      <c r="IZC14" s="28"/>
      <c r="IZD14" s="28"/>
      <c r="IZE14" s="28"/>
      <c r="IZF14" s="28"/>
      <c r="IZG14" s="28"/>
      <c r="IZH14" s="28"/>
      <c r="IZI14" s="28"/>
      <c r="IZJ14" s="28"/>
      <c r="IZK14" s="28"/>
      <c r="IZL14" s="28"/>
      <c r="IZM14" s="28"/>
      <c r="IZN14" s="28"/>
      <c r="IZO14" s="28"/>
      <c r="IZP14" s="28"/>
      <c r="IZQ14" s="28"/>
      <c r="IZR14" s="28"/>
      <c r="IZS14" s="28"/>
      <c r="IZT14" s="28"/>
      <c r="IZU14" s="28"/>
      <c r="IZV14" s="28"/>
      <c r="IZW14" s="28"/>
      <c r="IZX14" s="28"/>
      <c r="IZY14" s="28"/>
      <c r="IZZ14" s="28"/>
      <c r="JAA14" s="28"/>
      <c r="JAB14" s="28"/>
      <c r="JAC14" s="28"/>
      <c r="JAD14" s="28"/>
      <c r="JAE14" s="28"/>
      <c r="JAF14" s="28"/>
      <c r="JAG14" s="28"/>
      <c r="JAH14" s="28"/>
      <c r="JAI14" s="28"/>
      <c r="JAJ14" s="28"/>
      <c r="JAK14" s="28"/>
      <c r="JAL14" s="28"/>
      <c r="JAM14" s="28"/>
      <c r="JAN14" s="28"/>
      <c r="JAO14" s="28"/>
      <c r="JAP14" s="28"/>
      <c r="JAQ14" s="28"/>
      <c r="JAR14" s="28"/>
      <c r="JAS14" s="28"/>
      <c r="JAT14" s="28"/>
      <c r="JAU14" s="28"/>
      <c r="JAV14" s="28"/>
      <c r="JAW14" s="28"/>
      <c r="JAX14" s="28"/>
      <c r="JAY14" s="28"/>
      <c r="JAZ14" s="28"/>
      <c r="JBA14" s="28"/>
      <c r="JBB14" s="28"/>
      <c r="JBC14" s="28"/>
      <c r="JBD14" s="28"/>
      <c r="JBE14" s="28"/>
      <c r="JBF14" s="28"/>
      <c r="JBG14" s="28"/>
      <c r="JBH14" s="28"/>
      <c r="JBI14" s="28"/>
      <c r="JBJ14" s="28"/>
      <c r="JBK14" s="28"/>
      <c r="JBL14" s="28"/>
      <c r="JBM14" s="28"/>
      <c r="JBN14" s="28"/>
      <c r="JBO14" s="28"/>
      <c r="JBP14" s="28"/>
      <c r="JBQ14" s="28"/>
      <c r="JBR14" s="28"/>
      <c r="JBS14" s="28"/>
      <c r="JBT14" s="28"/>
      <c r="JBU14" s="28"/>
      <c r="JBV14" s="28"/>
      <c r="JBW14" s="28"/>
      <c r="JBX14" s="28"/>
      <c r="JBY14" s="28"/>
      <c r="JBZ14" s="28"/>
      <c r="JCA14" s="28"/>
      <c r="JCB14" s="28"/>
      <c r="JCC14" s="28"/>
      <c r="JCD14" s="28"/>
      <c r="JCE14" s="28"/>
      <c r="JCF14" s="28"/>
      <c r="JCG14" s="28"/>
      <c r="JCH14" s="28"/>
      <c r="JCI14" s="28"/>
      <c r="JCJ14" s="28"/>
      <c r="JCK14" s="28"/>
      <c r="JCL14" s="28"/>
      <c r="JCM14" s="28"/>
      <c r="JCN14" s="28"/>
      <c r="JCO14" s="28"/>
      <c r="JCP14" s="28"/>
      <c r="JCQ14" s="28"/>
      <c r="JCR14" s="28"/>
      <c r="JCS14" s="28"/>
      <c r="JCT14" s="28"/>
      <c r="JCU14" s="28"/>
      <c r="JCV14" s="28"/>
      <c r="JCW14" s="28"/>
      <c r="JCX14" s="28"/>
      <c r="JCY14" s="28"/>
      <c r="JCZ14" s="28"/>
      <c r="JDA14" s="28"/>
      <c r="JDB14" s="28"/>
      <c r="JDC14" s="28"/>
      <c r="JDD14" s="28"/>
      <c r="JDE14" s="28"/>
      <c r="JDF14" s="28"/>
      <c r="JDG14" s="28"/>
      <c r="JDH14" s="28"/>
      <c r="JDI14" s="28"/>
      <c r="JDJ14" s="28"/>
      <c r="JDK14" s="28"/>
      <c r="JDL14" s="28"/>
      <c r="JDM14" s="28"/>
      <c r="JDN14" s="28"/>
      <c r="JDO14" s="28"/>
      <c r="JDP14" s="28"/>
      <c r="JDQ14" s="28"/>
      <c r="JDR14" s="28"/>
      <c r="JDS14" s="28"/>
      <c r="JDT14" s="28"/>
      <c r="JDU14" s="28"/>
      <c r="JDV14" s="28"/>
      <c r="JDW14" s="28"/>
      <c r="JDX14" s="28"/>
      <c r="JDY14" s="28"/>
      <c r="JDZ14" s="28"/>
      <c r="JEA14" s="28"/>
      <c r="JEB14" s="28"/>
      <c r="JEC14" s="28"/>
      <c r="JED14" s="28"/>
      <c r="JEE14" s="28"/>
      <c r="JEF14" s="28"/>
      <c r="JEG14" s="28"/>
      <c r="JEH14" s="28"/>
      <c r="JEI14" s="28"/>
      <c r="JEJ14" s="28"/>
      <c r="JEK14" s="28"/>
      <c r="JEL14" s="28"/>
      <c r="JEM14" s="28"/>
      <c r="JEN14" s="28"/>
      <c r="JEO14" s="28"/>
      <c r="JEP14" s="28"/>
      <c r="JEQ14" s="28"/>
      <c r="JER14" s="28"/>
      <c r="JES14" s="28"/>
      <c r="JET14" s="28"/>
      <c r="JEU14" s="28"/>
      <c r="JEV14" s="28"/>
      <c r="JEW14" s="28"/>
      <c r="JEX14" s="28"/>
      <c r="JEY14" s="28"/>
      <c r="JEZ14" s="28"/>
      <c r="JFA14" s="28"/>
      <c r="JFB14" s="28"/>
      <c r="JFC14" s="28"/>
      <c r="JFD14" s="28"/>
      <c r="JFE14" s="28"/>
      <c r="JFF14" s="28"/>
      <c r="JFG14" s="28"/>
      <c r="JFH14" s="28"/>
      <c r="JFI14" s="28"/>
      <c r="JFJ14" s="28"/>
      <c r="JFK14" s="28"/>
      <c r="JFL14" s="28"/>
      <c r="JFM14" s="28"/>
      <c r="JFN14" s="28"/>
      <c r="JFO14" s="28"/>
      <c r="JFP14" s="28"/>
      <c r="JFQ14" s="28"/>
      <c r="JFR14" s="28"/>
      <c r="JFS14" s="28"/>
      <c r="JFT14" s="28"/>
      <c r="JFU14" s="28"/>
      <c r="JFV14" s="28"/>
      <c r="JFW14" s="28"/>
      <c r="JFX14" s="28"/>
      <c r="JFY14" s="28"/>
      <c r="JFZ14" s="28"/>
      <c r="JGA14" s="28"/>
      <c r="JGB14" s="28"/>
      <c r="JGC14" s="28"/>
      <c r="JGD14" s="28"/>
      <c r="JGE14" s="28"/>
      <c r="JGF14" s="28"/>
      <c r="JGG14" s="28"/>
      <c r="JGH14" s="28"/>
      <c r="JGI14" s="28"/>
      <c r="JGJ14" s="28"/>
      <c r="JGK14" s="28"/>
      <c r="JGL14" s="28"/>
      <c r="JGM14" s="28"/>
      <c r="JGN14" s="28"/>
      <c r="JGO14" s="28"/>
      <c r="JGP14" s="28"/>
      <c r="JGQ14" s="28"/>
      <c r="JGR14" s="28"/>
      <c r="JGS14" s="28"/>
      <c r="JGT14" s="28"/>
      <c r="JGU14" s="28"/>
      <c r="JGV14" s="28"/>
      <c r="JGW14" s="28"/>
      <c r="JGX14" s="28"/>
      <c r="JGY14" s="28"/>
      <c r="JGZ14" s="28"/>
      <c r="JHA14" s="28"/>
      <c r="JHB14" s="28"/>
      <c r="JHC14" s="28"/>
      <c r="JHD14" s="28"/>
      <c r="JHE14" s="28"/>
      <c r="JHF14" s="28"/>
      <c r="JHG14" s="28"/>
      <c r="JHH14" s="28"/>
      <c r="JHI14" s="28"/>
      <c r="JHJ14" s="28"/>
      <c r="JHK14" s="28"/>
      <c r="JHL14" s="28"/>
      <c r="JHM14" s="28"/>
      <c r="JHN14" s="28"/>
      <c r="JHO14" s="28"/>
      <c r="JHP14" s="28"/>
      <c r="JHQ14" s="28"/>
      <c r="JHR14" s="28"/>
      <c r="JHS14" s="28"/>
      <c r="JHT14" s="28"/>
      <c r="JHU14" s="28"/>
      <c r="JHV14" s="28"/>
      <c r="JHW14" s="28"/>
      <c r="JHX14" s="28"/>
      <c r="JHY14" s="28"/>
      <c r="JHZ14" s="28"/>
      <c r="JIA14" s="28"/>
      <c r="JIB14" s="28"/>
      <c r="JIC14" s="28"/>
      <c r="JID14" s="28"/>
      <c r="JIE14" s="28"/>
      <c r="JIF14" s="28"/>
      <c r="JIG14" s="28"/>
      <c r="JIH14" s="28"/>
      <c r="JII14" s="28"/>
      <c r="JIJ14" s="28"/>
      <c r="JIK14" s="28"/>
      <c r="JIL14" s="28"/>
      <c r="JIM14" s="28"/>
      <c r="JIN14" s="28"/>
      <c r="JIO14" s="28"/>
      <c r="JIP14" s="28"/>
      <c r="JIQ14" s="28"/>
      <c r="JIR14" s="28"/>
      <c r="JIS14" s="28"/>
      <c r="JIT14" s="28"/>
      <c r="JIU14" s="28"/>
      <c r="JIV14" s="28"/>
      <c r="JIW14" s="28"/>
      <c r="JIX14" s="28"/>
      <c r="JIY14" s="28"/>
      <c r="JIZ14" s="28"/>
      <c r="JJA14" s="28"/>
      <c r="JJB14" s="28"/>
      <c r="JJC14" s="28"/>
      <c r="JJD14" s="28"/>
      <c r="JJE14" s="28"/>
      <c r="JJF14" s="28"/>
      <c r="JJG14" s="28"/>
      <c r="JJH14" s="28"/>
      <c r="JJI14" s="28"/>
      <c r="JJJ14" s="28"/>
      <c r="JJK14" s="28"/>
      <c r="JJL14" s="28"/>
      <c r="JJM14" s="28"/>
      <c r="JJN14" s="28"/>
      <c r="JJO14" s="28"/>
      <c r="JJP14" s="28"/>
      <c r="JJQ14" s="28"/>
      <c r="JJR14" s="28"/>
      <c r="JJS14" s="28"/>
      <c r="JJT14" s="28"/>
      <c r="JJU14" s="28"/>
      <c r="JJV14" s="28"/>
      <c r="JJW14" s="28"/>
      <c r="JJX14" s="28"/>
      <c r="JJY14" s="28"/>
      <c r="JJZ14" s="28"/>
      <c r="JKA14" s="28"/>
      <c r="JKB14" s="28"/>
      <c r="JKC14" s="28"/>
      <c r="JKD14" s="28"/>
      <c r="JKE14" s="28"/>
      <c r="JKF14" s="28"/>
      <c r="JKG14" s="28"/>
      <c r="JKH14" s="28"/>
      <c r="JKI14" s="28"/>
      <c r="JKJ14" s="28"/>
      <c r="JKK14" s="28"/>
      <c r="JKL14" s="28"/>
      <c r="JKM14" s="28"/>
      <c r="JKN14" s="28"/>
      <c r="JKO14" s="28"/>
      <c r="JKP14" s="28"/>
      <c r="JKQ14" s="28"/>
      <c r="JKR14" s="28"/>
      <c r="JKS14" s="28"/>
      <c r="JKT14" s="28"/>
      <c r="JKU14" s="28"/>
      <c r="JKV14" s="28"/>
      <c r="JKW14" s="28"/>
      <c r="JKX14" s="28"/>
      <c r="JKY14" s="28"/>
      <c r="JKZ14" s="28"/>
      <c r="JLA14" s="28"/>
      <c r="JLB14" s="28"/>
      <c r="JLC14" s="28"/>
      <c r="JLD14" s="28"/>
      <c r="JLE14" s="28"/>
      <c r="JLF14" s="28"/>
      <c r="JLG14" s="28"/>
      <c r="JLH14" s="28"/>
      <c r="JLI14" s="28"/>
      <c r="JLJ14" s="28"/>
      <c r="JLK14" s="28"/>
      <c r="JLL14" s="28"/>
      <c r="JLM14" s="28"/>
      <c r="JLN14" s="28"/>
      <c r="JLO14" s="28"/>
      <c r="JLP14" s="28"/>
      <c r="JLQ14" s="28"/>
      <c r="JLR14" s="28"/>
      <c r="JLS14" s="28"/>
      <c r="JLT14" s="28"/>
      <c r="JLU14" s="28"/>
      <c r="JLV14" s="28"/>
      <c r="JLW14" s="28"/>
      <c r="JLX14" s="28"/>
      <c r="JLY14" s="28"/>
      <c r="JLZ14" s="28"/>
      <c r="JMA14" s="28"/>
      <c r="JMB14" s="28"/>
      <c r="JMC14" s="28"/>
      <c r="JMD14" s="28"/>
      <c r="JME14" s="28"/>
      <c r="JMF14" s="28"/>
      <c r="JMG14" s="28"/>
      <c r="JMH14" s="28"/>
      <c r="JMI14" s="28"/>
      <c r="JMJ14" s="28"/>
      <c r="JMK14" s="28"/>
      <c r="JML14" s="28"/>
      <c r="JMM14" s="28"/>
      <c r="JMN14" s="28"/>
      <c r="JMO14" s="28"/>
      <c r="JMP14" s="28"/>
      <c r="JMQ14" s="28"/>
      <c r="JMR14" s="28"/>
      <c r="JMS14" s="28"/>
      <c r="JMT14" s="28"/>
      <c r="JMU14" s="28"/>
      <c r="JMV14" s="28"/>
      <c r="JMW14" s="28"/>
      <c r="JMX14" s="28"/>
      <c r="JMY14" s="28"/>
      <c r="JMZ14" s="28"/>
      <c r="JNA14" s="28"/>
      <c r="JNB14" s="28"/>
      <c r="JNC14" s="28"/>
      <c r="JND14" s="28"/>
      <c r="JNE14" s="28"/>
      <c r="JNF14" s="28"/>
      <c r="JNG14" s="28"/>
      <c r="JNH14" s="28"/>
      <c r="JNI14" s="28"/>
      <c r="JNJ14" s="28"/>
      <c r="JNK14" s="28"/>
      <c r="JNL14" s="28"/>
      <c r="JNM14" s="28"/>
      <c r="JNN14" s="28"/>
      <c r="JNO14" s="28"/>
      <c r="JNP14" s="28"/>
      <c r="JNQ14" s="28"/>
      <c r="JNR14" s="28"/>
      <c r="JNS14" s="28"/>
      <c r="JNT14" s="28"/>
      <c r="JNU14" s="28"/>
      <c r="JNV14" s="28"/>
      <c r="JNW14" s="28"/>
      <c r="JNX14" s="28"/>
      <c r="JNY14" s="28"/>
      <c r="JNZ14" s="28"/>
      <c r="JOA14" s="28"/>
      <c r="JOB14" s="28"/>
      <c r="JOC14" s="28"/>
      <c r="JOD14" s="28"/>
      <c r="JOE14" s="28"/>
      <c r="JOF14" s="28"/>
      <c r="JOG14" s="28"/>
      <c r="JOH14" s="28"/>
      <c r="JOI14" s="28"/>
      <c r="JOJ14" s="28"/>
      <c r="JOK14" s="28"/>
      <c r="JOL14" s="28"/>
      <c r="JOM14" s="28"/>
      <c r="JON14" s="28"/>
      <c r="JOO14" s="28"/>
      <c r="JOP14" s="28"/>
      <c r="JOQ14" s="28"/>
      <c r="JOR14" s="28"/>
      <c r="JOS14" s="28"/>
      <c r="JOT14" s="28"/>
      <c r="JOU14" s="28"/>
      <c r="JOV14" s="28"/>
      <c r="JOW14" s="28"/>
      <c r="JOX14" s="28"/>
      <c r="JOY14" s="28"/>
      <c r="JOZ14" s="28"/>
      <c r="JPA14" s="28"/>
      <c r="JPB14" s="28"/>
      <c r="JPC14" s="28"/>
      <c r="JPD14" s="28"/>
      <c r="JPE14" s="28"/>
      <c r="JPF14" s="28"/>
      <c r="JPG14" s="28"/>
      <c r="JPH14" s="28"/>
      <c r="JPI14" s="28"/>
      <c r="JPJ14" s="28"/>
      <c r="JPK14" s="28"/>
      <c r="JPL14" s="28"/>
      <c r="JPM14" s="28"/>
      <c r="JPN14" s="28"/>
      <c r="JPO14" s="28"/>
      <c r="JPP14" s="28"/>
      <c r="JPQ14" s="28"/>
      <c r="JPR14" s="28"/>
      <c r="JPS14" s="28"/>
      <c r="JPT14" s="28"/>
      <c r="JPU14" s="28"/>
      <c r="JPV14" s="28"/>
      <c r="JPW14" s="28"/>
      <c r="JPX14" s="28"/>
      <c r="JPY14" s="28"/>
      <c r="JPZ14" s="28"/>
      <c r="JQA14" s="28"/>
      <c r="JQB14" s="28"/>
      <c r="JQC14" s="28"/>
      <c r="JQD14" s="28"/>
      <c r="JQE14" s="28"/>
      <c r="JQF14" s="28"/>
      <c r="JQG14" s="28"/>
      <c r="JQH14" s="28"/>
      <c r="JQI14" s="28"/>
      <c r="JQJ14" s="28"/>
      <c r="JQK14" s="28"/>
      <c r="JQL14" s="28"/>
      <c r="JQM14" s="28"/>
      <c r="JQN14" s="28"/>
      <c r="JQO14" s="28"/>
      <c r="JQP14" s="28"/>
      <c r="JQQ14" s="28"/>
      <c r="JQR14" s="28"/>
      <c r="JQS14" s="28"/>
      <c r="JQT14" s="28"/>
      <c r="JQU14" s="28"/>
      <c r="JQV14" s="28"/>
      <c r="JQW14" s="28"/>
      <c r="JQX14" s="28"/>
      <c r="JQY14" s="28"/>
      <c r="JQZ14" s="28"/>
      <c r="JRA14" s="28"/>
      <c r="JRB14" s="28"/>
      <c r="JRC14" s="28"/>
      <c r="JRD14" s="28"/>
      <c r="JRE14" s="28"/>
      <c r="JRF14" s="28"/>
      <c r="JRG14" s="28"/>
      <c r="JRH14" s="28"/>
      <c r="JRI14" s="28"/>
      <c r="JRJ14" s="28"/>
      <c r="JRK14" s="28"/>
      <c r="JRL14" s="28"/>
      <c r="JRM14" s="28"/>
      <c r="JRN14" s="28"/>
      <c r="JRO14" s="28"/>
      <c r="JRP14" s="28"/>
      <c r="JRQ14" s="28"/>
      <c r="JRR14" s="28"/>
      <c r="JRS14" s="28"/>
      <c r="JRT14" s="28"/>
      <c r="JRU14" s="28"/>
      <c r="JRV14" s="28"/>
      <c r="JRW14" s="28"/>
      <c r="JRX14" s="28"/>
      <c r="JRY14" s="28"/>
      <c r="JRZ14" s="28"/>
      <c r="JSA14" s="28"/>
      <c r="JSB14" s="28"/>
      <c r="JSC14" s="28"/>
      <c r="JSD14" s="28"/>
      <c r="JSE14" s="28"/>
      <c r="JSF14" s="28"/>
      <c r="JSG14" s="28"/>
      <c r="JSH14" s="28"/>
      <c r="JSI14" s="28"/>
      <c r="JSJ14" s="28"/>
      <c r="JSK14" s="28"/>
      <c r="JSL14" s="28"/>
      <c r="JSM14" s="28"/>
      <c r="JSN14" s="28"/>
      <c r="JSO14" s="28"/>
      <c r="JSP14" s="28"/>
      <c r="JSQ14" s="28"/>
      <c r="JSR14" s="28"/>
      <c r="JSS14" s="28"/>
      <c r="JST14" s="28"/>
      <c r="JSU14" s="28"/>
      <c r="JSV14" s="28"/>
      <c r="JSW14" s="28"/>
      <c r="JSX14" s="28"/>
      <c r="JSY14" s="28"/>
      <c r="JSZ14" s="28"/>
      <c r="JTA14" s="28"/>
      <c r="JTB14" s="28"/>
      <c r="JTC14" s="28"/>
      <c r="JTD14" s="28"/>
      <c r="JTE14" s="28"/>
      <c r="JTF14" s="28"/>
      <c r="JTG14" s="28"/>
      <c r="JTH14" s="28"/>
      <c r="JTI14" s="28"/>
      <c r="JTJ14" s="28"/>
      <c r="JTK14" s="28"/>
      <c r="JTL14" s="28"/>
      <c r="JTM14" s="28"/>
      <c r="JTN14" s="28"/>
      <c r="JTO14" s="28"/>
      <c r="JTP14" s="28"/>
      <c r="JTQ14" s="28"/>
      <c r="JTR14" s="28"/>
      <c r="JTS14" s="28"/>
      <c r="JTT14" s="28"/>
      <c r="JTU14" s="28"/>
      <c r="JTV14" s="28"/>
      <c r="JTW14" s="28"/>
      <c r="JTX14" s="28"/>
      <c r="JTY14" s="28"/>
      <c r="JTZ14" s="28"/>
      <c r="JUA14" s="28"/>
      <c r="JUB14" s="28"/>
      <c r="JUC14" s="28"/>
      <c r="JUD14" s="28"/>
      <c r="JUE14" s="28"/>
      <c r="JUF14" s="28"/>
      <c r="JUG14" s="28"/>
      <c r="JUH14" s="28"/>
      <c r="JUI14" s="28"/>
      <c r="JUJ14" s="28"/>
      <c r="JUK14" s="28"/>
      <c r="JUL14" s="28"/>
      <c r="JUM14" s="28"/>
      <c r="JUN14" s="28"/>
      <c r="JUO14" s="28"/>
      <c r="JUP14" s="28"/>
      <c r="JUQ14" s="28"/>
      <c r="JUR14" s="28"/>
      <c r="JUS14" s="28"/>
      <c r="JUT14" s="28"/>
      <c r="JUU14" s="28"/>
      <c r="JUV14" s="28"/>
      <c r="JUW14" s="28"/>
      <c r="JUX14" s="28"/>
      <c r="JUY14" s="28"/>
      <c r="JUZ14" s="28"/>
      <c r="JVA14" s="28"/>
      <c r="JVB14" s="28"/>
      <c r="JVC14" s="28"/>
      <c r="JVD14" s="28"/>
      <c r="JVE14" s="28"/>
      <c r="JVF14" s="28"/>
      <c r="JVG14" s="28"/>
      <c r="JVH14" s="28"/>
      <c r="JVI14" s="28"/>
      <c r="JVJ14" s="28"/>
      <c r="JVK14" s="28"/>
      <c r="JVL14" s="28"/>
      <c r="JVM14" s="28"/>
      <c r="JVN14" s="28"/>
      <c r="JVO14" s="28"/>
      <c r="JVP14" s="28"/>
      <c r="JVQ14" s="28"/>
      <c r="JVR14" s="28"/>
      <c r="JVS14" s="28"/>
      <c r="JVT14" s="28"/>
      <c r="JVU14" s="28"/>
      <c r="JVV14" s="28"/>
      <c r="JVW14" s="28"/>
      <c r="JVX14" s="28"/>
      <c r="JVY14" s="28"/>
      <c r="JVZ14" s="28"/>
      <c r="JWA14" s="28"/>
      <c r="JWB14" s="28"/>
      <c r="JWC14" s="28"/>
      <c r="JWD14" s="28"/>
      <c r="JWE14" s="28"/>
      <c r="JWF14" s="28"/>
      <c r="JWG14" s="28"/>
      <c r="JWH14" s="28"/>
      <c r="JWI14" s="28"/>
      <c r="JWJ14" s="28"/>
      <c r="JWK14" s="28"/>
      <c r="JWL14" s="28"/>
      <c r="JWM14" s="28"/>
      <c r="JWN14" s="28"/>
      <c r="JWO14" s="28"/>
      <c r="JWP14" s="28"/>
      <c r="JWQ14" s="28"/>
      <c r="JWR14" s="28"/>
      <c r="JWS14" s="28"/>
      <c r="JWT14" s="28"/>
      <c r="JWU14" s="28"/>
      <c r="JWV14" s="28"/>
      <c r="JWW14" s="28"/>
      <c r="JWX14" s="28"/>
      <c r="JWY14" s="28"/>
      <c r="JWZ14" s="28"/>
      <c r="JXA14" s="28"/>
      <c r="JXB14" s="28"/>
      <c r="JXC14" s="28"/>
      <c r="JXD14" s="28"/>
      <c r="JXE14" s="28"/>
      <c r="JXF14" s="28"/>
      <c r="JXG14" s="28"/>
      <c r="JXH14" s="28"/>
      <c r="JXI14" s="28"/>
      <c r="JXJ14" s="28"/>
      <c r="JXK14" s="28"/>
      <c r="JXL14" s="28"/>
      <c r="JXM14" s="28"/>
      <c r="JXN14" s="28"/>
      <c r="JXO14" s="28"/>
      <c r="JXP14" s="28"/>
      <c r="JXQ14" s="28"/>
      <c r="JXR14" s="28"/>
      <c r="JXS14" s="28"/>
      <c r="JXT14" s="28"/>
      <c r="JXU14" s="28"/>
      <c r="JXV14" s="28"/>
      <c r="JXW14" s="28"/>
      <c r="JXX14" s="28"/>
      <c r="JXY14" s="28"/>
      <c r="JXZ14" s="28"/>
      <c r="JYA14" s="28"/>
      <c r="JYB14" s="28"/>
      <c r="JYC14" s="28"/>
      <c r="JYD14" s="28"/>
      <c r="JYE14" s="28"/>
      <c r="JYF14" s="28"/>
      <c r="JYG14" s="28"/>
      <c r="JYH14" s="28"/>
      <c r="JYI14" s="28"/>
      <c r="JYJ14" s="28"/>
      <c r="JYK14" s="28"/>
      <c r="JYL14" s="28"/>
      <c r="JYM14" s="28"/>
      <c r="JYN14" s="28"/>
      <c r="JYO14" s="28"/>
      <c r="JYP14" s="28"/>
      <c r="JYQ14" s="28"/>
      <c r="JYR14" s="28"/>
      <c r="JYS14" s="28"/>
      <c r="JYT14" s="28"/>
      <c r="JYU14" s="28"/>
      <c r="JYV14" s="28"/>
      <c r="JYW14" s="28"/>
      <c r="JYX14" s="28"/>
      <c r="JYY14" s="28"/>
      <c r="JYZ14" s="28"/>
      <c r="JZA14" s="28"/>
      <c r="JZB14" s="28"/>
      <c r="JZC14" s="28"/>
      <c r="JZD14" s="28"/>
      <c r="JZE14" s="28"/>
      <c r="JZF14" s="28"/>
      <c r="JZG14" s="28"/>
      <c r="JZH14" s="28"/>
      <c r="JZI14" s="28"/>
      <c r="JZJ14" s="28"/>
      <c r="JZK14" s="28"/>
      <c r="JZL14" s="28"/>
      <c r="JZM14" s="28"/>
      <c r="JZN14" s="28"/>
      <c r="JZO14" s="28"/>
      <c r="JZP14" s="28"/>
      <c r="JZQ14" s="28"/>
      <c r="JZR14" s="28"/>
      <c r="JZS14" s="28"/>
      <c r="JZT14" s="28"/>
      <c r="JZU14" s="28"/>
      <c r="JZV14" s="28"/>
      <c r="JZW14" s="28"/>
      <c r="JZX14" s="28"/>
      <c r="JZY14" s="28"/>
      <c r="JZZ14" s="28"/>
      <c r="KAA14" s="28"/>
      <c r="KAB14" s="28"/>
      <c r="KAC14" s="28"/>
      <c r="KAD14" s="28"/>
      <c r="KAE14" s="28"/>
      <c r="KAF14" s="28"/>
      <c r="KAG14" s="28"/>
      <c r="KAH14" s="28"/>
      <c r="KAI14" s="28"/>
      <c r="KAJ14" s="28"/>
      <c r="KAK14" s="28"/>
      <c r="KAL14" s="28"/>
      <c r="KAM14" s="28"/>
      <c r="KAN14" s="28"/>
      <c r="KAO14" s="28"/>
      <c r="KAP14" s="28"/>
      <c r="KAQ14" s="28"/>
      <c r="KAR14" s="28"/>
      <c r="KAS14" s="28"/>
      <c r="KAT14" s="28"/>
      <c r="KAU14" s="28"/>
      <c r="KAV14" s="28"/>
      <c r="KAW14" s="28"/>
      <c r="KAX14" s="28"/>
      <c r="KAY14" s="28"/>
      <c r="KAZ14" s="28"/>
      <c r="KBA14" s="28"/>
      <c r="KBB14" s="28"/>
      <c r="KBC14" s="28"/>
      <c r="KBD14" s="28"/>
      <c r="KBE14" s="28"/>
      <c r="KBF14" s="28"/>
      <c r="KBG14" s="28"/>
      <c r="KBH14" s="28"/>
      <c r="KBI14" s="28"/>
      <c r="KBJ14" s="28"/>
      <c r="KBK14" s="28"/>
      <c r="KBL14" s="28"/>
      <c r="KBM14" s="28"/>
      <c r="KBN14" s="28"/>
      <c r="KBO14" s="28"/>
      <c r="KBP14" s="28"/>
      <c r="KBQ14" s="28"/>
      <c r="KBR14" s="28"/>
      <c r="KBS14" s="28"/>
      <c r="KBT14" s="28"/>
      <c r="KBU14" s="28"/>
      <c r="KBV14" s="28"/>
      <c r="KBW14" s="28"/>
      <c r="KBX14" s="28"/>
      <c r="KBY14" s="28"/>
      <c r="KBZ14" s="28"/>
      <c r="KCA14" s="28"/>
      <c r="KCB14" s="28"/>
      <c r="KCC14" s="28"/>
      <c r="KCD14" s="28"/>
      <c r="KCE14" s="28"/>
      <c r="KCF14" s="28"/>
      <c r="KCG14" s="28"/>
      <c r="KCH14" s="28"/>
      <c r="KCI14" s="28"/>
      <c r="KCJ14" s="28"/>
      <c r="KCK14" s="28"/>
      <c r="KCL14" s="28"/>
      <c r="KCM14" s="28"/>
      <c r="KCN14" s="28"/>
      <c r="KCO14" s="28"/>
      <c r="KCP14" s="28"/>
      <c r="KCQ14" s="28"/>
      <c r="KCR14" s="28"/>
      <c r="KCS14" s="28"/>
      <c r="KCT14" s="28"/>
      <c r="KCU14" s="28"/>
      <c r="KCV14" s="28"/>
      <c r="KCW14" s="28"/>
      <c r="KCX14" s="28"/>
      <c r="KCY14" s="28"/>
      <c r="KCZ14" s="28"/>
      <c r="KDA14" s="28"/>
      <c r="KDB14" s="28"/>
      <c r="KDC14" s="28"/>
      <c r="KDD14" s="28"/>
      <c r="KDE14" s="28"/>
      <c r="KDF14" s="28"/>
      <c r="KDG14" s="28"/>
      <c r="KDH14" s="28"/>
      <c r="KDI14" s="28"/>
      <c r="KDJ14" s="28"/>
      <c r="KDK14" s="28"/>
      <c r="KDL14" s="28"/>
      <c r="KDM14" s="28"/>
      <c r="KDN14" s="28"/>
      <c r="KDO14" s="28"/>
      <c r="KDP14" s="28"/>
      <c r="KDQ14" s="28"/>
      <c r="KDR14" s="28"/>
      <c r="KDS14" s="28"/>
      <c r="KDT14" s="28"/>
      <c r="KDU14" s="28"/>
      <c r="KDV14" s="28"/>
      <c r="KDW14" s="28"/>
      <c r="KDX14" s="28"/>
      <c r="KDY14" s="28"/>
      <c r="KDZ14" s="28"/>
      <c r="KEA14" s="28"/>
      <c r="KEB14" s="28"/>
      <c r="KEC14" s="28"/>
      <c r="KED14" s="28"/>
      <c r="KEE14" s="28"/>
      <c r="KEF14" s="28"/>
      <c r="KEG14" s="28"/>
      <c r="KEH14" s="28"/>
      <c r="KEI14" s="28"/>
      <c r="KEJ14" s="28"/>
      <c r="KEK14" s="28"/>
      <c r="KEL14" s="28"/>
      <c r="KEM14" s="28"/>
      <c r="KEN14" s="28"/>
      <c r="KEO14" s="28"/>
      <c r="KEP14" s="28"/>
      <c r="KEQ14" s="28"/>
      <c r="KER14" s="28"/>
      <c r="KES14" s="28"/>
      <c r="KET14" s="28"/>
      <c r="KEU14" s="28"/>
      <c r="KEV14" s="28"/>
      <c r="KEW14" s="28"/>
      <c r="KEX14" s="28"/>
      <c r="KEY14" s="28"/>
      <c r="KEZ14" s="28"/>
      <c r="KFA14" s="28"/>
      <c r="KFB14" s="28"/>
      <c r="KFC14" s="28"/>
      <c r="KFD14" s="28"/>
      <c r="KFE14" s="28"/>
      <c r="KFF14" s="28"/>
      <c r="KFG14" s="28"/>
      <c r="KFH14" s="28"/>
      <c r="KFI14" s="28"/>
      <c r="KFJ14" s="28"/>
      <c r="KFK14" s="28"/>
      <c r="KFL14" s="28"/>
      <c r="KFM14" s="28"/>
      <c r="KFN14" s="28"/>
      <c r="KFO14" s="28"/>
      <c r="KFP14" s="28"/>
      <c r="KFQ14" s="28"/>
      <c r="KFR14" s="28"/>
      <c r="KFS14" s="28"/>
      <c r="KFT14" s="28"/>
      <c r="KFU14" s="28"/>
      <c r="KFV14" s="28"/>
      <c r="KFW14" s="28"/>
      <c r="KFX14" s="28"/>
      <c r="KFY14" s="28"/>
      <c r="KFZ14" s="28"/>
      <c r="KGA14" s="28"/>
      <c r="KGB14" s="28"/>
      <c r="KGC14" s="28"/>
      <c r="KGD14" s="28"/>
      <c r="KGE14" s="28"/>
      <c r="KGF14" s="28"/>
      <c r="KGG14" s="28"/>
      <c r="KGH14" s="28"/>
      <c r="KGI14" s="28"/>
      <c r="KGJ14" s="28"/>
      <c r="KGK14" s="28"/>
      <c r="KGL14" s="28"/>
      <c r="KGM14" s="28"/>
      <c r="KGN14" s="28"/>
      <c r="KGO14" s="28"/>
      <c r="KGP14" s="28"/>
      <c r="KGQ14" s="28"/>
      <c r="KGR14" s="28"/>
      <c r="KGS14" s="28"/>
      <c r="KGT14" s="28"/>
      <c r="KGU14" s="28"/>
      <c r="KGV14" s="28"/>
      <c r="KGW14" s="28"/>
      <c r="KGX14" s="28"/>
      <c r="KGY14" s="28"/>
      <c r="KGZ14" s="28"/>
      <c r="KHA14" s="28"/>
      <c r="KHB14" s="28"/>
      <c r="KHC14" s="28"/>
      <c r="KHD14" s="28"/>
      <c r="KHE14" s="28"/>
      <c r="KHF14" s="28"/>
      <c r="KHG14" s="28"/>
      <c r="KHH14" s="28"/>
      <c r="KHI14" s="28"/>
      <c r="KHJ14" s="28"/>
      <c r="KHK14" s="28"/>
      <c r="KHL14" s="28"/>
      <c r="KHM14" s="28"/>
      <c r="KHN14" s="28"/>
      <c r="KHO14" s="28"/>
      <c r="KHP14" s="28"/>
      <c r="KHQ14" s="28"/>
      <c r="KHR14" s="28"/>
      <c r="KHS14" s="28"/>
      <c r="KHT14" s="28"/>
      <c r="KHU14" s="28"/>
      <c r="KHV14" s="28"/>
      <c r="KHW14" s="28"/>
      <c r="KHX14" s="28"/>
      <c r="KHY14" s="28"/>
      <c r="KHZ14" s="28"/>
      <c r="KIA14" s="28"/>
      <c r="KIB14" s="28"/>
      <c r="KIC14" s="28"/>
      <c r="KID14" s="28"/>
      <c r="KIE14" s="28"/>
      <c r="KIF14" s="28"/>
      <c r="KIG14" s="28"/>
      <c r="KIH14" s="28"/>
      <c r="KII14" s="28"/>
      <c r="KIJ14" s="28"/>
      <c r="KIK14" s="28"/>
      <c r="KIL14" s="28"/>
      <c r="KIM14" s="28"/>
      <c r="KIN14" s="28"/>
      <c r="KIO14" s="28"/>
      <c r="KIP14" s="28"/>
      <c r="KIQ14" s="28"/>
      <c r="KIR14" s="28"/>
      <c r="KIS14" s="28"/>
      <c r="KIT14" s="28"/>
      <c r="KIU14" s="28"/>
      <c r="KIV14" s="28"/>
      <c r="KIW14" s="28"/>
      <c r="KIX14" s="28"/>
      <c r="KIY14" s="28"/>
      <c r="KIZ14" s="28"/>
      <c r="KJA14" s="28"/>
      <c r="KJB14" s="28"/>
      <c r="KJC14" s="28"/>
      <c r="KJD14" s="28"/>
      <c r="KJE14" s="28"/>
      <c r="KJF14" s="28"/>
      <c r="KJG14" s="28"/>
      <c r="KJH14" s="28"/>
      <c r="KJI14" s="28"/>
      <c r="KJJ14" s="28"/>
      <c r="KJK14" s="28"/>
      <c r="KJL14" s="28"/>
      <c r="KJM14" s="28"/>
      <c r="KJN14" s="28"/>
      <c r="KJO14" s="28"/>
      <c r="KJP14" s="28"/>
      <c r="KJQ14" s="28"/>
      <c r="KJR14" s="28"/>
      <c r="KJS14" s="28"/>
      <c r="KJT14" s="28"/>
      <c r="KJU14" s="28"/>
      <c r="KJV14" s="28"/>
      <c r="KJW14" s="28"/>
      <c r="KJX14" s="28"/>
      <c r="KJY14" s="28"/>
      <c r="KJZ14" s="28"/>
      <c r="KKA14" s="28"/>
      <c r="KKB14" s="28"/>
      <c r="KKC14" s="28"/>
      <c r="KKD14" s="28"/>
      <c r="KKE14" s="28"/>
      <c r="KKF14" s="28"/>
      <c r="KKG14" s="28"/>
      <c r="KKH14" s="28"/>
      <c r="KKI14" s="28"/>
      <c r="KKJ14" s="28"/>
      <c r="KKK14" s="28"/>
      <c r="KKL14" s="28"/>
      <c r="KKM14" s="28"/>
      <c r="KKN14" s="28"/>
      <c r="KKO14" s="28"/>
      <c r="KKP14" s="28"/>
      <c r="KKQ14" s="28"/>
      <c r="KKR14" s="28"/>
      <c r="KKS14" s="28"/>
      <c r="KKT14" s="28"/>
      <c r="KKU14" s="28"/>
      <c r="KKV14" s="28"/>
      <c r="KKW14" s="28"/>
      <c r="KKX14" s="28"/>
      <c r="KKY14" s="28"/>
      <c r="KKZ14" s="28"/>
      <c r="KLA14" s="28"/>
      <c r="KLB14" s="28"/>
      <c r="KLC14" s="28"/>
      <c r="KLD14" s="28"/>
      <c r="KLE14" s="28"/>
      <c r="KLF14" s="28"/>
      <c r="KLG14" s="28"/>
      <c r="KLH14" s="28"/>
      <c r="KLI14" s="28"/>
      <c r="KLJ14" s="28"/>
      <c r="KLK14" s="28"/>
      <c r="KLL14" s="28"/>
      <c r="KLM14" s="28"/>
      <c r="KLN14" s="28"/>
      <c r="KLO14" s="28"/>
      <c r="KLP14" s="28"/>
      <c r="KLQ14" s="28"/>
      <c r="KLR14" s="28"/>
      <c r="KLS14" s="28"/>
      <c r="KLT14" s="28"/>
      <c r="KLU14" s="28"/>
      <c r="KLV14" s="28"/>
      <c r="KLW14" s="28"/>
      <c r="KLX14" s="28"/>
      <c r="KLY14" s="28"/>
      <c r="KLZ14" s="28"/>
      <c r="KMA14" s="28"/>
      <c r="KMB14" s="28"/>
      <c r="KMC14" s="28"/>
      <c r="KMD14" s="28"/>
      <c r="KME14" s="28"/>
      <c r="KMF14" s="28"/>
      <c r="KMG14" s="28"/>
      <c r="KMH14" s="28"/>
      <c r="KMI14" s="28"/>
      <c r="KMJ14" s="28"/>
      <c r="KMK14" s="28"/>
      <c r="KML14" s="28"/>
      <c r="KMM14" s="28"/>
      <c r="KMN14" s="28"/>
      <c r="KMO14" s="28"/>
      <c r="KMP14" s="28"/>
      <c r="KMQ14" s="28"/>
      <c r="KMR14" s="28"/>
      <c r="KMS14" s="28"/>
      <c r="KMT14" s="28"/>
      <c r="KMU14" s="28"/>
      <c r="KMV14" s="28"/>
      <c r="KMW14" s="28"/>
      <c r="KMX14" s="28"/>
      <c r="KMY14" s="28"/>
      <c r="KMZ14" s="28"/>
      <c r="KNA14" s="28"/>
      <c r="KNB14" s="28"/>
      <c r="KNC14" s="28"/>
      <c r="KND14" s="28"/>
      <c r="KNE14" s="28"/>
      <c r="KNF14" s="28"/>
      <c r="KNG14" s="28"/>
      <c r="KNH14" s="28"/>
      <c r="KNI14" s="28"/>
      <c r="KNJ14" s="28"/>
      <c r="KNK14" s="28"/>
      <c r="KNL14" s="28"/>
      <c r="KNM14" s="28"/>
      <c r="KNN14" s="28"/>
      <c r="KNO14" s="28"/>
      <c r="KNP14" s="28"/>
      <c r="KNQ14" s="28"/>
      <c r="KNR14" s="28"/>
      <c r="KNS14" s="28"/>
      <c r="KNT14" s="28"/>
      <c r="KNU14" s="28"/>
      <c r="KNV14" s="28"/>
      <c r="KNW14" s="28"/>
      <c r="KNX14" s="28"/>
      <c r="KNY14" s="28"/>
      <c r="KNZ14" s="28"/>
      <c r="KOA14" s="28"/>
      <c r="KOB14" s="28"/>
      <c r="KOC14" s="28"/>
      <c r="KOD14" s="28"/>
      <c r="KOE14" s="28"/>
      <c r="KOF14" s="28"/>
      <c r="KOG14" s="28"/>
      <c r="KOH14" s="28"/>
      <c r="KOI14" s="28"/>
      <c r="KOJ14" s="28"/>
      <c r="KOK14" s="28"/>
      <c r="KOL14" s="28"/>
      <c r="KOM14" s="28"/>
      <c r="KON14" s="28"/>
      <c r="KOO14" s="28"/>
      <c r="KOP14" s="28"/>
      <c r="KOQ14" s="28"/>
      <c r="KOR14" s="28"/>
      <c r="KOS14" s="28"/>
      <c r="KOT14" s="28"/>
      <c r="KOU14" s="28"/>
      <c r="KOV14" s="28"/>
      <c r="KOW14" s="28"/>
      <c r="KOX14" s="28"/>
      <c r="KOY14" s="28"/>
      <c r="KOZ14" s="28"/>
      <c r="KPA14" s="28"/>
      <c r="KPB14" s="28"/>
      <c r="KPC14" s="28"/>
      <c r="KPD14" s="28"/>
      <c r="KPE14" s="28"/>
      <c r="KPF14" s="28"/>
      <c r="KPG14" s="28"/>
      <c r="KPH14" s="28"/>
      <c r="KPI14" s="28"/>
      <c r="KPJ14" s="28"/>
      <c r="KPK14" s="28"/>
      <c r="KPL14" s="28"/>
      <c r="KPM14" s="28"/>
      <c r="KPN14" s="28"/>
      <c r="KPO14" s="28"/>
      <c r="KPP14" s="28"/>
      <c r="KPQ14" s="28"/>
      <c r="KPR14" s="28"/>
      <c r="KPS14" s="28"/>
      <c r="KPT14" s="28"/>
      <c r="KPU14" s="28"/>
      <c r="KPV14" s="28"/>
      <c r="KPW14" s="28"/>
      <c r="KPX14" s="28"/>
      <c r="KPY14" s="28"/>
      <c r="KPZ14" s="28"/>
      <c r="KQA14" s="28"/>
      <c r="KQB14" s="28"/>
      <c r="KQC14" s="28"/>
      <c r="KQD14" s="28"/>
      <c r="KQE14" s="28"/>
      <c r="KQF14" s="28"/>
      <c r="KQG14" s="28"/>
      <c r="KQH14" s="28"/>
      <c r="KQI14" s="28"/>
      <c r="KQJ14" s="28"/>
      <c r="KQK14" s="28"/>
      <c r="KQL14" s="28"/>
      <c r="KQM14" s="28"/>
      <c r="KQN14" s="28"/>
      <c r="KQO14" s="28"/>
      <c r="KQP14" s="28"/>
      <c r="KQQ14" s="28"/>
      <c r="KQR14" s="28"/>
      <c r="KQS14" s="28"/>
      <c r="KQT14" s="28"/>
      <c r="KQU14" s="28"/>
      <c r="KQV14" s="28"/>
      <c r="KQW14" s="28"/>
      <c r="KQX14" s="28"/>
      <c r="KQY14" s="28"/>
      <c r="KQZ14" s="28"/>
      <c r="KRA14" s="28"/>
      <c r="KRB14" s="28"/>
      <c r="KRC14" s="28"/>
      <c r="KRD14" s="28"/>
      <c r="KRE14" s="28"/>
      <c r="KRF14" s="28"/>
      <c r="KRG14" s="28"/>
      <c r="KRH14" s="28"/>
      <c r="KRI14" s="28"/>
      <c r="KRJ14" s="28"/>
      <c r="KRK14" s="28"/>
      <c r="KRL14" s="28"/>
      <c r="KRM14" s="28"/>
      <c r="KRN14" s="28"/>
      <c r="KRO14" s="28"/>
      <c r="KRP14" s="28"/>
      <c r="KRQ14" s="28"/>
      <c r="KRR14" s="28"/>
      <c r="KRS14" s="28"/>
      <c r="KRT14" s="28"/>
      <c r="KRU14" s="28"/>
      <c r="KRV14" s="28"/>
      <c r="KRW14" s="28"/>
      <c r="KRX14" s="28"/>
      <c r="KRY14" s="28"/>
      <c r="KRZ14" s="28"/>
      <c r="KSA14" s="28"/>
      <c r="KSB14" s="28"/>
      <c r="KSC14" s="28"/>
      <c r="KSD14" s="28"/>
      <c r="KSE14" s="28"/>
      <c r="KSF14" s="28"/>
      <c r="KSG14" s="28"/>
      <c r="KSH14" s="28"/>
      <c r="KSI14" s="28"/>
      <c r="KSJ14" s="28"/>
      <c r="KSK14" s="28"/>
      <c r="KSL14" s="28"/>
      <c r="KSM14" s="28"/>
      <c r="KSN14" s="28"/>
      <c r="KSO14" s="28"/>
      <c r="KSP14" s="28"/>
      <c r="KSQ14" s="28"/>
      <c r="KSR14" s="28"/>
      <c r="KSS14" s="28"/>
      <c r="KST14" s="28"/>
      <c r="KSU14" s="28"/>
      <c r="KSV14" s="28"/>
      <c r="KSW14" s="28"/>
      <c r="KSX14" s="28"/>
      <c r="KSY14" s="28"/>
      <c r="KSZ14" s="28"/>
      <c r="KTA14" s="28"/>
      <c r="KTB14" s="28"/>
      <c r="KTC14" s="28"/>
      <c r="KTD14" s="28"/>
      <c r="KTE14" s="28"/>
      <c r="KTF14" s="28"/>
      <c r="KTG14" s="28"/>
      <c r="KTH14" s="28"/>
      <c r="KTI14" s="28"/>
      <c r="KTJ14" s="28"/>
      <c r="KTK14" s="28"/>
      <c r="KTL14" s="28"/>
      <c r="KTM14" s="28"/>
      <c r="KTN14" s="28"/>
      <c r="KTO14" s="28"/>
      <c r="KTP14" s="28"/>
      <c r="KTQ14" s="28"/>
      <c r="KTR14" s="28"/>
      <c r="KTS14" s="28"/>
      <c r="KTT14" s="28"/>
      <c r="KTU14" s="28"/>
      <c r="KTV14" s="28"/>
      <c r="KTW14" s="28"/>
      <c r="KTX14" s="28"/>
      <c r="KTY14" s="28"/>
      <c r="KTZ14" s="28"/>
      <c r="KUA14" s="28"/>
      <c r="KUB14" s="28"/>
      <c r="KUC14" s="28"/>
      <c r="KUD14" s="28"/>
      <c r="KUE14" s="28"/>
      <c r="KUF14" s="28"/>
      <c r="KUG14" s="28"/>
      <c r="KUH14" s="28"/>
      <c r="KUI14" s="28"/>
      <c r="KUJ14" s="28"/>
      <c r="KUK14" s="28"/>
      <c r="KUL14" s="28"/>
      <c r="KUM14" s="28"/>
      <c r="KUN14" s="28"/>
      <c r="KUO14" s="28"/>
      <c r="KUP14" s="28"/>
      <c r="KUQ14" s="28"/>
      <c r="KUR14" s="28"/>
      <c r="KUS14" s="28"/>
      <c r="KUT14" s="28"/>
      <c r="KUU14" s="28"/>
      <c r="KUV14" s="28"/>
      <c r="KUW14" s="28"/>
      <c r="KUX14" s="28"/>
      <c r="KUY14" s="28"/>
      <c r="KUZ14" s="28"/>
      <c r="KVA14" s="28"/>
      <c r="KVB14" s="28"/>
      <c r="KVC14" s="28"/>
      <c r="KVD14" s="28"/>
      <c r="KVE14" s="28"/>
      <c r="KVF14" s="28"/>
      <c r="KVG14" s="28"/>
      <c r="KVH14" s="28"/>
      <c r="KVI14" s="28"/>
      <c r="KVJ14" s="28"/>
      <c r="KVK14" s="28"/>
      <c r="KVL14" s="28"/>
      <c r="KVM14" s="28"/>
      <c r="KVN14" s="28"/>
      <c r="KVO14" s="28"/>
      <c r="KVP14" s="28"/>
      <c r="KVQ14" s="28"/>
      <c r="KVR14" s="28"/>
      <c r="KVS14" s="28"/>
      <c r="KVT14" s="28"/>
      <c r="KVU14" s="28"/>
      <c r="KVV14" s="28"/>
      <c r="KVW14" s="28"/>
      <c r="KVX14" s="28"/>
      <c r="KVY14" s="28"/>
      <c r="KVZ14" s="28"/>
      <c r="KWA14" s="28"/>
      <c r="KWB14" s="28"/>
      <c r="KWC14" s="28"/>
      <c r="KWD14" s="28"/>
      <c r="KWE14" s="28"/>
      <c r="KWF14" s="28"/>
      <c r="KWG14" s="28"/>
      <c r="KWH14" s="28"/>
      <c r="KWI14" s="28"/>
      <c r="KWJ14" s="28"/>
      <c r="KWK14" s="28"/>
      <c r="KWL14" s="28"/>
      <c r="KWM14" s="28"/>
      <c r="KWN14" s="28"/>
      <c r="KWO14" s="28"/>
      <c r="KWP14" s="28"/>
      <c r="KWQ14" s="28"/>
      <c r="KWR14" s="28"/>
      <c r="KWS14" s="28"/>
      <c r="KWT14" s="28"/>
      <c r="KWU14" s="28"/>
      <c r="KWV14" s="28"/>
      <c r="KWW14" s="28"/>
      <c r="KWX14" s="28"/>
      <c r="KWY14" s="28"/>
      <c r="KWZ14" s="28"/>
      <c r="KXA14" s="28"/>
      <c r="KXB14" s="28"/>
      <c r="KXC14" s="28"/>
      <c r="KXD14" s="28"/>
      <c r="KXE14" s="28"/>
      <c r="KXF14" s="28"/>
      <c r="KXG14" s="28"/>
      <c r="KXH14" s="28"/>
      <c r="KXI14" s="28"/>
      <c r="KXJ14" s="28"/>
      <c r="KXK14" s="28"/>
      <c r="KXL14" s="28"/>
      <c r="KXM14" s="28"/>
      <c r="KXN14" s="28"/>
      <c r="KXO14" s="28"/>
      <c r="KXP14" s="28"/>
      <c r="KXQ14" s="28"/>
      <c r="KXR14" s="28"/>
      <c r="KXS14" s="28"/>
      <c r="KXT14" s="28"/>
      <c r="KXU14" s="28"/>
      <c r="KXV14" s="28"/>
      <c r="KXW14" s="28"/>
      <c r="KXX14" s="28"/>
      <c r="KXY14" s="28"/>
      <c r="KXZ14" s="28"/>
      <c r="KYA14" s="28"/>
      <c r="KYB14" s="28"/>
      <c r="KYC14" s="28"/>
      <c r="KYD14" s="28"/>
      <c r="KYE14" s="28"/>
      <c r="KYF14" s="28"/>
      <c r="KYG14" s="28"/>
      <c r="KYH14" s="28"/>
      <c r="KYI14" s="28"/>
      <c r="KYJ14" s="28"/>
      <c r="KYK14" s="28"/>
      <c r="KYL14" s="28"/>
      <c r="KYM14" s="28"/>
      <c r="KYN14" s="28"/>
      <c r="KYO14" s="28"/>
      <c r="KYP14" s="28"/>
      <c r="KYQ14" s="28"/>
      <c r="KYR14" s="28"/>
      <c r="KYS14" s="28"/>
      <c r="KYT14" s="28"/>
      <c r="KYU14" s="28"/>
      <c r="KYV14" s="28"/>
      <c r="KYW14" s="28"/>
      <c r="KYX14" s="28"/>
      <c r="KYY14" s="28"/>
      <c r="KYZ14" s="28"/>
      <c r="KZA14" s="28"/>
      <c r="KZB14" s="28"/>
      <c r="KZC14" s="28"/>
      <c r="KZD14" s="28"/>
      <c r="KZE14" s="28"/>
      <c r="KZF14" s="28"/>
      <c r="KZG14" s="28"/>
      <c r="KZH14" s="28"/>
      <c r="KZI14" s="28"/>
      <c r="KZJ14" s="28"/>
      <c r="KZK14" s="28"/>
      <c r="KZL14" s="28"/>
      <c r="KZM14" s="28"/>
      <c r="KZN14" s="28"/>
      <c r="KZO14" s="28"/>
      <c r="KZP14" s="28"/>
      <c r="KZQ14" s="28"/>
      <c r="KZR14" s="28"/>
      <c r="KZS14" s="28"/>
      <c r="KZT14" s="28"/>
      <c r="KZU14" s="28"/>
      <c r="KZV14" s="28"/>
      <c r="KZW14" s="28"/>
      <c r="KZX14" s="28"/>
      <c r="KZY14" s="28"/>
      <c r="KZZ14" s="28"/>
      <c r="LAA14" s="28"/>
      <c r="LAB14" s="28"/>
      <c r="LAC14" s="28"/>
      <c r="LAD14" s="28"/>
      <c r="LAE14" s="28"/>
      <c r="LAF14" s="28"/>
      <c r="LAG14" s="28"/>
      <c r="LAH14" s="28"/>
      <c r="LAI14" s="28"/>
      <c r="LAJ14" s="28"/>
      <c r="LAK14" s="28"/>
      <c r="LAL14" s="28"/>
      <c r="LAM14" s="28"/>
      <c r="LAN14" s="28"/>
      <c r="LAO14" s="28"/>
      <c r="LAP14" s="28"/>
      <c r="LAQ14" s="28"/>
      <c r="LAR14" s="28"/>
      <c r="LAS14" s="28"/>
      <c r="LAT14" s="28"/>
      <c r="LAU14" s="28"/>
      <c r="LAV14" s="28"/>
      <c r="LAW14" s="28"/>
      <c r="LAX14" s="28"/>
      <c r="LAY14" s="28"/>
      <c r="LAZ14" s="28"/>
      <c r="LBA14" s="28"/>
      <c r="LBB14" s="28"/>
      <c r="LBC14" s="28"/>
      <c r="LBD14" s="28"/>
      <c r="LBE14" s="28"/>
      <c r="LBF14" s="28"/>
      <c r="LBG14" s="28"/>
      <c r="LBH14" s="28"/>
      <c r="LBI14" s="28"/>
      <c r="LBJ14" s="28"/>
      <c r="LBK14" s="28"/>
      <c r="LBL14" s="28"/>
      <c r="LBM14" s="28"/>
      <c r="LBN14" s="28"/>
      <c r="LBO14" s="28"/>
      <c r="LBP14" s="28"/>
      <c r="LBQ14" s="28"/>
      <c r="LBR14" s="28"/>
      <c r="LBS14" s="28"/>
      <c r="LBT14" s="28"/>
      <c r="LBU14" s="28"/>
      <c r="LBV14" s="28"/>
      <c r="LBW14" s="28"/>
      <c r="LBX14" s="28"/>
      <c r="LBY14" s="28"/>
      <c r="LBZ14" s="28"/>
      <c r="LCA14" s="28"/>
      <c r="LCB14" s="28"/>
      <c r="LCC14" s="28"/>
      <c r="LCD14" s="28"/>
      <c r="LCE14" s="28"/>
      <c r="LCF14" s="28"/>
      <c r="LCG14" s="28"/>
      <c r="LCH14" s="28"/>
      <c r="LCI14" s="28"/>
      <c r="LCJ14" s="28"/>
      <c r="LCK14" s="28"/>
      <c r="LCL14" s="28"/>
      <c r="LCM14" s="28"/>
      <c r="LCN14" s="28"/>
      <c r="LCO14" s="28"/>
      <c r="LCP14" s="28"/>
      <c r="LCQ14" s="28"/>
      <c r="LCR14" s="28"/>
      <c r="LCS14" s="28"/>
      <c r="LCT14" s="28"/>
      <c r="LCU14" s="28"/>
      <c r="LCV14" s="28"/>
      <c r="LCW14" s="28"/>
      <c r="LCX14" s="28"/>
      <c r="LCY14" s="28"/>
      <c r="LCZ14" s="28"/>
      <c r="LDA14" s="28"/>
      <c r="LDB14" s="28"/>
      <c r="LDC14" s="28"/>
      <c r="LDD14" s="28"/>
      <c r="LDE14" s="28"/>
      <c r="LDF14" s="28"/>
      <c r="LDG14" s="28"/>
      <c r="LDH14" s="28"/>
      <c r="LDI14" s="28"/>
      <c r="LDJ14" s="28"/>
      <c r="LDK14" s="28"/>
      <c r="LDL14" s="28"/>
      <c r="LDM14" s="28"/>
      <c r="LDN14" s="28"/>
      <c r="LDO14" s="28"/>
      <c r="LDP14" s="28"/>
      <c r="LDQ14" s="28"/>
      <c r="LDR14" s="28"/>
      <c r="LDS14" s="28"/>
      <c r="LDT14" s="28"/>
      <c r="LDU14" s="28"/>
      <c r="LDV14" s="28"/>
      <c r="LDW14" s="28"/>
      <c r="LDX14" s="28"/>
      <c r="LDY14" s="28"/>
      <c r="LDZ14" s="28"/>
      <c r="LEA14" s="28"/>
      <c r="LEB14" s="28"/>
      <c r="LEC14" s="28"/>
      <c r="LED14" s="28"/>
      <c r="LEE14" s="28"/>
      <c r="LEF14" s="28"/>
      <c r="LEG14" s="28"/>
      <c r="LEH14" s="28"/>
      <c r="LEI14" s="28"/>
      <c r="LEJ14" s="28"/>
      <c r="LEK14" s="28"/>
      <c r="LEL14" s="28"/>
      <c r="LEM14" s="28"/>
      <c r="LEN14" s="28"/>
      <c r="LEO14" s="28"/>
      <c r="LEP14" s="28"/>
      <c r="LEQ14" s="28"/>
      <c r="LER14" s="28"/>
      <c r="LES14" s="28"/>
      <c r="LET14" s="28"/>
      <c r="LEU14" s="28"/>
      <c r="LEV14" s="28"/>
      <c r="LEW14" s="28"/>
      <c r="LEX14" s="28"/>
      <c r="LEY14" s="28"/>
      <c r="LEZ14" s="28"/>
      <c r="LFA14" s="28"/>
      <c r="LFB14" s="28"/>
      <c r="LFC14" s="28"/>
      <c r="LFD14" s="28"/>
      <c r="LFE14" s="28"/>
      <c r="LFF14" s="28"/>
      <c r="LFG14" s="28"/>
      <c r="LFH14" s="28"/>
      <c r="LFI14" s="28"/>
      <c r="LFJ14" s="28"/>
      <c r="LFK14" s="28"/>
      <c r="LFL14" s="28"/>
      <c r="LFM14" s="28"/>
      <c r="LFN14" s="28"/>
      <c r="LFO14" s="28"/>
      <c r="LFP14" s="28"/>
      <c r="LFQ14" s="28"/>
      <c r="LFR14" s="28"/>
      <c r="LFS14" s="28"/>
      <c r="LFT14" s="28"/>
      <c r="LFU14" s="28"/>
      <c r="LFV14" s="28"/>
      <c r="LFW14" s="28"/>
      <c r="LFX14" s="28"/>
      <c r="LFY14" s="28"/>
      <c r="LFZ14" s="28"/>
      <c r="LGA14" s="28"/>
      <c r="LGB14" s="28"/>
      <c r="LGC14" s="28"/>
      <c r="LGD14" s="28"/>
      <c r="LGE14" s="28"/>
      <c r="LGF14" s="28"/>
      <c r="LGG14" s="28"/>
      <c r="LGH14" s="28"/>
      <c r="LGI14" s="28"/>
      <c r="LGJ14" s="28"/>
      <c r="LGK14" s="28"/>
      <c r="LGL14" s="28"/>
      <c r="LGM14" s="28"/>
      <c r="LGN14" s="28"/>
      <c r="LGO14" s="28"/>
      <c r="LGP14" s="28"/>
      <c r="LGQ14" s="28"/>
      <c r="LGR14" s="28"/>
      <c r="LGS14" s="28"/>
      <c r="LGT14" s="28"/>
      <c r="LGU14" s="28"/>
      <c r="LGV14" s="28"/>
      <c r="LGW14" s="28"/>
      <c r="LGX14" s="28"/>
      <c r="LGY14" s="28"/>
      <c r="LGZ14" s="28"/>
      <c r="LHA14" s="28"/>
      <c r="LHB14" s="28"/>
      <c r="LHC14" s="28"/>
      <c r="LHD14" s="28"/>
      <c r="LHE14" s="28"/>
      <c r="LHF14" s="28"/>
      <c r="LHG14" s="28"/>
      <c r="LHH14" s="28"/>
      <c r="LHI14" s="28"/>
      <c r="LHJ14" s="28"/>
      <c r="LHK14" s="28"/>
      <c r="LHL14" s="28"/>
      <c r="LHM14" s="28"/>
      <c r="LHN14" s="28"/>
      <c r="LHO14" s="28"/>
      <c r="LHP14" s="28"/>
      <c r="LHQ14" s="28"/>
      <c r="LHR14" s="28"/>
      <c r="LHS14" s="28"/>
      <c r="LHT14" s="28"/>
      <c r="LHU14" s="28"/>
      <c r="LHV14" s="28"/>
      <c r="LHW14" s="28"/>
      <c r="LHX14" s="28"/>
      <c r="LHY14" s="28"/>
      <c r="LHZ14" s="28"/>
      <c r="LIA14" s="28"/>
      <c r="LIB14" s="28"/>
      <c r="LIC14" s="28"/>
      <c r="LID14" s="28"/>
      <c r="LIE14" s="28"/>
      <c r="LIF14" s="28"/>
      <c r="LIG14" s="28"/>
      <c r="LIH14" s="28"/>
      <c r="LII14" s="28"/>
      <c r="LIJ14" s="28"/>
      <c r="LIK14" s="28"/>
      <c r="LIL14" s="28"/>
      <c r="LIM14" s="28"/>
      <c r="LIN14" s="28"/>
      <c r="LIO14" s="28"/>
      <c r="LIP14" s="28"/>
      <c r="LIQ14" s="28"/>
      <c r="LIR14" s="28"/>
      <c r="LIS14" s="28"/>
      <c r="LIT14" s="28"/>
      <c r="LIU14" s="28"/>
      <c r="LIV14" s="28"/>
      <c r="LIW14" s="28"/>
      <c r="LIX14" s="28"/>
      <c r="LIY14" s="28"/>
      <c r="LIZ14" s="28"/>
      <c r="LJA14" s="28"/>
      <c r="LJB14" s="28"/>
      <c r="LJC14" s="28"/>
      <c r="LJD14" s="28"/>
      <c r="LJE14" s="28"/>
      <c r="LJF14" s="28"/>
      <c r="LJG14" s="28"/>
      <c r="LJH14" s="28"/>
      <c r="LJI14" s="28"/>
      <c r="LJJ14" s="28"/>
      <c r="LJK14" s="28"/>
      <c r="LJL14" s="28"/>
      <c r="LJM14" s="28"/>
      <c r="LJN14" s="28"/>
      <c r="LJO14" s="28"/>
      <c r="LJP14" s="28"/>
      <c r="LJQ14" s="28"/>
      <c r="LJR14" s="28"/>
      <c r="LJS14" s="28"/>
      <c r="LJT14" s="28"/>
      <c r="LJU14" s="28"/>
      <c r="LJV14" s="28"/>
      <c r="LJW14" s="28"/>
      <c r="LJX14" s="28"/>
      <c r="LJY14" s="28"/>
      <c r="LJZ14" s="28"/>
      <c r="LKA14" s="28"/>
      <c r="LKB14" s="28"/>
      <c r="LKC14" s="28"/>
      <c r="LKD14" s="28"/>
      <c r="LKE14" s="28"/>
      <c r="LKF14" s="28"/>
      <c r="LKG14" s="28"/>
      <c r="LKH14" s="28"/>
      <c r="LKI14" s="28"/>
      <c r="LKJ14" s="28"/>
      <c r="LKK14" s="28"/>
      <c r="LKL14" s="28"/>
      <c r="LKM14" s="28"/>
      <c r="LKN14" s="28"/>
      <c r="LKO14" s="28"/>
      <c r="LKP14" s="28"/>
      <c r="LKQ14" s="28"/>
      <c r="LKR14" s="28"/>
      <c r="LKS14" s="28"/>
      <c r="LKT14" s="28"/>
      <c r="LKU14" s="28"/>
      <c r="LKV14" s="28"/>
      <c r="LKW14" s="28"/>
      <c r="LKX14" s="28"/>
      <c r="LKY14" s="28"/>
      <c r="LKZ14" s="28"/>
      <c r="LLA14" s="28"/>
      <c r="LLB14" s="28"/>
      <c r="LLC14" s="28"/>
      <c r="LLD14" s="28"/>
      <c r="LLE14" s="28"/>
      <c r="LLF14" s="28"/>
      <c r="LLG14" s="28"/>
      <c r="LLH14" s="28"/>
      <c r="LLI14" s="28"/>
      <c r="LLJ14" s="28"/>
      <c r="LLK14" s="28"/>
      <c r="LLL14" s="28"/>
      <c r="LLM14" s="28"/>
      <c r="LLN14" s="28"/>
      <c r="LLO14" s="28"/>
      <c r="LLP14" s="28"/>
      <c r="LLQ14" s="28"/>
      <c r="LLR14" s="28"/>
      <c r="LLS14" s="28"/>
      <c r="LLT14" s="28"/>
      <c r="LLU14" s="28"/>
      <c r="LLV14" s="28"/>
      <c r="LLW14" s="28"/>
      <c r="LLX14" s="28"/>
      <c r="LLY14" s="28"/>
      <c r="LLZ14" s="28"/>
      <c r="LMA14" s="28"/>
      <c r="LMB14" s="28"/>
      <c r="LMC14" s="28"/>
      <c r="LMD14" s="28"/>
      <c r="LME14" s="28"/>
      <c r="LMF14" s="28"/>
      <c r="LMG14" s="28"/>
      <c r="LMH14" s="28"/>
      <c r="LMI14" s="28"/>
      <c r="LMJ14" s="28"/>
      <c r="LMK14" s="28"/>
      <c r="LML14" s="28"/>
      <c r="LMM14" s="28"/>
      <c r="LMN14" s="28"/>
      <c r="LMO14" s="28"/>
      <c r="LMP14" s="28"/>
      <c r="LMQ14" s="28"/>
      <c r="LMR14" s="28"/>
      <c r="LMS14" s="28"/>
      <c r="LMT14" s="28"/>
      <c r="LMU14" s="28"/>
      <c r="LMV14" s="28"/>
      <c r="LMW14" s="28"/>
      <c r="LMX14" s="28"/>
      <c r="LMY14" s="28"/>
      <c r="LMZ14" s="28"/>
      <c r="LNA14" s="28"/>
      <c r="LNB14" s="28"/>
      <c r="LNC14" s="28"/>
      <c r="LND14" s="28"/>
      <c r="LNE14" s="28"/>
      <c r="LNF14" s="28"/>
      <c r="LNG14" s="28"/>
      <c r="LNH14" s="28"/>
      <c r="LNI14" s="28"/>
      <c r="LNJ14" s="28"/>
      <c r="LNK14" s="28"/>
      <c r="LNL14" s="28"/>
      <c r="LNM14" s="28"/>
      <c r="LNN14" s="28"/>
      <c r="LNO14" s="28"/>
      <c r="LNP14" s="28"/>
      <c r="LNQ14" s="28"/>
      <c r="LNR14" s="28"/>
      <c r="LNS14" s="28"/>
      <c r="LNT14" s="28"/>
      <c r="LNU14" s="28"/>
      <c r="LNV14" s="28"/>
      <c r="LNW14" s="28"/>
      <c r="LNX14" s="28"/>
      <c r="LNY14" s="28"/>
      <c r="LNZ14" s="28"/>
      <c r="LOA14" s="28"/>
      <c r="LOB14" s="28"/>
      <c r="LOC14" s="28"/>
      <c r="LOD14" s="28"/>
      <c r="LOE14" s="28"/>
      <c r="LOF14" s="28"/>
      <c r="LOG14" s="28"/>
      <c r="LOH14" s="28"/>
      <c r="LOI14" s="28"/>
      <c r="LOJ14" s="28"/>
      <c r="LOK14" s="28"/>
      <c r="LOL14" s="28"/>
      <c r="LOM14" s="28"/>
      <c r="LON14" s="28"/>
      <c r="LOO14" s="28"/>
      <c r="LOP14" s="28"/>
      <c r="LOQ14" s="28"/>
      <c r="LOR14" s="28"/>
      <c r="LOS14" s="28"/>
      <c r="LOT14" s="28"/>
      <c r="LOU14" s="28"/>
      <c r="LOV14" s="28"/>
      <c r="LOW14" s="28"/>
      <c r="LOX14" s="28"/>
      <c r="LOY14" s="28"/>
      <c r="LOZ14" s="28"/>
      <c r="LPA14" s="28"/>
      <c r="LPB14" s="28"/>
      <c r="LPC14" s="28"/>
      <c r="LPD14" s="28"/>
      <c r="LPE14" s="28"/>
      <c r="LPF14" s="28"/>
      <c r="LPG14" s="28"/>
      <c r="LPH14" s="28"/>
      <c r="LPI14" s="28"/>
      <c r="LPJ14" s="28"/>
      <c r="LPK14" s="28"/>
      <c r="LPL14" s="28"/>
      <c r="LPM14" s="28"/>
      <c r="LPN14" s="28"/>
      <c r="LPO14" s="28"/>
      <c r="LPP14" s="28"/>
      <c r="LPQ14" s="28"/>
      <c r="LPR14" s="28"/>
      <c r="LPS14" s="28"/>
      <c r="LPT14" s="28"/>
      <c r="LPU14" s="28"/>
      <c r="LPV14" s="28"/>
      <c r="LPW14" s="28"/>
      <c r="LPX14" s="28"/>
      <c r="LPY14" s="28"/>
      <c r="LPZ14" s="28"/>
      <c r="LQA14" s="28"/>
      <c r="LQB14" s="28"/>
      <c r="LQC14" s="28"/>
      <c r="LQD14" s="28"/>
      <c r="LQE14" s="28"/>
      <c r="LQF14" s="28"/>
      <c r="LQG14" s="28"/>
      <c r="LQH14" s="28"/>
      <c r="LQI14" s="28"/>
      <c r="LQJ14" s="28"/>
      <c r="LQK14" s="28"/>
      <c r="LQL14" s="28"/>
      <c r="LQM14" s="28"/>
      <c r="LQN14" s="28"/>
      <c r="LQO14" s="28"/>
      <c r="LQP14" s="28"/>
      <c r="LQQ14" s="28"/>
      <c r="LQR14" s="28"/>
      <c r="LQS14" s="28"/>
      <c r="LQT14" s="28"/>
      <c r="LQU14" s="28"/>
      <c r="LQV14" s="28"/>
      <c r="LQW14" s="28"/>
      <c r="LQX14" s="28"/>
      <c r="LQY14" s="28"/>
      <c r="LQZ14" s="28"/>
      <c r="LRA14" s="28"/>
      <c r="LRB14" s="28"/>
      <c r="LRC14" s="28"/>
      <c r="LRD14" s="28"/>
      <c r="LRE14" s="28"/>
      <c r="LRF14" s="28"/>
      <c r="LRG14" s="28"/>
      <c r="LRH14" s="28"/>
      <c r="LRI14" s="28"/>
      <c r="LRJ14" s="28"/>
      <c r="LRK14" s="28"/>
      <c r="LRL14" s="28"/>
      <c r="LRM14" s="28"/>
      <c r="LRN14" s="28"/>
      <c r="LRO14" s="28"/>
      <c r="LRP14" s="28"/>
      <c r="LRQ14" s="28"/>
      <c r="LRR14" s="28"/>
      <c r="LRS14" s="28"/>
      <c r="LRT14" s="28"/>
      <c r="LRU14" s="28"/>
      <c r="LRV14" s="28"/>
      <c r="LRW14" s="28"/>
      <c r="LRX14" s="28"/>
      <c r="LRY14" s="28"/>
      <c r="LRZ14" s="28"/>
      <c r="LSA14" s="28"/>
      <c r="LSB14" s="28"/>
      <c r="LSC14" s="28"/>
      <c r="LSD14" s="28"/>
      <c r="LSE14" s="28"/>
      <c r="LSF14" s="28"/>
      <c r="LSG14" s="28"/>
      <c r="LSH14" s="28"/>
      <c r="LSI14" s="28"/>
      <c r="LSJ14" s="28"/>
      <c r="LSK14" s="28"/>
      <c r="LSL14" s="28"/>
      <c r="LSM14" s="28"/>
      <c r="LSN14" s="28"/>
      <c r="LSO14" s="28"/>
      <c r="LSP14" s="28"/>
      <c r="LSQ14" s="28"/>
      <c r="LSR14" s="28"/>
      <c r="LSS14" s="28"/>
      <c r="LST14" s="28"/>
      <c r="LSU14" s="28"/>
      <c r="LSV14" s="28"/>
      <c r="LSW14" s="28"/>
      <c r="LSX14" s="28"/>
      <c r="LSY14" s="28"/>
      <c r="LSZ14" s="28"/>
      <c r="LTA14" s="28"/>
      <c r="LTB14" s="28"/>
      <c r="LTC14" s="28"/>
      <c r="LTD14" s="28"/>
      <c r="LTE14" s="28"/>
      <c r="LTF14" s="28"/>
      <c r="LTG14" s="28"/>
      <c r="LTH14" s="28"/>
      <c r="LTI14" s="28"/>
      <c r="LTJ14" s="28"/>
      <c r="LTK14" s="28"/>
      <c r="LTL14" s="28"/>
      <c r="LTM14" s="28"/>
      <c r="LTN14" s="28"/>
      <c r="LTO14" s="28"/>
      <c r="LTP14" s="28"/>
      <c r="LTQ14" s="28"/>
      <c r="LTR14" s="28"/>
      <c r="LTS14" s="28"/>
      <c r="LTT14" s="28"/>
      <c r="LTU14" s="28"/>
      <c r="LTV14" s="28"/>
      <c r="LTW14" s="28"/>
      <c r="LTX14" s="28"/>
      <c r="LTY14" s="28"/>
      <c r="LTZ14" s="28"/>
      <c r="LUA14" s="28"/>
      <c r="LUB14" s="28"/>
      <c r="LUC14" s="28"/>
      <c r="LUD14" s="28"/>
      <c r="LUE14" s="28"/>
      <c r="LUF14" s="28"/>
      <c r="LUG14" s="28"/>
      <c r="LUH14" s="28"/>
      <c r="LUI14" s="28"/>
      <c r="LUJ14" s="28"/>
      <c r="LUK14" s="28"/>
      <c r="LUL14" s="28"/>
      <c r="LUM14" s="28"/>
      <c r="LUN14" s="28"/>
      <c r="LUO14" s="28"/>
      <c r="LUP14" s="28"/>
      <c r="LUQ14" s="28"/>
      <c r="LUR14" s="28"/>
      <c r="LUS14" s="28"/>
      <c r="LUT14" s="28"/>
      <c r="LUU14" s="28"/>
      <c r="LUV14" s="28"/>
      <c r="LUW14" s="28"/>
      <c r="LUX14" s="28"/>
      <c r="LUY14" s="28"/>
      <c r="LUZ14" s="28"/>
      <c r="LVA14" s="28"/>
      <c r="LVB14" s="28"/>
      <c r="LVC14" s="28"/>
      <c r="LVD14" s="28"/>
      <c r="LVE14" s="28"/>
      <c r="LVF14" s="28"/>
      <c r="LVG14" s="28"/>
      <c r="LVH14" s="28"/>
      <c r="LVI14" s="28"/>
      <c r="LVJ14" s="28"/>
      <c r="LVK14" s="28"/>
      <c r="LVL14" s="28"/>
      <c r="LVM14" s="28"/>
      <c r="LVN14" s="28"/>
      <c r="LVO14" s="28"/>
      <c r="LVP14" s="28"/>
      <c r="LVQ14" s="28"/>
      <c r="LVR14" s="28"/>
      <c r="LVS14" s="28"/>
      <c r="LVT14" s="28"/>
      <c r="LVU14" s="28"/>
      <c r="LVV14" s="28"/>
      <c r="LVW14" s="28"/>
      <c r="LVX14" s="28"/>
      <c r="LVY14" s="28"/>
      <c r="LVZ14" s="28"/>
      <c r="LWA14" s="28"/>
      <c r="LWB14" s="28"/>
      <c r="LWC14" s="28"/>
      <c r="LWD14" s="28"/>
      <c r="LWE14" s="28"/>
      <c r="LWF14" s="28"/>
      <c r="LWG14" s="28"/>
      <c r="LWH14" s="28"/>
      <c r="LWI14" s="28"/>
      <c r="LWJ14" s="28"/>
      <c r="LWK14" s="28"/>
      <c r="LWL14" s="28"/>
      <c r="LWM14" s="28"/>
      <c r="LWN14" s="28"/>
      <c r="LWO14" s="28"/>
      <c r="LWP14" s="28"/>
      <c r="LWQ14" s="28"/>
      <c r="LWR14" s="28"/>
      <c r="LWS14" s="28"/>
      <c r="LWT14" s="28"/>
      <c r="LWU14" s="28"/>
      <c r="LWV14" s="28"/>
      <c r="LWW14" s="28"/>
      <c r="LWX14" s="28"/>
      <c r="LWY14" s="28"/>
      <c r="LWZ14" s="28"/>
      <c r="LXA14" s="28"/>
      <c r="LXB14" s="28"/>
      <c r="LXC14" s="28"/>
      <c r="LXD14" s="28"/>
      <c r="LXE14" s="28"/>
      <c r="LXF14" s="28"/>
      <c r="LXG14" s="28"/>
      <c r="LXH14" s="28"/>
      <c r="LXI14" s="28"/>
      <c r="LXJ14" s="28"/>
      <c r="LXK14" s="28"/>
      <c r="LXL14" s="28"/>
      <c r="LXM14" s="28"/>
      <c r="LXN14" s="28"/>
      <c r="LXO14" s="28"/>
      <c r="LXP14" s="28"/>
      <c r="LXQ14" s="28"/>
      <c r="LXR14" s="28"/>
      <c r="LXS14" s="28"/>
      <c r="LXT14" s="28"/>
      <c r="LXU14" s="28"/>
      <c r="LXV14" s="28"/>
      <c r="LXW14" s="28"/>
      <c r="LXX14" s="28"/>
      <c r="LXY14" s="28"/>
      <c r="LXZ14" s="28"/>
      <c r="LYA14" s="28"/>
      <c r="LYB14" s="28"/>
      <c r="LYC14" s="28"/>
      <c r="LYD14" s="28"/>
      <c r="LYE14" s="28"/>
      <c r="LYF14" s="28"/>
      <c r="LYG14" s="28"/>
      <c r="LYH14" s="28"/>
      <c r="LYI14" s="28"/>
      <c r="LYJ14" s="28"/>
      <c r="LYK14" s="28"/>
      <c r="LYL14" s="28"/>
      <c r="LYM14" s="28"/>
      <c r="LYN14" s="28"/>
      <c r="LYO14" s="28"/>
      <c r="LYP14" s="28"/>
      <c r="LYQ14" s="28"/>
      <c r="LYR14" s="28"/>
      <c r="LYS14" s="28"/>
      <c r="LYT14" s="28"/>
      <c r="LYU14" s="28"/>
      <c r="LYV14" s="28"/>
      <c r="LYW14" s="28"/>
      <c r="LYX14" s="28"/>
      <c r="LYY14" s="28"/>
      <c r="LYZ14" s="28"/>
      <c r="LZA14" s="28"/>
      <c r="LZB14" s="28"/>
      <c r="LZC14" s="28"/>
      <c r="LZD14" s="28"/>
      <c r="LZE14" s="28"/>
      <c r="LZF14" s="28"/>
      <c r="LZG14" s="28"/>
      <c r="LZH14" s="28"/>
      <c r="LZI14" s="28"/>
      <c r="LZJ14" s="28"/>
      <c r="LZK14" s="28"/>
      <c r="LZL14" s="28"/>
      <c r="LZM14" s="28"/>
      <c r="LZN14" s="28"/>
      <c r="LZO14" s="28"/>
      <c r="LZP14" s="28"/>
      <c r="LZQ14" s="28"/>
      <c r="LZR14" s="28"/>
      <c r="LZS14" s="28"/>
      <c r="LZT14" s="28"/>
      <c r="LZU14" s="28"/>
      <c r="LZV14" s="28"/>
      <c r="LZW14" s="28"/>
      <c r="LZX14" s="28"/>
      <c r="LZY14" s="28"/>
      <c r="LZZ14" s="28"/>
      <c r="MAA14" s="28"/>
      <c r="MAB14" s="28"/>
      <c r="MAC14" s="28"/>
      <c r="MAD14" s="28"/>
      <c r="MAE14" s="28"/>
      <c r="MAF14" s="28"/>
      <c r="MAG14" s="28"/>
      <c r="MAH14" s="28"/>
      <c r="MAI14" s="28"/>
      <c r="MAJ14" s="28"/>
      <c r="MAK14" s="28"/>
      <c r="MAL14" s="28"/>
      <c r="MAM14" s="28"/>
      <c r="MAN14" s="28"/>
      <c r="MAO14" s="28"/>
      <c r="MAP14" s="28"/>
      <c r="MAQ14" s="28"/>
      <c r="MAR14" s="28"/>
      <c r="MAS14" s="28"/>
      <c r="MAT14" s="28"/>
      <c r="MAU14" s="28"/>
      <c r="MAV14" s="28"/>
      <c r="MAW14" s="28"/>
      <c r="MAX14" s="28"/>
      <c r="MAY14" s="28"/>
      <c r="MAZ14" s="28"/>
      <c r="MBA14" s="28"/>
      <c r="MBB14" s="28"/>
      <c r="MBC14" s="28"/>
      <c r="MBD14" s="28"/>
      <c r="MBE14" s="28"/>
      <c r="MBF14" s="28"/>
      <c r="MBG14" s="28"/>
      <c r="MBH14" s="28"/>
      <c r="MBI14" s="28"/>
      <c r="MBJ14" s="28"/>
      <c r="MBK14" s="28"/>
      <c r="MBL14" s="28"/>
      <c r="MBM14" s="28"/>
      <c r="MBN14" s="28"/>
      <c r="MBO14" s="28"/>
      <c r="MBP14" s="28"/>
      <c r="MBQ14" s="28"/>
      <c r="MBR14" s="28"/>
      <c r="MBS14" s="28"/>
      <c r="MBT14" s="28"/>
      <c r="MBU14" s="28"/>
      <c r="MBV14" s="28"/>
      <c r="MBW14" s="28"/>
      <c r="MBX14" s="28"/>
      <c r="MBY14" s="28"/>
      <c r="MBZ14" s="28"/>
      <c r="MCA14" s="28"/>
      <c r="MCB14" s="28"/>
      <c r="MCC14" s="28"/>
      <c r="MCD14" s="28"/>
      <c r="MCE14" s="28"/>
      <c r="MCF14" s="28"/>
      <c r="MCG14" s="28"/>
      <c r="MCH14" s="28"/>
      <c r="MCI14" s="28"/>
      <c r="MCJ14" s="28"/>
      <c r="MCK14" s="28"/>
      <c r="MCL14" s="28"/>
      <c r="MCM14" s="28"/>
      <c r="MCN14" s="28"/>
      <c r="MCO14" s="28"/>
      <c r="MCP14" s="28"/>
      <c r="MCQ14" s="28"/>
      <c r="MCR14" s="28"/>
      <c r="MCS14" s="28"/>
      <c r="MCT14" s="28"/>
      <c r="MCU14" s="28"/>
      <c r="MCV14" s="28"/>
      <c r="MCW14" s="28"/>
      <c r="MCX14" s="28"/>
      <c r="MCY14" s="28"/>
      <c r="MCZ14" s="28"/>
      <c r="MDA14" s="28"/>
      <c r="MDB14" s="28"/>
      <c r="MDC14" s="28"/>
      <c r="MDD14" s="28"/>
      <c r="MDE14" s="28"/>
      <c r="MDF14" s="28"/>
      <c r="MDG14" s="28"/>
      <c r="MDH14" s="28"/>
      <c r="MDI14" s="28"/>
      <c r="MDJ14" s="28"/>
      <c r="MDK14" s="28"/>
      <c r="MDL14" s="28"/>
      <c r="MDM14" s="28"/>
      <c r="MDN14" s="28"/>
      <c r="MDO14" s="28"/>
      <c r="MDP14" s="28"/>
      <c r="MDQ14" s="28"/>
      <c r="MDR14" s="28"/>
      <c r="MDS14" s="28"/>
      <c r="MDT14" s="28"/>
      <c r="MDU14" s="28"/>
      <c r="MDV14" s="28"/>
      <c r="MDW14" s="28"/>
      <c r="MDX14" s="28"/>
      <c r="MDY14" s="28"/>
      <c r="MDZ14" s="28"/>
      <c r="MEA14" s="28"/>
      <c r="MEB14" s="28"/>
      <c r="MEC14" s="28"/>
      <c r="MED14" s="28"/>
      <c r="MEE14" s="28"/>
      <c r="MEF14" s="28"/>
      <c r="MEG14" s="28"/>
      <c r="MEH14" s="28"/>
      <c r="MEI14" s="28"/>
      <c r="MEJ14" s="28"/>
      <c r="MEK14" s="28"/>
      <c r="MEL14" s="28"/>
      <c r="MEM14" s="28"/>
      <c r="MEN14" s="28"/>
      <c r="MEO14" s="28"/>
      <c r="MEP14" s="28"/>
      <c r="MEQ14" s="28"/>
      <c r="MER14" s="28"/>
      <c r="MES14" s="28"/>
      <c r="MET14" s="28"/>
      <c r="MEU14" s="28"/>
      <c r="MEV14" s="28"/>
      <c r="MEW14" s="28"/>
      <c r="MEX14" s="28"/>
      <c r="MEY14" s="28"/>
      <c r="MEZ14" s="28"/>
      <c r="MFA14" s="28"/>
      <c r="MFB14" s="28"/>
      <c r="MFC14" s="28"/>
      <c r="MFD14" s="28"/>
      <c r="MFE14" s="28"/>
      <c r="MFF14" s="28"/>
      <c r="MFG14" s="28"/>
      <c r="MFH14" s="28"/>
      <c r="MFI14" s="28"/>
      <c r="MFJ14" s="28"/>
      <c r="MFK14" s="28"/>
      <c r="MFL14" s="28"/>
      <c r="MFM14" s="28"/>
      <c r="MFN14" s="28"/>
      <c r="MFO14" s="28"/>
      <c r="MFP14" s="28"/>
      <c r="MFQ14" s="28"/>
      <c r="MFR14" s="28"/>
      <c r="MFS14" s="28"/>
      <c r="MFT14" s="28"/>
      <c r="MFU14" s="28"/>
      <c r="MFV14" s="28"/>
      <c r="MFW14" s="28"/>
      <c r="MFX14" s="28"/>
      <c r="MFY14" s="28"/>
      <c r="MFZ14" s="28"/>
      <c r="MGA14" s="28"/>
      <c r="MGB14" s="28"/>
      <c r="MGC14" s="28"/>
      <c r="MGD14" s="28"/>
      <c r="MGE14" s="28"/>
      <c r="MGF14" s="28"/>
      <c r="MGG14" s="28"/>
      <c r="MGH14" s="28"/>
      <c r="MGI14" s="28"/>
      <c r="MGJ14" s="28"/>
      <c r="MGK14" s="28"/>
      <c r="MGL14" s="28"/>
      <c r="MGM14" s="28"/>
      <c r="MGN14" s="28"/>
      <c r="MGO14" s="28"/>
      <c r="MGP14" s="28"/>
      <c r="MGQ14" s="28"/>
      <c r="MGR14" s="28"/>
      <c r="MGS14" s="28"/>
      <c r="MGT14" s="28"/>
      <c r="MGU14" s="28"/>
      <c r="MGV14" s="28"/>
      <c r="MGW14" s="28"/>
      <c r="MGX14" s="28"/>
      <c r="MGY14" s="28"/>
      <c r="MGZ14" s="28"/>
      <c r="MHA14" s="28"/>
      <c r="MHB14" s="28"/>
      <c r="MHC14" s="28"/>
      <c r="MHD14" s="28"/>
      <c r="MHE14" s="28"/>
      <c r="MHF14" s="28"/>
      <c r="MHG14" s="28"/>
      <c r="MHH14" s="28"/>
      <c r="MHI14" s="28"/>
      <c r="MHJ14" s="28"/>
      <c r="MHK14" s="28"/>
      <c r="MHL14" s="28"/>
      <c r="MHM14" s="28"/>
      <c r="MHN14" s="28"/>
      <c r="MHO14" s="28"/>
      <c r="MHP14" s="28"/>
      <c r="MHQ14" s="28"/>
      <c r="MHR14" s="28"/>
      <c r="MHS14" s="28"/>
      <c r="MHT14" s="28"/>
      <c r="MHU14" s="28"/>
      <c r="MHV14" s="28"/>
      <c r="MHW14" s="28"/>
      <c r="MHX14" s="28"/>
      <c r="MHY14" s="28"/>
      <c r="MHZ14" s="28"/>
      <c r="MIA14" s="28"/>
      <c r="MIB14" s="28"/>
      <c r="MIC14" s="28"/>
      <c r="MID14" s="28"/>
      <c r="MIE14" s="28"/>
      <c r="MIF14" s="28"/>
      <c r="MIG14" s="28"/>
      <c r="MIH14" s="28"/>
      <c r="MII14" s="28"/>
      <c r="MIJ14" s="28"/>
      <c r="MIK14" s="28"/>
      <c r="MIL14" s="28"/>
      <c r="MIM14" s="28"/>
      <c r="MIN14" s="28"/>
      <c r="MIO14" s="28"/>
      <c r="MIP14" s="28"/>
      <c r="MIQ14" s="28"/>
      <c r="MIR14" s="28"/>
      <c r="MIS14" s="28"/>
      <c r="MIT14" s="28"/>
      <c r="MIU14" s="28"/>
      <c r="MIV14" s="28"/>
      <c r="MIW14" s="28"/>
      <c r="MIX14" s="28"/>
      <c r="MIY14" s="28"/>
      <c r="MIZ14" s="28"/>
      <c r="MJA14" s="28"/>
      <c r="MJB14" s="28"/>
      <c r="MJC14" s="28"/>
      <c r="MJD14" s="28"/>
      <c r="MJE14" s="28"/>
      <c r="MJF14" s="28"/>
      <c r="MJG14" s="28"/>
      <c r="MJH14" s="28"/>
      <c r="MJI14" s="28"/>
      <c r="MJJ14" s="28"/>
      <c r="MJK14" s="28"/>
      <c r="MJL14" s="28"/>
      <c r="MJM14" s="28"/>
      <c r="MJN14" s="28"/>
      <c r="MJO14" s="28"/>
      <c r="MJP14" s="28"/>
      <c r="MJQ14" s="28"/>
      <c r="MJR14" s="28"/>
      <c r="MJS14" s="28"/>
      <c r="MJT14" s="28"/>
      <c r="MJU14" s="28"/>
      <c r="MJV14" s="28"/>
      <c r="MJW14" s="28"/>
      <c r="MJX14" s="28"/>
      <c r="MJY14" s="28"/>
      <c r="MJZ14" s="28"/>
      <c r="MKA14" s="28"/>
      <c r="MKB14" s="28"/>
      <c r="MKC14" s="28"/>
      <c r="MKD14" s="28"/>
      <c r="MKE14" s="28"/>
      <c r="MKF14" s="28"/>
      <c r="MKG14" s="28"/>
      <c r="MKH14" s="28"/>
      <c r="MKI14" s="28"/>
      <c r="MKJ14" s="28"/>
      <c r="MKK14" s="28"/>
      <c r="MKL14" s="28"/>
      <c r="MKM14" s="28"/>
      <c r="MKN14" s="28"/>
      <c r="MKO14" s="28"/>
      <c r="MKP14" s="28"/>
      <c r="MKQ14" s="28"/>
      <c r="MKR14" s="28"/>
      <c r="MKS14" s="28"/>
      <c r="MKT14" s="28"/>
      <c r="MKU14" s="28"/>
      <c r="MKV14" s="28"/>
      <c r="MKW14" s="28"/>
      <c r="MKX14" s="28"/>
      <c r="MKY14" s="28"/>
      <c r="MKZ14" s="28"/>
      <c r="MLA14" s="28"/>
      <c r="MLB14" s="28"/>
      <c r="MLC14" s="28"/>
      <c r="MLD14" s="28"/>
      <c r="MLE14" s="28"/>
      <c r="MLF14" s="28"/>
      <c r="MLG14" s="28"/>
      <c r="MLH14" s="28"/>
      <c r="MLI14" s="28"/>
      <c r="MLJ14" s="28"/>
      <c r="MLK14" s="28"/>
      <c r="MLL14" s="28"/>
      <c r="MLM14" s="28"/>
      <c r="MLN14" s="28"/>
      <c r="MLO14" s="28"/>
      <c r="MLP14" s="28"/>
      <c r="MLQ14" s="28"/>
      <c r="MLR14" s="28"/>
      <c r="MLS14" s="28"/>
      <c r="MLT14" s="28"/>
      <c r="MLU14" s="28"/>
      <c r="MLV14" s="28"/>
      <c r="MLW14" s="28"/>
      <c r="MLX14" s="28"/>
      <c r="MLY14" s="28"/>
      <c r="MLZ14" s="28"/>
      <c r="MMA14" s="28"/>
      <c r="MMB14" s="28"/>
      <c r="MMC14" s="28"/>
      <c r="MMD14" s="28"/>
      <c r="MME14" s="28"/>
      <c r="MMF14" s="28"/>
      <c r="MMG14" s="28"/>
      <c r="MMH14" s="28"/>
      <c r="MMI14" s="28"/>
      <c r="MMJ14" s="28"/>
      <c r="MMK14" s="28"/>
      <c r="MML14" s="28"/>
      <c r="MMM14" s="28"/>
      <c r="MMN14" s="28"/>
      <c r="MMO14" s="28"/>
      <c r="MMP14" s="28"/>
      <c r="MMQ14" s="28"/>
      <c r="MMR14" s="28"/>
      <c r="MMS14" s="28"/>
      <c r="MMT14" s="28"/>
      <c r="MMU14" s="28"/>
      <c r="MMV14" s="28"/>
      <c r="MMW14" s="28"/>
      <c r="MMX14" s="28"/>
      <c r="MMY14" s="28"/>
      <c r="MMZ14" s="28"/>
      <c r="MNA14" s="28"/>
      <c r="MNB14" s="28"/>
      <c r="MNC14" s="28"/>
      <c r="MND14" s="28"/>
      <c r="MNE14" s="28"/>
      <c r="MNF14" s="28"/>
      <c r="MNG14" s="28"/>
      <c r="MNH14" s="28"/>
      <c r="MNI14" s="28"/>
      <c r="MNJ14" s="28"/>
      <c r="MNK14" s="28"/>
      <c r="MNL14" s="28"/>
      <c r="MNM14" s="28"/>
      <c r="MNN14" s="28"/>
      <c r="MNO14" s="28"/>
      <c r="MNP14" s="28"/>
      <c r="MNQ14" s="28"/>
      <c r="MNR14" s="28"/>
      <c r="MNS14" s="28"/>
      <c r="MNT14" s="28"/>
      <c r="MNU14" s="28"/>
      <c r="MNV14" s="28"/>
      <c r="MNW14" s="28"/>
      <c r="MNX14" s="28"/>
      <c r="MNY14" s="28"/>
      <c r="MNZ14" s="28"/>
      <c r="MOA14" s="28"/>
      <c r="MOB14" s="28"/>
      <c r="MOC14" s="28"/>
      <c r="MOD14" s="28"/>
      <c r="MOE14" s="28"/>
      <c r="MOF14" s="28"/>
      <c r="MOG14" s="28"/>
      <c r="MOH14" s="28"/>
      <c r="MOI14" s="28"/>
      <c r="MOJ14" s="28"/>
      <c r="MOK14" s="28"/>
      <c r="MOL14" s="28"/>
      <c r="MOM14" s="28"/>
      <c r="MON14" s="28"/>
      <c r="MOO14" s="28"/>
      <c r="MOP14" s="28"/>
      <c r="MOQ14" s="28"/>
      <c r="MOR14" s="28"/>
      <c r="MOS14" s="28"/>
      <c r="MOT14" s="28"/>
      <c r="MOU14" s="28"/>
      <c r="MOV14" s="28"/>
      <c r="MOW14" s="28"/>
      <c r="MOX14" s="28"/>
      <c r="MOY14" s="28"/>
      <c r="MOZ14" s="28"/>
      <c r="MPA14" s="28"/>
      <c r="MPB14" s="28"/>
      <c r="MPC14" s="28"/>
      <c r="MPD14" s="28"/>
      <c r="MPE14" s="28"/>
      <c r="MPF14" s="28"/>
      <c r="MPG14" s="28"/>
      <c r="MPH14" s="28"/>
      <c r="MPI14" s="28"/>
      <c r="MPJ14" s="28"/>
      <c r="MPK14" s="28"/>
      <c r="MPL14" s="28"/>
      <c r="MPM14" s="28"/>
      <c r="MPN14" s="28"/>
      <c r="MPO14" s="28"/>
      <c r="MPP14" s="28"/>
      <c r="MPQ14" s="28"/>
      <c r="MPR14" s="28"/>
      <c r="MPS14" s="28"/>
      <c r="MPT14" s="28"/>
      <c r="MPU14" s="28"/>
      <c r="MPV14" s="28"/>
      <c r="MPW14" s="28"/>
      <c r="MPX14" s="28"/>
      <c r="MPY14" s="28"/>
      <c r="MPZ14" s="28"/>
      <c r="MQA14" s="28"/>
      <c r="MQB14" s="28"/>
      <c r="MQC14" s="28"/>
      <c r="MQD14" s="28"/>
      <c r="MQE14" s="28"/>
      <c r="MQF14" s="28"/>
      <c r="MQG14" s="28"/>
      <c r="MQH14" s="28"/>
      <c r="MQI14" s="28"/>
      <c r="MQJ14" s="28"/>
      <c r="MQK14" s="28"/>
      <c r="MQL14" s="28"/>
      <c r="MQM14" s="28"/>
      <c r="MQN14" s="28"/>
      <c r="MQO14" s="28"/>
      <c r="MQP14" s="28"/>
      <c r="MQQ14" s="28"/>
      <c r="MQR14" s="28"/>
      <c r="MQS14" s="28"/>
      <c r="MQT14" s="28"/>
      <c r="MQU14" s="28"/>
      <c r="MQV14" s="28"/>
      <c r="MQW14" s="28"/>
      <c r="MQX14" s="28"/>
      <c r="MQY14" s="28"/>
      <c r="MQZ14" s="28"/>
      <c r="MRA14" s="28"/>
      <c r="MRB14" s="28"/>
      <c r="MRC14" s="28"/>
      <c r="MRD14" s="28"/>
      <c r="MRE14" s="28"/>
      <c r="MRF14" s="28"/>
      <c r="MRG14" s="28"/>
      <c r="MRH14" s="28"/>
      <c r="MRI14" s="28"/>
      <c r="MRJ14" s="28"/>
      <c r="MRK14" s="28"/>
      <c r="MRL14" s="28"/>
      <c r="MRM14" s="28"/>
      <c r="MRN14" s="28"/>
      <c r="MRO14" s="28"/>
      <c r="MRP14" s="28"/>
      <c r="MRQ14" s="28"/>
      <c r="MRR14" s="28"/>
      <c r="MRS14" s="28"/>
      <c r="MRT14" s="28"/>
      <c r="MRU14" s="28"/>
      <c r="MRV14" s="28"/>
      <c r="MRW14" s="28"/>
      <c r="MRX14" s="28"/>
      <c r="MRY14" s="28"/>
      <c r="MRZ14" s="28"/>
      <c r="MSA14" s="28"/>
      <c r="MSB14" s="28"/>
      <c r="MSC14" s="28"/>
      <c r="MSD14" s="28"/>
      <c r="MSE14" s="28"/>
      <c r="MSF14" s="28"/>
      <c r="MSG14" s="28"/>
      <c r="MSH14" s="28"/>
      <c r="MSI14" s="28"/>
      <c r="MSJ14" s="28"/>
      <c r="MSK14" s="28"/>
      <c r="MSL14" s="28"/>
      <c r="MSM14" s="28"/>
      <c r="MSN14" s="28"/>
      <c r="MSO14" s="28"/>
      <c r="MSP14" s="28"/>
      <c r="MSQ14" s="28"/>
      <c r="MSR14" s="28"/>
      <c r="MSS14" s="28"/>
      <c r="MST14" s="28"/>
      <c r="MSU14" s="28"/>
      <c r="MSV14" s="28"/>
      <c r="MSW14" s="28"/>
      <c r="MSX14" s="28"/>
      <c r="MSY14" s="28"/>
      <c r="MSZ14" s="28"/>
      <c r="MTA14" s="28"/>
      <c r="MTB14" s="28"/>
      <c r="MTC14" s="28"/>
      <c r="MTD14" s="28"/>
      <c r="MTE14" s="28"/>
      <c r="MTF14" s="28"/>
      <c r="MTG14" s="28"/>
      <c r="MTH14" s="28"/>
      <c r="MTI14" s="28"/>
      <c r="MTJ14" s="28"/>
      <c r="MTK14" s="28"/>
      <c r="MTL14" s="28"/>
      <c r="MTM14" s="28"/>
      <c r="MTN14" s="28"/>
      <c r="MTO14" s="28"/>
      <c r="MTP14" s="28"/>
      <c r="MTQ14" s="28"/>
      <c r="MTR14" s="28"/>
      <c r="MTS14" s="28"/>
      <c r="MTT14" s="28"/>
      <c r="MTU14" s="28"/>
      <c r="MTV14" s="28"/>
      <c r="MTW14" s="28"/>
      <c r="MTX14" s="28"/>
      <c r="MTY14" s="28"/>
      <c r="MTZ14" s="28"/>
      <c r="MUA14" s="28"/>
      <c r="MUB14" s="28"/>
      <c r="MUC14" s="28"/>
      <c r="MUD14" s="28"/>
      <c r="MUE14" s="28"/>
      <c r="MUF14" s="28"/>
      <c r="MUG14" s="28"/>
      <c r="MUH14" s="28"/>
      <c r="MUI14" s="28"/>
      <c r="MUJ14" s="28"/>
      <c r="MUK14" s="28"/>
      <c r="MUL14" s="28"/>
      <c r="MUM14" s="28"/>
      <c r="MUN14" s="28"/>
      <c r="MUO14" s="28"/>
      <c r="MUP14" s="28"/>
      <c r="MUQ14" s="28"/>
      <c r="MUR14" s="28"/>
      <c r="MUS14" s="28"/>
      <c r="MUT14" s="28"/>
      <c r="MUU14" s="28"/>
      <c r="MUV14" s="28"/>
      <c r="MUW14" s="28"/>
      <c r="MUX14" s="28"/>
      <c r="MUY14" s="28"/>
      <c r="MUZ14" s="28"/>
      <c r="MVA14" s="28"/>
      <c r="MVB14" s="28"/>
      <c r="MVC14" s="28"/>
      <c r="MVD14" s="28"/>
      <c r="MVE14" s="28"/>
      <c r="MVF14" s="28"/>
      <c r="MVG14" s="28"/>
      <c r="MVH14" s="28"/>
      <c r="MVI14" s="28"/>
      <c r="MVJ14" s="28"/>
      <c r="MVK14" s="28"/>
      <c r="MVL14" s="28"/>
      <c r="MVM14" s="28"/>
      <c r="MVN14" s="28"/>
      <c r="MVO14" s="28"/>
      <c r="MVP14" s="28"/>
      <c r="MVQ14" s="28"/>
      <c r="MVR14" s="28"/>
      <c r="MVS14" s="28"/>
      <c r="MVT14" s="28"/>
      <c r="MVU14" s="28"/>
      <c r="MVV14" s="28"/>
      <c r="MVW14" s="28"/>
      <c r="MVX14" s="28"/>
      <c r="MVY14" s="28"/>
      <c r="MVZ14" s="28"/>
      <c r="MWA14" s="28"/>
      <c r="MWB14" s="28"/>
      <c r="MWC14" s="28"/>
      <c r="MWD14" s="28"/>
      <c r="MWE14" s="28"/>
      <c r="MWF14" s="28"/>
      <c r="MWG14" s="28"/>
      <c r="MWH14" s="28"/>
      <c r="MWI14" s="28"/>
      <c r="MWJ14" s="28"/>
      <c r="MWK14" s="28"/>
      <c r="MWL14" s="28"/>
      <c r="MWM14" s="28"/>
      <c r="MWN14" s="28"/>
      <c r="MWO14" s="28"/>
      <c r="MWP14" s="28"/>
      <c r="MWQ14" s="28"/>
      <c r="MWR14" s="28"/>
      <c r="MWS14" s="28"/>
      <c r="MWT14" s="28"/>
      <c r="MWU14" s="28"/>
      <c r="MWV14" s="28"/>
      <c r="MWW14" s="28"/>
      <c r="MWX14" s="28"/>
      <c r="MWY14" s="28"/>
      <c r="MWZ14" s="28"/>
      <c r="MXA14" s="28"/>
      <c r="MXB14" s="28"/>
      <c r="MXC14" s="28"/>
      <c r="MXD14" s="28"/>
      <c r="MXE14" s="28"/>
      <c r="MXF14" s="28"/>
      <c r="MXG14" s="28"/>
      <c r="MXH14" s="28"/>
      <c r="MXI14" s="28"/>
      <c r="MXJ14" s="28"/>
      <c r="MXK14" s="28"/>
      <c r="MXL14" s="28"/>
      <c r="MXM14" s="28"/>
      <c r="MXN14" s="28"/>
      <c r="MXO14" s="28"/>
      <c r="MXP14" s="28"/>
      <c r="MXQ14" s="28"/>
      <c r="MXR14" s="28"/>
      <c r="MXS14" s="28"/>
      <c r="MXT14" s="28"/>
      <c r="MXU14" s="28"/>
      <c r="MXV14" s="28"/>
      <c r="MXW14" s="28"/>
      <c r="MXX14" s="28"/>
      <c r="MXY14" s="28"/>
      <c r="MXZ14" s="28"/>
      <c r="MYA14" s="28"/>
      <c r="MYB14" s="28"/>
      <c r="MYC14" s="28"/>
      <c r="MYD14" s="28"/>
      <c r="MYE14" s="28"/>
      <c r="MYF14" s="28"/>
      <c r="MYG14" s="28"/>
      <c r="MYH14" s="28"/>
      <c r="MYI14" s="28"/>
      <c r="MYJ14" s="28"/>
      <c r="MYK14" s="28"/>
      <c r="MYL14" s="28"/>
      <c r="MYM14" s="28"/>
      <c r="MYN14" s="28"/>
      <c r="MYO14" s="28"/>
      <c r="MYP14" s="28"/>
      <c r="MYQ14" s="28"/>
      <c r="MYR14" s="28"/>
      <c r="MYS14" s="28"/>
      <c r="MYT14" s="28"/>
      <c r="MYU14" s="28"/>
      <c r="MYV14" s="28"/>
      <c r="MYW14" s="28"/>
      <c r="MYX14" s="28"/>
      <c r="MYY14" s="28"/>
      <c r="MYZ14" s="28"/>
      <c r="MZA14" s="28"/>
      <c r="MZB14" s="28"/>
      <c r="MZC14" s="28"/>
      <c r="MZD14" s="28"/>
      <c r="MZE14" s="28"/>
      <c r="MZF14" s="28"/>
      <c r="MZG14" s="28"/>
      <c r="MZH14" s="28"/>
      <c r="MZI14" s="28"/>
      <c r="MZJ14" s="28"/>
      <c r="MZK14" s="28"/>
      <c r="MZL14" s="28"/>
      <c r="MZM14" s="28"/>
      <c r="MZN14" s="28"/>
      <c r="MZO14" s="28"/>
      <c r="MZP14" s="28"/>
      <c r="MZQ14" s="28"/>
      <c r="MZR14" s="28"/>
      <c r="MZS14" s="28"/>
      <c r="MZT14" s="28"/>
      <c r="MZU14" s="28"/>
      <c r="MZV14" s="28"/>
      <c r="MZW14" s="28"/>
      <c r="MZX14" s="28"/>
      <c r="MZY14" s="28"/>
      <c r="MZZ14" s="28"/>
      <c r="NAA14" s="28"/>
      <c r="NAB14" s="28"/>
      <c r="NAC14" s="28"/>
      <c r="NAD14" s="28"/>
      <c r="NAE14" s="28"/>
      <c r="NAF14" s="28"/>
      <c r="NAG14" s="28"/>
      <c r="NAH14" s="28"/>
      <c r="NAI14" s="28"/>
      <c r="NAJ14" s="28"/>
      <c r="NAK14" s="28"/>
      <c r="NAL14" s="28"/>
      <c r="NAM14" s="28"/>
      <c r="NAN14" s="28"/>
      <c r="NAO14" s="28"/>
      <c r="NAP14" s="28"/>
      <c r="NAQ14" s="28"/>
      <c r="NAR14" s="28"/>
      <c r="NAS14" s="28"/>
      <c r="NAT14" s="28"/>
      <c r="NAU14" s="28"/>
      <c r="NAV14" s="28"/>
      <c r="NAW14" s="28"/>
      <c r="NAX14" s="28"/>
      <c r="NAY14" s="28"/>
      <c r="NAZ14" s="28"/>
      <c r="NBA14" s="28"/>
      <c r="NBB14" s="28"/>
      <c r="NBC14" s="28"/>
      <c r="NBD14" s="28"/>
      <c r="NBE14" s="28"/>
      <c r="NBF14" s="28"/>
      <c r="NBG14" s="28"/>
      <c r="NBH14" s="28"/>
      <c r="NBI14" s="28"/>
      <c r="NBJ14" s="28"/>
      <c r="NBK14" s="28"/>
      <c r="NBL14" s="28"/>
      <c r="NBM14" s="28"/>
      <c r="NBN14" s="28"/>
      <c r="NBO14" s="28"/>
      <c r="NBP14" s="28"/>
      <c r="NBQ14" s="28"/>
      <c r="NBR14" s="28"/>
      <c r="NBS14" s="28"/>
      <c r="NBT14" s="28"/>
      <c r="NBU14" s="28"/>
      <c r="NBV14" s="28"/>
      <c r="NBW14" s="28"/>
      <c r="NBX14" s="28"/>
      <c r="NBY14" s="28"/>
      <c r="NBZ14" s="28"/>
      <c r="NCA14" s="28"/>
      <c r="NCB14" s="28"/>
      <c r="NCC14" s="28"/>
      <c r="NCD14" s="28"/>
      <c r="NCE14" s="28"/>
      <c r="NCF14" s="28"/>
      <c r="NCG14" s="28"/>
      <c r="NCH14" s="28"/>
      <c r="NCI14" s="28"/>
      <c r="NCJ14" s="28"/>
      <c r="NCK14" s="28"/>
      <c r="NCL14" s="28"/>
      <c r="NCM14" s="28"/>
      <c r="NCN14" s="28"/>
      <c r="NCO14" s="28"/>
      <c r="NCP14" s="28"/>
      <c r="NCQ14" s="28"/>
      <c r="NCR14" s="28"/>
      <c r="NCS14" s="28"/>
      <c r="NCT14" s="28"/>
      <c r="NCU14" s="28"/>
      <c r="NCV14" s="28"/>
      <c r="NCW14" s="28"/>
      <c r="NCX14" s="28"/>
      <c r="NCY14" s="28"/>
      <c r="NCZ14" s="28"/>
      <c r="NDA14" s="28"/>
      <c r="NDB14" s="28"/>
      <c r="NDC14" s="28"/>
      <c r="NDD14" s="28"/>
      <c r="NDE14" s="28"/>
      <c r="NDF14" s="28"/>
      <c r="NDG14" s="28"/>
      <c r="NDH14" s="28"/>
      <c r="NDI14" s="28"/>
      <c r="NDJ14" s="28"/>
      <c r="NDK14" s="28"/>
      <c r="NDL14" s="28"/>
      <c r="NDM14" s="28"/>
      <c r="NDN14" s="28"/>
      <c r="NDO14" s="28"/>
      <c r="NDP14" s="28"/>
      <c r="NDQ14" s="28"/>
      <c r="NDR14" s="28"/>
      <c r="NDS14" s="28"/>
      <c r="NDT14" s="28"/>
      <c r="NDU14" s="28"/>
      <c r="NDV14" s="28"/>
      <c r="NDW14" s="28"/>
      <c r="NDX14" s="28"/>
      <c r="NDY14" s="28"/>
      <c r="NDZ14" s="28"/>
      <c r="NEA14" s="28"/>
      <c r="NEB14" s="28"/>
      <c r="NEC14" s="28"/>
      <c r="NED14" s="28"/>
      <c r="NEE14" s="28"/>
      <c r="NEF14" s="28"/>
      <c r="NEG14" s="28"/>
      <c r="NEH14" s="28"/>
      <c r="NEI14" s="28"/>
      <c r="NEJ14" s="28"/>
      <c r="NEK14" s="28"/>
      <c r="NEL14" s="28"/>
      <c r="NEM14" s="28"/>
      <c r="NEN14" s="28"/>
      <c r="NEO14" s="28"/>
      <c r="NEP14" s="28"/>
      <c r="NEQ14" s="28"/>
      <c r="NER14" s="28"/>
      <c r="NES14" s="28"/>
      <c r="NET14" s="28"/>
      <c r="NEU14" s="28"/>
      <c r="NEV14" s="28"/>
      <c r="NEW14" s="28"/>
      <c r="NEX14" s="28"/>
      <c r="NEY14" s="28"/>
      <c r="NEZ14" s="28"/>
      <c r="NFA14" s="28"/>
      <c r="NFB14" s="28"/>
      <c r="NFC14" s="28"/>
      <c r="NFD14" s="28"/>
      <c r="NFE14" s="28"/>
      <c r="NFF14" s="28"/>
      <c r="NFG14" s="28"/>
      <c r="NFH14" s="28"/>
      <c r="NFI14" s="28"/>
      <c r="NFJ14" s="28"/>
      <c r="NFK14" s="28"/>
      <c r="NFL14" s="28"/>
      <c r="NFM14" s="28"/>
      <c r="NFN14" s="28"/>
      <c r="NFO14" s="28"/>
      <c r="NFP14" s="28"/>
      <c r="NFQ14" s="28"/>
      <c r="NFR14" s="28"/>
      <c r="NFS14" s="28"/>
      <c r="NFT14" s="28"/>
      <c r="NFU14" s="28"/>
      <c r="NFV14" s="28"/>
      <c r="NFW14" s="28"/>
      <c r="NFX14" s="28"/>
      <c r="NFY14" s="28"/>
      <c r="NFZ14" s="28"/>
      <c r="NGA14" s="28"/>
      <c r="NGB14" s="28"/>
      <c r="NGC14" s="28"/>
      <c r="NGD14" s="28"/>
      <c r="NGE14" s="28"/>
      <c r="NGF14" s="28"/>
      <c r="NGG14" s="28"/>
      <c r="NGH14" s="28"/>
      <c r="NGI14" s="28"/>
      <c r="NGJ14" s="28"/>
      <c r="NGK14" s="28"/>
      <c r="NGL14" s="28"/>
      <c r="NGM14" s="28"/>
      <c r="NGN14" s="28"/>
      <c r="NGO14" s="28"/>
      <c r="NGP14" s="28"/>
      <c r="NGQ14" s="28"/>
      <c r="NGR14" s="28"/>
      <c r="NGS14" s="28"/>
      <c r="NGT14" s="28"/>
      <c r="NGU14" s="28"/>
      <c r="NGV14" s="28"/>
      <c r="NGW14" s="28"/>
      <c r="NGX14" s="28"/>
      <c r="NGY14" s="28"/>
      <c r="NGZ14" s="28"/>
      <c r="NHA14" s="28"/>
      <c r="NHB14" s="28"/>
      <c r="NHC14" s="28"/>
      <c r="NHD14" s="28"/>
      <c r="NHE14" s="28"/>
      <c r="NHF14" s="28"/>
      <c r="NHG14" s="28"/>
      <c r="NHH14" s="28"/>
      <c r="NHI14" s="28"/>
      <c r="NHJ14" s="28"/>
      <c r="NHK14" s="28"/>
      <c r="NHL14" s="28"/>
      <c r="NHM14" s="28"/>
      <c r="NHN14" s="28"/>
      <c r="NHO14" s="28"/>
      <c r="NHP14" s="28"/>
      <c r="NHQ14" s="28"/>
      <c r="NHR14" s="28"/>
      <c r="NHS14" s="28"/>
      <c r="NHT14" s="28"/>
      <c r="NHU14" s="28"/>
      <c r="NHV14" s="28"/>
      <c r="NHW14" s="28"/>
      <c r="NHX14" s="28"/>
      <c r="NHY14" s="28"/>
      <c r="NHZ14" s="28"/>
      <c r="NIA14" s="28"/>
      <c r="NIB14" s="28"/>
      <c r="NIC14" s="28"/>
      <c r="NID14" s="28"/>
      <c r="NIE14" s="28"/>
      <c r="NIF14" s="28"/>
      <c r="NIG14" s="28"/>
      <c r="NIH14" s="28"/>
      <c r="NII14" s="28"/>
      <c r="NIJ14" s="28"/>
      <c r="NIK14" s="28"/>
      <c r="NIL14" s="28"/>
      <c r="NIM14" s="28"/>
      <c r="NIN14" s="28"/>
      <c r="NIO14" s="28"/>
      <c r="NIP14" s="28"/>
      <c r="NIQ14" s="28"/>
      <c r="NIR14" s="28"/>
      <c r="NIS14" s="28"/>
      <c r="NIT14" s="28"/>
      <c r="NIU14" s="28"/>
      <c r="NIV14" s="28"/>
      <c r="NIW14" s="28"/>
      <c r="NIX14" s="28"/>
      <c r="NIY14" s="28"/>
      <c r="NIZ14" s="28"/>
      <c r="NJA14" s="28"/>
      <c r="NJB14" s="28"/>
      <c r="NJC14" s="28"/>
      <c r="NJD14" s="28"/>
      <c r="NJE14" s="28"/>
      <c r="NJF14" s="28"/>
      <c r="NJG14" s="28"/>
      <c r="NJH14" s="28"/>
      <c r="NJI14" s="28"/>
      <c r="NJJ14" s="28"/>
      <c r="NJK14" s="28"/>
      <c r="NJL14" s="28"/>
      <c r="NJM14" s="28"/>
      <c r="NJN14" s="28"/>
      <c r="NJO14" s="28"/>
      <c r="NJP14" s="28"/>
      <c r="NJQ14" s="28"/>
      <c r="NJR14" s="28"/>
      <c r="NJS14" s="28"/>
      <c r="NJT14" s="28"/>
      <c r="NJU14" s="28"/>
      <c r="NJV14" s="28"/>
      <c r="NJW14" s="28"/>
      <c r="NJX14" s="28"/>
      <c r="NJY14" s="28"/>
      <c r="NJZ14" s="28"/>
      <c r="NKA14" s="28"/>
      <c r="NKB14" s="28"/>
      <c r="NKC14" s="28"/>
      <c r="NKD14" s="28"/>
      <c r="NKE14" s="28"/>
      <c r="NKF14" s="28"/>
      <c r="NKG14" s="28"/>
      <c r="NKH14" s="28"/>
      <c r="NKI14" s="28"/>
      <c r="NKJ14" s="28"/>
      <c r="NKK14" s="28"/>
      <c r="NKL14" s="28"/>
      <c r="NKM14" s="28"/>
      <c r="NKN14" s="28"/>
      <c r="NKO14" s="28"/>
      <c r="NKP14" s="28"/>
      <c r="NKQ14" s="28"/>
      <c r="NKR14" s="28"/>
      <c r="NKS14" s="28"/>
      <c r="NKT14" s="28"/>
      <c r="NKU14" s="28"/>
      <c r="NKV14" s="28"/>
      <c r="NKW14" s="28"/>
      <c r="NKX14" s="28"/>
      <c r="NKY14" s="28"/>
      <c r="NKZ14" s="28"/>
      <c r="NLA14" s="28"/>
      <c r="NLB14" s="28"/>
      <c r="NLC14" s="28"/>
      <c r="NLD14" s="28"/>
      <c r="NLE14" s="28"/>
      <c r="NLF14" s="28"/>
      <c r="NLG14" s="28"/>
      <c r="NLH14" s="28"/>
      <c r="NLI14" s="28"/>
      <c r="NLJ14" s="28"/>
      <c r="NLK14" s="28"/>
      <c r="NLL14" s="28"/>
      <c r="NLM14" s="28"/>
      <c r="NLN14" s="28"/>
      <c r="NLO14" s="28"/>
      <c r="NLP14" s="28"/>
      <c r="NLQ14" s="28"/>
      <c r="NLR14" s="28"/>
      <c r="NLS14" s="28"/>
      <c r="NLT14" s="28"/>
      <c r="NLU14" s="28"/>
      <c r="NLV14" s="28"/>
      <c r="NLW14" s="28"/>
      <c r="NLX14" s="28"/>
      <c r="NLY14" s="28"/>
      <c r="NLZ14" s="28"/>
      <c r="NMA14" s="28"/>
      <c r="NMB14" s="28"/>
      <c r="NMC14" s="28"/>
      <c r="NMD14" s="28"/>
      <c r="NME14" s="28"/>
      <c r="NMF14" s="28"/>
      <c r="NMG14" s="28"/>
      <c r="NMH14" s="28"/>
      <c r="NMI14" s="28"/>
      <c r="NMJ14" s="28"/>
      <c r="NMK14" s="28"/>
      <c r="NML14" s="28"/>
      <c r="NMM14" s="28"/>
      <c r="NMN14" s="28"/>
      <c r="NMO14" s="28"/>
      <c r="NMP14" s="28"/>
      <c r="NMQ14" s="28"/>
      <c r="NMR14" s="28"/>
      <c r="NMS14" s="28"/>
      <c r="NMT14" s="28"/>
      <c r="NMU14" s="28"/>
      <c r="NMV14" s="28"/>
      <c r="NMW14" s="28"/>
      <c r="NMX14" s="28"/>
      <c r="NMY14" s="28"/>
      <c r="NMZ14" s="28"/>
      <c r="NNA14" s="28"/>
      <c r="NNB14" s="28"/>
      <c r="NNC14" s="28"/>
      <c r="NND14" s="28"/>
      <c r="NNE14" s="28"/>
      <c r="NNF14" s="28"/>
      <c r="NNG14" s="28"/>
      <c r="NNH14" s="28"/>
      <c r="NNI14" s="28"/>
      <c r="NNJ14" s="28"/>
      <c r="NNK14" s="28"/>
      <c r="NNL14" s="28"/>
      <c r="NNM14" s="28"/>
      <c r="NNN14" s="28"/>
      <c r="NNO14" s="28"/>
      <c r="NNP14" s="28"/>
      <c r="NNQ14" s="28"/>
      <c r="NNR14" s="28"/>
      <c r="NNS14" s="28"/>
      <c r="NNT14" s="28"/>
      <c r="NNU14" s="28"/>
      <c r="NNV14" s="28"/>
      <c r="NNW14" s="28"/>
      <c r="NNX14" s="28"/>
      <c r="NNY14" s="28"/>
      <c r="NNZ14" s="28"/>
      <c r="NOA14" s="28"/>
      <c r="NOB14" s="28"/>
      <c r="NOC14" s="28"/>
      <c r="NOD14" s="28"/>
      <c r="NOE14" s="28"/>
      <c r="NOF14" s="28"/>
      <c r="NOG14" s="28"/>
      <c r="NOH14" s="28"/>
      <c r="NOI14" s="28"/>
      <c r="NOJ14" s="28"/>
      <c r="NOK14" s="28"/>
      <c r="NOL14" s="28"/>
      <c r="NOM14" s="28"/>
      <c r="NON14" s="28"/>
      <c r="NOO14" s="28"/>
      <c r="NOP14" s="28"/>
      <c r="NOQ14" s="28"/>
      <c r="NOR14" s="28"/>
      <c r="NOS14" s="28"/>
      <c r="NOT14" s="28"/>
      <c r="NOU14" s="28"/>
      <c r="NOV14" s="28"/>
      <c r="NOW14" s="28"/>
      <c r="NOX14" s="28"/>
      <c r="NOY14" s="28"/>
      <c r="NOZ14" s="28"/>
      <c r="NPA14" s="28"/>
      <c r="NPB14" s="28"/>
      <c r="NPC14" s="28"/>
      <c r="NPD14" s="28"/>
      <c r="NPE14" s="28"/>
      <c r="NPF14" s="28"/>
      <c r="NPG14" s="28"/>
      <c r="NPH14" s="28"/>
      <c r="NPI14" s="28"/>
      <c r="NPJ14" s="28"/>
      <c r="NPK14" s="28"/>
      <c r="NPL14" s="28"/>
      <c r="NPM14" s="28"/>
      <c r="NPN14" s="28"/>
      <c r="NPO14" s="28"/>
      <c r="NPP14" s="28"/>
      <c r="NPQ14" s="28"/>
      <c r="NPR14" s="28"/>
      <c r="NPS14" s="28"/>
      <c r="NPT14" s="28"/>
      <c r="NPU14" s="28"/>
      <c r="NPV14" s="28"/>
      <c r="NPW14" s="28"/>
      <c r="NPX14" s="28"/>
      <c r="NPY14" s="28"/>
      <c r="NPZ14" s="28"/>
      <c r="NQA14" s="28"/>
      <c r="NQB14" s="28"/>
      <c r="NQC14" s="28"/>
      <c r="NQD14" s="28"/>
      <c r="NQE14" s="28"/>
      <c r="NQF14" s="28"/>
      <c r="NQG14" s="28"/>
      <c r="NQH14" s="28"/>
      <c r="NQI14" s="28"/>
      <c r="NQJ14" s="28"/>
      <c r="NQK14" s="28"/>
      <c r="NQL14" s="28"/>
      <c r="NQM14" s="28"/>
      <c r="NQN14" s="28"/>
      <c r="NQO14" s="28"/>
      <c r="NQP14" s="28"/>
      <c r="NQQ14" s="28"/>
      <c r="NQR14" s="28"/>
      <c r="NQS14" s="28"/>
      <c r="NQT14" s="28"/>
      <c r="NQU14" s="28"/>
      <c r="NQV14" s="28"/>
      <c r="NQW14" s="28"/>
      <c r="NQX14" s="28"/>
      <c r="NQY14" s="28"/>
      <c r="NQZ14" s="28"/>
      <c r="NRA14" s="28"/>
      <c r="NRB14" s="28"/>
      <c r="NRC14" s="28"/>
      <c r="NRD14" s="28"/>
      <c r="NRE14" s="28"/>
      <c r="NRF14" s="28"/>
      <c r="NRG14" s="28"/>
      <c r="NRH14" s="28"/>
      <c r="NRI14" s="28"/>
      <c r="NRJ14" s="28"/>
      <c r="NRK14" s="28"/>
      <c r="NRL14" s="28"/>
      <c r="NRM14" s="28"/>
      <c r="NRN14" s="28"/>
      <c r="NRO14" s="28"/>
      <c r="NRP14" s="28"/>
      <c r="NRQ14" s="28"/>
      <c r="NRR14" s="28"/>
      <c r="NRS14" s="28"/>
      <c r="NRT14" s="28"/>
      <c r="NRU14" s="28"/>
      <c r="NRV14" s="28"/>
      <c r="NRW14" s="28"/>
      <c r="NRX14" s="28"/>
      <c r="NRY14" s="28"/>
      <c r="NRZ14" s="28"/>
      <c r="NSA14" s="28"/>
      <c r="NSB14" s="28"/>
      <c r="NSC14" s="28"/>
      <c r="NSD14" s="28"/>
      <c r="NSE14" s="28"/>
      <c r="NSF14" s="28"/>
      <c r="NSG14" s="28"/>
      <c r="NSH14" s="28"/>
      <c r="NSI14" s="28"/>
      <c r="NSJ14" s="28"/>
      <c r="NSK14" s="28"/>
      <c r="NSL14" s="28"/>
      <c r="NSM14" s="28"/>
      <c r="NSN14" s="28"/>
      <c r="NSO14" s="28"/>
      <c r="NSP14" s="28"/>
      <c r="NSQ14" s="28"/>
      <c r="NSR14" s="28"/>
      <c r="NSS14" s="28"/>
      <c r="NST14" s="28"/>
      <c r="NSU14" s="28"/>
      <c r="NSV14" s="28"/>
      <c r="NSW14" s="28"/>
      <c r="NSX14" s="28"/>
      <c r="NSY14" s="28"/>
      <c r="NSZ14" s="28"/>
      <c r="NTA14" s="28"/>
      <c r="NTB14" s="28"/>
      <c r="NTC14" s="28"/>
      <c r="NTD14" s="28"/>
      <c r="NTE14" s="28"/>
      <c r="NTF14" s="28"/>
      <c r="NTG14" s="28"/>
      <c r="NTH14" s="28"/>
      <c r="NTI14" s="28"/>
      <c r="NTJ14" s="28"/>
      <c r="NTK14" s="28"/>
      <c r="NTL14" s="28"/>
      <c r="NTM14" s="28"/>
      <c r="NTN14" s="28"/>
      <c r="NTO14" s="28"/>
      <c r="NTP14" s="28"/>
      <c r="NTQ14" s="28"/>
      <c r="NTR14" s="28"/>
      <c r="NTS14" s="28"/>
      <c r="NTT14" s="28"/>
      <c r="NTU14" s="28"/>
      <c r="NTV14" s="28"/>
      <c r="NTW14" s="28"/>
      <c r="NTX14" s="28"/>
      <c r="NTY14" s="28"/>
      <c r="NTZ14" s="28"/>
      <c r="NUA14" s="28"/>
      <c r="NUB14" s="28"/>
      <c r="NUC14" s="28"/>
      <c r="NUD14" s="28"/>
      <c r="NUE14" s="28"/>
      <c r="NUF14" s="28"/>
      <c r="NUG14" s="28"/>
      <c r="NUH14" s="28"/>
      <c r="NUI14" s="28"/>
      <c r="NUJ14" s="28"/>
      <c r="NUK14" s="28"/>
      <c r="NUL14" s="28"/>
      <c r="NUM14" s="28"/>
      <c r="NUN14" s="28"/>
      <c r="NUO14" s="28"/>
      <c r="NUP14" s="28"/>
      <c r="NUQ14" s="28"/>
      <c r="NUR14" s="28"/>
      <c r="NUS14" s="28"/>
      <c r="NUT14" s="28"/>
      <c r="NUU14" s="28"/>
      <c r="NUV14" s="28"/>
      <c r="NUW14" s="28"/>
      <c r="NUX14" s="28"/>
      <c r="NUY14" s="28"/>
      <c r="NUZ14" s="28"/>
      <c r="NVA14" s="28"/>
      <c r="NVB14" s="28"/>
      <c r="NVC14" s="28"/>
      <c r="NVD14" s="28"/>
      <c r="NVE14" s="28"/>
      <c r="NVF14" s="28"/>
      <c r="NVG14" s="28"/>
      <c r="NVH14" s="28"/>
      <c r="NVI14" s="28"/>
      <c r="NVJ14" s="28"/>
      <c r="NVK14" s="28"/>
      <c r="NVL14" s="28"/>
      <c r="NVM14" s="28"/>
      <c r="NVN14" s="28"/>
      <c r="NVO14" s="28"/>
      <c r="NVP14" s="28"/>
      <c r="NVQ14" s="28"/>
      <c r="NVR14" s="28"/>
      <c r="NVS14" s="28"/>
      <c r="NVT14" s="28"/>
      <c r="NVU14" s="28"/>
      <c r="NVV14" s="28"/>
      <c r="NVW14" s="28"/>
      <c r="NVX14" s="28"/>
      <c r="NVY14" s="28"/>
      <c r="NVZ14" s="28"/>
      <c r="NWA14" s="28"/>
      <c r="NWB14" s="28"/>
      <c r="NWC14" s="28"/>
      <c r="NWD14" s="28"/>
      <c r="NWE14" s="28"/>
      <c r="NWF14" s="28"/>
      <c r="NWG14" s="28"/>
      <c r="NWH14" s="28"/>
      <c r="NWI14" s="28"/>
      <c r="NWJ14" s="28"/>
      <c r="NWK14" s="28"/>
      <c r="NWL14" s="28"/>
      <c r="NWM14" s="28"/>
      <c r="NWN14" s="28"/>
      <c r="NWO14" s="28"/>
      <c r="NWP14" s="28"/>
      <c r="NWQ14" s="28"/>
      <c r="NWR14" s="28"/>
      <c r="NWS14" s="28"/>
      <c r="NWT14" s="28"/>
      <c r="NWU14" s="28"/>
      <c r="NWV14" s="28"/>
      <c r="NWW14" s="28"/>
      <c r="NWX14" s="28"/>
      <c r="NWY14" s="28"/>
      <c r="NWZ14" s="28"/>
      <c r="NXA14" s="28"/>
      <c r="NXB14" s="28"/>
      <c r="NXC14" s="28"/>
      <c r="NXD14" s="28"/>
      <c r="NXE14" s="28"/>
      <c r="NXF14" s="28"/>
      <c r="NXG14" s="28"/>
      <c r="NXH14" s="28"/>
      <c r="NXI14" s="28"/>
      <c r="NXJ14" s="28"/>
      <c r="NXK14" s="28"/>
      <c r="NXL14" s="28"/>
      <c r="NXM14" s="28"/>
      <c r="NXN14" s="28"/>
      <c r="NXO14" s="28"/>
      <c r="NXP14" s="28"/>
      <c r="NXQ14" s="28"/>
      <c r="NXR14" s="28"/>
      <c r="NXS14" s="28"/>
      <c r="NXT14" s="28"/>
      <c r="NXU14" s="28"/>
      <c r="NXV14" s="28"/>
      <c r="NXW14" s="28"/>
      <c r="NXX14" s="28"/>
      <c r="NXY14" s="28"/>
      <c r="NXZ14" s="28"/>
      <c r="NYA14" s="28"/>
      <c r="NYB14" s="28"/>
      <c r="NYC14" s="28"/>
      <c r="NYD14" s="28"/>
      <c r="NYE14" s="28"/>
      <c r="NYF14" s="28"/>
      <c r="NYG14" s="28"/>
      <c r="NYH14" s="28"/>
      <c r="NYI14" s="28"/>
      <c r="NYJ14" s="28"/>
      <c r="NYK14" s="28"/>
      <c r="NYL14" s="28"/>
      <c r="NYM14" s="28"/>
      <c r="NYN14" s="28"/>
      <c r="NYO14" s="28"/>
      <c r="NYP14" s="28"/>
      <c r="NYQ14" s="28"/>
      <c r="NYR14" s="28"/>
      <c r="NYS14" s="28"/>
      <c r="NYT14" s="28"/>
      <c r="NYU14" s="28"/>
      <c r="NYV14" s="28"/>
      <c r="NYW14" s="28"/>
      <c r="NYX14" s="28"/>
      <c r="NYY14" s="28"/>
      <c r="NYZ14" s="28"/>
      <c r="NZA14" s="28"/>
      <c r="NZB14" s="28"/>
      <c r="NZC14" s="28"/>
      <c r="NZD14" s="28"/>
      <c r="NZE14" s="28"/>
      <c r="NZF14" s="28"/>
      <c r="NZG14" s="28"/>
      <c r="NZH14" s="28"/>
      <c r="NZI14" s="28"/>
      <c r="NZJ14" s="28"/>
      <c r="NZK14" s="28"/>
      <c r="NZL14" s="28"/>
      <c r="NZM14" s="28"/>
      <c r="NZN14" s="28"/>
      <c r="NZO14" s="28"/>
      <c r="NZP14" s="28"/>
      <c r="NZQ14" s="28"/>
      <c r="NZR14" s="28"/>
      <c r="NZS14" s="28"/>
      <c r="NZT14" s="28"/>
      <c r="NZU14" s="28"/>
      <c r="NZV14" s="28"/>
      <c r="NZW14" s="28"/>
      <c r="NZX14" s="28"/>
      <c r="NZY14" s="28"/>
      <c r="NZZ14" s="28"/>
      <c r="OAA14" s="28"/>
      <c r="OAB14" s="28"/>
      <c r="OAC14" s="28"/>
      <c r="OAD14" s="28"/>
      <c r="OAE14" s="28"/>
      <c r="OAF14" s="28"/>
      <c r="OAG14" s="28"/>
      <c r="OAH14" s="28"/>
      <c r="OAI14" s="28"/>
      <c r="OAJ14" s="28"/>
      <c r="OAK14" s="28"/>
      <c r="OAL14" s="28"/>
      <c r="OAM14" s="28"/>
      <c r="OAN14" s="28"/>
      <c r="OAO14" s="28"/>
      <c r="OAP14" s="28"/>
      <c r="OAQ14" s="28"/>
      <c r="OAR14" s="28"/>
      <c r="OAS14" s="28"/>
      <c r="OAT14" s="28"/>
      <c r="OAU14" s="28"/>
      <c r="OAV14" s="28"/>
      <c r="OAW14" s="28"/>
      <c r="OAX14" s="28"/>
      <c r="OAY14" s="28"/>
      <c r="OAZ14" s="28"/>
      <c r="OBA14" s="28"/>
      <c r="OBB14" s="28"/>
      <c r="OBC14" s="28"/>
      <c r="OBD14" s="28"/>
      <c r="OBE14" s="28"/>
      <c r="OBF14" s="28"/>
      <c r="OBG14" s="28"/>
      <c r="OBH14" s="28"/>
      <c r="OBI14" s="28"/>
      <c r="OBJ14" s="28"/>
      <c r="OBK14" s="28"/>
      <c r="OBL14" s="28"/>
      <c r="OBM14" s="28"/>
      <c r="OBN14" s="28"/>
      <c r="OBO14" s="28"/>
      <c r="OBP14" s="28"/>
      <c r="OBQ14" s="28"/>
      <c r="OBR14" s="28"/>
      <c r="OBS14" s="28"/>
      <c r="OBT14" s="28"/>
      <c r="OBU14" s="28"/>
      <c r="OBV14" s="28"/>
      <c r="OBW14" s="28"/>
      <c r="OBX14" s="28"/>
      <c r="OBY14" s="28"/>
      <c r="OBZ14" s="28"/>
      <c r="OCA14" s="28"/>
      <c r="OCB14" s="28"/>
      <c r="OCC14" s="28"/>
      <c r="OCD14" s="28"/>
      <c r="OCE14" s="28"/>
      <c r="OCF14" s="28"/>
      <c r="OCG14" s="28"/>
      <c r="OCH14" s="28"/>
      <c r="OCI14" s="28"/>
      <c r="OCJ14" s="28"/>
      <c r="OCK14" s="28"/>
      <c r="OCL14" s="28"/>
      <c r="OCM14" s="28"/>
      <c r="OCN14" s="28"/>
      <c r="OCO14" s="28"/>
      <c r="OCP14" s="28"/>
      <c r="OCQ14" s="28"/>
      <c r="OCR14" s="28"/>
      <c r="OCS14" s="28"/>
      <c r="OCT14" s="28"/>
      <c r="OCU14" s="28"/>
      <c r="OCV14" s="28"/>
      <c r="OCW14" s="28"/>
      <c r="OCX14" s="28"/>
      <c r="OCY14" s="28"/>
      <c r="OCZ14" s="28"/>
      <c r="ODA14" s="28"/>
      <c r="ODB14" s="28"/>
      <c r="ODC14" s="28"/>
      <c r="ODD14" s="28"/>
      <c r="ODE14" s="28"/>
      <c r="ODF14" s="28"/>
      <c r="ODG14" s="28"/>
      <c r="ODH14" s="28"/>
      <c r="ODI14" s="28"/>
      <c r="ODJ14" s="28"/>
      <c r="ODK14" s="28"/>
      <c r="ODL14" s="28"/>
      <c r="ODM14" s="28"/>
      <c r="ODN14" s="28"/>
      <c r="ODO14" s="28"/>
      <c r="ODP14" s="28"/>
      <c r="ODQ14" s="28"/>
      <c r="ODR14" s="28"/>
      <c r="ODS14" s="28"/>
      <c r="ODT14" s="28"/>
      <c r="ODU14" s="28"/>
      <c r="ODV14" s="28"/>
      <c r="ODW14" s="28"/>
      <c r="ODX14" s="28"/>
      <c r="ODY14" s="28"/>
      <c r="ODZ14" s="28"/>
      <c r="OEA14" s="28"/>
      <c r="OEB14" s="28"/>
      <c r="OEC14" s="28"/>
      <c r="OED14" s="28"/>
      <c r="OEE14" s="28"/>
      <c r="OEF14" s="28"/>
      <c r="OEG14" s="28"/>
      <c r="OEH14" s="28"/>
      <c r="OEI14" s="28"/>
      <c r="OEJ14" s="28"/>
      <c r="OEK14" s="28"/>
      <c r="OEL14" s="28"/>
      <c r="OEM14" s="28"/>
      <c r="OEN14" s="28"/>
      <c r="OEO14" s="28"/>
      <c r="OEP14" s="28"/>
      <c r="OEQ14" s="28"/>
      <c r="OER14" s="28"/>
      <c r="OES14" s="28"/>
      <c r="OET14" s="28"/>
      <c r="OEU14" s="28"/>
      <c r="OEV14" s="28"/>
      <c r="OEW14" s="28"/>
      <c r="OEX14" s="28"/>
      <c r="OEY14" s="28"/>
      <c r="OEZ14" s="28"/>
      <c r="OFA14" s="28"/>
      <c r="OFB14" s="28"/>
      <c r="OFC14" s="28"/>
      <c r="OFD14" s="28"/>
      <c r="OFE14" s="28"/>
      <c r="OFF14" s="28"/>
      <c r="OFG14" s="28"/>
      <c r="OFH14" s="28"/>
      <c r="OFI14" s="28"/>
      <c r="OFJ14" s="28"/>
      <c r="OFK14" s="28"/>
      <c r="OFL14" s="28"/>
      <c r="OFM14" s="28"/>
      <c r="OFN14" s="28"/>
      <c r="OFO14" s="28"/>
      <c r="OFP14" s="28"/>
      <c r="OFQ14" s="28"/>
      <c r="OFR14" s="28"/>
      <c r="OFS14" s="28"/>
      <c r="OFT14" s="28"/>
      <c r="OFU14" s="28"/>
      <c r="OFV14" s="28"/>
      <c r="OFW14" s="28"/>
      <c r="OFX14" s="28"/>
      <c r="OFY14" s="28"/>
      <c r="OFZ14" s="28"/>
      <c r="OGA14" s="28"/>
      <c r="OGB14" s="28"/>
      <c r="OGC14" s="28"/>
      <c r="OGD14" s="28"/>
      <c r="OGE14" s="28"/>
      <c r="OGF14" s="28"/>
      <c r="OGG14" s="28"/>
      <c r="OGH14" s="28"/>
      <c r="OGI14" s="28"/>
      <c r="OGJ14" s="28"/>
      <c r="OGK14" s="28"/>
      <c r="OGL14" s="28"/>
      <c r="OGM14" s="28"/>
      <c r="OGN14" s="28"/>
      <c r="OGO14" s="28"/>
      <c r="OGP14" s="28"/>
      <c r="OGQ14" s="28"/>
      <c r="OGR14" s="28"/>
      <c r="OGS14" s="28"/>
      <c r="OGT14" s="28"/>
      <c r="OGU14" s="28"/>
      <c r="OGV14" s="28"/>
      <c r="OGW14" s="28"/>
      <c r="OGX14" s="28"/>
      <c r="OGY14" s="28"/>
      <c r="OGZ14" s="28"/>
      <c r="OHA14" s="28"/>
      <c r="OHB14" s="28"/>
      <c r="OHC14" s="28"/>
      <c r="OHD14" s="28"/>
      <c r="OHE14" s="28"/>
      <c r="OHF14" s="28"/>
      <c r="OHG14" s="28"/>
      <c r="OHH14" s="28"/>
      <c r="OHI14" s="28"/>
      <c r="OHJ14" s="28"/>
      <c r="OHK14" s="28"/>
      <c r="OHL14" s="28"/>
      <c r="OHM14" s="28"/>
      <c r="OHN14" s="28"/>
      <c r="OHO14" s="28"/>
      <c r="OHP14" s="28"/>
      <c r="OHQ14" s="28"/>
      <c r="OHR14" s="28"/>
      <c r="OHS14" s="28"/>
      <c r="OHT14" s="28"/>
      <c r="OHU14" s="28"/>
      <c r="OHV14" s="28"/>
      <c r="OHW14" s="28"/>
      <c r="OHX14" s="28"/>
      <c r="OHY14" s="28"/>
      <c r="OHZ14" s="28"/>
      <c r="OIA14" s="28"/>
      <c r="OIB14" s="28"/>
      <c r="OIC14" s="28"/>
      <c r="OID14" s="28"/>
      <c r="OIE14" s="28"/>
      <c r="OIF14" s="28"/>
      <c r="OIG14" s="28"/>
      <c r="OIH14" s="28"/>
      <c r="OII14" s="28"/>
      <c r="OIJ14" s="28"/>
      <c r="OIK14" s="28"/>
      <c r="OIL14" s="28"/>
      <c r="OIM14" s="28"/>
      <c r="OIN14" s="28"/>
      <c r="OIO14" s="28"/>
      <c r="OIP14" s="28"/>
      <c r="OIQ14" s="28"/>
      <c r="OIR14" s="28"/>
      <c r="OIS14" s="28"/>
      <c r="OIT14" s="28"/>
      <c r="OIU14" s="28"/>
      <c r="OIV14" s="28"/>
      <c r="OIW14" s="28"/>
      <c r="OIX14" s="28"/>
      <c r="OIY14" s="28"/>
      <c r="OIZ14" s="28"/>
      <c r="OJA14" s="28"/>
      <c r="OJB14" s="28"/>
      <c r="OJC14" s="28"/>
      <c r="OJD14" s="28"/>
      <c r="OJE14" s="28"/>
      <c r="OJF14" s="28"/>
      <c r="OJG14" s="28"/>
      <c r="OJH14" s="28"/>
      <c r="OJI14" s="28"/>
      <c r="OJJ14" s="28"/>
      <c r="OJK14" s="28"/>
      <c r="OJL14" s="28"/>
      <c r="OJM14" s="28"/>
      <c r="OJN14" s="28"/>
      <c r="OJO14" s="28"/>
      <c r="OJP14" s="28"/>
      <c r="OJQ14" s="28"/>
      <c r="OJR14" s="28"/>
      <c r="OJS14" s="28"/>
      <c r="OJT14" s="28"/>
      <c r="OJU14" s="28"/>
      <c r="OJV14" s="28"/>
      <c r="OJW14" s="28"/>
      <c r="OJX14" s="28"/>
      <c r="OJY14" s="28"/>
      <c r="OJZ14" s="28"/>
      <c r="OKA14" s="28"/>
      <c r="OKB14" s="28"/>
      <c r="OKC14" s="28"/>
      <c r="OKD14" s="28"/>
      <c r="OKE14" s="28"/>
      <c r="OKF14" s="28"/>
      <c r="OKG14" s="28"/>
      <c r="OKH14" s="28"/>
      <c r="OKI14" s="28"/>
      <c r="OKJ14" s="28"/>
      <c r="OKK14" s="28"/>
      <c r="OKL14" s="28"/>
      <c r="OKM14" s="28"/>
      <c r="OKN14" s="28"/>
      <c r="OKO14" s="28"/>
      <c r="OKP14" s="28"/>
      <c r="OKQ14" s="28"/>
      <c r="OKR14" s="28"/>
      <c r="OKS14" s="28"/>
      <c r="OKT14" s="28"/>
      <c r="OKU14" s="28"/>
      <c r="OKV14" s="28"/>
      <c r="OKW14" s="28"/>
      <c r="OKX14" s="28"/>
      <c r="OKY14" s="28"/>
      <c r="OKZ14" s="28"/>
      <c r="OLA14" s="28"/>
      <c r="OLB14" s="28"/>
      <c r="OLC14" s="28"/>
      <c r="OLD14" s="28"/>
      <c r="OLE14" s="28"/>
      <c r="OLF14" s="28"/>
      <c r="OLG14" s="28"/>
      <c r="OLH14" s="28"/>
      <c r="OLI14" s="28"/>
      <c r="OLJ14" s="28"/>
      <c r="OLK14" s="28"/>
      <c r="OLL14" s="28"/>
      <c r="OLM14" s="28"/>
      <c r="OLN14" s="28"/>
      <c r="OLO14" s="28"/>
      <c r="OLP14" s="28"/>
      <c r="OLQ14" s="28"/>
      <c r="OLR14" s="28"/>
      <c r="OLS14" s="28"/>
      <c r="OLT14" s="28"/>
      <c r="OLU14" s="28"/>
      <c r="OLV14" s="28"/>
      <c r="OLW14" s="28"/>
      <c r="OLX14" s="28"/>
      <c r="OLY14" s="28"/>
      <c r="OLZ14" s="28"/>
      <c r="OMA14" s="28"/>
      <c r="OMB14" s="28"/>
      <c r="OMC14" s="28"/>
      <c r="OMD14" s="28"/>
      <c r="OME14" s="28"/>
      <c r="OMF14" s="28"/>
      <c r="OMG14" s="28"/>
      <c r="OMH14" s="28"/>
      <c r="OMI14" s="28"/>
      <c r="OMJ14" s="28"/>
      <c r="OMK14" s="28"/>
      <c r="OML14" s="28"/>
      <c r="OMM14" s="28"/>
      <c r="OMN14" s="28"/>
      <c r="OMO14" s="28"/>
      <c r="OMP14" s="28"/>
      <c r="OMQ14" s="28"/>
      <c r="OMR14" s="28"/>
      <c r="OMS14" s="28"/>
      <c r="OMT14" s="28"/>
      <c r="OMU14" s="28"/>
      <c r="OMV14" s="28"/>
      <c r="OMW14" s="28"/>
      <c r="OMX14" s="28"/>
      <c r="OMY14" s="28"/>
      <c r="OMZ14" s="28"/>
      <c r="ONA14" s="28"/>
      <c r="ONB14" s="28"/>
      <c r="ONC14" s="28"/>
      <c r="OND14" s="28"/>
      <c r="ONE14" s="28"/>
      <c r="ONF14" s="28"/>
      <c r="ONG14" s="28"/>
      <c r="ONH14" s="28"/>
      <c r="ONI14" s="28"/>
      <c r="ONJ14" s="28"/>
      <c r="ONK14" s="28"/>
      <c r="ONL14" s="28"/>
      <c r="ONM14" s="28"/>
      <c r="ONN14" s="28"/>
      <c r="ONO14" s="28"/>
      <c r="ONP14" s="28"/>
      <c r="ONQ14" s="28"/>
      <c r="ONR14" s="28"/>
      <c r="ONS14" s="28"/>
      <c r="ONT14" s="28"/>
      <c r="ONU14" s="28"/>
      <c r="ONV14" s="28"/>
      <c r="ONW14" s="28"/>
      <c r="ONX14" s="28"/>
      <c r="ONY14" s="28"/>
      <c r="ONZ14" s="28"/>
      <c r="OOA14" s="28"/>
      <c r="OOB14" s="28"/>
      <c r="OOC14" s="28"/>
      <c r="OOD14" s="28"/>
      <c r="OOE14" s="28"/>
      <c r="OOF14" s="28"/>
      <c r="OOG14" s="28"/>
      <c r="OOH14" s="28"/>
      <c r="OOI14" s="28"/>
      <c r="OOJ14" s="28"/>
      <c r="OOK14" s="28"/>
      <c r="OOL14" s="28"/>
      <c r="OOM14" s="28"/>
      <c r="OON14" s="28"/>
      <c r="OOO14" s="28"/>
      <c r="OOP14" s="28"/>
      <c r="OOQ14" s="28"/>
      <c r="OOR14" s="28"/>
      <c r="OOS14" s="28"/>
      <c r="OOT14" s="28"/>
      <c r="OOU14" s="28"/>
      <c r="OOV14" s="28"/>
      <c r="OOW14" s="28"/>
      <c r="OOX14" s="28"/>
      <c r="OOY14" s="28"/>
      <c r="OOZ14" s="28"/>
      <c r="OPA14" s="28"/>
      <c r="OPB14" s="28"/>
      <c r="OPC14" s="28"/>
      <c r="OPD14" s="28"/>
      <c r="OPE14" s="28"/>
      <c r="OPF14" s="28"/>
      <c r="OPG14" s="28"/>
      <c r="OPH14" s="28"/>
      <c r="OPI14" s="28"/>
      <c r="OPJ14" s="28"/>
      <c r="OPK14" s="28"/>
      <c r="OPL14" s="28"/>
      <c r="OPM14" s="28"/>
      <c r="OPN14" s="28"/>
      <c r="OPO14" s="28"/>
      <c r="OPP14" s="28"/>
      <c r="OPQ14" s="28"/>
      <c r="OPR14" s="28"/>
      <c r="OPS14" s="28"/>
      <c r="OPT14" s="28"/>
      <c r="OPU14" s="28"/>
      <c r="OPV14" s="28"/>
      <c r="OPW14" s="28"/>
      <c r="OPX14" s="28"/>
      <c r="OPY14" s="28"/>
      <c r="OPZ14" s="28"/>
      <c r="OQA14" s="28"/>
      <c r="OQB14" s="28"/>
      <c r="OQC14" s="28"/>
      <c r="OQD14" s="28"/>
      <c r="OQE14" s="28"/>
      <c r="OQF14" s="28"/>
      <c r="OQG14" s="28"/>
      <c r="OQH14" s="28"/>
      <c r="OQI14" s="28"/>
      <c r="OQJ14" s="28"/>
      <c r="OQK14" s="28"/>
      <c r="OQL14" s="28"/>
      <c r="OQM14" s="28"/>
      <c r="OQN14" s="28"/>
      <c r="OQO14" s="28"/>
      <c r="OQP14" s="28"/>
      <c r="OQQ14" s="28"/>
      <c r="OQR14" s="28"/>
      <c r="OQS14" s="28"/>
      <c r="OQT14" s="28"/>
      <c r="OQU14" s="28"/>
      <c r="OQV14" s="28"/>
      <c r="OQW14" s="28"/>
      <c r="OQX14" s="28"/>
      <c r="OQY14" s="28"/>
      <c r="OQZ14" s="28"/>
      <c r="ORA14" s="28"/>
      <c r="ORB14" s="28"/>
      <c r="ORC14" s="28"/>
      <c r="ORD14" s="28"/>
      <c r="ORE14" s="28"/>
      <c r="ORF14" s="28"/>
      <c r="ORG14" s="28"/>
      <c r="ORH14" s="28"/>
      <c r="ORI14" s="28"/>
      <c r="ORJ14" s="28"/>
      <c r="ORK14" s="28"/>
      <c r="ORL14" s="28"/>
      <c r="ORM14" s="28"/>
      <c r="ORN14" s="28"/>
      <c r="ORO14" s="28"/>
      <c r="ORP14" s="28"/>
      <c r="ORQ14" s="28"/>
      <c r="ORR14" s="28"/>
      <c r="ORS14" s="28"/>
      <c r="ORT14" s="28"/>
      <c r="ORU14" s="28"/>
      <c r="ORV14" s="28"/>
      <c r="ORW14" s="28"/>
      <c r="ORX14" s="28"/>
      <c r="ORY14" s="28"/>
      <c r="ORZ14" s="28"/>
      <c r="OSA14" s="28"/>
      <c r="OSB14" s="28"/>
      <c r="OSC14" s="28"/>
      <c r="OSD14" s="28"/>
      <c r="OSE14" s="28"/>
      <c r="OSF14" s="28"/>
      <c r="OSG14" s="28"/>
      <c r="OSH14" s="28"/>
      <c r="OSI14" s="28"/>
      <c r="OSJ14" s="28"/>
      <c r="OSK14" s="28"/>
      <c r="OSL14" s="28"/>
      <c r="OSM14" s="28"/>
      <c r="OSN14" s="28"/>
      <c r="OSO14" s="28"/>
      <c r="OSP14" s="28"/>
      <c r="OSQ14" s="28"/>
      <c r="OSR14" s="28"/>
      <c r="OSS14" s="28"/>
      <c r="OST14" s="28"/>
      <c r="OSU14" s="28"/>
      <c r="OSV14" s="28"/>
      <c r="OSW14" s="28"/>
      <c r="OSX14" s="28"/>
      <c r="OSY14" s="28"/>
      <c r="OSZ14" s="28"/>
      <c r="OTA14" s="28"/>
      <c r="OTB14" s="28"/>
      <c r="OTC14" s="28"/>
      <c r="OTD14" s="28"/>
      <c r="OTE14" s="28"/>
      <c r="OTF14" s="28"/>
      <c r="OTG14" s="28"/>
      <c r="OTH14" s="28"/>
      <c r="OTI14" s="28"/>
      <c r="OTJ14" s="28"/>
      <c r="OTK14" s="28"/>
      <c r="OTL14" s="28"/>
      <c r="OTM14" s="28"/>
      <c r="OTN14" s="28"/>
      <c r="OTO14" s="28"/>
      <c r="OTP14" s="28"/>
      <c r="OTQ14" s="28"/>
      <c r="OTR14" s="28"/>
      <c r="OTS14" s="28"/>
      <c r="OTT14" s="28"/>
      <c r="OTU14" s="28"/>
      <c r="OTV14" s="28"/>
      <c r="OTW14" s="28"/>
      <c r="OTX14" s="28"/>
      <c r="OTY14" s="28"/>
      <c r="OTZ14" s="28"/>
      <c r="OUA14" s="28"/>
      <c r="OUB14" s="28"/>
      <c r="OUC14" s="28"/>
      <c r="OUD14" s="28"/>
      <c r="OUE14" s="28"/>
      <c r="OUF14" s="28"/>
      <c r="OUG14" s="28"/>
      <c r="OUH14" s="28"/>
      <c r="OUI14" s="28"/>
      <c r="OUJ14" s="28"/>
      <c r="OUK14" s="28"/>
      <c r="OUL14" s="28"/>
      <c r="OUM14" s="28"/>
      <c r="OUN14" s="28"/>
      <c r="OUO14" s="28"/>
      <c r="OUP14" s="28"/>
      <c r="OUQ14" s="28"/>
      <c r="OUR14" s="28"/>
      <c r="OUS14" s="28"/>
      <c r="OUT14" s="28"/>
      <c r="OUU14" s="28"/>
      <c r="OUV14" s="28"/>
      <c r="OUW14" s="28"/>
      <c r="OUX14" s="28"/>
      <c r="OUY14" s="28"/>
      <c r="OUZ14" s="28"/>
      <c r="OVA14" s="28"/>
      <c r="OVB14" s="28"/>
      <c r="OVC14" s="28"/>
      <c r="OVD14" s="28"/>
      <c r="OVE14" s="28"/>
      <c r="OVF14" s="28"/>
      <c r="OVG14" s="28"/>
      <c r="OVH14" s="28"/>
      <c r="OVI14" s="28"/>
      <c r="OVJ14" s="28"/>
      <c r="OVK14" s="28"/>
      <c r="OVL14" s="28"/>
      <c r="OVM14" s="28"/>
      <c r="OVN14" s="28"/>
      <c r="OVO14" s="28"/>
      <c r="OVP14" s="28"/>
      <c r="OVQ14" s="28"/>
      <c r="OVR14" s="28"/>
      <c r="OVS14" s="28"/>
      <c r="OVT14" s="28"/>
      <c r="OVU14" s="28"/>
      <c r="OVV14" s="28"/>
      <c r="OVW14" s="28"/>
      <c r="OVX14" s="28"/>
      <c r="OVY14" s="28"/>
      <c r="OVZ14" s="28"/>
      <c r="OWA14" s="28"/>
      <c r="OWB14" s="28"/>
      <c r="OWC14" s="28"/>
      <c r="OWD14" s="28"/>
      <c r="OWE14" s="28"/>
      <c r="OWF14" s="28"/>
      <c r="OWG14" s="28"/>
      <c r="OWH14" s="28"/>
      <c r="OWI14" s="28"/>
      <c r="OWJ14" s="28"/>
      <c r="OWK14" s="28"/>
      <c r="OWL14" s="28"/>
      <c r="OWM14" s="28"/>
      <c r="OWN14" s="28"/>
      <c r="OWO14" s="28"/>
      <c r="OWP14" s="28"/>
      <c r="OWQ14" s="28"/>
      <c r="OWR14" s="28"/>
      <c r="OWS14" s="28"/>
      <c r="OWT14" s="28"/>
      <c r="OWU14" s="28"/>
      <c r="OWV14" s="28"/>
      <c r="OWW14" s="28"/>
      <c r="OWX14" s="28"/>
      <c r="OWY14" s="28"/>
      <c r="OWZ14" s="28"/>
      <c r="OXA14" s="28"/>
      <c r="OXB14" s="28"/>
      <c r="OXC14" s="28"/>
      <c r="OXD14" s="28"/>
      <c r="OXE14" s="28"/>
      <c r="OXF14" s="28"/>
      <c r="OXG14" s="28"/>
      <c r="OXH14" s="28"/>
      <c r="OXI14" s="28"/>
      <c r="OXJ14" s="28"/>
      <c r="OXK14" s="28"/>
      <c r="OXL14" s="28"/>
      <c r="OXM14" s="28"/>
      <c r="OXN14" s="28"/>
      <c r="OXO14" s="28"/>
      <c r="OXP14" s="28"/>
      <c r="OXQ14" s="28"/>
      <c r="OXR14" s="28"/>
      <c r="OXS14" s="28"/>
      <c r="OXT14" s="28"/>
      <c r="OXU14" s="28"/>
      <c r="OXV14" s="28"/>
      <c r="OXW14" s="28"/>
      <c r="OXX14" s="28"/>
      <c r="OXY14" s="28"/>
      <c r="OXZ14" s="28"/>
      <c r="OYA14" s="28"/>
      <c r="OYB14" s="28"/>
      <c r="OYC14" s="28"/>
      <c r="OYD14" s="28"/>
      <c r="OYE14" s="28"/>
      <c r="OYF14" s="28"/>
      <c r="OYG14" s="28"/>
      <c r="OYH14" s="28"/>
      <c r="OYI14" s="28"/>
      <c r="OYJ14" s="28"/>
      <c r="OYK14" s="28"/>
      <c r="OYL14" s="28"/>
      <c r="OYM14" s="28"/>
      <c r="OYN14" s="28"/>
      <c r="OYO14" s="28"/>
      <c r="OYP14" s="28"/>
      <c r="OYQ14" s="28"/>
      <c r="OYR14" s="28"/>
      <c r="OYS14" s="28"/>
      <c r="OYT14" s="28"/>
      <c r="OYU14" s="28"/>
      <c r="OYV14" s="28"/>
      <c r="OYW14" s="28"/>
      <c r="OYX14" s="28"/>
      <c r="OYY14" s="28"/>
      <c r="OYZ14" s="28"/>
      <c r="OZA14" s="28"/>
      <c r="OZB14" s="28"/>
      <c r="OZC14" s="28"/>
      <c r="OZD14" s="28"/>
      <c r="OZE14" s="28"/>
      <c r="OZF14" s="28"/>
      <c r="OZG14" s="28"/>
      <c r="OZH14" s="28"/>
      <c r="OZI14" s="28"/>
      <c r="OZJ14" s="28"/>
      <c r="OZK14" s="28"/>
      <c r="OZL14" s="28"/>
      <c r="OZM14" s="28"/>
      <c r="OZN14" s="28"/>
      <c r="OZO14" s="28"/>
      <c r="OZP14" s="28"/>
      <c r="OZQ14" s="28"/>
      <c r="OZR14" s="28"/>
      <c r="OZS14" s="28"/>
      <c r="OZT14" s="28"/>
      <c r="OZU14" s="28"/>
      <c r="OZV14" s="28"/>
      <c r="OZW14" s="28"/>
      <c r="OZX14" s="28"/>
      <c r="OZY14" s="28"/>
      <c r="OZZ14" s="28"/>
      <c r="PAA14" s="28"/>
      <c r="PAB14" s="28"/>
      <c r="PAC14" s="28"/>
      <c r="PAD14" s="28"/>
      <c r="PAE14" s="28"/>
      <c r="PAF14" s="28"/>
      <c r="PAG14" s="28"/>
      <c r="PAH14" s="28"/>
      <c r="PAI14" s="28"/>
      <c r="PAJ14" s="28"/>
      <c r="PAK14" s="28"/>
      <c r="PAL14" s="28"/>
      <c r="PAM14" s="28"/>
      <c r="PAN14" s="28"/>
      <c r="PAO14" s="28"/>
      <c r="PAP14" s="28"/>
      <c r="PAQ14" s="28"/>
      <c r="PAR14" s="28"/>
      <c r="PAS14" s="28"/>
      <c r="PAT14" s="28"/>
      <c r="PAU14" s="28"/>
      <c r="PAV14" s="28"/>
      <c r="PAW14" s="28"/>
      <c r="PAX14" s="28"/>
      <c r="PAY14" s="28"/>
      <c r="PAZ14" s="28"/>
      <c r="PBA14" s="28"/>
      <c r="PBB14" s="28"/>
      <c r="PBC14" s="28"/>
      <c r="PBD14" s="28"/>
      <c r="PBE14" s="28"/>
      <c r="PBF14" s="28"/>
      <c r="PBG14" s="28"/>
      <c r="PBH14" s="28"/>
      <c r="PBI14" s="28"/>
      <c r="PBJ14" s="28"/>
      <c r="PBK14" s="28"/>
      <c r="PBL14" s="28"/>
      <c r="PBM14" s="28"/>
      <c r="PBN14" s="28"/>
      <c r="PBO14" s="28"/>
      <c r="PBP14" s="28"/>
      <c r="PBQ14" s="28"/>
      <c r="PBR14" s="28"/>
      <c r="PBS14" s="28"/>
      <c r="PBT14" s="28"/>
      <c r="PBU14" s="28"/>
      <c r="PBV14" s="28"/>
      <c r="PBW14" s="28"/>
      <c r="PBX14" s="28"/>
      <c r="PBY14" s="28"/>
      <c r="PBZ14" s="28"/>
      <c r="PCA14" s="28"/>
      <c r="PCB14" s="28"/>
      <c r="PCC14" s="28"/>
      <c r="PCD14" s="28"/>
      <c r="PCE14" s="28"/>
      <c r="PCF14" s="28"/>
      <c r="PCG14" s="28"/>
      <c r="PCH14" s="28"/>
      <c r="PCI14" s="28"/>
      <c r="PCJ14" s="28"/>
      <c r="PCK14" s="28"/>
      <c r="PCL14" s="28"/>
      <c r="PCM14" s="28"/>
      <c r="PCN14" s="28"/>
      <c r="PCO14" s="28"/>
      <c r="PCP14" s="28"/>
      <c r="PCQ14" s="28"/>
      <c r="PCR14" s="28"/>
      <c r="PCS14" s="28"/>
      <c r="PCT14" s="28"/>
      <c r="PCU14" s="28"/>
      <c r="PCV14" s="28"/>
      <c r="PCW14" s="28"/>
      <c r="PCX14" s="28"/>
      <c r="PCY14" s="28"/>
      <c r="PCZ14" s="28"/>
      <c r="PDA14" s="28"/>
      <c r="PDB14" s="28"/>
      <c r="PDC14" s="28"/>
      <c r="PDD14" s="28"/>
      <c r="PDE14" s="28"/>
      <c r="PDF14" s="28"/>
      <c r="PDG14" s="28"/>
      <c r="PDH14" s="28"/>
      <c r="PDI14" s="28"/>
      <c r="PDJ14" s="28"/>
      <c r="PDK14" s="28"/>
      <c r="PDL14" s="28"/>
      <c r="PDM14" s="28"/>
      <c r="PDN14" s="28"/>
      <c r="PDO14" s="28"/>
      <c r="PDP14" s="28"/>
      <c r="PDQ14" s="28"/>
      <c r="PDR14" s="28"/>
      <c r="PDS14" s="28"/>
      <c r="PDT14" s="28"/>
      <c r="PDU14" s="28"/>
      <c r="PDV14" s="28"/>
      <c r="PDW14" s="28"/>
      <c r="PDX14" s="28"/>
      <c r="PDY14" s="28"/>
      <c r="PDZ14" s="28"/>
      <c r="PEA14" s="28"/>
      <c r="PEB14" s="28"/>
      <c r="PEC14" s="28"/>
      <c r="PED14" s="28"/>
      <c r="PEE14" s="28"/>
      <c r="PEF14" s="28"/>
      <c r="PEG14" s="28"/>
      <c r="PEH14" s="28"/>
      <c r="PEI14" s="28"/>
      <c r="PEJ14" s="28"/>
      <c r="PEK14" s="28"/>
      <c r="PEL14" s="28"/>
      <c r="PEM14" s="28"/>
      <c r="PEN14" s="28"/>
      <c r="PEO14" s="28"/>
      <c r="PEP14" s="28"/>
      <c r="PEQ14" s="28"/>
      <c r="PER14" s="28"/>
      <c r="PES14" s="28"/>
      <c r="PET14" s="28"/>
      <c r="PEU14" s="28"/>
      <c r="PEV14" s="28"/>
      <c r="PEW14" s="28"/>
      <c r="PEX14" s="28"/>
      <c r="PEY14" s="28"/>
      <c r="PEZ14" s="28"/>
      <c r="PFA14" s="28"/>
      <c r="PFB14" s="28"/>
      <c r="PFC14" s="28"/>
      <c r="PFD14" s="28"/>
      <c r="PFE14" s="28"/>
      <c r="PFF14" s="28"/>
      <c r="PFG14" s="28"/>
      <c r="PFH14" s="28"/>
      <c r="PFI14" s="28"/>
      <c r="PFJ14" s="28"/>
      <c r="PFK14" s="28"/>
      <c r="PFL14" s="28"/>
      <c r="PFM14" s="28"/>
      <c r="PFN14" s="28"/>
      <c r="PFO14" s="28"/>
      <c r="PFP14" s="28"/>
      <c r="PFQ14" s="28"/>
      <c r="PFR14" s="28"/>
      <c r="PFS14" s="28"/>
      <c r="PFT14" s="28"/>
      <c r="PFU14" s="28"/>
      <c r="PFV14" s="28"/>
      <c r="PFW14" s="28"/>
      <c r="PFX14" s="28"/>
      <c r="PFY14" s="28"/>
      <c r="PFZ14" s="28"/>
      <c r="PGA14" s="28"/>
      <c r="PGB14" s="28"/>
      <c r="PGC14" s="28"/>
      <c r="PGD14" s="28"/>
      <c r="PGE14" s="28"/>
      <c r="PGF14" s="28"/>
      <c r="PGG14" s="28"/>
      <c r="PGH14" s="28"/>
      <c r="PGI14" s="28"/>
      <c r="PGJ14" s="28"/>
      <c r="PGK14" s="28"/>
      <c r="PGL14" s="28"/>
      <c r="PGM14" s="28"/>
      <c r="PGN14" s="28"/>
      <c r="PGO14" s="28"/>
      <c r="PGP14" s="28"/>
      <c r="PGQ14" s="28"/>
      <c r="PGR14" s="28"/>
      <c r="PGS14" s="28"/>
      <c r="PGT14" s="28"/>
      <c r="PGU14" s="28"/>
      <c r="PGV14" s="28"/>
      <c r="PGW14" s="28"/>
      <c r="PGX14" s="28"/>
      <c r="PGY14" s="28"/>
      <c r="PGZ14" s="28"/>
      <c r="PHA14" s="28"/>
      <c r="PHB14" s="28"/>
      <c r="PHC14" s="28"/>
      <c r="PHD14" s="28"/>
      <c r="PHE14" s="28"/>
      <c r="PHF14" s="28"/>
      <c r="PHG14" s="28"/>
      <c r="PHH14" s="28"/>
      <c r="PHI14" s="28"/>
      <c r="PHJ14" s="28"/>
      <c r="PHK14" s="28"/>
      <c r="PHL14" s="28"/>
      <c r="PHM14" s="28"/>
      <c r="PHN14" s="28"/>
      <c r="PHO14" s="28"/>
      <c r="PHP14" s="28"/>
      <c r="PHQ14" s="28"/>
      <c r="PHR14" s="28"/>
      <c r="PHS14" s="28"/>
      <c r="PHT14" s="28"/>
      <c r="PHU14" s="28"/>
      <c r="PHV14" s="28"/>
      <c r="PHW14" s="28"/>
      <c r="PHX14" s="28"/>
      <c r="PHY14" s="28"/>
      <c r="PHZ14" s="28"/>
      <c r="PIA14" s="28"/>
      <c r="PIB14" s="28"/>
      <c r="PIC14" s="28"/>
      <c r="PID14" s="28"/>
      <c r="PIE14" s="28"/>
      <c r="PIF14" s="28"/>
      <c r="PIG14" s="28"/>
      <c r="PIH14" s="28"/>
      <c r="PII14" s="28"/>
      <c r="PIJ14" s="28"/>
      <c r="PIK14" s="28"/>
      <c r="PIL14" s="28"/>
      <c r="PIM14" s="28"/>
      <c r="PIN14" s="28"/>
      <c r="PIO14" s="28"/>
      <c r="PIP14" s="28"/>
      <c r="PIQ14" s="28"/>
      <c r="PIR14" s="28"/>
      <c r="PIS14" s="28"/>
      <c r="PIT14" s="28"/>
      <c r="PIU14" s="28"/>
      <c r="PIV14" s="28"/>
      <c r="PIW14" s="28"/>
      <c r="PIX14" s="28"/>
      <c r="PIY14" s="28"/>
      <c r="PIZ14" s="28"/>
      <c r="PJA14" s="28"/>
      <c r="PJB14" s="28"/>
      <c r="PJC14" s="28"/>
      <c r="PJD14" s="28"/>
      <c r="PJE14" s="28"/>
      <c r="PJF14" s="28"/>
      <c r="PJG14" s="28"/>
      <c r="PJH14" s="28"/>
      <c r="PJI14" s="28"/>
      <c r="PJJ14" s="28"/>
      <c r="PJK14" s="28"/>
      <c r="PJL14" s="28"/>
      <c r="PJM14" s="28"/>
      <c r="PJN14" s="28"/>
      <c r="PJO14" s="28"/>
      <c r="PJP14" s="28"/>
      <c r="PJQ14" s="28"/>
      <c r="PJR14" s="28"/>
      <c r="PJS14" s="28"/>
      <c r="PJT14" s="28"/>
      <c r="PJU14" s="28"/>
      <c r="PJV14" s="28"/>
      <c r="PJW14" s="28"/>
      <c r="PJX14" s="28"/>
      <c r="PJY14" s="28"/>
      <c r="PJZ14" s="28"/>
      <c r="PKA14" s="28"/>
      <c r="PKB14" s="28"/>
      <c r="PKC14" s="28"/>
      <c r="PKD14" s="28"/>
      <c r="PKE14" s="28"/>
      <c r="PKF14" s="28"/>
      <c r="PKG14" s="28"/>
      <c r="PKH14" s="28"/>
      <c r="PKI14" s="28"/>
      <c r="PKJ14" s="28"/>
      <c r="PKK14" s="28"/>
      <c r="PKL14" s="28"/>
      <c r="PKM14" s="28"/>
      <c r="PKN14" s="28"/>
      <c r="PKO14" s="28"/>
      <c r="PKP14" s="28"/>
      <c r="PKQ14" s="28"/>
      <c r="PKR14" s="28"/>
      <c r="PKS14" s="28"/>
      <c r="PKT14" s="28"/>
      <c r="PKU14" s="28"/>
      <c r="PKV14" s="28"/>
      <c r="PKW14" s="28"/>
      <c r="PKX14" s="28"/>
      <c r="PKY14" s="28"/>
      <c r="PKZ14" s="28"/>
      <c r="PLA14" s="28"/>
      <c r="PLB14" s="28"/>
      <c r="PLC14" s="28"/>
      <c r="PLD14" s="28"/>
      <c r="PLE14" s="28"/>
      <c r="PLF14" s="28"/>
      <c r="PLG14" s="28"/>
      <c r="PLH14" s="28"/>
      <c r="PLI14" s="28"/>
      <c r="PLJ14" s="28"/>
      <c r="PLK14" s="28"/>
      <c r="PLL14" s="28"/>
      <c r="PLM14" s="28"/>
      <c r="PLN14" s="28"/>
      <c r="PLO14" s="28"/>
      <c r="PLP14" s="28"/>
      <c r="PLQ14" s="28"/>
      <c r="PLR14" s="28"/>
      <c r="PLS14" s="28"/>
      <c r="PLT14" s="28"/>
      <c r="PLU14" s="28"/>
      <c r="PLV14" s="28"/>
      <c r="PLW14" s="28"/>
      <c r="PLX14" s="28"/>
      <c r="PLY14" s="28"/>
      <c r="PLZ14" s="28"/>
      <c r="PMA14" s="28"/>
      <c r="PMB14" s="28"/>
      <c r="PMC14" s="28"/>
      <c r="PMD14" s="28"/>
      <c r="PME14" s="28"/>
      <c r="PMF14" s="28"/>
      <c r="PMG14" s="28"/>
      <c r="PMH14" s="28"/>
      <c r="PMI14" s="28"/>
      <c r="PMJ14" s="28"/>
      <c r="PMK14" s="28"/>
      <c r="PML14" s="28"/>
      <c r="PMM14" s="28"/>
      <c r="PMN14" s="28"/>
      <c r="PMO14" s="28"/>
      <c r="PMP14" s="28"/>
      <c r="PMQ14" s="28"/>
      <c r="PMR14" s="28"/>
      <c r="PMS14" s="28"/>
      <c r="PMT14" s="28"/>
      <c r="PMU14" s="28"/>
      <c r="PMV14" s="28"/>
      <c r="PMW14" s="28"/>
      <c r="PMX14" s="28"/>
      <c r="PMY14" s="28"/>
      <c r="PMZ14" s="28"/>
      <c r="PNA14" s="28"/>
      <c r="PNB14" s="28"/>
      <c r="PNC14" s="28"/>
      <c r="PND14" s="28"/>
      <c r="PNE14" s="28"/>
      <c r="PNF14" s="28"/>
      <c r="PNG14" s="28"/>
      <c r="PNH14" s="28"/>
      <c r="PNI14" s="28"/>
      <c r="PNJ14" s="28"/>
      <c r="PNK14" s="28"/>
      <c r="PNL14" s="28"/>
      <c r="PNM14" s="28"/>
      <c r="PNN14" s="28"/>
      <c r="PNO14" s="28"/>
      <c r="PNP14" s="28"/>
      <c r="PNQ14" s="28"/>
      <c r="PNR14" s="28"/>
      <c r="PNS14" s="28"/>
      <c r="PNT14" s="28"/>
      <c r="PNU14" s="28"/>
      <c r="PNV14" s="28"/>
      <c r="PNW14" s="28"/>
      <c r="PNX14" s="28"/>
      <c r="PNY14" s="28"/>
      <c r="PNZ14" s="28"/>
      <c r="POA14" s="28"/>
      <c r="POB14" s="28"/>
      <c r="POC14" s="28"/>
      <c r="POD14" s="28"/>
      <c r="POE14" s="28"/>
      <c r="POF14" s="28"/>
      <c r="POG14" s="28"/>
      <c r="POH14" s="28"/>
      <c r="POI14" s="28"/>
      <c r="POJ14" s="28"/>
      <c r="POK14" s="28"/>
      <c r="POL14" s="28"/>
      <c r="POM14" s="28"/>
      <c r="PON14" s="28"/>
      <c r="POO14" s="28"/>
      <c r="POP14" s="28"/>
      <c r="POQ14" s="28"/>
      <c r="POR14" s="28"/>
      <c r="POS14" s="28"/>
      <c r="POT14" s="28"/>
      <c r="POU14" s="28"/>
      <c r="POV14" s="28"/>
      <c r="POW14" s="28"/>
      <c r="POX14" s="28"/>
      <c r="POY14" s="28"/>
      <c r="POZ14" s="28"/>
      <c r="PPA14" s="28"/>
      <c r="PPB14" s="28"/>
      <c r="PPC14" s="28"/>
      <c r="PPD14" s="28"/>
      <c r="PPE14" s="28"/>
      <c r="PPF14" s="28"/>
      <c r="PPG14" s="28"/>
      <c r="PPH14" s="28"/>
      <c r="PPI14" s="28"/>
      <c r="PPJ14" s="28"/>
      <c r="PPK14" s="28"/>
      <c r="PPL14" s="28"/>
      <c r="PPM14" s="28"/>
      <c r="PPN14" s="28"/>
      <c r="PPO14" s="28"/>
      <c r="PPP14" s="28"/>
      <c r="PPQ14" s="28"/>
      <c r="PPR14" s="28"/>
      <c r="PPS14" s="28"/>
      <c r="PPT14" s="28"/>
      <c r="PPU14" s="28"/>
      <c r="PPV14" s="28"/>
      <c r="PPW14" s="28"/>
      <c r="PPX14" s="28"/>
      <c r="PPY14" s="28"/>
      <c r="PPZ14" s="28"/>
      <c r="PQA14" s="28"/>
      <c r="PQB14" s="28"/>
      <c r="PQC14" s="28"/>
      <c r="PQD14" s="28"/>
      <c r="PQE14" s="28"/>
      <c r="PQF14" s="28"/>
      <c r="PQG14" s="28"/>
      <c r="PQH14" s="28"/>
      <c r="PQI14" s="28"/>
      <c r="PQJ14" s="28"/>
      <c r="PQK14" s="28"/>
      <c r="PQL14" s="28"/>
      <c r="PQM14" s="28"/>
      <c r="PQN14" s="28"/>
      <c r="PQO14" s="28"/>
      <c r="PQP14" s="28"/>
      <c r="PQQ14" s="28"/>
      <c r="PQR14" s="28"/>
      <c r="PQS14" s="28"/>
      <c r="PQT14" s="28"/>
      <c r="PQU14" s="28"/>
      <c r="PQV14" s="28"/>
      <c r="PQW14" s="28"/>
      <c r="PQX14" s="28"/>
      <c r="PQY14" s="28"/>
      <c r="PQZ14" s="28"/>
      <c r="PRA14" s="28"/>
      <c r="PRB14" s="28"/>
      <c r="PRC14" s="28"/>
      <c r="PRD14" s="28"/>
      <c r="PRE14" s="28"/>
      <c r="PRF14" s="28"/>
      <c r="PRG14" s="28"/>
      <c r="PRH14" s="28"/>
      <c r="PRI14" s="28"/>
      <c r="PRJ14" s="28"/>
      <c r="PRK14" s="28"/>
      <c r="PRL14" s="28"/>
      <c r="PRM14" s="28"/>
      <c r="PRN14" s="28"/>
      <c r="PRO14" s="28"/>
      <c r="PRP14" s="28"/>
      <c r="PRQ14" s="28"/>
      <c r="PRR14" s="28"/>
      <c r="PRS14" s="28"/>
      <c r="PRT14" s="28"/>
      <c r="PRU14" s="28"/>
      <c r="PRV14" s="28"/>
      <c r="PRW14" s="28"/>
      <c r="PRX14" s="28"/>
      <c r="PRY14" s="28"/>
      <c r="PRZ14" s="28"/>
      <c r="PSA14" s="28"/>
      <c r="PSB14" s="28"/>
      <c r="PSC14" s="28"/>
      <c r="PSD14" s="28"/>
      <c r="PSE14" s="28"/>
      <c r="PSF14" s="28"/>
      <c r="PSG14" s="28"/>
      <c r="PSH14" s="28"/>
      <c r="PSI14" s="28"/>
      <c r="PSJ14" s="28"/>
      <c r="PSK14" s="28"/>
      <c r="PSL14" s="28"/>
      <c r="PSM14" s="28"/>
      <c r="PSN14" s="28"/>
      <c r="PSO14" s="28"/>
      <c r="PSP14" s="28"/>
      <c r="PSQ14" s="28"/>
      <c r="PSR14" s="28"/>
      <c r="PSS14" s="28"/>
      <c r="PST14" s="28"/>
      <c r="PSU14" s="28"/>
      <c r="PSV14" s="28"/>
      <c r="PSW14" s="28"/>
      <c r="PSX14" s="28"/>
      <c r="PSY14" s="28"/>
      <c r="PSZ14" s="28"/>
      <c r="PTA14" s="28"/>
      <c r="PTB14" s="28"/>
      <c r="PTC14" s="28"/>
      <c r="PTD14" s="28"/>
      <c r="PTE14" s="28"/>
      <c r="PTF14" s="28"/>
      <c r="PTG14" s="28"/>
      <c r="PTH14" s="28"/>
      <c r="PTI14" s="28"/>
      <c r="PTJ14" s="28"/>
      <c r="PTK14" s="28"/>
      <c r="PTL14" s="28"/>
      <c r="PTM14" s="28"/>
      <c r="PTN14" s="28"/>
      <c r="PTO14" s="28"/>
      <c r="PTP14" s="28"/>
      <c r="PTQ14" s="28"/>
      <c r="PTR14" s="28"/>
      <c r="PTS14" s="28"/>
      <c r="PTT14" s="28"/>
      <c r="PTU14" s="28"/>
      <c r="PTV14" s="28"/>
      <c r="PTW14" s="28"/>
      <c r="PTX14" s="28"/>
      <c r="PTY14" s="28"/>
      <c r="PTZ14" s="28"/>
      <c r="PUA14" s="28"/>
      <c r="PUB14" s="28"/>
      <c r="PUC14" s="28"/>
      <c r="PUD14" s="28"/>
      <c r="PUE14" s="28"/>
      <c r="PUF14" s="28"/>
      <c r="PUG14" s="28"/>
      <c r="PUH14" s="28"/>
      <c r="PUI14" s="28"/>
      <c r="PUJ14" s="28"/>
      <c r="PUK14" s="28"/>
      <c r="PUL14" s="28"/>
      <c r="PUM14" s="28"/>
      <c r="PUN14" s="28"/>
      <c r="PUO14" s="28"/>
      <c r="PUP14" s="28"/>
      <c r="PUQ14" s="28"/>
      <c r="PUR14" s="28"/>
      <c r="PUS14" s="28"/>
      <c r="PUT14" s="28"/>
      <c r="PUU14" s="28"/>
      <c r="PUV14" s="28"/>
      <c r="PUW14" s="28"/>
      <c r="PUX14" s="28"/>
      <c r="PUY14" s="28"/>
      <c r="PUZ14" s="28"/>
      <c r="PVA14" s="28"/>
      <c r="PVB14" s="28"/>
      <c r="PVC14" s="28"/>
      <c r="PVD14" s="28"/>
      <c r="PVE14" s="28"/>
      <c r="PVF14" s="28"/>
      <c r="PVG14" s="28"/>
      <c r="PVH14" s="28"/>
      <c r="PVI14" s="28"/>
      <c r="PVJ14" s="28"/>
      <c r="PVK14" s="28"/>
      <c r="PVL14" s="28"/>
      <c r="PVM14" s="28"/>
      <c r="PVN14" s="28"/>
      <c r="PVO14" s="28"/>
      <c r="PVP14" s="28"/>
      <c r="PVQ14" s="28"/>
      <c r="PVR14" s="28"/>
      <c r="PVS14" s="28"/>
      <c r="PVT14" s="28"/>
      <c r="PVU14" s="28"/>
      <c r="PVV14" s="28"/>
      <c r="PVW14" s="28"/>
      <c r="PVX14" s="28"/>
      <c r="PVY14" s="28"/>
      <c r="PVZ14" s="28"/>
      <c r="PWA14" s="28"/>
      <c r="PWB14" s="28"/>
      <c r="PWC14" s="28"/>
      <c r="PWD14" s="28"/>
      <c r="PWE14" s="28"/>
      <c r="PWF14" s="28"/>
      <c r="PWG14" s="28"/>
      <c r="PWH14" s="28"/>
      <c r="PWI14" s="28"/>
      <c r="PWJ14" s="28"/>
      <c r="PWK14" s="28"/>
      <c r="PWL14" s="28"/>
      <c r="PWM14" s="28"/>
      <c r="PWN14" s="28"/>
      <c r="PWO14" s="28"/>
      <c r="PWP14" s="28"/>
      <c r="PWQ14" s="28"/>
      <c r="PWR14" s="28"/>
      <c r="PWS14" s="28"/>
      <c r="PWT14" s="28"/>
      <c r="PWU14" s="28"/>
      <c r="PWV14" s="28"/>
      <c r="PWW14" s="28"/>
      <c r="PWX14" s="28"/>
      <c r="PWY14" s="28"/>
      <c r="PWZ14" s="28"/>
      <c r="PXA14" s="28"/>
      <c r="PXB14" s="28"/>
      <c r="PXC14" s="28"/>
      <c r="PXD14" s="28"/>
      <c r="PXE14" s="28"/>
      <c r="PXF14" s="28"/>
      <c r="PXG14" s="28"/>
      <c r="PXH14" s="28"/>
      <c r="PXI14" s="28"/>
      <c r="PXJ14" s="28"/>
      <c r="PXK14" s="28"/>
      <c r="PXL14" s="28"/>
      <c r="PXM14" s="28"/>
      <c r="PXN14" s="28"/>
      <c r="PXO14" s="28"/>
      <c r="PXP14" s="28"/>
      <c r="PXQ14" s="28"/>
      <c r="PXR14" s="28"/>
      <c r="PXS14" s="28"/>
      <c r="PXT14" s="28"/>
      <c r="PXU14" s="28"/>
      <c r="PXV14" s="28"/>
      <c r="PXW14" s="28"/>
      <c r="PXX14" s="28"/>
      <c r="PXY14" s="28"/>
      <c r="PXZ14" s="28"/>
      <c r="PYA14" s="28"/>
      <c r="PYB14" s="28"/>
      <c r="PYC14" s="28"/>
      <c r="PYD14" s="28"/>
      <c r="PYE14" s="28"/>
      <c r="PYF14" s="28"/>
      <c r="PYG14" s="28"/>
      <c r="PYH14" s="28"/>
      <c r="PYI14" s="28"/>
      <c r="PYJ14" s="28"/>
      <c r="PYK14" s="28"/>
      <c r="PYL14" s="28"/>
      <c r="PYM14" s="28"/>
      <c r="PYN14" s="28"/>
      <c r="PYO14" s="28"/>
      <c r="PYP14" s="28"/>
      <c r="PYQ14" s="28"/>
      <c r="PYR14" s="28"/>
      <c r="PYS14" s="28"/>
      <c r="PYT14" s="28"/>
      <c r="PYU14" s="28"/>
      <c r="PYV14" s="28"/>
      <c r="PYW14" s="28"/>
      <c r="PYX14" s="28"/>
      <c r="PYY14" s="28"/>
      <c r="PYZ14" s="28"/>
      <c r="PZA14" s="28"/>
      <c r="PZB14" s="28"/>
      <c r="PZC14" s="28"/>
      <c r="PZD14" s="28"/>
      <c r="PZE14" s="28"/>
      <c r="PZF14" s="28"/>
      <c r="PZG14" s="28"/>
      <c r="PZH14" s="28"/>
      <c r="PZI14" s="28"/>
      <c r="PZJ14" s="28"/>
      <c r="PZK14" s="28"/>
      <c r="PZL14" s="28"/>
      <c r="PZM14" s="28"/>
      <c r="PZN14" s="28"/>
      <c r="PZO14" s="28"/>
      <c r="PZP14" s="28"/>
      <c r="PZQ14" s="28"/>
      <c r="PZR14" s="28"/>
      <c r="PZS14" s="28"/>
      <c r="PZT14" s="28"/>
      <c r="PZU14" s="28"/>
      <c r="PZV14" s="28"/>
      <c r="PZW14" s="28"/>
      <c r="PZX14" s="28"/>
      <c r="PZY14" s="28"/>
      <c r="PZZ14" s="28"/>
      <c r="QAA14" s="28"/>
      <c r="QAB14" s="28"/>
      <c r="QAC14" s="28"/>
      <c r="QAD14" s="28"/>
      <c r="QAE14" s="28"/>
      <c r="QAF14" s="28"/>
      <c r="QAG14" s="28"/>
      <c r="QAH14" s="28"/>
      <c r="QAI14" s="28"/>
      <c r="QAJ14" s="28"/>
      <c r="QAK14" s="28"/>
      <c r="QAL14" s="28"/>
      <c r="QAM14" s="28"/>
      <c r="QAN14" s="28"/>
      <c r="QAO14" s="28"/>
      <c r="QAP14" s="28"/>
      <c r="QAQ14" s="28"/>
      <c r="QAR14" s="28"/>
      <c r="QAS14" s="28"/>
      <c r="QAT14" s="28"/>
      <c r="QAU14" s="28"/>
      <c r="QAV14" s="28"/>
      <c r="QAW14" s="28"/>
      <c r="QAX14" s="28"/>
      <c r="QAY14" s="28"/>
      <c r="QAZ14" s="28"/>
      <c r="QBA14" s="28"/>
      <c r="QBB14" s="28"/>
      <c r="QBC14" s="28"/>
      <c r="QBD14" s="28"/>
      <c r="QBE14" s="28"/>
      <c r="QBF14" s="28"/>
      <c r="QBG14" s="28"/>
      <c r="QBH14" s="28"/>
      <c r="QBI14" s="28"/>
      <c r="QBJ14" s="28"/>
      <c r="QBK14" s="28"/>
      <c r="QBL14" s="28"/>
      <c r="QBM14" s="28"/>
      <c r="QBN14" s="28"/>
      <c r="QBO14" s="28"/>
      <c r="QBP14" s="28"/>
      <c r="QBQ14" s="28"/>
      <c r="QBR14" s="28"/>
      <c r="QBS14" s="28"/>
      <c r="QBT14" s="28"/>
      <c r="QBU14" s="28"/>
      <c r="QBV14" s="28"/>
      <c r="QBW14" s="28"/>
      <c r="QBX14" s="28"/>
      <c r="QBY14" s="28"/>
      <c r="QBZ14" s="28"/>
      <c r="QCA14" s="28"/>
      <c r="QCB14" s="28"/>
      <c r="QCC14" s="28"/>
      <c r="QCD14" s="28"/>
      <c r="QCE14" s="28"/>
      <c r="QCF14" s="28"/>
      <c r="QCG14" s="28"/>
      <c r="QCH14" s="28"/>
      <c r="QCI14" s="28"/>
      <c r="QCJ14" s="28"/>
      <c r="QCK14" s="28"/>
      <c r="QCL14" s="28"/>
      <c r="QCM14" s="28"/>
      <c r="QCN14" s="28"/>
      <c r="QCO14" s="28"/>
      <c r="QCP14" s="28"/>
      <c r="QCQ14" s="28"/>
      <c r="QCR14" s="28"/>
      <c r="QCS14" s="28"/>
      <c r="QCT14" s="28"/>
      <c r="QCU14" s="28"/>
      <c r="QCV14" s="28"/>
      <c r="QCW14" s="28"/>
      <c r="QCX14" s="28"/>
      <c r="QCY14" s="28"/>
      <c r="QCZ14" s="28"/>
      <c r="QDA14" s="28"/>
      <c r="QDB14" s="28"/>
      <c r="QDC14" s="28"/>
      <c r="QDD14" s="28"/>
      <c r="QDE14" s="28"/>
      <c r="QDF14" s="28"/>
      <c r="QDG14" s="28"/>
      <c r="QDH14" s="28"/>
      <c r="QDI14" s="28"/>
      <c r="QDJ14" s="28"/>
      <c r="QDK14" s="28"/>
      <c r="QDL14" s="28"/>
      <c r="QDM14" s="28"/>
      <c r="QDN14" s="28"/>
      <c r="QDO14" s="28"/>
      <c r="QDP14" s="28"/>
      <c r="QDQ14" s="28"/>
      <c r="QDR14" s="28"/>
      <c r="QDS14" s="28"/>
      <c r="QDT14" s="28"/>
      <c r="QDU14" s="28"/>
      <c r="QDV14" s="28"/>
      <c r="QDW14" s="28"/>
      <c r="QDX14" s="28"/>
      <c r="QDY14" s="28"/>
      <c r="QDZ14" s="28"/>
      <c r="QEA14" s="28"/>
      <c r="QEB14" s="28"/>
      <c r="QEC14" s="28"/>
      <c r="QED14" s="28"/>
      <c r="QEE14" s="28"/>
      <c r="QEF14" s="28"/>
      <c r="QEG14" s="28"/>
      <c r="QEH14" s="28"/>
      <c r="QEI14" s="28"/>
      <c r="QEJ14" s="28"/>
      <c r="QEK14" s="28"/>
      <c r="QEL14" s="28"/>
      <c r="QEM14" s="28"/>
      <c r="QEN14" s="28"/>
      <c r="QEO14" s="28"/>
      <c r="QEP14" s="28"/>
      <c r="QEQ14" s="28"/>
      <c r="QER14" s="28"/>
      <c r="QES14" s="28"/>
      <c r="QET14" s="28"/>
      <c r="QEU14" s="28"/>
      <c r="QEV14" s="28"/>
      <c r="QEW14" s="28"/>
      <c r="QEX14" s="28"/>
      <c r="QEY14" s="28"/>
      <c r="QEZ14" s="28"/>
      <c r="QFA14" s="28"/>
      <c r="QFB14" s="28"/>
      <c r="QFC14" s="28"/>
      <c r="QFD14" s="28"/>
      <c r="QFE14" s="28"/>
      <c r="QFF14" s="28"/>
      <c r="QFG14" s="28"/>
      <c r="QFH14" s="28"/>
      <c r="QFI14" s="28"/>
      <c r="QFJ14" s="28"/>
      <c r="QFK14" s="28"/>
      <c r="QFL14" s="28"/>
      <c r="QFM14" s="28"/>
      <c r="QFN14" s="28"/>
      <c r="QFO14" s="28"/>
      <c r="QFP14" s="28"/>
      <c r="QFQ14" s="28"/>
      <c r="QFR14" s="28"/>
      <c r="QFS14" s="28"/>
      <c r="QFT14" s="28"/>
      <c r="QFU14" s="28"/>
      <c r="QFV14" s="28"/>
      <c r="QFW14" s="28"/>
      <c r="QFX14" s="28"/>
      <c r="QFY14" s="28"/>
      <c r="QFZ14" s="28"/>
      <c r="QGA14" s="28"/>
      <c r="QGB14" s="28"/>
      <c r="QGC14" s="28"/>
      <c r="QGD14" s="28"/>
      <c r="QGE14" s="28"/>
      <c r="QGF14" s="28"/>
      <c r="QGG14" s="28"/>
      <c r="QGH14" s="28"/>
      <c r="QGI14" s="28"/>
      <c r="QGJ14" s="28"/>
      <c r="QGK14" s="28"/>
      <c r="QGL14" s="28"/>
      <c r="QGM14" s="28"/>
      <c r="QGN14" s="28"/>
      <c r="QGO14" s="28"/>
      <c r="QGP14" s="28"/>
      <c r="QGQ14" s="28"/>
      <c r="QGR14" s="28"/>
      <c r="QGS14" s="28"/>
      <c r="QGT14" s="28"/>
      <c r="QGU14" s="28"/>
      <c r="QGV14" s="28"/>
      <c r="QGW14" s="28"/>
      <c r="QGX14" s="28"/>
      <c r="QGY14" s="28"/>
      <c r="QGZ14" s="28"/>
      <c r="QHA14" s="28"/>
      <c r="QHB14" s="28"/>
      <c r="QHC14" s="28"/>
      <c r="QHD14" s="28"/>
      <c r="QHE14" s="28"/>
      <c r="QHF14" s="28"/>
      <c r="QHG14" s="28"/>
      <c r="QHH14" s="28"/>
      <c r="QHI14" s="28"/>
      <c r="QHJ14" s="28"/>
      <c r="QHK14" s="28"/>
      <c r="QHL14" s="28"/>
      <c r="QHM14" s="28"/>
      <c r="QHN14" s="28"/>
      <c r="QHO14" s="28"/>
      <c r="QHP14" s="28"/>
      <c r="QHQ14" s="28"/>
      <c r="QHR14" s="28"/>
      <c r="QHS14" s="28"/>
      <c r="QHT14" s="28"/>
      <c r="QHU14" s="28"/>
      <c r="QHV14" s="28"/>
      <c r="QHW14" s="28"/>
      <c r="QHX14" s="28"/>
      <c r="QHY14" s="28"/>
      <c r="QHZ14" s="28"/>
      <c r="QIA14" s="28"/>
      <c r="QIB14" s="28"/>
      <c r="QIC14" s="28"/>
      <c r="QID14" s="28"/>
      <c r="QIE14" s="28"/>
      <c r="QIF14" s="28"/>
      <c r="QIG14" s="28"/>
      <c r="QIH14" s="28"/>
      <c r="QII14" s="28"/>
      <c r="QIJ14" s="28"/>
      <c r="QIK14" s="28"/>
      <c r="QIL14" s="28"/>
      <c r="QIM14" s="28"/>
      <c r="QIN14" s="28"/>
      <c r="QIO14" s="28"/>
      <c r="QIP14" s="28"/>
      <c r="QIQ14" s="28"/>
      <c r="QIR14" s="28"/>
      <c r="QIS14" s="28"/>
      <c r="QIT14" s="28"/>
      <c r="QIU14" s="28"/>
      <c r="QIV14" s="28"/>
      <c r="QIW14" s="28"/>
      <c r="QIX14" s="28"/>
      <c r="QIY14" s="28"/>
      <c r="QIZ14" s="28"/>
      <c r="QJA14" s="28"/>
      <c r="QJB14" s="28"/>
      <c r="QJC14" s="28"/>
      <c r="QJD14" s="28"/>
      <c r="QJE14" s="28"/>
      <c r="QJF14" s="28"/>
      <c r="QJG14" s="28"/>
      <c r="QJH14" s="28"/>
      <c r="QJI14" s="28"/>
      <c r="QJJ14" s="28"/>
      <c r="QJK14" s="28"/>
      <c r="QJL14" s="28"/>
      <c r="QJM14" s="28"/>
      <c r="QJN14" s="28"/>
      <c r="QJO14" s="28"/>
      <c r="QJP14" s="28"/>
      <c r="QJQ14" s="28"/>
      <c r="QJR14" s="28"/>
      <c r="QJS14" s="28"/>
      <c r="QJT14" s="28"/>
      <c r="QJU14" s="28"/>
      <c r="QJV14" s="28"/>
      <c r="QJW14" s="28"/>
      <c r="QJX14" s="28"/>
      <c r="QJY14" s="28"/>
      <c r="QJZ14" s="28"/>
      <c r="QKA14" s="28"/>
      <c r="QKB14" s="28"/>
      <c r="QKC14" s="28"/>
      <c r="QKD14" s="28"/>
      <c r="QKE14" s="28"/>
      <c r="QKF14" s="28"/>
      <c r="QKG14" s="28"/>
      <c r="QKH14" s="28"/>
      <c r="QKI14" s="28"/>
      <c r="QKJ14" s="28"/>
      <c r="QKK14" s="28"/>
      <c r="QKL14" s="28"/>
      <c r="QKM14" s="28"/>
      <c r="QKN14" s="28"/>
      <c r="QKO14" s="28"/>
      <c r="QKP14" s="28"/>
      <c r="QKQ14" s="28"/>
      <c r="QKR14" s="28"/>
      <c r="QKS14" s="28"/>
      <c r="QKT14" s="28"/>
      <c r="QKU14" s="28"/>
      <c r="QKV14" s="28"/>
      <c r="QKW14" s="28"/>
      <c r="QKX14" s="28"/>
      <c r="QKY14" s="28"/>
      <c r="QKZ14" s="28"/>
      <c r="QLA14" s="28"/>
      <c r="QLB14" s="28"/>
      <c r="QLC14" s="28"/>
      <c r="QLD14" s="28"/>
      <c r="QLE14" s="28"/>
      <c r="QLF14" s="28"/>
      <c r="QLG14" s="28"/>
      <c r="QLH14" s="28"/>
      <c r="QLI14" s="28"/>
      <c r="QLJ14" s="28"/>
      <c r="QLK14" s="28"/>
      <c r="QLL14" s="28"/>
      <c r="QLM14" s="28"/>
      <c r="QLN14" s="28"/>
      <c r="QLO14" s="28"/>
      <c r="QLP14" s="28"/>
      <c r="QLQ14" s="28"/>
      <c r="QLR14" s="28"/>
      <c r="QLS14" s="28"/>
      <c r="QLT14" s="28"/>
      <c r="QLU14" s="28"/>
      <c r="QLV14" s="28"/>
      <c r="QLW14" s="28"/>
      <c r="QLX14" s="28"/>
      <c r="QLY14" s="28"/>
      <c r="QLZ14" s="28"/>
      <c r="QMA14" s="28"/>
      <c r="QMB14" s="28"/>
      <c r="QMC14" s="28"/>
      <c r="QMD14" s="28"/>
      <c r="QME14" s="28"/>
      <c r="QMF14" s="28"/>
      <c r="QMG14" s="28"/>
      <c r="QMH14" s="28"/>
      <c r="QMI14" s="28"/>
      <c r="QMJ14" s="28"/>
      <c r="QMK14" s="28"/>
      <c r="QML14" s="28"/>
      <c r="QMM14" s="28"/>
      <c r="QMN14" s="28"/>
      <c r="QMO14" s="28"/>
      <c r="QMP14" s="28"/>
      <c r="QMQ14" s="28"/>
      <c r="QMR14" s="28"/>
      <c r="QMS14" s="28"/>
      <c r="QMT14" s="28"/>
      <c r="QMU14" s="28"/>
      <c r="QMV14" s="28"/>
      <c r="QMW14" s="28"/>
      <c r="QMX14" s="28"/>
      <c r="QMY14" s="28"/>
      <c r="QMZ14" s="28"/>
      <c r="QNA14" s="28"/>
      <c r="QNB14" s="28"/>
      <c r="QNC14" s="28"/>
      <c r="QND14" s="28"/>
      <c r="QNE14" s="28"/>
      <c r="QNF14" s="28"/>
      <c r="QNG14" s="28"/>
      <c r="QNH14" s="28"/>
      <c r="QNI14" s="28"/>
      <c r="QNJ14" s="28"/>
      <c r="QNK14" s="28"/>
      <c r="QNL14" s="28"/>
      <c r="QNM14" s="28"/>
      <c r="QNN14" s="28"/>
      <c r="QNO14" s="28"/>
      <c r="QNP14" s="28"/>
      <c r="QNQ14" s="28"/>
      <c r="QNR14" s="28"/>
      <c r="QNS14" s="28"/>
      <c r="QNT14" s="28"/>
      <c r="QNU14" s="28"/>
      <c r="QNV14" s="28"/>
      <c r="QNW14" s="28"/>
      <c r="QNX14" s="28"/>
      <c r="QNY14" s="28"/>
      <c r="QNZ14" s="28"/>
      <c r="QOA14" s="28"/>
      <c r="QOB14" s="28"/>
      <c r="QOC14" s="28"/>
      <c r="QOD14" s="28"/>
      <c r="QOE14" s="28"/>
      <c r="QOF14" s="28"/>
      <c r="QOG14" s="28"/>
      <c r="QOH14" s="28"/>
      <c r="QOI14" s="28"/>
      <c r="QOJ14" s="28"/>
      <c r="QOK14" s="28"/>
      <c r="QOL14" s="28"/>
      <c r="QOM14" s="28"/>
      <c r="QON14" s="28"/>
      <c r="QOO14" s="28"/>
      <c r="QOP14" s="28"/>
      <c r="QOQ14" s="28"/>
      <c r="QOR14" s="28"/>
      <c r="QOS14" s="28"/>
      <c r="QOT14" s="28"/>
      <c r="QOU14" s="28"/>
      <c r="QOV14" s="28"/>
      <c r="QOW14" s="28"/>
      <c r="QOX14" s="28"/>
      <c r="QOY14" s="28"/>
      <c r="QOZ14" s="28"/>
      <c r="QPA14" s="28"/>
      <c r="QPB14" s="28"/>
      <c r="QPC14" s="28"/>
      <c r="QPD14" s="28"/>
      <c r="QPE14" s="28"/>
      <c r="QPF14" s="28"/>
      <c r="QPG14" s="28"/>
      <c r="QPH14" s="28"/>
      <c r="QPI14" s="28"/>
      <c r="QPJ14" s="28"/>
      <c r="QPK14" s="28"/>
      <c r="QPL14" s="28"/>
      <c r="QPM14" s="28"/>
      <c r="QPN14" s="28"/>
      <c r="QPO14" s="28"/>
      <c r="QPP14" s="28"/>
      <c r="QPQ14" s="28"/>
      <c r="QPR14" s="28"/>
      <c r="QPS14" s="28"/>
      <c r="QPT14" s="28"/>
      <c r="QPU14" s="28"/>
      <c r="QPV14" s="28"/>
      <c r="QPW14" s="28"/>
      <c r="QPX14" s="28"/>
      <c r="QPY14" s="28"/>
      <c r="QPZ14" s="28"/>
      <c r="QQA14" s="28"/>
      <c r="QQB14" s="28"/>
      <c r="QQC14" s="28"/>
      <c r="QQD14" s="28"/>
      <c r="QQE14" s="28"/>
      <c r="QQF14" s="28"/>
      <c r="QQG14" s="28"/>
      <c r="QQH14" s="28"/>
      <c r="QQI14" s="28"/>
      <c r="QQJ14" s="28"/>
      <c r="QQK14" s="28"/>
      <c r="QQL14" s="28"/>
      <c r="QQM14" s="28"/>
      <c r="QQN14" s="28"/>
      <c r="QQO14" s="28"/>
      <c r="QQP14" s="28"/>
      <c r="QQQ14" s="28"/>
      <c r="QQR14" s="28"/>
      <c r="QQS14" s="28"/>
      <c r="QQT14" s="28"/>
      <c r="QQU14" s="28"/>
      <c r="QQV14" s="28"/>
      <c r="QQW14" s="28"/>
      <c r="QQX14" s="28"/>
      <c r="QQY14" s="28"/>
      <c r="QQZ14" s="28"/>
      <c r="QRA14" s="28"/>
      <c r="QRB14" s="28"/>
      <c r="QRC14" s="28"/>
      <c r="QRD14" s="28"/>
      <c r="QRE14" s="28"/>
      <c r="QRF14" s="28"/>
      <c r="QRG14" s="28"/>
      <c r="QRH14" s="28"/>
      <c r="QRI14" s="28"/>
      <c r="QRJ14" s="28"/>
      <c r="QRK14" s="28"/>
      <c r="QRL14" s="28"/>
      <c r="QRM14" s="28"/>
      <c r="QRN14" s="28"/>
      <c r="QRO14" s="28"/>
      <c r="QRP14" s="28"/>
      <c r="QRQ14" s="28"/>
      <c r="QRR14" s="28"/>
      <c r="QRS14" s="28"/>
      <c r="QRT14" s="28"/>
      <c r="QRU14" s="28"/>
      <c r="QRV14" s="28"/>
      <c r="QRW14" s="28"/>
      <c r="QRX14" s="28"/>
      <c r="QRY14" s="28"/>
      <c r="QRZ14" s="28"/>
      <c r="QSA14" s="28"/>
      <c r="QSB14" s="28"/>
      <c r="QSC14" s="28"/>
      <c r="QSD14" s="28"/>
      <c r="QSE14" s="28"/>
      <c r="QSF14" s="28"/>
      <c r="QSG14" s="28"/>
      <c r="QSH14" s="28"/>
      <c r="QSI14" s="28"/>
      <c r="QSJ14" s="28"/>
      <c r="QSK14" s="28"/>
      <c r="QSL14" s="28"/>
      <c r="QSM14" s="28"/>
      <c r="QSN14" s="28"/>
      <c r="QSO14" s="28"/>
      <c r="QSP14" s="28"/>
      <c r="QSQ14" s="28"/>
      <c r="QSR14" s="28"/>
      <c r="QSS14" s="28"/>
      <c r="QST14" s="28"/>
      <c r="QSU14" s="28"/>
      <c r="QSV14" s="28"/>
      <c r="QSW14" s="28"/>
      <c r="QSX14" s="28"/>
      <c r="QSY14" s="28"/>
      <c r="QSZ14" s="28"/>
      <c r="QTA14" s="28"/>
      <c r="QTB14" s="28"/>
      <c r="QTC14" s="28"/>
      <c r="QTD14" s="28"/>
      <c r="QTE14" s="28"/>
      <c r="QTF14" s="28"/>
      <c r="QTG14" s="28"/>
      <c r="QTH14" s="28"/>
      <c r="QTI14" s="28"/>
      <c r="QTJ14" s="28"/>
      <c r="QTK14" s="28"/>
      <c r="QTL14" s="28"/>
      <c r="QTM14" s="28"/>
      <c r="QTN14" s="28"/>
      <c r="QTO14" s="28"/>
      <c r="QTP14" s="28"/>
      <c r="QTQ14" s="28"/>
      <c r="QTR14" s="28"/>
      <c r="QTS14" s="28"/>
      <c r="QTT14" s="28"/>
      <c r="QTU14" s="28"/>
      <c r="QTV14" s="28"/>
      <c r="QTW14" s="28"/>
      <c r="QTX14" s="28"/>
      <c r="QTY14" s="28"/>
      <c r="QTZ14" s="28"/>
      <c r="QUA14" s="28"/>
      <c r="QUB14" s="28"/>
      <c r="QUC14" s="28"/>
      <c r="QUD14" s="28"/>
      <c r="QUE14" s="28"/>
      <c r="QUF14" s="28"/>
      <c r="QUG14" s="28"/>
      <c r="QUH14" s="28"/>
      <c r="QUI14" s="28"/>
      <c r="QUJ14" s="28"/>
      <c r="QUK14" s="28"/>
      <c r="QUL14" s="28"/>
      <c r="QUM14" s="28"/>
      <c r="QUN14" s="28"/>
      <c r="QUO14" s="28"/>
      <c r="QUP14" s="28"/>
      <c r="QUQ14" s="28"/>
      <c r="QUR14" s="28"/>
      <c r="QUS14" s="28"/>
      <c r="QUT14" s="28"/>
      <c r="QUU14" s="28"/>
      <c r="QUV14" s="28"/>
      <c r="QUW14" s="28"/>
      <c r="QUX14" s="28"/>
      <c r="QUY14" s="28"/>
      <c r="QUZ14" s="28"/>
      <c r="QVA14" s="28"/>
      <c r="QVB14" s="28"/>
      <c r="QVC14" s="28"/>
      <c r="QVD14" s="28"/>
      <c r="QVE14" s="28"/>
      <c r="QVF14" s="28"/>
      <c r="QVG14" s="28"/>
      <c r="QVH14" s="28"/>
      <c r="QVI14" s="28"/>
      <c r="QVJ14" s="28"/>
      <c r="QVK14" s="28"/>
      <c r="QVL14" s="28"/>
      <c r="QVM14" s="28"/>
      <c r="QVN14" s="28"/>
      <c r="QVO14" s="28"/>
      <c r="QVP14" s="28"/>
      <c r="QVQ14" s="28"/>
      <c r="QVR14" s="28"/>
      <c r="QVS14" s="28"/>
      <c r="QVT14" s="28"/>
      <c r="QVU14" s="28"/>
      <c r="QVV14" s="28"/>
      <c r="QVW14" s="28"/>
      <c r="QVX14" s="28"/>
      <c r="QVY14" s="28"/>
      <c r="QVZ14" s="28"/>
      <c r="QWA14" s="28"/>
      <c r="QWB14" s="28"/>
      <c r="QWC14" s="28"/>
      <c r="QWD14" s="28"/>
      <c r="QWE14" s="28"/>
      <c r="QWF14" s="28"/>
      <c r="QWG14" s="28"/>
      <c r="QWH14" s="28"/>
      <c r="QWI14" s="28"/>
      <c r="QWJ14" s="28"/>
      <c r="QWK14" s="28"/>
      <c r="QWL14" s="28"/>
      <c r="QWM14" s="28"/>
      <c r="QWN14" s="28"/>
      <c r="QWO14" s="28"/>
      <c r="QWP14" s="28"/>
      <c r="QWQ14" s="28"/>
      <c r="QWR14" s="28"/>
      <c r="QWS14" s="28"/>
      <c r="QWT14" s="28"/>
      <c r="QWU14" s="28"/>
      <c r="QWV14" s="28"/>
      <c r="QWW14" s="28"/>
      <c r="QWX14" s="28"/>
      <c r="QWY14" s="28"/>
      <c r="QWZ14" s="28"/>
      <c r="QXA14" s="28"/>
      <c r="QXB14" s="28"/>
      <c r="QXC14" s="28"/>
      <c r="QXD14" s="28"/>
      <c r="QXE14" s="28"/>
      <c r="QXF14" s="28"/>
      <c r="QXG14" s="28"/>
      <c r="QXH14" s="28"/>
      <c r="QXI14" s="28"/>
      <c r="QXJ14" s="28"/>
      <c r="QXK14" s="28"/>
      <c r="QXL14" s="28"/>
      <c r="QXM14" s="28"/>
      <c r="QXN14" s="28"/>
      <c r="QXO14" s="28"/>
      <c r="QXP14" s="28"/>
      <c r="QXQ14" s="28"/>
      <c r="QXR14" s="28"/>
      <c r="QXS14" s="28"/>
      <c r="QXT14" s="28"/>
      <c r="QXU14" s="28"/>
      <c r="QXV14" s="28"/>
      <c r="QXW14" s="28"/>
      <c r="QXX14" s="28"/>
      <c r="QXY14" s="28"/>
      <c r="QXZ14" s="28"/>
      <c r="QYA14" s="28"/>
      <c r="QYB14" s="28"/>
      <c r="QYC14" s="28"/>
      <c r="QYD14" s="28"/>
      <c r="QYE14" s="28"/>
      <c r="QYF14" s="28"/>
      <c r="QYG14" s="28"/>
      <c r="QYH14" s="28"/>
      <c r="QYI14" s="28"/>
      <c r="QYJ14" s="28"/>
      <c r="QYK14" s="28"/>
      <c r="QYL14" s="28"/>
      <c r="QYM14" s="28"/>
      <c r="QYN14" s="28"/>
      <c r="QYO14" s="28"/>
      <c r="QYP14" s="28"/>
      <c r="QYQ14" s="28"/>
      <c r="QYR14" s="28"/>
      <c r="QYS14" s="28"/>
      <c r="QYT14" s="28"/>
      <c r="QYU14" s="28"/>
      <c r="QYV14" s="28"/>
      <c r="QYW14" s="28"/>
      <c r="QYX14" s="28"/>
      <c r="QYY14" s="28"/>
      <c r="QYZ14" s="28"/>
      <c r="QZA14" s="28"/>
      <c r="QZB14" s="28"/>
      <c r="QZC14" s="28"/>
      <c r="QZD14" s="28"/>
      <c r="QZE14" s="28"/>
      <c r="QZF14" s="28"/>
      <c r="QZG14" s="28"/>
      <c r="QZH14" s="28"/>
      <c r="QZI14" s="28"/>
      <c r="QZJ14" s="28"/>
      <c r="QZK14" s="28"/>
      <c r="QZL14" s="28"/>
      <c r="QZM14" s="28"/>
      <c r="QZN14" s="28"/>
      <c r="QZO14" s="28"/>
      <c r="QZP14" s="28"/>
      <c r="QZQ14" s="28"/>
      <c r="QZR14" s="28"/>
      <c r="QZS14" s="28"/>
      <c r="QZT14" s="28"/>
      <c r="QZU14" s="28"/>
      <c r="QZV14" s="28"/>
      <c r="QZW14" s="28"/>
      <c r="QZX14" s="28"/>
      <c r="QZY14" s="28"/>
      <c r="QZZ14" s="28"/>
      <c r="RAA14" s="28"/>
      <c r="RAB14" s="28"/>
      <c r="RAC14" s="28"/>
      <c r="RAD14" s="28"/>
      <c r="RAE14" s="28"/>
      <c r="RAF14" s="28"/>
      <c r="RAG14" s="28"/>
      <c r="RAH14" s="28"/>
      <c r="RAI14" s="28"/>
      <c r="RAJ14" s="28"/>
      <c r="RAK14" s="28"/>
      <c r="RAL14" s="28"/>
      <c r="RAM14" s="28"/>
      <c r="RAN14" s="28"/>
      <c r="RAO14" s="28"/>
      <c r="RAP14" s="28"/>
      <c r="RAQ14" s="28"/>
      <c r="RAR14" s="28"/>
      <c r="RAS14" s="28"/>
      <c r="RAT14" s="28"/>
      <c r="RAU14" s="28"/>
      <c r="RAV14" s="28"/>
      <c r="RAW14" s="28"/>
      <c r="RAX14" s="28"/>
      <c r="RAY14" s="28"/>
      <c r="RAZ14" s="28"/>
      <c r="RBA14" s="28"/>
      <c r="RBB14" s="28"/>
      <c r="RBC14" s="28"/>
      <c r="RBD14" s="28"/>
      <c r="RBE14" s="28"/>
      <c r="RBF14" s="28"/>
      <c r="RBG14" s="28"/>
      <c r="RBH14" s="28"/>
      <c r="RBI14" s="28"/>
      <c r="RBJ14" s="28"/>
      <c r="RBK14" s="28"/>
      <c r="RBL14" s="28"/>
      <c r="RBM14" s="28"/>
      <c r="RBN14" s="28"/>
      <c r="RBO14" s="28"/>
      <c r="RBP14" s="28"/>
      <c r="RBQ14" s="28"/>
      <c r="RBR14" s="28"/>
      <c r="RBS14" s="28"/>
      <c r="RBT14" s="28"/>
      <c r="RBU14" s="28"/>
      <c r="RBV14" s="28"/>
      <c r="RBW14" s="28"/>
      <c r="RBX14" s="28"/>
      <c r="RBY14" s="28"/>
      <c r="RBZ14" s="28"/>
      <c r="RCA14" s="28"/>
      <c r="RCB14" s="28"/>
      <c r="RCC14" s="28"/>
      <c r="RCD14" s="28"/>
      <c r="RCE14" s="28"/>
      <c r="RCF14" s="28"/>
      <c r="RCG14" s="28"/>
      <c r="RCH14" s="28"/>
      <c r="RCI14" s="28"/>
      <c r="RCJ14" s="28"/>
      <c r="RCK14" s="28"/>
      <c r="RCL14" s="28"/>
      <c r="RCM14" s="28"/>
      <c r="RCN14" s="28"/>
      <c r="RCO14" s="28"/>
      <c r="RCP14" s="28"/>
      <c r="RCQ14" s="28"/>
      <c r="RCR14" s="28"/>
      <c r="RCS14" s="28"/>
      <c r="RCT14" s="28"/>
      <c r="RCU14" s="28"/>
      <c r="RCV14" s="28"/>
      <c r="RCW14" s="28"/>
      <c r="RCX14" s="28"/>
      <c r="RCY14" s="28"/>
      <c r="RCZ14" s="28"/>
      <c r="RDA14" s="28"/>
      <c r="RDB14" s="28"/>
      <c r="RDC14" s="28"/>
      <c r="RDD14" s="28"/>
      <c r="RDE14" s="28"/>
      <c r="RDF14" s="28"/>
      <c r="RDG14" s="28"/>
      <c r="RDH14" s="28"/>
      <c r="RDI14" s="28"/>
      <c r="RDJ14" s="28"/>
      <c r="RDK14" s="28"/>
      <c r="RDL14" s="28"/>
      <c r="RDM14" s="28"/>
      <c r="RDN14" s="28"/>
      <c r="RDO14" s="28"/>
      <c r="RDP14" s="28"/>
      <c r="RDQ14" s="28"/>
      <c r="RDR14" s="28"/>
      <c r="RDS14" s="28"/>
      <c r="RDT14" s="28"/>
      <c r="RDU14" s="28"/>
      <c r="RDV14" s="28"/>
      <c r="RDW14" s="28"/>
      <c r="RDX14" s="28"/>
      <c r="RDY14" s="28"/>
      <c r="RDZ14" s="28"/>
      <c r="REA14" s="28"/>
      <c r="REB14" s="28"/>
      <c r="REC14" s="28"/>
      <c r="RED14" s="28"/>
      <c r="REE14" s="28"/>
      <c r="REF14" s="28"/>
      <c r="REG14" s="28"/>
      <c r="REH14" s="28"/>
      <c r="REI14" s="28"/>
      <c r="REJ14" s="28"/>
      <c r="REK14" s="28"/>
      <c r="REL14" s="28"/>
      <c r="REM14" s="28"/>
      <c r="REN14" s="28"/>
      <c r="REO14" s="28"/>
      <c r="REP14" s="28"/>
      <c r="REQ14" s="28"/>
      <c r="RER14" s="28"/>
      <c r="RES14" s="28"/>
      <c r="RET14" s="28"/>
      <c r="REU14" s="28"/>
      <c r="REV14" s="28"/>
      <c r="REW14" s="28"/>
      <c r="REX14" s="28"/>
      <c r="REY14" s="28"/>
      <c r="REZ14" s="28"/>
      <c r="RFA14" s="28"/>
      <c r="RFB14" s="28"/>
      <c r="RFC14" s="28"/>
      <c r="RFD14" s="28"/>
      <c r="RFE14" s="28"/>
      <c r="RFF14" s="28"/>
      <c r="RFG14" s="28"/>
      <c r="RFH14" s="28"/>
      <c r="RFI14" s="28"/>
      <c r="RFJ14" s="28"/>
      <c r="RFK14" s="28"/>
      <c r="RFL14" s="28"/>
      <c r="RFM14" s="28"/>
      <c r="RFN14" s="28"/>
      <c r="RFO14" s="28"/>
      <c r="RFP14" s="28"/>
      <c r="RFQ14" s="28"/>
      <c r="RFR14" s="28"/>
      <c r="RFS14" s="28"/>
      <c r="RFT14" s="28"/>
      <c r="RFU14" s="28"/>
      <c r="RFV14" s="28"/>
      <c r="RFW14" s="28"/>
      <c r="RFX14" s="28"/>
      <c r="RFY14" s="28"/>
      <c r="RFZ14" s="28"/>
      <c r="RGA14" s="28"/>
      <c r="RGB14" s="28"/>
      <c r="RGC14" s="28"/>
      <c r="RGD14" s="28"/>
      <c r="RGE14" s="28"/>
      <c r="RGF14" s="28"/>
      <c r="RGG14" s="28"/>
      <c r="RGH14" s="28"/>
      <c r="RGI14" s="28"/>
      <c r="RGJ14" s="28"/>
      <c r="RGK14" s="28"/>
      <c r="RGL14" s="28"/>
      <c r="RGM14" s="28"/>
      <c r="RGN14" s="28"/>
      <c r="RGO14" s="28"/>
      <c r="RGP14" s="28"/>
      <c r="RGQ14" s="28"/>
      <c r="RGR14" s="28"/>
      <c r="RGS14" s="28"/>
      <c r="RGT14" s="28"/>
      <c r="RGU14" s="28"/>
      <c r="RGV14" s="28"/>
      <c r="RGW14" s="28"/>
      <c r="RGX14" s="28"/>
      <c r="RGY14" s="28"/>
      <c r="RGZ14" s="28"/>
      <c r="RHA14" s="28"/>
      <c r="RHB14" s="28"/>
      <c r="RHC14" s="28"/>
      <c r="RHD14" s="28"/>
      <c r="RHE14" s="28"/>
      <c r="RHF14" s="28"/>
      <c r="RHG14" s="28"/>
      <c r="RHH14" s="28"/>
      <c r="RHI14" s="28"/>
      <c r="RHJ14" s="28"/>
      <c r="RHK14" s="28"/>
      <c r="RHL14" s="28"/>
      <c r="RHM14" s="28"/>
      <c r="RHN14" s="28"/>
      <c r="RHO14" s="28"/>
      <c r="RHP14" s="28"/>
      <c r="RHQ14" s="28"/>
      <c r="RHR14" s="28"/>
      <c r="RHS14" s="28"/>
      <c r="RHT14" s="28"/>
      <c r="RHU14" s="28"/>
      <c r="RHV14" s="28"/>
      <c r="RHW14" s="28"/>
      <c r="RHX14" s="28"/>
      <c r="RHY14" s="28"/>
      <c r="RHZ14" s="28"/>
      <c r="RIA14" s="28"/>
      <c r="RIB14" s="28"/>
      <c r="RIC14" s="28"/>
      <c r="RID14" s="28"/>
      <c r="RIE14" s="28"/>
      <c r="RIF14" s="28"/>
      <c r="RIG14" s="28"/>
      <c r="RIH14" s="28"/>
      <c r="RII14" s="28"/>
      <c r="RIJ14" s="28"/>
      <c r="RIK14" s="28"/>
      <c r="RIL14" s="28"/>
      <c r="RIM14" s="28"/>
      <c r="RIN14" s="28"/>
      <c r="RIO14" s="28"/>
      <c r="RIP14" s="28"/>
      <c r="RIQ14" s="28"/>
      <c r="RIR14" s="28"/>
      <c r="RIS14" s="28"/>
      <c r="RIT14" s="28"/>
      <c r="RIU14" s="28"/>
      <c r="RIV14" s="28"/>
      <c r="RIW14" s="28"/>
      <c r="RIX14" s="28"/>
      <c r="RIY14" s="28"/>
      <c r="RIZ14" s="28"/>
      <c r="RJA14" s="28"/>
      <c r="RJB14" s="28"/>
      <c r="RJC14" s="28"/>
      <c r="RJD14" s="28"/>
      <c r="RJE14" s="28"/>
      <c r="RJF14" s="28"/>
      <c r="RJG14" s="28"/>
      <c r="RJH14" s="28"/>
      <c r="RJI14" s="28"/>
      <c r="RJJ14" s="28"/>
      <c r="RJK14" s="28"/>
      <c r="RJL14" s="28"/>
      <c r="RJM14" s="28"/>
      <c r="RJN14" s="28"/>
      <c r="RJO14" s="28"/>
      <c r="RJP14" s="28"/>
      <c r="RJQ14" s="28"/>
      <c r="RJR14" s="28"/>
      <c r="RJS14" s="28"/>
      <c r="RJT14" s="28"/>
      <c r="RJU14" s="28"/>
      <c r="RJV14" s="28"/>
      <c r="RJW14" s="28"/>
      <c r="RJX14" s="28"/>
      <c r="RJY14" s="28"/>
      <c r="RJZ14" s="28"/>
      <c r="RKA14" s="28"/>
      <c r="RKB14" s="28"/>
      <c r="RKC14" s="28"/>
      <c r="RKD14" s="28"/>
      <c r="RKE14" s="28"/>
      <c r="RKF14" s="28"/>
      <c r="RKG14" s="28"/>
      <c r="RKH14" s="28"/>
      <c r="RKI14" s="28"/>
      <c r="RKJ14" s="28"/>
      <c r="RKK14" s="28"/>
      <c r="RKL14" s="28"/>
      <c r="RKM14" s="28"/>
      <c r="RKN14" s="28"/>
      <c r="RKO14" s="28"/>
      <c r="RKP14" s="28"/>
      <c r="RKQ14" s="28"/>
      <c r="RKR14" s="28"/>
      <c r="RKS14" s="28"/>
      <c r="RKT14" s="28"/>
      <c r="RKU14" s="28"/>
      <c r="RKV14" s="28"/>
      <c r="RKW14" s="28"/>
      <c r="RKX14" s="28"/>
      <c r="RKY14" s="28"/>
      <c r="RKZ14" s="28"/>
      <c r="RLA14" s="28"/>
      <c r="RLB14" s="28"/>
      <c r="RLC14" s="28"/>
      <c r="RLD14" s="28"/>
      <c r="RLE14" s="28"/>
      <c r="RLF14" s="28"/>
      <c r="RLG14" s="28"/>
      <c r="RLH14" s="28"/>
      <c r="RLI14" s="28"/>
      <c r="RLJ14" s="28"/>
      <c r="RLK14" s="28"/>
      <c r="RLL14" s="28"/>
      <c r="RLM14" s="28"/>
      <c r="RLN14" s="28"/>
      <c r="RLO14" s="28"/>
      <c r="RLP14" s="28"/>
      <c r="RLQ14" s="28"/>
      <c r="RLR14" s="28"/>
      <c r="RLS14" s="28"/>
      <c r="RLT14" s="28"/>
      <c r="RLU14" s="28"/>
      <c r="RLV14" s="28"/>
      <c r="RLW14" s="28"/>
      <c r="RLX14" s="28"/>
      <c r="RLY14" s="28"/>
      <c r="RLZ14" s="28"/>
      <c r="RMA14" s="28"/>
      <c r="RMB14" s="28"/>
      <c r="RMC14" s="28"/>
      <c r="RMD14" s="28"/>
      <c r="RME14" s="28"/>
      <c r="RMF14" s="28"/>
      <c r="RMG14" s="28"/>
      <c r="RMH14" s="28"/>
      <c r="RMI14" s="28"/>
      <c r="RMJ14" s="28"/>
      <c r="RMK14" s="28"/>
      <c r="RML14" s="28"/>
      <c r="RMM14" s="28"/>
      <c r="RMN14" s="28"/>
      <c r="RMO14" s="28"/>
      <c r="RMP14" s="28"/>
      <c r="RMQ14" s="28"/>
      <c r="RMR14" s="28"/>
      <c r="RMS14" s="28"/>
      <c r="RMT14" s="28"/>
      <c r="RMU14" s="28"/>
      <c r="RMV14" s="28"/>
      <c r="RMW14" s="28"/>
      <c r="RMX14" s="28"/>
      <c r="RMY14" s="28"/>
      <c r="RMZ14" s="28"/>
      <c r="RNA14" s="28"/>
      <c r="RNB14" s="28"/>
      <c r="RNC14" s="28"/>
      <c r="RND14" s="28"/>
      <c r="RNE14" s="28"/>
      <c r="RNF14" s="28"/>
      <c r="RNG14" s="28"/>
      <c r="RNH14" s="28"/>
      <c r="RNI14" s="28"/>
      <c r="RNJ14" s="28"/>
      <c r="RNK14" s="28"/>
      <c r="RNL14" s="28"/>
      <c r="RNM14" s="28"/>
      <c r="RNN14" s="28"/>
      <c r="RNO14" s="28"/>
      <c r="RNP14" s="28"/>
      <c r="RNQ14" s="28"/>
      <c r="RNR14" s="28"/>
      <c r="RNS14" s="28"/>
      <c r="RNT14" s="28"/>
      <c r="RNU14" s="28"/>
      <c r="RNV14" s="28"/>
      <c r="RNW14" s="28"/>
      <c r="RNX14" s="28"/>
      <c r="RNY14" s="28"/>
      <c r="RNZ14" s="28"/>
      <c r="ROA14" s="28"/>
      <c r="ROB14" s="28"/>
      <c r="ROC14" s="28"/>
      <c r="ROD14" s="28"/>
      <c r="ROE14" s="28"/>
      <c r="ROF14" s="28"/>
      <c r="ROG14" s="28"/>
      <c r="ROH14" s="28"/>
      <c r="ROI14" s="28"/>
      <c r="ROJ14" s="28"/>
      <c r="ROK14" s="28"/>
      <c r="ROL14" s="28"/>
      <c r="ROM14" s="28"/>
      <c r="RON14" s="28"/>
      <c r="ROO14" s="28"/>
      <c r="ROP14" s="28"/>
      <c r="ROQ14" s="28"/>
      <c r="ROR14" s="28"/>
      <c r="ROS14" s="28"/>
      <c r="ROT14" s="28"/>
      <c r="ROU14" s="28"/>
      <c r="ROV14" s="28"/>
      <c r="ROW14" s="28"/>
      <c r="ROX14" s="28"/>
      <c r="ROY14" s="28"/>
      <c r="ROZ14" s="28"/>
      <c r="RPA14" s="28"/>
      <c r="RPB14" s="28"/>
      <c r="RPC14" s="28"/>
      <c r="RPD14" s="28"/>
      <c r="RPE14" s="28"/>
      <c r="RPF14" s="28"/>
      <c r="RPG14" s="28"/>
      <c r="RPH14" s="28"/>
      <c r="RPI14" s="28"/>
      <c r="RPJ14" s="28"/>
      <c r="RPK14" s="28"/>
      <c r="RPL14" s="28"/>
      <c r="RPM14" s="28"/>
      <c r="RPN14" s="28"/>
      <c r="RPO14" s="28"/>
      <c r="RPP14" s="28"/>
      <c r="RPQ14" s="28"/>
      <c r="RPR14" s="28"/>
      <c r="RPS14" s="28"/>
      <c r="RPT14" s="28"/>
      <c r="RPU14" s="28"/>
      <c r="RPV14" s="28"/>
      <c r="RPW14" s="28"/>
      <c r="RPX14" s="28"/>
      <c r="RPY14" s="28"/>
      <c r="RPZ14" s="28"/>
      <c r="RQA14" s="28"/>
      <c r="RQB14" s="28"/>
      <c r="RQC14" s="28"/>
      <c r="RQD14" s="28"/>
      <c r="RQE14" s="28"/>
      <c r="RQF14" s="28"/>
      <c r="RQG14" s="28"/>
      <c r="RQH14" s="28"/>
      <c r="RQI14" s="28"/>
      <c r="RQJ14" s="28"/>
      <c r="RQK14" s="28"/>
      <c r="RQL14" s="28"/>
      <c r="RQM14" s="28"/>
      <c r="RQN14" s="28"/>
      <c r="RQO14" s="28"/>
      <c r="RQP14" s="28"/>
      <c r="RQQ14" s="28"/>
      <c r="RQR14" s="28"/>
      <c r="RQS14" s="28"/>
      <c r="RQT14" s="28"/>
      <c r="RQU14" s="28"/>
      <c r="RQV14" s="28"/>
      <c r="RQW14" s="28"/>
      <c r="RQX14" s="28"/>
      <c r="RQY14" s="28"/>
      <c r="RQZ14" s="28"/>
      <c r="RRA14" s="28"/>
      <c r="RRB14" s="28"/>
      <c r="RRC14" s="28"/>
      <c r="RRD14" s="28"/>
      <c r="RRE14" s="28"/>
      <c r="RRF14" s="28"/>
      <c r="RRG14" s="28"/>
      <c r="RRH14" s="28"/>
      <c r="RRI14" s="28"/>
      <c r="RRJ14" s="28"/>
      <c r="RRK14" s="28"/>
      <c r="RRL14" s="28"/>
      <c r="RRM14" s="28"/>
      <c r="RRN14" s="28"/>
      <c r="RRO14" s="28"/>
      <c r="RRP14" s="28"/>
      <c r="RRQ14" s="28"/>
      <c r="RRR14" s="28"/>
      <c r="RRS14" s="28"/>
      <c r="RRT14" s="28"/>
      <c r="RRU14" s="28"/>
      <c r="RRV14" s="28"/>
      <c r="RRW14" s="28"/>
      <c r="RRX14" s="28"/>
      <c r="RRY14" s="28"/>
      <c r="RRZ14" s="28"/>
      <c r="RSA14" s="28"/>
      <c r="RSB14" s="28"/>
      <c r="RSC14" s="28"/>
      <c r="RSD14" s="28"/>
      <c r="RSE14" s="28"/>
      <c r="RSF14" s="28"/>
      <c r="RSG14" s="28"/>
      <c r="RSH14" s="28"/>
      <c r="RSI14" s="28"/>
      <c r="RSJ14" s="28"/>
      <c r="RSK14" s="28"/>
      <c r="RSL14" s="28"/>
      <c r="RSM14" s="28"/>
      <c r="RSN14" s="28"/>
      <c r="RSO14" s="28"/>
      <c r="RSP14" s="28"/>
      <c r="RSQ14" s="28"/>
      <c r="RSR14" s="28"/>
      <c r="RSS14" s="28"/>
      <c r="RST14" s="28"/>
      <c r="RSU14" s="28"/>
      <c r="RSV14" s="28"/>
      <c r="RSW14" s="28"/>
      <c r="RSX14" s="28"/>
      <c r="RSY14" s="28"/>
      <c r="RSZ14" s="28"/>
      <c r="RTA14" s="28"/>
      <c r="RTB14" s="28"/>
      <c r="RTC14" s="28"/>
      <c r="RTD14" s="28"/>
      <c r="RTE14" s="28"/>
      <c r="RTF14" s="28"/>
      <c r="RTG14" s="28"/>
      <c r="RTH14" s="28"/>
      <c r="RTI14" s="28"/>
      <c r="RTJ14" s="28"/>
      <c r="RTK14" s="28"/>
      <c r="RTL14" s="28"/>
      <c r="RTM14" s="28"/>
      <c r="RTN14" s="28"/>
      <c r="RTO14" s="28"/>
      <c r="RTP14" s="28"/>
      <c r="RTQ14" s="28"/>
      <c r="RTR14" s="28"/>
      <c r="RTS14" s="28"/>
      <c r="RTT14" s="28"/>
      <c r="RTU14" s="28"/>
      <c r="RTV14" s="28"/>
      <c r="RTW14" s="28"/>
      <c r="RTX14" s="28"/>
      <c r="RTY14" s="28"/>
      <c r="RTZ14" s="28"/>
      <c r="RUA14" s="28"/>
      <c r="RUB14" s="28"/>
      <c r="RUC14" s="28"/>
      <c r="RUD14" s="28"/>
      <c r="RUE14" s="28"/>
      <c r="RUF14" s="28"/>
      <c r="RUG14" s="28"/>
      <c r="RUH14" s="28"/>
      <c r="RUI14" s="28"/>
      <c r="RUJ14" s="28"/>
      <c r="RUK14" s="28"/>
      <c r="RUL14" s="28"/>
      <c r="RUM14" s="28"/>
      <c r="RUN14" s="28"/>
      <c r="RUO14" s="28"/>
      <c r="RUP14" s="28"/>
      <c r="RUQ14" s="28"/>
      <c r="RUR14" s="28"/>
      <c r="RUS14" s="28"/>
      <c r="RUT14" s="28"/>
      <c r="RUU14" s="28"/>
      <c r="RUV14" s="28"/>
      <c r="RUW14" s="28"/>
      <c r="RUX14" s="28"/>
      <c r="RUY14" s="28"/>
      <c r="RUZ14" s="28"/>
      <c r="RVA14" s="28"/>
      <c r="RVB14" s="28"/>
      <c r="RVC14" s="28"/>
      <c r="RVD14" s="28"/>
      <c r="RVE14" s="28"/>
      <c r="RVF14" s="28"/>
      <c r="RVG14" s="28"/>
      <c r="RVH14" s="28"/>
      <c r="RVI14" s="28"/>
      <c r="RVJ14" s="28"/>
      <c r="RVK14" s="28"/>
      <c r="RVL14" s="28"/>
      <c r="RVM14" s="28"/>
      <c r="RVN14" s="28"/>
      <c r="RVO14" s="28"/>
      <c r="RVP14" s="28"/>
      <c r="RVQ14" s="28"/>
      <c r="RVR14" s="28"/>
      <c r="RVS14" s="28"/>
      <c r="RVT14" s="28"/>
      <c r="RVU14" s="28"/>
      <c r="RVV14" s="28"/>
      <c r="RVW14" s="28"/>
      <c r="RVX14" s="28"/>
      <c r="RVY14" s="28"/>
      <c r="RVZ14" s="28"/>
      <c r="RWA14" s="28"/>
      <c r="RWB14" s="28"/>
      <c r="RWC14" s="28"/>
      <c r="RWD14" s="28"/>
      <c r="RWE14" s="28"/>
      <c r="RWF14" s="28"/>
      <c r="RWG14" s="28"/>
      <c r="RWH14" s="28"/>
      <c r="RWI14" s="28"/>
      <c r="RWJ14" s="28"/>
      <c r="RWK14" s="28"/>
      <c r="RWL14" s="28"/>
      <c r="RWM14" s="28"/>
      <c r="RWN14" s="28"/>
      <c r="RWO14" s="28"/>
      <c r="RWP14" s="28"/>
      <c r="RWQ14" s="28"/>
      <c r="RWR14" s="28"/>
      <c r="RWS14" s="28"/>
      <c r="RWT14" s="28"/>
      <c r="RWU14" s="28"/>
      <c r="RWV14" s="28"/>
      <c r="RWW14" s="28"/>
      <c r="RWX14" s="28"/>
      <c r="RWY14" s="28"/>
      <c r="RWZ14" s="28"/>
      <c r="RXA14" s="28"/>
      <c r="RXB14" s="28"/>
      <c r="RXC14" s="28"/>
      <c r="RXD14" s="28"/>
      <c r="RXE14" s="28"/>
      <c r="RXF14" s="28"/>
      <c r="RXG14" s="28"/>
      <c r="RXH14" s="28"/>
      <c r="RXI14" s="28"/>
      <c r="RXJ14" s="28"/>
      <c r="RXK14" s="28"/>
      <c r="RXL14" s="28"/>
      <c r="RXM14" s="28"/>
      <c r="RXN14" s="28"/>
      <c r="RXO14" s="28"/>
      <c r="RXP14" s="28"/>
      <c r="RXQ14" s="28"/>
      <c r="RXR14" s="28"/>
      <c r="RXS14" s="28"/>
      <c r="RXT14" s="28"/>
      <c r="RXU14" s="28"/>
      <c r="RXV14" s="28"/>
      <c r="RXW14" s="28"/>
      <c r="RXX14" s="28"/>
      <c r="RXY14" s="28"/>
      <c r="RXZ14" s="28"/>
      <c r="RYA14" s="28"/>
      <c r="RYB14" s="28"/>
      <c r="RYC14" s="28"/>
      <c r="RYD14" s="28"/>
      <c r="RYE14" s="28"/>
      <c r="RYF14" s="28"/>
      <c r="RYG14" s="28"/>
      <c r="RYH14" s="28"/>
      <c r="RYI14" s="28"/>
      <c r="RYJ14" s="28"/>
      <c r="RYK14" s="28"/>
      <c r="RYL14" s="28"/>
      <c r="RYM14" s="28"/>
      <c r="RYN14" s="28"/>
      <c r="RYO14" s="28"/>
      <c r="RYP14" s="28"/>
      <c r="RYQ14" s="28"/>
      <c r="RYR14" s="28"/>
      <c r="RYS14" s="28"/>
      <c r="RYT14" s="28"/>
      <c r="RYU14" s="28"/>
      <c r="RYV14" s="28"/>
      <c r="RYW14" s="28"/>
      <c r="RYX14" s="28"/>
      <c r="RYY14" s="28"/>
      <c r="RYZ14" s="28"/>
      <c r="RZA14" s="28"/>
      <c r="RZB14" s="28"/>
      <c r="RZC14" s="28"/>
      <c r="RZD14" s="28"/>
      <c r="RZE14" s="28"/>
      <c r="RZF14" s="28"/>
      <c r="RZG14" s="28"/>
      <c r="RZH14" s="28"/>
      <c r="RZI14" s="28"/>
      <c r="RZJ14" s="28"/>
      <c r="RZK14" s="28"/>
      <c r="RZL14" s="28"/>
      <c r="RZM14" s="28"/>
      <c r="RZN14" s="28"/>
      <c r="RZO14" s="28"/>
      <c r="RZP14" s="28"/>
      <c r="RZQ14" s="28"/>
      <c r="RZR14" s="28"/>
      <c r="RZS14" s="28"/>
      <c r="RZT14" s="28"/>
      <c r="RZU14" s="28"/>
      <c r="RZV14" s="28"/>
      <c r="RZW14" s="28"/>
      <c r="RZX14" s="28"/>
      <c r="RZY14" s="28"/>
      <c r="RZZ14" s="28"/>
      <c r="SAA14" s="28"/>
      <c r="SAB14" s="28"/>
      <c r="SAC14" s="28"/>
      <c r="SAD14" s="28"/>
      <c r="SAE14" s="28"/>
      <c r="SAF14" s="28"/>
      <c r="SAG14" s="28"/>
      <c r="SAH14" s="28"/>
      <c r="SAI14" s="28"/>
      <c r="SAJ14" s="28"/>
      <c r="SAK14" s="28"/>
      <c r="SAL14" s="28"/>
      <c r="SAM14" s="28"/>
      <c r="SAN14" s="28"/>
      <c r="SAO14" s="28"/>
      <c r="SAP14" s="28"/>
      <c r="SAQ14" s="28"/>
      <c r="SAR14" s="28"/>
      <c r="SAS14" s="28"/>
      <c r="SAT14" s="28"/>
      <c r="SAU14" s="28"/>
      <c r="SAV14" s="28"/>
      <c r="SAW14" s="28"/>
      <c r="SAX14" s="28"/>
      <c r="SAY14" s="28"/>
      <c r="SAZ14" s="28"/>
      <c r="SBA14" s="28"/>
      <c r="SBB14" s="28"/>
      <c r="SBC14" s="28"/>
      <c r="SBD14" s="28"/>
      <c r="SBE14" s="28"/>
      <c r="SBF14" s="28"/>
      <c r="SBG14" s="28"/>
      <c r="SBH14" s="28"/>
      <c r="SBI14" s="28"/>
      <c r="SBJ14" s="28"/>
      <c r="SBK14" s="28"/>
      <c r="SBL14" s="28"/>
      <c r="SBM14" s="28"/>
      <c r="SBN14" s="28"/>
      <c r="SBO14" s="28"/>
      <c r="SBP14" s="28"/>
      <c r="SBQ14" s="28"/>
      <c r="SBR14" s="28"/>
      <c r="SBS14" s="28"/>
      <c r="SBT14" s="28"/>
      <c r="SBU14" s="28"/>
      <c r="SBV14" s="28"/>
      <c r="SBW14" s="28"/>
      <c r="SBX14" s="28"/>
      <c r="SBY14" s="28"/>
      <c r="SBZ14" s="28"/>
      <c r="SCA14" s="28"/>
      <c r="SCB14" s="28"/>
      <c r="SCC14" s="28"/>
      <c r="SCD14" s="28"/>
      <c r="SCE14" s="28"/>
      <c r="SCF14" s="28"/>
      <c r="SCG14" s="28"/>
      <c r="SCH14" s="28"/>
      <c r="SCI14" s="28"/>
      <c r="SCJ14" s="28"/>
      <c r="SCK14" s="28"/>
      <c r="SCL14" s="28"/>
      <c r="SCM14" s="28"/>
      <c r="SCN14" s="28"/>
      <c r="SCO14" s="28"/>
      <c r="SCP14" s="28"/>
      <c r="SCQ14" s="28"/>
      <c r="SCR14" s="28"/>
      <c r="SCS14" s="28"/>
      <c r="SCT14" s="28"/>
      <c r="SCU14" s="28"/>
      <c r="SCV14" s="28"/>
      <c r="SCW14" s="28"/>
      <c r="SCX14" s="28"/>
      <c r="SCY14" s="28"/>
      <c r="SCZ14" s="28"/>
      <c r="SDA14" s="28"/>
      <c r="SDB14" s="28"/>
      <c r="SDC14" s="28"/>
      <c r="SDD14" s="28"/>
      <c r="SDE14" s="28"/>
      <c r="SDF14" s="28"/>
      <c r="SDG14" s="28"/>
      <c r="SDH14" s="28"/>
      <c r="SDI14" s="28"/>
      <c r="SDJ14" s="28"/>
      <c r="SDK14" s="28"/>
      <c r="SDL14" s="28"/>
      <c r="SDM14" s="28"/>
      <c r="SDN14" s="28"/>
      <c r="SDO14" s="28"/>
      <c r="SDP14" s="28"/>
      <c r="SDQ14" s="28"/>
      <c r="SDR14" s="28"/>
      <c r="SDS14" s="28"/>
      <c r="SDT14" s="28"/>
      <c r="SDU14" s="28"/>
      <c r="SDV14" s="28"/>
      <c r="SDW14" s="28"/>
      <c r="SDX14" s="28"/>
      <c r="SDY14" s="28"/>
      <c r="SDZ14" s="28"/>
      <c r="SEA14" s="28"/>
      <c r="SEB14" s="28"/>
      <c r="SEC14" s="28"/>
      <c r="SED14" s="28"/>
      <c r="SEE14" s="28"/>
      <c r="SEF14" s="28"/>
      <c r="SEG14" s="28"/>
      <c r="SEH14" s="28"/>
      <c r="SEI14" s="28"/>
      <c r="SEJ14" s="28"/>
      <c r="SEK14" s="28"/>
      <c r="SEL14" s="28"/>
      <c r="SEM14" s="28"/>
      <c r="SEN14" s="28"/>
      <c r="SEO14" s="28"/>
      <c r="SEP14" s="28"/>
      <c r="SEQ14" s="28"/>
      <c r="SER14" s="28"/>
      <c r="SES14" s="28"/>
      <c r="SET14" s="28"/>
      <c r="SEU14" s="28"/>
      <c r="SEV14" s="28"/>
      <c r="SEW14" s="28"/>
      <c r="SEX14" s="28"/>
      <c r="SEY14" s="28"/>
      <c r="SEZ14" s="28"/>
      <c r="SFA14" s="28"/>
      <c r="SFB14" s="28"/>
      <c r="SFC14" s="28"/>
      <c r="SFD14" s="28"/>
      <c r="SFE14" s="28"/>
      <c r="SFF14" s="28"/>
      <c r="SFG14" s="28"/>
      <c r="SFH14" s="28"/>
      <c r="SFI14" s="28"/>
      <c r="SFJ14" s="28"/>
      <c r="SFK14" s="28"/>
      <c r="SFL14" s="28"/>
      <c r="SFM14" s="28"/>
      <c r="SFN14" s="28"/>
      <c r="SFO14" s="28"/>
      <c r="SFP14" s="28"/>
      <c r="SFQ14" s="28"/>
      <c r="SFR14" s="28"/>
      <c r="SFS14" s="28"/>
      <c r="SFT14" s="28"/>
      <c r="SFU14" s="28"/>
      <c r="SFV14" s="28"/>
      <c r="SFW14" s="28"/>
      <c r="SFX14" s="28"/>
      <c r="SFY14" s="28"/>
      <c r="SFZ14" s="28"/>
      <c r="SGA14" s="28"/>
      <c r="SGB14" s="28"/>
      <c r="SGC14" s="28"/>
      <c r="SGD14" s="28"/>
      <c r="SGE14" s="28"/>
      <c r="SGF14" s="28"/>
      <c r="SGG14" s="28"/>
      <c r="SGH14" s="28"/>
      <c r="SGI14" s="28"/>
      <c r="SGJ14" s="28"/>
      <c r="SGK14" s="28"/>
      <c r="SGL14" s="28"/>
      <c r="SGM14" s="28"/>
      <c r="SGN14" s="28"/>
      <c r="SGO14" s="28"/>
      <c r="SGP14" s="28"/>
      <c r="SGQ14" s="28"/>
      <c r="SGR14" s="28"/>
      <c r="SGS14" s="28"/>
      <c r="SGT14" s="28"/>
      <c r="SGU14" s="28"/>
      <c r="SGV14" s="28"/>
      <c r="SGW14" s="28"/>
      <c r="SGX14" s="28"/>
      <c r="SGY14" s="28"/>
      <c r="SGZ14" s="28"/>
      <c r="SHA14" s="28"/>
      <c r="SHB14" s="28"/>
      <c r="SHC14" s="28"/>
      <c r="SHD14" s="28"/>
      <c r="SHE14" s="28"/>
      <c r="SHF14" s="28"/>
      <c r="SHG14" s="28"/>
      <c r="SHH14" s="28"/>
      <c r="SHI14" s="28"/>
      <c r="SHJ14" s="28"/>
      <c r="SHK14" s="28"/>
      <c r="SHL14" s="28"/>
      <c r="SHM14" s="28"/>
      <c r="SHN14" s="28"/>
      <c r="SHO14" s="28"/>
      <c r="SHP14" s="28"/>
      <c r="SHQ14" s="28"/>
      <c r="SHR14" s="28"/>
      <c r="SHS14" s="28"/>
      <c r="SHT14" s="28"/>
      <c r="SHU14" s="28"/>
      <c r="SHV14" s="28"/>
      <c r="SHW14" s="28"/>
      <c r="SHX14" s="28"/>
      <c r="SHY14" s="28"/>
      <c r="SHZ14" s="28"/>
      <c r="SIA14" s="28"/>
      <c r="SIB14" s="28"/>
      <c r="SIC14" s="28"/>
      <c r="SID14" s="28"/>
      <c r="SIE14" s="28"/>
      <c r="SIF14" s="28"/>
      <c r="SIG14" s="28"/>
      <c r="SIH14" s="28"/>
      <c r="SII14" s="28"/>
      <c r="SIJ14" s="28"/>
      <c r="SIK14" s="28"/>
      <c r="SIL14" s="28"/>
      <c r="SIM14" s="28"/>
      <c r="SIN14" s="28"/>
      <c r="SIO14" s="28"/>
      <c r="SIP14" s="28"/>
      <c r="SIQ14" s="28"/>
      <c r="SIR14" s="28"/>
      <c r="SIS14" s="28"/>
      <c r="SIT14" s="28"/>
      <c r="SIU14" s="28"/>
      <c r="SIV14" s="28"/>
      <c r="SIW14" s="28"/>
      <c r="SIX14" s="28"/>
      <c r="SIY14" s="28"/>
      <c r="SIZ14" s="28"/>
      <c r="SJA14" s="28"/>
      <c r="SJB14" s="28"/>
      <c r="SJC14" s="28"/>
      <c r="SJD14" s="28"/>
      <c r="SJE14" s="28"/>
      <c r="SJF14" s="28"/>
      <c r="SJG14" s="28"/>
      <c r="SJH14" s="28"/>
      <c r="SJI14" s="28"/>
      <c r="SJJ14" s="28"/>
      <c r="SJK14" s="28"/>
      <c r="SJL14" s="28"/>
      <c r="SJM14" s="28"/>
      <c r="SJN14" s="28"/>
      <c r="SJO14" s="28"/>
      <c r="SJP14" s="28"/>
      <c r="SJQ14" s="28"/>
      <c r="SJR14" s="28"/>
      <c r="SJS14" s="28"/>
      <c r="SJT14" s="28"/>
      <c r="SJU14" s="28"/>
      <c r="SJV14" s="28"/>
      <c r="SJW14" s="28"/>
      <c r="SJX14" s="28"/>
      <c r="SJY14" s="28"/>
      <c r="SJZ14" s="28"/>
      <c r="SKA14" s="28"/>
      <c r="SKB14" s="28"/>
      <c r="SKC14" s="28"/>
      <c r="SKD14" s="28"/>
      <c r="SKE14" s="28"/>
      <c r="SKF14" s="28"/>
      <c r="SKG14" s="28"/>
      <c r="SKH14" s="28"/>
      <c r="SKI14" s="28"/>
      <c r="SKJ14" s="28"/>
      <c r="SKK14" s="28"/>
      <c r="SKL14" s="28"/>
      <c r="SKM14" s="28"/>
      <c r="SKN14" s="28"/>
      <c r="SKO14" s="28"/>
      <c r="SKP14" s="28"/>
      <c r="SKQ14" s="28"/>
      <c r="SKR14" s="28"/>
      <c r="SKS14" s="28"/>
      <c r="SKT14" s="28"/>
      <c r="SKU14" s="28"/>
      <c r="SKV14" s="28"/>
      <c r="SKW14" s="28"/>
      <c r="SKX14" s="28"/>
      <c r="SKY14" s="28"/>
      <c r="SKZ14" s="28"/>
      <c r="SLA14" s="28"/>
      <c r="SLB14" s="28"/>
      <c r="SLC14" s="28"/>
      <c r="SLD14" s="28"/>
      <c r="SLE14" s="28"/>
      <c r="SLF14" s="28"/>
      <c r="SLG14" s="28"/>
      <c r="SLH14" s="28"/>
      <c r="SLI14" s="28"/>
      <c r="SLJ14" s="28"/>
      <c r="SLK14" s="28"/>
      <c r="SLL14" s="28"/>
      <c r="SLM14" s="28"/>
      <c r="SLN14" s="28"/>
      <c r="SLO14" s="28"/>
      <c r="SLP14" s="28"/>
      <c r="SLQ14" s="28"/>
      <c r="SLR14" s="28"/>
      <c r="SLS14" s="28"/>
      <c r="SLT14" s="28"/>
      <c r="SLU14" s="28"/>
      <c r="SLV14" s="28"/>
      <c r="SLW14" s="28"/>
      <c r="SLX14" s="28"/>
      <c r="SLY14" s="28"/>
      <c r="SLZ14" s="28"/>
      <c r="SMA14" s="28"/>
      <c r="SMB14" s="28"/>
      <c r="SMC14" s="28"/>
      <c r="SMD14" s="28"/>
      <c r="SME14" s="28"/>
      <c r="SMF14" s="28"/>
      <c r="SMG14" s="28"/>
      <c r="SMH14" s="28"/>
      <c r="SMI14" s="28"/>
      <c r="SMJ14" s="28"/>
      <c r="SMK14" s="28"/>
      <c r="SML14" s="28"/>
      <c r="SMM14" s="28"/>
      <c r="SMN14" s="28"/>
      <c r="SMO14" s="28"/>
      <c r="SMP14" s="28"/>
      <c r="SMQ14" s="28"/>
      <c r="SMR14" s="28"/>
      <c r="SMS14" s="28"/>
      <c r="SMT14" s="28"/>
      <c r="SMU14" s="28"/>
      <c r="SMV14" s="28"/>
      <c r="SMW14" s="28"/>
      <c r="SMX14" s="28"/>
      <c r="SMY14" s="28"/>
      <c r="SMZ14" s="28"/>
      <c r="SNA14" s="28"/>
      <c r="SNB14" s="28"/>
      <c r="SNC14" s="28"/>
      <c r="SND14" s="28"/>
      <c r="SNE14" s="28"/>
      <c r="SNF14" s="28"/>
      <c r="SNG14" s="28"/>
      <c r="SNH14" s="28"/>
      <c r="SNI14" s="28"/>
      <c r="SNJ14" s="28"/>
      <c r="SNK14" s="28"/>
      <c r="SNL14" s="28"/>
      <c r="SNM14" s="28"/>
      <c r="SNN14" s="28"/>
      <c r="SNO14" s="28"/>
      <c r="SNP14" s="28"/>
      <c r="SNQ14" s="28"/>
      <c r="SNR14" s="28"/>
      <c r="SNS14" s="28"/>
      <c r="SNT14" s="28"/>
      <c r="SNU14" s="28"/>
      <c r="SNV14" s="28"/>
      <c r="SNW14" s="28"/>
      <c r="SNX14" s="28"/>
      <c r="SNY14" s="28"/>
      <c r="SNZ14" s="28"/>
      <c r="SOA14" s="28"/>
      <c r="SOB14" s="28"/>
      <c r="SOC14" s="28"/>
      <c r="SOD14" s="28"/>
      <c r="SOE14" s="28"/>
      <c r="SOF14" s="28"/>
      <c r="SOG14" s="28"/>
      <c r="SOH14" s="28"/>
      <c r="SOI14" s="28"/>
      <c r="SOJ14" s="28"/>
      <c r="SOK14" s="28"/>
      <c r="SOL14" s="28"/>
      <c r="SOM14" s="28"/>
      <c r="SON14" s="28"/>
      <c r="SOO14" s="28"/>
      <c r="SOP14" s="28"/>
      <c r="SOQ14" s="28"/>
      <c r="SOR14" s="28"/>
      <c r="SOS14" s="28"/>
      <c r="SOT14" s="28"/>
      <c r="SOU14" s="28"/>
      <c r="SOV14" s="28"/>
      <c r="SOW14" s="28"/>
      <c r="SOX14" s="28"/>
      <c r="SOY14" s="28"/>
      <c r="SOZ14" s="28"/>
      <c r="SPA14" s="28"/>
      <c r="SPB14" s="28"/>
      <c r="SPC14" s="28"/>
      <c r="SPD14" s="28"/>
      <c r="SPE14" s="28"/>
      <c r="SPF14" s="28"/>
      <c r="SPG14" s="28"/>
      <c r="SPH14" s="28"/>
      <c r="SPI14" s="28"/>
      <c r="SPJ14" s="28"/>
      <c r="SPK14" s="28"/>
      <c r="SPL14" s="28"/>
      <c r="SPM14" s="28"/>
      <c r="SPN14" s="28"/>
      <c r="SPO14" s="28"/>
      <c r="SPP14" s="28"/>
      <c r="SPQ14" s="28"/>
      <c r="SPR14" s="28"/>
      <c r="SPS14" s="28"/>
      <c r="SPT14" s="28"/>
      <c r="SPU14" s="28"/>
      <c r="SPV14" s="28"/>
      <c r="SPW14" s="28"/>
      <c r="SPX14" s="28"/>
      <c r="SPY14" s="28"/>
      <c r="SPZ14" s="28"/>
      <c r="SQA14" s="28"/>
      <c r="SQB14" s="28"/>
      <c r="SQC14" s="28"/>
      <c r="SQD14" s="28"/>
      <c r="SQE14" s="28"/>
      <c r="SQF14" s="28"/>
      <c r="SQG14" s="28"/>
      <c r="SQH14" s="28"/>
      <c r="SQI14" s="28"/>
      <c r="SQJ14" s="28"/>
      <c r="SQK14" s="28"/>
      <c r="SQL14" s="28"/>
      <c r="SQM14" s="28"/>
      <c r="SQN14" s="28"/>
      <c r="SQO14" s="28"/>
      <c r="SQP14" s="28"/>
      <c r="SQQ14" s="28"/>
      <c r="SQR14" s="28"/>
      <c r="SQS14" s="28"/>
      <c r="SQT14" s="28"/>
      <c r="SQU14" s="28"/>
      <c r="SQV14" s="28"/>
      <c r="SQW14" s="28"/>
      <c r="SQX14" s="28"/>
      <c r="SQY14" s="28"/>
      <c r="SQZ14" s="28"/>
      <c r="SRA14" s="28"/>
      <c r="SRB14" s="28"/>
      <c r="SRC14" s="28"/>
      <c r="SRD14" s="28"/>
      <c r="SRE14" s="28"/>
      <c r="SRF14" s="28"/>
      <c r="SRG14" s="28"/>
      <c r="SRH14" s="28"/>
      <c r="SRI14" s="28"/>
      <c r="SRJ14" s="28"/>
      <c r="SRK14" s="28"/>
      <c r="SRL14" s="28"/>
      <c r="SRM14" s="28"/>
      <c r="SRN14" s="28"/>
      <c r="SRO14" s="28"/>
      <c r="SRP14" s="28"/>
      <c r="SRQ14" s="28"/>
      <c r="SRR14" s="28"/>
      <c r="SRS14" s="28"/>
      <c r="SRT14" s="28"/>
      <c r="SRU14" s="28"/>
      <c r="SRV14" s="28"/>
      <c r="SRW14" s="28"/>
      <c r="SRX14" s="28"/>
      <c r="SRY14" s="28"/>
      <c r="SRZ14" s="28"/>
      <c r="SSA14" s="28"/>
      <c r="SSB14" s="28"/>
      <c r="SSC14" s="28"/>
      <c r="SSD14" s="28"/>
      <c r="SSE14" s="28"/>
      <c r="SSF14" s="28"/>
      <c r="SSG14" s="28"/>
      <c r="SSH14" s="28"/>
      <c r="SSI14" s="28"/>
      <c r="SSJ14" s="28"/>
      <c r="SSK14" s="28"/>
      <c r="SSL14" s="28"/>
      <c r="SSM14" s="28"/>
      <c r="SSN14" s="28"/>
      <c r="SSO14" s="28"/>
      <c r="SSP14" s="28"/>
      <c r="SSQ14" s="28"/>
      <c r="SSR14" s="28"/>
      <c r="SSS14" s="28"/>
      <c r="SST14" s="28"/>
      <c r="SSU14" s="28"/>
      <c r="SSV14" s="28"/>
      <c r="SSW14" s="28"/>
      <c r="SSX14" s="28"/>
      <c r="SSY14" s="28"/>
      <c r="SSZ14" s="28"/>
      <c r="STA14" s="28"/>
      <c r="STB14" s="28"/>
      <c r="STC14" s="28"/>
      <c r="STD14" s="28"/>
      <c r="STE14" s="28"/>
      <c r="STF14" s="28"/>
      <c r="STG14" s="28"/>
      <c r="STH14" s="28"/>
      <c r="STI14" s="28"/>
      <c r="STJ14" s="28"/>
      <c r="STK14" s="28"/>
      <c r="STL14" s="28"/>
      <c r="STM14" s="28"/>
      <c r="STN14" s="28"/>
      <c r="STO14" s="28"/>
      <c r="STP14" s="28"/>
      <c r="STQ14" s="28"/>
      <c r="STR14" s="28"/>
      <c r="STS14" s="28"/>
      <c r="STT14" s="28"/>
      <c r="STU14" s="28"/>
      <c r="STV14" s="28"/>
      <c r="STW14" s="28"/>
      <c r="STX14" s="28"/>
      <c r="STY14" s="28"/>
      <c r="STZ14" s="28"/>
      <c r="SUA14" s="28"/>
      <c r="SUB14" s="28"/>
      <c r="SUC14" s="28"/>
      <c r="SUD14" s="28"/>
      <c r="SUE14" s="28"/>
      <c r="SUF14" s="28"/>
      <c r="SUG14" s="28"/>
      <c r="SUH14" s="28"/>
      <c r="SUI14" s="28"/>
      <c r="SUJ14" s="28"/>
      <c r="SUK14" s="28"/>
      <c r="SUL14" s="28"/>
      <c r="SUM14" s="28"/>
      <c r="SUN14" s="28"/>
      <c r="SUO14" s="28"/>
      <c r="SUP14" s="28"/>
      <c r="SUQ14" s="28"/>
      <c r="SUR14" s="28"/>
      <c r="SUS14" s="28"/>
      <c r="SUT14" s="28"/>
      <c r="SUU14" s="28"/>
      <c r="SUV14" s="28"/>
      <c r="SUW14" s="28"/>
      <c r="SUX14" s="28"/>
      <c r="SUY14" s="28"/>
      <c r="SUZ14" s="28"/>
      <c r="SVA14" s="28"/>
      <c r="SVB14" s="28"/>
      <c r="SVC14" s="28"/>
      <c r="SVD14" s="28"/>
      <c r="SVE14" s="28"/>
      <c r="SVF14" s="28"/>
      <c r="SVG14" s="28"/>
      <c r="SVH14" s="28"/>
      <c r="SVI14" s="28"/>
      <c r="SVJ14" s="28"/>
      <c r="SVK14" s="28"/>
      <c r="SVL14" s="28"/>
      <c r="SVM14" s="28"/>
      <c r="SVN14" s="28"/>
      <c r="SVO14" s="28"/>
      <c r="SVP14" s="28"/>
      <c r="SVQ14" s="28"/>
      <c r="SVR14" s="28"/>
      <c r="SVS14" s="28"/>
      <c r="SVT14" s="28"/>
      <c r="SVU14" s="28"/>
      <c r="SVV14" s="28"/>
      <c r="SVW14" s="28"/>
      <c r="SVX14" s="28"/>
      <c r="SVY14" s="28"/>
      <c r="SVZ14" s="28"/>
      <c r="SWA14" s="28"/>
      <c r="SWB14" s="28"/>
      <c r="SWC14" s="28"/>
      <c r="SWD14" s="28"/>
      <c r="SWE14" s="28"/>
      <c r="SWF14" s="28"/>
      <c r="SWG14" s="28"/>
      <c r="SWH14" s="28"/>
      <c r="SWI14" s="28"/>
      <c r="SWJ14" s="28"/>
      <c r="SWK14" s="28"/>
      <c r="SWL14" s="28"/>
      <c r="SWM14" s="28"/>
      <c r="SWN14" s="28"/>
      <c r="SWO14" s="28"/>
      <c r="SWP14" s="28"/>
      <c r="SWQ14" s="28"/>
      <c r="SWR14" s="28"/>
      <c r="SWS14" s="28"/>
      <c r="SWT14" s="28"/>
      <c r="SWU14" s="28"/>
      <c r="SWV14" s="28"/>
      <c r="SWW14" s="28"/>
      <c r="SWX14" s="28"/>
      <c r="SWY14" s="28"/>
      <c r="SWZ14" s="28"/>
      <c r="SXA14" s="28"/>
      <c r="SXB14" s="28"/>
      <c r="SXC14" s="28"/>
      <c r="SXD14" s="28"/>
      <c r="SXE14" s="28"/>
      <c r="SXF14" s="28"/>
      <c r="SXG14" s="28"/>
      <c r="SXH14" s="28"/>
      <c r="SXI14" s="28"/>
      <c r="SXJ14" s="28"/>
      <c r="SXK14" s="28"/>
      <c r="SXL14" s="28"/>
      <c r="SXM14" s="28"/>
      <c r="SXN14" s="28"/>
      <c r="SXO14" s="28"/>
      <c r="SXP14" s="28"/>
      <c r="SXQ14" s="28"/>
      <c r="SXR14" s="28"/>
      <c r="SXS14" s="28"/>
      <c r="SXT14" s="28"/>
      <c r="SXU14" s="28"/>
      <c r="SXV14" s="28"/>
      <c r="SXW14" s="28"/>
      <c r="SXX14" s="28"/>
      <c r="SXY14" s="28"/>
      <c r="SXZ14" s="28"/>
      <c r="SYA14" s="28"/>
      <c r="SYB14" s="28"/>
      <c r="SYC14" s="28"/>
      <c r="SYD14" s="28"/>
      <c r="SYE14" s="28"/>
      <c r="SYF14" s="28"/>
      <c r="SYG14" s="28"/>
      <c r="SYH14" s="28"/>
      <c r="SYI14" s="28"/>
      <c r="SYJ14" s="28"/>
      <c r="SYK14" s="28"/>
      <c r="SYL14" s="28"/>
      <c r="SYM14" s="28"/>
      <c r="SYN14" s="28"/>
      <c r="SYO14" s="28"/>
      <c r="SYP14" s="28"/>
      <c r="SYQ14" s="28"/>
      <c r="SYR14" s="28"/>
      <c r="SYS14" s="28"/>
      <c r="SYT14" s="28"/>
      <c r="SYU14" s="28"/>
      <c r="SYV14" s="28"/>
      <c r="SYW14" s="28"/>
      <c r="SYX14" s="28"/>
      <c r="SYY14" s="28"/>
      <c r="SYZ14" s="28"/>
      <c r="SZA14" s="28"/>
      <c r="SZB14" s="28"/>
      <c r="SZC14" s="28"/>
      <c r="SZD14" s="28"/>
      <c r="SZE14" s="28"/>
      <c r="SZF14" s="28"/>
      <c r="SZG14" s="28"/>
      <c r="SZH14" s="28"/>
      <c r="SZI14" s="28"/>
      <c r="SZJ14" s="28"/>
      <c r="SZK14" s="28"/>
      <c r="SZL14" s="28"/>
      <c r="SZM14" s="28"/>
      <c r="SZN14" s="28"/>
      <c r="SZO14" s="28"/>
      <c r="SZP14" s="28"/>
      <c r="SZQ14" s="28"/>
      <c r="SZR14" s="28"/>
      <c r="SZS14" s="28"/>
      <c r="SZT14" s="28"/>
      <c r="SZU14" s="28"/>
      <c r="SZV14" s="28"/>
      <c r="SZW14" s="28"/>
      <c r="SZX14" s="28"/>
      <c r="SZY14" s="28"/>
      <c r="SZZ14" s="28"/>
      <c r="TAA14" s="28"/>
      <c r="TAB14" s="28"/>
      <c r="TAC14" s="28"/>
      <c r="TAD14" s="28"/>
      <c r="TAE14" s="28"/>
      <c r="TAF14" s="28"/>
      <c r="TAG14" s="28"/>
      <c r="TAH14" s="28"/>
      <c r="TAI14" s="28"/>
      <c r="TAJ14" s="28"/>
      <c r="TAK14" s="28"/>
      <c r="TAL14" s="28"/>
      <c r="TAM14" s="28"/>
      <c r="TAN14" s="28"/>
      <c r="TAO14" s="28"/>
      <c r="TAP14" s="28"/>
      <c r="TAQ14" s="28"/>
      <c r="TAR14" s="28"/>
      <c r="TAS14" s="28"/>
      <c r="TAT14" s="28"/>
      <c r="TAU14" s="28"/>
      <c r="TAV14" s="28"/>
      <c r="TAW14" s="28"/>
      <c r="TAX14" s="28"/>
      <c r="TAY14" s="28"/>
      <c r="TAZ14" s="28"/>
      <c r="TBA14" s="28"/>
      <c r="TBB14" s="28"/>
      <c r="TBC14" s="28"/>
      <c r="TBD14" s="28"/>
      <c r="TBE14" s="28"/>
      <c r="TBF14" s="28"/>
      <c r="TBG14" s="28"/>
      <c r="TBH14" s="28"/>
      <c r="TBI14" s="28"/>
      <c r="TBJ14" s="28"/>
      <c r="TBK14" s="28"/>
      <c r="TBL14" s="28"/>
      <c r="TBM14" s="28"/>
      <c r="TBN14" s="28"/>
      <c r="TBO14" s="28"/>
      <c r="TBP14" s="28"/>
      <c r="TBQ14" s="28"/>
      <c r="TBR14" s="28"/>
      <c r="TBS14" s="28"/>
      <c r="TBT14" s="28"/>
      <c r="TBU14" s="28"/>
      <c r="TBV14" s="28"/>
      <c r="TBW14" s="28"/>
      <c r="TBX14" s="28"/>
      <c r="TBY14" s="28"/>
      <c r="TBZ14" s="28"/>
      <c r="TCA14" s="28"/>
      <c r="TCB14" s="28"/>
      <c r="TCC14" s="28"/>
      <c r="TCD14" s="28"/>
      <c r="TCE14" s="28"/>
      <c r="TCF14" s="28"/>
      <c r="TCG14" s="28"/>
      <c r="TCH14" s="28"/>
      <c r="TCI14" s="28"/>
      <c r="TCJ14" s="28"/>
      <c r="TCK14" s="28"/>
      <c r="TCL14" s="28"/>
      <c r="TCM14" s="28"/>
      <c r="TCN14" s="28"/>
      <c r="TCO14" s="28"/>
      <c r="TCP14" s="28"/>
      <c r="TCQ14" s="28"/>
      <c r="TCR14" s="28"/>
      <c r="TCS14" s="28"/>
      <c r="TCT14" s="28"/>
      <c r="TCU14" s="28"/>
      <c r="TCV14" s="28"/>
      <c r="TCW14" s="28"/>
      <c r="TCX14" s="28"/>
      <c r="TCY14" s="28"/>
      <c r="TCZ14" s="28"/>
      <c r="TDA14" s="28"/>
      <c r="TDB14" s="28"/>
      <c r="TDC14" s="28"/>
      <c r="TDD14" s="28"/>
      <c r="TDE14" s="28"/>
      <c r="TDF14" s="28"/>
      <c r="TDG14" s="28"/>
      <c r="TDH14" s="28"/>
      <c r="TDI14" s="28"/>
      <c r="TDJ14" s="28"/>
      <c r="TDK14" s="28"/>
      <c r="TDL14" s="28"/>
      <c r="TDM14" s="28"/>
      <c r="TDN14" s="28"/>
      <c r="TDO14" s="28"/>
      <c r="TDP14" s="28"/>
      <c r="TDQ14" s="28"/>
      <c r="TDR14" s="28"/>
      <c r="TDS14" s="28"/>
      <c r="TDT14" s="28"/>
      <c r="TDU14" s="28"/>
      <c r="TDV14" s="28"/>
      <c r="TDW14" s="28"/>
      <c r="TDX14" s="28"/>
      <c r="TDY14" s="28"/>
      <c r="TDZ14" s="28"/>
      <c r="TEA14" s="28"/>
      <c r="TEB14" s="28"/>
      <c r="TEC14" s="28"/>
      <c r="TED14" s="28"/>
      <c r="TEE14" s="28"/>
      <c r="TEF14" s="28"/>
      <c r="TEG14" s="28"/>
      <c r="TEH14" s="28"/>
      <c r="TEI14" s="28"/>
      <c r="TEJ14" s="28"/>
      <c r="TEK14" s="28"/>
      <c r="TEL14" s="28"/>
      <c r="TEM14" s="28"/>
      <c r="TEN14" s="28"/>
      <c r="TEO14" s="28"/>
      <c r="TEP14" s="28"/>
      <c r="TEQ14" s="28"/>
      <c r="TER14" s="28"/>
      <c r="TES14" s="28"/>
      <c r="TET14" s="28"/>
      <c r="TEU14" s="28"/>
      <c r="TEV14" s="28"/>
      <c r="TEW14" s="28"/>
      <c r="TEX14" s="28"/>
      <c r="TEY14" s="28"/>
      <c r="TEZ14" s="28"/>
      <c r="TFA14" s="28"/>
      <c r="TFB14" s="28"/>
      <c r="TFC14" s="28"/>
      <c r="TFD14" s="28"/>
      <c r="TFE14" s="28"/>
      <c r="TFF14" s="28"/>
      <c r="TFG14" s="28"/>
      <c r="TFH14" s="28"/>
      <c r="TFI14" s="28"/>
      <c r="TFJ14" s="28"/>
      <c r="TFK14" s="28"/>
      <c r="TFL14" s="28"/>
      <c r="TFM14" s="28"/>
      <c r="TFN14" s="28"/>
      <c r="TFO14" s="28"/>
      <c r="TFP14" s="28"/>
      <c r="TFQ14" s="28"/>
      <c r="TFR14" s="28"/>
      <c r="TFS14" s="28"/>
      <c r="TFT14" s="28"/>
      <c r="TFU14" s="28"/>
      <c r="TFV14" s="28"/>
      <c r="TFW14" s="28"/>
      <c r="TFX14" s="28"/>
      <c r="TFY14" s="28"/>
      <c r="TFZ14" s="28"/>
      <c r="TGA14" s="28"/>
      <c r="TGB14" s="28"/>
      <c r="TGC14" s="28"/>
      <c r="TGD14" s="28"/>
      <c r="TGE14" s="28"/>
      <c r="TGF14" s="28"/>
      <c r="TGG14" s="28"/>
      <c r="TGH14" s="28"/>
      <c r="TGI14" s="28"/>
      <c r="TGJ14" s="28"/>
      <c r="TGK14" s="28"/>
      <c r="TGL14" s="28"/>
      <c r="TGM14" s="28"/>
      <c r="TGN14" s="28"/>
      <c r="TGO14" s="28"/>
      <c r="TGP14" s="28"/>
      <c r="TGQ14" s="28"/>
      <c r="TGR14" s="28"/>
      <c r="TGS14" s="28"/>
      <c r="TGT14" s="28"/>
      <c r="TGU14" s="28"/>
      <c r="TGV14" s="28"/>
      <c r="TGW14" s="28"/>
      <c r="TGX14" s="28"/>
      <c r="TGY14" s="28"/>
      <c r="TGZ14" s="28"/>
      <c r="THA14" s="28"/>
      <c r="THB14" s="28"/>
      <c r="THC14" s="28"/>
      <c r="THD14" s="28"/>
      <c r="THE14" s="28"/>
      <c r="THF14" s="28"/>
      <c r="THG14" s="28"/>
      <c r="THH14" s="28"/>
      <c r="THI14" s="28"/>
      <c r="THJ14" s="28"/>
      <c r="THK14" s="28"/>
      <c r="THL14" s="28"/>
      <c r="THM14" s="28"/>
      <c r="THN14" s="28"/>
      <c r="THO14" s="28"/>
      <c r="THP14" s="28"/>
      <c r="THQ14" s="28"/>
      <c r="THR14" s="28"/>
      <c r="THS14" s="28"/>
      <c r="THT14" s="28"/>
      <c r="THU14" s="28"/>
      <c r="THV14" s="28"/>
      <c r="THW14" s="28"/>
      <c r="THX14" s="28"/>
      <c r="THY14" s="28"/>
      <c r="THZ14" s="28"/>
      <c r="TIA14" s="28"/>
      <c r="TIB14" s="28"/>
      <c r="TIC14" s="28"/>
      <c r="TID14" s="28"/>
      <c r="TIE14" s="28"/>
      <c r="TIF14" s="28"/>
      <c r="TIG14" s="28"/>
      <c r="TIH14" s="28"/>
      <c r="TII14" s="28"/>
      <c r="TIJ14" s="28"/>
      <c r="TIK14" s="28"/>
      <c r="TIL14" s="28"/>
      <c r="TIM14" s="28"/>
      <c r="TIN14" s="28"/>
      <c r="TIO14" s="28"/>
      <c r="TIP14" s="28"/>
      <c r="TIQ14" s="28"/>
      <c r="TIR14" s="28"/>
      <c r="TIS14" s="28"/>
      <c r="TIT14" s="28"/>
      <c r="TIU14" s="28"/>
      <c r="TIV14" s="28"/>
      <c r="TIW14" s="28"/>
      <c r="TIX14" s="28"/>
      <c r="TIY14" s="28"/>
      <c r="TIZ14" s="28"/>
      <c r="TJA14" s="28"/>
      <c r="TJB14" s="28"/>
      <c r="TJC14" s="28"/>
      <c r="TJD14" s="28"/>
      <c r="TJE14" s="28"/>
      <c r="TJF14" s="28"/>
      <c r="TJG14" s="28"/>
      <c r="TJH14" s="28"/>
      <c r="TJI14" s="28"/>
      <c r="TJJ14" s="28"/>
      <c r="TJK14" s="28"/>
      <c r="TJL14" s="28"/>
      <c r="TJM14" s="28"/>
      <c r="TJN14" s="28"/>
      <c r="TJO14" s="28"/>
      <c r="TJP14" s="28"/>
      <c r="TJQ14" s="28"/>
      <c r="TJR14" s="28"/>
      <c r="TJS14" s="28"/>
      <c r="TJT14" s="28"/>
      <c r="TJU14" s="28"/>
      <c r="TJV14" s="28"/>
      <c r="TJW14" s="28"/>
      <c r="TJX14" s="28"/>
      <c r="TJY14" s="28"/>
      <c r="TJZ14" s="28"/>
      <c r="TKA14" s="28"/>
      <c r="TKB14" s="28"/>
      <c r="TKC14" s="28"/>
      <c r="TKD14" s="28"/>
      <c r="TKE14" s="28"/>
      <c r="TKF14" s="28"/>
      <c r="TKG14" s="28"/>
      <c r="TKH14" s="28"/>
      <c r="TKI14" s="28"/>
      <c r="TKJ14" s="28"/>
      <c r="TKK14" s="28"/>
      <c r="TKL14" s="28"/>
      <c r="TKM14" s="28"/>
      <c r="TKN14" s="28"/>
      <c r="TKO14" s="28"/>
      <c r="TKP14" s="28"/>
      <c r="TKQ14" s="28"/>
      <c r="TKR14" s="28"/>
      <c r="TKS14" s="28"/>
      <c r="TKT14" s="28"/>
      <c r="TKU14" s="28"/>
      <c r="TKV14" s="28"/>
      <c r="TKW14" s="28"/>
      <c r="TKX14" s="28"/>
      <c r="TKY14" s="28"/>
      <c r="TKZ14" s="28"/>
      <c r="TLA14" s="28"/>
      <c r="TLB14" s="28"/>
      <c r="TLC14" s="28"/>
      <c r="TLD14" s="28"/>
      <c r="TLE14" s="28"/>
      <c r="TLF14" s="28"/>
      <c r="TLG14" s="28"/>
      <c r="TLH14" s="28"/>
      <c r="TLI14" s="28"/>
      <c r="TLJ14" s="28"/>
      <c r="TLK14" s="28"/>
      <c r="TLL14" s="28"/>
      <c r="TLM14" s="28"/>
      <c r="TLN14" s="28"/>
      <c r="TLO14" s="28"/>
      <c r="TLP14" s="28"/>
      <c r="TLQ14" s="28"/>
      <c r="TLR14" s="28"/>
      <c r="TLS14" s="28"/>
      <c r="TLT14" s="28"/>
      <c r="TLU14" s="28"/>
      <c r="TLV14" s="28"/>
      <c r="TLW14" s="28"/>
      <c r="TLX14" s="28"/>
      <c r="TLY14" s="28"/>
      <c r="TLZ14" s="28"/>
      <c r="TMA14" s="28"/>
      <c r="TMB14" s="28"/>
      <c r="TMC14" s="28"/>
      <c r="TMD14" s="28"/>
      <c r="TME14" s="28"/>
      <c r="TMF14" s="28"/>
      <c r="TMG14" s="28"/>
      <c r="TMH14" s="28"/>
      <c r="TMI14" s="28"/>
      <c r="TMJ14" s="28"/>
      <c r="TMK14" s="28"/>
      <c r="TML14" s="28"/>
      <c r="TMM14" s="28"/>
      <c r="TMN14" s="28"/>
      <c r="TMO14" s="28"/>
      <c r="TMP14" s="28"/>
      <c r="TMQ14" s="28"/>
      <c r="TMR14" s="28"/>
      <c r="TMS14" s="28"/>
      <c r="TMT14" s="28"/>
      <c r="TMU14" s="28"/>
      <c r="TMV14" s="28"/>
      <c r="TMW14" s="28"/>
      <c r="TMX14" s="28"/>
      <c r="TMY14" s="28"/>
      <c r="TMZ14" s="28"/>
      <c r="TNA14" s="28"/>
      <c r="TNB14" s="28"/>
      <c r="TNC14" s="28"/>
      <c r="TND14" s="28"/>
      <c r="TNE14" s="28"/>
      <c r="TNF14" s="28"/>
      <c r="TNG14" s="28"/>
      <c r="TNH14" s="28"/>
      <c r="TNI14" s="28"/>
      <c r="TNJ14" s="28"/>
      <c r="TNK14" s="28"/>
      <c r="TNL14" s="28"/>
      <c r="TNM14" s="28"/>
      <c r="TNN14" s="28"/>
      <c r="TNO14" s="28"/>
      <c r="TNP14" s="28"/>
      <c r="TNQ14" s="28"/>
      <c r="TNR14" s="28"/>
      <c r="TNS14" s="28"/>
      <c r="TNT14" s="28"/>
      <c r="TNU14" s="28"/>
      <c r="TNV14" s="28"/>
      <c r="TNW14" s="28"/>
      <c r="TNX14" s="28"/>
      <c r="TNY14" s="28"/>
      <c r="TNZ14" s="28"/>
      <c r="TOA14" s="28"/>
      <c r="TOB14" s="28"/>
      <c r="TOC14" s="28"/>
      <c r="TOD14" s="28"/>
      <c r="TOE14" s="28"/>
      <c r="TOF14" s="28"/>
      <c r="TOG14" s="28"/>
      <c r="TOH14" s="28"/>
      <c r="TOI14" s="28"/>
      <c r="TOJ14" s="28"/>
      <c r="TOK14" s="28"/>
      <c r="TOL14" s="28"/>
      <c r="TOM14" s="28"/>
      <c r="TON14" s="28"/>
      <c r="TOO14" s="28"/>
      <c r="TOP14" s="28"/>
      <c r="TOQ14" s="28"/>
      <c r="TOR14" s="28"/>
      <c r="TOS14" s="28"/>
      <c r="TOT14" s="28"/>
      <c r="TOU14" s="28"/>
      <c r="TOV14" s="28"/>
      <c r="TOW14" s="28"/>
      <c r="TOX14" s="28"/>
      <c r="TOY14" s="28"/>
      <c r="TOZ14" s="28"/>
      <c r="TPA14" s="28"/>
      <c r="TPB14" s="28"/>
      <c r="TPC14" s="28"/>
      <c r="TPD14" s="28"/>
      <c r="TPE14" s="28"/>
      <c r="TPF14" s="28"/>
      <c r="TPG14" s="28"/>
      <c r="TPH14" s="28"/>
      <c r="TPI14" s="28"/>
      <c r="TPJ14" s="28"/>
      <c r="TPK14" s="28"/>
      <c r="TPL14" s="28"/>
      <c r="TPM14" s="28"/>
      <c r="TPN14" s="28"/>
      <c r="TPO14" s="28"/>
      <c r="TPP14" s="28"/>
      <c r="TPQ14" s="28"/>
      <c r="TPR14" s="28"/>
      <c r="TPS14" s="28"/>
      <c r="TPT14" s="28"/>
      <c r="TPU14" s="28"/>
      <c r="TPV14" s="28"/>
      <c r="TPW14" s="28"/>
      <c r="TPX14" s="28"/>
      <c r="TPY14" s="28"/>
      <c r="TPZ14" s="28"/>
      <c r="TQA14" s="28"/>
      <c r="TQB14" s="28"/>
      <c r="TQC14" s="28"/>
      <c r="TQD14" s="28"/>
      <c r="TQE14" s="28"/>
      <c r="TQF14" s="28"/>
      <c r="TQG14" s="28"/>
      <c r="TQH14" s="28"/>
      <c r="TQI14" s="28"/>
      <c r="TQJ14" s="28"/>
      <c r="TQK14" s="28"/>
      <c r="TQL14" s="28"/>
      <c r="TQM14" s="28"/>
      <c r="TQN14" s="28"/>
      <c r="TQO14" s="28"/>
      <c r="TQP14" s="28"/>
      <c r="TQQ14" s="28"/>
      <c r="TQR14" s="28"/>
      <c r="TQS14" s="28"/>
      <c r="TQT14" s="28"/>
      <c r="TQU14" s="28"/>
      <c r="TQV14" s="28"/>
      <c r="TQW14" s="28"/>
      <c r="TQX14" s="28"/>
      <c r="TQY14" s="28"/>
      <c r="TQZ14" s="28"/>
      <c r="TRA14" s="28"/>
      <c r="TRB14" s="28"/>
      <c r="TRC14" s="28"/>
      <c r="TRD14" s="28"/>
      <c r="TRE14" s="28"/>
      <c r="TRF14" s="28"/>
      <c r="TRG14" s="28"/>
      <c r="TRH14" s="28"/>
      <c r="TRI14" s="28"/>
      <c r="TRJ14" s="28"/>
      <c r="TRK14" s="28"/>
      <c r="TRL14" s="28"/>
      <c r="TRM14" s="28"/>
      <c r="TRN14" s="28"/>
      <c r="TRO14" s="28"/>
      <c r="TRP14" s="28"/>
      <c r="TRQ14" s="28"/>
      <c r="TRR14" s="28"/>
      <c r="TRS14" s="28"/>
      <c r="TRT14" s="28"/>
      <c r="TRU14" s="28"/>
      <c r="TRV14" s="28"/>
      <c r="TRW14" s="28"/>
      <c r="TRX14" s="28"/>
      <c r="TRY14" s="28"/>
      <c r="TRZ14" s="28"/>
      <c r="TSA14" s="28"/>
      <c r="TSB14" s="28"/>
      <c r="TSC14" s="28"/>
      <c r="TSD14" s="28"/>
      <c r="TSE14" s="28"/>
      <c r="TSF14" s="28"/>
      <c r="TSG14" s="28"/>
      <c r="TSH14" s="28"/>
      <c r="TSI14" s="28"/>
      <c r="TSJ14" s="28"/>
      <c r="TSK14" s="28"/>
      <c r="TSL14" s="28"/>
      <c r="TSM14" s="28"/>
      <c r="TSN14" s="28"/>
      <c r="TSO14" s="28"/>
      <c r="TSP14" s="28"/>
      <c r="TSQ14" s="28"/>
      <c r="TSR14" s="28"/>
      <c r="TSS14" s="28"/>
      <c r="TST14" s="28"/>
      <c r="TSU14" s="28"/>
      <c r="TSV14" s="28"/>
      <c r="TSW14" s="28"/>
      <c r="TSX14" s="28"/>
      <c r="TSY14" s="28"/>
      <c r="TSZ14" s="28"/>
      <c r="TTA14" s="28"/>
      <c r="TTB14" s="28"/>
      <c r="TTC14" s="28"/>
      <c r="TTD14" s="28"/>
      <c r="TTE14" s="28"/>
      <c r="TTF14" s="28"/>
      <c r="TTG14" s="28"/>
      <c r="TTH14" s="28"/>
      <c r="TTI14" s="28"/>
      <c r="TTJ14" s="28"/>
      <c r="TTK14" s="28"/>
      <c r="TTL14" s="28"/>
      <c r="TTM14" s="28"/>
      <c r="TTN14" s="28"/>
      <c r="TTO14" s="28"/>
      <c r="TTP14" s="28"/>
      <c r="TTQ14" s="28"/>
      <c r="TTR14" s="28"/>
      <c r="TTS14" s="28"/>
      <c r="TTT14" s="28"/>
      <c r="TTU14" s="28"/>
      <c r="TTV14" s="28"/>
      <c r="TTW14" s="28"/>
      <c r="TTX14" s="28"/>
      <c r="TTY14" s="28"/>
      <c r="TTZ14" s="28"/>
      <c r="TUA14" s="28"/>
      <c r="TUB14" s="28"/>
      <c r="TUC14" s="28"/>
      <c r="TUD14" s="28"/>
      <c r="TUE14" s="28"/>
      <c r="TUF14" s="28"/>
      <c r="TUG14" s="28"/>
      <c r="TUH14" s="28"/>
      <c r="TUI14" s="28"/>
      <c r="TUJ14" s="28"/>
      <c r="TUK14" s="28"/>
      <c r="TUL14" s="28"/>
      <c r="TUM14" s="28"/>
      <c r="TUN14" s="28"/>
      <c r="TUO14" s="28"/>
      <c r="TUP14" s="28"/>
      <c r="TUQ14" s="28"/>
      <c r="TUR14" s="28"/>
      <c r="TUS14" s="28"/>
      <c r="TUT14" s="28"/>
      <c r="TUU14" s="28"/>
      <c r="TUV14" s="28"/>
      <c r="TUW14" s="28"/>
      <c r="TUX14" s="28"/>
      <c r="TUY14" s="28"/>
      <c r="TUZ14" s="28"/>
      <c r="TVA14" s="28"/>
      <c r="TVB14" s="28"/>
      <c r="TVC14" s="28"/>
      <c r="TVD14" s="28"/>
      <c r="TVE14" s="28"/>
      <c r="TVF14" s="28"/>
      <c r="TVG14" s="28"/>
      <c r="TVH14" s="28"/>
      <c r="TVI14" s="28"/>
      <c r="TVJ14" s="28"/>
      <c r="TVK14" s="28"/>
      <c r="TVL14" s="28"/>
      <c r="TVM14" s="28"/>
      <c r="TVN14" s="28"/>
      <c r="TVO14" s="28"/>
      <c r="TVP14" s="28"/>
      <c r="TVQ14" s="28"/>
      <c r="TVR14" s="28"/>
      <c r="TVS14" s="28"/>
      <c r="TVT14" s="28"/>
      <c r="TVU14" s="28"/>
      <c r="TVV14" s="28"/>
      <c r="TVW14" s="28"/>
      <c r="TVX14" s="28"/>
      <c r="TVY14" s="28"/>
      <c r="TVZ14" s="28"/>
      <c r="TWA14" s="28"/>
      <c r="TWB14" s="28"/>
      <c r="TWC14" s="28"/>
      <c r="TWD14" s="28"/>
      <c r="TWE14" s="28"/>
      <c r="TWF14" s="28"/>
      <c r="TWG14" s="28"/>
      <c r="TWH14" s="28"/>
      <c r="TWI14" s="28"/>
      <c r="TWJ14" s="28"/>
      <c r="TWK14" s="28"/>
      <c r="TWL14" s="28"/>
      <c r="TWM14" s="28"/>
      <c r="TWN14" s="28"/>
      <c r="TWO14" s="28"/>
      <c r="TWP14" s="28"/>
      <c r="TWQ14" s="28"/>
      <c r="TWR14" s="28"/>
      <c r="TWS14" s="28"/>
      <c r="TWT14" s="28"/>
      <c r="TWU14" s="28"/>
      <c r="TWV14" s="28"/>
      <c r="TWW14" s="28"/>
      <c r="TWX14" s="28"/>
      <c r="TWY14" s="28"/>
      <c r="TWZ14" s="28"/>
      <c r="TXA14" s="28"/>
      <c r="TXB14" s="28"/>
      <c r="TXC14" s="28"/>
      <c r="TXD14" s="28"/>
      <c r="TXE14" s="28"/>
      <c r="TXF14" s="28"/>
      <c r="TXG14" s="28"/>
      <c r="TXH14" s="28"/>
      <c r="TXI14" s="28"/>
      <c r="TXJ14" s="28"/>
      <c r="TXK14" s="28"/>
      <c r="TXL14" s="28"/>
      <c r="TXM14" s="28"/>
      <c r="TXN14" s="28"/>
      <c r="TXO14" s="28"/>
      <c r="TXP14" s="28"/>
      <c r="TXQ14" s="28"/>
      <c r="TXR14" s="28"/>
      <c r="TXS14" s="28"/>
      <c r="TXT14" s="28"/>
      <c r="TXU14" s="28"/>
      <c r="TXV14" s="28"/>
      <c r="TXW14" s="28"/>
      <c r="TXX14" s="28"/>
      <c r="TXY14" s="28"/>
      <c r="TXZ14" s="28"/>
      <c r="TYA14" s="28"/>
      <c r="TYB14" s="28"/>
      <c r="TYC14" s="28"/>
      <c r="TYD14" s="28"/>
      <c r="TYE14" s="28"/>
      <c r="TYF14" s="28"/>
      <c r="TYG14" s="28"/>
      <c r="TYH14" s="28"/>
      <c r="TYI14" s="28"/>
      <c r="TYJ14" s="28"/>
      <c r="TYK14" s="28"/>
      <c r="TYL14" s="28"/>
      <c r="TYM14" s="28"/>
      <c r="TYN14" s="28"/>
      <c r="TYO14" s="28"/>
      <c r="TYP14" s="28"/>
      <c r="TYQ14" s="28"/>
      <c r="TYR14" s="28"/>
      <c r="TYS14" s="28"/>
      <c r="TYT14" s="28"/>
      <c r="TYU14" s="28"/>
      <c r="TYV14" s="28"/>
      <c r="TYW14" s="28"/>
      <c r="TYX14" s="28"/>
      <c r="TYY14" s="28"/>
      <c r="TYZ14" s="28"/>
      <c r="TZA14" s="28"/>
      <c r="TZB14" s="28"/>
      <c r="TZC14" s="28"/>
      <c r="TZD14" s="28"/>
      <c r="TZE14" s="28"/>
      <c r="TZF14" s="28"/>
      <c r="TZG14" s="28"/>
      <c r="TZH14" s="28"/>
      <c r="TZI14" s="28"/>
      <c r="TZJ14" s="28"/>
      <c r="TZK14" s="28"/>
      <c r="TZL14" s="28"/>
      <c r="TZM14" s="28"/>
      <c r="TZN14" s="28"/>
      <c r="TZO14" s="28"/>
      <c r="TZP14" s="28"/>
      <c r="TZQ14" s="28"/>
      <c r="TZR14" s="28"/>
      <c r="TZS14" s="28"/>
      <c r="TZT14" s="28"/>
      <c r="TZU14" s="28"/>
      <c r="TZV14" s="28"/>
      <c r="TZW14" s="28"/>
      <c r="TZX14" s="28"/>
      <c r="TZY14" s="28"/>
      <c r="TZZ14" s="28"/>
      <c r="UAA14" s="28"/>
      <c r="UAB14" s="28"/>
      <c r="UAC14" s="28"/>
      <c r="UAD14" s="28"/>
      <c r="UAE14" s="28"/>
      <c r="UAF14" s="28"/>
      <c r="UAG14" s="28"/>
      <c r="UAH14" s="28"/>
      <c r="UAI14" s="28"/>
      <c r="UAJ14" s="28"/>
      <c r="UAK14" s="28"/>
      <c r="UAL14" s="28"/>
      <c r="UAM14" s="28"/>
      <c r="UAN14" s="28"/>
      <c r="UAO14" s="28"/>
      <c r="UAP14" s="28"/>
      <c r="UAQ14" s="28"/>
      <c r="UAR14" s="28"/>
      <c r="UAS14" s="28"/>
      <c r="UAT14" s="28"/>
      <c r="UAU14" s="28"/>
      <c r="UAV14" s="28"/>
      <c r="UAW14" s="28"/>
      <c r="UAX14" s="28"/>
      <c r="UAY14" s="28"/>
      <c r="UAZ14" s="28"/>
      <c r="UBA14" s="28"/>
      <c r="UBB14" s="28"/>
      <c r="UBC14" s="28"/>
      <c r="UBD14" s="28"/>
      <c r="UBE14" s="28"/>
      <c r="UBF14" s="28"/>
      <c r="UBG14" s="28"/>
      <c r="UBH14" s="28"/>
      <c r="UBI14" s="28"/>
      <c r="UBJ14" s="28"/>
      <c r="UBK14" s="28"/>
      <c r="UBL14" s="28"/>
      <c r="UBM14" s="28"/>
      <c r="UBN14" s="28"/>
      <c r="UBO14" s="28"/>
      <c r="UBP14" s="28"/>
      <c r="UBQ14" s="28"/>
      <c r="UBR14" s="28"/>
      <c r="UBS14" s="28"/>
      <c r="UBT14" s="28"/>
      <c r="UBU14" s="28"/>
      <c r="UBV14" s="28"/>
      <c r="UBW14" s="28"/>
      <c r="UBX14" s="28"/>
      <c r="UBY14" s="28"/>
      <c r="UBZ14" s="28"/>
      <c r="UCA14" s="28"/>
      <c r="UCB14" s="28"/>
      <c r="UCC14" s="28"/>
      <c r="UCD14" s="28"/>
      <c r="UCE14" s="28"/>
      <c r="UCF14" s="28"/>
      <c r="UCG14" s="28"/>
      <c r="UCH14" s="28"/>
      <c r="UCI14" s="28"/>
      <c r="UCJ14" s="28"/>
      <c r="UCK14" s="28"/>
      <c r="UCL14" s="28"/>
      <c r="UCM14" s="28"/>
      <c r="UCN14" s="28"/>
      <c r="UCO14" s="28"/>
      <c r="UCP14" s="28"/>
      <c r="UCQ14" s="28"/>
      <c r="UCR14" s="28"/>
      <c r="UCS14" s="28"/>
      <c r="UCT14" s="28"/>
      <c r="UCU14" s="28"/>
      <c r="UCV14" s="28"/>
      <c r="UCW14" s="28"/>
      <c r="UCX14" s="28"/>
      <c r="UCY14" s="28"/>
      <c r="UCZ14" s="28"/>
      <c r="UDA14" s="28"/>
      <c r="UDB14" s="28"/>
      <c r="UDC14" s="28"/>
      <c r="UDD14" s="28"/>
      <c r="UDE14" s="28"/>
      <c r="UDF14" s="28"/>
      <c r="UDG14" s="28"/>
      <c r="UDH14" s="28"/>
      <c r="UDI14" s="28"/>
      <c r="UDJ14" s="28"/>
      <c r="UDK14" s="28"/>
      <c r="UDL14" s="28"/>
      <c r="UDM14" s="28"/>
      <c r="UDN14" s="28"/>
      <c r="UDO14" s="28"/>
      <c r="UDP14" s="28"/>
      <c r="UDQ14" s="28"/>
      <c r="UDR14" s="28"/>
      <c r="UDS14" s="28"/>
      <c r="UDT14" s="28"/>
      <c r="UDU14" s="28"/>
      <c r="UDV14" s="28"/>
      <c r="UDW14" s="28"/>
      <c r="UDX14" s="28"/>
      <c r="UDY14" s="28"/>
      <c r="UDZ14" s="28"/>
      <c r="UEA14" s="28"/>
      <c r="UEB14" s="28"/>
      <c r="UEC14" s="28"/>
      <c r="UED14" s="28"/>
      <c r="UEE14" s="28"/>
      <c r="UEF14" s="28"/>
      <c r="UEG14" s="28"/>
      <c r="UEH14" s="28"/>
      <c r="UEI14" s="28"/>
      <c r="UEJ14" s="28"/>
      <c r="UEK14" s="28"/>
      <c r="UEL14" s="28"/>
      <c r="UEM14" s="28"/>
      <c r="UEN14" s="28"/>
      <c r="UEO14" s="28"/>
      <c r="UEP14" s="28"/>
      <c r="UEQ14" s="28"/>
      <c r="UER14" s="28"/>
      <c r="UES14" s="28"/>
      <c r="UET14" s="28"/>
      <c r="UEU14" s="28"/>
      <c r="UEV14" s="28"/>
      <c r="UEW14" s="28"/>
      <c r="UEX14" s="28"/>
      <c r="UEY14" s="28"/>
      <c r="UEZ14" s="28"/>
      <c r="UFA14" s="28"/>
      <c r="UFB14" s="28"/>
      <c r="UFC14" s="28"/>
      <c r="UFD14" s="28"/>
      <c r="UFE14" s="28"/>
      <c r="UFF14" s="28"/>
      <c r="UFG14" s="28"/>
      <c r="UFH14" s="28"/>
      <c r="UFI14" s="28"/>
      <c r="UFJ14" s="28"/>
      <c r="UFK14" s="28"/>
      <c r="UFL14" s="28"/>
      <c r="UFM14" s="28"/>
      <c r="UFN14" s="28"/>
      <c r="UFO14" s="28"/>
      <c r="UFP14" s="28"/>
      <c r="UFQ14" s="28"/>
      <c r="UFR14" s="28"/>
      <c r="UFS14" s="28"/>
      <c r="UFT14" s="28"/>
      <c r="UFU14" s="28"/>
      <c r="UFV14" s="28"/>
      <c r="UFW14" s="28"/>
      <c r="UFX14" s="28"/>
      <c r="UFY14" s="28"/>
      <c r="UFZ14" s="28"/>
      <c r="UGA14" s="28"/>
      <c r="UGB14" s="28"/>
      <c r="UGC14" s="28"/>
      <c r="UGD14" s="28"/>
      <c r="UGE14" s="28"/>
      <c r="UGF14" s="28"/>
      <c r="UGG14" s="28"/>
      <c r="UGH14" s="28"/>
      <c r="UGI14" s="28"/>
      <c r="UGJ14" s="28"/>
      <c r="UGK14" s="28"/>
      <c r="UGL14" s="28"/>
      <c r="UGM14" s="28"/>
      <c r="UGN14" s="28"/>
      <c r="UGO14" s="28"/>
      <c r="UGP14" s="28"/>
      <c r="UGQ14" s="28"/>
      <c r="UGR14" s="28"/>
      <c r="UGS14" s="28"/>
      <c r="UGT14" s="28"/>
      <c r="UGU14" s="28"/>
      <c r="UGV14" s="28"/>
      <c r="UGW14" s="28"/>
      <c r="UGX14" s="28"/>
      <c r="UGY14" s="28"/>
      <c r="UGZ14" s="28"/>
      <c r="UHA14" s="28"/>
      <c r="UHB14" s="28"/>
      <c r="UHC14" s="28"/>
      <c r="UHD14" s="28"/>
      <c r="UHE14" s="28"/>
      <c r="UHF14" s="28"/>
      <c r="UHG14" s="28"/>
      <c r="UHH14" s="28"/>
      <c r="UHI14" s="28"/>
      <c r="UHJ14" s="28"/>
      <c r="UHK14" s="28"/>
      <c r="UHL14" s="28"/>
      <c r="UHM14" s="28"/>
      <c r="UHN14" s="28"/>
      <c r="UHO14" s="28"/>
      <c r="UHP14" s="28"/>
      <c r="UHQ14" s="28"/>
      <c r="UHR14" s="28"/>
      <c r="UHS14" s="28"/>
      <c r="UHT14" s="28"/>
      <c r="UHU14" s="28"/>
      <c r="UHV14" s="28"/>
      <c r="UHW14" s="28"/>
      <c r="UHX14" s="28"/>
      <c r="UHY14" s="28"/>
      <c r="UHZ14" s="28"/>
      <c r="UIA14" s="28"/>
      <c r="UIB14" s="28"/>
      <c r="UIC14" s="28"/>
      <c r="UID14" s="28"/>
      <c r="UIE14" s="28"/>
      <c r="UIF14" s="28"/>
      <c r="UIG14" s="28"/>
      <c r="UIH14" s="28"/>
      <c r="UII14" s="28"/>
      <c r="UIJ14" s="28"/>
      <c r="UIK14" s="28"/>
      <c r="UIL14" s="28"/>
      <c r="UIM14" s="28"/>
      <c r="UIN14" s="28"/>
      <c r="UIO14" s="28"/>
      <c r="UIP14" s="28"/>
      <c r="UIQ14" s="28"/>
      <c r="UIR14" s="28"/>
      <c r="UIS14" s="28"/>
      <c r="UIT14" s="28"/>
      <c r="UIU14" s="28"/>
      <c r="UIV14" s="28"/>
      <c r="UIW14" s="28"/>
      <c r="UIX14" s="28"/>
      <c r="UIY14" s="28"/>
      <c r="UIZ14" s="28"/>
      <c r="UJA14" s="28"/>
      <c r="UJB14" s="28"/>
      <c r="UJC14" s="28"/>
      <c r="UJD14" s="28"/>
      <c r="UJE14" s="28"/>
      <c r="UJF14" s="28"/>
      <c r="UJG14" s="28"/>
      <c r="UJH14" s="28"/>
      <c r="UJI14" s="28"/>
      <c r="UJJ14" s="28"/>
      <c r="UJK14" s="28"/>
      <c r="UJL14" s="28"/>
      <c r="UJM14" s="28"/>
      <c r="UJN14" s="28"/>
      <c r="UJO14" s="28"/>
      <c r="UJP14" s="28"/>
      <c r="UJQ14" s="28"/>
      <c r="UJR14" s="28"/>
      <c r="UJS14" s="28"/>
      <c r="UJT14" s="28"/>
      <c r="UJU14" s="28"/>
      <c r="UJV14" s="28"/>
      <c r="UJW14" s="28"/>
      <c r="UJX14" s="28"/>
      <c r="UJY14" s="28"/>
      <c r="UJZ14" s="28"/>
      <c r="UKA14" s="28"/>
      <c r="UKB14" s="28"/>
      <c r="UKC14" s="28"/>
      <c r="UKD14" s="28"/>
      <c r="UKE14" s="28"/>
      <c r="UKF14" s="28"/>
      <c r="UKG14" s="28"/>
      <c r="UKH14" s="28"/>
      <c r="UKI14" s="28"/>
      <c r="UKJ14" s="28"/>
      <c r="UKK14" s="28"/>
      <c r="UKL14" s="28"/>
      <c r="UKM14" s="28"/>
      <c r="UKN14" s="28"/>
      <c r="UKO14" s="28"/>
      <c r="UKP14" s="28"/>
      <c r="UKQ14" s="28"/>
      <c r="UKR14" s="28"/>
      <c r="UKS14" s="28"/>
      <c r="UKT14" s="28"/>
      <c r="UKU14" s="28"/>
      <c r="UKV14" s="28"/>
      <c r="UKW14" s="28"/>
      <c r="UKX14" s="28"/>
      <c r="UKY14" s="28"/>
      <c r="UKZ14" s="28"/>
      <c r="ULA14" s="28"/>
      <c r="ULB14" s="28"/>
      <c r="ULC14" s="28"/>
      <c r="ULD14" s="28"/>
      <c r="ULE14" s="28"/>
      <c r="ULF14" s="28"/>
      <c r="ULG14" s="28"/>
      <c r="ULH14" s="28"/>
      <c r="ULI14" s="28"/>
      <c r="ULJ14" s="28"/>
      <c r="ULK14" s="28"/>
      <c r="ULL14" s="28"/>
      <c r="ULM14" s="28"/>
      <c r="ULN14" s="28"/>
      <c r="ULO14" s="28"/>
      <c r="ULP14" s="28"/>
      <c r="ULQ14" s="28"/>
      <c r="ULR14" s="28"/>
      <c r="ULS14" s="28"/>
      <c r="ULT14" s="28"/>
      <c r="ULU14" s="28"/>
      <c r="ULV14" s="28"/>
      <c r="ULW14" s="28"/>
      <c r="ULX14" s="28"/>
      <c r="ULY14" s="28"/>
      <c r="ULZ14" s="28"/>
      <c r="UMA14" s="28"/>
      <c r="UMB14" s="28"/>
      <c r="UMC14" s="28"/>
      <c r="UMD14" s="28"/>
      <c r="UME14" s="28"/>
      <c r="UMF14" s="28"/>
      <c r="UMG14" s="28"/>
      <c r="UMH14" s="28"/>
      <c r="UMI14" s="28"/>
      <c r="UMJ14" s="28"/>
      <c r="UMK14" s="28"/>
      <c r="UML14" s="28"/>
      <c r="UMM14" s="28"/>
      <c r="UMN14" s="28"/>
      <c r="UMO14" s="28"/>
      <c r="UMP14" s="28"/>
      <c r="UMQ14" s="28"/>
      <c r="UMR14" s="28"/>
      <c r="UMS14" s="28"/>
      <c r="UMT14" s="28"/>
      <c r="UMU14" s="28"/>
      <c r="UMV14" s="28"/>
      <c r="UMW14" s="28"/>
      <c r="UMX14" s="28"/>
      <c r="UMY14" s="28"/>
      <c r="UMZ14" s="28"/>
      <c r="UNA14" s="28"/>
      <c r="UNB14" s="28"/>
      <c r="UNC14" s="28"/>
      <c r="UND14" s="28"/>
      <c r="UNE14" s="28"/>
      <c r="UNF14" s="28"/>
      <c r="UNG14" s="28"/>
      <c r="UNH14" s="28"/>
      <c r="UNI14" s="28"/>
      <c r="UNJ14" s="28"/>
      <c r="UNK14" s="28"/>
      <c r="UNL14" s="28"/>
      <c r="UNM14" s="28"/>
      <c r="UNN14" s="28"/>
      <c r="UNO14" s="28"/>
      <c r="UNP14" s="28"/>
      <c r="UNQ14" s="28"/>
      <c r="UNR14" s="28"/>
      <c r="UNS14" s="28"/>
      <c r="UNT14" s="28"/>
      <c r="UNU14" s="28"/>
      <c r="UNV14" s="28"/>
      <c r="UNW14" s="28"/>
      <c r="UNX14" s="28"/>
      <c r="UNY14" s="28"/>
      <c r="UNZ14" s="28"/>
      <c r="UOA14" s="28"/>
      <c r="UOB14" s="28"/>
      <c r="UOC14" s="28"/>
      <c r="UOD14" s="28"/>
      <c r="UOE14" s="28"/>
      <c r="UOF14" s="28"/>
      <c r="UOG14" s="28"/>
      <c r="UOH14" s="28"/>
      <c r="UOI14" s="28"/>
      <c r="UOJ14" s="28"/>
      <c r="UOK14" s="28"/>
      <c r="UOL14" s="28"/>
      <c r="UOM14" s="28"/>
      <c r="UON14" s="28"/>
      <c r="UOO14" s="28"/>
      <c r="UOP14" s="28"/>
      <c r="UOQ14" s="28"/>
      <c r="UOR14" s="28"/>
      <c r="UOS14" s="28"/>
      <c r="UOT14" s="28"/>
      <c r="UOU14" s="28"/>
      <c r="UOV14" s="28"/>
      <c r="UOW14" s="28"/>
      <c r="UOX14" s="28"/>
      <c r="UOY14" s="28"/>
      <c r="UOZ14" s="28"/>
      <c r="UPA14" s="28"/>
      <c r="UPB14" s="28"/>
      <c r="UPC14" s="28"/>
      <c r="UPD14" s="28"/>
      <c r="UPE14" s="28"/>
      <c r="UPF14" s="28"/>
      <c r="UPG14" s="28"/>
      <c r="UPH14" s="28"/>
      <c r="UPI14" s="28"/>
      <c r="UPJ14" s="28"/>
      <c r="UPK14" s="28"/>
      <c r="UPL14" s="28"/>
      <c r="UPM14" s="28"/>
      <c r="UPN14" s="28"/>
      <c r="UPO14" s="28"/>
      <c r="UPP14" s="28"/>
      <c r="UPQ14" s="28"/>
      <c r="UPR14" s="28"/>
      <c r="UPS14" s="28"/>
      <c r="UPT14" s="28"/>
      <c r="UPU14" s="28"/>
      <c r="UPV14" s="28"/>
      <c r="UPW14" s="28"/>
      <c r="UPX14" s="28"/>
      <c r="UPY14" s="28"/>
      <c r="UPZ14" s="28"/>
      <c r="UQA14" s="28"/>
      <c r="UQB14" s="28"/>
      <c r="UQC14" s="28"/>
      <c r="UQD14" s="28"/>
      <c r="UQE14" s="28"/>
      <c r="UQF14" s="28"/>
      <c r="UQG14" s="28"/>
      <c r="UQH14" s="28"/>
      <c r="UQI14" s="28"/>
      <c r="UQJ14" s="28"/>
      <c r="UQK14" s="28"/>
      <c r="UQL14" s="28"/>
      <c r="UQM14" s="28"/>
      <c r="UQN14" s="28"/>
      <c r="UQO14" s="28"/>
      <c r="UQP14" s="28"/>
      <c r="UQQ14" s="28"/>
      <c r="UQR14" s="28"/>
      <c r="UQS14" s="28"/>
      <c r="UQT14" s="28"/>
      <c r="UQU14" s="28"/>
      <c r="UQV14" s="28"/>
      <c r="UQW14" s="28"/>
      <c r="UQX14" s="28"/>
      <c r="UQY14" s="28"/>
      <c r="UQZ14" s="28"/>
      <c r="URA14" s="28"/>
      <c r="URB14" s="28"/>
      <c r="URC14" s="28"/>
      <c r="URD14" s="28"/>
      <c r="URE14" s="28"/>
      <c r="URF14" s="28"/>
      <c r="URG14" s="28"/>
      <c r="URH14" s="28"/>
      <c r="URI14" s="28"/>
      <c r="URJ14" s="28"/>
      <c r="URK14" s="28"/>
      <c r="URL14" s="28"/>
      <c r="URM14" s="28"/>
      <c r="URN14" s="28"/>
      <c r="URO14" s="28"/>
      <c r="URP14" s="28"/>
      <c r="URQ14" s="28"/>
      <c r="URR14" s="28"/>
      <c r="URS14" s="28"/>
      <c r="URT14" s="28"/>
      <c r="URU14" s="28"/>
      <c r="URV14" s="28"/>
      <c r="URW14" s="28"/>
      <c r="URX14" s="28"/>
      <c r="URY14" s="28"/>
      <c r="URZ14" s="28"/>
      <c r="USA14" s="28"/>
      <c r="USB14" s="28"/>
      <c r="USC14" s="28"/>
      <c r="USD14" s="28"/>
      <c r="USE14" s="28"/>
      <c r="USF14" s="28"/>
      <c r="USG14" s="28"/>
      <c r="USH14" s="28"/>
      <c r="USI14" s="28"/>
      <c r="USJ14" s="28"/>
      <c r="USK14" s="28"/>
      <c r="USL14" s="28"/>
      <c r="USM14" s="28"/>
      <c r="USN14" s="28"/>
      <c r="USO14" s="28"/>
      <c r="USP14" s="28"/>
      <c r="USQ14" s="28"/>
      <c r="USR14" s="28"/>
      <c r="USS14" s="28"/>
      <c r="UST14" s="28"/>
      <c r="USU14" s="28"/>
      <c r="USV14" s="28"/>
      <c r="USW14" s="28"/>
      <c r="USX14" s="28"/>
      <c r="USY14" s="28"/>
      <c r="USZ14" s="28"/>
      <c r="UTA14" s="28"/>
      <c r="UTB14" s="28"/>
      <c r="UTC14" s="28"/>
      <c r="UTD14" s="28"/>
      <c r="UTE14" s="28"/>
      <c r="UTF14" s="28"/>
      <c r="UTG14" s="28"/>
      <c r="UTH14" s="28"/>
      <c r="UTI14" s="28"/>
      <c r="UTJ14" s="28"/>
      <c r="UTK14" s="28"/>
      <c r="UTL14" s="28"/>
      <c r="UTM14" s="28"/>
      <c r="UTN14" s="28"/>
      <c r="UTO14" s="28"/>
      <c r="UTP14" s="28"/>
      <c r="UTQ14" s="28"/>
      <c r="UTR14" s="28"/>
      <c r="UTS14" s="28"/>
      <c r="UTT14" s="28"/>
      <c r="UTU14" s="28"/>
      <c r="UTV14" s="28"/>
      <c r="UTW14" s="28"/>
      <c r="UTX14" s="28"/>
      <c r="UTY14" s="28"/>
      <c r="UTZ14" s="28"/>
      <c r="UUA14" s="28"/>
      <c r="UUB14" s="28"/>
      <c r="UUC14" s="28"/>
      <c r="UUD14" s="28"/>
      <c r="UUE14" s="28"/>
      <c r="UUF14" s="28"/>
      <c r="UUG14" s="28"/>
      <c r="UUH14" s="28"/>
      <c r="UUI14" s="28"/>
      <c r="UUJ14" s="28"/>
      <c r="UUK14" s="28"/>
      <c r="UUL14" s="28"/>
      <c r="UUM14" s="28"/>
      <c r="UUN14" s="28"/>
      <c r="UUO14" s="28"/>
      <c r="UUP14" s="28"/>
      <c r="UUQ14" s="28"/>
      <c r="UUR14" s="28"/>
      <c r="UUS14" s="28"/>
      <c r="UUT14" s="28"/>
      <c r="UUU14" s="28"/>
      <c r="UUV14" s="28"/>
      <c r="UUW14" s="28"/>
      <c r="UUX14" s="28"/>
      <c r="UUY14" s="28"/>
      <c r="UUZ14" s="28"/>
      <c r="UVA14" s="28"/>
      <c r="UVB14" s="28"/>
      <c r="UVC14" s="28"/>
      <c r="UVD14" s="28"/>
      <c r="UVE14" s="28"/>
      <c r="UVF14" s="28"/>
      <c r="UVG14" s="28"/>
      <c r="UVH14" s="28"/>
      <c r="UVI14" s="28"/>
      <c r="UVJ14" s="28"/>
      <c r="UVK14" s="28"/>
      <c r="UVL14" s="28"/>
      <c r="UVM14" s="28"/>
      <c r="UVN14" s="28"/>
      <c r="UVO14" s="28"/>
      <c r="UVP14" s="28"/>
      <c r="UVQ14" s="28"/>
      <c r="UVR14" s="28"/>
      <c r="UVS14" s="28"/>
      <c r="UVT14" s="28"/>
      <c r="UVU14" s="28"/>
      <c r="UVV14" s="28"/>
      <c r="UVW14" s="28"/>
      <c r="UVX14" s="28"/>
      <c r="UVY14" s="28"/>
      <c r="UVZ14" s="28"/>
      <c r="UWA14" s="28"/>
      <c r="UWB14" s="28"/>
      <c r="UWC14" s="28"/>
      <c r="UWD14" s="28"/>
      <c r="UWE14" s="28"/>
      <c r="UWF14" s="28"/>
      <c r="UWG14" s="28"/>
      <c r="UWH14" s="28"/>
      <c r="UWI14" s="28"/>
      <c r="UWJ14" s="28"/>
      <c r="UWK14" s="28"/>
      <c r="UWL14" s="28"/>
      <c r="UWM14" s="28"/>
      <c r="UWN14" s="28"/>
      <c r="UWO14" s="28"/>
      <c r="UWP14" s="28"/>
      <c r="UWQ14" s="28"/>
      <c r="UWR14" s="28"/>
      <c r="UWS14" s="28"/>
      <c r="UWT14" s="28"/>
      <c r="UWU14" s="28"/>
      <c r="UWV14" s="28"/>
      <c r="UWW14" s="28"/>
      <c r="UWX14" s="28"/>
      <c r="UWY14" s="28"/>
      <c r="UWZ14" s="28"/>
      <c r="UXA14" s="28"/>
      <c r="UXB14" s="28"/>
      <c r="UXC14" s="28"/>
      <c r="UXD14" s="28"/>
      <c r="UXE14" s="28"/>
      <c r="UXF14" s="28"/>
      <c r="UXG14" s="28"/>
      <c r="UXH14" s="28"/>
      <c r="UXI14" s="28"/>
      <c r="UXJ14" s="28"/>
      <c r="UXK14" s="28"/>
      <c r="UXL14" s="28"/>
      <c r="UXM14" s="28"/>
      <c r="UXN14" s="28"/>
      <c r="UXO14" s="28"/>
      <c r="UXP14" s="28"/>
      <c r="UXQ14" s="28"/>
      <c r="UXR14" s="28"/>
      <c r="UXS14" s="28"/>
      <c r="UXT14" s="28"/>
      <c r="UXU14" s="28"/>
      <c r="UXV14" s="28"/>
      <c r="UXW14" s="28"/>
      <c r="UXX14" s="28"/>
      <c r="UXY14" s="28"/>
      <c r="UXZ14" s="28"/>
      <c r="UYA14" s="28"/>
      <c r="UYB14" s="28"/>
      <c r="UYC14" s="28"/>
      <c r="UYD14" s="28"/>
      <c r="UYE14" s="28"/>
      <c r="UYF14" s="28"/>
      <c r="UYG14" s="28"/>
      <c r="UYH14" s="28"/>
      <c r="UYI14" s="28"/>
      <c r="UYJ14" s="28"/>
      <c r="UYK14" s="28"/>
      <c r="UYL14" s="28"/>
      <c r="UYM14" s="28"/>
      <c r="UYN14" s="28"/>
      <c r="UYO14" s="28"/>
      <c r="UYP14" s="28"/>
      <c r="UYQ14" s="28"/>
      <c r="UYR14" s="28"/>
      <c r="UYS14" s="28"/>
      <c r="UYT14" s="28"/>
      <c r="UYU14" s="28"/>
      <c r="UYV14" s="28"/>
      <c r="UYW14" s="28"/>
      <c r="UYX14" s="28"/>
      <c r="UYY14" s="28"/>
      <c r="UYZ14" s="28"/>
      <c r="UZA14" s="28"/>
      <c r="UZB14" s="28"/>
      <c r="UZC14" s="28"/>
      <c r="UZD14" s="28"/>
      <c r="UZE14" s="28"/>
      <c r="UZF14" s="28"/>
      <c r="UZG14" s="28"/>
      <c r="UZH14" s="28"/>
      <c r="UZI14" s="28"/>
      <c r="UZJ14" s="28"/>
      <c r="UZK14" s="28"/>
      <c r="UZL14" s="28"/>
      <c r="UZM14" s="28"/>
      <c r="UZN14" s="28"/>
      <c r="UZO14" s="28"/>
      <c r="UZP14" s="28"/>
      <c r="UZQ14" s="28"/>
      <c r="UZR14" s="28"/>
      <c r="UZS14" s="28"/>
      <c r="UZT14" s="28"/>
      <c r="UZU14" s="28"/>
      <c r="UZV14" s="28"/>
      <c r="UZW14" s="28"/>
      <c r="UZX14" s="28"/>
      <c r="UZY14" s="28"/>
      <c r="UZZ14" s="28"/>
      <c r="VAA14" s="28"/>
      <c r="VAB14" s="28"/>
      <c r="VAC14" s="28"/>
      <c r="VAD14" s="28"/>
      <c r="VAE14" s="28"/>
      <c r="VAF14" s="28"/>
      <c r="VAG14" s="28"/>
      <c r="VAH14" s="28"/>
      <c r="VAI14" s="28"/>
      <c r="VAJ14" s="28"/>
      <c r="VAK14" s="28"/>
      <c r="VAL14" s="28"/>
      <c r="VAM14" s="28"/>
      <c r="VAN14" s="28"/>
      <c r="VAO14" s="28"/>
      <c r="VAP14" s="28"/>
      <c r="VAQ14" s="28"/>
      <c r="VAR14" s="28"/>
      <c r="VAS14" s="28"/>
      <c r="VAT14" s="28"/>
      <c r="VAU14" s="28"/>
      <c r="VAV14" s="28"/>
      <c r="VAW14" s="28"/>
      <c r="VAX14" s="28"/>
      <c r="VAY14" s="28"/>
      <c r="VAZ14" s="28"/>
      <c r="VBA14" s="28"/>
      <c r="VBB14" s="28"/>
      <c r="VBC14" s="28"/>
      <c r="VBD14" s="28"/>
      <c r="VBE14" s="28"/>
      <c r="VBF14" s="28"/>
      <c r="VBG14" s="28"/>
      <c r="VBH14" s="28"/>
      <c r="VBI14" s="28"/>
      <c r="VBJ14" s="28"/>
      <c r="VBK14" s="28"/>
      <c r="VBL14" s="28"/>
      <c r="VBM14" s="28"/>
      <c r="VBN14" s="28"/>
      <c r="VBO14" s="28"/>
      <c r="VBP14" s="28"/>
      <c r="VBQ14" s="28"/>
      <c r="VBR14" s="28"/>
      <c r="VBS14" s="28"/>
      <c r="VBT14" s="28"/>
      <c r="VBU14" s="28"/>
      <c r="VBV14" s="28"/>
      <c r="VBW14" s="28"/>
      <c r="VBX14" s="28"/>
      <c r="VBY14" s="28"/>
      <c r="VBZ14" s="28"/>
      <c r="VCA14" s="28"/>
      <c r="VCB14" s="28"/>
      <c r="VCC14" s="28"/>
      <c r="VCD14" s="28"/>
      <c r="VCE14" s="28"/>
      <c r="VCF14" s="28"/>
      <c r="VCG14" s="28"/>
      <c r="VCH14" s="28"/>
      <c r="VCI14" s="28"/>
      <c r="VCJ14" s="28"/>
      <c r="VCK14" s="28"/>
      <c r="VCL14" s="28"/>
      <c r="VCM14" s="28"/>
      <c r="VCN14" s="28"/>
      <c r="VCO14" s="28"/>
      <c r="VCP14" s="28"/>
      <c r="VCQ14" s="28"/>
      <c r="VCR14" s="28"/>
      <c r="VCS14" s="28"/>
      <c r="VCT14" s="28"/>
      <c r="VCU14" s="28"/>
      <c r="VCV14" s="28"/>
      <c r="VCW14" s="28"/>
      <c r="VCX14" s="28"/>
      <c r="VCY14" s="28"/>
      <c r="VCZ14" s="28"/>
      <c r="VDA14" s="28"/>
      <c r="VDB14" s="28"/>
      <c r="VDC14" s="28"/>
      <c r="VDD14" s="28"/>
      <c r="VDE14" s="28"/>
      <c r="VDF14" s="28"/>
      <c r="VDG14" s="28"/>
      <c r="VDH14" s="28"/>
      <c r="VDI14" s="28"/>
      <c r="VDJ14" s="28"/>
      <c r="VDK14" s="28"/>
      <c r="VDL14" s="28"/>
      <c r="VDM14" s="28"/>
      <c r="VDN14" s="28"/>
      <c r="VDO14" s="28"/>
      <c r="VDP14" s="28"/>
      <c r="VDQ14" s="28"/>
      <c r="VDR14" s="28"/>
      <c r="VDS14" s="28"/>
      <c r="VDT14" s="28"/>
      <c r="VDU14" s="28"/>
      <c r="VDV14" s="28"/>
      <c r="VDW14" s="28"/>
      <c r="VDX14" s="28"/>
      <c r="VDY14" s="28"/>
      <c r="VDZ14" s="28"/>
      <c r="VEA14" s="28"/>
      <c r="VEB14" s="28"/>
      <c r="VEC14" s="28"/>
      <c r="VED14" s="28"/>
      <c r="VEE14" s="28"/>
      <c r="VEF14" s="28"/>
      <c r="VEG14" s="28"/>
      <c r="VEH14" s="28"/>
      <c r="VEI14" s="28"/>
      <c r="VEJ14" s="28"/>
      <c r="VEK14" s="28"/>
      <c r="VEL14" s="28"/>
      <c r="VEM14" s="28"/>
      <c r="VEN14" s="28"/>
      <c r="VEO14" s="28"/>
      <c r="VEP14" s="28"/>
      <c r="VEQ14" s="28"/>
      <c r="VER14" s="28"/>
      <c r="VES14" s="28"/>
      <c r="VET14" s="28"/>
      <c r="VEU14" s="28"/>
      <c r="VEV14" s="28"/>
      <c r="VEW14" s="28"/>
      <c r="VEX14" s="28"/>
      <c r="VEY14" s="28"/>
      <c r="VEZ14" s="28"/>
      <c r="VFA14" s="28"/>
      <c r="VFB14" s="28"/>
      <c r="VFC14" s="28"/>
      <c r="VFD14" s="28"/>
      <c r="VFE14" s="28"/>
      <c r="VFF14" s="28"/>
      <c r="VFG14" s="28"/>
      <c r="VFH14" s="28"/>
      <c r="VFI14" s="28"/>
      <c r="VFJ14" s="28"/>
      <c r="VFK14" s="28"/>
      <c r="VFL14" s="28"/>
      <c r="VFM14" s="28"/>
      <c r="VFN14" s="28"/>
      <c r="VFO14" s="28"/>
      <c r="VFP14" s="28"/>
      <c r="VFQ14" s="28"/>
      <c r="VFR14" s="28"/>
      <c r="VFS14" s="28"/>
      <c r="VFT14" s="28"/>
      <c r="VFU14" s="28"/>
      <c r="VFV14" s="28"/>
      <c r="VFW14" s="28"/>
      <c r="VFX14" s="28"/>
      <c r="VFY14" s="28"/>
      <c r="VFZ14" s="28"/>
      <c r="VGA14" s="28"/>
      <c r="VGB14" s="28"/>
      <c r="VGC14" s="28"/>
      <c r="VGD14" s="28"/>
      <c r="VGE14" s="28"/>
      <c r="VGF14" s="28"/>
      <c r="VGG14" s="28"/>
      <c r="VGH14" s="28"/>
      <c r="VGI14" s="28"/>
      <c r="VGJ14" s="28"/>
      <c r="VGK14" s="28"/>
      <c r="VGL14" s="28"/>
      <c r="VGM14" s="28"/>
      <c r="VGN14" s="28"/>
      <c r="VGO14" s="28"/>
      <c r="VGP14" s="28"/>
      <c r="VGQ14" s="28"/>
      <c r="VGR14" s="28"/>
      <c r="VGS14" s="28"/>
      <c r="VGT14" s="28"/>
      <c r="VGU14" s="28"/>
      <c r="VGV14" s="28"/>
      <c r="VGW14" s="28"/>
      <c r="VGX14" s="28"/>
      <c r="VGY14" s="28"/>
      <c r="VGZ14" s="28"/>
      <c r="VHA14" s="28"/>
      <c r="VHB14" s="28"/>
      <c r="VHC14" s="28"/>
      <c r="VHD14" s="28"/>
      <c r="VHE14" s="28"/>
      <c r="VHF14" s="28"/>
      <c r="VHG14" s="28"/>
      <c r="VHH14" s="28"/>
      <c r="VHI14" s="28"/>
      <c r="VHJ14" s="28"/>
      <c r="VHK14" s="28"/>
      <c r="VHL14" s="28"/>
      <c r="VHM14" s="28"/>
      <c r="VHN14" s="28"/>
      <c r="VHO14" s="28"/>
      <c r="VHP14" s="28"/>
      <c r="VHQ14" s="28"/>
      <c r="VHR14" s="28"/>
      <c r="VHS14" s="28"/>
      <c r="VHT14" s="28"/>
      <c r="VHU14" s="28"/>
      <c r="VHV14" s="28"/>
      <c r="VHW14" s="28"/>
      <c r="VHX14" s="28"/>
      <c r="VHY14" s="28"/>
      <c r="VHZ14" s="28"/>
      <c r="VIA14" s="28"/>
      <c r="VIB14" s="28"/>
      <c r="VIC14" s="28"/>
      <c r="VID14" s="28"/>
      <c r="VIE14" s="28"/>
      <c r="VIF14" s="28"/>
      <c r="VIG14" s="28"/>
      <c r="VIH14" s="28"/>
      <c r="VII14" s="28"/>
      <c r="VIJ14" s="28"/>
      <c r="VIK14" s="28"/>
      <c r="VIL14" s="28"/>
      <c r="VIM14" s="28"/>
      <c r="VIN14" s="28"/>
      <c r="VIO14" s="28"/>
      <c r="VIP14" s="28"/>
      <c r="VIQ14" s="28"/>
      <c r="VIR14" s="28"/>
      <c r="VIS14" s="28"/>
      <c r="VIT14" s="28"/>
      <c r="VIU14" s="28"/>
      <c r="VIV14" s="28"/>
      <c r="VIW14" s="28"/>
      <c r="VIX14" s="28"/>
      <c r="VIY14" s="28"/>
      <c r="VIZ14" s="28"/>
      <c r="VJA14" s="28"/>
      <c r="VJB14" s="28"/>
      <c r="VJC14" s="28"/>
      <c r="VJD14" s="28"/>
      <c r="VJE14" s="28"/>
      <c r="VJF14" s="28"/>
      <c r="VJG14" s="28"/>
      <c r="VJH14" s="28"/>
      <c r="VJI14" s="28"/>
      <c r="VJJ14" s="28"/>
      <c r="VJK14" s="28"/>
      <c r="VJL14" s="28"/>
      <c r="VJM14" s="28"/>
      <c r="VJN14" s="28"/>
      <c r="VJO14" s="28"/>
      <c r="VJP14" s="28"/>
      <c r="VJQ14" s="28"/>
      <c r="VJR14" s="28"/>
      <c r="VJS14" s="28"/>
      <c r="VJT14" s="28"/>
      <c r="VJU14" s="28"/>
      <c r="VJV14" s="28"/>
      <c r="VJW14" s="28"/>
      <c r="VJX14" s="28"/>
      <c r="VJY14" s="28"/>
      <c r="VJZ14" s="28"/>
      <c r="VKA14" s="28"/>
      <c r="VKB14" s="28"/>
      <c r="VKC14" s="28"/>
      <c r="VKD14" s="28"/>
      <c r="VKE14" s="28"/>
      <c r="VKF14" s="28"/>
      <c r="VKG14" s="28"/>
      <c r="VKH14" s="28"/>
      <c r="VKI14" s="28"/>
      <c r="VKJ14" s="28"/>
      <c r="VKK14" s="28"/>
      <c r="VKL14" s="28"/>
      <c r="VKM14" s="28"/>
      <c r="VKN14" s="28"/>
      <c r="VKO14" s="28"/>
      <c r="VKP14" s="28"/>
      <c r="VKQ14" s="28"/>
      <c r="VKR14" s="28"/>
      <c r="VKS14" s="28"/>
      <c r="VKT14" s="28"/>
      <c r="VKU14" s="28"/>
      <c r="VKV14" s="28"/>
      <c r="VKW14" s="28"/>
      <c r="VKX14" s="28"/>
      <c r="VKY14" s="28"/>
      <c r="VKZ14" s="28"/>
      <c r="VLA14" s="28"/>
      <c r="VLB14" s="28"/>
      <c r="VLC14" s="28"/>
      <c r="VLD14" s="28"/>
      <c r="VLE14" s="28"/>
      <c r="VLF14" s="28"/>
      <c r="VLG14" s="28"/>
      <c r="VLH14" s="28"/>
      <c r="VLI14" s="28"/>
      <c r="VLJ14" s="28"/>
      <c r="VLK14" s="28"/>
      <c r="VLL14" s="28"/>
      <c r="VLM14" s="28"/>
      <c r="VLN14" s="28"/>
      <c r="VLO14" s="28"/>
      <c r="VLP14" s="28"/>
      <c r="VLQ14" s="28"/>
      <c r="VLR14" s="28"/>
      <c r="VLS14" s="28"/>
      <c r="VLT14" s="28"/>
      <c r="VLU14" s="28"/>
      <c r="VLV14" s="28"/>
      <c r="VLW14" s="28"/>
      <c r="VLX14" s="28"/>
      <c r="VLY14" s="28"/>
      <c r="VLZ14" s="28"/>
      <c r="VMA14" s="28"/>
      <c r="VMB14" s="28"/>
      <c r="VMC14" s="28"/>
      <c r="VMD14" s="28"/>
      <c r="VME14" s="28"/>
      <c r="VMF14" s="28"/>
      <c r="VMG14" s="28"/>
      <c r="VMH14" s="28"/>
      <c r="VMI14" s="28"/>
      <c r="VMJ14" s="28"/>
      <c r="VMK14" s="28"/>
      <c r="VML14" s="28"/>
      <c r="VMM14" s="28"/>
      <c r="VMN14" s="28"/>
      <c r="VMO14" s="28"/>
      <c r="VMP14" s="28"/>
      <c r="VMQ14" s="28"/>
      <c r="VMR14" s="28"/>
      <c r="VMS14" s="28"/>
      <c r="VMT14" s="28"/>
      <c r="VMU14" s="28"/>
      <c r="VMV14" s="28"/>
      <c r="VMW14" s="28"/>
      <c r="VMX14" s="28"/>
      <c r="VMY14" s="28"/>
      <c r="VMZ14" s="28"/>
      <c r="VNA14" s="28"/>
      <c r="VNB14" s="28"/>
      <c r="VNC14" s="28"/>
      <c r="VND14" s="28"/>
      <c r="VNE14" s="28"/>
      <c r="VNF14" s="28"/>
      <c r="VNG14" s="28"/>
      <c r="VNH14" s="28"/>
      <c r="VNI14" s="28"/>
      <c r="VNJ14" s="28"/>
      <c r="VNK14" s="28"/>
      <c r="VNL14" s="28"/>
      <c r="VNM14" s="28"/>
      <c r="VNN14" s="28"/>
      <c r="VNO14" s="28"/>
      <c r="VNP14" s="28"/>
      <c r="VNQ14" s="28"/>
      <c r="VNR14" s="28"/>
      <c r="VNS14" s="28"/>
      <c r="VNT14" s="28"/>
      <c r="VNU14" s="28"/>
      <c r="VNV14" s="28"/>
      <c r="VNW14" s="28"/>
      <c r="VNX14" s="28"/>
      <c r="VNY14" s="28"/>
      <c r="VNZ14" s="28"/>
      <c r="VOA14" s="28"/>
      <c r="VOB14" s="28"/>
      <c r="VOC14" s="28"/>
      <c r="VOD14" s="28"/>
      <c r="VOE14" s="28"/>
      <c r="VOF14" s="28"/>
      <c r="VOG14" s="28"/>
      <c r="VOH14" s="28"/>
      <c r="VOI14" s="28"/>
      <c r="VOJ14" s="28"/>
      <c r="VOK14" s="28"/>
      <c r="VOL14" s="28"/>
      <c r="VOM14" s="28"/>
      <c r="VON14" s="28"/>
      <c r="VOO14" s="28"/>
      <c r="VOP14" s="28"/>
      <c r="VOQ14" s="28"/>
      <c r="VOR14" s="28"/>
      <c r="VOS14" s="28"/>
      <c r="VOT14" s="28"/>
      <c r="VOU14" s="28"/>
      <c r="VOV14" s="28"/>
      <c r="VOW14" s="28"/>
      <c r="VOX14" s="28"/>
      <c r="VOY14" s="28"/>
      <c r="VOZ14" s="28"/>
      <c r="VPA14" s="28"/>
      <c r="VPB14" s="28"/>
      <c r="VPC14" s="28"/>
      <c r="VPD14" s="28"/>
      <c r="VPE14" s="28"/>
      <c r="VPF14" s="28"/>
      <c r="VPG14" s="28"/>
      <c r="VPH14" s="28"/>
      <c r="VPI14" s="28"/>
      <c r="VPJ14" s="28"/>
      <c r="VPK14" s="28"/>
      <c r="VPL14" s="28"/>
      <c r="VPM14" s="28"/>
      <c r="VPN14" s="28"/>
      <c r="VPO14" s="28"/>
      <c r="VPP14" s="28"/>
      <c r="VPQ14" s="28"/>
      <c r="VPR14" s="28"/>
      <c r="VPS14" s="28"/>
      <c r="VPT14" s="28"/>
      <c r="VPU14" s="28"/>
      <c r="VPV14" s="28"/>
      <c r="VPW14" s="28"/>
      <c r="VPX14" s="28"/>
      <c r="VPY14" s="28"/>
      <c r="VPZ14" s="28"/>
      <c r="VQA14" s="28"/>
      <c r="VQB14" s="28"/>
      <c r="VQC14" s="28"/>
      <c r="VQD14" s="28"/>
      <c r="VQE14" s="28"/>
      <c r="VQF14" s="28"/>
      <c r="VQG14" s="28"/>
      <c r="VQH14" s="28"/>
      <c r="VQI14" s="28"/>
      <c r="VQJ14" s="28"/>
      <c r="VQK14" s="28"/>
      <c r="VQL14" s="28"/>
      <c r="VQM14" s="28"/>
      <c r="VQN14" s="28"/>
      <c r="VQO14" s="28"/>
      <c r="VQP14" s="28"/>
      <c r="VQQ14" s="28"/>
      <c r="VQR14" s="28"/>
      <c r="VQS14" s="28"/>
      <c r="VQT14" s="28"/>
      <c r="VQU14" s="28"/>
      <c r="VQV14" s="28"/>
      <c r="VQW14" s="28"/>
      <c r="VQX14" s="28"/>
      <c r="VQY14" s="28"/>
      <c r="VQZ14" s="28"/>
      <c r="VRA14" s="28"/>
      <c r="VRB14" s="28"/>
      <c r="VRC14" s="28"/>
      <c r="VRD14" s="28"/>
      <c r="VRE14" s="28"/>
      <c r="VRF14" s="28"/>
      <c r="VRG14" s="28"/>
      <c r="VRH14" s="28"/>
      <c r="VRI14" s="28"/>
      <c r="VRJ14" s="28"/>
      <c r="VRK14" s="28"/>
      <c r="VRL14" s="28"/>
      <c r="VRM14" s="28"/>
      <c r="VRN14" s="28"/>
      <c r="VRO14" s="28"/>
      <c r="VRP14" s="28"/>
      <c r="VRQ14" s="28"/>
      <c r="VRR14" s="28"/>
      <c r="VRS14" s="28"/>
      <c r="VRT14" s="28"/>
      <c r="VRU14" s="28"/>
      <c r="VRV14" s="28"/>
      <c r="VRW14" s="28"/>
      <c r="VRX14" s="28"/>
      <c r="VRY14" s="28"/>
      <c r="VRZ14" s="28"/>
      <c r="VSA14" s="28"/>
      <c r="VSB14" s="28"/>
      <c r="VSC14" s="28"/>
      <c r="VSD14" s="28"/>
      <c r="VSE14" s="28"/>
      <c r="VSF14" s="28"/>
      <c r="VSG14" s="28"/>
      <c r="VSH14" s="28"/>
      <c r="VSI14" s="28"/>
      <c r="VSJ14" s="28"/>
      <c r="VSK14" s="28"/>
      <c r="VSL14" s="28"/>
      <c r="VSM14" s="28"/>
      <c r="VSN14" s="28"/>
      <c r="VSO14" s="28"/>
      <c r="VSP14" s="28"/>
      <c r="VSQ14" s="28"/>
      <c r="VSR14" s="28"/>
      <c r="VSS14" s="28"/>
      <c r="VST14" s="28"/>
      <c r="VSU14" s="28"/>
      <c r="VSV14" s="28"/>
      <c r="VSW14" s="28"/>
      <c r="VSX14" s="28"/>
      <c r="VSY14" s="28"/>
      <c r="VSZ14" s="28"/>
      <c r="VTA14" s="28"/>
      <c r="VTB14" s="28"/>
      <c r="VTC14" s="28"/>
      <c r="VTD14" s="28"/>
      <c r="VTE14" s="28"/>
      <c r="VTF14" s="28"/>
      <c r="VTG14" s="28"/>
      <c r="VTH14" s="28"/>
      <c r="VTI14" s="28"/>
      <c r="VTJ14" s="28"/>
      <c r="VTK14" s="28"/>
      <c r="VTL14" s="28"/>
      <c r="VTM14" s="28"/>
      <c r="VTN14" s="28"/>
      <c r="VTO14" s="28"/>
      <c r="VTP14" s="28"/>
      <c r="VTQ14" s="28"/>
      <c r="VTR14" s="28"/>
      <c r="VTS14" s="28"/>
      <c r="VTT14" s="28"/>
      <c r="VTU14" s="28"/>
      <c r="VTV14" s="28"/>
      <c r="VTW14" s="28"/>
      <c r="VTX14" s="28"/>
      <c r="VTY14" s="28"/>
      <c r="VTZ14" s="28"/>
      <c r="VUA14" s="28"/>
      <c r="VUB14" s="28"/>
      <c r="VUC14" s="28"/>
      <c r="VUD14" s="28"/>
      <c r="VUE14" s="28"/>
      <c r="VUF14" s="28"/>
      <c r="VUG14" s="28"/>
      <c r="VUH14" s="28"/>
      <c r="VUI14" s="28"/>
      <c r="VUJ14" s="28"/>
      <c r="VUK14" s="28"/>
      <c r="VUL14" s="28"/>
      <c r="VUM14" s="28"/>
      <c r="VUN14" s="28"/>
      <c r="VUO14" s="28"/>
      <c r="VUP14" s="28"/>
      <c r="VUQ14" s="28"/>
      <c r="VUR14" s="28"/>
      <c r="VUS14" s="28"/>
      <c r="VUT14" s="28"/>
      <c r="VUU14" s="28"/>
      <c r="VUV14" s="28"/>
      <c r="VUW14" s="28"/>
      <c r="VUX14" s="28"/>
      <c r="VUY14" s="28"/>
      <c r="VUZ14" s="28"/>
      <c r="VVA14" s="28"/>
      <c r="VVB14" s="28"/>
      <c r="VVC14" s="28"/>
      <c r="VVD14" s="28"/>
      <c r="VVE14" s="28"/>
      <c r="VVF14" s="28"/>
      <c r="VVG14" s="28"/>
      <c r="VVH14" s="28"/>
      <c r="VVI14" s="28"/>
      <c r="VVJ14" s="28"/>
      <c r="VVK14" s="28"/>
      <c r="VVL14" s="28"/>
      <c r="VVM14" s="28"/>
      <c r="VVN14" s="28"/>
      <c r="VVO14" s="28"/>
      <c r="VVP14" s="28"/>
      <c r="VVQ14" s="28"/>
      <c r="VVR14" s="28"/>
      <c r="VVS14" s="28"/>
      <c r="VVT14" s="28"/>
      <c r="VVU14" s="28"/>
      <c r="VVV14" s="28"/>
      <c r="VVW14" s="28"/>
      <c r="VVX14" s="28"/>
      <c r="VVY14" s="28"/>
      <c r="VVZ14" s="28"/>
      <c r="VWA14" s="28"/>
      <c r="VWB14" s="28"/>
      <c r="VWC14" s="28"/>
      <c r="VWD14" s="28"/>
      <c r="VWE14" s="28"/>
      <c r="VWF14" s="28"/>
      <c r="VWG14" s="28"/>
      <c r="VWH14" s="28"/>
      <c r="VWI14" s="28"/>
      <c r="VWJ14" s="28"/>
      <c r="VWK14" s="28"/>
      <c r="VWL14" s="28"/>
      <c r="VWM14" s="28"/>
      <c r="VWN14" s="28"/>
      <c r="VWO14" s="28"/>
      <c r="VWP14" s="28"/>
      <c r="VWQ14" s="28"/>
      <c r="VWR14" s="28"/>
      <c r="VWS14" s="28"/>
      <c r="VWT14" s="28"/>
      <c r="VWU14" s="28"/>
      <c r="VWV14" s="28"/>
      <c r="VWW14" s="28"/>
      <c r="VWX14" s="28"/>
      <c r="VWY14" s="28"/>
      <c r="VWZ14" s="28"/>
      <c r="VXA14" s="28"/>
      <c r="VXB14" s="28"/>
      <c r="VXC14" s="28"/>
      <c r="VXD14" s="28"/>
      <c r="VXE14" s="28"/>
      <c r="VXF14" s="28"/>
      <c r="VXG14" s="28"/>
      <c r="VXH14" s="28"/>
      <c r="VXI14" s="28"/>
      <c r="VXJ14" s="28"/>
      <c r="VXK14" s="28"/>
      <c r="VXL14" s="28"/>
      <c r="VXM14" s="28"/>
      <c r="VXN14" s="28"/>
      <c r="VXO14" s="28"/>
      <c r="VXP14" s="28"/>
      <c r="VXQ14" s="28"/>
      <c r="VXR14" s="28"/>
      <c r="VXS14" s="28"/>
      <c r="VXT14" s="28"/>
      <c r="VXU14" s="28"/>
      <c r="VXV14" s="28"/>
      <c r="VXW14" s="28"/>
      <c r="VXX14" s="28"/>
      <c r="VXY14" s="28"/>
      <c r="VXZ14" s="28"/>
      <c r="VYA14" s="28"/>
      <c r="VYB14" s="28"/>
      <c r="VYC14" s="28"/>
      <c r="VYD14" s="28"/>
      <c r="VYE14" s="28"/>
      <c r="VYF14" s="28"/>
      <c r="VYG14" s="28"/>
      <c r="VYH14" s="28"/>
      <c r="VYI14" s="28"/>
      <c r="VYJ14" s="28"/>
      <c r="VYK14" s="28"/>
      <c r="VYL14" s="28"/>
      <c r="VYM14" s="28"/>
      <c r="VYN14" s="28"/>
      <c r="VYO14" s="28"/>
      <c r="VYP14" s="28"/>
      <c r="VYQ14" s="28"/>
      <c r="VYR14" s="28"/>
      <c r="VYS14" s="28"/>
      <c r="VYT14" s="28"/>
      <c r="VYU14" s="28"/>
      <c r="VYV14" s="28"/>
      <c r="VYW14" s="28"/>
      <c r="VYX14" s="28"/>
      <c r="VYY14" s="28"/>
      <c r="VYZ14" s="28"/>
      <c r="VZA14" s="28"/>
      <c r="VZB14" s="28"/>
      <c r="VZC14" s="28"/>
      <c r="VZD14" s="28"/>
      <c r="VZE14" s="28"/>
      <c r="VZF14" s="28"/>
      <c r="VZG14" s="28"/>
      <c r="VZH14" s="28"/>
      <c r="VZI14" s="28"/>
      <c r="VZJ14" s="28"/>
      <c r="VZK14" s="28"/>
      <c r="VZL14" s="28"/>
      <c r="VZM14" s="28"/>
      <c r="VZN14" s="28"/>
      <c r="VZO14" s="28"/>
      <c r="VZP14" s="28"/>
      <c r="VZQ14" s="28"/>
      <c r="VZR14" s="28"/>
      <c r="VZS14" s="28"/>
      <c r="VZT14" s="28"/>
      <c r="VZU14" s="28"/>
      <c r="VZV14" s="28"/>
      <c r="VZW14" s="28"/>
      <c r="VZX14" s="28"/>
      <c r="VZY14" s="28"/>
      <c r="VZZ14" s="28"/>
      <c r="WAA14" s="28"/>
      <c r="WAB14" s="28"/>
      <c r="WAC14" s="28"/>
      <c r="WAD14" s="28"/>
      <c r="WAE14" s="28"/>
      <c r="WAF14" s="28"/>
      <c r="WAG14" s="28"/>
      <c r="WAH14" s="28"/>
      <c r="WAI14" s="28"/>
      <c r="WAJ14" s="28"/>
      <c r="WAK14" s="28"/>
      <c r="WAL14" s="28"/>
      <c r="WAM14" s="28"/>
      <c r="WAN14" s="28"/>
      <c r="WAO14" s="28"/>
      <c r="WAP14" s="28"/>
      <c r="WAQ14" s="28"/>
      <c r="WAR14" s="28"/>
      <c r="WAS14" s="28"/>
      <c r="WAT14" s="28"/>
      <c r="WAU14" s="28"/>
      <c r="WAV14" s="28"/>
      <c r="WAW14" s="28"/>
      <c r="WAX14" s="28"/>
      <c r="WAY14" s="28"/>
      <c r="WAZ14" s="28"/>
      <c r="WBA14" s="28"/>
      <c r="WBB14" s="28"/>
      <c r="WBC14" s="28"/>
      <c r="WBD14" s="28"/>
      <c r="WBE14" s="28"/>
      <c r="WBF14" s="28"/>
      <c r="WBG14" s="28"/>
      <c r="WBH14" s="28"/>
      <c r="WBI14" s="28"/>
      <c r="WBJ14" s="28"/>
      <c r="WBK14" s="28"/>
      <c r="WBL14" s="28"/>
      <c r="WBM14" s="28"/>
      <c r="WBN14" s="28"/>
      <c r="WBO14" s="28"/>
      <c r="WBP14" s="28"/>
      <c r="WBQ14" s="28"/>
      <c r="WBR14" s="28"/>
      <c r="WBS14" s="28"/>
      <c r="WBT14" s="28"/>
      <c r="WBU14" s="28"/>
      <c r="WBV14" s="28"/>
      <c r="WBW14" s="28"/>
      <c r="WBX14" s="28"/>
      <c r="WBY14" s="28"/>
      <c r="WBZ14" s="28"/>
      <c r="WCA14" s="28"/>
      <c r="WCB14" s="28"/>
      <c r="WCC14" s="28"/>
      <c r="WCD14" s="28"/>
      <c r="WCE14" s="28"/>
      <c r="WCF14" s="28"/>
      <c r="WCG14" s="28"/>
      <c r="WCH14" s="28"/>
      <c r="WCI14" s="28"/>
      <c r="WCJ14" s="28"/>
      <c r="WCK14" s="28"/>
      <c r="WCL14" s="28"/>
      <c r="WCM14" s="28"/>
      <c r="WCN14" s="28"/>
      <c r="WCO14" s="28"/>
      <c r="WCP14" s="28"/>
      <c r="WCQ14" s="28"/>
      <c r="WCR14" s="28"/>
      <c r="WCS14" s="28"/>
      <c r="WCT14" s="28"/>
      <c r="WCU14" s="28"/>
      <c r="WCV14" s="28"/>
      <c r="WCW14" s="28"/>
      <c r="WCX14" s="28"/>
      <c r="WCY14" s="28"/>
      <c r="WCZ14" s="28"/>
      <c r="WDA14" s="28"/>
      <c r="WDB14" s="28"/>
      <c r="WDC14" s="28"/>
      <c r="WDD14" s="28"/>
      <c r="WDE14" s="28"/>
      <c r="WDF14" s="28"/>
      <c r="WDG14" s="28"/>
      <c r="WDH14" s="28"/>
      <c r="WDI14" s="28"/>
      <c r="WDJ14" s="28"/>
      <c r="WDK14" s="28"/>
      <c r="WDL14" s="28"/>
      <c r="WDM14" s="28"/>
      <c r="WDN14" s="28"/>
      <c r="WDO14" s="28"/>
      <c r="WDP14" s="28"/>
      <c r="WDQ14" s="28"/>
      <c r="WDR14" s="28"/>
      <c r="WDS14" s="28"/>
      <c r="WDT14" s="28"/>
      <c r="WDU14" s="28"/>
      <c r="WDV14" s="28"/>
      <c r="WDW14" s="28"/>
      <c r="WDX14" s="28"/>
      <c r="WDY14" s="28"/>
      <c r="WDZ14" s="28"/>
      <c r="WEA14" s="28"/>
      <c r="WEB14" s="28"/>
      <c r="WEC14" s="28"/>
      <c r="WED14" s="28"/>
      <c r="WEE14" s="28"/>
      <c r="WEF14" s="28"/>
      <c r="WEG14" s="28"/>
      <c r="WEH14" s="28"/>
      <c r="WEI14" s="28"/>
      <c r="WEJ14" s="28"/>
      <c r="WEK14" s="28"/>
      <c r="WEL14" s="28"/>
      <c r="WEM14" s="28"/>
      <c r="WEN14" s="28"/>
      <c r="WEO14" s="28"/>
      <c r="WEP14" s="28"/>
      <c r="WEQ14" s="28"/>
      <c r="WER14" s="28"/>
      <c r="WES14" s="28"/>
      <c r="WET14" s="28"/>
      <c r="WEU14" s="28"/>
      <c r="WEV14" s="28"/>
      <c r="WEW14" s="28"/>
      <c r="WEX14" s="28"/>
      <c r="WEY14" s="28"/>
      <c r="WEZ14" s="28"/>
      <c r="WFA14" s="28"/>
      <c r="WFB14" s="28"/>
      <c r="WFC14" s="28"/>
      <c r="WFD14" s="28"/>
      <c r="WFE14" s="28"/>
      <c r="WFF14" s="28"/>
      <c r="WFG14" s="28"/>
      <c r="WFH14" s="28"/>
      <c r="WFI14" s="28"/>
      <c r="WFJ14" s="28"/>
      <c r="WFK14" s="28"/>
      <c r="WFL14" s="28"/>
      <c r="WFM14" s="28"/>
      <c r="WFN14" s="28"/>
      <c r="WFO14" s="28"/>
      <c r="WFP14" s="28"/>
      <c r="WFQ14" s="28"/>
      <c r="WFR14" s="28"/>
      <c r="WFS14" s="28"/>
      <c r="WFT14" s="28"/>
      <c r="WFU14" s="28"/>
      <c r="WFV14" s="28"/>
      <c r="WFW14" s="28"/>
      <c r="WFX14" s="28"/>
      <c r="WFY14" s="28"/>
      <c r="WFZ14" s="28"/>
      <c r="WGA14" s="28"/>
      <c r="WGB14" s="28"/>
      <c r="WGC14" s="28"/>
      <c r="WGD14" s="28"/>
      <c r="WGE14" s="28"/>
      <c r="WGF14" s="28"/>
      <c r="WGG14" s="28"/>
      <c r="WGH14" s="28"/>
      <c r="WGI14" s="28"/>
      <c r="WGJ14" s="28"/>
      <c r="WGK14" s="28"/>
      <c r="WGL14" s="28"/>
      <c r="WGM14" s="28"/>
      <c r="WGN14" s="28"/>
      <c r="WGO14" s="28"/>
      <c r="WGP14" s="28"/>
      <c r="WGQ14" s="28"/>
      <c r="WGR14" s="28"/>
      <c r="WGS14" s="28"/>
      <c r="WGT14" s="28"/>
      <c r="WGU14" s="28"/>
      <c r="WGV14" s="28"/>
      <c r="WGW14" s="28"/>
      <c r="WGX14" s="28"/>
      <c r="WGY14" s="28"/>
      <c r="WGZ14" s="28"/>
      <c r="WHA14" s="28"/>
      <c r="WHB14" s="28"/>
      <c r="WHC14" s="28"/>
      <c r="WHD14" s="28"/>
      <c r="WHE14" s="28"/>
      <c r="WHF14" s="28"/>
      <c r="WHG14" s="28"/>
      <c r="WHH14" s="28"/>
      <c r="WHI14" s="28"/>
      <c r="WHJ14" s="28"/>
      <c r="WHK14" s="28"/>
      <c r="WHL14" s="28"/>
      <c r="WHM14" s="28"/>
      <c r="WHN14" s="28"/>
      <c r="WHO14" s="28"/>
      <c r="WHP14" s="28"/>
      <c r="WHQ14" s="28"/>
      <c r="WHR14" s="28"/>
      <c r="WHS14" s="28"/>
      <c r="WHT14" s="28"/>
      <c r="WHU14" s="28"/>
      <c r="WHV14" s="28"/>
      <c r="WHW14" s="28"/>
      <c r="WHX14" s="28"/>
      <c r="WHY14" s="28"/>
      <c r="WHZ14" s="28"/>
      <c r="WIA14" s="28"/>
      <c r="WIB14" s="28"/>
      <c r="WIC14" s="28"/>
      <c r="WID14" s="28"/>
      <c r="WIE14" s="28"/>
      <c r="WIF14" s="28"/>
      <c r="WIG14" s="28"/>
      <c r="WIH14" s="28"/>
      <c r="WII14" s="28"/>
      <c r="WIJ14" s="28"/>
      <c r="WIK14" s="28"/>
      <c r="WIL14" s="28"/>
      <c r="WIM14" s="28"/>
      <c r="WIN14" s="28"/>
      <c r="WIO14" s="28"/>
      <c r="WIP14" s="28"/>
      <c r="WIQ14" s="28"/>
      <c r="WIR14" s="28"/>
      <c r="WIS14" s="28"/>
      <c r="WIT14" s="28"/>
      <c r="WIU14" s="28"/>
      <c r="WIV14" s="28"/>
      <c r="WIW14" s="28"/>
      <c r="WIX14" s="28"/>
      <c r="WIY14" s="28"/>
      <c r="WIZ14" s="28"/>
      <c r="WJA14" s="28"/>
      <c r="WJB14" s="28"/>
      <c r="WJC14" s="28"/>
      <c r="WJD14" s="28"/>
      <c r="WJE14" s="28"/>
      <c r="WJF14" s="28"/>
      <c r="WJG14" s="28"/>
      <c r="WJH14" s="28"/>
      <c r="WJI14" s="28"/>
      <c r="WJJ14" s="28"/>
      <c r="WJK14" s="28"/>
      <c r="WJL14" s="28"/>
      <c r="WJM14" s="28"/>
      <c r="WJN14" s="28"/>
      <c r="WJO14" s="28"/>
      <c r="WJP14" s="28"/>
      <c r="WJQ14" s="28"/>
      <c r="WJR14" s="28"/>
      <c r="WJS14" s="28"/>
      <c r="WJT14" s="28"/>
      <c r="WJU14" s="28"/>
      <c r="WJV14" s="28"/>
      <c r="WJW14" s="28"/>
      <c r="WJX14" s="28"/>
      <c r="WJY14" s="28"/>
      <c r="WJZ14" s="28"/>
      <c r="WKA14" s="28"/>
      <c r="WKB14" s="28"/>
      <c r="WKC14" s="28"/>
      <c r="WKD14" s="28"/>
      <c r="WKE14" s="28"/>
      <c r="WKF14" s="28"/>
      <c r="WKG14" s="28"/>
      <c r="WKH14" s="28"/>
      <c r="WKI14" s="28"/>
      <c r="WKJ14" s="28"/>
      <c r="WKK14" s="28"/>
      <c r="WKL14" s="28"/>
      <c r="WKM14" s="28"/>
      <c r="WKN14" s="28"/>
      <c r="WKO14" s="28"/>
      <c r="WKP14" s="28"/>
      <c r="WKQ14" s="28"/>
      <c r="WKR14" s="28"/>
      <c r="WKS14" s="28"/>
      <c r="WKT14" s="28"/>
      <c r="WKU14" s="28"/>
      <c r="WKV14" s="28"/>
      <c r="WKW14" s="28"/>
      <c r="WKX14" s="28"/>
      <c r="WKY14" s="28"/>
      <c r="WKZ14" s="28"/>
      <c r="WLA14" s="28"/>
      <c r="WLB14" s="28"/>
      <c r="WLC14" s="28"/>
      <c r="WLD14" s="28"/>
      <c r="WLE14" s="28"/>
      <c r="WLF14" s="28"/>
      <c r="WLG14" s="28"/>
      <c r="WLH14" s="28"/>
      <c r="WLI14" s="28"/>
      <c r="WLJ14" s="28"/>
      <c r="WLK14" s="28"/>
      <c r="WLL14" s="28"/>
      <c r="WLM14" s="28"/>
      <c r="WLN14" s="28"/>
      <c r="WLO14" s="28"/>
      <c r="WLP14" s="28"/>
      <c r="WLQ14" s="28"/>
      <c r="WLR14" s="28"/>
      <c r="WLS14" s="28"/>
      <c r="WLT14" s="28"/>
      <c r="WLU14" s="28"/>
      <c r="WLV14" s="28"/>
      <c r="WLW14" s="28"/>
      <c r="WLX14" s="28"/>
      <c r="WLY14" s="28"/>
      <c r="WLZ14" s="28"/>
      <c r="WMA14" s="28"/>
      <c r="WMB14" s="28"/>
      <c r="WMC14" s="28"/>
      <c r="WMD14" s="28"/>
      <c r="WME14" s="28"/>
      <c r="WMF14" s="28"/>
      <c r="WMG14" s="28"/>
      <c r="WMH14" s="28"/>
      <c r="WMI14" s="28"/>
      <c r="WMJ14" s="28"/>
      <c r="WMK14" s="28"/>
      <c r="WML14" s="28"/>
      <c r="WMM14" s="28"/>
      <c r="WMN14" s="28"/>
      <c r="WMO14" s="28"/>
      <c r="WMP14" s="28"/>
      <c r="WMQ14" s="28"/>
      <c r="WMR14" s="28"/>
      <c r="WMS14" s="28"/>
      <c r="WMT14" s="28"/>
      <c r="WMU14" s="28"/>
      <c r="WMV14" s="28"/>
      <c r="WMW14" s="28"/>
      <c r="WMX14" s="28"/>
      <c r="WMY14" s="28"/>
      <c r="WMZ14" s="28"/>
      <c r="WNA14" s="28"/>
      <c r="WNB14" s="28"/>
      <c r="WNC14" s="28"/>
      <c r="WND14" s="28"/>
      <c r="WNE14" s="28"/>
      <c r="WNF14" s="28"/>
      <c r="WNG14" s="28"/>
      <c r="WNH14" s="28"/>
      <c r="WNI14" s="28"/>
      <c r="WNJ14" s="28"/>
      <c r="WNK14" s="28"/>
      <c r="WNL14" s="28"/>
      <c r="WNM14" s="28"/>
      <c r="WNN14" s="28"/>
      <c r="WNO14" s="28"/>
      <c r="WNP14" s="28"/>
      <c r="WNQ14" s="28"/>
      <c r="WNR14" s="28"/>
      <c r="WNS14" s="28"/>
      <c r="WNT14" s="28"/>
      <c r="WNU14" s="28"/>
      <c r="WNV14" s="28"/>
      <c r="WNW14" s="28"/>
      <c r="WNX14" s="28"/>
      <c r="WNY14" s="28"/>
      <c r="WNZ14" s="28"/>
      <c r="WOA14" s="28"/>
      <c r="WOB14" s="28"/>
      <c r="WOC14" s="28"/>
      <c r="WOD14" s="28"/>
      <c r="WOE14" s="28"/>
      <c r="WOF14" s="28"/>
      <c r="WOG14" s="28"/>
      <c r="WOH14" s="28"/>
      <c r="WOI14" s="28"/>
      <c r="WOJ14" s="28"/>
      <c r="WOK14" s="28"/>
      <c r="WOL14" s="28"/>
      <c r="WOM14" s="28"/>
      <c r="WON14" s="28"/>
      <c r="WOO14" s="28"/>
      <c r="WOP14" s="28"/>
      <c r="WOQ14" s="28"/>
      <c r="WOR14" s="28"/>
      <c r="WOS14" s="28"/>
      <c r="WOT14" s="28"/>
      <c r="WOU14" s="28"/>
      <c r="WOV14" s="28"/>
      <c r="WOW14" s="28"/>
      <c r="WOX14" s="28"/>
      <c r="WOY14" s="28"/>
      <c r="WOZ14" s="28"/>
      <c r="WPA14" s="28"/>
      <c r="WPB14" s="28"/>
      <c r="WPC14" s="28"/>
      <c r="WPD14" s="28"/>
      <c r="WPE14" s="28"/>
      <c r="WPF14" s="28"/>
      <c r="WPG14" s="28"/>
      <c r="WPH14" s="28"/>
      <c r="WPI14" s="28"/>
      <c r="WPJ14" s="28"/>
      <c r="WPK14" s="28"/>
      <c r="WPL14" s="28"/>
      <c r="WPM14" s="28"/>
      <c r="WPN14" s="28"/>
      <c r="WPO14" s="28"/>
      <c r="WPP14" s="28"/>
      <c r="WPQ14" s="28"/>
      <c r="WPR14" s="28"/>
      <c r="WPS14" s="28"/>
      <c r="WPT14" s="28"/>
      <c r="WPU14" s="28"/>
      <c r="WPV14" s="28"/>
      <c r="WPW14" s="28"/>
      <c r="WPX14" s="28"/>
      <c r="WPY14" s="28"/>
      <c r="WPZ14" s="28"/>
      <c r="WQA14" s="28"/>
      <c r="WQB14" s="28"/>
      <c r="WQC14" s="28"/>
      <c r="WQD14" s="28"/>
      <c r="WQE14" s="28"/>
      <c r="WQF14" s="28"/>
      <c r="WQG14" s="28"/>
      <c r="WQH14" s="28"/>
      <c r="WQI14" s="28"/>
      <c r="WQJ14" s="28"/>
      <c r="WQK14" s="28"/>
      <c r="WQL14" s="28"/>
      <c r="WQM14" s="28"/>
      <c r="WQN14" s="28"/>
      <c r="WQO14" s="28"/>
      <c r="WQP14" s="28"/>
      <c r="WQQ14" s="28"/>
      <c r="WQR14" s="28"/>
      <c r="WQS14" s="28"/>
      <c r="WQT14" s="28"/>
      <c r="WQU14" s="28"/>
      <c r="WQV14" s="28"/>
      <c r="WQW14" s="28"/>
      <c r="WQX14" s="28"/>
      <c r="WQY14" s="28"/>
      <c r="WQZ14" s="28"/>
      <c r="WRA14" s="28"/>
      <c r="WRB14" s="28"/>
      <c r="WRC14" s="28"/>
      <c r="WRD14" s="28"/>
      <c r="WRE14" s="28"/>
      <c r="WRF14" s="28"/>
      <c r="WRG14" s="28"/>
      <c r="WRH14" s="28"/>
      <c r="WRI14" s="28"/>
      <c r="WRJ14" s="28"/>
      <c r="WRK14" s="28"/>
      <c r="WRL14" s="28"/>
      <c r="WRM14" s="28"/>
      <c r="WRN14" s="28"/>
      <c r="WRO14" s="28"/>
      <c r="WRP14" s="28"/>
      <c r="WRQ14" s="28"/>
      <c r="WRR14" s="28"/>
      <c r="WRS14" s="28"/>
      <c r="WRT14" s="28"/>
      <c r="WRU14" s="28"/>
      <c r="WRV14" s="28"/>
      <c r="WRW14" s="28"/>
      <c r="WRX14" s="28"/>
      <c r="WRY14" s="28"/>
      <c r="WRZ14" s="28"/>
      <c r="WSA14" s="28"/>
      <c r="WSB14" s="28"/>
      <c r="WSC14" s="28"/>
      <c r="WSD14" s="28"/>
      <c r="WSE14" s="28"/>
      <c r="WSF14" s="28"/>
      <c r="WSG14" s="28"/>
      <c r="WSH14" s="28"/>
      <c r="WSI14" s="28"/>
      <c r="WSJ14" s="28"/>
      <c r="WSK14" s="28"/>
      <c r="WSL14" s="28"/>
      <c r="WSM14" s="28"/>
      <c r="WSN14" s="28"/>
      <c r="WSO14" s="28"/>
      <c r="WSP14" s="28"/>
      <c r="WSQ14" s="28"/>
      <c r="WSR14" s="28"/>
      <c r="WSS14" s="28"/>
      <c r="WST14" s="28"/>
      <c r="WSU14" s="28"/>
      <c r="WSV14" s="28"/>
      <c r="WSW14" s="28"/>
      <c r="WSX14" s="28"/>
      <c r="WSY14" s="28"/>
      <c r="WSZ14" s="28"/>
      <c r="WTA14" s="28"/>
      <c r="WTB14" s="28"/>
      <c r="WTC14" s="28"/>
      <c r="WTD14" s="28"/>
      <c r="WTE14" s="28"/>
      <c r="WTF14" s="28"/>
      <c r="WTG14" s="28"/>
      <c r="WTH14" s="28"/>
      <c r="WTI14" s="28"/>
      <c r="WTJ14" s="28"/>
      <c r="WTK14" s="28"/>
      <c r="WTL14" s="28"/>
      <c r="WTM14" s="28"/>
      <c r="WTN14" s="28"/>
      <c r="WTO14" s="28"/>
      <c r="WTP14" s="28"/>
      <c r="WTQ14" s="28"/>
      <c r="WTR14" s="28"/>
      <c r="WTS14" s="28"/>
      <c r="WTT14" s="28"/>
      <c r="WTU14" s="28"/>
      <c r="WTV14" s="28"/>
      <c r="WTW14" s="28"/>
      <c r="WTX14" s="28"/>
      <c r="WTY14" s="28"/>
      <c r="WTZ14" s="28"/>
      <c r="WUA14" s="28"/>
      <c r="WUB14" s="28"/>
      <c r="WUC14" s="28"/>
      <c r="WUD14" s="28"/>
      <c r="WUE14" s="28"/>
      <c r="WUF14" s="28"/>
      <c r="WUG14" s="28"/>
      <c r="WUH14" s="28"/>
      <c r="WUI14" s="28"/>
      <c r="WUJ14" s="28"/>
      <c r="WUK14" s="28"/>
      <c r="WUL14" s="28"/>
      <c r="WUM14" s="28"/>
      <c r="WUN14" s="28"/>
      <c r="WUO14" s="28"/>
      <c r="WUP14" s="28"/>
      <c r="WUQ14" s="28"/>
      <c r="WUR14" s="28"/>
      <c r="WUS14" s="28"/>
      <c r="WUT14" s="28"/>
      <c r="WUU14" s="28"/>
      <c r="WUV14" s="28"/>
      <c r="WUW14" s="28"/>
      <c r="WUX14" s="28"/>
      <c r="WUY14" s="28"/>
      <c r="WUZ14" s="28"/>
      <c r="WVA14" s="28"/>
      <c r="WVB14" s="28"/>
      <c r="WVC14" s="28"/>
      <c r="WVD14" s="28"/>
      <c r="WVE14" s="28"/>
      <c r="WVF14" s="28"/>
      <c r="WVG14" s="28"/>
      <c r="WVH14" s="28"/>
      <c r="WVI14" s="28"/>
      <c r="WVJ14" s="28"/>
      <c r="WVK14" s="28"/>
      <c r="WVL14" s="28"/>
      <c r="WVM14" s="28"/>
      <c r="WVN14" s="28"/>
      <c r="WVO14" s="28"/>
      <c r="WVP14" s="28"/>
      <c r="WVQ14" s="28"/>
      <c r="WVR14" s="28"/>
      <c r="WVS14" s="28"/>
      <c r="WVT14" s="28"/>
      <c r="WVU14" s="28"/>
      <c r="WVV14" s="28"/>
      <c r="WVW14" s="28"/>
      <c r="WVX14" s="28"/>
      <c r="WVY14" s="28"/>
      <c r="WVZ14" s="28"/>
      <c r="WWA14" s="28"/>
      <c r="WWB14" s="28"/>
      <c r="WWC14" s="28"/>
      <c r="WWD14" s="28"/>
      <c r="WWE14" s="28"/>
      <c r="WWF14" s="28"/>
      <c r="WWG14" s="28"/>
      <c r="WWH14" s="28"/>
      <c r="WWI14" s="28"/>
      <c r="WWJ14" s="28"/>
      <c r="WWK14" s="28"/>
      <c r="WWL14" s="28"/>
      <c r="WWM14" s="28"/>
      <c r="WWN14" s="28"/>
      <c r="WWO14" s="28"/>
      <c r="WWP14" s="28"/>
      <c r="WWQ14" s="28"/>
      <c r="WWR14" s="28"/>
      <c r="WWS14" s="28"/>
      <c r="WWT14" s="28"/>
      <c r="WWU14" s="28"/>
      <c r="WWV14" s="28"/>
      <c r="WWW14" s="28"/>
      <c r="WWX14" s="28"/>
      <c r="WWY14" s="28"/>
      <c r="WWZ14" s="28"/>
      <c r="WXA14" s="28"/>
      <c r="WXB14" s="28"/>
      <c r="WXC14" s="28"/>
      <c r="WXD14" s="28"/>
      <c r="WXE14" s="28"/>
      <c r="WXF14" s="28"/>
      <c r="WXG14" s="28"/>
      <c r="WXH14" s="28"/>
      <c r="WXI14" s="28"/>
      <c r="WXJ14" s="28"/>
      <c r="WXK14" s="28"/>
      <c r="WXL14" s="28"/>
      <c r="WXM14" s="28"/>
      <c r="WXN14" s="28"/>
      <c r="WXO14" s="28"/>
      <c r="WXP14" s="28"/>
      <c r="WXQ14" s="28"/>
      <c r="WXR14" s="28"/>
      <c r="WXS14" s="28"/>
      <c r="WXT14" s="28"/>
      <c r="WXU14" s="28"/>
      <c r="WXV14" s="28"/>
      <c r="WXW14" s="28"/>
      <c r="WXX14" s="28"/>
      <c r="WXY14" s="28"/>
      <c r="WXZ14" s="28"/>
      <c r="WYA14" s="28"/>
      <c r="WYB14" s="28"/>
      <c r="WYC14" s="28"/>
      <c r="WYD14" s="28"/>
      <c r="WYE14" s="28"/>
      <c r="WYF14" s="28"/>
      <c r="WYG14" s="28"/>
      <c r="WYH14" s="28"/>
      <c r="WYI14" s="28"/>
      <c r="WYJ14" s="28"/>
      <c r="WYK14" s="28"/>
      <c r="WYL14" s="28"/>
      <c r="WYM14" s="28"/>
      <c r="WYN14" s="28"/>
      <c r="WYO14" s="28"/>
      <c r="WYP14" s="28"/>
      <c r="WYQ14" s="28"/>
      <c r="WYR14" s="28"/>
      <c r="WYS14" s="28"/>
      <c r="WYT14" s="28"/>
      <c r="WYU14" s="28"/>
      <c r="WYV14" s="28"/>
      <c r="WYW14" s="28"/>
      <c r="WYX14" s="28"/>
      <c r="WYY14" s="28"/>
      <c r="WYZ14" s="28"/>
      <c r="WZA14" s="28"/>
      <c r="WZB14" s="28"/>
      <c r="WZC14" s="28"/>
      <c r="WZD14" s="28"/>
      <c r="WZE14" s="28"/>
      <c r="WZF14" s="28"/>
      <c r="WZG14" s="28"/>
      <c r="WZH14" s="28"/>
      <c r="WZI14" s="28"/>
      <c r="WZJ14" s="28"/>
      <c r="WZK14" s="28"/>
      <c r="WZL14" s="28"/>
      <c r="WZM14" s="28"/>
      <c r="WZN14" s="28"/>
      <c r="WZO14" s="28"/>
      <c r="WZP14" s="28"/>
      <c r="WZQ14" s="28"/>
      <c r="WZR14" s="28"/>
      <c r="WZS14" s="28"/>
      <c r="WZT14" s="28"/>
      <c r="WZU14" s="28"/>
      <c r="WZV14" s="28"/>
      <c r="WZW14" s="28"/>
      <c r="WZX14" s="28"/>
      <c r="WZY14" s="28"/>
      <c r="WZZ14" s="28"/>
      <c r="XAA14" s="28"/>
      <c r="XAB14" s="28"/>
      <c r="XAC14" s="28"/>
      <c r="XAD14" s="28"/>
      <c r="XAE14" s="28"/>
      <c r="XAF14" s="28"/>
      <c r="XAG14" s="28"/>
      <c r="XAH14" s="28"/>
      <c r="XAI14" s="28"/>
      <c r="XAJ14" s="28"/>
      <c r="XAK14" s="28"/>
      <c r="XAL14" s="28"/>
      <c r="XAM14" s="28"/>
      <c r="XAN14" s="28"/>
      <c r="XAO14" s="28"/>
      <c r="XAP14" s="28"/>
      <c r="XAQ14" s="28"/>
      <c r="XAR14" s="28"/>
      <c r="XAS14" s="28"/>
      <c r="XAT14" s="28"/>
      <c r="XAU14" s="28"/>
      <c r="XAV14" s="28"/>
      <c r="XAW14" s="28"/>
      <c r="XAX14" s="28"/>
      <c r="XAY14" s="28"/>
      <c r="XAZ14" s="28"/>
      <c r="XBA14" s="28"/>
      <c r="XBB14" s="28"/>
      <c r="XBC14" s="28"/>
      <c r="XBD14" s="28"/>
      <c r="XBE14" s="28"/>
      <c r="XBF14" s="28"/>
      <c r="XBG14" s="28"/>
      <c r="XBH14" s="28"/>
      <c r="XBI14" s="28"/>
      <c r="XBJ14" s="28"/>
      <c r="XBK14" s="28"/>
      <c r="XBL14" s="28"/>
      <c r="XBM14" s="28"/>
      <c r="XBN14" s="28"/>
      <c r="XBO14" s="28"/>
      <c r="XBP14" s="28"/>
      <c r="XBQ14" s="28"/>
      <c r="XBR14" s="28"/>
      <c r="XBS14" s="28"/>
      <c r="XBT14" s="28"/>
      <c r="XBU14" s="28"/>
      <c r="XBV14" s="28"/>
      <c r="XBW14" s="28"/>
      <c r="XBX14" s="28"/>
      <c r="XBY14" s="28"/>
      <c r="XBZ14" s="28"/>
      <c r="XCA14" s="28"/>
      <c r="XCB14" s="28"/>
      <c r="XCC14" s="28"/>
      <c r="XCD14" s="28"/>
      <c r="XCE14" s="28"/>
      <c r="XCF14" s="28"/>
      <c r="XCG14" s="28"/>
      <c r="XCH14" s="28"/>
      <c r="XCI14" s="28"/>
      <c r="XCJ14" s="28"/>
      <c r="XCK14" s="28"/>
      <c r="XCL14" s="28"/>
      <c r="XCM14" s="28"/>
      <c r="XCN14" s="28"/>
      <c r="XCO14" s="28"/>
      <c r="XCP14" s="28"/>
      <c r="XCQ14" s="28"/>
      <c r="XCR14" s="28"/>
      <c r="XCS14" s="28"/>
      <c r="XCT14" s="28"/>
      <c r="XCU14" s="28"/>
      <c r="XCV14" s="28"/>
      <c r="XCW14" s="28"/>
      <c r="XCX14" s="28"/>
      <c r="XCY14" s="28"/>
      <c r="XCZ14" s="28"/>
      <c r="XDA14" s="28"/>
      <c r="XDB14" s="28"/>
      <c r="XDC14" s="28"/>
      <c r="XDD14" s="28"/>
      <c r="XDE14" s="28"/>
      <c r="XDF14" s="28"/>
      <c r="XDG14" s="28"/>
      <c r="XDH14" s="28"/>
      <c r="XDI14" s="28"/>
      <c r="XDJ14" s="28"/>
      <c r="XDK14" s="28"/>
      <c r="XDL14" s="28"/>
      <c r="XDM14" s="28"/>
      <c r="XDN14" s="28"/>
      <c r="XDO14" s="28"/>
      <c r="XDP14" s="28"/>
      <c r="XDQ14" s="28"/>
      <c r="XDR14" s="28"/>
      <c r="XDS14" s="28"/>
      <c r="XDT14" s="28"/>
      <c r="XDU14" s="28"/>
      <c r="XDV14" s="28"/>
      <c r="XDW14" s="28"/>
      <c r="XDX14" s="28"/>
      <c r="XDY14" s="28"/>
      <c r="XDZ14" s="28"/>
      <c r="XEA14" s="28"/>
      <c r="XEB14" s="28"/>
      <c r="XEC14" s="28"/>
      <c r="XED14" s="28"/>
      <c r="XEE14" s="28"/>
      <c r="XEF14" s="28"/>
      <c r="XEG14" s="28"/>
      <c r="XEH14" s="28"/>
      <c r="XEI14" s="28"/>
      <c r="XEJ14" s="28"/>
      <c r="XEK14" s="28"/>
      <c r="XEL14" s="28"/>
      <c r="XEM14" s="28"/>
      <c r="XEN14" s="28"/>
      <c r="XEO14" s="28"/>
      <c r="XEP14" s="28"/>
      <c r="XEQ14" s="28"/>
      <c r="XER14" s="28"/>
      <c r="XES14" s="28"/>
      <c r="XET14" s="28"/>
      <c r="XEU14" s="28"/>
      <c r="XEV14" s="28"/>
      <c r="XEW14" s="28"/>
      <c r="XEX14" s="28"/>
      <c r="XEY14" s="28"/>
      <c r="XEZ14" s="28"/>
      <c r="XFA14" s="28"/>
      <c r="XFB14" s="28"/>
    </row>
    <row r="15" spans="1:16382" ht="34.5" customHeight="1" x14ac:dyDescent="0.25">
      <c r="B15" s="53" t="s">
        <v>50</v>
      </c>
      <c r="C15" s="43"/>
      <c r="D15" s="30"/>
      <c r="E15" s="37"/>
      <c r="F15" s="37"/>
      <c r="G15" s="37"/>
      <c r="H15" s="37"/>
      <c r="I15" s="37"/>
      <c r="J15" s="37"/>
      <c r="K15" s="37"/>
      <c r="L15" s="37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  <c r="XCZ15" s="17"/>
      <c r="XDA15" s="17"/>
      <c r="XDB15" s="17"/>
      <c r="XDC15" s="17"/>
      <c r="XDD15" s="17"/>
      <c r="XDE15" s="17"/>
      <c r="XDF15" s="17"/>
      <c r="XDG15" s="17"/>
      <c r="XDH15" s="17"/>
      <c r="XDI15" s="17"/>
      <c r="XDJ15" s="17"/>
      <c r="XDK15" s="17"/>
      <c r="XDL15" s="17"/>
      <c r="XDM15" s="17"/>
      <c r="XDN15" s="17"/>
      <c r="XDO15" s="17"/>
      <c r="XDP15" s="17"/>
      <c r="XDQ15" s="17"/>
      <c r="XDR15" s="17"/>
      <c r="XDS15" s="17"/>
      <c r="XDT15" s="17"/>
      <c r="XDU15" s="17"/>
      <c r="XDV15" s="17"/>
      <c r="XDW15" s="17"/>
      <c r="XDX15" s="17"/>
      <c r="XDY15" s="17"/>
      <c r="XDZ15" s="17"/>
      <c r="XEA15" s="17"/>
      <c r="XEB15" s="17"/>
      <c r="XEC15" s="17"/>
      <c r="XED15" s="17"/>
      <c r="XEE15" s="17"/>
      <c r="XEF15" s="17"/>
      <c r="XEG15" s="17"/>
      <c r="XEH15" s="17"/>
      <c r="XEI15" s="17"/>
      <c r="XEJ15" s="17"/>
      <c r="XEK15" s="17"/>
      <c r="XEL15" s="17"/>
      <c r="XEM15" s="17"/>
      <c r="XEN15" s="17"/>
      <c r="XEO15" s="17"/>
      <c r="XEP15" s="17"/>
      <c r="XEQ15" s="17"/>
      <c r="XER15" s="17"/>
      <c r="XES15" s="17"/>
      <c r="XET15" s="17"/>
      <c r="XEU15" s="17"/>
      <c r="XEV15" s="17"/>
      <c r="XEW15" s="17"/>
      <c r="XEX15" s="17"/>
      <c r="XEY15" s="17"/>
      <c r="XEZ15" s="17"/>
      <c r="XFA15" s="17"/>
      <c r="XFB15" s="17"/>
    </row>
    <row r="16" spans="1:16382" s="29" customFormat="1" ht="27.75" customHeight="1" x14ac:dyDescent="0.25">
      <c r="A16" s="18"/>
      <c r="B16" s="52" t="s">
        <v>974</v>
      </c>
      <c r="C16" s="23"/>
      <c r="D16" s="31"/>
      <c r="E16" s="37"/>
      <c r="F16" s="37" t="s">
        <v>49</v>
      </c>
      <c r="G16" s="41">
        <v>0.22</v>
      </c>
      <c r="H16" s="37"/>
      <c r="I16" s="37"/>
      <c r="J16" s="37" t="s">
        <v>49</v>
      </c>
      <c r="K16" s="41">
        <v>0.02</v>
      </c>
      <c r="L16" s="37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</row>
    <row r="17" spans="1:16382" s="29" customFormat="1" ht="27.75" customHeight="1" x14ac:dyDescent="0.25">
      <c r="A17" s="18"/>
      <c r="B17" s="42">
        <f>SUMIF('Mês atual'!$BM$5:$BM$980,"Bebidas",'Mês atual'!$BO$5:$BO$980)+SUMIF('Mês atual'!$BM$5:$BM$980,"Feirinha",'Mês atual'!$BO$5:$BO$980)+SUMIF('Mês atual'!$BM$5:$BM$980,"Hortifruti",'Mês atual'!$BO$5:$BO$980)+SUMIF('Mês atual'!$BM$5:$BM$980,"Mercado",'Mês atual'!$BO$5:$BO$980)+SUMIF('Mês atual'!$BM$5:$BM$980,"Carnes",'Mês atual'!$BO$5:$BO$980)+SUMIF('Mês atual'!$BM$5:$BM$980,"Sobremesa",'Mês atual'!$BO$5:$BO$980)+SUMIF('Mês atual'!$BM$5:$BM$980,"Sushi",'Mês atual'!$BO$5:$BO$980)+SUMIF('Mês atual'!$BM$5:$BM$980,"Vendas Caixa",'Mês atual'!$BO$5:$BO$980)</f>
        <v>162967.08234655793</v>
      </c>
      <c r="C17" s="38"/>
      <c r="D17" s="31"/>
      <c r="E17" s="37"/>
      <c r="F17" s="37" t="s">
        <v>48</v>
      </c>
      <c r="G17" s="41">
        <f>IFERROR(B17/$B$5,0%)</f>
        <v>0.28675209466602336</v>
      </c>
      <c r="H17" s="37"/>
      <c r="I17" s="37"/>
      <c r="J17" s="37" t="s">
        <v>48</v>
      </c>
      <c r="K17" s="41">
        <f>IFERROR(B19/$B$5,0%)</f>
        <v>2.0122827485247793E-2</v>
      </c>
      <c r="L17" s="37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</row>
    <row r="18" spans="1:16382" s="29" customFormat="1" ht="27.75" customHeight="1" x14ac:dyDescent="0.25">
      <c r="A18" s="18"/>
      <c r="B18" s="40" t="s">
        <v>973</v>
      </c>
      <c r="C18" s="23"/>
      <c r="D18" s="31"/>
      <c r="E18" s="37"/>
      <c r="F18" s="37"/>
      <c r="G18" s="37"/>
      <c r="H18" s="37"/>
      <c r="I18" s="37"/>
      <c r="J18" s="37"/>
      <c r="K18" s="37"/>
      <c r="L18" s="37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</row>
    <row r="19" spans="1:16382" s="29" customFormat="1" ht="27.75" customHeight="1" thickBot="1" x14ac:dyDescent="0.3">
      <c r="A19" s="18"/>
      <c r="B19" s="39">
        <f>SUMIF('Mês atual'!$BM$5:$BM$980,"Descartável",'Mês atual'!$BO$5:$BO$980)+SUMIF('Mês atual'!$BM$5:$BM$980,"Limpeza",'Mês atual'!$BO$5:$BO$980)</f>
        <v>11436.214572916668</v>
      </c>
      <c r="C19" s="38"/>
      <c r="D19" s="31"/>
      <c r="E19" s="37"/>
      <c r="F19" s="37"/>
      <c r="G19" s="37"/>
      <c r="H19" s="37"/>
      <c r="I19" s="37"/>
      <c r="J19" s="37"/>
      <c r="K19" s="37"/>
      <c r="L19" s="37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</row>
    <row r="20" spans="1:16382" ht="15" customHeight="1" x14ac:dyDescent="0.25"/>
    <row r="21" spans="1:16382" s="18" customFormat="1" ht="15" customHeight="1" x14ac:dyDescent="0.25"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  <c r="AAB21" s="19"/>
      <c r="AAC21" s="19"/>
      <c r="AAD21" s="19"/>
      <c r="AAE21" s="19"/>
      <c r="AAF21" s="19"/>
      <c r="AAG21" s="19"/>
      <c r="AAH21" s="19"/>
      <c r="AAI21" s="19"/>
      <c r="AAJ21" s="19"/>
      <c r="AAK21" s="19"/>
      <c r="AAL21" s="19"/>
      <c r="AAM21" s="19"/>
      <c r="AAN21" s="19"/>
      <c r="AAO21" s="19"/>
      <c r="AAP21" s="19"/>
      <c r="AAQ21" s="19"/>
      <c r="AAR21" s="19"/>
      <c r="AAS21" s="19"/>
      <c r="AAT21" s="19"/>
      <c r="AAU21" s="19"/>
      <c r="AAV21" s="19"/>
      <c r="AAW21" s="19"/>
      <c r="AAX21" s="19"/>
      <c r="AAY21" s="19"/>
      <c r="AAZ21" s="19"/>
      <c r="ABA21" s="19"/>
      <c r="ABB21" s="19"/>
      <c r="ABC21" s="19"/>
      <c r="ABD21" s="19"/>
      <c r="ABE21" s="19"/>
      <c r="ABF21" s="19"/>
      <c r="ABG21" s="19"/>
      <c r="ABH21" s="19"/>
      <c r="ABI21" s="19"/>
      <c r="ABJ21" s="19"/>
      <c r="ABK21" s="19"/>
      <c r="ABL21" s="19"/>
      <c r="ABM21" s="19"/>
      <c r="ABN21" s="19"/>
      <c r="ABO21" s="19"/>
      <c r="ABP21" s="19"/>
      <c r="ABQ21" s="19"/>
      <c r="ABR21" s="19"/>
      <c r="ABS21" s="19"/>
      <c r="ABT21" s="19"/>
      <c r="ABU21" s="19"/>
      <c r="ABV21" s="19"/>
      <c r="ABW21" s="19"/>
      <c r="ABX21" s="19"/>
      <c r="ABY21" s="19"/>
      <c r="ABZ21" s="19"/>
      <c r="ACA21" s="19"/>
      <c r="ACB21" s="19"/>
      <c r="ACC21" s="19"/>
      <c r="ACD21" s="19"/>
      <c r="ACE21" s="19"/>
      <c r="ACF21" s="19"/>
      <c r="ACG21" s="19"/>
      <c r="ACH21" s="19"/>
      <c r="ACI21" s="19"/>
      <c r="ACJ21" s="19"/>
      <c r="ACK21" s="19"/>
      <c r="ACL21" s="19"/>
      <c r="ACM21" s="19"/>
      <c r="ACN21" s="19"/>
      <c r="ACO21" s="19"/>
      <c r="ACP21" s="19"/>
      <c r="ACQ21" s="19"/>
      <c r="ACR21" s="19"/>
      <c r="ACS21" s="19"/>
      <c r="ACT21" s="19"/>
      <c r="ACU21" s="19"/>
      <c r="ACV21" s="19"/>
      <c r="ACW21" s="19"/>
      <c r="ACX21" s="19"/>
      <c r="ACY21" s="19"/>
      <c r="ACZ21" s="19"/>
      <c r="ADA21" s="19"/>
      <c r="ADB21" s="19"/>
      <c r="ADC21" s="19"/>
      <c r="ADD21" s="19"/>
      <c r="ADE21" s="19"/>
      <c r="ADF21" s="19"/>
      <c r="ADG21" s="19"/>
      <c r="ADH21" s="19"/>
      <c r="ADI21" s="19"/>
      <c r="ADJ21" s="19"/>
      <c r="ADK21" s="19"/>
      <c r="ADL21" s="19"/>
      <c r="ADM21" s="19"/>
      <c r="ADN21" s="19"/>
      <c r="ADO21" s="19"/>
      <c r="ADP21" s="19"/>
      <c r="ADQ21" s="19"/>
      <c r="ADR21" s="19"/>
      <c r="ADS21" s="19"/>
      <c r="ADT21" s="19"/>
      <c r="ADU21" s="19"/>
      <c r="ADV21" s="19"/>
      <c r="ADW21" s="19"/>
      <c r="ADX21" s="19"/>
      <c r="ADY21" s="19"/>
      <c r="ADZ21" s="19"/>
      <c r="AEA21" s="19"/>
      <c r="AEB21" s="19"/>
      <c r="AEC21" s="19"/>
      <c r="AED21" s="19"/>
      <c r="AEE21" s="19"/>
      <c r="AEF21" s="19"/>
      <c r="AEG21" s="19"/>
      <c r="AEH21" s="19"/>
      <c r="AEI21" s="19"/>
      <c r="AEJ21" s="19"/>
      <c r="AEK21" s="19"/>
      <c r="AEL21" s="19"/>
      <c r="AEM21" s="19"/>
      <c r="AEN21" s="19"/>
      <c r="AEO21" s="19"/>
      <c r="AEP21" s="19"/>
      <c r="AEQ21" s="19"/>
      <c r="AER21" s="19"/>
      <c r="AES21" s="19"/>
      <c r="AET21" s="19"/>
      <c r="AEU21" s="19"/>
      <c r="AEV21" s="19"/>
      <c r="AEW21" s="19"/>
      <c r="AEX21" s="19"/>
      <c r="AEY21" s="19"/>
      <c r="AEZ21" s="19"/>
      <c r="AFA21" s="19"/>
      <c r="AFB21" s="19"/>
      <c r="AFC21" s="19"/>
      <c r="AFD21" s="19"/>
      <c r="AFE21" s="19"/>
      <c r="AFF21" s="19"/>
      <c r="AFG21" s="19"/>
      <c r="AFH21" s="19"/>
      <c r="AFI21" s="19"/>
      <c r="AFJ21" s="19"/>
      <c r="AFK21" s="19"/>
      <c r="AFL21" s="19"/>
      <c r="AFM21" s="19"/>
      <c r="AFN21" s="19"/>
      <c r="AFO21" s="19"/>
      <c r="AFP21" s="19"/>
      <c r="AFQ21" s="19"/>
      <c r="AFR21" s="19"/>
      <c r="AFS21" s="19"/>
      <c r="AFT21" s="19"/>
      <c r="AFU21" s="19"/>
      <c r="AFV21" s="19"/>
      <c r="AFW21" s="19"/>
      <c r="AFX21" s="19"/>
      <c r="AFY21" s="19"/>
      <c r="AFZ21" s="19"/>
      <c r="AGA21" s="19"/>
      <c r="AGB21" s="19"/>
      <c r="AGC21" s="19"/>
      <c r="AGD21" s="19"/>
      <c r="AGE21" s="19"/>
      <c r="AGF21" s="19"/>
      <c r="AGG21" s="19"/>
      <c r="AGH21" s="19"/>
      <c r="AGI21" s="19"/>
      <c r="AGJ21" s="19"/>
      <c r="AGK21" s="19"/>
      <c r="AGL21" s="19"/>
      <c r="AGM21" s="19"/>
      <c r="AGN21" s="19"/>
      <c r="AGO21" s="19"/>
      <c r="AGP21" s="19"/>
      <c r="AGQ21" s="19"/>
      <c r="AGR21" s="19"/>
      <c r="AGS21" s="19"/>
      <c r="AGT21" s="19"/>
      <c r="AGU21" s="19"/>
      <c r="AGV21" s="19"/>
      <c r="AGW21" s="19"/>
      <c r="AGX21" s="19"/>
      <c r="AGY21" s="19"/>
      <c r="AGZ21" s="19"/>
      <c r="AHA21" s="19"/>
      <c r="AHB21" s="19"/>
      <c r="AHC21" s="19"/>
      <c r="AHD21" s="19"/>
      <c r="AHE21" s="19"/>
      <c r="AHF21" s="19"/>
      <c r="AHG21" s="19"/>
      <c r="AHH21" s="19"/>
      <c r="AHI21" s="19"/>
      <c r="AHJ21" s="19"/>
      <c r="AHK21" s="19"/>
      <c r="AHL21" s="19"/>
      <c r="AHM21" s="19"/>
      <c r="AHN21" s="19"/>
      <c r="AHO21" s="19"/>
      <c r="AHP21" s="19"/>
      <c r="AHQ21" s="19"/>
      <c r="AHR21" s="19"/>
      <c r="AHS21" s="19"/>
      <c r="AHT21" s="19"/>
      <c r="AHU21" s="19"/>
      <c r="AHV21" s="19"/>
      <c r="AHW21" s="19"/>
      <c r="AHX21" s="19"/>
      <c r="AHY21" s="19"/>
      <c r="AHZ21" s="19"/>
      <c r="AIA21" s="19"/>
      <c r="AIB21" s="19"/>
      <c r="AIC21" s="19"/>
      <c r="AID21" s="19"/>
      <c r="AIE21" s="19"/>
      <c r="AIF21" s="19"/>
      <c r="AIG21" s="19"/>
      <c r="AIH21" s="19"/>
      <c r="AII21" s="19"/>
      <c r="AIJ21" s="19"/>
      <c r="AIK21" s="19"/>
      <c r="AIL21" s="19"/>
      <c r="AIM21" s="19"/>
      <c r="AIN21" s="19"/>
      <c r="AIO21" s="19"/>
      <c r="AIP21" s="19"/>
      <c r="AIQ21" s="19"/>
      <c r="AIR21" s="19"/>
      <c r="AIS21" s="19"/>
      <c r="AIT21" s="19"/>
      <c r="AIU21" s="19"/>
      <c r="AIV21" s="19"/>
      <c r="AIW21" s="19"/>
      <c r="AIX21" s="19"/>
      <c r="AIY21" s="19"/>
      <c r="AIZ21" s="19"/>
      <c r="AJA21" s="19"/>
      <c r="AJB21" s="19"/>
      <c r="AJC21" s="19"/>
      <c r="AJD21" s="19"/>
      <c r="AJE21" s="19"/>
      <c r="AJF21" s="19"/>
      <c r="AJG21" s="19"/>
      <c r="AJH21" s="19"/>
      <c r="AJI21" s="19"/>
      <c r="AJJ21" s="19"/>
      <c r="AJK21" s="19"/>
      <c r="AJL21" s="19"/>
      <c r="AJM21" s="19"/>
      <c r="AJN21" s="19"/>
      <c r="AJO21" s="19"/>
      <c r="AJP21" s="19"/>
      <c r="AJQ21" s="19"/>
      <c r="AJR21" s="19"/>
      <c r="AJS21" s="19"/>
      <c r="AJT21" s="19"/>
      <c r="AJU21" s="19"/>
      <c r="AJV21" s="19"/>
      <c r="AJW21" s="19"/>
      <c r="AJX21" s="19"/>
      <c r="AJY21" s="19"/>
      <c r="AJZ21" s="19"/>
      <c r="AKA21" s="19"/>
      <c r="AKB21" s="19"/>
      <c r="AKC21" s="19"/>
      <c r="AKD21" s="19"/>
      <c r="AKE21" s="19"/>
      <c r="AKF21" s="19"/>
      <c r="AKG21" s="19"/>
      <c r="AKH21" s="19"/>
      <c r="AKI21" s="19"/>
      <c r="AKJ21" s="19"/>
      <c r="AKK21" s="19"/>
      <c r="AKL21" s="19"/>
      <c r="AKM21" s="19"/>
      <c r="AKN21" s="19"/>
      <c r="AKO21" s="19"/>
      <c r="AKP21" s="19"/>
      <c r="AKQ21" s="19"/>
      <c r="AKR21" s="19"/>
      <c r="AKS21" s="19"/>
      <c r="AKT21" s="19"/>
      <c r="AKU21" s="19"/>
      <c r="AKV21" s="19"/>
      <c r="AKW21" s="19"/>
      <c r="AKX21" s="19"/>
      <c r="AKY21" s="19"/>
      <c r="AKZ21" s="19"/>
      <c r="ALA21" s="19"/>
      <c r="ALB21" s="19"/>
      <c r="ALC21" s="19"/>
      <c r="ALD21" s="19"/>
      <c r="ALE21" s="19"/>
      <c r="ALF21" s="19"/>
      <c r="ALG21" s="19"/>
      <c r="ALH21" s="19"/>
      <c r="ALI21" s="19"/>
      <c r="ALJ21" s="19"/>
      <c r="ALK21" s="19"/>
      <c r="ALL21" s="19"/>
      <c r="ALM21" s="19"/>
      <c r="ALN21" s="19"/>
      <c r="ALO21" s="19"/>
      <c r="ALP21" s="19"/>
      <c r="ALQ21" s="19"/>
      <c r="ALR21" s="19"/>
      <c r="ALS21" s="19"/>
      <c r="ALT21" s="19"/>
      <c r="ALU21" s="19"/>
      <c r="ALV21" s="19"/>
      <c r="ALW21" s="19"/>
      <c r="ALX21" s="19"/>
      <c r="ALY21" s="19"/>
      <c r="ALZ21" s="19"/>
      <c r="AMA21" s="19"/>
      <c r="AMB21" s="19"/>
      <c r="AMC21" s="19"/>
      <c r="AMD21" s="19"/>
      <c r="AME21" s="19"/>
      <c r="AMF21" s="19"/>
      <c r="AMG21" s="19"/>
      <c r="AMH21" s="19"/>
      <c r="AMI21" s="19"/>
      <c r="AMJ21" s="19"/>
      <c r="AMK21" s="19"/>
      <c r="AML21" s="19"/>
      <c r="AMM21" s="19"/>
      <c r="AMN21" s="19"/>
      <c r="AMO21" s="19"/>
      <c r="AMP21" s="19"/>
      <c r="AMQ21" s="19"/>
      <c r="AMR21" s="19"/>
      <c r="AMS21" s="19"/>
      <c r="AMT21" s="19"/>
      <c r="AMU21" s="19"/>
      <c r="AMV21" s="19"/>
      <c r="AMW21" s="19"/>
      <c r="AMX21" s="19"/>
      <c r="AMY21" s="19"/>
      <c r="AMZ21" s="19"/>
      <c r="ANA21" s="19"/>
      <c r="ANB21" s="19"/>
      <c r="ANC21" s="19"/>
      <c r="AND21" s="19"/>
      <c r="ANE21" s="19"/>
      <c r="ANF21" s="19"/>
      <c r="ANG21" s="19"/>
      <c r="ANH21" s="19"/>
      <c r="ANI21" s="19"/>
      <c r="ANJ21" s="19"/>
      <c r="ANK21" s="19"/>
      <c r="ANL21" s="19"/>
      <c r="ANM21" s="19"/>
      <c r="ANN21" s="19"/>
      <c r="ANO21" s="19"/>
      <c r="ANP21" s="19"/>
      <c r="ANQ21" s="19"/>
      <c r="ANR21" s="19"/>
      <c r="ANS21" s="19"/>
      <c r="ANT21" s="19"/>
      <c r="ANU21" s="19"/>
      <c r="ANV21" s="19"/>
      <c r="ANW21" s="19"/>
      <c r="ANX21" s="19"/>
      <c r="ANY21" s="19"/>
      <c r="ANZ21" s="19"/>
      <c r="AOA21" s="19"/>
      <c r="AOB21" s="19"/>
      <c r="AOC21" s="19"/>
      <c r="AOD21" s="19"/>
      <c r="AOE21" s="19"/>
      <c r="AOF21" s="19"/>
      <c r="AOG21" s="19"/>
      <c r="AOH21" s="19"/>
      <c r="AOI21" s="19"/>
      <c r="AOJ21" s="19"/>
      <c r="AOK21" s="19"/>
      <c r="AOL21" s="19"/>
      <c r="AOM21" s="19"/>
      <c r="AON21" s="19"/>
      <c r="AOO21" s="19"/>
      <c r="AOP21" s="19"/>
      <c r="AOQ21" s="19"/>
      <c r="AOR21" s="19"/>
      <c r="AOS21" s="19"/>
      <c r="AOT21" s="19"/>
      <c r="AOU21" s="19"/>
      <c r="AOV21" s="19"/>
      <c r="AOW21" s="19"/>
      <c r="AOX21" s="19"/>
      <c r="AOY21" s="19"/>
      <c r="AOZ21" s="19"/>
      <c r="APA21" s="19"/>
      <c r="APB21" s="19"/>
      <c r="APC21" s="19"/>
      <c r="APD21" s="19"/>
      <c r="APE21" s="19"/>
      <c r="APF21" s="19"/>
      <c r="APG21" s="19"/>
      <c r="APH21" s="19"/>
      <c r="API21" s="19"/>
      <c r="APJ21" s="19"/>
      <c r="APK21" s="19"/>
      <c r="APL21" s="19"/>
      <c r="APM21" s="19"/>
      <c r="APN21" s="19"/>
      <c r="APO21" s="19"/>
      <c r="APP21" s="19"/>
      <c r="APQ21" s="19"/>
      <c r="APR21" s="19"/>
      <c r="APS21" s="19"/>
      <c r="APT21" s="19"/>
      <c r="APU21" s="19"/>
      <c r="APV21" s="19"/>
      <c r="APW21" s="19"/>
      <c r="APX21" s="19"/>
      <c r="APY21" s="19"/>
      <c r="APZ21" s="19"/>
      <c r="AQA21" s="19"/>
      <c r="AQB21" s="19"/>
      <c r="AQC21" s="19"/>
      <c r="AQD21" s="19"/>
      <c r="AQE21" s="19"/>
      <c r="AQF21" s="19"/>
      <c r="AQG21" s="19"/>
      <c r="AQH21" s="19"/>
      <c r="AQI21" s="19"/>
      <c r="AQJ21" s="19"/>
      <c r="AQK21" s="19"/>
      <c r="AQL21" s="19"/>
      <c r="AQM21" s="19"/>
      <c r="AQN21" s="19"/>
      <c r="AQO21" s="19"/>
      <c r="AQP21" s="19"/>
      <c r="AQQ21" s="19"/>
      <c r="AQR21" s="19"/>
      <c r="AQS21" s="19"/>
      <c r="AQT21" s="19"/>
      <c r="AQU21" s="19"/>
      <c r="AQV21" s="19"/>
      <c r="AQW21" s="19"/>
      <c r="AQX21" s="19"/>
      <c r="AQY21" s="19"/>
      <c r="AQZ21" s="19"/>
      <c r="ARA21" s="19"/>
      <c r="ARB21" s="19"/>
      <c r="ARC21" s="19"/>
      <c r="ARD21" s="19"/>
      <c r="ARE21" s="19"/>
      <c r="ARF21" s="19"/>
      <c r="ARG21" s="19"/>
      <c r="ARH21" s="19"/>
      <c r="ARI21" s="19"/>
      <c r="ARJ21" s="19"/>
      <c r="ARK21" s="19"/>
      <c r="ARL21" s="19"/>
      <c r="ARM21" s="19"/>
      <c r="ARN21" s="19"/>
      <c r="ARO21" s="19"/>
      <c r="ARP21" s="19"/>
      <c r="ARQ21" s="19"/>
      <c r="ARR21" s="19"/>
      <c r="ARS21" s="19"/>
      <c r="ART21" s="19"/>
      <c r="ARU21" s="19"/>
      <c r="ARV21" s="19"/>
      <c r="ARW21" s="19"/>
      <c r="ARX21" s="19"/>
      <c r="ARY21" s="19"/>
      <c r="ARZ21" s="19"/>
      <c r="ASA21" s="19"/>
      <c r="ASB21" s="19"/>
      <c r="ASC21" s="19"/>
      <c r="ASD21" s="19"/>
      <c r="ASE21" s="19"/>
      <c r="ASF21" s="19"/>
      <c r="ASG21" s="19"/>
      <c r="ASH21" s="19"/>
      <c r="ASI21" s="19"/>
      <c r="ASJ21" s="19"/>
      <c r="ASK21" s="19"/>
      <c r="ASL21" s="19"/>
      <c r="ASM21" s="19"/>
      <c r="ASN21" s="19"/>
      <c r="ASO21" s="19"/>
      <c r="ASP21" s="19"/>
      <c r="ASQ21" s="19"/>
      <c r="ASR21" s="19"/>
      <c r="ASS21" s="19"/>
      <c r="AST21" s="19"/>
      <c r="ASU21" s="19"/>
      <c r="ASV21" s="19"/>
      <c r="ASW21" s="19"/>
      <c r="ASX21" s="19"/>
      <c r="ASY21" s="19"/>
      <c r="ASZ21" s="19"/>
      <c r="ATA21" s="19"/>
      <c r="ATB21" s="19"/>
      <c r="ATC21" s="19"/>
      <c r="ATD21" s="19"/>
      <c r="ATE21" s="19"/>
      <c r="ATF21" s="19"/>
      <c r="ATG21" s="19"/>
      <c r="ATH21" s="19"/>
      <c r="ATI21" s="19"/>
      <c r="ATJ21" s="19"/>
      <c r="ATK21" s="19"/>
      <c r="ATL21" s="19"/>
      <c r="ATM21" s="19"/>
      <c r="ATN21" s="19"/>
      <c r="ATO21" s="19"/>
      <c r="ATP21" s="19"/>
      <c r="ATQ21" s="19"/>
      <c r="ATR21" s="19"/>
      <c r="ATS21" s="19"/>
      <c r="ATT21" s="19"/>
      <c r="ATU21" s="19"/>
      <c r="ATV21" s="19"/>
      <c r="ATW21" s="19"/>
      <c r="ATX21" s="19"/>
      <c r="ATY21" s="19"/>
      <c r="ATZ21" s="19"/>
      <c r="AUA21" s="19"/>
      <c r="AUB21" s="19"/>
      <c r="AUC21" s="19"/>
      <c r="AUD21" s="19"/>
      <c r="AUE21" s="19"/>
      <c r="AUF21" s="19"/>
      <c r="AUG21" s="19"/>
      <c r="AUH21" s="19"/>
      <c r="AUI21" s="19"/>
      <c r="AUJ21" s="19"/>
      <c r="AUK21" s="19"/>
      <c r="AUL21" s="19"/>
      <c r="AUM21" s="19"/>
      <c r="AUN21" s="19"/>
      <c r="AUO21" s="19"/>
      <c r="AUP21" s="19"/>
      <c r="AUQ21" s="19"/>
      <c r="AUR21" s="19"/>
      <c r="AUS21" s="19"/>
      <c r="AUT21" s="19"/>
      <c r="AUU21" s="19"/>
      <c r="AUV21" s="19"/>
      <c r="AUW21" s="19"/>
      <c r="AUX21" s="19"/>
      <c r="AUY21" s="19"/>
      <c r="AUZ21" s="19"/>
      <c r="AVA21" s="19"/>
      <c r="AVB21" s="19"/>
      <c r="AVC21" s="19"/>
      <c r="AVD21" s="19"/>
      <c r="AVE21" s="19"/>
      <c r="AVF21" s="19"/>
      <c r="AVG21" s="19"/>
      <c r="AVH21" s="19"/>
      <c r="AVI21" s="19"/>
      <c r="AVJ21" s="19"/>
      <c r="AVK21" s="19"/>
      <c r="AVL21" s="19"/>
      <c r="AVM21" s="19"/>
      <c r="AVN21" s="19"/>
      <c r="AVO21" s="19"/>
      <c r="AVP21" s="19"/>
      <c r="AVQ21" s="19"/>
      <c r="AVR21" s="19"/>
      <c r="AVS21" s="19"/>
      <c r="AVT21" s="19"/>
      <c r="AVU21" s="19"/>
      <c r="AVV21" s="19"/>
      <c r="AVW21" s="19"/>
      <c r="AVX21" s="19"/>
      <c r="AVY21" s="19"/>
      <c r="AVZ21" s="19"/>
      <c r="AWA21" s="19"/>
      <c r="AWB21" s="19"/>
      <c r="AWC21" s="19"/>
      <c r="AWD21" s="19"/>
      <c r="AWE21" s="19"/>
      <c r="AWF21" s="19"/>
      <c r="AWG21" s="19"/>
      <c r="AWH21" s="19"/>
      <c r="AWI21" s="19"/>
      <c r="AWJ21" s="19"/>
      <c r="AWK21" s="19"/>
      <c r="AWL21" s="19"/>
      <c r="AWM21" s="19"/>
      <c r="AWN21" s="19"/>
      <c r="AWO21" s="19"/>
      <c r="AWP21" s="19"/>
      <c r="AWQ21" s="19"/>
      <c r="AWR21" s="19"/>
      <c r="AWS21" s="19"/>
      <c r="AWT21" s="19"/>
      <c r="AWU21" s="19"/>
      <c r="AWV21" s="19"/>
      <c r="AWW21" s="19"/>
      <c r="AWX21" s="19"/>
      <c r="AWY21" s="19"/>
      <c r="AWZ21" s="19"/>
      <c r="AXA21" s="19"/>
      <c r="AXB21" s="19"/>
      <c r="AXC21" s="19"/>
      <c r="AXD21" s="19"/>
      <c r="AXE21" s="19"/>
      <c r="AXF21" s="19"/>
      <c r="AXG21" s="19"/>
      <c r="AXH21" s="19"/>
      <c r="AXI21" s="19"/>
      <c r="AXJ21" s="19"/>
      <c r="AXK21" s="19"/>
      <c r="AXL21" s="19"/>
      <c r="AXM21" s="19"/>
      <c r="AXN21" s="19"/>
      <c r="AXO21" s="19"/>
      <c r="AXP21" s="19"/>
      <c r="AXQ21" s="19"/>
      <c r="AXR21" s="19"/>
      <c r="AXS21" s="19"/>
      <c r="AXT21" s="19"/>
      <c r="AXU21" s="19"/>
      <c r="AXV21" s="19"/>
      <c r="AXW21" s="19"/>
      <c r="AXX21" s="19"/>
      <c r="AXY21" s="19"/>
      <c r="AXZ21" s="19"/>
      <c r="AYA21" s="19"/>
      <c r="AYB21" s="19"/>
      <c r="AYC21" s="19"/>
      <c r="AYD21" s="19"/>
      <c r="AYE21" s="19"/>
      <c r="AYF21" s="19"/>
      <c r="AYG21" s="19"/>
      <c r="AYH21" s="19"/>
      <c r="AYI21" s="19"/>
      <c r="AYJ21" s="19"/>
      <c r="AYK21" s="19"/>
      <c r="AYL21" s="19"/>
      <c r="AYM21" s="19"/>
      <c r="AYN21" s="19"/>
      <c r="AYO21" s="19"/>
      <c r="AYP21" s="19"/>
      <c r="AYQ21" s="19"/>
      <c r="AYR21" s="19"/>
      <c r="AYS21" s="19"/>
      <c r="AYT21" s="19"/>
      <c r="AYU21" s="19"/>
      <c r="AYV21" s="19"/>
      <c r="AYW21" s="19"/>
      <c r="AYX21" s="19"/>
      <c r="AYY21" s="19"/>
      <c r="AYZ21" s="19"/>
      <c r="AZA21" s="19"/>
      <c r="AZB21" s="19"/>
      <c r="AZC21" s="19"/>
      <c r="AZD21" s="19"/>
      <c r="AZE21" s="19"/>
      <c r="AZF21" s="19"/>
      <c r="AZG21" s="19"/>
      <c r="AZH21" s="19"/>
      <c r="AZI21" s="19"/>
      <c r="AZJ21" s="19"/>
      <c r="AZK21" s="19"/>
      <c r="AZL21" s="19"/>
      <c r="AZM21" s="19"/>
      <c r="AZN21" s="19"/>
      <c r="AZO21" s="19"/>
      <c r="AZP21" s="19"/>
      <c r="AZQ21" s="19"/>
      <c r="AZR21" s="19"/>
      <c r="AZS21" s="19"/>
      <c r="AZT21" s="19"/>
      <c r="AZU21" s="19"/>
      <c r="AZV21" s="19"/>
      <c r="AZW21" s="19"/>
      <c r="AZX21" s="19"/>
      <c r="AZY21" s="19"/>
      <c r="AZZ21" s="19"/>
      <c r="BAA21" s="19"/>
      <c r="BAB21" s="19"/>
      <c r="BAC21" s="19"/>
      <c r="BAD21" s="19"/>
      <c r="BAE21" s="19"/>
      <c r="BAF21" s="19"/>
      <c r="BAG21" s="19"/>
      <c r="BAH21" s="19"/>
      <c r="BAI21" s="19"/>
      <c r="BAJ21" s="19"/>
      <c r="BAK21" s="19"/>
      <c r="BAL21" s="19"/>
      <c r="BAM21" s="19"/>
      <c r="BAN21" s="19"/>
      <c r="BAO21" s="19"/>
      <c r="BAP21" s="19"/>
      <c r="BAQ21" s="19"/>
      <c r="BAR21" s="19"/>
      <c r="BAS21" s="19"/>
      <c r="BAT21" s="19"/>
      <c r="BAU21" s="19"/>
      <c r="BAV21" s="19"/>
      <c r="BAW21" s="19"/>
      <c r="BAX21" s="19"/>
      <c r="BAY21" s="19"/>
      <c r="BAZ21" s="19"/>
      <c r="BBA21" s="19"/>
      <c r="BBB21" s="19"/>
      <c r="BBC21" s="19"/>
      <c r="BBD21" s="19"/>
      <c r="BBE21" s="19"/>
      <c r="BBF21" s="19"/>
      <c r="BBG21" s="19"/>
      <c r="BBH21" s="19"/>
      <c r="BBI21" s="19"/>
      <c r="BBJ21" s="19"/>
      <c r="BBK21" s="19"/>
      <c r="BBL21" s="19"/>
      <c r="BBM21" s="19"/>
      <c r="BBN21" s="19"/>
      <c r="BBO21" s="19"/>
      <c r="BBP21" s="19"/>
      <c r="BBQ21" s="19"/>
      <c r="BBR21" s="19"/>
      <c r="BBS21" s="19"/>
      <c r="BBT21" s="19"/>
      <c r="BBU21" s="19"/>
      <c r="BBV21" s="19"/>
      <c r="BBW21" s="19"/>
      <c r="BBX21" s="19"/>
      <c r="BBY21" s="19"/>
      <c r="BBZ21" s="19"/>
      <c r="BCA21" s="19"/>
      <c r="BCB21" s="19"/>
      <c r="BCC21" s="19"/>
      <c r="BCD21" s="19"/>
      <c r="BCE21" s="19"/>
      <c r="BCF21" s="19"/>
      <c r="BCG21" s="19"/>
      <c r="BCH21" s="19"/>
      <c r="BCI21" s="19"/>
      <c r="BCJ21" s="19"/>
      <c r="BCK21" s="19"/>
      <c r="BCL21" s="19"/>
      <c r="BCM21" s="19"/>
      <c r="BCN21" s="19"/>
      <c r="BCO21" s="19"/>
      <c r="BCP21" s="19"/>
      <c r="BCQ21" s="19"/>
      <c r="BCR21" s="19"/>
      <c r="BCS21" s="19"/>
      <c r="BCT21" s="19"/>
      <c r="BCU21" s="19"/>
      <c r="BCV21" s="19"/>
      <c r="BCW21" s="19"/>
      <c r="BCX21" s="19"/>
      <c r="BCY21" s="19"/>
      <c r="BCZ21" s="19"/>
      <c r="BDA21" s="19"/>
      <c r="BDB21" s="19"/>
      <c r="BDC21" s="19"/>
      <c r="BDD21" s="19"/>
      <c r="BDE21" s="19"/>
      <c r="BDF21" s="19"/>
      <c r="BDG21" s="19"/>
      <c r="BDH21" s="19"/>
      <c r="BDI21" s="19"/>
      <c r="BDJ21" s="19"/>
      <c r="BDK21" s="19"/>
      <c r="BDL21" s="19"/>
      <c r="BDM21" s="19"/>
      <c r="BDN21" s="19"/>
      <c r="BDO21" s="19"/>
      <c r="BDP21" s="19"/>
      <c r="BDQ21" s="19"/>
      <c r="BDR21" s="19"/>
      <c r="BDS21" s="19"/>
      <c r="BDT21" s="19"/>
      <c r="BDU21" s="19"/>
      <c r="BDV21" s="19"/>
      <c r="BDW21" s="19"/>
      <c r="BDX21" s="19"/>
      <c r="BDY21" s="19"/>
      <c r="BDZ21" s="19"/>
      <c r="BEA21" s="19"/>
      <c r="BEB21" s="19"/>
      <c r="BEC21" s="19"/>
      <c r="BED21" s="19"/>
      <c r="BEE21" s="19"/>
      <c r="BEF21" s="19"/>
      <c r="BEG21" s="19"/>
      <c r="BEH21" s="19"/>
      <c r="BEI21" s="19"/>
      <c r="BEJ21" s="19"/>
      <c r="BEK21" s="19"/>
      <c r="BEL21" s="19"/>
      <c r="BEM21" s="19"/>
      <c r="BEN21" s="19"/>
      <c r="BEO21" s="19"/>
      <c r="BEP21" s="19"/>
      <c r="BEQ21" s="19"/>
      <c r="BER21" s="19"/>
      <c r="BES21" s="19"/>
      <c r="BET21" s="19"/>
      <c r="BEU21" s="19"/>
      <c r="BEV21" s="19"/>
      <c r="BEW21" s="19"/>
      <c r="BEX21" s="19"/>
      <c r="BEY21" s="19"/>
      <c r="BEZ21" s="19"/>
      <c r="BFA21" s="19"/>
      <c r="BFB21" s="19"/>
      <c r="BFC21" s="19"/>
      <c r="BFD21" s="19"/>
      <c r="BFE21" s="19"/>
      <c r="BFF21" s="19"/>
      <c r="BFG21" s="19"/>
      <c r="BFH21" s="19"/>
      <c r="BFI21" s="19"/>
      <c r="BFJ21" s="19"/>
      <c r="BFK21" s="19"/>
      <c r="BFL21" s="19"/>
      <c r="BFM21" s="19"/>
      <c r="BFN21" s="19"/>
      <c r="BFO21" s="19"/>
      <c r="BFP21" s="19"/>
      <c r="BFQ21" s="19"/>
      <c r="BFR21" s="19"/>
      <c r="BFS21" s="19"/>
      <c r="BFT21" s="19"/>
      <c r="BFU21" s="19"/>
      <c r="BFV21" s="19"/>
      <c r="BFW21" s="19"/>
      <c r="BFX21" s="19"/>
      <c r="BFY21" s="19"/>
      <c r="BFZ21" s="19"/>
      <c r="BGA21" s="19"/>
      <c r="BGB21" s="19"/>
      <c r="BGC21" s="19"/>
      <c r="BGD21" s="19"/>
      <c r="BGE21" s="19"/>
      <c r="BGF21" s="19"/>
      <c r="BGG21" s="19"/>
      <c r="BGH21" s="19"/>
      <c r="BGI21" s="19"/>
      <c r="BGJ21" s="19"/>
      <c r="BGK21" s="19"/>
      <c r="BGL21" s="19"/>
      <c r="BGM21" s="19"/>
      <c r="BGN21" s="19"/>
      <c r="BGO21" s="19"/>
      <c r="BGP21" s="19"/>
      <c r="BGQ21" s="19"/>
      <c r="BGR21" s="19"/>
      <c r="BGS21" s="19"/>
      <c r="BGT21" s="19"/>
      <c r="BGU21" s="19"/>
      <c r="BGV21" s="19"/>
      <c r="BGW21" s="19"/>
      <c r="BGX21" s="19"/>
      <c r="BGY21" s="19"/>
      <c r="BGZ21" s="19"/>
      <c r="BHA21" s="19"/>
      <c r="BHB21" s="19"/>
      <c r="BHC21" s="19"/>
      <c r="BHD21" s="19"/>
      <c r="BHE21" s="19"/>
      <c r="BHF21" s="19"/>
      <c r="BHG21" s="19"/>
      <c r="BHH21" s="19"/>
      <c r="BHI21" s="19"/>
      <c r="BHJ21" s="19"/>
      <c r="BHK21" s="19"/>
      <c r="BHL21" s="19"/>
      <c r="BHM21" s="19"/>
      <c r="BHN21" s="19"/>
      <c r="BHO21" s="19"/>
      <c r="BHP21" s="19"/>
      <c r="BHQ21" s="19"/>
      <c r="BHR21" s="19"/>
      <c r="BHS21" s="19"/>
      <c r="BHT21" s="19"/>
      <c r="BHU21" s="19"/>
      <c r="BHV21" s="19"/>
      <c r="BHW21" s="19"/>
      <c r="BHX21" s="19"/>
      <c r="BHY21" s="19"/>
      <c r="BHZ21" s="19"/>
      <c r="BIA21" s="19"/>
      <c r="BIB21" s="19"/>
      <c r="BIC21" s="19"/>
      <c r="BID21" s="19"/>
      <c r="BIE21" s="19"/>
      <c r="BIF21" s="19"/>
      <c r="BIG21" s="19"/>
      <c r="BIH21" s="19"/>
      <c r="BII21" s="19"/>
      <c r="BIJ21" s="19"/>
      <c r="BIK21" s="19"/>
      <c r="BIL21" s="19"/>
      <c r="BIM21" s="19"/>
      <c r="BIN21" s="19"/>
      <c r="BIO21" s="19"/>
      <c r="BIP21" s="19"/>
      <c r="BIQ21" s="19"/>
      <c r="BIR21" s="19"/>
      <c r="BIS21" s="19"/>
      <c r="BIT21" s="19"/>
      <c r="BIU21" s="19"/>
      <c r="BIV21" s="19"/>
      <c r="BIW21" s="19"/>
      <c r="BIX21" s="19"/>
      <c r="BIY21" s="19"/>
      <c r="BIZ21" s="19"/>
      <c r="BJA21" s="19"/>
      <c r="BJB21" s="19"/>
      <c r="BJC21" s="19"/>
      <c r="BJD21" s="19"/>
      <c r="BJE21" s="19"/>
      <c r="BJF21" s="19"/>
      <c r="BJG21" s="19"/>
      <c r="BJH21" s="19"/>
      <c r="BJI21" s="19"/>
      <c r="BJJ21" s="19"/>
      <c r="BJK21" s="19"/>
      <c r="BJL21" s="19"/>
      <c r="BJM21" s="19"/>
      <c r="BJN21" s="19"/>
      <c r="BJO21" s="19"/>
      <c r="BJP21" s="19"/>
      <c r="BJQ21" s="19"/>
      <c r="BJR21" s="19"/>
      <c r="BJS21" s="19"/>
      <c r="BJT21" s="19"/>
      <c r="BJU21" s="19"/>
      <c r="BJV21" s="19"/>
      <c r="BJW21" s="19"/>
      <c r="BJX21" s="19"/>
      <c r="BJY21" s="19"/>
      <c r="BJZ21" s="19"/>
      <c r="BKA21" s="19"/>
      <c r="BKB21" s="19"/>
      <c r="BKC21" s="19"/>
      <c r="BKD21" s="19"/>
      <c r="BKE21" s="19"/>
      <c r="BKF21" s="19"/>
      <c r="BKG21" s="19"/>
      <c r="BKH21" s="19"/>
      <c r="BKI21" s="19"/>
      <c r="BKJ21" s="19"/>
      <c r="BKK21" s="19"/>
      <c r="BKL21" s="19"/>
      <c r="BKM21" s="19"/>
      <c r="BKN21" s="19"/>
      <c r="BKO21" s="19"/>
      <c r="BKP21" s="19"/>
      <c r="BKQ21" s="19"/>
      <c r="BKR21" s="19"/>
      <c r="BKS21" s="19"/>
      <c r="BKT21" s="19"/>
      <c r="BKU21" s="19"/>
      <c r="BKV21" s="19"/>
      <c r="BKW21" s="19"/>
      <c r="BKX21" s="19"/>
      <c r="BKY21" s="19"/>
      <c r="BKZ21" s="19"/>
      <c r="BLA21" s="19"/>
      <c r="BLB21" s="19"/>
      <c r="BLC21" s="19"/>
      <c r="BLD21" s="19"/>
      <c r="BLE21" s="19"/>
      <c r="BLF21" s="19"/>
      <c r="BLG21" s="19"/>
      <c r="BLH21" s="19"/>
      <c r="BLI21" s="19"/>
      <c r="BLJ21" s="19"/>
      <c r="BLK21" s="19"/>
      <c r="BLL21" s="19"/>
      <c r="BLM21" s="19"/>
      <c r="BLN21" s="19"/>
      <c r="BLO21" s="19"/>
      <c r="BLP21" s="19"/>
      <c r="BLQ21" s="19"/>
      <c r="BLR21" s="19"/>
      <c r="BLS21" s="19"/>
      <c r="BLT21" s="19"/>
      <c r="BLU21" s="19"/>
      <c r="BLV21" s="19"/>
      <c r="BLW21" s="19"/>
      <c r="BLX21" s="19"/>
      <c r="BLY21" s="19"/>
      <c r="BLZ21" s="19"/>
      <c r="BMA21" s="19"/>
      <c r="BMB21" s="19"/>
      <c r="BMC21" s="19"/>
      <c r="BMD21" s="19"/>
      <c r="BME21" s="19"/>
      <c r="BMF21" s="19"/>
      <c r="BMG21" s="19"/>
      <c r="BMH21" s="19"/>
      <c r="BMI21" s="19"/>
      <c r="BMJ21" s="19"/>
      <c r="BMK21" s="19"/>
      <c r="BML21" s="19"/>
      <c r="BMM21" s="19"/>
      <c r="BMN21" s="19"/>
      <c r="BMO21" s="19"/>
      <c r="BMP21" s="19"/>
      <c r="BMQ21" s="19"/>
      <c r="BMR21" s="19"/>
      <c r="BMS21" s="19"/>
      <c r="BMT21" s="19"/>
      <c r="BMU21" s="19"/>
      <c r="BMV21" s="19"/>
      <c r="BMW21" s="19"/>
      <c r="BMX21" s="19"/>
      <c r="BMY21" s="19"/>
      <c r="BMZ21" s="19"/>
      <c r="BNA21" s="19"/>
      <c r="BNB21" s="19"/>
      <c r="BNC21" s="19"/>
      <c r="BND21" s="19"/>
      <c r="BNE21" s="19"/>
      <c r="BNF21" s="19"/>
      <c r="BNG21" s="19"/>
      <c r="BNH21" s="19"/>
      <c r="BNI21" s="19"/>
      <c r="BNJ21" s="19"/>
      <c r="BNK21" s="19"/>
      <c r="BNL21" s="19"/>
      <c r="BNM21" s="19"/>
      <c r="BNN21" s="19"/>
      <c r="BNO21" s="19"/>
      <c r="BNP21" s="19"/>
      <c r="BNQ21" s="19"/>
      <c r="BNR21" s="19"/>
      <c r="BNS21" s="19"/>
      <c r="BNT21" s="19"/>
      <c r="BNU21" s="19"/>
      <c r="BNV21" s="19"/>
      <c r="BNW21" s="19"/>
      <c r="BNX21" s="19"/>
      <c r="BNY21" s="19"/>
      <c r="BNZ21" s="19"/>
      <c r="BOA21" s="19"/>
      <c r="BOB21" s="19"/>
      <c r="BOC21" s="19"/>
      <c r="BOD21" s="19"/>
      <c r="BOE21" s="19"/>
      <c r="BOF21" s="19"/>
      <c r="BOG21" s="19"/>
      <c r="BOH21" s="19"/>
      <c r="BOI21" s="19"/>
      <c r="BOJ21" s="19"/>
      <c r="BOK21" s="19"/>
      <c r="BOL21" s="19"/>
      <c r="BOM21" s="19"/>
      <c r="BON21" s="19"/>
      <c r="BOO21" s="19"/>
      <c r="BOP21" s="19"/>
      <c r="BOQ21" s="19"/>
      <c r="BOR21" s="19"/>
      <c r="BOS21" s="19"/>
      <c r="BOT21" s="19"/>
      <c r="BOU21" s="19"/>
      <c r="BOV21" s="19"/>
      <c r="BOW21" s="19"/>
      <c r="BOX21" s="19"/>
      <c r="BOY21" s="19"/>
      <c r="BOZ21" s="19"/>
      <c r="BPA21" s="19"/>
      <c r="BPB21" s="19"/>
      <c r="BPC21" s="19"/>
      <c r="BPD21" s="19"/>
      <c r="BPE21" s="19"/>
      <c r="BPF21" s="19"/>
      <c r="BPG21" s="19"/>
      <c r="BPH21" s="19"/>
      <c r="BPI21" s="19"/>
      <c r="BPJ21" s="19"/>
      <c r="BPK21" s="19"/>
      <c r="BPL21" s="19"/>
      <c r="BPM21" s="19"/>
      <c r="BPN21" s="19"/>
      <c r="BPO21" s="19"/>
      <c r="BPP21" s="19"/>
      <c r="BPQ21" s="19"/>
      <c r="BPR21" s="19"/>
      <c r="BPS21" s="19"/>
      <c r="BPT21" s="19"/>
      <c r="BPU21" s="19"/>
      <c r="BPV21" s="19"/>
      <c r="BPW21" s="19"/>
      <c r="BPX21" s="19"/>
      <c r="BPY21" s="19"/>
      <c r="BPZ21" s="19"/>
      <c r="BQA21" s="19"/>
      <c r="BQB21" s="19"/>
      <c r="BQC21" s="19"/>
      <c r="BQD21" s="19"/>
      <c r="BQE21" s="19"/>
      <c r="BQF21" s="19"/>
      <c r="BQG21" s="19"/>
      <c r="BQH21" s="19"/>
      <c r="BQI21" s="19"/>
      <c r="BQJ21" s="19"/>
      <c r="BQK21" s="19"/>
      <c r="BQL21" s="19"/>
      <c r="BQM21" s="19"/>
      <c r="BQN21" s="19"/>
      <c r="BQO21" s="19"/>
      <c r="BQP21" s="19"/>
      <c r="BQQ21" s="19"/>
      <c r="BQR21" s="19"/>
      <c r="BQS21" s="19"/>
      <c r="BQT21" s="19"/>
      <c r="BQU21" s="19"/>
      <c r="BQV21" s="19"/>
      <c r="BQW21" s="19"/>
      <c r="BQX21" s="19"/>
      <c r="BQY21" s="19"/>
      <c r="BQZ21" s="19"/>
      <c r="BRA21" s="19"/>
      <c r="BRB21" s="19"/>
      <c r="BRC21" s="19"/>
      <c r="BRD21" s="19"/>
      <c r="BRE21" s="19"/>
      <c r="BRF21" s="19"/>
      <c r="BRG21" s="19"/>
      <c r="BRH21" s="19"/>
      <c r="BRI21" s="19"/>
      <c r="BRJ21" s="19"/>
      <c r="BRK21" s="19"/>
      <c r="BRL21" s="19"/>
      <c r="BRM21" s="19"/>
      <c r="BRN21" s="19"/>
      <c r="BRO21" s="19"/>
      <c r="BRP21" s="19"/>
      <c r="BRQ21" s="19"/>
      <c r="BRR21" s="19"/>
      <c r="BRS21" s="19"/>
      <c r="BRT21" s="19"/>
      <c r="BRU21" s="19"/>
      <c r="BRV21" s="19"/>
      <c r="BRW21" s="19"/>
      <c r="BRX21" s="19"/>
      <c r="BRY21" s="19"/>
      <c r="BRZ21" s="19"/>
      <c r="BSA21" s="19"/>
      <c r="BSB21" s="19"/>
      <c r="BSC21" s="19"/>
      <c r="BSD21" s="19"/>
      <c r="BSE21" s="19"/>
      <c r="BSF21" s="19"/>
      <c r="BSG21" s="19"/>
      <c r="BSH21" s="19"/>
      <c r="BSI21" s="19"/>
      <c r="BSJ21" s="19"/>
      <c r="BSK21" s="19"/>
      <c r="BSL21" s="19"/>
      <c r="BSM21" s="19"/>
      <c r="BSN21" s="19"/>
      <c r="BSO21" s="19"/>
      <c r="BSP21" s="19"/>
      <c r="BSQ21" s="19"/>
      <c r="BSR21" s="19"/>
      <c r="BSS21" s="19"/>
      <c r="BST21" s="19"/>
      <c r="BSU21" s="19"/>
      <c r="BSV21" s="19"/>
      <c r="BSW21" s="19"/>
      <c r="BSX21" s="19"/>
      <c r="BSY21" s="19"/>
      <c r="BSZ21" s="19"/>
      <c r="BTA21" s="19"/>
      <c r="BTB21" s="19"/>
      <c r="BTC21" s="19"/>
      <c r="BTD21" s="19"/>
      <c r="BTE21" s="19"/>
      <c r="BTF21" s="19"/>
      <c r="BTG21" s="19"/>
      <c r="BTH21" s="19"/>
      <c r="BTI21" s="19"/>
      <c r="BTJ21" s="19"/>
      <c r="BTK21" s="19"/>
      <c r="BTL21" s="19"/>
      <c r="BTM21" s="19"/>
      <c r="BTN21" s="19"/>
      <c r="BTO21" s="19"/>
      <c r="BTP21" s="19"/>
      <c r="BTQ21" s="19"/>
      <c r="BTR21" s="19"/>
      <c r="BTS21" s="19"/>
      <c r="BTT21" s="19"/>
      <c r="BTU21" s="19"/>
      <c r="BTV21" s="19"/>
      <c r="BTW21" s="19"/>
      <c r="BTX21" s="19"/>
      <c r="BTY21" s="19"/>
      <c r="BTZ21" s="19"/>
      <c r="BUA21" s="19"/>
      <c r="BUB21" s="19"/>
      <c r="BUC21" s="19"/>
      <c r="BUD21" s="19"/>
      <c r="BUE21" s="19"/>
      <c r="BUF21" s="19"/>
      <c r="BUG21" s="19"/>
      <c r="BUH21" s="19"/>
      <c r="BUI21" s="19"/>
      <c r="BUJ21" s="19"/>
      <c r="BUK21" s="19"/>
      <c r="BUL21" s="19"/>
      <c r="BUM21" s="19"/>
      <c r="BUN21" s="19"/>
      <c r="BUO21" s="19"/>
      <c r="BUP21" s="19"/>
      <c r="BUQ21" s="19"/>
      <c r="BUR21" s="19"/>
      <c r="BUS21" s="19"/>
      <c r="BUT21" s="19"/>
      <c r="BUU21" s="19"/>
      <c r="BUV21" s="19"/>
      <c r="BUW21" s="19"/>
      <c r="BUX21" s="19"/>
      <c r="BUY21" s="19"/>
      <c r="BUZ21" s="19"/>
      <c r="BVA21" s="19"/>
      <c r="BVB21" s="19"/>
      <c r="BVC21" s="19"/>
      <c r="BVD21" s="19"/>
      <c r="BVE21" s="19"/>
      <c r="BVF21" s="19"/>
      <c r="BVG21" s="19"/>
      <c r="BVH21" s="19"/>
      <c r="BVI21" s="19"/>
      <c r="BVJ21" s="19"/>
      <c r="BVK21" s="19"/>
      <c r="BVL21" s="19"/>
      <c r="BVM21" s="19"/>
      <c r="BVN21" s="19"/>
      <c r="BVO21" s="19"/>
      <c r="BVP21" s="19"/>
      <c r="BVQ21" s="19"/>
      <c r="BVR21" s="19"/>
      <c r="BVS21" s="19"/>
      <c r="BVT21" s="19"/>
      <c r="BVU21" s="19"/>
      <c r="BVV21" s="19"/>
      <c r="BVW21" s="19"/>
      <c r="BVX21" s="19"/>
      <c r="BVY21" s="19"/>
      <c r="BVZ21" s="19"/>
      <c r="BWA21" s="19"/>
      <c r="BWB21" s="19"/>
      <c r="BWC21" s="19"/>
      <c r="BWD21" s="19"/>
      <c r="BWE21" s="19"/>
      <c r="BWF21" s="19"/>
      <c r="BWG21" s="19"/>
      <c r="BWH21" s="19"/>
      <c r="BWI21" s="19"/>
      <c r="BWJ21" s="19"/>
      <c r="BWK21" s="19"/>
      <c r="BWL21" s="19"/>
      <c r="BWM21" s="19"/>
      <c r="BWN21" s="19"/>
      <c r="BWO21" s="19"/>
      <c r="BWP21" s="19"/>
      <c r="BWQ21" s="19"/>
      <c r="BWR21" s="19"/>
      <c r="BWS21" s="19"/>
      <c r="BWT21" s="19"/>
      <c r="BWU21" s="19"/>
      <c r="BWV21" s="19"/>
      <c r="BWW21" s="19"/>
      <c r="BWX21" s="19"/>
      <c r="BWY21" s="19"/>
      <c r="BWZ21" s="19"/>
      <c r="BXA21" s="19"/>
      <c r="BXB21" s="19"/>
      <c r="BXC21" s="19"/>
      <c r="BXD21" s="19"/>
      <c r="BXE21" s="19"/>
      <c r="BXF21" s="19"/>
      <c r="BXG21" s="19"/>
      <c r="BXH21" s="19"/>
      <c r="BXI21" s="19"/>
      <c r="BXJ21" s="19"/>
      <c r="BXK21" s="19"/>
      <c r="BXL21" s="19"/>
      <c r="BXM21" s="19"/>
      <c r="BXN21" s="19"/>
      <c r="BXO21" s="19"/>
      <c r="BXP21" s="19"/>
      <c r="BXQ21" s="19"/>
      <c r="BXR21" s="19"/>
      <c r="BXS21" s="19"/>
      <c r="BXT21" s="19"/>
      <c r="BXU21" s="19"/>
      <c r="BXV21" s="19"/>
      <c r="BXW21" s="19"/>
      <c r="BXX21" s="19"/>
      <c r="BXY21" s="19"/>
      <c r="BXZ21" s="19"/>
      <c r="BYA21" s="19"/>
      <c r="BYB21" s="19"/>
      <c r="BYC21" s="19"/>
      <c r="BYD21" s="19"/>
      <c r="BYE21" s="19"/>
      <c r="BYF21" s="19"/>
      <c r="BYG21" s="19"/>
      <c r="BYH21" s="19"/>
      <c r="BYI21" s="19"/>
      <c r="BYJ21" s="19"/>
      <c r="BYK21" s="19"/>
      <c r="BYL21" s="19"/>
      <c r="BYM21" s="19"/>
      <c r="BYN21" s="19"/>
      <c r="BYO21" s="19"/>
      <c r="BYP21" s="19"/>
      <c r="BYQ21" s="19"/>
      <c r="BYR21" s="19"/>
      <c r="BYS21" s="19"/>
      <c r="BYT21" s="19"/>
      <c r="BYU21" s="19"/>
      <c r="BYV21" s="19"/>
      <c r="BYW21" s="19"/>
      <c r="BYX21" s="19"/>
      <c r="BYY21" s="19"/>
      <c r="BYZ21" s="19"/>
      <c r="BZA21" s="19"/>
      <c r="BZB21" s="19"/>
      <c r="BZC21" s="19"/>
      <c r="BZD21" s="19"/>
      <c r="BZE21" s="19"/>
      <c r="BZF21" s="19"/>
      <c r="BZG21" s="19"/>
      <c r="BZH21" s="19"/>
      <c r="BZI21" s="19"/>
      <c r="BZJ21" s="19"/>
      <c r="BZK21" s="19"/>
      <c r="BZL21" s="19"/>
      <c r="BZM21" s="19"/>
      <c r="BZN21" s="19"/>
      <c r="BZO21" s="19"/>
      <c r="BZP21" s="19"/>
      <c r="BZQ21" s="19"/>
      <c r="BZR21" s="19"/>
      <c r="BZS21" s="19"/>
      <c r="BZT21" s="19"/>
      <c r="BZU21" s="19"/>
      <c r="BZV21" s="19"/>
      <c r="BZW21" s="19"/>
      <c r="BZX21" s="19"/>
      <c r="BZY21" s="19"/>
      <c r="BZZ21" s="19"/>
      <c r="CAA21" s="19"/>
      <c r="CAB21" s="19"/>
      <c r="CAC21" s="19"/>
      <c r="CAD21" s="19"/>
      <c r="CAE21" s="19"/>
      <c r="CAF21" s="19"/>
      <c r="CAG21" s="19"/>
      <c r="CAH21" s="19"/>
      <c r="CAI21" s="19"/>
      <c r="CAJ21" s="19"/>
      <c r="CAK21" s="19"/>
      <c r="CAL21" s="19"/>
      <c r="CAM21" s="19"/>
      <c r="CAN21" s="19"/>
      <c r="CAO21" s="19"/>
      <c r="CAP21" s="19"/>
      <c r="CAQ21" s="19"/>
      <c r="CAR21" s="19"/>
      <c r="CAS21" s="19"/>
      <c r="CAT21" s="19"/>
      <c r="CAU21" s="19"/>
      <c r="CAV21" s="19"/>
      <c r="CAW21" s="19"/>
      <c r="CAX21" s="19"/>
      <c r="CAY21" s="19"/>
      <c r="CAZ21" s="19"/>
      <c r="CBA21" s="19"/>
      <c r="CBB21" s="19"/>
      <c r="CBC21" s="19"/>
      <c r="CBD21" s="19"/>
      <c r="CBE21" s="19"/>
      <c r="CBF21" s="19"/>
      <c r="CBG21" s="19"/>
      <c r="CBH21" s="19"/>
      <c r="CBI21" s="19"/>
      <c r="CBJ21" s="19"/>
      <c r="CBK21" s="19"/>
      <c r="CBL21" s="19"/>
      <c r="CBM21" s="19"/>
      <c r="CBN21" s="19"/>
      <c r="CBO21" s="19"/>
      <c r="CBP21" s="19"/>
      <c r="CBQ21" s="19"/>
      <c r="CBR21" s="19"/>
      <c r="CBS21" s="19"/>
      <c r="CBT21" s="19"/>
      <c r="CBU21" s="19"/>
      <c r="CBV21" s="19"/>
      <c r="CBW21" s="19"/>
      <c r="CBX21" s="19"/>
      <c r="CBY21" s="19"/>
      <c r="CBZ21" s="19"/>
      <c r="CCA21" s="19"/>
      <c r="CCB21" s="19"/>
      <c r="CCC21" s="19"/>
      <c r="CCD21" s="19"/>
      <c r="CCE21" s="19"/>
      <c r="CCF21" s="19"/>
      <c r="CCG21" s="19"/>
      <c r="CCH21" s="19"/>
      <c r="CCI21" s="19"/>
      <c r="CCJ21" s="19"/>
      <c r="CCK21" s="19"/>
      <c r="CCL21" s="19"/>
      <c r="CCM21" s="19"/>
      <c r="CCN21" s="19"/>
      <c r="CCO21" s="19"/>
      <c r="CCP21" s="19"/>
      <c r="CCQ21" s="19"/>
      <c r="CCR21" s="19"/>
      <c r="CCS21" s="19"/>
      <c r="CCT21" s="19"/>
      <c r="CCU21" s="19"/>
      <c r="CCV21" s="19"/>
      <c r="CCW21" s="19"/>
      <c r="CCX21" s="19"/>
      <c r="CCY21" s="19"/>
      <c r="CCZ21" s="19"/>
      <c r="CDA21" s="19"/>
      <c r="CDB21" s="19"/>
      <c r="CDC21" s="19"/>
      <c r="CDD21" s="19"/>
      <c r="CDE21" s="19"/>
      <c r="CDF21" s="19"/>
      <c r="CDG21" s="19"/>
      <c r="CDH21" s="19"/>
      <c r="CDI21" s="19"/>
      <c r="CDJ21" s="19"/>
      <c r="CDK21" s="19"/>
      <c r="CDL21" s="19"/>
      <c r="CDM21" s="19"/>
      <c r="CDN21" s="19"/>
      <c r="CDO21" s="19"/>
      <c r="CDP21" s="19"/>
      <c r="CDQ21" s="19"/>
      <c r="CDR21" s="19"/>
      <c r="CDS21" s="19"/>
      <c r="CDT21" s="19"/>
      <c r="CDU21" s="19"/>
      <c r="CDV21" s="19"/>
      <c r="CDW21" s="19"/>
      <c r="CDX21" s="19"/>
      <c r="CDY21" s="19"/>
      <c r="CDZ21" s="19"/>
      <c r="CEA21" s="19"/>
      <c r="CEB21" s="19"/>
      <c r="CEC21" s="19"/>
      <c r="CED21" s="19"/>
      <c r="CEE21" s="19"/>
      <c r="CEF21" s="19"/>
      <c r="CEG21" s="19"/>
      <c r="CEH21" s="19"/>
      <c r="CEI21" s="19"/>
      <c r="CEJ21" s="19"/>
      <c r="CEK21" s="19"/>
      <c r="CEL21" s="19"/>
      <c r="CEM21" s="19"/>
      <c r="CEN21" s="19"/>
      <c r="CEO21" s="19"/>
      <c r="CEP21" s="19"/>
      <c r="CEQ21" s="19"/>
      <c r="CER21" s="19"/>
      <c r="CES21" s="19"/>
      <c r="CET21" s="19"/>
      <c r="CEU21" s="19"/>
      <c r="CEV21" s="19"/>
      <c r="CEW21" s="19"/>
      <c r="CEX21" s="19"/>
      <c r="CEY21" s="19"/>
      <c r="CEZ21" s="19"/>
      <c r="CFA21" s="19"/>
      <c r="CFB21" s="19"/>
      <c r="CFC21" s="19"/>
      <c r="CFD21" s="19"/>
      <c r="CFE21" s="19"/>
      <c r="CFF21" s="19"/>
      <c r="CFG21" s="19"/>
      <c r="CFH21" s="19"/>
      <c r="CFI21" s="19"/>
      <c r="CFJ21" s="19"/>
      <c r="CFK21" s="19"/>
      <c r="CFL21" s="19"/>
      <c r="CFM21" s="19"/>
      <c r="CFN21" s="19"/>
      <c r="CFO21" s="19"/>
      <c r="CFP21" s="19"/>
      <c r="CFQ21" s="19"/>
      <c r="CFR21" s="19"/>
      <c r="CFS21" s="19"/>
      <c r="CFT21" s="19"/>
      <c r="CFU21" s="19"/>
      <c r="CFV21" s="19"/>
      <c r="CFW21" s="19"/>
      <c r="CFX21" s="19"/>
      <c r="CFY21" s="19"/>
      <c r="CFZ21" s="19"/>
      <c r="CGA21" s="19"/>
      <c r="CGB21" s="19"/>
      <c r="CGC21" s="19"/>
      <c r="CGD21" s="19"/>
      <c r="CGE21" s="19"/>
      <c r="CGF21" s="19"/>
      <c r="CGG21" s="19"/>
      <c r="CGH21" s="19"/>
      <c r="CGI21" s="19"/>
      <c r="CGJ21" s="19"/>
      <c r="CGK21" s="19"/>
      <c r="CGL21" s="19"/>
      <c r="CGM21" s="19"/>
      <c r="CGN21" s="19"/>
      <c r="CGO21" s="19"/>
      <c r="CGP21" s="19"/>
      <c r="CGQ21" s="19"/>
      <c r="CGR21" s="19"/>
      <c r="CGS21" s="19"/>
      <c r="CGT21" s="19"/>
      <c r="CGU21" s="19"/>
      <c r="CGV21" s="19"/>
      <c r="CGW21" s="19"/>
      <c r="CGX21" s="19"/>
      <c r="CGY21" s="19"/>
      <c r="CGZ21" s="19"/>
      <c r="CHA21" s="19"/>
      <c r="CHB21" s="19"/>
      <c r="CHC21" s="19"/>
      <c r="CHD21" s="19"/>
      <c r="CHE21" s="19"/>
      <c r="CHF21" s="19"/>
      <c r="CHG21" s="19"/>
      <c r="CHH21" s="19"/>
      <c r="CHI21" s="19"/>
      <c r="CHJ21" s="19"/>
      <c r="CHK21" s="19"/>
      <c r="CHL21" s="19"/>
      <c r="CHM21" s="19"/>
      <c r="CHN21" s="19"/>
      <c r="CHO21" s="19"/>
      <c r="CHP21" s="19"/>
      <c r="CHQ21" s="19"/>
      <c r="CHR21" s="19"/>
      <c r="CHS21" s="19"/>
      <c r="CHT21" s="19"/>
      <c r="CHU21" s="19"/>
      <c r="CHV21" s="19"/>
      <c r="CHW21" s="19"/>
      <c r="CHX21" s="19"/>
      <c r="CHY21" s="19"/>
      <c r="CHZ21" s="19"/>
      <c r="CIA21" s="19"/>
      <c r="CIB21" s="19"/>
      <c r="CIC21" s="19"/>
      <c r="CID21" s="19"/>
      <c r="CIE21" s="19"/>
      <c r="CIF21" s="19"/>
      <c r="CIG21" s="19"/>
      <c r="CIH21" s="19"/>
      <c r="CII21" s="19"/>
      <c r="CIJ21" s="19"/>
      <c r="CIK21" s="19"/>
      <c r="CIL21" s="19"/>
      <c r="CIM21" s="19"/>
      <c r="CIN21" s="19"/>
      <c r="CIO21" s="19"/>
      <c r="CIP21" s="19"/>
      <c r="CIQ21" s="19"/>
      <c r="CIR21" s="19"/>
      <c r="CIS21" s="19"/>
      <c r="CIT21" s="19"/>
      <c r="CIU21" s="19"/>
      <c r="CIV21" s="19"/>
      <c r="CIW21" s="19"/>
      <c r="CIX21" s="19"/>
      <c r="CIY21" s="19"/>
      <c r="CIZ21" s="19"/>
      <c r="CJA21" s="19"/>
      <c r="CJB21" s="19"/>
      <c r="CJC21" s="19"/>
      <c r="CJD21" s="19"/>
      <c r="CJE21" s="19"/>
      <c r="CJF21" s="19"/>
      <c r="CJG21" s="19"/>
      <c r="CJH21" s="19"/>
      <c r="CJI21" s="19"/>
      <c r="CJJ21" s="19"/>
      <c r="CJK21" s="19"/>
      <c r="CJL21" s="19"/>
      <c r="CJM21" s="19"/>
      <c r="CJN21" s="19"/>
      <c r="CJO21" s="19"/>
      <c r="CJP21" s="19"/>
      <c r="CJQ21" s="19"/>
      <c r="CJR21" s="19"/>
      <c r="CJS21" s="19"/>
      <c r="CJT21" s="19"/>
      <c r="CJU21" s="19"/>
      <c r="CJV21" s="19"/>
      <c r="CJW21" s="19"/>
      <c r="CJX21" s="19"/>
      <c r="CJY21" s="19"/>
      <c r="CJZ21" s="19"/>
      <c r="CKA21" s="19"/>
      <c r="CKB21" s="19"/>
      <c r="CKC21" s="19"/>
      <c r="CKD21" s="19"/>
      <c r="CKE21" s="19"/>
      <c r="CKF21" s="19"/>
      <c r="CKG21" s="19"/>
      <c r="CKH21" s="19"/>
      <c r="CKI21" s="19"/>
      <c r="CKJ21" s="19"/>
      <c r="CKK21" s="19"/>
      <c r="CKL21" s="19"/>
      <c r="CKM21" s="19"/>
      <c r="CKN21" s="19"/>
      <c r="CKO21" s="19"/>
      <c r="CKP21" s="19"/>
      <c r="CKQ21" s="19"/>
      <c r="CKR21" s="19"/>
      <c r="CKS21" s="19"/>
      <c r="CKT21" s="19"/>
      <c r="CKU21" s="19"/>
      <c r="CKV21" s="19"/>
      <c r="CKW21" s="19"/>
      <c r="CKX21" s="19"/>
      <c r="CKY21" s="19"/>
      <c r="CKZ21" s="19"/>
      <c r="CLA21" s="19"/>
      <c r="CLB21" s="19"/>
      <c r="CLC21" s="19"/>
      <c r="CLD21" s="19"/>
      <c r="CLE21" s="19"/>
      <c r="CLF21" s="19"/>
      <c r="CLG21" s="19"/>
      <c r="CLH21" s="19"/>
      <c r="CLI21" s="19"/>
      <c r="CLJ21" s="19"/>
      <c r="CLK21" s="19"/>
      <c r="CLL21" s="19"/>
      <c r="CLM21" s="19"/>
      <c r="CLN21" s="19"/>
      <c r="CLO21" s="19"/>
      <c r="CLP21" s="19"/>
      <c r="CLQ21" s="19"/>
      <c r="CLR21" s="19"/>
      <c r="CLS21" s="19"/>
      <c r="CLT21" s="19"/>
      <c r="CLU21" s="19"/>
      <c r="CLV21" s="19"/>
      <c r="CLW21" s="19"/>
      <c r="CLX21" s="19"/>
      <c r="CLY21" s="19"/>
      <c r="CLZ21" s="19"/>
      <c r="CMA21" s="19"/>
      <c r="CMB21" s="19"/>
      <c r="CMC21" s="19"/>
      <c r="CMD21" s="19"/>
      <c r="CME21" s="19"/>
      <c r="CMF21" s="19"/>
      <c r="CMG21" s="19"/>
      <c r="CMH21" s="19"/>
      <c r="CMI21" s="19"/>
      <c r="CMJ21" s="19"/>
      <c r="CMK21" s="19"/>
      <c r="CML21" s="19"/>
      <c r="CMM21" s="19"/>
      <c r="CMN21" s="19"/>
      <c r="CMO21" s="19"/>
      <c r="CMP21" s="19"/>
      <c r="CMQ21" s="19"/>
      <c r="CMR21" s="19"/>
      <c r="CMS21" s="19"/>
      <c r="CMT21" s="19"/>
      <c r="CMU21" s="19"/>
      <c r="CMV21" s="19"/>
      <c r="CMW21" s="19"/>
      <c r="CMX21" s="19"/>
      <c r="CMY21" s="19"/>
      <c r="CMZ21" s="19"/>
      <c r="CNA21" s="19"/>
      <c r="CNB21" s="19"/>
      <c r="CNC21" s="19"/>
      <c r="CND21" s="19"/>
      <c r="CNE21" s="19"/>
      <c r="CNF21" s="19"/>
      <c r="CNG21" s="19"/>
      <c r="CNH21" s="19"/>
      <c r="CNI21" s="19"/>
      <c r="CNJ21" s="19"/>
      <c r="CNK21" s="19"/>
      <c r="CNL21" s="19"/>
      <c r="CNM21" s="19"/>
      <c r="CNN21" s="19"/>
      <c r="CNO21" s="19"/>
      <c r="CNP21" s="19"/>
      <c r="CNQ21" s="19"/>
      <c r="CNR21" s="19"/>
      <c r="CNS21" s="19"/>
      <c r="CNT21" s="19"/>
      <c r="CNU21" s="19"/>
      <c r="CNV21" s="19"/>
      <c r="CNW21" s="19"/>
      <c r="CNX21" s="19"/>
      <c r="CNY21" s="19"/>
      <c r="CNZ21" s="19"/>
      <c r="COA21" s="19"/>
      <c r="COB21" s="19"/>
      <c r="COC21" s="19"/>
      <c r="COD21" s="19"/>
      <c r="COE21" s="19"/>
      <c r="COF21" s="19"/>
      <c r="COG21" s="19"/>
      <c r="COH21" s="19"/>
      <c r="COI21" s="19"/>
      <c r="COJ21" s="19"/>
      <c r="COK21" s="19"/>
      <c r="COL21" s="19"/>
      <c r="COM21" s="19"/>
      <c r="CON21" s="19"/>
      <c r="COO21" s="19"/>
      <c r="COP21" s="19"/>
      <c r="COQ21" s="19"/>
      <c r="COR21" s="19"/>
      <c r="COS21" s="19"/>
      <c r="COT21" s="19"/>
      <c r="COU21" s="19"/>
      <c r="COV21" s="19"/>
      <c r="COW21" s="19"/>
      <c r="COX21" s="19"/>
      <c r="COY21" s="19"/>
      <c r="COZ21" s="19"/>
      <c r="CPA21" s="19"/>
      <c r="CPB21" s="19"/>
      <c r="CPC21" s="19"/>
      <c r="CPD21" s="19"/>
      <c r="CPE21" s="19"/>
      <c r="CPF21" s="19"/>
      <c r="CPG21" s="19"/>
      <c r="CPH21" s="19"/>
      <c r="CPI21" s="19"/>
      <c r="CPJ21" s="19"/>
      <c r="CPK21" s="19"/>
      <c r="CPL21" s="19"/>
      <c r="CPM21" s="19"/>
      <c r="CPN21" s="19"/>
      <c r="CPO21" s="19"/>
      <c r="CPP21" s="19"/>
      <c r="CPQ21" s="19"/>
      <c r="CPR21" s="19"/>
      <c r="CPS21" s="19"/>
      <c r="CPT21" s="19"/>
      <c r="CPU21" s="19"/>
      <c r="CPV21" s="19"/>
      <c r="CPW21" s="19"/>
      <c r="CPX21" s="19"/>
      <c r="CPY21" s="19"/>
      <c r="CPZ21" s="19"/>
      <c r="CQA21" s="19"/>
      <c r="CQB21" s="19"/>
      <c r="CQC21" s="19"/>
      <c r="CQD21" s="19"/>
      <c r="CQE21" s="19"/>
      <c r="CQF21" s="19"/>
      <c r="CQG21" s="19"/>
      <c r="CQH21" s="19"/>
      <c r="CQI21" s="19"/>
      <c r="CQJ21" s="19"/>
      <c r="CQK21" s="19"/>
      <c r="CQL21" s="19"/>
      <c r="CQM21" s="19"/>
      <c r="CQN21" s="19"/>
      <c r="CQO21" s="19"/>
      <c r="CQP21" s="19"/>
      <c r="CQQ21" s="19"/>
      <c r="CQR21" s="19"/>
      <c r="CQS21" s="19"/>
      <c r="CQT21" s="19"/>
      <c r="CQU21" s="19"/>
      <c r="CQV21" s="19"/>
      <c r="CQW21" s="19"/>
      <c r="CQX21" s="19"/>
      <c r="CQY21" s="19"/>
      <c r="CQZ21" s="19"/>
      <c r="CRA21" s="19"/>
      <c r="CRB21" s="19"/>
      <c r="CRC21" s="19"/>
      <c r="CRD21" s="19"/>
      <c r="CRE21" s="19"/>
      <c r="CRF21" s="19"/>
      <c r="CRG21" s="19"/>
      <c r="CRH21" s="19"/>
      <c r="CRI21" s="19"/>
      <c r="CRJ21" s="19"/>
      <c r="CRK21" s="19"/>
      <c r="CRL21" s="19"/>
      <c r="CRM21" s="19"/>
      <c r="CRN21" s="19"/>
      <c r="CRO21" s="19"/>
      <c r="CRP21" s="19"/>
      <c r="CRQ21" s="19"/>
      <c r="CRR21" s="19"/>
      <c r="CRS21" s="19"/>
      <c r="CRT21" s="19"/>
      <c r="CRU21" s="19"/>
      <c r="CRV21" s="19"/>
      <c r="CRW21" s="19"/>
      <c r="CRX21" s="19"/>
      <c r="CRY21" s="19"/>
      <c r="CRZ21" s="19"/>
      <c r="CSA21" s="19"/>
      <c r="CSB21" s="19"/>
      <c r="CSC21" s="19"/>
      <c r="CSD21" s="19"/>
      <c r="CSE21" s="19"/>
      <c r="CSF21" s="19"/>
      <c r="CSG21" s="19"/>
      <c r="CSH21" s="19"/>
      <c r="CSI21" s="19"/>
      <c r="CSJ21" s="19"/>
      <c r="CSK21" s="19"/>
      <c r="CSL21" s="19"/>
      <c r="CSM21" s="19"/>
      <c r="CSN21" s="19"/>
      <c r="CSO21" s="19"/>
      <c r="CSP21" s="19"/>
      <c r="CSQ21" s="19"/>
      <c r="CSR21" s="19"/>
      <c r="CSS21" s="19"/>
      <c r="CST21" s="19"/>
      <c r="CSU21" s="19"/>
      <c r="CSV21" s="19"/>
      <c r="CSW21" s="19"/>
      <c r="CSX21" s="19"/>
      <c r="CSY21" s="19"/>
      <c r="CSZ21" s="19"/>
      <c r="CTA21" s="19"/>
      <c r="CTB21" s="19"/>
      <c r="CTC21" s="19"/>
      <c r="CTD21" s="19"/>
      <c r="CTE21" s="19"/>
      <c r="CTF21" s="19"/>
      <c r="CTG21" s="19"/>
      <c r="CTH21" s="19"/>
      <c r="CTI21" s="19"/>
      <c r="CTJ21" s="19"/>
      <c r="CTK21" s="19"/>
      <c r="CTL21" s="19"/>
      <c r="CTM21" s="19"/>
      <c r="CTN21" s="19"/>
      <c r="CTO21" s="19"/>
      <c r="CTP21" s="19"/>
      <c r="CTQ21" s="19"/>
      <c r="CTR21" s="19"/>
      <c r="CTS21" s="19"/>
      <c r="CTT21" s="19"/>
      <c r="CTU21" s="19"/>
      <c r="CTV21" s="19"/>
      <c r="CTW21" s="19"/>
      <c r="CTX21" s="19"/>
      <c r="CTY21" s="19"/>
      <c r="CTZ21" s="19"/>
      <c r="CUA21" s="19"/>
      <c r="CUB21" s="19"/>
      <c r="CUC21" s="19"/>
      <c r="CUD21" s="19"/>
      <c r="CUE21" s="19"/>
      <c r="CUF21" s="19"/>
      <c r="CUG21" s="19"/>
      <c r="CUH21" s="19"/>
      <c r="CUI21" s="19"/>
      <c r="CUJ21" s="19"/>
      <c r="CUK21" s="19"/>
      <c r="CUL21" s="19"/>
      <c r="CUM21" s="19"/>
      <c r="CUN21" s="19"/>
      <c r="CUO21" s="19"/>
      <c r="CUP21" s="19"/>
      <c r="CUQ21" s="19"/>
      <c r="CUR21" s="19"/>
      <c r="CUS21" s="19"/>
      <c r="CUT21" s="19"/>
      <c r="CUU21" s="19"/>
      <c r="CUV21" s="19"/>
      <c r="CUW21" s="19"/>
      <c r="CUX21" s="19"/>
      <c r="CUY21" s="19"/>
      <c r="CUZ21" s="19"/>
      <c r="CVA21" s="19"/>
      <c r="CVB21" s="19"/>
      <c r="CVC21" s="19"/>
      <c r="CVD21" s="19"/>
      <c r="CVE21" s="19"/>
      <c r="CVF21" s="19"/>
      <c r="CVG21" s="19"/>
      <c r="CVH21" s="19"/>
      <c r="CVI21" s="19"/>
      <c r="CVJ21" s="19"/>
      <c r="CVK21" s="19"/>
      <c r="CVL21" s="19"/>
      <c r="CVM21" s="19"/>
      <c r="CVN21" s="19"/>
      <c r="CVO21" s="19"/>
      <c r="CVP21" s="19"/>
      <c r="CVQ21" s="19"/>
      <c r="CVR21" s="19"/>
      <c r="CVS21" s="19"/>
      <c r="CVT21" s="19"/>
      <c r="CVU21" s="19"/>
      <c r="CVV21" s="19"/>
      <c r="CVW21" s="19"/>
      <c r="CVX21" s="19"/>
      <c r="CVY21" s="19"/>
      <c r="CVZ21" s="19"/>
      <c r="CWA21" s="19"/>
      <c r="CWB21" s="19"/>
      <c r="CWC21" s="19"/>
      <c r="CWD21" s="19"/>
      <c r="CWE21" s="19"/>
      <c r="CWF21" s="19"/>
      <c r="CWG21" s="19"/>
      <c r="CWH21" s="19"/>
      <c r="CWI21" s="19"/>
      <c r="CWJ21" s="19"/>
      <c r="CWK21" s="19"/>
      <c r="CWL21" s="19"/>
      <c r="CWM21" s="19"/>
      <c r="CWN21" s="19"/>
      <c r="CWO21" s="19"/>
      <c r="CWP21" s="19"/>
      <c r="CWQ21" s="19"/>
      <c r="CWR21" s="19"/>
      <c r="CWS21" s="19"/>
      <c r="CWT21" s="19"/>
      <c r="CWU21" s="19"/>
      <c r="CWV21" s="19"/>
      <c r="CWW21" s="19"/>
      <c r="CWX21" s="19"/>
      <c r="CWY21" s="19"/>
      <c r="CWZ21" s="19"/>
      <c r="CXA21" s="19"/>
      <c r="CXB21" s="19"/>
      <c r="CXC21" s="19"/>
      <c r="CXD21" s="19"/>
      <c r="CXE21" s="19"/>
      <c r="CXF21" s="19"/>
      <c r="CXG21" s="19"/>
      <c r="CXH21" s="19"/>
      <c r="CXI21" s="19"/>
      <c r="CXJ21" s="19"/>
      <c r="CXK21" s="19"/>
      <c r="CXL21" s="19"/>
      <c r="CXM21" s="19"/>
      <c r="CXN21" s="19"/>
      <c r="CXO21" s="19"/>
      <c r="CXP21" s="19"/>
      <c r="CXQ21" s="19"/>
      <c r="CXR21" s="19"/>
      <c r="CXS21" s="19"/>
      <c r="CXT21" s="19"/>
      <c r="CXU21" s="19"/>
      <c r="CXV21" s="19"/>
      <c r="CXW21" s="19"/>
      <c r="CXX21" s="19"/>
      <c r="CXY21" s="19"/>
      <c r="CXZ21" s="19"/>
      <c r="CYA21" s="19"/>
      <c r="CYB21" s="19"/>
      <c r="CYC21" s="19"/>
      <c r="CYD21" s="19"/>
      <c r="CYE21" s="19"/>
      <c r="CYF21" s="19"/>
      <c r="CYG21" s="19"/>
      <c r="CYH21" s="19"/>
      <c r="CYI21" s="19"/>
      <c r="CYJ21" s="19"/>
      <c r="CYK21" s="19"/>
      <c r="CYL21" s="19"/>
      <c r="CYM21" s="19"/>
      <c r="CYN21" s="19"/>
      <c r="CYO21" s="19"/>
      <c r="CYP21" s="19"/>
      <c r="CYQ21" s="19"/>
      <c r="CYR21" s="19"/>
      <c r="CYS21" s="19"/>
      <c r="CYT21" s="19"/>
      <c r="CYU21" s="19"/>
      <c r="CYV21" s="19"/>
      <c r="CYW21" s="19"/>
      <c r="CYX21" s="19"/>
      <c r="CYY21" s="19"/>
      <c r="CYZ21" s="19"/>
      <c r="CZA21" s="19"/>
      <c r="CZB21" s="19"/>
      <c r="CZC21" s="19"/>
      <c r="CZD21" s="19"/>
      <c r="CZE21" s="19"/>
      <c r="CZF21" s="19"/>
      <c r="CZG21" s="19"/>
      <c r="CZH21" s="19"/>
      <c r="CZI21" s="19"/>
      <c r="CZJ21" s="19"/>
      <c r="CZK21" s="19"/>
      <c r="CZL21" s="19"/>
      <c r="CZM21" s="19"/>
      <c r="CZN21" s="19"/>
      <c r="CZO21" s="19"/>
      <c r="CZP21" s="19"/>
      <c r="CZQ21" s="19"/>
      <c r="CZR21" s="19"/>
      <c r="CZS21" s="19"/>
      <c r="CZT21" s="19"/>
      <c r="CZU21" s="19"/>
      <c r="CZV21" s="19"/>
      <c r="CZW21" s="19"/>
      <c r="CZX21" s="19"/>
      <c r="CZY21" s="19"/>
      <c r="CZZ21" s="19"/>
      <c r="DAA21" s="19"/>
      <c r="DAB21" s="19"/>
      <c r="DAC21" s="19"/>
      <c r="DAD21" s="19"/>
      <c r="DAE21" s="19"/>
      <c r="DAF21" s="19"/>
      <c r="DAG21" s="19"/>
      <c r="DAH21" s="19"/>
      <c r="DAI21" s="19"/>
      <c r="DAJ21" s="19"/>
      <c r="DAK21" s="19"/>
      <c r="DAL21" s="19"/>
      <c r="DAM21" s="19"/>
      <c r="DAN21" s="19"/>
      <c r="DAO21" s="19"/>
      <c r="DAP21" s="19"/>
      <c r="DAQ21" s="19"/>
      <c r="DAR21" s="19"/>
      <c r="DAS21" s="19"/>
      <c r="DAT21" s="19"/>
      <c r="DAU21" s="19"/>
      <c r="DAV21" s="19"/>
      <c r="DAW21" s="19"/>
      <c r="DAX21" s="19"/>
      <c r="DAY21" s="19"/>
      <c r="DAZ21" s="19"/>
      <c r="DBA21" s="19"/>
      <c r="DBB21" s="19"/>
      <c r="DBC21" s="19"/>
      <c r="DBD21" s="19"/>
      <c r="DBE21" s="19"/>
      <c r="DBF21" s="19"/>
      <c r="DBG21" s="19"/>
      <c r="DBH21" s="19"/>
      <c r="DBI21" s="19"/>
      <c r="DBJ21" s="19"/>
      <c r="DBK21" s="19"/>
      <c r="DBL21" s="19"/>
      <c r="DBM21" s="19"/>
      <c r="DBN21" s="19"/>
      <c r="DBO21" s="19"/>
      <c r="DBP21" s="19"/>
      <c r="DBQ21" s="19"/>
      <c r="DBR21" s="19"/>
      <c r="DBS21" s="19"/>
      <c r="DBT21" s="19"/>
      <c r="DBU21" s="19"/>
      <c r="DBV21" s="19"/>
      <c r="DBW21" s="19"/>
      <c r="DBX21" s="19"/>
      <c r="DBY21" s="19"/>
      <c r="DBZ21" s="19"/>
      <c r="DCA21" s="19"/>
      <c r="DCB21" s="19"/>
      <c r="DCC21" s="19"/>
      <c r="DCD21" s="19"/>
      <c r="DCE21" s="19"/>
      <c r="DCF21" s="19"/>
      <c r="DCG21" s="19"/>
      <c r="DCH21" s="19"/>
      <c r="DCI21" s="19"/>
      <c r="DCJ21" s="19"/>
      <c r="DCK21" s="19"/>
      <c r="DCL21" s="19"/>
      <c r="DCM21" s="19"/>
      <c r="DCN21" s="19"/>
      <c r="DCO21" s="19"/>
      <c r="DCP21" s="19"/>
      <c r="DCQ21" s="19"/>
      <c r="DCR21" s="19"/>
      <c r="DCS21" s="19"/>
      <c r="DCT21" s="19"/>
      <c r="DCU21" s="19"/>
      <c r="DCV21" s="19"/>
      <c r="DCW21" s="19"/>
      <c r="DCX21" s="19"/>
      <c r="DCY21" s="19"/>
      <c r="DCZ21" s="19"/>
      <c r="DDA21" s="19"/>
      <c r="DDB21" s="19"/>
      <c r="DDC21" s="19"/>
      <c r="DDD21" s="19"/>
      <c r="DDE21" s="19"/>
      <c r="DDF21" s="19"/>
      <c r="DDG21" s="19"/>
      <c r="DDH21" s="19"/>
      <c r="DDI21" s="19"/>
      <c r="DDJ21" s="19"/>
      <c r="DDK21" s="19"/>
      <c r="DDL21" s="19"/>
      <c r="DDM21" s="19"/>
      <c r="DDN21" s="19"/>
      <c r="DDO21" s="19"/>
      <c r="DDP21" s="19"/>
      <c r="DDQ21" s="19"/>
      <c r="DDR21" s="19"/>
      <c r="DDS21" s="19"/>
      <c r="DDT21" s="19"/>
      <c r="DDU21" s="19"/>
      <c r="DDV21" s="19"/>
      <c r="DDW21" s="19"/>
      <c r="DDX21" s="19"/>
      <c r="DDY21" s="19"/>
      <c r="DDZ21" s="19"/>
      <c r="DEA21" s="19"/>
      <c r="DEB21" s="19"/>
      <c r="DEC21" s="19"/>
      <c r="DED21" s="19"/>
      <c r="DEE21" s="19"/>
      <c r="DEF21" s="19"/>
      <c r="DEG21" s="19"/>
      <c r="DEH21" s="19"/>
      <c r="DEI21" s="19"/>
      <c r="DEJ21" s="19"/>
      <c r="DEK21" s="19"/>
      <c r="DEL21" s="19"/>
      <c r="DEM21" s="19"/>
      <c r="DEN21" s="19"/>
      <c r="DEO21" s="19"/>
      <c r="DEP21" s="19"/>
      <c r="DEQ21" s="19"/>
      <c r="DER21" s="19"/>
      <c r="DES21" s="19"/>
      <c r="DET21" s="19"/>
      <c r="DEU21" s="19"/>
      <c r="DEV21" s="19"/>
      <c r="DEW21" s="19"/>
      <c r="DEX21" s="19"/>
      <c r="DEY21" s="19"/>
      <c r="DEZ21" s="19"/>
      <c r="DFA21" s="19"/>
      <c r="DFB21" s="19"/>
      <c r="DFC21" s="19"/>
      <c r="DFD21" s="19"/>
      <c r="DFE21" s="19"/>
      <c r="DFF21" s="19"/>
      <c r="DFG21" s="19"/>
      <c r="DFH21" s="19"/>
      <c r="DFI21" s="19"/>
      <c r="DFJ21" s="19"/>
      <c r="DFK21" s="19"/>
      <c r="DFL21" s="19"/>
      <c r="DFM21" s="19"/>
      <c r="DFN21" s="19"/>
      <c r="DFO21" s="19"/>
      <c r="DFP21" s="19"/>
      <c r="DFQ21" s="19"/>
      <c r="DFR21" s="19"/>
      <c r="DFS21" s="19"/>
      <c r="DFT21" s="19"/>
      <c r="DFU21" s="19"/>
      <c r="DFV21" s="19"/>
      <c r="DFW21" s="19"/>
      <c r="DFX21" s="19"/>
      <c r="DFY21" s="19"/>
      <c r="DFZ21" s="19"/>
      <c r="DGA21" s="19"/>
      <c r="DGB21" s="19"/>
      <c r="DGC21" s="19"/>
      <c r="DGD21" s="19"/>
      <c r="DGE21" s="19"/>
      <c r="DGF21" s="19"/>
      <c r="DGG21" s="19"/>
      <c r="DGH21" s="19"/>
      <c r="DGI21" s="19"/>
      <c r="DGJ21" s="19"/>
      <c r="DGK21" s="19"/>
      <c r="DGL21" s="19"/>
      <c r="DGM21" s="19"/>
      <c r="DGN21" s="19"/>
      <c r="DGO21" s="19"/>
      <c r="DGP21" s="19"/>
      <c r="DGQ21" s="19"/>
      <c r="DGR21" s="19"/>
      <c r="DGS21" s="19"/>
      <c r="DGT21" s="19"/>
      <c r="DGU21" s="19"/>
      <c r="DGV21" s="19"/>
      <c r="DGW21" s="19"/>
      <c r="DGX21" s="19"/>
      <c r="DGY21" s="19"/>
      <c r="DGZ21" s="19"/>
      <c r="DHA21" s="19"/>
      <c r="DHB21" s="19"/>
      <c r="DHC21" s="19"/>
      <c r="DHD21" s="19"/>
      <c r="DHE21" s="19"/>
      <c r="DHF21" s="19"/>
      <c r="DHG21" s="19"/>
      <c r="DHH21" s="19"/>
      <c r="DHI21" s="19"/>
      <c r="DHJ21" s="19"/>
      <c r="DHK21" s="19"/>
      <c r="DHL21" s="19"/>
      <c r="DHM21" s="19"/>
      <c r="DHN21" s="19"/>
      <c r="DHO21" s="19"/>
      <c r="DHP21" s="19"/>
      <c r="DHQ21" s="19"/>
      <c r="DHR21" s="19"/>
      <c r="DHS21" s="19"/>
      <c r="DHT21" s="19"/>
      <c r="DHU21" s="19"/>
      <c r="DHV21" s="19"/>
      <c r="DHW21" s="19"/>
      <c r="DHX21" s="19"/>
      <c r="DHY21" s="19"/>
      <c r="DHZ21" s="19"/>
      <c r="DIA21" s="19"/>
      <c r="DIB21" s="19"/>
      <c r="DIC21" s="19"/>
      <c r="DID21" s="19"/>
      <c r="DIE21" s="19"/>
      <c r="DIF21" s="19"/>
      <c r="DIG21" s="19"/>
      <c r="DIH21" s="19"/>
      <c r="DII21" s="19"/>
      <c r="DIJ21" s="19"/>
      <c r="DIK21" s="19"/>
      <c r="DIL21" s="19"/>
      <c r="DIM21" s="19"/>
      <c r="DIN21" s="19"/>
      <c r="DIO21" s="19"/>
      <c r="DIP21" s="19"/>
      <c r="DIQ21" s="19"/>
      <c r="DIR21" s="19"/>
      <c r="DIS21" s="19"/>
      <c r="DIT21" s="19"/>
      <c r="DIU21" s="19"/>
      <c r="DIV21" s="19"/>
      <c r="DIW21" s="19"/>
      <c r="DIX21" s="19"/>
      <c r="DIY21" s="19"/>
      <c r="DIZ21" s="19"/>
      <c r="DJA21" s="19"/>
      <c r="DJB21" s="19"/>
      <c r="DJC21" s="19"/>
      <c r="DJD21" s="19"/>
      <c r="DJE21" s="19"/>
      <c r="DJF21" s="19"/>
      <c r="DJG21" s="19"/>
      <c r="DJH21" s="19"/>
      <c r="DJI21" s="19"/>
      <c r="DJJ21" s="19"/>
      <c r="DJK21" s="19"/>
      <c r="DJL21" s="19"/>
      <c r="DJM21" s="19"/>
      <c r="DJN21" s="19"/>
      <c r="DJO21" s="19"/>
      <c r="DJP21" s="19"/>
      <c r="DJQ21" s="19"/>
      <c r="DJR21" s="19"/>
      <c r="DJS21" s="19"/>
      <c r="DJT21" s="19"/>
      <c r="DJU21" s="19"/>
      <c r="DJV21" s="19"/>
      <c r="DJW21" s="19"/>
      <c r="DJX21" s="19"/>
      <c r="DJY21" s="19"/>
      <c r="DJZ21" s="19"/>
      <c r="DKA21" s="19"/>
      <c r="DKB21" s="19"/>
      <c r="DKC21" s="19"/>
      <c r="DKD21" s="19"/>
      <c r="DKE21" s="19"/>
      <c r="DKF21" s="19"/>
      <c r="DKG21" s="19"/>
      <c r="DKH21" s="19"/>
      <c r="DKI21" s="19"/>
      <c r="DKJ21" s="19"/>
      <c r="DKK21" s="19"/>
      <c r="DKL21" s="19"/>
      <c r="DKM21" s="19"/>
      <c r="DKN21" s="19"/>
      <c r="DKO21" s="19"/>
      <c r="DKP21" s="19"/>
      <c r="DKQ21" s="19"/>
      <c r="DKR21" s="19"/>
      <c r="DKS21" s="19"/>
      <c r="DKT21" s="19"/>
      <c r="DKU21" s="19"/>
      <c r="DKV21" s="19"/>
      <c r="DKW21" s="19"/>
      <c r="DKX21" s="19"/>
      <c r="DKY21" s="19"/>
      <c r="DKZ21" s="19"/>
      <c r="DLA21" s="19"/>
      <c r="DLB21" s="19"/>
      <c r="DLC21" s="19"/>
      <c r="DLD21" s="19"/>
      <c r="DLE21" s="19"/>
      <c r="DLF21" s="19"/>
      <c r="DLG21" s="19"/>
      <c r="DLH21" s="19"/>
      <c r="DLI21" s="19"/>
      <c r="DLJ21" s="19"/>
      <c r="DLK21" s="19"/>
      <c r="DLL21" s="19"/>
      <c r="DLM21" s="19"/>
      <c r="DLN21" s="19"/>
      <c r="DLO21" s="19"/>
      <c r="DLP21" s="19"/>
      <c r="DLQ21" s="19"/>
      <c r="DLR21" s="19"/>
      <c r="DLS21" s="19"/>
      <c r="DLT21" s="19"/>
      <c r="DLU21" s="19"/>
      <c r="DLV21" s="19"/>
      <c r="DLW21" s="19"/>
      <c r="DLX21" s="19"/>
      <c r="DLY21" s="19"/>
      <c r="DLZ21" s="19"/>
      <c r="DMA21" s="19"/>
      <c r="DMB21" s="19"/>
      <c r="DMC21" s="19"/>
      <c r="DMD21" s="19"/>
      <c r="DME21" s="19"/>
      <c r="DMF21" s="19"/>
      <c r="DMG21" s="19"/>
      <c r="DMH21" s="19"/>
      <c r="DMI21" s="19"/>
      <c r="DMJ21" s="19"/>
      <c r="DMK21" s="19"/>
      <c r="DML21" s="19"/>
      <c r="DMM21" s="19"/>
      <c r="DMN21" s="19"/>
      <c r="DMO21" s="19"/>
      <c r="DMP21" s="19"/>
      <c r="DMQ21" s="19"/>
      <c r="DMR21" s="19"/>
      <c r="DMS21" s="19"/>
      <c r="DMT21" s="19"/>
      <c r="DMU21" s="19"/>
      <c r="DMV21" s="19"/>
      <c r="DMW21" s="19"/>
      <c r="DMX21" s="19"/>
      <c r="DMY21" s="19"/>
      <c r="DMZ21" s="19"/>
      <c r="DNA21" s="19"/>
      <c r="DNB21" s="19"/>
      <c r="DNC21" s="19"/>
      <c r="DND21" s="19"/>
      <c r="DNE21" s="19"/>
      <c r="DNF21" s="19"/>
      <c r="DNG21" s="19"/>
      <c r="DNH21" s="19"/>
      <c r="DNI21" s="19"/>
      <c r="DNJ21" s="19"/>
      <c r="DNK21" s="19"/>
      <c r="DNL21" s="19"/>
      <c r="DNM21" s="19"/>
      <c r="DNN21" s="19"/>
      <c r="DNO21" s="19"/>
      <c r="DNP21" s="19"/>
      <c r="DNQ21" s="19"/>
      <c r="DNR21" s="19"/>
      <c r="DNS21" s="19"/>
      <c r="DNT21" s="19"/>
      <c r="DNU21" s="19"/>
      <c r="DNV21" s="19"/>
      <c r="DNW21" s="19"/>
      <c r="DNX21" s="19"/>
      <c r="DNY21" s="19"/>
      <c r="DNZ21" s="19"/>
      <c r="DOA21" s="19"/>
      <c r="DOB21" s="19"/>
      <c r="DOC21" s="19"/>
      <c r="DOD21" s="19"/>
      <c r="DOE21" s="19"/>
      <c r="DOF21" s="19"/>
      <c r="DOG21" s="19"/>
      <c r="DOH21" s="19"/>
      <c r="DOI21" s="19"/>
      <c r="DOJ21" s="19"/>
      <c r="DOK21" s="19"/>
      <c r="DOL21" s="19"/>
      <c r="DOM21" s="19"/>
      <c r="DON21" s="19"/>
      <c r="DOO21" s="19"/>
      <c r="DOP21" s="19"/>
      <c r="DOQ21" s="19"/>
      <c r="DOR21" s="19"/>
      <c r="DOS21" s="19"/>
      <c r="DOT21" s="19"/>
      <c r="DOU21" s="19"/>
      <c r="DOV21" s="19"/>
      <c r="DOW21" s="19"/>
      <c r="DOX21" s="19"/>
      <c r="DOY21" s="19"/>
      <c r="DOZ21" s="19"/>
      <c r="DPA21" s="19"/>
      <c r="DPB21" s="19"/>
      <c r="DPC21" s="19"/>
      <c r="DPD21" s="19"/>
      <c r="DPE21" s="19"/>
      <c r="DPF21" s="19"/>
      <c r="DPG21" s="19"/>
      <c r="DPH21" s="19"/>
      <c r="DPI21" s="19"/>
      <c r="DPJ21" s="19"/>
      <c r="DPK21" s="19"/>
      <c r="DPL21" s="19"/>
      <c r="DPM21" s="19"/>
      <c r="DPN21" s="19"/>
      <c r="DPO21" s="19"/>
      <c r="DPP21" s="19"/>
      <c r="DPQ21" s="19"/>
      <c r="DPR21" s="19"/>
      <c r="DPS21" s="19"/>
      <c r="DPT21" s="19"/>
      <c r="DPU21" s="19"/>
      <c r="DPV21" s="19"/>
      <c r="DPW21" s="19"/>
      <c r="DPX21" s="19"/>
      <c r="DPY21" s="19"/>
      <c r="DPZ21" s="19"/>
      <c r="DQA21" s="19"/>
      <c r="DQB21" s="19"/>
      <c r="DQC21" s="19"/>
      <c r="DQD21" s="19"/>
      <c r="DQE21" s="19"/>
      <c r="DQF21" s="19"/>
      <c r="DQG21" s="19"/>
      <c r="DQH21" s="19"/>
      <c r="DQI21" s="19"/>
      <c r="DQJ21" s="19"/>
      <c r="DQK21" s="19"/>
      <c r="DQL21" s="19"/>
      <c r="DQM21" s="19"/>
      <c r="DQN21" s="19"/>
      <c r="DQO21" s="19"/>
      <c r="DQP21" s="19"/>
      <c r="DQQ21" s="19"/>
      <c r="DQR21" s="19"/>
      <c r="DQS21" s="19"/>
      <c r="DQT21" s="19"/>
      <c r="DQU21" s="19"/>
      <c r="DQV21" s="19"/>
      <c r="DQW21" s="19"/>
      <c r="DQX21" s="19"/>
      <c r="DQY21" s="19"/>
      <c r="DQZ21" s="19"/>
      <c r="DRA21" s="19"/>
      <c r="DRB21" s="19"/>
      <c r="DRC21" s="19"/>
      <c r="DRD21" s="19"/>
      <c r="DRE21" s="19"/>
      <c r="DRF21" s="19"/>
      <c r="DRG21" s="19"/>
      <c r="DRH21" s="19"/>
      <c r="DRI21" s="19"/>
      <c r="DRJ21" s="19"/>
      <c r="DRK21" s="19"/>
      <c r="DRL21" s="19"/>
      <c r="DRM21" s="19"/>
      <c r="DRN21" s="19"/>
      <c r="DRO21" s="19"/>
      <c r="DRP21" s="19"/>
      <c r="DRQ21" s="19"/>
      <c r="DRR21" s="19"/>
      <c r="DRS21" s="19"/>
      <c r="DRT21" s="19"/>
      <c r="DRU21" s="19"/>
      <c r="DRV21" s="19"/>
      <c r="DRW21" s="19"/>
      <c r="DRX21" s="19"/>
      <c r="DRY21" s="19"/>
      <c r="DRZ21" s="19"/>
      <c r="DSA21" s="19"/>
      <c r="DSB21" s="19"/>
      <c r="DSC21" s="19"/>
      <c r="DSD21" s="19"/>
      <c r="DSE21" s="19"/>
      <c r="DSF21" s="19"/>
      <c r="DSG21" s="19"/>
      <c r="DSH21" s="19"/>
      <c r="DSI21" s="19"/>
      <c r="DSJ21" s="19"/>
      <c r="DSK21" s="19"/>
      <c r="DSL21" s="19"/>
      <c r="DSM21" s="19"/>
      <c r="DSN21" s="19"/>
      <c r="DSO21" s="19"/>
      <c r="DSP21" s="19"/>
      <c r="DSQ21" s="19"/>
      <c r="DSR21" s="19"/>
      <c r="DSS21" s="19"/>
      <c r="DST21" s="19"/>
      <c r="DSU21" s="19"/>
      <c r="DSV21" s="19"/>
      <c r="DSW21" s="19"/>
      <c r="DSX21" s="19"/>
      <c r="DSY21" s="19"/>
      <c r="DSZ21" s="19"/>
      <c r="DTA21" s="19"/>
      <c r="DTB21" s="19"/>
      <c r="DTC21" s="19"/>
      <c r="DTD21" s="19"/>
      <c r="DTE21" s="19"/>
      <c r="DTF21" s="19"/>
      <c r="DTG21" s="19"/>
      <c r="DTH21" s="19"/>
      <c r="DTI21" s="19"/>
      <c r="DTJ21" s="19"/>
      <c r="DTK21" s="19"/>
      <c r="DTL21" s="19"/>
      <c r="DTM21" s="19"/>
      <c r="DTN21" s="19"/>
      <c r="DTO21" s="19"/>
      <c r="DTP21" s="19"/>
      <c r="DTQ21" s="19"/>
      <c r="DTR21" s="19"/>
      <c r="DTS21" s="19"/>
      <c r="DTT21" s="19"/>
      <c r="DTU21" s="19"/>
      <c r="DTV21" s="19"/>
      <c r="DTW21" s="19"/>
      <c r="DTX21" s="19"/>
      <c r="DTY21" s="19"/>
      <c r="DTZ21" s="19"/>
      <c r="DUA21" s="19"/>
      <c r="DUB21" s="19"/>
      <c r="DUC21" s="19"/>
      <c r="DUD21" s="19"/>
      <c r="DUE21" s="19"/>
      <c r="DUF21" s="19"/>
      <c r="DUG21" s="19"/>
      <c r="DUH21" s="19"/>
      <c r="DUI21" s="19"/>
      <c r="DUJ21" s="19"/>
      <c r="DUK21" s="19"/>
      <c r="DUL21" s="19"/>
      <c r="DUM21" s="19"/>
      <c r="DUN21" s="19"/>
      <c r="DUO21" s="19"/>
      <c r="DUP21" s="19"/>
      <c r="DUQ21" s="19"/>
      <c r="DUR21" s="19"/>
      <c r="DUS21" s="19"/>
      <c r="DUT21" s="19"/>
      <c r="DUU21" s="19"/>
      <c r="DUV21" s="19"/>
      <c r="DUW21" s="19"/>
      <c r="DUX21" s="19"/>
      <c r="DUY21" s="19"/>
      <c r="DUZ21" s="19"/>
      <c r="DVA21" s="19"/>
      <c r="DVB21" s="19"/>
      <c r="DVC21" s="19"/>
      <c r="DVD21" s="19"/>
      <c r="DVE21" s="19"/>
      <c r="DVF21" s="19"/>
      <c r="DVG21" s="19"/>
      <c r="DVH21" s="19"/>
      <c r="DVI21" s="19"/>
      <c r="DVJ21" s="19"/>
      <c r="DVK21" s="19"/>
      <c r="DVL21" s="19"/>
      <c r="DVM21" s="19"/>
      <c r="DVN21" s="19"/>
      <c r="DVO21" s="19"/>
      <c r="DVP21" s="19"/>
      <c r="DVQ21" s="19"/>
      <c r="DVR21" s="19"/>
      <c r="DVS21" s="19"/>
      <c r="DVT21" s="19"/>
      <c r="DVU21" s="19"/>
      <c r="DVV21" s="19"/>
      <c r="DVW21" s="19"/>
      <c r="DVX21" s="19"/>
      <c r="DVY21" s="19"/>
      <c r="DVZ21" s="19"/>
      <c r="DWA21" s="19"/>
      <c r="DWB21" s="19"/>
      <c r="DWC21" s="19"/>
      <c r="DWD21" s="19"/>
      <c r="DWE21" s="19"/>
      <c r="DWF21" s="19"/>
      <c r="DWG21" s="19"/>
      <c r="DWH21" s="19"/>
      <c r="DWI21" s="19"/>
      <c r="DWJ21" s="19"/>
      <c r="DWK21" s="19"/>
      <c r="DWL21" s="19"/>
      <c r="DWM21" s="19"/>
      <c r="DWN21" s="19"/>
      <c r="DWO21" s="19"/>
      <c r="DWP21" s="19"/>
      <c r="DWQ21" s="19"/>
      <c r="DWR21" s="19"/>
      <c r="DWS21" s="19"/>
      <c r="DWT21" s="19"/>
      <c r="DWU21" s="19"/>
      <c r="DWV21" s="19"/>
      <c r="DWW21" s="19"/>
      <c r="DWX21" s="19"/>
      <c r="DWY21" s="19"/>
      <c r="DWZ21" s="19"/>
      <c r="DXA21" s="19"/>
      <c r="DXB21" s="19"/>
      <c r="DXC21" s="19"/>
      <c r="DXD21" s="19"/>
      <c r="DXE21" s="19"/>
      <c r="DXF21" s="19"/>
      <c r="DXG21" s="19"/>
      <c r="DXH21" s="19"/>
      <c r="DXI21" s="19"/>
      <c r="DXJ21" s="19"/>
      <c r="DXK21" s="19"/>
      <c r="DXL21" s="19"/>
      <c r="DXM21" s="19"/>
      <c r="DXN21" s="19"/>
      <c r="DXO21" s="19"/>
      <c r="DXP21" s="19"/>
      <c r="DXQ21" s="19"/>
      <c r="DXR21" s="19"/>
      <c r="DXS21" s="19"/>
      <c r="DXT21" s="19"/>
      <c r="DXU21" s="19"/>
      <c r="DXV21" s="19"/>
      <c r="DXW21" s="19"/>
      <c r="DXX21" s="19"/>
      <c r="DXY21" s="19"/>
      <c r="DXZ21" s="19"/>
      <c r="DYA21" s="19"/>
      <c r="DYB21" s="19"/>
      <c r="DYC21" s="19"/>
      <c r="DYD21" s="19"/>
      <c r="DYE21" s="19"/>
      <c r="DYF21" s="19"/>
      <c r="DYG21" s="19"/>
      <c r="DYH21" s="19"/>
      <c r="DYI21" s="19"/>
      <c r="DYJ21" s="19"/>
      <c r="DYK21" s="19"/>
      <c r="DYL21" s="19"/>
      <c r="DYM21" s="19"/>
      <c r="DYN21" s="19"/>
      <c r="DYO21" s="19"/>
      <c r="DYP21" s="19"/>
      <c r="DYQ21" s="19"/>
      <c r="DYR21" s="19"/>
      <c r="DYS21" s="19"/>
      <c r="DYT21" s="19"/>
      <c r="DYU21" s="19"/>
      <c r="DYV21" s="19"/>
      <c r="DYW21" s="19"/>
      <c r="DYX21" s="19"/>
      <c r="DYY21" s="19"/>
      <c r="DYZ21" s="19"/>
      <c r="DZA21" s="19"/>
      <c r="DZB21" s="19"/>
      <c r="DZC21" s="19"/>
      <c r="DZD21" s="19"/>
      <c r="DZE21" s="19"/>
      <c r="DZF21" s="19"/>
      <c r="DZG21" s="19"/>
      <c r="DZH21" s="19"/>
      <c r="DZI21" s="19"/>
      <c r="DZJ21" s="19"/>
      <c r="DZK21" s="19"/>
      <c r="DZL21" s="19"/>
      <c r="DZM21" s="19"/>
      <c r="DZN21" s="19"/>
      <c r="DZO21" s="19"/>
      <c r="DZP21" s="19"/>
      <c r="DZQ21" s="19"/>
      <c r="DZR21" s="19"/>
      <c r="DZS21" s="19"/>
      <c r="DZT21" s="19"/>
      <c r="DZU21" s="19"/>
      <c r="DZV21" s="19"/>
      <c r="DZW21" s="19"/>
      <c r="DZX21" s="19"/>
      <c r="DZY21" s="19"/>
      <c r="DZZ21" s="19"/>
      <c r="EAA21" s="19"/>
      <c r="EAB21" s="19"/>
      <c r="EAC21" s="19"/>
      <c r="EAD21" s="19"/>
      <c r="EAE21" s="19"/>
      <c r="EAF21" s="19"/>
      <c r="EAG21" s="19"/>
      <c r="EAH21" s="19"/>
      <c r="EAI21" s="19"/>
      <c r="EAJ21" s="19"/>
      <c r="EAK21" s="19"/>
      <c r="EAL21" s="19"/>
      <c r="EAM21" s="19"/>
      <c r="EAN21" s="19"/>
      <c r="EAO21" s="19"/>
      <c r="EAP21" s="19"/>
      <c r="EAQ21" s="19"/>
      <c r="EAR21" s="19"/>
      <c r="EAS21" s="19"/>
      <c r="EAT21" s="19"/>
      <c r="EAU21" s="19"/>
      <c r="EAV21" s="19"/>
      <c r="EAW21" s="19"/>
      <c r="EAX21" s="19"/>
      <c r="EAY21" s="19"/>
      <c r="EAZ21" s="19"/>
      <c r="EBA21" s="19"/>
      <c r="EBB21" s="19"/>
      <c r="EBC21" s="19"/>
      <c r="EBD21" s="19"/>
      <c r="EBE21" s="19"/>
      <c r="EBF21" s="19"/>
      <c r="EBG21" s="19"/>
      <c r="EBH21" s="19"/>
      <c r="EBI21" s="19"/>
      <c r="EBJ21" s="19"/>
      <c r="EBK21" s="19"/>
      <c r="EBL21" s="19"/>
      <c r="EBM21" s="19"/>
      <c r="EBN21" s="19"/>
      <c r="EBO21" s="19"/>
      <c r="EBP21" s="19"/>
      <c r="EBQ21" s="19"/>
      <c r="EBR21" s="19"/>
      <c r="EBS21" s="19"/>
      <c r="EBT21" s="19"/>
      <c r="EBU21" s="19"/>
      <c r="EBV21" s="19"/>
      <c r="EBW21" s="19"/>
      <c r="EBX21" s="19"/>
      <c r="EBY21" s="19"/>
      <c r="EBZ21" s="19"/>
      <c r="ECA21" s="19"/>
      <c r="ECB21" s="19"/>
      <c r="ECC21" s="19"/>
      <c r="ECD21" s="19"/>
      <c r="ECE21" s="19"/>
      <c r="ECF21" s="19"/>
      <c r="ECG21" s="19"/>
      <c r="ECH21" s="19"/>
      <c r="ECI21" s="19"/>
      <c r="ECJ21" s="19"/>
      <c r="ECK21" s="19"/>
      <c r="ECL21" s="19"/>
      <c r="ECM21" s="19"/>
      <c r="ECN21" s="19"/>
      <c r="ECO21" s="19"/>
      <c r="ECP21" s="19"/>
      <c r="ECQ21" s="19"/>
      <c r="ECR21" s="19"/>
      <c r="ECS21" s="19"/>
      <c r="ECT21" s="19"/>
      <c r="ECU21" s="19"/>
      <c r="ECV21" s="19"/>
      <c r="ECW21" s="19"/>
      <c r="ECX21" s="19"/>
      <c r="ECY21" s="19"/>
      <c r="ECZ21" s="19"/>
      <c r="EDA21" s="19"/>
      <c r="EDB21" s="19"/>
      <c r="EDC21" s="19"/>
      <c r="EDD21" s="19"/>
      <c r="EDE21" s="19"/>
      <c r="EDF21" s="19"/>
      <c r="EDG21" s="19"/>
      <c r="EDH21" s="19"/>
      <c r="EDI21" s="19"/>
      <c r="EDJ21" s="19"/>
      <c r="EDK21" s="19"/>
      <c r="EDL21" s="19"/>
      <c r="EDM21" s="19"/>
      <c r="EDN21" s="19"/>
      <c r="EDO21" s="19"/>
      <c r="EDP21" s="19"/>
      <c r="EDQ21" s="19"/>
      <c r="EDR21" s="19"/>
      <c r="EDS21" s="19"/>
      <c r="EDT21" s="19"/>
      <c r="EDU21" s="19"/>
      <c r="EDV21" s="19"/>
      <c r="EDW21" s="19"/>
      <c r="EDX21" s="19"/>
      <c r="EDY21" s="19"/>
      <c r="EDZ21" s="19"/>
      <c r="EEA21" s="19"/>
      <c r="EEB21" s="19"/>
      <c r="EEC21" s="19"/>
      <c r="EED21" s="19"/>
      <c r="EEE21" s="19"/>
      <c r="EEF21" s="19"/>
      <c r="EEG21" s="19"/>
      <c r="EEH21" s="19"/>
      <c r="EEI21" s="19"/>
      <c r="EEJ21" s="19"/>
      <c r="EEK21" s="19"/>
      <c r="EEL21" s="19"/>
      <c r="EEM21" s="19"/>
      <c r="EEN21" s="19"/>
      <c r="EEO21" s="19"/>
      <c r="EEP21" s="19"/>
      <c r="EEQ21" s="19"/>
      <c r="EER21" s="19"/>
      <c r="EES21" s="19"/>
      <c r="EET21" s="19"/>
      <c r="EEU21" s="19"/>
      <c r="EEV21" s="19"/>
      <c r="EEW21" s="19"/>
      <c r="EEX21" s="19"/>
      <c r="EEY21" s="19"/>
      <c r="EEZ21" s="19"/>
      <c r="EFA21" s="19"/>
      <c r="EFB21" s="19"/>
      <c r="EFC21" s="19"/>
      <c r="EFD21" s="19"/>
      <c r="EFE21" s="19"/>
      <c r="EFF21" s="19"/>
      <c r="EFG21" s="19"/>
      <c r="EFH21" s="19"/>
      <c r="EFI21" s="19"/>
      <c r="EFJ21" s="19"/>
      <c r="EFK21" s="19"/>
      <c r="EFL21" s="19"/>
      <c r="EFM21" s="19"/>
      <c r="EFN21" s="19"/>
      <c r="EFO21" s="19"/>
      <c r="EFP21" s="19"/>
      <c r="EFQ21" s="19"/>
      <c r="EFR21" s="19"/>
      <c r="EFS21" s="19"/>
      <c r="EFT21" s="19"/>
      <c r="EFU21" s="19"/>
      <c r="EFV21" s="19"/>
      <c r="EFW21" s="19"/>
      <c r="EFX21" s="19"/>
      <c r="EFY21" s="19"/>
      <c r="EFZ21" s="19"/>
      <c r="EGA21" s="19"/>
      <c r="EGB21" s="19"/>
      <c r="EGC21" s="19"/>
      <c r="EGD21" s="19"/>
      <c r="EGE21" s="19"/>
      <c r="EGF21" s="19"/>
      <c r="EGG21" s="19"/>
      <c r="EGH21" s="19"/>
      <c r="EGI21" s="19"/>
      <c r="EGJ21" s="19"/>
      <c r="EGK21" s="19"/>
      <c r="EGL21" s="19"/>
      <c r="EGM21" s="19"/>
      <c r="EGN21" s="19"/>
      <c r="EGO21" s="19"/>
      <c r="EGP21" s="19"/>
      <c r="EGQ21" s="19"/>
      <c r="EGR21" s="19"/>
      <c r="EGS21" s="19"/>
      <c r="EGT21" s="19"/>
      <c r="EGU21" s="19"/>
      <c r="EGV21" s="19"/>
      <c r="EGW21" s="19"/>
      <c r="EGX21" s="19"/>
      <c r="EGY21" s="19"/>
      <c r="EGZ21" s="19"/>
      <c r="EHA21" s="19"/>
      <c r="EHB21" s="19"/>
      <c r="EHC21" s="19"/>
      <c r="EHD21" s="19"/>
      <c r="EHE21" s="19"/>
      <c r="EHF21" s="19"/>
      <c r="EHG21" s="19"/>
      <c r="EHH21" s="19"/>
      <c r="EHI21" s="19"/>
      <c r="EHJ21" s="19"/>
      <c r="EHK21" s="19"/>
      <c r="EHL21" s="19"/>
      <c r="EHM21" s="19"/>
      <c r="EHN21" s="19"/>
      <c r="EHO21" s="19"/>
      <c r="EHP21" s="19"/>
      <c r="EHQ21" s="19"/>
      <c r="EHR21" s="19"/>
      <c r="EHS21" s="19"/>
      <c r="EHT21" s="19"/>
      <c r="EHU21" s="19"/>
      <c r="EHV21" s="19"/>
      <c r="EHW21" s="19"/>
      <c r="EHX21" s="19"/>
      <c r="EHY21" s="19"/>
      <c r="EHZ21" s="19"/>
      <c r="EIA21" s="19"/>
      <c r="EIB21" s="19"/>
      <c r="EIC21" s="19"/>
      <c r="EID21" s="19"/>
      <c r="EIE21" s="19"/>
      <c r="EIF21" s="19"/>
      <c r="EIG21" s="19"/>
      <c r="EIH21" s="19"/>
      <c r="EII21" s="19"/>
      <c r="EIJ21" s="19"/>
      <c r="EIK21" s="19"/>
      <c r="EIL21" s="19"/>
      <c r="EIM21" s="19"/>
      <c r="EIN21" s="19"/>
      <c r="EIO21" s="19"/>
      <c r="EIP21" s="19"/>
      <c r="EIQ21" s="19"/>
      <c r="EIR21" s="19"/>
      <c r="EIS21" s="19"/>
      <c r="EIT21" s="19"/>
      <c r="EIU21" s="19"/>
      <c r="EIV21" s="19"/>
      <c r="EIW21" s="19"/>
      <c r="EIX21" s="19"/>
      <c r="EIY21" s="19"/>
      <c r="EIZ21" s="19"/>
      <c r="EJA21" s="19"/>
      <c r="EJB21" s="19"/>
      <c r="EJC21" s="19"/>
      <c r="EJD21" s="19"/>
      <c r="EJE21" s="19"/>
      <c r="EJF21" s="19"/>
      <c r="EJG21" s="19"/>
      <c r="EJH21" s="19"/>
      <c r="EJI21" s="19"/>
      <c r="EJJ21" s="19"/>
      <c r="EJK21" s="19"/>
      <c r="EJL21" s="19"/>
      <c r="EJM21" s="19"/>
      <c r="EJN21" s="19"/>
      <c r="EJO21" s="19"/>
      <c r="EJP21" s="19"/>
      <c r="EJQ21" s="19"/>
      <c r="EJR21" s="19"/>
      <c r="EJS21" s="19"/>
      <c r="EJT21" s="19"/>
      <c r="EJU21" s="19"/>
      <c r="EJV21" s="19"/>
      <c r="EJW21" s="19"/>
      <c r="EJX21" s="19"/>
      <c r="EJY21" s="19"/>
      <c r="EJZ21" s="19"/>
      <c r="EKA21" s="19"/>
      <c r="EKB21" s="19"/>
      <c r="EKC21" s="19"/>
      <c r="EKD21" s="19"/>
      <c r="EKE21" s="19"/>
      <c r="EKF21" s="19"/>
      <c r="EKG21" s="19"/>
      <c r="EKH21" s="19"/>
      <c r="EKI21" s="19"/>
      <c r="EKJ21" s="19"/>
      <c r="EKK21" s="19"/>
      <c r="EKL21" s="19"/>
      <c r="EKM21" s="19"/>
      <c r="EKN21" s="19"/>
      <c r="EKO21" s="19"/>
      <c r="EKP21" s="19"/>
      <c r="EKQ21" s="19"/>
      <c r="EKR21" s="19"/>
      <c r="EKS21" s="19"/>
      <c r="EKT21" s="19"/>
      <c r="EKU21" s="19"/>
      <c r="EKV21" s="19"/>
      <c r="EKW21" s="19"/>
      <c r="EKX21" s="19"/>
      <c r="EKY21" s="19"/>
      <c r="EKZ21" s="19"/>
      <c r="ELA21" s="19"/>
      <c r="ELB21" s="19"/>
      <c r="ELC21" s="19"/>
      <c r="ELD21" s="19"/>
      <c r="ELE21" s="19"/>
      <c r="ELF21" s="19"/>
      <c r="ELG21" s="19"/>
      <c r="ELH21" s="19"/>
      <c r="ELI21" s="19"/>
      <c r="ELJ21" s="19"/>
      <c r="ELK21" s="19"/>
      <c r="ELL21" s="19"/>
      <c r="ELM21" s="19"/>
      <c r="ELN21" s="19"/>
      <c r="ELO21" s="19"/>
      <c r="ELP21" s="19"/>
      <c r="ELQ21" s="19"/>
      <c r="ELR21" s="19"/>
      <c r="ELS21" s="19"/>
      <c r="ELT21" s="19"/>
      <c r="ELU21" s="19"/>
      <c r="ELV21" s="19"/>
      <c r="ELW21" s="19"/>
      <c r="ELX21" s="19"/>
      <c r="ELY21" s="19"/>
      <c r="ELZ21" s="19"/>
      <c r="EMA21" s="19"/>
      <c r="EMB21" s="19"/>
      <c r="EMC21" s="19"/>
      <c r="EMD21" s="19"/>
      <c r="EME21" s="19"/>
      <c r="EMF21" s="19"/>
      <c r="EMG21" s="19"/>
      <c r="EMH21" s="19"/>
      <c r="EMI21" s="19"/>
      <c r="EMJ21" s="19"/>
      <c r="EMK21" s="19"/>
      <c r="EML21" s="19"/>
      <c r="EMM21" s="19"/>
      <c r="EMN21" s="19"/>
      <c r="EMO21" s="19"/>
      <c r="EMP21" s="19"/>
      <c r="EMQ21" s="19"/>
      <c r="EMR21" s="19"/>
      <c r="EMS21" s="19"/>
      <c r="EMT21" s="19"/>
      <c r="EMU21" s="19"/>
      <c r="EMV21" s="19"/>
      <c r="EMW21" s="19"/>
      <c r="EMX21" s="19"/>
      <c r="EMY21" s="19"/>
      <c r="EMZ21" s="19"/>
      <c r="ENA21" s="19"/>
      <c r="ENB21" s="19"/>
      <c r="ENC21" s="19"/>
      <c r="END21" s="19"/>
      <c r="ENE21" s="19"/>
      <c r="ENF21" s="19"/>
      <c r="ENG21" s="19"/>
      <c r="ENH21" s="19"/>
      <c r="ENI21" s="19"/>
      <c r="ENJ21" s="19"/>
      <c r="ENK21" s="19"/>
      <c r="ENL21" s="19"/>
      <c r="ENM21" s="19"/>
      <c r="ENN21" s="19"/>
      <c r="ENO21" s="19"/>
      <c r="ENP21" s="19"/>
      <c r="ENQ21" s="19"/>
      <c r="ENR21" s="19"/>
      <c r="ENS21" s="19"/>
      <c r="ENT21" s="19"/>
      <c r="ENU21" s="19"/>
      <c r="ENV21" s="19"/>
      <c r="ENW21" s="19"/>
      <c r="ENX21" s="19"/>
      <c r="ENY21" s="19"/>
      <c r="ENZ21" s="19"/>
      <c r="EOA21" s="19"/>
      <c r="EOB21" s="19"/>
      <c r="EOC21" s="19"/>
      <c r="EOD21" s="19"/>
      <c r="EOE21" s="19"/>
      <c r="EOF21" s="19"/>
      <c r="EOG21" s="19"/>
      <c r="EOH21" s="19"/>
      <c r="EOI21" s="19"/>
      <c r="EOJ21" s="19"/>
      <c r="EOK21" s="19"/>
      <c r="EOL21" s="19"/>
      <c r="EOM21" s="19"/>
      <c r="EON21" s="19"/>
      <c r="EOO21" s="19"/>
      <c r="EOP21" s="19"/>
      <c r="EOQ21" s="19"/>
      <c r="EOR21" s="19"/>
      <c r="EOS21" s="19"/>
      <c r="EOT21" s="19"/>
      <c r="EOU21" s="19"/>
      <c r="EOV21" s="19"/>
      <c r="EOW21" s="19"/>
      <c r="EOX21" s="19"/>
      <c r="EOY21" s="19"/>
      <c r="EOZ21" s="19"/>
      <c r="EPA21" s="19"/>
      <c r="EPB21" s="19"/>
      <c r="EPC21" s="19"/>
      <c r="EPD21" s="19"/>
      <c r="EPE21" s="19"/>
      <c r="EPF21" s="19"/>
      <c r="EPG21" s="19"/>
      <c r="EPH21" s="19"/>
      <c r="EPI21" s="19"/>
      <c r="EPJ21" s="19"/>
      <c r="EPK21" s="19"/>
      <c r="EPL21" s="19"/>
      <c r="EPM21" s="19"/>
      <c r="EPN21" s="19"/>
      <c r="EPO21" s="19"/>
      <c r="EPP21" s="19"/>
      <c r="EPQ21" s="19"/>
      <c r="EPR21" s="19"/>
      <c r="EPS21" s="19"/>
      <c r="EPT21" s="19"/>
      <c r="EPU21" s="19"/>
      <c r="EPV21" s="19"/>
      <c r="EPW21" s="19"/>
      <c r="EPX21" s="19"/>
      <c r="EPY21" s="19"/>
      <c r="EPZ21" s="19"/>
      <c r="EQA21" s="19"/>
      <c r="EQB21" s="19"/>
      <c r="EQC21" s="19"/>
      <c r="EQD21" s="19"/>
      <c r="EQE21" s="19"/>
      <c r="EQF21" s="19"/>
      <c r="EQG21" s="19"/>
      <c r="EQH21" s="19"/>
      <c r="EQI21" s="19"/>
      <c r="EQJ21" s="19"/>
      <c r="EQK21" s="19"/>
      <c r="EQL21" s="19"/>
      <c r="EQM21" s="19"/>
      <c r="EQN21" s="19"/>
      <c r="EQO21" s="19"/>
      <c r="EQP21" s="19"/>
      <c r="EQQ21" s="19"/>
      <c r="EQR21" s="19"/>
      <c r="EQS21" s="19"/>
      <c r="EQT21" s="19"/>
      <c r="EQU21" s="19"/>
      <c r="EQV21" s="19"/>
      <c r="EQW21" s="19"/>
      <c r="EQX21" s="19"/>
      <c r="EQY21" s="19"/>
      <c r="EQZ21" s="19"/>
      <c r="ERA21" s="19"/>
      <c r="ERB21" s="19"/>
      <c r="ERC21" s="19"/>
      <c r="ERD21" s="19"/>
      <c r="ERE21" s="19"/>
      <c r="ERF21" s="19"/>
      <c r="ERG21" s="19"/>
      <c r="ERH21" s="19"/>
      <c r="ERI21" s="19"/>
      <c r="ERJ21" s="19"/>
      <c r="ERK21" s="19"/>
      <c r="ERL21" s="19"/>
      <c r="ERM21" s="19"/>
      <c r="ERN21" s="19"/>
      <c r="ERO21" s="19"/>
      <c r="ERP21" s="19"/>
      <c r="ERQ21" s="19"/>
      <c r="ERR21" s="19"/>
      <c r="ERS21" s="19"/>
      <c r="ERT21" s="19"/>
      <c r="ERU21" s="19"/>
      <c r="ERV21" s="19"/>
      <c r="ERW21" s="19"/>
      <c r="ERX21" s="19"/>
      <c r="ERY21" s="19"/>
      <c r="ERZ21" s="19"/>
      <c r="ESA21" s="19"/>
      <c r="ESB21" s="19"/>
      <c r="ESC21" s="19"/>
      <c r="ESD21" s="19"/>
      <c r="ESE21" s="19"/>
      <c r="ESF21" s="19"/>
      <c r="ESG21" s="19"/>
      <c r="ESH21" s="19"/>
      <c r="ESI21" s="19"/>
      <c r="ESJ21" s="19"/>
      <c r="ESK21" s="19"/>
      <c r="ESL21" s="19"/>
      <c r="ESM21" s="19"/>
      <c r="ESN21" s="19"/>
      <c r="ESO21" s="19"/>
      <c r="ESP21" s="19"/>
      <c r="ESQ21" s="19"/>
      <c r="ESR21" s="19"/>
      <c r="ESS21" s="19"/>
      <c r="EST21" s="19"/>
      <c r="ESU21" s="19"/>
      <c r="ESV21" s="19"/>
      <c r="ESW21" s="19"/>
      <c r="ESX21" s="19"/>
      <c r="ESY21" s="19"/>
      <c r="ESZ21" s="19"/>
      <c r="ETA21" s="19"/>
      <c r="ETB21" s="19"/>
      <c r="ETC21" s="19"/>
      <c r="ETD21" s="19"/>
      <c r="ETE21" s="19"/>
      <c r="ETF21" s="19"/>
      <c r="ETG21" s="19"/>
      <c r="ETH21" s="19"/>
      <c r="ETI21" s="19"/>
      <c r="ETJ21" s="19"/>
      <c r="ETK21" s="19"/>
      <c r="ETL21" s="19"/>
      <c r="ETM21" s="19"/>
      <c r="ETN21" s="19"/>
      <c r="ETO21" s="19"/>
      <c r="ETP21" s="19"/>
      <c r="ETQ21" s="19"/>
      <c r="ETR21" s="19"/>
      <c r="ETS21" s="19"/>
      <c r="ETT21" s="19"/>
      <c r="ETU21" s="19"/>
      <c r="ETV21" s="19"/>
      <c r="ETW21" s="19"/>
      <c r="ETX21" s="19"/>
      <c r="ETY21" s="19"/>
      <c r="ETZ21" s="19"/>
      <c r="EUA21" s="19"/>
      <c r="EUB21" s="19"/>
      <c r="EUC21" s="19"/>
      <c r="EUD21" s="19"/>
      <c r="EUE21" s="19"/>
      <c r="EUF21" s="19"/>
      <c r="EUG21" s="19"/>
      <c r="EUH21" s="19"/>
      <c r="EUI21" s="19"/>
      <c r="EUJ21" s="19"/>
      <c r="EUK21" s="19"/>
      <c r="EUL21" s="19"/>
      <c r="EUM21" s="19"/>
      <c r="EUN21" s="19"/>
      <c r="EUO21" s="19"/>
      <c r="EUP21" s="19"/>
      <c r="EUQ21" s="19"/>
      <c r="EUR21" s="19"/>
      <c r="EUS21" s="19"/>
      <c r="EUT21" s="19"/>
      <c r="EUU21" s="19"/>
      <c r="EUV21" s="19"/>
      <c r="EUW21" s="19"/>
      <c r="EUX21" s="19"/>
      <c r="EUY21" s="19"/>
      <c r="EUZ21" s="19"/>
      <c r="EVA21" s="19"/>
      <c r="EVB21" s="19"/>
      <c r="EVC21" s="19"/>
      <c r="EVD21" s="19"/>
      <c r="EVE21" s="19"/>
      <c r="EVF21" s="19"/>
      <c r="EVG21" s="19"/>
      <c r="EVH21" s="19"/>
      <c r="EVI21" s="19"/>
      <c r="EVJ21" s="19"/>
      <c r="EVK21" s="19"/>
      <c r="EVL21" s="19"/>
      <c r="EVM21" s="19"/>
      <c r="EVN21" s="19"/>
      <c r="EVO21" s="19"/>
      <c r="EVP21" s="19"/>
      <c r="EVQ21" s="19"/>
      <c r="EVR21" s="19"/>
      <c r="EVS21" s="19"/>
      <c r="EVT21" s="19"/>
      <c r="EVU21" s="19"/>
      <c r="EVV21" s="19"/>
      <c r="EVW21" s="19"/>
      <c r="EVX21" s="19"/>
      <c r="EVY21" s="19"/>
      <c r="EVZ21" s="19"/>
      <c r="EWA21" s="19"/>
      <c r="EWB21" s="19"/>
      <c r="EWC21" s="19"/>
      <c r="EWD21" s="19"/>
      <c r="EWE21" s="19"/>
      <c r="EWF21" s="19"/>
      <c r="EWG21" s="19"/>
      <c r="EWH21" s="19"/>
      <c r="EWI21" s="19"/>
      <c r="EWJ21" s="19"/>
      <c r="EWK21" s="19"/>
      <c r="EWL21" s="19"/>
      <c r="EWM21" s="19"/>
      <c r="EWN21" s="19"/>
      <c r="EWO21" s="19"/>
      <c r="EWP21" s="19"/>
      <c r="EWQ21" s="19"/>
      <c r="EWR21" s="19"/>
      <c r="EWS21" s="19"/>
      <c r="EWT21" s="19"/>
      <c r="EWU21" s="19"/>
      <c r="EWV21" s="19"/>
      <c r="EWW21" s="19"/>
      <c r="EWX21" s="19"/>
      <c r="EWY21" s="19"/>
      <c r="EWZ21" s="19"/>
      <c r="EXA21" s="19"/>
      <c r="EXB21" s="19"/>
      <c r="EXC21" s="19"/>
      <c r="EXD21" s="19"/>
      <c r="EXE21" s="19"/>
      <c r="EXF21" s="19"/>
      <c r="EXG21" s="19"/>
      <c r="EXH21" s="19"/>
      <c r="EXI21" s="19"/>
      <c r="EXJ21" s="19"/>
      <c r="EXK21" s="19"/>
      <c r="EXL21" s="19"/>
      <c r="EXM21" s="19"/>
      <c r="EXN21" s="19"/>
      <c r="EXO21" s="19"/>
      <c r="EXP21" s="19"/>
      <c r="EXQ21" s="19"/>
      <c r="EXR21" s="19"/>
      <c r="EXS21" s="19"/>
      <c r="EXT21" s="19"/>
      <c r="EXU21" s="19"/>
      <c r="EXV21" s="19"/>
      <c r="EXW21" s="19"/>
      <c r="EXX21" s="19"/>
      <c r="EXY21" s="19"/>
      <c r="EXZ21" s="19"/>
      <c r="EYA21" s="19"/>
      <c r="EYB21" s="19"/>
      <c r="EYC21" s="19"/>
      <c r="EYD21" s="19"/>
      <c r="EYE21" s="19"/>
      <c r="EYF21" s="19"/>
      <c r="EYG21" s="19"/>
      <c r="EYH21" s="19"/>
      <c r="EYI21" s="19"/>
      <c r="EYJ21" s="19"/>
      <c r="EYK21" s="19"/>
      <c r="EYL21" s="19"/>
      <c r="EYM21" s="19"/>
      <c r="EYN21" s="19"/>
      <c r="EYO21" s="19"/>
      <c r="EYP21" s="19"/>
      <c r="EYQ21" s="19"/>
      <c r="EYR21" s="19"/>
      <c r="EYS21" s="19"/>
      <c r="EYT21" s="19"/>
      <c r="EYU21" s="19"/>
      <c r="EYV21" s="19"/>
      <c r="EYW21" s="19"/>
      <c r="EYX21" s="19"/>
      <c r="EYY21" s="19"/>
      <c r="EYZ21" s="19"/>
      <c r="EZA21" s="19"/>
      <c r="EZB21" s="19"/>
      <c r="EZC21" s="19"/>
      <c r="EZD21" s="19"/>
      <c r="EZE21" s="19"/>
      <c r="EZF21" s="19"/>
      <c r="EZG21" s="19"/>
      <c r="EZH21" s="19"/>
      <c r="EZI21" s="19"/>
      <c r="EZJ21" s="19"/>
      <c r="EZK21" s="19"/>
      <c r="EZL21" s="19"/>
      <c r="EZM21" s="19"/>
      <c r="EZN21" s="19"/>
      <c r="EZO21" s="19"/>
      <c r="EZP21" s="19"/>
      <c r="EZQ21" s="19"/>
      <c r="EZR21" s="19"/>
      <c r="EZS21" s="19"/>
      <c r="EZT21" s="19"/>
      <c r="EZU21" s="19"/>
      <c r="EZV21" s="19"/>
      <c r="EZW21" s="19"/>
      <c r="EZX21" s="19"/>
      <c r="EZY21" s="19"/>
      <c r="EZZ21" s="19"/>
      <c r="FAA21" s="19"/>
      <c r="FAB21" s="19"/>
      <c r="FAC21" s="19"/>
      <c r="FAD21" s="19"/>
      <c r="FAE21" s="19"/>
      <c r="FAF21" s="19"/>
      <c r="FAG21" s="19"/>
      <c r="FAH21" s="19"/>
      <c r="FAI21" s="19"/>
      <c r="FAJ21" s="19"/>
      <c r="FAK21" s="19"/>
      <c r="FAL21" s="19"/>
      <c r="FAM21" s="19"/>
      <c r="FAN21" s="19"/>
      <c r="FAO21" s="19"/>
      <c r="FAP21" s="19"/>
      <c r="FAQ21" s="19"/>
      <c r="FAR21" s="19"/>
      <c r="FAS21" s="19"/>
      <c r="FAT21" s="19"/>
      <c r="FAU21" s="19"/>
      <c r="FAV21" s="19"/>
      <c r="FAW21" s="19"/>
      <c r="FAX21" s="19"/>
      <c r="FAY21" s="19"/>
      <c r="FAZ21" s="19"/>
      <c r="FBA21" s="19"/>
      <c r="FBB21" s="19"/>
      <c r="FBC21" s="19"/>
      <c r="FBD21" s="19"/>
      <c r="FBE21" s="19"/>
      <c r="FBF21" s="19"/>
      <c r="FBG21" s="19"/>
      <c r="FBH21" s="19"/>
      <c r="FBI21" s="19"/>
      <c r="FBJ21" s="19"/>
      <c r="FBK21" s="19"/>
      <c r="FBL21" s="19"/>
      <c r="FBM21" s="19"/>
      <c r="FBN21" s="19"/>
      <c r="FBO21" s="19"/>
      <c r="FBP21" s="19"/>
      <c r="FBQ21" s="19"/>
      <c r="FBR21" s="19"/>
      <c r="FBS21" s="19"/>
      <c r="FBT21" s="19"/>
      <c r="FBU21" s="19"/>
      <c r="FBV21" s="19"/>
      <c r="FBW21" s="19"/>
      <c r="FBX21" s="19"/>
      <c r="FBY21" s="19"/>
      <c r="FBZ21" s="19"/>
      <c r="FCA21" s="19"/>
      <c r="FCB21" s="19"/>
      <c r="FCC21" s="19"/>
      <c r="FCD21" s="19"/>
      <c r="FCE21" s="19"/>
      <c r="FCF21" s="19"/>
      <c r="FCG21" s="19"/>
      <c r="FCH21" s="19"/>
      <c r="FCI21" s="19"/>
      <c r="FCJ21" s="19"/>
      <c r="FCK21" s="19"/>
      <c r="FCL21" s="19"/>
      <c r="FCM21" s="19"/>
      <c r="FCN21" s="19"/>
      <c r="FCO21" s="19"/>
      <c r="FCP21" s="19"/>
      <c r="FCQ21" s="19"/>
      <c r="FCR21" s="19"/>
      <c r="FCS21" s="19"/>
      <c r="FCT21" s="19"/>
      <c r="FCU21" s="19"/>
      <c r="FCV21" s="19"/>
      <c r="FCW21" s="19"/>
      <c r="FCX21" s="19"/>
      <c r="FCY21" s="19"/>
      <c r="FCZ21" s="19"/>
      <c r="FDA21" s="19"/>
      <c r="FDB21" s="19"/>
      <c r="FDC21" s="19"/>
      <c r="FDD21" s="19"/>
      <c r="FDE21" s="19"/>
      <c r="FDF21" s="19"/>
      <c r="FDG21" s="19"/>
      <c r="FDH21" s="19"/>
      <c r="FDI21" s="19"/>
      <c r="FDJ21" s="19"/>
      <c r="FDK21" s="19"/>
      <c r="FDL21" s="19"/>
      <c r="FDM21" s="19"/>
      <c r="FDN21" s="19"/>
      <c r="FDO21" s="19"/>
      <c r="FDP21" s="19"/>
      <c r="FDQ21" s="19"/>
      <c r="FDR21" s="19"/>
      <c r="FDS21" s="19"/>
      <c r="FDT21" s="19"/>
      <c r="FDU21" s="19"/>
      <c r="FDV21" s="19"/>
      <c r="FDW21" s="19"/>
      <c r="FDX21" s="19"/>
      <c r="FDY21" s="19"/>
      <c r="FDZ21" s="19"/>
      <c r="FEA21" s="19"/>
      <c r="FEB21" s="19"/>
      <c r="FEC21" s="19"/>
      <c r="FED21" s="19"/>
      <c r="FEE21" s="19"/>
      <c r="FEF21" s="19"/>
      <c r="FEG21" s="19"/>
      <c r="FEH21" s="19"/>
      <c r="FEI21" s="19"/>
      <c r="FEJ21" s="19"/>
      <c r="FEK21" s="19"/>
      <c r="FEL21" s="19"/>
      <c r="FEM21" s="19"/>
      <c r="FEN21" s="19"/>
      <c r="FEO21" s="19"/>
      <c r="FEP21" s="19"/>
      <c r="FEQ21" s="19"/>
      <c r="FER21" s="19"/>
      <c r="FES21" s="19"/>
      <c r="FET21" s="19"/>
      <c r="FEU21" s="19"/>
      <c r="FEV21" s="19"/>
      <c r="FEW21" s="19"/>
      <c r="FEX21" s="19"/>
      <c r="FEY21" s="19"/>
      <c r="FEZ21" s="19"/>
      <c r="FFA21" s="19"/>
      <c r="FFB21" s="19"/>
      <c r="FFC21" s="19"/>
      <c r="FFD21" s="19"/>
      <c r="FFE21" s="19"/>
      <c r="FFF21" s="19"/>
      <c r="FFG21" s="19"/>
      <c r="FFH21" s="19"/>
      <c r="FFI21" s="19"/>
      <c r="FFJ21" s="19"/>
      <c r="FFK21" s="19"/>
      <c r="FFL21" s="19"/>
      <c r="FFM21" s="19"/>
      <c r="FFN21" s="19"/>
      <c r="FFO21" s="19"/>
      <c r="FFP21" s="19"/>
      <c r="FFQ21" s="19"/>
      <c r="FFR21" s="19"/>
      <c r="FFS21" s="19"/>
      <c r="FFT21" s="19"/>
      <c r="FFU21" s="19"/>
      <c r="FFV21" s="19"/>
      <c r="FFW21" s="19"/>
      <c r="FFX21" s="19"/>
      <c r="FFY21" s="19"/>
      <c r="FFZ21" s="19"/>
      <c r="FGA21" s="19"/>
      <c r="FGB21" s="19"/>
      <c r="FGC21" s="19"/>
      <c r="FGD21" s="19"/>
      <c r="FGE21" s="19"/>
      <c r="FGF21" s="19"/>
      <c r="FGG21" s="19"/>
      <c r="FGH21" s="19"/>
      <c r="FGI21" s="19"/>
      <c r="FGJ21" s="19"/>
      <c r="FGK21" s="19"/>
      <c r="FGL21" s="19"/>
      <c r="FGM21" s="19"/>
      <c r="FGN21" s="19"/>
      <c r="FGO21" s="19"/>
      <c r="FGP21" s="19"/>
      <c r="FGQ21" s="19"/>
      <c r="FGR21" s="19"/>
      <c r="FGS21" s="19"/>
      <c r="FGT21" s="19"/>
      <c r="FGU21" s="19"/>
      <c r="FGV21" s="19"/>
      <c r="FGW21" s="19"/>
      <c r="FGX21" s="19"/>
      <c r="FGY21" s="19"/>
      <c r="FGZ21" s="19"/>
      <c r="FHA21" s="19"/>
      <c r="FHB21" s="19"/>
      <c r="FHC21" s="19"/>
      <c r="FHD21" s="19"/>
      <c r="FHE21" s="19"/>
      <c r="FHF21" s="19"/>
      <c r="FHG21" s="19"/>
      <c r="FHH21" s="19"/>
      <c r="FHI21" s="19"/>
      <c r="FHJ21" s="19"/>
      <c r="FHK21" s="19"/>
      <c r="FHL21" s="19"/>
      <c r="FHM21" s="19"/>
      <c r="FHN21" s="19"/>
      <c r="FHO21" s="19"/>
      <c r="FHP21" s="19"/>
      <c r="FHQ21" s="19"/>
      <c r="FHR21" s="19"/>
      <c r="FHS21" s="19"/>
      <c r="FHT21" s="19"/>
      <c r="FHU21" s="19"/>
      <c r="FHV21" s="19"/>
      <c r="FHW21" s="19"/>
      <c r="FHX21" s="19"/>
      <c r="FHY21" s="19"/>
      <c r="FHZ21" s="19"/>
      <c r="FIA21" s="19"/>
      <c r="FIB21" s="19"/>
      <c r="FIC21" s="19"/>
      <c r="FID21" s="19"/>
      <c r="FIE21" s="19"/>
      <c r="FIF21" s="19"/>
      <c r="FIG21" s="19"/>
      <c r="FIH21" s="19"/>
      <c r="FII21" s="19"/>
      <c r="FIJ21" s="19"/>
      <c r="FIK21" s="19"/>
      <c r="FIL21" s="19"/>
      <c r="FIM21" s="19"/>
      <c r="FIN21" s="19"/>
      <c r="FIO21" s="19"/>
      <c r="FIP21" s="19"/>
      <c r="FIQ21" s="19"/>
      <c r="FIR21" s="19"/>
      <c r="FIS21" s="19"/>
      <c r="FIT21" s="19"/>
      <c r="FIU21" s="19"/>
      <c r="FIV21" s="19"/>
      <c r="FIW21" s="19"/>
      <c r="FIX21" s="19"/>
      <c r="FIY21" s="19"/>
      <c r="FIZ21" s="19"/>
      <c r="FJA21" s="19"/>
      <c r="FJB21" s="19"/>
      <c r="FJC21" s="19"/>
      <c r="FJD21" s="19"/>
      <c r="FJE21" s="19"/>
      <c r="FJF21" s="19"/>
      <c r="FJG21" s="19"/>
      <c r="FJH21" s="19"/>
      <c r="FJI21" s="19"/>
      <c r="FJJ21" s="19"/>
      <c r="FJK21" s="19"/>
      <c r="FJL21" s="19"/>
      <c r="FJM21" s="19"/>
      <c r="FJN21" s="19"/>
      <c r="FJO21" s="19"/>
      <c r="FJP21" s="19"/>
      <c r="FJQ21" s="19"/>
      <c r="FJR21" s="19"/>
      <c r="FJS21" s="19"/>
      <c r="FJT21" s="19"/>
      <c r="FJU21" s="19"/>
      <c r="FJV21" s="19"/>
      <c r="FJW21" s="19"/>
      <c r="FJX21" s="19"/>
      <c r="FJY21" s="19"/>
      <c r="FJZ21" s="19"/>
      <c r="FKA21" s="19"/>
      <c r="FKB21" s="19"/>
      <c r="FKC21" s="19"/>
      <c r="FKD21" s="19"/>
      <c r="FKE21" s="19"/>
      <c r="FKF21" s="19"/>
      <c r="FKG21" s="19"/>
      <c r="FKH21" s="19"/>
      <c r="FKI21" s="19"/>
      <c r="FKJ21" s="19"/>
      <c r="FKK21" s="19"/>
      <c r="FKL21" s="19"/>
      <c r="FKM21" s="19"/>
      <c r="FKN21" s="19"/>
      <c r="FKO21" s="19"/>
      <c r="FKP21" s="19"/>
      <c r="FKQ21" s="19"/>
      <c r="FKR21" s="19"/>
      <c r="FKS21" s="19"/>
      <c r="FKT21" s="19"/>
      <c r="FKU21" s="19"/>
      <c r="FKV21" s="19"/>
      <c r="FKW21" s="19"/>
      <c r="FKX21" s="19"/>
      <c r="FKY21" s="19"/>
      <c r="FKZ21" s="19"/>
      <c r="FLA21" s="19"/>
      <c r="FLB21" s="19"/>
      <c r="FLC21" s="19"/>
      <c r="FLD21" s="19"/>
      <c r="FLE21" s="19"/>
      <c r="FLF21" s="19"/>
      <c r="FLG21" s="19"/>
      <c r="FLH21" s="19"/>
      <c r="FLI21" s="19"/>
      <c r="FLJ21" s="19"/>
      <c r="FLK21" s="19"/>
      <c r="FLL21" s="19"/>
      <c r="FLM21" s="19"/>
      <c r="FLN21" s="19"/>
      <c r="FLO21" s="19"/>
      <c r="FLP21" s="19"/>
      <c r="FLQ21" s="19"/>
      <c r="FLR21" s="19"/>
      <c r="FLS21" s="19"/>
      <c r="FLT21" s="19"/>
      <c r="FLU21" s="19"/>
      <c r="FLV21" s="19"/>
      <c r="FLW21" s="19"/>
      <c r="FLX21" s="19"/>
      <c r="FLY21" s="19"/>
      <c r="FLZ21" s="19"/>
      <c r="FMA21" s="19"/>
      <c r="FMB21" s="19"/>
      <c r="FMC21" s="19"/>
      <c r="FMD21" s="19"/>
      <c r="FME21" s="19"/>
      <c r="FMF21" s="19"/>
      <c r="FMG21" s="19"/>
      <c r="FMH21" s="19"/>
      <c r="FMI21" s="19"/>
      <c r="FMJ21" s="19"/>
      <c r="FMK21" s="19"/>
      <c r="FML21" s="19"/>
      <c r="FMM21" s="19"/>
      <c r="FMN21" s="19"/>
      <c r="FMO21" s="19"/>
      <c r="FMP21" s="19"/>
      <c r="FMQ21" s="19"/>
      <c r="FMR21" s="19"/>
      <c r="FMS21" s="19"/>
      <c r="FMT21" s="19"/>
      <c r="FMU21" s="19"/>
      <c r="FMV21" s="19"/>
      <c r="FMW21" s="19"/>
      <c r="FMX21" s="19"/>
      <c r="FMY21" s="19"/>
      <c r="FMZ21" s="19"/>
      <c r="FNA21" s="19"/>
      <c r="FNB21" s="19"/>
      <c r="FNC21" s="19"/>
      <c r="FND21" s="19"/>
      <c r="FNE21" s="19"/>
      <c r="FNF21" s="19"/>
      <c r="FNG21" s="19"/>
      <c r="FNH21" s="19"/>
      <c r="FNI21" s="19"/>
      <c r="FNJ21" s="19"/>
      <c r="FNK21" s="19"/>
      <c r="FNL21" s="19"/>
      <c r="FNM21" s="19"/>
      <c r="FNN21" s="19"/>
      <c r="FNO21" s="19"/>
      <c r="FNP21" s="19"/>
      <c r="FNQ21" s="19"/>
      <c r="FNR21" s="19"/>
      <c r="FNS21" s="19"/>
      <c r="FNT21" s="19"/>
      <c r="FNU21" s="19"/>
      <c r="FNV21" s="19"/>
      <c r="FNW21" s="19"/>
      <c r="FNX21" s="19"/>
      <c r="FNY21" s="19"/>
      <c r="FNZ21" s="19"/>
      <c r="FOA21" s="19"/>
      <c r="FOB21" s="19"/>
      <c r="FOC21" s="19"/>
      <c r="FOD21" s="19"/>
      <c r="FOE21" s="19"/>
      <c r="FOF21" s="19"/>
      <c r="FOG21" s="19"/>
      <c r="FOH21" s="19"/>
      <c r="FOI21" s="19"/>
      <c r="FOJ21" s="19"/>
      <c r="FOK21" s="19"/>
      <c r="FOL21" s="19"/>
      <c r="FOM21" s="19"/>
      <c r="FON21" s="19"/>
      <c r="FOO21" s="19"/>
      <c r="FOP21" s="19"/>
      <c r="FOQ21" s="19"/>
      <c r="FOR21" s="19"/>
      <c r="FOS21" s="19"/>
      <c r="FOT21" s="19"/>
      <c r="FOU21" s="19"/>
      <c r="FOV21" s="19"/>
      <c r="FOW21" s="19"/>
      <c r="FOX21" s="19"/>
      <c r="FOY21" s="19"/>
      <c r="FOZ21" s="19"/>
      <c r="FPA21" s="19"/>
      <c r="FPB21" s="19"/>
      <c r="FPC21" s="19"/>
      <c r="FPD21" s="19"/>
      <c r="FPE21" s="19"/>
      <c r="FPF21" s="19"/>
      <c r="FPG21" s="19"/>
      <c r="FPH21" s="19"/>
      <c r="FPI21" s="19"/>
      <c r="FPJ21" s="19"/>
      <c r="FPK21" s="19"/>
      <c r="FPL21" s="19"/>
      <c r="FPM21" s="19"/>
      <c r="FPN21" s="19"/>
      <c r="FPO21" s="19"/>
      <c r="FPP21" s="19"/>
      <c r="FPQ21" s="19"/>
      <c r="FPR21" s="19"/>
      <c r="FPS21" s="19"/>
      <c r="FPT21" s="19"/>
      <c r="FPU21" s="19"/>
      <c r="FPV21" s="19"/>
      <c r="FPW21" s="19"/>
      <c r="FPX21" s="19"/>
      <c r="FPY21" s="19"/>
      <c r="FPZ21" s="19"/>
      <c r="FQA21" s="19"/>
      <c r="FQB21" s="19"/>
      <c r="FQC21" s="19"/>
      <c r="FQD21" s="19"/>
      <c r="FQE21" s="19"/>
      <c r="FQF21" s="19"/>
      <c r="FQG21" s="19"/>
      <c r="FQH21" s="19"/>
      <c r="FQI21" s="19"/>
      <c r="FQJ21" s="19"/>
      <c r="FQK21" s="19"/>
      <c r="FQL21" s="19"/>
      <c r="FQM21" s="19"/>
      <c r="FQN21" s="19"/>
      <c r="FQO21" s="19"/>
      <c r="FQP21" s="19"/>
      <c r="FQQ21" s="19"/>
      <c r="FQR21" s="19"/>
      <c r="FQS21" s="19"/>
      <c r="FQT21" s="19"/>
      <c r="FQU21" s="19"/>
      <c r="FQV21" s="19"/>
      <c r="FQW21" s="19"/>
      <c r="FQX21" s="19"/>
      <c r="FQY21" s="19"/>
      <c r="FQZ21" s="19"/>
      <c r="FRA21" s="19"/>
      <c r="FRB21" s="19"/>
      <c r="FRC21" s="19"/>
      <c r="FRD21" s="19"/>
      <c r="FRE21" s="19"/>
      <c r="FRF21" s="19"/>
      <c r="FRG21" s="19"/>
      <c r="FRH21" s="19"/>
      <c r="FRI21" s="19"/>
      <c r="FRJ21" s="19"/>
      <c r="FRK21" s="19"/>
      <c r="FRL21" s="19"/>
      <c r="FRM21" s="19"/>
      <c r="FRN21" s="19"/>
      <c r="FRO21" s="19"/>
      <c r="FRP21" s="19"/>
      <c r="FRQ21" s="19"/>
      <c r="FRR21" s="19"/>
      <c r="FRS21" s="19"/>
      <c r="FRT21" s="19"/>
      <c r="FRU21" s="19"/>
      <c r="FRV21" s="19"/>
      <c r="FRW21" s="19"/>
      <c r="FRX21" s="19"/>
      <c r="FRY21" s="19"/>
      <c r="FRZ21" s="19"/>
      <c r="FSA21" s="19"/>
      <c r="FSB21" s="19"/>
      <c r="FSC21" s="19"/>
      <c r="FSD21" s="19"/>
      <c r="FSE21" s="19"/>
      <c r="FSF21" s="19"/>
      <c r="FSG21" s="19"/>
      <c r="FSH21" s="19"/>
      <c r="FSI21" s="19"/>
      <c r="FSJ21" s="19"/>
      <c r="FSK21" s="19"/>
      <c r="FSL21" s="19"/>
      <c r="FSM21" s="19"/>
      <c r="FSN21" s="19"/>
      <c r="FSO21" s="19"/>
      <c r="FSP21" s="19"/>
      <c r="FSQ21" s="19"/>
      <c r="FSR21" s="19"/>
      <c r="FSS21" s="19"/>
      <c r="FST21" s="19"/>
      <c r="FSU21" s="19"/>
      <c r="FSV21" s="19"/>
      <c r="FSW21" s="19"/>
      <c r="FSX21" s="19"/>
      <c r="FSY21" s="19"/>
      <c r="FSZ21" s="19"/>
      <c r="FTA21" s="19"/>
      <c r="FTB21" s="19"/>
      <c r="FTC21" s="19"/>
      <c r="FTD21" s="19"/>
      <c r="FTE21" s="19"/>
      <c r="FTF21" s="19"/>
      <c r="FTG21" s="19"/>
      <c r="FTH21" s="19"/>
      <c r="FTI21" s="19"/>
      <c r="FTJ21" s="19"/>
      <c r="FTK21" s="19"/>
      <c r="FTL21" s="19"/>
      <c r="FTM21" s="19"/>
      <c r="FTN21" s="19"/>
      <c r="FTO21" s="19"/>
      <c r="FTP21" s="19"/>
      <c r="FTQ21" s="19"/>
      <c r="FTR21" s="19"/>
      <c r="FTS21" s="19"/>
      <c r="FTT21" s="19"/>
      <c r="FTU21" s="19"/>
      <c r="FTV21" s="19"/>
      <c r="FTW21" s="19"/>
      <c r="FTX21" s="19"/>
      <c r="FTY21" s="19"/>
      <c r="FTZ21" s="19"/>
      <c r="FUA21" s="19"/>
      <c r="FUB21" s="19"/>
      <c r="FUC21" s="19"/>
      <c r="FUD21" s="19"/>
      <c r="FUE21" s="19"/>
      <c r="FUF21" s="19"/>
      <c r="FUG21" s="19"/>
      <c r="FUH21" s="19"/>
      <c r="FUI21" s="19"/>
      <c r="FUJ21" s="19"/>
      <c r="FUK21" s="19"/>
      <c r="FUL21" s="19"/>
      <c r="FUM21" s="19"/>
      <c r="FUN21" s="19"/>
      <c r="FUO21" s="19"/>
      <c r="FUP21" s="19"/>
      <c r="FUQ21" s="19"/>
      <c r="FUR21" s="19"/>
      <c r="FUS21" s="19"/>
      <c r="FUT21" s="19"/>
      <c r="FUU21" s="19"/>
      <c r="FUV21" s="19"/>
      <c r="FUW21" s="19"/>
      <c r="FUX21" s="19"/>
      <c r="FUY21" s="19"/>
      <c r="FUZ21" s="19"/>
      <c r="FVA21" s="19"/>
      <c r="FVB21" s="19"/>
      <c r="FVC21" s="19"/>
      <c r="FVD21" s="19"/>
      <c r="FVE21" s="19"/>
      <c r="FVF21" s="19"/>
      <c r="FVG21" s="19"/>
      <c r="FVH21" s="19"/>
      <c r="FVI21" s="19"/>
      <c r="FVJ21" s="19"/>
      <c r="FVK21" s="19"/>
      <c r="FVL21" s="19"/>
      <c r="FVM21" s="19"/>
      <c r="FVN21" s="19"/>
      <c r="FVO21" s="19"/>
      <c r="FVP21" s="19"/>
      <c r="FVQ21" s="19"/>
      <c r="FVR21" s="19"/>
      <c r="FVS21" s="19"/>
      <c r="FVT21" s="19"/>
      <c r="FVU21" s="19"/>
      <c r="FVV21" s="19"/>
      <c r="FVW21" s="19"/>
      <c r="FVX21" s="19"/>
      <c r="FVY21" s="19"/>
      <c r="FVZ21" s="19"/>
      <c r="FWA21" s="19"/>
      <c r="FWB21" s="19"/>
      <c r="FWC21" s="19"/>
      <c r="FWD21" s="19"/>
      <c r="FWE21" s="19"/>
      <c r="FWF21" s="19"/>
      <c r="FWG21" s="19"/>
      <c r="FWH21" s="19"/>
      <c r="FWI21" s="19"/>
      <c r="FWJ21" s="19"/>
      <c r="FWK21" s="19"/>
      <c r="FWL21" s="19"/>
      <c r="FWM21" s="19"/>
      <c r="FWN21" s="19"/>
      <c r="FWO21" s="19"/>
      <c r="FWP21" s="19"/>
      <c r="FWQ21" s="19"/>
      <c r="FWR21" s="19"/>
      <c r="FWS21" s="19"/>
      <c r="FWT21" s="19"/>
      <c r="FWU21" s="19"/>
      <c r="FWV21" s="19"/>
      <c r="FWW21" s="19"/>
      <c r="FWX21" s="19"/>
      <c r="FWY21" s="19"/>
      <c r="FWZ21" s="19"/>
      <c r="FXA21" s="19"/>
      <c r="FXB21" s="19"/>
      <c r="FXC21" s="19"/>
      <c r="FXD21" s="19"/>
      <c r="FXE21" s="19"/>
      <c r="FXF21" s="19"/>
      <c r="FXG21" s="19"/>
      <c r="FXH21" s="19"/>
      <c r="FXI21" s="19"/>
      <c r="FXJ21" s="19"/>
      <c r="FXK21" s="19"/>
      <c r="FXL21" s="19"/>
      <c r="FXM21" s="19"/>
      <c r="FXN21" s="19"/>
      <c r="FXO21" s="19"/>
      <c r="FXP21" s="19"/>
      <c r="FXQ21" s="19"/>
      <c r="FXR21" s="19"/>
      <c r="FXS21" s="19"/>
      <c r="FXT21" s="19"/>
      <c r="FXU21" s="19"/>
      <c r="FXV21" s="19"/>
      <c r="FXW21" s="19"/>
      <c r="FXX21" s="19"/>
      <c r="FXY21" s="19"/>
      <c r="FXZ21" s="19"/>
      <c r="FYA21" s="19"/>
      <c r="FYB21" s="19"/>
      <c r="FYC21" s="19"/>
      <c r="FYD21" s="19"/>
      <c r="FYE21" s="19"/>
      <c r="FYF21" s="19"/>
      <c r="FYG21" s="19"/>
      <c r="FYH21" s="19"/>
      <c r="FYI21" s="19"/>
      <c r="FYJ21" s="19"/>
      <c r="FYK21" s="19"/>
      <c r="FYL21" s="19"/>
      <c r="FYM21" s="19"/>
      <c r="FYN21" s="19"/>
      <c r="FYO21" s="19"/>
      <c r="FYP21" s="19"/>
      <c r="FYQ21" s="19"/>
      <c r="FYR21" s="19"/>
      <c r="FYS21" s="19"/>
      <c r="FYT21" s="19"/>
      <c r="FYU21" s="19"/>
      <c r="FYV21" s="19"/>
      <c r="FYW21" s="19"/>
      <c r="FYX21" s="19"/>
      <c r="FYY21" s="19"/>
      <c r="FYZ21" s="19"/>
      <c r="FZA21" s="19"/>
      <c r="FZB21" s="19"/>
      <c r="FZC21" s="19"/>
      <c r="FZD21" s="19"/>
      <c r="FZE21" s="19"/>
      <c r="FZF21" s="19"/>
      <c r="FZG21" s="19"/>
      <c r="FZH21" s="19"/>
      <c r="FZI21" s="19"/>
      <c r="FZJ21" s="19"/>
      <c r="FZK21" s="19"/>
      <c r="FZL21" s="19"/>
      <c r="FZM21" s="19"/>
      <c r="FZN21" s="19"/>
      <c r="FZO21" s="19"/>
      <c r="FZP21" s="19"/>
      <c r="FZQ21" s="19"/>
      <c r="FZR21" s="19"/>
      <c r="FZS21" s="19"/>
      <c r="FZT21" s="19"/>
      <c r="FZU21" s="19"/>
      <c r="FZV21" s="19"/>
      <c r="FZW21" s="19"/>
      <c r="FZX21" s="19"/>
      <c r="FZY21" s="19"/>
      <c r="FZZ21" s="19"/>
      <c r="GAA21" s="19"/>
      <c r="GAB21" s="19"/>
      <c r="GAC21" s="19"/>
      <c r="GAD21" s="19"/>
      <c r="GAE21" s="19"/>
      <c r="GAF21" s="19"/>
      <c r="GAG21" s="19"/>
      <c r="GAH21" s="19"/>
      <c r="GAI21" s="19"/>
      <c r="GAJ21" s="19"/>
      <c r="GAK21" s="19"/>
      <c r="GAL21" s="19"/>
      <c r="GAM21" s="19"/>
      <c r="GAN21" s="19"/>
      <c r="GAO21" s="19"/>
      <c r="GAP21" s="19"/>
      <c r="GAQ21" s="19"/>
      <c r="GAR21" s="19"/>
      <c r="GAS21" s="19"/>
      <c r="GAT21" s="19"/>
      <c r="GAU21" s="19"/>
      <c r="GAV21" s="19"/>
      <c r="GAW21" s="19"/>
      <c r="GAX21" s="19"/>
      <c r="GAY21" s="19"/>
      <c r="GAZ21" s="19"/>
      <c r="GBA21" s="19"/>
      <c r="GBB21" s="19"/>
      <c r="GBC21" s="19"/>
      <c r="GBD21" s="19"/>
      <c r="GBE21" s="19"/>
      <c r="GBF21" s="19"/>
      <c r="GBG21" s="19"/>
      <c r="GBH21" s="19"/>
      <c r="GBI21" s="19"/>
      <c r="GBJ21" s="19"/>
      <c r="GBK21" s="19"/>
      <c r="GBL21" s="19"/>
      <c r="GBM21" s="19"/>
      <c r="GBN21" s="19"/>
      <c r="GBO21" s="19"/>
      <c r="GBP21" s="19"/>
      <c r="GBQ21" s="19"/>
      <c r="GBR21" s="19"/>
      <c r="GBS21" s="19"/>
      <c r="GBT21" s="19"/>
      <c r="GBU21" s="19"/>
      <c r="GBV21" s="19"/>
      <c r="GBW21" s="19"/>
      <c r="GBX21" s="19"/>
      <c r="GBY21" s="19"/>
      <c r="GBZ21" s="19"/>
      <c r="GCA21" s="19"/>
      <c r="GCB21" s="19"/>
      <c r="GCC21" s="19"/>
      <c r="GCD21" s="19"/>
      <c r="GCE21" s="19"/>
      <c r="GCF21" s="19"/>
      <c r="GCG21" s="19"/>
      <c r="GCH21" s="19"/>
      <c r="GCI21" s="19"/>
      <c r="GCJ21" s="19"/>
      <c r="GCK21" s="19"/>
      <c r="GCL21" s="19"/>
      <c r="GCM21" s="19"/>
      <c r="GCN21" s="19"/>
      <c r="GCO21" s="19"/>
      <c r="GCP21" s="19"/>
      <c r="GCQ21" s="19"/>
      <c r="GCR21" s="19"/>
      <c r="GCS21" s="19"/>
      <c r="GCT21" s="19"/>
      <c r="GCU21" s="19"/>
      <c r="GCV21" s="19"/>
      <c r="GCW21" s="19"/>
      <c r="GCX21" s="19"/>
      <c r="GCY21" s="19"/>
      <c r="GCZ21" s="19"/>
      <c r="GDA21" s="19"/>
      <c r="GDB21" s="19"/>
      <c r="GDC21" s="19"/>
      <c r="GDD21" s="19"/>
      <c r="GDE21" s="19"/>
      <c r="GDF21" s="19"/>
      <c r="GDG21" s="19"/>
      <c r="GDH21" s="19"/>
      <c r="GDI21" s="19"/>
      <c r="GDJ21" s="19"/>
      <c r="GDK21" s="19"/>
      <c r="GDL21" s="19"/>
      <c r="GDM21" s="19"/>
      <c r="GDN21" s="19"/>
      <c r="GDO21" s="19"/>
      <c r="GDP21" s="19"/>
      <c r="GDQ21" s="19"/>
      <c r="GDR21" s="19"/>
      <c r="GDS21" s="19"/>
      <c r="GDT21" s="19"/>
      <c r="GDU21" s="19"/>
      <c r="GDV21" s="19"/>
      <c r="GDW21" s="19"/>
      <c r="GDX21" s="19"/>
      <c r="GDY21" s="19"/>
      <c r="GDZ21" s="19"/>
      <c r="GEA21" s="19"/>
      <c r="GEB21" s="19"/>
      <c r="GEC21" s="19"/>
      <c r="GED21" s="19"/>
      <c r="GEE21" s="19"/>
      <c r="GEF21" s="19"/>
      <c r="GEG21" s="19"/>
      <c r="GEH21" s="19"/>
      <c r="GEI21" s="19"/>
      <c r="GEJ21" s="19"/>
      <c r="GEK21" s="19"/>
      <c r="GEL21" s="19"/>
      <c r="GEM21" s="19"/>
      <c r="GEN21" s="19"/>
      <c r="GEO21" s="19"/>
      <c r="GEP21" s="19"/>
      <c r="GEQ21" s="19"/>
      <c r="GER21" s="19"/>
      <c r="GES21" s="19"/>
      <c r="GET21" s="19"/>
      <c r="GEU21" s="19"/>
      <c r="GEV21" s="19"/>
      <c r="GEW21" s="19"/>
      <c r="GEX21" s="19"/>
      <c r="GEY21" s="19"/>
      <c r="GEZ21" s="19"/>
      <c r="GFA21" s="19"/>
      <c r="GFB21" s="19"/>
      <c r="GFC21" s="19"/>
      <c r="GFD21" s="19"/>
      <c r="GFE21" s="19"/>
      <c r="GFF21" s="19"/>
      <c r="GFG21" s="19"/>
      <c r="GFH21" s="19"/>
      <c r="GFI21" s="19"/>
      <c r="GFJ21" s="19"/>
      <c r="GFK21" s="19"/>
      <c r="GFL21" s="19"/>
      <c r="GFM21" s="19"/>
      <c r="GFN21" s="19"/>
      <c r="GFO21" s="19"/>
      <c r="GFP21" s="19"/>
      <c r="GFQ21" s="19"/>
      <c r="GFR21" s="19"/>
      <c r="GFS21" s="19"/>
      <c r="GFT21" s="19"/>
      <c r="GFU21" s="19"/>
      <c r="GFV21" s="19"/>
      <c r="GFW21" s="19"/>
      <c r="GFX21" s="19"/>
      <c r="GFY21" s="19"/>
      <c r="GFZ21" s="19"/>
      <c r="GGA21" s="19"/>
      <c r="GGB21" s="19"/>
      <c r="GGC21" s="19"/>
      <c r="GGD21" s="19"/>
      <c r="GGE21" s="19"/>
      <c r="GGF21" s="19"/>
      <c r="GGG21" s="19"/>
      <c r="GGH21" s="19"/>
      <c r="GGI21" s="19"/>
      <c r="GGJ21" s="19"/>
      <c r="GGK21" s="19"/>
      <c r="GGL21" s="19"/>
      <c r="GGM21" s="19"/>
      <c r="GGN21" s="19"/>
      <c r="GGO21" s="19"/>
      <c r="GGP21" s="19"/>
      <c r="GGQ21" s="19"/>
      <c r="GGR21" s="19"/>
      <c r="GGS21" s="19"/>
      <c r="GGT21" s="19"/>
      <c r="GGU21" s="19"/>
      <c r="GGV21" s="19"/>
      <c r="GGW21" s="19"/>
      <c r="GGX21" s="19"/>
      <c r="GGY21" s="19"/>
      <c r="GGZ21" s="19"/>
      <c r="GHA21" s="19"/>
      <c r="GHB21" s="19"/>
      <c r="GHC21" s="19"/>
      <c r="GHD21" s="19"/>
      <c r="GHE21" s="19"/>
      <c r="GHF21" s="19"/>
      <c r="GHG21" s="19"/>
      <c r="GHH21" s="19"/>
      <c r="GHI21" s="19"/>
      <c r="GHJ21" s="19"/>
      <c r="GHK21" s="19"/>
      <c r="GHL21" s="19"/>
      <c r="GHM21" s="19"/>
      <c r="GHN21" s="19"/>
      <c r="GHO21" s="19"/>
      <c r="GHP21" s="19"/>
      <c r="GHQ21" s="19"/>
      <c r="GHR21" s="19"/>
      <c r="GHS21" s="19"/>
      <c r="GHT21" s="19"/>
      <c r="GHU21" s="19"/>
      <c r="GHV21" s="19"/>
      <c r="GHW21" s="19"/>
      <c r="GHX21" s="19"/>
      <c r="GHY21" s="19"/>
      <c r="GHZ21" s="19"/>
      <c r="GIA21" s="19"/>
      <c r="GIB21" s="19"/>
      <c r="GIC21" s="19"/>
      <c r="GID21" s="19"/>
      <c r="GIE21" s="19"/>
      <c r="GIF21" s="19"/>
      <c r="GIG21" s="19"/>
      <c r="GIH21" s="19"/>
      <c r="GII21" s="19"/>
      <c r="GIJ21" s="19"/>
      <c r="GIK21" s="19"/>
      <c r="GIL21" s="19"/>
      <c r="GIM21" s="19"/>
      <c r="GIN21" s="19"/>
      <c r="GIO21" s="19"/>
      <c r="GIP21" s="19"/>
      <c r="GIQ21" s="19"/>
      <c r="GIR21" s="19"/>
      <c r="GIS21" s="19"/>
      <c r="GIT21" s="19"/>
      <c r="GIU21" s="19"/>
      <c r="GIV21" s="19"/>
      <c r="GIW21" s="19"/>
      <c r="GIX21" s="19"/>
      <c r="GIY21" s="19"/>
      <c r="GIZ21" s="19"/>
      <c r="GJA21" s="19"/>
      <c r="GJB21" s="19"/>
      <c r="GJC21" s="19"/>
      <c r="GJD21" s="19"/>
      <c r="GJE21" s="19"/>
      <c r="GJF21" s="19"/>
      <c r="GJG21" s="19"/>
      <c r="GJH21" s="19"/>
      <c r="GJI21" s="19"/>
      <c r="GJJ21" s="19"/>
      <c r="GJK21" s="19"/>
      <c r="GJL21" s="19"/>
      <c r="GJM21" s="19"/>
      <c r="GJN21" s="19"/>
      <c r="GJO21" s="19"/>
      <c r="GJP21" s="19"/>
      <c r="GJQ21" s="19"/>
      <c r="GJR21" s="19"/>
      <c r="GJS21" s="19"/>
      <c r="GJT21" s="19"/>
      <c r="GJU21" s="19"/>
      <c r="GJV21" s="19"/>
      <c r="GJW21" s="19"/>
      <c r="GJX21" s="19"/>
      <c r="GJY21" s="19"/>
      <c r="GJZ21" s="19"/>
      <c r="GKA21" s="19"/>
      <c r="GKB21" s="19"/>
      <c r="GKC21" s="19"/>
      <c r="GKD21" s="19"/>
      <c r="GKE21" s="19"/>
      <c r="GKF21" s="19"/>
      <c r="GKG21" s="19"/>
      <c r="GKH21" s="19"/>
      <c r="GKI21" s="19"/>
      <c r="GKJ21" s="19"/>
      <c r="GKK21" s="19"/>
      <c r="GKL21" s="19"/>
      <c r="GKM21" s="19"/>
      <c r="GKN21" s="19"/>
      <c r="GKO21" s="19"/>
      <c r="GKP21" s="19"/>
      <c r="GKQ21" s="19"/>
      <c r="GKR21" s="19"/>
      <c r="GKS21" s="19"/>
      <c r="GKT21" s="19"/>
      <c r="GKU21" s="19"/>
      <c r="GKV21" s="19"/>
      <c r="GKW21" s="19"/>
      <c r="GKX21" s="19"/>
      <c r="GKY21" s="19"/>
      <c r="GKZ21" s="19"/>
      <c r="GLA21" s="19"/>
      <c r="GLB21" s="19"/>
      <c r="GLC21" s="19"/>
      <c r="GLD21" s="19"/>
      <c r="GLE21" s="19"/>
      <c r="GLF21" s="19"/>
      <c r="GLG21" s="19"/>
      <c r="GLH21" s="19"/>
      <c r="GLI21" s="19"/>
      <c r="GLJ21" s="19"/>
      <c r="GLK21" s="19"/>
      <c r="GLL21" s="19"/>
      <c r="GLM21" s="19"/>
      <c r="GLN21" s="19"/>
      <c r="GLO21" s="19"/>
      <c r="GLP21" s="19"/>
      <c r="GLQ21" s="19"/>
      <c r="GLR21" s="19"/>
      <c r="GLS21" s="19"/>
      <c r="GLT21" s="19"/>
      <c r="GLU21" s="19"/>
      <c r="GLV21" s="19"/>
      <c r="GLW21" s="19"/>
      <c r="GLX21" s="19"/>
      <c r="GLY21" s="19"/>
      <c r="GLZ21" s="19"/>
      <c r="GMA21" s="19"/>
      <c r="GMB21" s="19"/>
      <c r="GMC21" s="19"/>
      <c r="GMD21" s="19"/>
      <c r="GME21" s="19"/>
      <c r="GMF21" s="19"/>
      <c r="GMG21" s="19"/>
      <c r="GMH21" s="19"/>
      <c r="GMI21" s="19"/>
      <c r="GMJ21" s="19"/>
      <c r="GMK21" s="19"/>
      <c r="GML21" s="19"/>
      <c r="GMM21" s="19"/>
      <c r="GMN21" s="19"/>
      <c r="GMO21" s="19"/>
      <c r="GMP21" s="19"/>
      <c r="GMQ21" s="19"/>
      <c r="GMR21" s="19"/>
      <c r="GMS21" s="19"/>
      <c r="GMT21" s="19"/>
      <c r="GMU21" s="19"/>
      <c r="GMV21" s="19"/>
      <c r="GMW21" s="19"/>
      <c r="GMX21" s="19"/>
      <c r="GMY21" s="19"/>
      <c r="GMZ21" s="19"/>
      <c r="GNA21" s="19"/>
      <c r="GNB21" s="19"/>
      <c r="GNC21" s="19"/>
      <c r="GND21" s="19"/>
      <c r="GNE21" s="19"/>
      <c r="GNF21" s="19"/>
      <c r="GNG21" s="19"/>
      <c r="GNH21" s="19"/>
      <c r="GNI21" s="19"/>
      <c r="GNJ21" s="19"/>
      <c r="GNK21" s="19"/>
      <c r="GNL21" s="19"/>
      <c r="GNM21" s="19"/>
      <c r="GNN21" s="19"/>
      <c r="GNO21" s="19"/>
      <c r="GNP21" s="19"/>
      <c r="GNQ21" s="19"/>
      <c r="GNR21" s="19"/>
      <c r="GNS21" s="19"/>
      <c r="GNT21" s="19"/>
      <c r="GNU21" s="19"/>
      <c r="GNV21" s="19"/>
      <c r="GNW21" s="19"/>
      <c r="GNX21" s="19"/>
      <c r="GNY21" s="19"/>
      <c r="GNZ21" s="19"/>
      <c r="GOA21" s="19"/>
      <c r="GOB21" s="19"/>
      <c r="GOC21" s="19"/>
      <c r="GOD21" s="19"/>
      <c r="GOE21" s="19"/>
      <c r="GOF21" s="19"/>
      <c r="GOG21" s="19"/>
      <c r="GOH21" s="19"/>
      <c r="GOI21" s="19"/>
      <c r="GOJ21" s="19"/>
      <c r="GOK21" s="19"/>
      <c r="GOL21" s="19"/>
      <c r="GOM21" s="19"/>
      <c r="GON21" s="19"/>
      <c r="GOO21" s="19"/>
      <c r="GOP21" s="19"/>
      <c r="GOQ21" s="19"/>
      <c r="GOR21" s="19"/>
      <c r="GOS21" s="19"/>
      <c r="GOT21" s="19"/>
      <c r="GOU21" s="19"/>
      <c r="GOV21" s="19"/>
      <c r="GOW21" s="19"/>
      <c r="GOX21" s="19"/>
      <c r="GOY21" s="19"/>
      <c r="GOZ21" s="19"/>
      <c r="GPA21" s="19"/>
      <c r="GPB21" s="19"/>
      <c r="GPC21" s="19"/>
      <c r="GPD21" s="19"/>
      <c r="GPE21" s="19"/>
      <c r="GPF21" s="19"/>
      <c r="GPG21" s="19"/>
      <c r="GPH21" s="19"/>
      <c r="GPI21" s="19"/>
      <c r="GPJ21" s="19"/>
      <c r="GPK21" s="19"/>
      <c r="GPL21" s="19"/>
      <c r="GPM21" s="19"/>
      <c r="GPN21" s="19"/>
      <c r="GPO21" s="19"/>
      <c r="GPP21" s="19"/>
      <c r="GPQ21" s="19"/>
      <c r="GPR21" s="19"/>
      <c r="GPS21" s="19"/>
      <c r="GPT21" s="19"/>
      <c r="GPU21" s="19"/>
      <c r="GPV21" s="19"/>
      <c r="GPW21" s="19"/>
      <c r="GPX21" s="19"/>
      <c r="GPY21" s="19"/>
      <c r="GPZ21" s="19"/>
      <c r="GQA21" s="19"/>
      <c r="GQB21" s="19"/>
      <c r="GQC21" s="19"/>
      <c r="GQD21" s="19"/>
      <c r="GQE21" s="19"/>
      <c r="GQF21" s="19"/>
      <c r="GQG21" s="19"/>
      <c r="GQH21" s="19"/>
      <c r="GQI21" s="19"/>
      <c r="GQJ21" s="19"/>
      <c r="GQK21" s="19"/>
      <c r="GQL21" s="19"/>
      <c r="GQM21" s="19"/>
      <c r="GQN21" s="19"/>
      <c r="GQO21" s="19"/>
      <c r="GQP21" s="19"/>
      <c r="GQQ21" s="19"/>
      <c r="GQR21" s="19"/>
      <c r="GQS21" s="19"/>
      <c r="GQT21" s="19"/>
      <c r="GQU21" s="19"/>
      <c r="GQV21" s="19"/>
      <c r="GQW21" s="19"/>
      <c r="GQX21" s="19"/>
      <c r="GQY21" s="19"/>
      <c r="GQZ21" s="19"/>
      <c r="GRA21" s="19"/>
      <c r="GRB21" s="19"/>
      <c r="GRC21" s="19"/>
      <c r="GRD21" s="19"/>
      <c r="GRE21" s="19"/>
      <c r="GRF21" s="19"/>
      <c r="GRG21" s="19"/>
      <c r="GRH21" s="19"/>
      <c r="GRI21" s="19"/>
      <c r="GRJ21" s="19"/>
      <c r="GRK21" s="19"/>
      <c r="GRL21" s="19"/>
      <c r="GRM21" s="19"/>
      <c r="GRN21" s="19"/>
      <c r="GRO21" s="19"/>
      <c r="GRP21" s="19"/>
      <c r="GRQ21" s="19"/>
      <c r="GRR21" s="19"/>
      <c r="GRS21" s="19"/>
      <c r="GRT21" s="19"/>
      <c r="GRU21" s="19"/>
      <c r="GRV21" s="19"/>
      <c r="GRW21" s="19"/>
      <c r="GRX21" s="19"/>
      <c r="GRY21" s="19"/>
      <c r="GRZ21" s="19"/>
      <c r="GSA21" s="19"/>
      <c r="GSB21" s="19"/>
      <c r="GSC21" s="19"/>
      <c r="GSD21" s="19"/>
      <c r="GSE21" s="19"/>
      <c r="GSF21" s="19"/>
      <c r="GSG21" s="19"/>
      <c r="GSH21" s="19"/>
      <c r="GSI21" s="19"/>
      <c r="GSJ21" s="19"/>
      <c r="GSK21" s="19"/>
      <c r="GSL21" s="19"/>
      <c r="GSM21" s="19"/>
      <c r="GSN21" s="19"/>
      <c r="GSO21" s="19"/>
      <c r="GSP21" s="19"/>
      <c r="GSQ21" s="19"/>
      <c r="GSR21" s="19"/>
      <c r="GSS21" s="19"/>
      <c r="GST21" s="19"/>
      <c r="GSU21" s="19"/>
      <c r="GSV21" s="19"/>
      <c r="GSW21" s="19"/>
      <c r="GSX21" s="19"/>
      <c r="GSY21" s="19"/>
      <c r="GSZ21" s="19"/>
      <c r="GTA21" s="19"/>
      <c r="GTB21" s="19"/>
      <c r="GTC21" s="19"/>
      <c r="GTD21" s="19"/>
      <c r="GTE21" s="19"/>
      <c r="GTF21" s="19"/>
      <c r="GTG21" s="19"/>
      <c r="GTH21" s="19"/>
      <c r="GTI21" s="19"/>
      <c r="GTJ21" s="19"/>
      <c r="GTK21" s="19"/>
      <c r="GTL21" s="19"/>
      <c r="GTM21" s="19"/>
      <c r="GTN21" s="19"/>
      <c r="GTO21" s="19"/>
      <c r="GTP21" s="19"/>
      <c r="GTQ21" s="19"/>
      <c r="GTR21" s="19"/>
      <c r="GTS21" s="19"/>
      <c r="GTT21" s="19"/>
      <c r="GTU21" s="19"/>
      <c r="GTV21" s="19"/>
      <c r="GTW21" s="19"/>
      <c r="GTX21" s="19"/>
      <c r="GTY21" s="19"/>
      <c r="GTZ21" s="19"/>
      <c r="GUA21" s="19"/>
      <c r="GUB21" s="19"/>
      <c r="GUC21" s="19"/>
      <c r="GUD21" s="19"/>
      <c r="GUE21" s="19"/>
      <c r="GUF21" s="19"/>
      <c r="GUG21" s="19"/>
      <c r="GUH21" s="19"/>
      <c r="GUI21" s="19"/>
      <c r="GUJ21" s="19"/>
      <c r="GUK21" s="19"/>
      <c r="GUL21" s="19"/>
      <c r="GUM21" s="19"/>
      <c r="GUN21" s="19"/>
      <c r="GUO21" s="19"/>
      <c r="GUP21" s="19"/>
      <c r="GUQ21" s="19"/>
      <c r="GUR21" s="19"/>
      <c r="GUS21" s="19"/>
      <c r="GUT21" s="19"/>
      <c r="GUU21" s="19"/>
      <c r="GUV21" s="19"/>
      <c r="GUW21" s="19"/>
      <c r="GUX21" s="19"/>
      <c r="GUY21" s="19"/>
      <c r="GUZ21" s="19"/>
      <c r="GVA21" s="19"/>
      <c r="GVB21" s="19"/>
      <c r="GVC21" s="19"/>
      <c r="GVD21" s="19"/>
      <c r="GVE21" s="19"/>
      <c r="GVF21" s="19"/>
      <c r="GVG21" s="19"/>
      <c r="GVH21" s="19"/>
      <c r="GVI21" s="19"/>
      <c r="GVJ21" s="19"/>
      <c r="GVK21" s="19"/>
      <c r="GVL21" s="19"/>
      <c r="GVM21" s="19"/>
      <c r="GVN21" s="19"/>
      <c r="GVO21" s="19"/>
      <c r="GVP21" s="19"/>
      <c r="GVQ21" s="19"/>
      <c r="GVR21" s="19"/>
      <c r="GVS21" s="19"/>
      <c r="GVT21" s="19"/>
      <c r="GVU21" s="19"/>
      <c r="GVV21" s="19"/>
      <c r="GVW21" s="19"/>
      <c r="GVX21" s="19"/>
      <c r="GVY21" s="19"/>
      <c r="GVZ21" s="19"/>
      <c r="GWA21" s="19"/>
      <c r="GWB21" s="19"/>
      <c r="GWC21" s="19"/>
      <c r="GWD21" s="19"/>
      <c r="GWE21" s="19"/>
      <c r="GWF21" s="19"/>
      <c r="GWG21" s="19"/>
      <c r="GWH21" s="19"/>
      <c r="GWI21" s="19"/>
      <c r="GWJ21" s="19"/>
      <c r="GWK21" s="19"/>
      <c r="GWL21" s="19"/>
      <c r="GWM21" s="19"/>
      <c r="GWN21" s="19"/>
      <c r="GWO21" s="19"/>
      <c r="GWP21" s="19"/>
      <c r="GWQ21" s="19"/>
      <c r="GWR21" s="19"/>
      <c r="GWS21" s="19"/>
      <c r="GWT21" s="19"/>
      <c r="GWU21" s="19"/>
      <c r="GWV21" s="19"/>
      <c r="GWW21" s="19"/>
      <c r="GWX21" s="19"/>
      <c r="GWY21" s="19"/>
      <c r="GWZ21" s="19"/>
      <c r="GXA21" s="19"/>
      <c r="GXB21" s="19"/>
      <c r="GXC21" s="19"/>
      <c r="GXD21" s="19"/>
      <c r="GXE21" s="19"/>
      <c r="GXF21" s="19"/>
      <c r="GXG21" s="19"/>
      <c r="GXH21" s="19"/>
      <c r="GXI21" s="19"/>
      <c r="GXJ21" s="19"/>
      <c r="GXK21" s="19"/>
      <c r="GXL21" s="19"/>
      <c r="GXM21" s="19"/>
      <c r="GXN21" s="19"/>
      <c r="GXO21" s="19"/>
      <c r="GXP21" s="19"/>
      <c r="GXQ21" s="19"/>
      <c r="GXR21" s="19"/>
      <c r="GXS21" s="19"/>
      <c r="GXT21" s="19"/>
      <c r="GXU21" s="19"/>
      <c r="GXV21" s="19"/>
      <c r="GXW21" s="19"/>
      <c r="GXX21" s="19"/>
      <c r="GXY21" s="19"/>
      <c r="GXZ21" s="19"/>
      <c r="GYA21" s="19"/>
      <c r="GYB21" s="19"/>
      <c r="GYC21" s="19"/>
      <c r="GYD21" s="19"/>
      <c r="GYE21" s="19"/>
      <c r="GYF21" s="19"/>
      <c r="GYG21" s="19"/>
      <c r="GYH21" s="19"/>
      <c r="GYI21" s="19"/>
      <c r="GYJ21" s="19"/>
      <c r="GYK21" s="19"/>
      <c r="GYL21" s="19"/>
      <c r="GYM21" s="19"/>
      <c r="GYN21" s="19"/>
      <c r="GYO21" s="19"/>
      <c r="GYP21" s="19"/>
      <c r="GYQ21" s="19"/>
      <c r="GYR21" s="19"/>
      <c r="GYS21" s="19"/>
      <c r="GYT21" s="19"/>
      <c r="GYU21" s="19"/>
      <c r="GYV21" s="19"/>
      <c r="GYW21" s="19"/>
      <c r="GYX21" s="19"/>
      <c r="GYY21" s="19"/>
      <c r="GYZ21" s="19"/>
      <c r="GZA21" s="19"/>
      <c r="GZB21" s="19"/>
      <c r="GZC21" s="19"/>
      <c r="GZD21" s="19"/>
      <c r="GZE21" s="19"/>
      <c r="GZF21" s="19"/>
      <c r="GZG21" s="19"/>
      <c r="GZH21" s="19"/>
      <c r="GZI21" s="19"/>
      <c r="GZJ21" s="19"/>
      <c r="GZK21" s="19"/>
      <c r="GZL21" s="19"/>
      <c r="GZM21" s="19"/>
      <c r="GZN21" s="19"/>
      <c r="GZO21" s="19"/>
      <c r="GZP21" s="19"/>
      <c r="GZQ21" s="19"/>
      <c r="GZR21" s="19"/>
      <c r="GZS21" s="19"/>
      <c r="GZT21" s="19"/>
      <c r="GZU21" s="19"/>
      <c r="GZV21" s="19"/>
      <c r="GZW21" s="19"/>
      <c r="GZX21" s="19"/>
      <c r="GZY21" s="19"/>
      <c r="GZZ21" s="19"/>
      <c r="HAA21" s="19"/>
      <c r="HAB21" s="19"/>
      <c r="HAC21" s="19"/>
      <c r="HAD21" s="19"/>
      <c r="HAE21" s="19"/>
      <c r="HAF21" s="19"/>
      <c r="HAG21" s="19"/>
      <c r="HAH21" s="19"/>
      <c r="HAI21" s="19"/>
      <c r="HAJ21" s="19"/>
      <c r="HAK21" s="19"/>
      <c r="HAL21" s="19"/>
      <c r="HAM21" s="19"/>
      <c r="HAN21" s="19"/>
      <c r="HAO21" s="19"/>
      <c r="HAP21" s="19"/>
      <c r="HAQ21" s="19"/>
      <c r="HAR21" s="19"/>
      <c r="HAS21" s="19"/>
      <c r="HAT21" s="19"/>
      <c r="HAU21" s="19"/>
      <c r="HAV21" s="19"/>
      <c r="HAW21" s="19"/>
      <c r="HAX21" s="19"/>
      <c r="HAY21" s="19"/>
      <c r="HAZ21" s="19"/>
      <c r="HBA21" s="19"/>
      <c r="HBB21" s="19"/>
      <c r="HBC21" s="19"/>
      <c r="HBD21" s="19"/>
      <c r="HBE21" s="19"/>
      <c r="HBF21" s="19"/>
      <c r="HBG21" s="19"/>
      <c r="HBH21" s="19"/>
      <c r="HBI21" s="19"/>
      <c r="HBJ21" s="19"/>
      <c r="HBK21" s="19"/>
      <c r="HBL21" s="19"/>
      <c r="HBM21" s="19"/>
      <c r="HBN21" s="19"/>
      <c r="HBO21" s="19"/>
      <c r="HBP21" s="19"/>
      <c r="HBQ21" s="19"/>
      <c r="HBR21" s="19"/>
      <c r="HBS21" s="19"/>
      <c r="HBT21" s="19"/>
      <c r="HBU21" s="19"/>
      <c r="HBV21" s="19"/>
      <c r="HBW21" s="19"/>
      <c r="HBX21" s="19"/>
      <c r="HBY21" s="19"/>
      <c r="HBZ21" s="19"/>
      <c r="HCA21" s="19"/>
      <c r="HCB21" s="19"/>
      <c r="HCC21" s="19"/>
      <c r="HCD21" s="19"/>
      <c r="HCE21" s="19"/>
      <c r="HCF21" s="19"/>
      <c r="HCG21" s="19"/>
      <c r="HCH21" s="19"/>
      <c r="HCI21" s="19"/>
      <c r="HCJ21" s="19"/>
      <c r="HCK21" s="19"/>
      <c r="HCL21" s="19"/>
      <c r="HCM21" s="19"/>
      <c r="HCN21" s="19"/>
      <c r="HCO21" s="19"/>
      <c r="HCP21" s="19"/>
      <c r="HCQ21" s="19"/>
      <c r="HCR21" s="19"/>
      <c r="HCS21" s="19"/>
      <c r="HCT21" s="19"/>
      <c r="HCU21" s="19"/>
      <c r="HCV21" s="19"/>
      <c r="HCW21" s="19"/>
      <c r="HCX21" s="19"/>
      <c r="HCY21" s="19"/>
      <c r="HCZ21" s="19"/>
      <c r="HDA21" s="19"/>
      <c r="HDB21" s="19"/>
      <c r="HDC21" s="19"/>
      <c r="HDD21" s="19"/>
      <c r="HDE21" s="19"/>
      <c r="HDF21" s="19"/>
      <c r="HDG21" s="19"/>
      <c r="HDH21" s="19"/>
      <c r="HDI21" s="19"/>
      <c r="HDJ21" s="19"/>
      <c r="HDK21" s="19"/>
      <c r="HDL21" s="19"/>
      <c r="HDM21" s="19"/>
      <c r="HDN21" s="19"/>
      <c r="HDO21" s="19"/>
      <c r="HDP21" s="19"/>
      <c r="HDQ21" s="19"/>
      <c r="HDR21" s="19"/>
      <c r="HDS21" s="19"/>
      <c r="HDT21" s="19"/>
      <c r="HDU21" s="19"/>
      <c r="HDV21" s="19"/>
      <c r="HDW21" s="19"/>
      <c r="HDX21" s="19"/>
      <c r="HDY21" s="19"/>
      <c r="HDZ21" s="19"/>
      <c r="HEA21" s="19"/>
      <c r="HEB21" s="19"/>
      <c r="HEC21" s="19"/>
      <c r="HED21" s="19"/>
      <c r="HEE21" s="19"/>
      <c r="HEF21" s="19"/>
      <c r="HEG21" s="19"/>
      <c r="HEH21" s="19"/>
      <c r="HEI21" s="19"/>
      <c r="HEJ21" s="19"/>
      <c r="HEK21" s="19"/>
      <c r="HEL21" s="19"/>
      <c r="HEM21" s="19"/>
      <c r="HEN21" s="19"/>
      <c r="HEO21" s="19"/>
      <c r="HEP21" s="19"/>
      <c r="HEQ21" s="19"/>
      <c r="HER21" s="19"/>
      <c r="HES21" s="19"/>
      <c r="HET21" s="19"/>
      <c r="HEU21" s="19"/>
      <c r="HEV21" s="19"/>
      <c r="HEW21" s="19"/>
      <c r="HEX21" s="19"/>
      <c r="HEY21" s="19"/>
      <c r="HEZ21" s="19"/>
      <c r="HFA21" s="19"/>
      <c r="HFB21" s="19"/>
      <c r="HFC21" s="19"/>
      <c r="HFD21" s="19"/>
      <c r="HFE21" s="19"/>
      <c r="HFF21" s="19"/>
      <c r="HFG21" s="19"/>
      <c r="HFH21" s="19"/>
      <c r="HFI21" s="19"/>
      <c r="HFJ21" s="19"/>
      <c r="HFK21" s="19"/>
      <c r="HFL21" s="19"/>
      <c r="HFM21" s="19"/>
      <c r="HFN21" s="19"/>
      <c r="HFO21" s="19"/>
      <c r="HFP21" s="19"/>
      <c r="HFQ21" s="19"/>
      <c r="HFR21" s="19"/>
      <c r="HFS21" s="19"/>
      <c r="HFT21" s="19"/>
      <c r="HFU21" s="19"/>
      <c r="HFV21" s="19"/>
      <c r="HFW21" s="19"/>
      <c r="HFX21" s="19"/>
      <c r="HFY21" s="19"/>
      <c r="HFZ21" s="19"/>
      <c r="HGA21" s="19"/>
      <c r="HGB21" s="19"/>
      <c r="HGC21" s="19"/>
      <c r="HGD21" s="19"/>
      <c r="HGE21" s="19"/>
      <c r="HGF21" s="19"/>
      <c r="HGG21" s="19"/>
      <c r="HGH21" s="19"/>
      <c r="HGI21" s="19"/>
      <c r="HGJ21" s="19"/>
      <c r="HGK21" s="19"/>
      <c r="HGL21" s="19"/>
      <c r="HGM21" s="19"/>
      <c r="HGN21" s="19"/>
      <c r="HGO21" s="19"/>
      <c r="HGP21" s="19"/>
      <c r="HGQ21" s="19"/>
      <c r="HGR21" s="19"/>
      <c r="HGS21" s="19"/>
      <c r="HGT21" s="19"/>
      <c r="HGU21" s="19"/>
      <c r="HGV21" s="19"/>
      <c r="HGW21" s="19"/>
      <c r="HGX21" s="19"/>
      <c r="HGY21" s="19"/>
      <c r="HGZ21" s="19"/>
      <c r="HHA21" s="19"/>
      <c r="HHB21" s="19"/>
      <c r="HHC21" s="19"/>
      <c r="HHD21" s="19"/>
      <c r="HHE21" s="19"/>
      <c r="HHF21" s="19"/>
      <c r="HHG21" s="19"/>
      <c r="HHH21" s="19"/>
      <c r="HHI21" s="19"/>
      <c r="HHJ21" s="19"/>
      <c r="HHK21" s="19"/>
      <c r="HHL21" s="19"/>
      <c r="HHM21" s="19"/>
      <c r="HHN21" s="19"/>
      <c r="HHO21" s="19"/>
      <c r="HHP21" s="19"/>
      <c r="HHQ21" s="19"/>
      <c r="HHR21" s="19"/>
      <c r="HHS21" s="19"/>
      <c r="HHT21" s="19"/>
      <c r="HHU21" s="19"/>
      <c r="HHV21" s="19"/>
      <c r="HHW21" s="19"/>
      <c r="HHX21" s="19"/>
      <c r="HHY21" s="19"/>
      <c r="HHZ21" s="19"/>
      <c r="HIA21" s="19"/>
      <c r="HIB21" s="19"/>
      <c r="HIC21" s="19"/>
      <c r="HID21" s="19"/>
      <c r="HIE21" s="19"/>
      <c r="HIF21" s="19"/>
      <c r="HIG21" s="19"/>
      <c r="HIH21" s="19"/>
      <c r="HII21" s="19"/>
      <c r="HIJ21" s="19"/>
      <c r="HIK21" s="19"/>
      <c r="HIL21" s="19"/>
      <c r="HIM21" s="19"/>
      <c r="HIN21" s="19"/>
      <c r="HIO21" s="19"/>
      <c r="HIP21" s="19"/>
      <c r="HIQ21" s="19"/>
      <c r="HIR21" s="19"/>
      <c r="HIS21" s="19"/>
      <c r="HIT21" s="19"/>
      <c r="HIU21" s="19"/>
      <c r="HIV21" s="19"/>
      <c r="HIW21" s="19"/>
      <c r="HIX21" s="19"/>
      <c r="HIY21" s="19"/>
      <c r="HIZ21" s="19"/>
      <c r="HJA21" s="19"/>
      <c r="HJB21" s="19"/>
      <c r="HJC21" s="19"/>
      <c r="HJD21" s="19"/>
      <c r="HJE21" s="19"/>
      <c r="HJF21" s="19"/>
      <c r="HJG21" s="19"/>
      <c r="HJH21" s="19"/>
      <c r="HJI21" s="19"/>
      <c r="HJJ21" s="19"/>
      <c r="HJK21" s="19"/>
      <c r="HJL21" s="19"/>
      <c r="HJM21" s="19"/>
      <c r="HJN21" s="19"/>
      <c r="HJO21" s="19"/>
      <c r="HJP21" s="19"/>
      <c r="HJQ21" s="19"/>
      <c r="HJR21" s="19"/>
      <c r="HJS21" s="19"/>
      <c r="HJT21" s="19"/>
      <c r="HJU21" s="19"/>
      <c r="HJV21" s="19"/>
      <c r="HJW21" s="19"/>
      <c r="HJX21" s="19"/>
      <c r="HJY21" s="19"/>
      <c r="HJZ21" s="19"/>
      <c r="HKA21" s="19"/>
      <c r="HKB21" s="19"/>
      <c r="HKC21" s="19"/>
      <c r="HKD21" s="19"/>
      <c r="HKE21" s="19"/>
      <c r="HKF21" s="19"/>
      <c r="HKG21" s="19"/>
      <c r="HKH21" s="19"/>
      <c r="HKI21" s="19"/>
      <c r="HKJ21" s="19"/>
      <c r="HKK21" s="19"/>
      <c r="HKL21" s="19"/>
      <c r="HKM21" s="19"/>
      <c r="HKN21" s="19"/>
      <c r="HKO21" s="19"/>
      <c r="HKP21" s="19"/>
      <c r="HKQ21" s="19"/>
      <c r="HKR21" s="19"/>
      <c r="HKS21" s="19"/>
      <c r="HKT21" s="19"/>
      <c r="HKU21" s="19"/>
      <c r="HKV21" s="19"/>
      <c r="HKW21" s="19"/>
      <c r="HKX21" s="19"/>
      <c r="HKY21" s="19"/>
      <c r="HKZ21" s="19"/>
      <c r="HLA21" s="19"/>
      <c r="HLB21" s="19"/>
      <c r="HLC21" s="19"/>
      <c r="HLD21" s="19"/>
      <c r="HLE21" s="19"/>
      <c r="HLF21" s="19"/>
      <c r="HLG21" s="19"/>
      <c r="HLH21" s="19"/>
      <c r="HLI21" s="19"/>
      <c r="HLJ21" s="19"/>
      <c r="HLK21" s="19"/>
      <c r="HLL21" s="19"/>
      <c r="HLM21" s="19"/>
      <c r="HLN21" s="19"/>
      <c r="HLO21" s="19"/>
      <c r="HLP21" s="19"/>
      <c r="HLQ21" s="19"/>
      <c r="HLR21" s="19"/>
      <c r="HLS21" s="19"/>
      <c r="HLT21" s="19"/>
      <c r="HLU21" s="19"/>
      <c r="HLV21" s="19"/>
      <c r="HLW21" s="19"/>
      <c r="HLX21" s="19"/>
      <c r="HLY21" s="19"/>
      <c r="HLZ21" s="19"/>
      <c r="HMA21" s="19"/>
      <c r="HMB21" s="19"/>
      <c r="HMC21" s="19"/>
      <c r="HMD21" s="19"/>
      <c r="HME21" s="19"/>
      <c r="HMF21" s="19"/>
      <c r="HMG21" s="19"/>
      <c r="HMH21" s="19"/>
      <c r="HMI21" s="19"/>
      <c r="HMJ21" s="19"/>
      <c r="HMK21" s="19"/>
      <c r="HML21" s="19"/>
      <c r="HMM21" s="19"/>
      <c r="HMN21" s="19"/>
      <c r="HMO21" s="19"/>
      <c r="HMP21" s="19"/>
      <c r="HMQ21" s="19"/>
      <c r="HMR21" s="19"/>
      <c r="HMS21" s="19"/>
      <c r="HMT21" s="19"/>
      <c r="HMU21" s="19"/>
      <c r="HMV21" s="19"/>
      <c r="HMW21" s="19"/>
      <c r="HMX21" s="19"/>
      <c r="HMY21" s="19"/>
      <c r="HMZ21" s="19"/>
      <c r="HNA21" s="19"/>
      <c r="HNB21" s="19"/>
      <c r="HNC21" s="19"/>
      <c r="HND21" s="19"/>
      <c r="HNE21" s="19"/>
      <c r="HNF21" s="19"/>
      <c r="HNG21" s="19"/>
      <c r="HNH21" s="19"/>
      <c r="HNI21" s="19"/>
      <c r="HNJ21" s="19"/>
      <c r="HNK21" s="19"/>
      <c r="HNL21" s="19"/>
      <c r="HNM21" s="19"/>
      <c r="HNN21" s="19"/>
      <c r="HNO21" s="19"/>
      <c r="HNP21" s="19"/>
      <c r="HNQ21" s="19"/>
      <c r="HNR21" s="19"/>
      <c r="HNS21" s="19"/>
      <c r="HNT21" s="19"/>
      <c r="HNU21" s="19"/>
      <c r="HNV21" s="19"/>
      <c r="HNW21" s="19"/>
      <c r="HNX21" s="19"/>
      <c r="HNY21" s="19"/>
      <c r="HNZ21" s="19"/>
      <c r="HOA21" s="19"/>
      <c r="HOB21" s="19"/>
      <c r="HOC21" s="19"/>
      <c r="HOD21" s="19"/>
      <c r="HOE21" s="19"/>
      <c r="HOF21" s="19"/>
      <c r="HOG21" s="19"/>
      <c r="HOH21" s="19"/>
      <c r="HOI21" s="19"/>
      <c r="HOJ21" s="19"/>
      <c r="HOK21" s="19"/>
      <c r="HOL21" s="19"/>
      <c r="HOM21" s="19"/>
      <c r="HON21" s="19"/>
      <c r="HOO21" s="19"/>
      <c r="HOP21" s="19"/>
      <c r="HOQ21" s="19"/>
      <c r="HOR21" s="19"/>
      <c r="HOS21" s="19"/>
      <c r="HOT21" s="19"/>
      <c r="HOU21" s="19"/>
      <c r="HOV21" s="19"/>
      <c r="HOW21" s="19"/>
      <c r="HOX21" s="19"/>
      <c r="HOY21" s="19"/>
      <c r="HOZ21" s="19"/>
      <c r="HPA21" s="19"/>
      <c r="HPB21" s="19"/>
      <c r="HPC21" s="19"/>
      <c r="HPD21" s="19"/>
      <c r="HPE21" s="19"/>
      <c r="HPF21" s="19"/>
      <c r="HPG21" s="19"/>
      <c r="HPH21" s="19"/>
      <c r="HPI21" s="19"/>
      <c r="HPJ21" s="19"/>
      <c r="HPK21" s="19"/>
      <c r="HPL21" s="19"/>
      <c r="HPM21" s="19"/>
      <c r="HPN21" s="19"/>
      <c r="HPO21" s="19"/>
      <c r="HPP21" s="19"/>
      <c r="HPQ21" s="19"/>
      <c r="HPR21" s="19"/>
      <c r="HPS21" s="19"/>
      <c r="HPT21" s="19"/>
      <c r="HPU21" s="19"/>
      <c r="HPV21" s="19"/>
      <c r="HPW21" s="19"/>
      <c r="HPX21" s="19"/>
      <c r="HPY21" s="19"/>
      <c r="HPZ21" s="19"/>
      <c r="HQA21" s="19"/>
      <c r="HQB21" s="19"/>
      <c r="HQC21" s="19"/>
      <c r="HQD21" s="19"/>
      <c r="HQE21" s="19"/>
      <c r="HQF21" s="19"/>
      <c r="HQG21" s="19"/>
      <c r="HQH21" s="19"/>
      <c r="HQI21" s="19"/>
      <c r="HQJ21" s="19"/>
      <c r="HQK21" s="19"/>
      <c r="HQL21" s="19"/>
      <c r="HQM21" s="19"/>
      <c r="HQN21" s="19"/>
      <c r="HQO21" s="19"/>
      <c r="HQP21" s="19"/>
      <c r="HQQ21" s="19"/>
      <c r="HQR21" s="19"/>
      <c r="HQS21" s="19"/>
      <c r="HQT21" s="19"/>
      <c r="HQU21" s="19"/>
      <c r="HQV21" s="19"/>
      <c r="HQW21" s="19"/>
      <c r="HQX21" s="19"/>
      <c r="HQY21" s="19"/>
      <c r="HQZ21" s="19"/>
      <c r="HRA21" s="19"/>
      <c r="HRB21" s="19"/>
      <c r="HRC21" s="19"/>
      <c r="HRD21" s="19"/>
      <c r="HRE21" s="19"/>
      <c r="HRF21" s="19"/>
      <c r="HRG21" s="19"/>
      <c r="HRH21" s="19"/>
      <c r="HRI21" s="19"/>
      <c r="HRJ21" s="19"/>
      <c r="HRK21" s="19"/>
      <c r="HRL21" s="19"/>
      <c r="HRM21" s="19"/>
      <c r="HRN21" s="19"/>
      <c r="HRO21" s="19"/>
      <c r="HRP21" s="19"/>
      <c r="HRQ21" s="19"/>
      <c r="HRR21" s="19"/>
      <c r="HRS21" s="19"/>
      <c r="HRT21" s="19"/>
      <c r="HRU21" s="19"/>
      <c r="HRV21" s="19"/>
      <c r="HRW21" s="19"/>
      <c r="HRX21" s="19"/>
      <c r="HRY21" s="19"/>
      <c r="HRZ21" s="19"/>
      <c r="HSA21" s="19"/>
      <c r="HSB21" s="19"/>
      <c r="HSC21" s="19"/>
      <c r="HSD21" s="19"/>
      <c r="HSE21" s="19"/>
      <c r="HSF21" s="19"/>
      <c r="HSG21" s="19"/>
      <c r="HSH21" s="19"/>
      <c r="HSI21" s="19"/>
      <c r="HSJ21" s="19"/>
      <c r="HSK21" s="19"/>
      <c r="HSL21" s="19"/>
      <c r="HSM21" s="19"/>
      <c r="HSN21" s="19"/>
      <c r="HSO21" s="19"/>
      <c r="HSP21" s="19"/>
      <c r="HSQ21" s="19"/>
      <c r="HSR21" s="19"/>
      <c r="HSS21" s="19"/>
      <c r="HST21" s="19"/>
      <c r="HSU21" s="19"/>
      <c r="HSV21" s="19"/>
      <c r="HSW21" s="19"/>
      <c r="HSX21" s="19"/>
      <c r="HSY21" s="19"/>
      <c r="HSZ21" s="19"/>
      <c r="HTA21" s="19"/>
      <c r="HTB21" s="19"/>
      <c r="HTC21" s="19"/>
      <c r="HTD21" s="19"/>
      <c r="HTE21" s="19"/>
      <c r="HTF21" s="19"/>
      <c r="HTG21" s="19"/>
      <c r="HTH21" s="19"/>
      <c r="HTI21" s="19"/>
      <c r="HTJ21" s="19"/>
      <c r="HTK21" s="19"/>
      <c r="HTL21" s="19"/>
      <c r="HTM21" s="19"/>
      <c r="HTN21" s="19"/>
      <c r="HTO21" s="19"/>
      <c r="HTP21" s="19"/>
      <c r="HTQ21" s="19"/>
      <c r="HTR21" s="19"/>
      <c r="HTS21" s="19"/>
      <c r="HTT21" s="19"/>
      <c r="HTU21" s="19"/>
      <c r="HTV21" s="19"/>
      <c r="HTW21" s="19"/>
      <c r="HTX21" s="19"/>
      <c r="HTY21" s="19"/>
      <c r="HTZ21" s="19"/>
      <c r="HUA21" s="19"/>
      <c r="HUB21" s="19"/>
      <c r="HUC21" s="19"/>
      <c r="HUD21" s="19"/>
      <c r="HUE21" s="19"/>
      <c r="HUF21" s="19"/>
      <c r="HUG21" s="19"/>
      <c r="HUH21" s="19"/>
      <c r="HUI21" s="19"/>
      <c r="HUJ21" s="19"/>
      <c r="HUK21" s="19"/>
      <c r="HUL21" s="19"/>
      <c r="HUM21" s="19"/>
      <c r="HUN21" s="19"/>
      <c r="HUO21" s="19"/>
      <c r="HUP21" s="19"/>
      <c r="HUQ21" s="19"/>
      <c r="HUR21" s="19"/>
      <c r="HUS21" s="19"/>
      <c r="HUT21" s="19"/>
      <c r="HUU21" s="19"/>
      <c r="HUV21" s="19"/>
      <c r="HUW21" s="19"/>
      <c r="HUX21" s="19"/>
      <c r="HUY21" s="19"/>
      <c r="HUZ21" s="19"/>
      <c r="HVA21" s="19"/>
      <c r="HVB21" s="19"/>
      <c r="HVC21" s="19"/>
      <c r="HVD21" s="19"/>
      <c r="HVE21" s="19"/>
      <c r="HVF21" s="19"/>
      <c r="HVG21" s="19"/>
      <c r="HVH21" s="19"/>
      <c r="HVI21" s="19"/>
      <c r="HVJ21" s="19"/>
      <c r="HVK21" s="19"/>
      <c r="HVL21" s="19"/>
      <c r="HVM21" s="19"/>
      <c r="HVN21" s="19"/>
      <c r="HVO21" s="19"/>
      <c r="HVP21" s="19"/>
      <c r="HVQ21" s="19"/>
      <c r="HVR21" s="19"/>
      <c r="HVS21" s="19"/>
      <c r="HVT21" s="19"/>
      <c r="HVU21" s="19"/>
      <c r="HVV21" s="19"/>
      <c r="HVW21" s="19"/>
      <c r="HVX21" s="19"/>
      <c r="HVY21" s="19"/>
      <c r="HVZ21" s="19"/>
      <c r="HWA21" s="19"/>
      <c r="HWB21" s="19"/>
      <c r="HWC21" s="19"/>
      <c r="HWD21" s="19"/>
      <c r="HWE21" s="19"/>
      <c r="HWF21" s="19"/>
      <c r="HWG21" s="19"/>
      <c r="HWH21" s="19"/>
      <c r="HWI21" s="19"/>
      <c r="HWJ21" s="19"/>
      <c r="HWK21" s="19"/>
      <c r="HWL21" s="19"/>
      <c r="HWM21" s="19"/>
      <c r="HWN21" s="19"/>
      <c r="HWO21" s="19"/>
      <c r="HWP21" s="19"/>
      <c r="HWQ21" s="19"/>
      <c r="HWR21" s="19"/>
      <c r="HWS21" s="19"/>
      <c r="HWT21" s="19"/>
      <c r="HWU21" s="19"/>
      <c r="HWV21" s="19"/>
      <c r="HWW21" s="19"/>
      <c r="HWX21" s="19"/>
      <c r="HWY21" s="19"/>
      <c r="HWZ21" s="19"/>
      <c r="HXA21" s="19"/>
      <c r="HXB21" s="19"/>
      <c r="HXC21" s="19"/>
      <c r="HXD21" s="19"/>
      <c r="HXE21" s="19"/>
      <c r="HXF21" s="19"/>
      <c r="HXG21" s="19"/>
      <c r="HXH21" s="19"/>
      <c r="HXI21" s="19"/>
      <c r="HXJ21" s="19"/>
      <c r="HXK21" s="19"/>
      <c r="HXL21" s="19"/>
      <c r="HXM21" s="19"/>
      <c r="HXN21" s="19"/>
      <c r="HXO21" s="19"/>
      <c r="HXP21" s="19"/>
      <c r="HXQ21" s="19"/>
      <c r="HXR21" s="19"/>
      <c r="HXS21" s="19"/>
      <c r="HXT21" s="19"/>
      <c r="HXU21" s="19"/>
      <c r="HXV21" s="19"/>
      <c r="HXW21" s="19"/>
      <c r="HXX21" s="19"/>
      <c r="HXY21" s="19"/>
      <c r="HXZ21" s="19"/>
      <c r="HYA21" s="19"/>
      <c r="HYB21" s="19"/>
      <c r="HYC21" s="19"/>
      <c r="HYD21" s="19"/>
      <c r="HYE21" s="19"/>
      <c r="HYF21" s="19"/>
      <c r="HYG21" s="19"/>
      <c r="HYH21" s="19"/>
      <c r="HYI21" s="19"/>
      <c r="HYJ21" s="19"/>
      <c r="HYK21" s="19"/>
      <c r="HYL21" s="19"/>
      <c r="HYM21" s="19"/>
      <c r="HYN21" s="19"/>
      <c r="HYO21" s="19"/>
      <c r="HYP21" s="19"/>
      <c r="HYQ21" s="19"/>
      <c r="HYR21" s="19"/>
      <c r="HYS21" s="19"/>
      <c r="HYT21" s="19"/>
      <c r="HYU21" s="19"/>
      <c r="HYV21" s="19"/>
      <c r="HYW21" s="19"/>
      <c r="HYX21" s="19"/>
      <c r="HYY21" s="19"/>
      <c r="HYZ21" s="19"/>
      <c r="HZA21" s="19"/>
      <c r="HZB21" s="19"/>
      <c r="HZC21" s="19"/>
      <c r="HZD21" s="19"/>
      <c r="HZE21" s="19"/>
      <c r="HZF21" s="19"/>
      <c r="HZG21" s="19"/>
      <c r="HZH21" s="19"/>
      <c r="HZI21" s="19"/>
      <c r="HZJ21" s="19"/>
      <c r="HZK21" s="19"/>
      <c r="HZL21" s="19"/>
      <c r="HZM21" s="19"/>
      <c r="HZN21" s="19"/>
      <c r="HZO21" s="19"/>
      <c r="HZP21" s="19"/>
      <c r="HZQ21" s="19"/>
      <c r="HZR21" s="19"/>
      <c r="HZS21" s="19"/>
      <c r="HZT21" s="19"/>
      <c r="HZU21" s="19"/>
      <c r="HZV21" s="19"/>
      <c r="HZW21" s="19"/>
      <c r="HZX21" s="19"/>
      <c r="HZY21" s="19"/>
      <c r="HZZ21" s="19"/>
      <c r="IAA21" s="19"/>
      <c r="IAB21" s="19"/>
      <c r="IAC21" s="19"/>
      <c r="IAD21" s="19"/>
      <c r="IAE21" s="19"/>
      <c r="IAF21" s="19"/>
      <c r="IAG21" s="19"/>
      <c r="IAH21" s="19"/>
      <c r="IAI21" s="19"/>
      <c r="IAJ21" s="19"/>
      <c r="IAK21" s="19"/>
      <c r="IAL21" s="19"/>
      <c r="IAM21" s="19"/>
      <c r="IAN21" s="19"/>
      <c r="IAO21" s="19"/>
      <c r="IAP21" s="19"/>
      <c r="IAQ21" s="19"/>
      <c r="IAR21" s="19"/>
      <c r="IAS21" s="19"/>
      <c r="IAT21" s="19"/>
      <c r="IAU21" s="19"/>
      <c r="IAV21" s="19"/>
      <c r="IAW21" s="19"/>
      <c r="IAX21" s="19"/>
      <c r="IAY21" s="19"/>
      <c r="IAZ21" s="19"/>
      <c r="IBA21" s="19"/>
      <c r="IBB21" s="19"/>
      <c r="IBC21" s="19"/>
      <c r="IBD21" s="19"/>
      <c r="IBE21" s="19"/>
      <c r="IBF21" s="19"/>
      <c r="IBG21" s="19"/>
      <c r="IBH21" s="19"/>
      <c r="IBI21" s="19"/>
      <c r="IBJ21" s="19"/>
      <c r="IBK21" s="19"/>
      <c r="IBL21" s="19"/>
      <c r="IBM21" s="19"/>
      <c r="IBN21" s="19"/>
      <c r="IBO21" s="19"/>
      <c r="IBP21" s="19"/>
      <c r="IBQ21" s="19"/>
      <c r="IBR21" s="19"/>
      <c r="IBS21" s="19"/>
      <c r="IBT21" s="19"/>
      <c r="IBU21" s="19"/>
      <c r="IBV21" s="19"/>
      <c r="IBW21" s="19"/>
      <c r="IBX21" s="19"/>
      <c r="IBY21" s="19"/>
      <c r="IBZ21" s="19"/>
      <c r="ICA21" s="19"/>
      <c r="ICB21" s="19"/>
      <c r="ICC21" s="19"/>
      <c r="ICD21" s="19"/>
      <c r="ICE21" s="19"/>
      <c r="ICF21" s="19"/>
      <c r="ICG21" s="19"/>
      <c r="ICH21" s="19"/>
      <c r="ICI21" s="19"/>
      <c r="ICJ21" s="19"/>
      <c r="ICK21" s="19"/>
      <c r="ICL21" s="19"/>
      <c r="ICM21" s="19"/>
      <c r="ICN21" s="19"/>
      <c r="ICO21" s="19"/>
      <c r="ICP21" s="19"/>
      <c r="ICQ21" s="19"/>
      <c r="ICR21" s="19"/>
      <c r="ICS21" s="19"/>
      <c r="ICT21" s="19"/>
      <c r="ICU21" s="19"/>
      <c r="ICV21" s="19"/>
      <c r="ICW21" s="19"/>
      <c r="ICX21" s="19"/>
      <c r="ICY21" s="19"/>
      <c r="ICZ21" s="19"/>
      <c r="IDA21" s="19"/>
      <c r="IDB21" s="19"/>
      <c r="IDC21" s="19"/>
      <c r="IDD21" s="19"/>
      <c r="IDE21" s="19"/>
      <c r="IDF21" s="19"/>
      <c r="IDG21" s="19"/>
      <c r="IDH21" s="19"/>
      <c r="IDI21" s="19"/>
      <c r="IDJ21" s="19"/>
      <c r="IDK21" s="19"/>
      <c r="IDL21" s="19"/>
      <c r="IDM21" s="19"/>
      <c r="IDN21" s="19"/>
      <c r="IDO21" s="19"/>
      <c r="IDP21" s="19"/>
      <c r="IDQ21" s="19"/>
      <c r="IDR21" s="19"/>
      <c r="IDS21" s="19"/>
      <c r="IDT21" s="19"/>
      <c r="IDU21" s="19"/>
      <c r="IDV21" s="19"/>
      <c r="IDW21" s="19"/>
      <c r="IDX21" s="19"/>
      <c r="IDY21" s="19"/>
      <c r="IDZ21" s="19"/>
      <c r="IEA21" s="19"/>
      <c r="IEB21" s="19"/>
      <c r="IEC21" s="19"/>
      <c r="IED21" s="19"/>
      <c r="IEE21" s="19"/>
      <c r="IEF21" s="19"/>
      <c r="IEG21" s="19"/>
      <c r="IEH21" s="19"/>
      <c r="IEI21" s="19"/>
      <c r="IEJ21" s="19"/>
      <c r="IEK21" s="19"/>
      <c r="IEL21" s="19"/>
      <c r="IEM21" s="19"/>
      <c r="IEN21" s="19"/>
      <c r="IEO21" s="19"/>
      <c r="IEP21" s="19"/>
      <c r="IEQ21" s="19"/>
      <c r="IER21" s="19"/>
      <c r="IES21" s="19"/>
      <c r="IET21" s="19"/>
      <c r="IEU21" s="19"/>
      <c r="IEV21" s="19"/>
      <c r="IEW21" s="19"/>
      <c r="IEX21" s="19"/>
      <c r="IEY21" s="19"/>
      <c r="IEZ21" s="19"/>
      <c r="IFA21" s="19"/>
      <c r="IFB21" s="19"/>
      <c r="IFC21" s="19"/>
      <c r="IFD21" s="19"/>
      <c r="IFE21" s="19"/>
      <c r="IFF21" s="19"/>
      <c r="IFG21" s="19"/>
      <c r="IFH21" s="19"/>
      <c r="IFI21" s="19"/>
      <c r="IFJ21" s="19"/>
      <c r="IFK21" s="19"/>
      <c r="IFL21" s="19"/>
      <c r="IFM21" s="19"/>
      <c r="IFN21" s="19"/>
      <c r="IFO21" s="19"/>
      <c r="IFP21" s="19"/>
      <c r="IFQ21" s="19"/>
      <c r="IFR21" s="19"/>
      <c r="IFS21" s="19"/>
      <c r="IFT21" s="19"/>
      <c r="IFU21" s="19"/>
      <c r="IFV21" s="19"/>
      <c r="IFW21" s="19"/>
      <c r="IFX21" s="19"/>
      <c r="IFY21" s="19"/>
      <c r="IFZ21" s="19"/>
      <c r="IGA21" s="19"/>
      <c r="IGB21" s="19"/>
      <c r="IGC21" s="19"/>
      <c r="IGD21" s="19"/>
      <c r="IGE21" s="19"/>
      <c r="IGF21" s="19"/>
      <c r="IGG21" s="19"/>
      <c r="IGH21" s="19"/>
      <c r="IGI21" s="19"/>
      <c r="IGJ21" s="19"/>
      <c r="IGK21" s="19"/>
      <c r="IGL21" s="19"/>
      <c r="IGM21" s="19"/>
      <c r="IGN21" s="19"/>
      <c r="IGO21" s="19"/>
      <c r="IGP21" s="19"/>
      <c r="IGQ21" s="19"/>
      <c r="IGR21" s="19"/>
      <c r="IGS21" s="19"/>
      <c r="IGT21" s="19"/>
      <c r="IGU21" s="19"/>
      <c r="IGV21" s="19"/>
      <c r="IGW21" s="19"/>
      <c r="IGX21" s="19"/>
      <c r="IGY21" s="19"/>
      <c r="IGZ21" s="19"/>
      <c r="IHA21" s="19"/>
      <c r="IHB21" s="19"/>
      <c r="IHC21" s="19"/>
      <c r="IHD21" s="19"/>
      <c r="IHE21" s="19"/>
      <c r="IHF21" s="19"/>
      <c r="IHG21" s="19"/>
      <c r="IHH21" s="19"/>
      <c r="IHI21" s="19"/>
      <c r="IHJ21" s="19"/>
      <c r="IHK21" s="19"/>
      <c r="IHL21" s="19"/>
      <c r="IHM21" s="19"/>
      <c r="IHN21" s="19"/>
      <c r="IHO21" s="19"/>
      <c r="IHP21" s="19"/>
      <c r="IHQ21" s="19"/>
      <c r="IHR21" s="19"/>
      <c r="IHS21" s="19"/>
      <c r="IHT21" s="19"/>
      <c r="IHU21" s="19"/>
      <c r="IHV21" s="19"/>
      <c r="IHW21" s="19"/>
      <c r="IHX21" s="19"/>
      <c r="IHY21" s="19"/>
      <c r="IHZ21" s="19"/>
      <c r="IIA21" s="19"/>
      <c r="IIB21" s="19"/>
      <c r="IIC21" s="19"/>
      <c r="IID21" s="19"/>
      <c r="IIE21" s="19"/>
      <c r="IIF21" s="19"/>
      <c r="IIG21" s="19"/>
      <c r="IIH21" s="19"/>
      <c r="III21" s="19"/>
      <c r="IIJ21" s="19"/>
      <c r="IIK21" s="19"/>
      <c r="IIL21" s="19"/>
      <c r="IIM21" s="19"/>
      <c r="IIN21" s="19"/>
      <c r="IIO21" s="19"/>
      <c r="IIP21" s="19"/>
      <c r="IIQ21" s="19"/>
      <c r="IIR21" s="19"/>
      <c r="IIS21" s="19"/>
      <c r="IIT21" s="19"/>
      <c r="IIU21" s="19"/>
      <c r="IIV21" s="19"/>
      <c r="IIW21" s="19"/>
      <c r="IIX21" s="19"/>
      <c r="IIY21" s="19"/>
      <c r="IIZ21" s="19"/>
      <c r="IJA21" s="19"/>
      <c r="IJB21" s="19"/>
      <c r="IJC21" s="19"/>
      <c r="IJD21" s="19"/>
      <c r="IJE21" s="19"/>
      <c r="IJF21" s="19"/>
      <c r="IJG21" s="19"/>
      <c r="IJH21" s="19"/>
      <c r="IJI21" s="19"/>
      <c r="IJJ21" s="19"/>
      <c r="IJK21" s="19"/>
      <c r="IJL21" s="19"/>
      <c r="IJM21" s="19"/>
      <c r="IJN21" s="19"/>
      <c r="IJO21" s="19"/>
      <c r="IJP21" s="19"/>
      <c r="IJQ21" s="19"/>
      <c r="IJR21" s="19"/>
      <c r="IJS21" s="19"/>
      <c r="IJT21" s="19"/>
      <c r="IJU21" s="19"/>
      <c r="IJV21" s="19"/>
      <c r="IJW21" s="19"/>
      <c r="IJX21" s="19"/>
      <c r="IJY21" s="19"/>
      <c r="IJZ21" s="19"/>
      <c r="IKA21" s="19"/>
      <c r="IKB21" s="19"/>
      <c r="IKC21" s="19"/>
      <c r="IKD21" s="19"/>
      <c r="IKE21" s="19"/>
      <c r="IKF21" s="19"/>
      <c r="IKG21" s="19"/>
      <c r="IKH21" s="19"/>
      <c r="IKI21" s="19"/>
      <c r="IKJ21" s="19"/>
      <c r="IKK21" s="19"/>
      <c r="IKL21" s="19"/>
      <c r="IKM21" s="19"/>
      <c r="IKN21" s="19"/>
      <c r="IKO21" s="19"/>
      <c r="IKP21" s="19"/>
      <c r="IKQ21" s="19"/>
      <c r="IKR21" s="19"/>
      <c r="IKS21" s="19"/>
      <c r="IKT21" s="19"/>
      <c r="IKU21" s="19"/>
      <c r="IKV21" s="19"/>
      <c r="IKW21" s="19"/>
      <c r="IKX21" s="19"/>
      <c r="IKY21" s="19"/>
      <c r="IKZ21" s="19"/>
      <c r="ILA21" s="19"/>
      <c r="ILB21" s="19"/>
      <c r="ILC21" s="19"/>
      <c r="ILD21" s="19"/>
      <c r="ILE21" s="19"/>
      <c r="ILF21" s="19"/>
      <c r="ILG21" s="19"/>
      <c r="ILH21" s="19"/>
      <c r="ILI21" s="19"/>
      <c r="ILJ21" s="19"/>
      <c r="ILK21" s="19"/>
      <c r="ILL21" s="19"/>
      <c r="ILM21" s="19"/>
      <c r="ILN21" s="19"/>
      <c r="ILO21" s="19"/>
      <c r="ILP21" s="19"/>
      <c r="ILQ21" s="19"/>
      <c r="ILR21" s="19"/>
      <c r="ILS21" s="19"/>
      <c r="ILT21" s="19"/>
      <c r="ILU21" s="19"/>
      <c r="ILV21" s="19"/>
      <c r="ILW21" s="19"/>
      <c r="ILX21" s="19"/>
      <c r="ILY21" s="19"/>
      <c r="ILZ21" s="19"/>
      <c r="IMA21" s="19"/>
      <c r="IMB21" s="19"/>
      <c r="IMC21" s="19"/>
      <c r="IMD21" s="19"/>
      <c r="IME21" s="19"/>
      <c r="IMF21" s="19"/>
      <c r="IMG21" s="19"/>
      <c r="IMH21" s="19"/>
      <c r="IMI21" s="19"/>
      <c r="IMJ21" s="19"/>
      <c r="IMK21" s="19"/>
      <c r="IML21" s="19"/>
      <c r="IMM21" s="19"/>
      <c r="IMN21" s="19"/>
      <c r="IMO21" s="19"/>
      <c r="IMP21" s="19"/>
      <c r="IMQ21" s="19"/>
      <c r="IMR21" s="19"/>
      <c r="IMS21" s="19"/>
      <c r="IMT21" s="19"/>
      <c r="IMU21" s="19"/>
      <c r="IMV21" s="19"/>
      <c r="IMW21" s="19"/>
      <c r="IMX21" s="19"/>
      <c r="IMY21" s="19"/>
      <c r="IMZ21" s="19"/>
      <c r="INA21" s="19"/>
      <c r="INB21" s="19"/>
      <c r="INC21" s="19"/>
      <c r="IND21" s="19"/>
      <c r="INE21" s="19"/>
      <c r="INF21" s="19"/>
      <c r="ING21" s="19"/>
      <c r="INH21" s="19"/>
      <c r="INI21" s="19"/>
      <c r="INJ21" s="19"/>
      <c r="INK21" s="19"/>
      <c r="INL21" s="19"/>
      <c r="INM21" s="19"/>
      <c r="INN21" s="19"/>
      <c r="INO21" s="19"/>
      <c r="INP21" s="19"/>
      <c r="INQ21" s="19"/>
      <c r="INR21" s="19"/>
      <c r="INS21" s="19"/>
      <c r="INT21" s="19"/>
      <c r="INU21" s="19"/>
      <c r="INV21" s="19"/>
      <c r="INW21" s="19"/>
      <c r="INX21" s="19"/>
      <c r="INY21" s="19"/>
      <c r="INZ21" s="19"/>
      <c r="IOA21" s="19"/>
      <c r="IOB21" s="19"/>
      <c r="IOC21" s="19"/>
      <c r="IOD21" s="19"/>
      <c r="IOE21" s="19"/>
      <c r="IOF21" s="19"/>
      <c r="IOG21" s="19"/>
      <c r="IOH21" s="19"/>
      <c r="IOI21" s="19"/>
      <c r="IOJ21" s="19"/>
      <c r="IOK21" s="19"/>
      <c r="IOL21" s="19"/>
      <c r="IOM21" s="19"/>
      <c r="ION21" s="19"/>
      <c r="IOO21" s="19"/>
      <c r="IOP21" s="19"/>
      <c r="IOQ21" s="19"/>
      <c r="IOR21" s="19"/>
      <c r="IOS21" s="19"/>
      <c r="IOT21" s="19"/>
      <c r="IOU21" s="19"/>
      <c r="IOV21" s="19"/>
      <c r="IOW21" s="19"/>
      <c r="IOX21" s="19"/>
      <c r="IOY21" s="19"/>
      <c r="IOZ21" s="19"/>
      <c r="IPA21" s="19"/>
      <c r="IPB21" s="19"/>
      <c r="IPC21" s="19"/>
      <c r="IPD21" s="19"/>
      <c r="IPE21" s="19"/>
      <c r="IPF21" s="19"/>
      <c r="IPG21" s="19"/>
      <c r="IPH21" s="19"/>
      <c r="IPI21" s="19"/>
      <c r="IPJ21" s="19"/>
      <c r="IPK21" s="19"/>
      <c r="IPL21" s="19"/>
      <c r="IPM21" s="19"/>
      <c r="IPN21" s="19"/>
      <c r="IPO21" s="19"/>
      <c r="IPP21" s="19"/>
      <c r="IPQ21" s="19"/>
      <c r="IPR21" s="19"/>
      <c r="IPS21" s="19"/>
      <c r="IPT21" s="19"/>
      <c r="IPU21" s="19"/>
      <c r="IPV21" s="19"/>
      <c r="IPW21" s="19"/>
      <c r="IPX21" s="19"/>
      <c r="IPY21" s="19"/>
      <c r="IPZ21" s="19"/>
      <c r="IQA21" s="19"/>
      <c r="IQB21" s="19"/>
      <c r="IQC21" s="19"/>
      <c r="IQD21" s="19"/>
      <c r="IQE21" s="19"/>
      <c r="IQF21" s="19"/>
      <c r="IQG21" s="19"/>
      <c r="IQH21" s="19"/>
      <c r="IQI21" s="19"/>
      <c r="IQJ21" s="19"/>
      <c r="IQK21" s="19"/>
      <c r="IQL21" s="19"/>
      <c r="IQM21" s="19"/>
      <c r="IQN21" s="19"/>
      <c r="IQO21" s="19"/>
      <c r="IQP21" s="19"/>
      <c r="IQQ21" s="19"/>
      <c r="IQR21" s="19"/>
      <c r="IQS21" s="19"/>
      <c r="IQT21" s="19"/>
      <c r="IQU21" s="19"/>
      <c r="IQV21" s="19"/>
      <c r="IQW21" s="19"/>
      <c r="IQX21" s="19"/>
      <c r="IQY21" s="19"/>
      <c r="IQZ21" s="19"/>
      <c r="IRA21" s="19"/>
      <c r="IRB21" s="19"/>
      <c r="IRC21" s="19"/>
      <c r="IRD21" s="19"/>
      <c r="IRE21" s="19"/>
      <c r="IRF21" s="19"/>
      <c r="IRG21" s="19"/>
      <c r="IRH21" s="19"/>
      <c r="IRI21" s="19"/>
      <c r="IRJ21" s="19"/>
      <c r="IRK21" s="19"/>
      <c r="IRL21" s="19"/>
      <c r="IRM21" s="19"/>
      <c r="IRN21" s="19"/>
      <c r="IRO21" s="19"/>
      <c r="IRP21" s="19"/>
      <c r="IRQ21" s="19"/>
      <c r="IRR21" s="19"/>
      <c r="IRS21" s="19"/>
      <c r="IRT21" s="19"/>
      <c r="IRU21" s="19"/>
      <c r="IRV21" s="19"/>
      <c r="IRW21" s="19"/>
      <c r="IRX21" s="19"/>
      <c r="IRY21" s="19"/>
      <c r="IRZ21" s="19"/>
      <c r="ISA21" s="19"/>
      <c r="ISB21" s="19"/>
      <c r="ISC21" s="19"/>
      <c r="ISD21" s="19"/>
      <c r="ISE21" s="19"/>
      <c r="ISF21" s="19"/>
      <c r="ISG21" s="19"/>
      <c r="ISH21" s="19"/>
      <c r="ISI21" s="19"/>
      <c r="ISJ21" s="19"/>
      <c r="ISK21" s="19"/>
      <c r="ISL21" s="19"/>
      <c r="ISM21" s="19"/>
      <c r="ISN21" s="19"/>
      <c r="ISO21" s="19"/>
      <c r="ISP21" s="19"/>
      <c r="ISQ21" s="19"/>
      <c r="ISR21" s="19"/>
      <c r="ISS21" s="19"/>
      <c r="IST21" s="19"/>
      <c r="ISU21" s="19"/>
      <c r="ISV21" s="19"/>
      <c r="ISW21" s="19"/>
      <c r="ISX21" s="19"/>
      <c r="ISY21" s="19"/>
      <c r="ISZ21" s="19"/>
      <c r="ITA21" s="19"/>
      <c r="ITB21" s="19"/>
      <c r="ITC21" s="19"/>
      <c r="ITD21" s="19"/>
      <c r="ITE21" s="19"/>
      <c r="ITF21" s="19"/>
      <c r="ITG21" s="19"/>
      <c r="ITH21" s="19"/>
      <c r="ITI21" s="19"/>
      <c r="ITJ21" s="19"/>
      <c r="ITK21" s="19"/>
      <c r="ITL21" s="19"/>
      <c r="ITM21" s="19"/>
      <c r="ITN21" s="19"/>
      <c r="ITO21" s="19"/>
      <c r="ITP21" s="19"/>
      <c r="ITQ21" s="19"/>
      <c r="ITR21" s="19"/>
      <c r="ITS21" s="19"/>
      <c r="ITT21" s="19"/>
      <c r="ITU21" s="19"/>
      <c r="ITV21" s="19"/>
      <c r="ITW21" s="19"/>
      <c r="ITX21" s="19"/>
      <c r="ITY21" s="19"/>
      <c r="ITZ21" s="19"/>
      <c r="IUA21" s="19"/>
      <c r="IUB21" s="19"/>
      <c r="IUC21" s="19"/>
      <c r="IUD21" s="19"/>
      <c r="IUE21" s="19"/>
      <c r="IUF21" s="19"/>
      <c r="IUG21" s="19"/>
      <c r="IUH21" s="19"/>
      <c r="IUI21" s="19"/>
      <c r="IUJ21" s="19"/>
      <c r="IUK21" s="19"/>
      <c r="IUL21" s="19"/>
      <c r="IUM21" s="19"/>
      <c r="IUN21" s="19"/>
      <c r="IUO21" s="19"/>
      <c r="IUP21" s="19"/>
      <c r="IUQ21" s="19"/>
      <c r="IUR21" s="19"/>
      <c r="IUS21" s="19"/>
      <c r="IUT21" s="19"/>
      <c r="IUU21" s="19"/>
      <c r="IUV21" s="19"/>
      <c r="IUW21" s="19"/>
      <c r="IUX21" s="19"/>
      <c r="IUY21" s="19"/>
      <c r="IUZ21" s="19"/>
      <c r="IVA21" s="19"/>
      <c r="IVB21" s="19"/>
      <c r="IVC21" s="19"/>
      <c r="IVD21" s="19"/>
      <c r="IVE21" s="19"/>
      <c r="IVF21" s="19"/>
      <c r="IVG21" s="19"/>
      <c r="IVH21" s="19"/>
      <c r="IVI21" s="19"/>
      <c r="IVJ21" s="19"/>
      <c r="IVK21" s="19"/>
      <c r="IVL21" s="19"/>
      <c r="IVM21" s="19"/>
      <c r="IVN21" s="19"/>
      <c r="IVO21" s="19"/>
      <c r="IVP21" s="19"/>
      <c r="IVQ21" s="19"/>
      <c r="IVR21" s="19"/>
      <c r="IVS21" s="19"/>
      <c r="IVT21" s="19"/>
      <c r="IVU21" s="19"/>
      <c r="IVV21" s="19"/>
      <c r="IVW21" s="19"/>
      <c r="IVX21" s="19"/>
      <c r="IVY21" s="19"/>
      <c r="IVZ21" s="19"/>
      <c r="IWA21" s="19"/>
      <c r="IWB21" s="19"/>
      <c r="IWC21" s="19"/>
      <c r="IWD21" s="19"/>
      <c r="IWE21" s="19"/>
      <c r="IWF21" s="19"/>
      <c r="IWG21" s="19"/>
      <c r="IWH21" s="19"/>
      <c r="IWI21" s="19"/>
      <c r="IWJ21" s="19"/>
      <c r="IWK21" s="19"/>
      <c r="IWL21" s="19"/>
      <c r="IWM21" s="19"/>
      <c r="IWN21" s="19"/>
      <c r="IWO21" s="19"/>
      <c r="IWP21" s="19"/>
      <c r="IWQ21" s="19"/>
      <c r="IWR21" s="19"/>
      <c r="IWS21" s="19"/>
      <c r="IWT21" s="19"/>
      <c r="IWU21" s="19"/>
      <c r="IWV21" s="19"/>
      <c r="IWW21" s="19"/>
      <c r="IWX21" s="19"/>
      <c r="IWY21" s="19"/>
      <c r="IWZ21" s="19"/>
      <c r="IXA21" s="19"/>
      <c r="IXB21" s="19"/>
      <c r="IXC21" s="19"/>
      <c r="IXD21" s="19"/>
      <c r="IXE21" s="19"/>
      <c r="IXF21" s="19"/>
      <c r="IXG21" s="19"/>
      <c r="IXH21" s="19"/>
      <c r="IXI21" s="19"/>
      <c r="IXJ21" s="19"/>
      <c r="IXK21" s="19"/>
      <c r="IXL21" s="19"/>
      <c r="IXM21" s="19"/>
      <c r="IXN21" s="19"/>
      <c r="IXO21" s="19"/>
      <c r="IXP21" s="19"/>
      <c r="IXQ21" s="19"/>
      <c r="IXR21" s="19"/>
      <c r="IXS21" s="19"/>
      <c r="IXT21" s="19"/>
      <c r="IXU21" s="19"/>
      <c r="IXV21" s="19"/>
      <c r="IXW21" s="19"/>
      <c r="IXX21" s="19"/>
      <c r="IXY21" s="19"/>
      <c r="IXZ21" s="19"/>
      <c r="IYA21" s="19"/>
      <c r="IYB21" s="19"/>
      <c r="IYC21" s="19"/>
      <c r="IYD21" s="19"/>
      <c r="IYE21" s="19"/>
      <c r="IYF21" s="19"/>
      <c r="IYG21" s="19"/>
      <c r="IYH21" s="19"/>
      <c r="IYI21" s="19"/>
      <c r="IYJ21" s="19"/>
      <c r="IYK21" s="19"/>
      <c r="IYL21" s="19"/>
      <c r="IYM21" s="19"/>
      <c r="IYN21" s="19"/>
      <c r="IYO21" s="19"/>
      <c r="IYP21" s="19"/>
      <c r="IYQ21" s="19"/>
      <c r="IYR21" s="19"/>
      <c r="IYS21" s="19"/>
      <c r="IYT21" s="19"/>
      <c r="IYU21" s="19"/>
      <c r="IYV21" s="19"/>
      <c r="IYW21" s="19"/>
      <c r="IYX21" s="19"/>
      <c r="IYY21" s="19"/>
      <c r="IYZ21" s="19"/>
      <c r="IZA21" s="19"/>
      <c r="IZB21" s="19"/>
      <c r="IZC21" s="19"/>
      <c r="IZD21" s="19"/>
      <c r="IZE21" s="19"/>
      <c r="IZF21" s="19"/>
      <c r="IZG21" s="19"/>
      <c r="IZH21" s="19"/>
      <c r="IZI21" s="19"/>
      <c r="IZJ21" s="19"/>
      <c r="IZK21" s="19"/>
      <c r="IZL21" s="19"/>
      <c r="IZM21" s="19"/>
      <c r="IZN21" s="19"/>
      <c r="IZO21" s="19"/>
      <c r="IZP21" s="19"/>
      <c r="IZQ21" s="19"/>
      <c r="IZR21" s="19"/>
      <c r="IZS21" s="19"/>
      <c r="IZT21" s="19"/>
      <c r="IZU21" s="19"/>
      <c r="IZV21" s="19"/>
      <c r="IZW21" s="19"/>
      <c r="IZX21" s="19"/>
      <c r="IZY21" s="19"/>
      <c r="IZZ21" s="19"/>
      <c r="JAA21" s="19"/>
      <c r="JAB21" s="19"/>
      <c r="JAC21" s="19"/>
      <c r="JAD21" s="19"/>
      <c r="JAE21" s="19"/>
      <c r="JAF21" s="19"/>
      <c r="JAG21" s="19"/>
      <c r="JAH21" s="19"/>
      <c r="JAI21" s="19"/>
      <c r="JAJ21" s="19"/>
      <c r="JAK21" s="19"/>
      <c r="JAL21" s="19"/>
      <c r="JAM21" s="19"/>
      <c r="JAN21" s="19"/>
      <c r="JAO21" s="19"/>
      <c r="JAP21" s="19"/>
      <c r="JAQ21" s="19"/>
      <c r="JAR21" s="19"/>
      <c r="JAS21" s="19"/>
      <c r="JAT21" s="19"/>
      <c r="JAU21" s="19"/>
      <c r="JAV21" s="19"/>
      <c r="JAW21" s="19"/>
      <c r="JAX21" s="19"/>
      <c r="JAY21" s="19"/>
      <c r="JAZ21" s="19"/>
      <c r="JBA21" s="19"/>
      <c r="JBB21" s="19"/>
      <c r="JBC21" s="19"/>
      <c r="JBD21" s="19"/>
      <c r="JBE21" s="19"/>
      <c r="JBF21" s="19"/>
      <c r="JBG21" s="19"/>
      <c r="JBH21" s="19"/>
      <c r="JBI21" s="19"/>
      <c r="JBJ21" s="19"/>
      <c r="JBK21" s="19"/>
      <c r="JBL21" s="19"/>
      <c r="JBM21" s="19"/>
      <c r="JBN21" s="19"/>
      <c r="JBO21" s="19"/>
      <c r="JBP21" s="19"/>
      <c r="JBQ21" s="19"/>
      <c r="JBR21" s="19"/>
      <c r="JBS21" s="19"/>
      <c r="JBT21" s="19"/>
      <c r="JBU21" s="19"/>
      <c r="JBV21" s="19"/>
      <c r="JBW21" s="19"/>
      <c r="JBX21" s="19"/>
      <c r="JBY21" s="19"/>
      <c r="JBZ21" s="19"/>
      <c r="JCA21" s="19"/>
      <c r="JCB21" s="19"/>
      <c r="JCC21" s="19"/>
      <c r="JCD21" s="19"/>
      <c r="JCE21" s="19"/>
      <c r="JCF21" s="19"/>
      <c r="JCG21" s="19"/>
      <c r="JCH21" s="19"/>
      <c r="JCI21" s="19"/>
      <c r="JCJ21" s="19"/>
      <c r="JCK21" s="19"/>
      <c r="JCL21" s="19"/>
      <c r="JCM21" s="19"/>
      <c r="JCN21" s="19"/>
      <c r="JCO21" s="19"/>
      <c r="JCP21" s="19"/>
      <c r="JCQ21" s="19"/>
      <c r="JCR21" s="19"/>
      <c r="JCS21" s="19"/>
      <c r="JCT21" s="19"/>
      <c r="JCU21" s="19"/>
      <c r="JCV21" s="19"/>
      <c r="JCW21" s="19"/>
      <c r="JCX21" s="19"/>
      <c r="JCY21" s="19"/>
      <c r="JCZ21" s="19"/>
      <c r="JDA21" s="19"/>
      <c r="JDB21" s="19"/>
      <c r="JDC21" s="19"/>
      <c r="JDD21" s="19"/>
      <c r="JDE21" s="19"/>
      <c r="JDF21" s="19"/>
      <c r="JDG21" s="19"/>
      <c r="JDH21" s="19"/>
      <c r="JDI21" s="19"/>
      <c r="JDJ21" s="19"/>
      <c r="JDK21" s="19"/>
      <c r="JDL21" s="19"/>
      <c r="JDM21" s="19"/>
      <c r="JDN21" s="19"/>
      <c r="JDO21" s="19"/>
      <c r="JDP21" s="19"/>
      <c r="JDQ21" s="19"/>
      <c r="JDR21" s="19"/>
      <c r="JDS21" s="19"/>
      <c r="JDT21" s="19"/>
      <c r="JDU21" s="19"/>
      <c r="JDV21" s="19"/>
      <c r="JDW21" s="19"/>
      <c r="JDX21" s="19"/>
      <c r="JDY21" s="19"/>
      <c r="JDZ21" s="19"/>
      <c r="JEA21" s="19"/>
      <c r="JEB21" s="19"/>
      <c r="JEC21" s="19"/>
      <c r="JED21" s="19"/>
      <c r="JEE21" s="19"/>
      <c r="JEF21" s="19"/>
      <c r="JEG21" s="19"/>
      <c r="JEH21" s="19"/>
      <c r="JEI21" s="19"/>
      <c r="JEJ21" s="19"/>
      <c r="JEK21" s="19"/>
      <c r="JEL21" s="19"/>
      <c r="JEM21" s="19"/>
      <c r="JEN21" s="19"/>
      <c r="JEO21" s="19"/>
      <c r="JEP21" s="19"/>
      <c r="JEQ21" s="19"/>
      <c r="JER21" s="19"/>
      <c r="JES21" s="19"/>
      <c r="JET21" s="19"/>
      <c r="JEU21" s="19"/>
      <c r="JEV21" s="19"/>
      <c r="JEW21" s="19"/>
      <c r="JEX21" s="19"/>
      <c r="JEY21" s="19"/>
      <c r="JEZ21" s="19"/>
      <c r="JFA21" s="19"/>
      <c r="JFB21" s="19"/>
      <c r="JFC21" s="19"/>
      <c r="JFD21" s="19"/>
      <c r="JFE21" s="19"/>
      <c r="JFF21" s="19"/>
      <c r="JFG21" s="19"/>
      <c r="JFH21" s="19"/>
      <c r="JFI21" s="19"/>
      <c r="JFJ21" s="19"/>
      <c r="JFK21" s="19"/>
      <c r="JFL21" s="19"/>
      <c r="JFM21" s="19"/>
      <c r="JFN21" s="19"/>
      <c r="JFO21" s="19"/>
      <c r="JFP21" s="19"/>
      <c r="JFQ21" s="19"/>
      <c r="JFR21" s="19"/>
      <c r="JFS21" s="19"/>
      <c r="JFT21" s="19"/>
      <c r="JFU21" s="19"/>
      <c r="JFV21" s="19"/>
      <c r="JFW21" s="19"/>
      <c r="JFX21" s="19"/>
      <c r="JFY21" s="19"/>
      <c r="JFZ21" s="19"/>
      <c r="JGA21" s="19"/>
      <c r="JGB21" s="19"/>
      <c r="JGC21" s="19"/>
      <c r="JGD21" s="19"/>
      <c r="JGE21" s="19"/>
      <c r="JGF21" s="19"/>
      <c r="JGG21" s="19"/>
      <c r="JGH21" s="19"/>
      <c r="JGI21" s="19"/>
      <c r="JGJ21" s="19"/>
      <c r="JGK21" s="19"/>
      <c r="JGL21" s="19"/>
      <c r="JGM21" s="19"/>
      <c r="JGN21" s="19"/>
      <c r="JGO21" s="19"/>
      <c r="JGP21" s="19"/>
      <c r="JGQ21" s="19"/>
      <c r="JGR21" s="19"/>
      <c r="JGS21" s="19"/>
      <c r="JGT21" s="19"/>
      <c r="JGU21" s="19"/>
      <c r="JGV21" s="19"/>
      <c r="JGW21" s="19"/>
      <c r="JGX21" s="19"/>
      <c r="JGY21" s="19"/>
      <c r="JGZ21" s="19"/>
      <c r="JHA21" s="19"/>
      <c r="JHB21" s="19"/>
      <c r="JHC21" s="19"/>
      <c r="JHD21" s="19"/>
      <c r="JHE21" s="19"/>
      <c r="JHF21" s="19"/>
      <c r="JHG21" s="19"/>
      <c r="JHH21" s="19"/>
      <c r="JHI21" s="19"/>
      <c r="JHJ21" s="19"/>
      <c r="JHK21" s="19"/>
      <c r="JHL21" s="19"/>
      <c r="JHM21" s="19"/>
      <c r="JHN21" s="19"/>
      <c r="JHO21" s="19"/>
      <c r="JHP21" s="19"/>
      <c r="JHQ21" s="19"/>
      <c r="JHR21" s="19"/>
      <c r="JHS21" s="19"/>
      <c r="JHT21" s="19"/>
      <c r="JHU21" s="19"/>
      <c r="JHV21" s="19"/>
      <c r="JHW21" s="19"/>
      <c r="JHX21" s="19"/>
      <c r="JHY21" s="19"/>
      <c r="JHZ21" s="19"/>
      <c r="JIA21" s="19"/>
      <c r="JIB21" s="19"/>
      <c r="JIC21" s="19"/>
      <c r="JID21" s="19"/>
      <c r="JIE21" s="19"/>
      <c r="JIF21" s="19"/>
      <c r="JIG21" s="19"/>
      <c r="JIH21" s="19"/>
      <c r="JII21" s="19"/>
      <c r="JIJ21" s="19"/>
      <c r="JIK21" s="19"/>
      <c r="JIL21" s="19"/>
      <c r="JIM21" s="19"/>
      <c r="JIN21" s="19"/>
      <c r="JIO21" s="19"/>
      <c r="JIP21" s="19"/>
      <c r="JIQ21" s="19"/>
      <c r="JIR21" s="19"/>
      <c r="JIS21" s="19"/>
      <c r="JIT21" s="19"/>
      <c r="JIU21" s="19"/>
      <c r="JIV21" s="19"/>
      <c r="JIW21" s="19"/>
      <c r="JIX21" s="19"/>
      <c r="JIY21" s="19"/>
      <c r="JIZ21" s="19"/>
      <c r="JJA21" s="19"/>
      <c r="JJB21" s="19"/>
      <c r="JJC21" s="19"/>
      <c r="JJD21" s="19"/>
      <c r="JJE21" s="19"/>
      <c r="JJF21" s="19"/>
      <c r="JJG21" s="19"/>
      <c r="JJH21" s="19"/>
      <c r="JJI21" s="19"/>
      <c r="JJJ21" s="19"/>
      <c r="JJK21" s="19"/>
      <c r="JJL21" s="19"/>
      <c r="JJM21" s="19"/>
      <c r="JJN21" s="19"/>
      <c r="JJO21" s="19"/>
      <c r="JJP21" s="19"/>
      <c r="JJQ21" s="19"/>
      <c r="JJR21" s="19"/>
      <c r="JJS21" s="19"/>
      <c r="JJT21" s="19"/>
      <c r="JJU21" s="19"/>
      <c r="JJV21" s="19"/>
      <c r="JJW21" s="19"/>
      <c r="JJX21" s="19"/>
      <c r="JJY21" s="19"/>
      <c r="JJZ21" s="19"/>
      <c r="JKA21" s="19"/>
      <c r="JKB21" s="19"/>
      <c r="JKC21" s="19"/>
      <c r="JKD21" s="19"/>
      <c r="JKE21" s="19"/>
      <c r="JKF21" s="19"/>
      <c r="JKG21" s="19"/>
      <c r="JKH21" s="19"/>
      <c r="JKI21" s="19"/>
      <c r="JKJ21" s="19"/>
      <c r="JKK21" s="19"/>
      <c r="JKL21" s="19"/>
      <c r="JKM21" s="19"/>
      <c r="JKN21" s="19"/>
      <c r="JKO21" s="19"/>
      <c r="JKP21" s="19"/>
      <c r="JKQ21" s="19"/>
      <c r="JKR21" s="19"/>
      <c r="JKS21" s="19"/>
      <c r="JKT21" s="19"/>
      <c r="JKU21" s="19"/>
      <c r="JKV21" s="19"/>
      <c r="JKW21" s="19"/>
      <c r="JKX21" s="19"/>
      <c r="JKY21" s="19"/>
      <c r="JKZ21" s="19"/>
      <c r="JLA21" s="19"/>
      <c r="JLB21" s="19"/>
      <c r="JLC21" s="19"/>
      <c r="JLD21" s="19"/>
      <c r="JLE21" s="19"/>
      <c r="JLF21" s="19"/>
      <c r="JLG21" s="19"/>
      <c r="JLH21" s="19"/>
      <c r="JLI21" s="19"/>
      <c r="JLJ21" s="19"/>
      <c r="JLK21" s="19"/>
      <c r="JLL21" s="19"/>
      <c r="JLM21" s="19"/>
      <c r="JLN21" s="19"/>
      <c r="JLO21" s="19"/>
      <c r="JLP21" s="19"/>
      <c r="JLQ21" s="19"/>
      <c r="JLR21" s="19"/>
      <c r="JLS21" s="19"/>
      <c r="JLT21" s="19"/>
      <c r="JLU21" s="19"/>
      <c r="JLV21" s="19"/>
      <c r="JLW21" s="19"/>
      <c r="JLX21" s="19"/>
      <c r="JLY21" s="19"/>
      <c r="JLZ21" s="19"/>
      <c r="JMA21" s="19"/>
      <c r="JMB21" s="19"/>
      <c r="JMC21" s="19"/>
      <c r="JMD21" s="19"/>
      <c r="JME21" s="19"/>
      <c r="JMF21" s="19"/>
      <c r="JMG21" s="19"/>
      <c r="JMH21" s="19"/>
      <c r="JMI21" s="19"/>
      <c r="JMJ21" s="19"/>
      <c r="JMK21" s="19"/>
      <c r="JML21" s="19"/>
      <c r="JMM21" s="19"/>
      <c r="JMN21" s="19"/>
      <c r="JMO21" s="19"/>
      <c r="JMP21" s="19"/>
      <c r="JMQ21" s="19"/>
      <c r="JMR21" s="19"/>
      <c r="JMS21" s="19"/>
      <c r="JMT21" s="19"/>
      <c r="JMU21" s="19"/>
      <c r="JMV21" s="19"/>
      <c r="JMW21" s="19"/>
      <c r="JMX21" s="19"/>
      <c r="JMY21" s="19"/>
      <c r="JMZ21" s="19"/>
      <c r="JNA21" s="19"/>
      <c r="JNB21" s="19"/>
      <c r="JNC21" s="19"/>
      <c r="JND21" s="19"/>
      <c r="JNE21" s="19"/>
      <c r="JNF21" s="19"/>
      <c r="JNG21" s="19"/>
      <c r="JNH21" s="19"/>
      <c r="JNI21" s="19"/>
      <c r="JNJ21" s="19"/>
      <c r="JNK21" s="19"/>
      <c r="JNL21" s="19"/>
      <c r="JNM21" s="19"/>
      <c r="JNN21" s="19"/>
      <c r="JNO21" s="19"/>
      <c r="JNP21" s="19"/>
      <c r="JNQ21" s="19"/>
      <c r="JNR21" s="19"/>
      <c r="JNS21" s="19"/>
      <c r="JNT21" s="19"/>
      <c r="JNU21" s="19"/>
      <c r="JNV21" s="19"/>
      <c r="JNW21" s="19"/>
      <c r="JNX21" s="19"/>
      <c r="JNY21" s="19"/>
      <c r="JNZ21" s="19"/>
      <c r="JOA21" s="19"/>
      <c r="JOB21" s="19"/>
      <c r="JOC21" s="19"/>
      <c r="JOD21" s="19"/>
      <c r="JOE21" s="19"/>
      <c r="JOF21" s="19"/>
      <c r="JOG21" s="19"/>
      <c r="JOH21" s="19"/>
      <c r="JOI21" s="19"/>
      <c r="JOJ21" s="19"/>
      <c r="JOK21" s="19"/>
      <c r="JOL21" s="19"/>
      <c r="JOM21" s="19"/>
      <c r="JON21" s="19"/>
      <c r="JOO21" s="19"/>
      <c r="JOP21" s="19"/>
      <c r="JOQ21" s="19"/>
      <c r="JOR21" s="19"/>
      <c r="JOS21" s="19"/>
      <c r="JOT21" s="19"/>
      <c r="JOU21" s="19"/>
      <c r="JOV21" s="19"/>
      <c r="JOW21" s="19"/>
      <c r="JOX21" s="19"/>
      <c r="JOY21" s="19"/>
      <c r="JOZ21" s="19"/>
      <c r="JPA21" s="19"/>
      <c r="JPB21" s="19"/>
      <c r="JPC21" s="19"/>
      <c r="JPD21" s="19"/>
      <c r="JPE21" s="19"/>
      <c r="JPF21" s="19"/>
      <c r="JPG21" s="19"/>
      <c r="JPH21" s="19"/>
      <c r="JPI21" s="19"/>
      <c r="JPJ21" s="19"/>
      <c r="JPK21" s="19"/>
      <c r="JPL21" s="19"/>
      <c r="JPM21" s="19"/>
      <c r="JPN21" s="19"/>
      <c r="JPO21" s="19"/>
      <c r="JPP21" s="19"/>
      <c r="JPQ21" s="19"/>
      <c r="JPR21" s="19"/>
      <c r="JPS21" s="19"/>
      <c r="JPT21" s="19"/>
      <c r="JPU21" s="19"/>
      <c r="JPV21" s="19"/>
      <c r="JPW21" s="19"/>
      <c r="JPX21" s="19"/>
      <c r="JPY21" s="19"/>
      <c r="JPZ21" s="19"/>
      <c r="JQA21" s="19"/>
      <c r="JQB21" s="19"/>
      <c r="JQC21" s="19"/>
      <c r="JQD21" s="19"/>
      <c r="JQE21" s="19"/>
      <c r="JQF21" s="19"/>
      <c r="JQG21" s="19"/>
      <c r="JQH21" s="19"/>
      <c r="JQI21" s="19"/>
      <c r="JQJ21" s="19"/>
      <c r="JQK21" s="19"/>
      <c r="JQL21" s="19"/>
      <c r="JQM21" s="19"/>
      <c r="JQN21" s="19"/>
      <c r="JQO21" s="19"/>
      <c r="JQP21" s="19"/>
      <c r="JQQ21" s="19"/>
      <c r="JQR21" s="19"/>
      <c r="JQS21" s="19"/>
      <c r="JQT21" s="19"/>
      <c r="JQU21" s="19"/>
      <c r="JQV21" s="19"/>
      <c r="JQW21" s="19"/>
      <c r="JQX21" s="19"/>
      <c r="JQY21" s="19"/>
      <c r="JQZ21" s="19"/>
      <c r="JRA21" s="19"/>
      <c r="JRB21" s="19"/>
      <c r="JRC21" s="19"/>
      <c r="JRD21" s="19"/>
      <c r="JRE21" s="19"/>
      <c r="JRF21" s="19"/>
      <c r="JRG21" s="19"/>
      <c r="JRH21" s="19"/>
      <c r="JRI21" s="19"/>
      <c r="JRJ21" s="19"/>
      <c r="JRK21" s="19"/>
      <c r="JRL21" s="19"/>
      <c r="JRM21" s="19"/>
      <c r="JRN21" s="19"/>
      <c r="JRO21" s="19"/>
      <c r="JRP21" s="19"/>
      <c r="JRQ21" s="19"/>
      <c r="JRR21" s="19"/>
      <c r="JRS21" s="19"/>
      <c r="JRT21" s="19"/>
      <c r="JRU21" s="19"/>
      <c r="JRV21" s="19"/>
      <c r="JRW21" s="19"/>
      <c r="JRX21" s="19"/>
      <c r="JRY21" s="19"/>
      <c r="JRZ21" s="19"/>
      <c r="JSA21" s="19"/>
      <c r="JSB21" s="19"/>
      <c r="JSC21" s="19"/>
      <c r="JSD21" s="19"/>
      <c r="JSE21" s="19"/>
      <c r="JSF21" s="19"/>
      <c r="JSG21" s="19"/>
      <c r="JSH21" s="19"/>
      <c r="JSI21" s="19"/>
      <c r="JSJ21" s="19"/>
      <c r="JSK21" s="19"/>
      <c r="JSL21" s="19"/>
      <c r="JSM21" s="19"/>
      <c r="JSN21" s="19"/>
      <c r="JSO21" s="19"/>
      <c r="JSP21" s="19"/>
      <c r="JSQ21" s="19"/>
      <c r="JSR21" s="19"/>
      <c r="JSS21" s="19"/>
      <c r="JST21" s="19"/>
      <c r="JSU21" s="19"/>
      <c r="JSV21" s="19"/>
      <c r="JSW21" s="19"/>
      <c r="JSX21" s="19"/>
      <c r="JSY21" s="19"/>
      <c r="JSZ21" s="19"/>
      <c r="JTA21" s="19"/>
      <c r="JTB21" s="19"/>
      <c r="JTC21" s="19"/>
      <c r="JTD21" s="19"/>
      <c r="JTE21" s="19"/>
      <c r="JTF21" s="19"/>
      <c r="JTG21" s="19"/>
      <c r="JTH21" s="19"/>
      <c r="JTI21" s="19"/>
      <c r="JTJ21" s="19"/>
      <c r="JTK21" s="19"/>
      <c r="JTL21" s="19"/>
      <c r="JTM21" s="19"/>
      <c r="JTN21" s="19"/>
      <c r="JTO21" s="19"/>
      <c r="JTP21" s="19"/>
      <c r="JTQ21" s="19"/>
      <c r="JTR21" s="19"/>
      <c r="JTS21" s="19"/>
      <c r="JTT21" s="19"/>
      <c r="JTU21" s="19"/>
      <c r="JTV21" s="19"/>
      <c r="JTW21" s="19"/>
      <c r="JTX21" s="19"/>
      <c r="JTY21" s="19"/>
      <c r="JTZ21" s="19"/>
      <c r="JUA21" s="19"/>
      <c r="JUB21" s="19"/>
      <c r="JUC21" s="19"/>
      <c r="JUD21" s="19"/>
      <c r="JUE21" s="19"/>
      <c r="JUF21" s="19"/>
      <c r="JUG21" s="19"/>
      <c r="JUH21" s="19"/>
      <c r="JUI21" s="19"/>
      <c r="JUJ21" s="19"/>
      <c r="JUK21" s="19"/>
      <c r="JUL21" s="19"/>
      <c r="JUM21" s="19"/>
      <c r="JUN21" s="19"/>
      <c r="JUO21" s="19"/>
      <c r="JUP21" s="19"/>
      <c r="JUQ21" s="19"/>
      <c r="JUR21" s="19"/>
      <c r="JUS21" s="19"/>
      <c r="JUT21" s="19"/>
      <c r="JUU21" s="19"/>
      <c r="JUV21" s="19"/>
      <c r="JUW21" s="19"/>
      <c r="JUX21" s="19"/>
      <c r="JUY21" s="19"/>
      <c r="JUZ21" s="19"/>
      <c r="JVA21" s="19"/>
      <c r="JVB21" s="19"/>
      <c r="JVC21" s="19"/>
      <c r="JVD21" s="19"/>
      <c r="JVE21" s="19"/>
      <c r="JVF21" s="19"/>
      <c r="JVG21" s="19"/>
      <c r="JVH21" s="19"/>
      <c r="JVI21" s="19"/>
      <c r="JVJ21" s="19"/>
      <c r="JVK21" s="19"/>
      <c r="JVL21" s="19"/>
      <c r="JVM21" s="19"/>
      <c r="JVN21" s="19"/>
      <c r="JVO21" s="19"/>
      <c r="JVP21" s="19"/>
      <c r="JVQ21" s="19"/>
      <c r="JVR21" s="19"/>
      <c r="JVS21" s="19"/>
      <c r="JVT21" s="19"/>
      <c r="JVU21" s="19"/>
      <c r="JVV21" s="19"/>
      <c r="JVW21" s="19"/>
      <c r="JVX21" s="19"/>
      <c r="JVY21" s="19"/>
      <c r="JVZ21" s="19"/>
      <c r="JWA21" s="19"/>
      <c r="JWB21" s="19"/>
      <c r="JWC21" s="19"/>
      <c r="JWD21" s="19"/>
      <c r="JWE21" s="19"/>
      <c r="JWF21" s="19"/>
      <c r="JWG21" s="19"/>
      <c r="JWH21" s="19"/>
      <c r="JWI21" s="19"/>
      <c r="JWJ21" s="19"/>
      <c r="JWK21" s="19"/>
      <c r="JWL21" s="19"/>
      <c r="JWM21" s="19"/>
      <c r="JWN21" s="19"/>
      <c r="JWO21" s="19"/>
      <c r="JWP21" s="19"/>
      <c r="JWQ21" s="19"/>
      <c r="JWR21" s="19"/>
      <c r="JWS21" s="19"/>
      <c r="JWT21" s="19"/>
      <c r="JWU21" s="19"/>
      <c r="JWV21" s="19"/>
      <c r="JWW21" s="19"/>
      <c r="JWX21" s="19"/>
      <c r="JWY21" s="19"/>
      <c r="JWZ21" s="19"/>
      <c r="JXA21" s="19"/>
      <c r="JXB21" s="19"/>
      <c r="JXC21" s="19"/>
      <c r="JXD21" s="19"/>
      <c r="JXE21" s="19"/>
      <c r="JXF21" s="19"/>
      <c r="JXG21" s="19"/>
      <c r="JXH21" s="19"/>
      <c r="JXI21" s="19"/>
      <c r="JXJ21" s="19"/>
      <c r="JXK21" s="19"/>
      <c r="JXL21" s="19"/>
      <c r="JXM21" s="19"/>
      <c r="JXN21" s="19"/>
      <c r="JXO21" s="19"/>
      <c r="JXP21" s="19"/>
      <c r="JXQ21" s="19"/>
      <c r="JXR21" s="19"/>
      <c r="JXS21" s="19"/>
      <c r="JXT21" s="19"/>
      <c r="JXU21" s="19"/>
      <c r="JXV21" s="19"/>
      <c r="JXW21" s="19"/>
      <c r="JXX21" s="19"/>
      <c r="JXY21" s="19"/>
      <c r="JXZ21" s="19"/>
      <c r="JYA21" s="19"/>
      <c r="JYB21" s="19"/>
      <c r="JYC21" s="19"/>
      <c r="JYD21" s="19"/>
      <c r="JYE21" s="19"/>
      <c r="JYF21" s="19"/>
      <c r="JYG21" s="19"/>
      <c r="JYH21" s="19"/>
      <c r="JYI21" s="19"/>
      <c r="JYJ21" s="19"/>
      <c r="JYK21" s="19"/>
      <c r="JYL21" s="19"/>
      <c r="JYM21" s="19"/>
      <c r="JYN21" s="19"/>
      <c r="JYO21" s="19"/>
      <c r="JYP21" s="19"/>
      <c r="JYQ21" s="19"/>
      <c r="JYR21" s="19"/>
      <c r="JYS21" s="19"/>
      <c r="JYT21" s="19"/>
      <c r="JYU21" s="19"/>
      <c r="JYV21" s="19"/>
      <c r="JYW21" s="19"/>
      <c r="JYX21" s="19"/>
      <c r="JYY21" s="19"/>
      <c r="JYZ21" s="19"/>
      <c r="JZA21" s="19"/>
      <c r="JZB21" s="19"/>
      <c r="JZC21" s="19"/>
      <c r="JZD21" s="19"/>
      <c r="JZE21" s="19"/>
      <c r="JZF21" s="19"/>
      <c r="JZG21" s="19"/>
      <c r="JZH21" s="19"/>
      <c r="JZI21" s="19"/>
      <c r="JZJ21" s="19"/>
      <c r="JZK21" s="19"/>
      <c r="JZL21" s="19"/>
      <c r="JZM21" s="19"/>
      <c r="JZN21" s="19"/>
      <c r="JZO21" s="19"/>
      <c r="JZP21" s="19"/>
      <c r="JZQ21" s="19"/>
      <c r="JZR21" s="19"/>
      <c r="JZS21" s="19"/>
      <c r="JZT21" s="19"/>
      <c r="JZU21" s="19"/>
      <c r="JZV21" s="19"/>
      <c r="JZW21" s="19"/>
      <c r="JZX21" s="19"/>
      <c r="JZY21" s="19"/>
      <c r="JZZ21" s="19"/>
      <c r="KAA21" s="19"/>
      <c r="KAB21" s="19"/>
      <c r="KAC21" s="19"/>
      <c r="KAD21" s="19"/>
      <c r="KAE21" s="19"/>
      <c r="KAF21" s="19"/>
      <c r="KAG21" s="19"/>
      <c r="KAH21" s="19"/>
      <c r="KAI21" s="19"/>
      <c r="KAJ21" s="19"/>
      <c r="KAK21" s="19"/>
      <c r="KAL21" s="19"/>
      <c r="KAM21" s="19"/>
      <c r="KAN21" s="19"/>
      <c r="KAO21" s="19"/>
      <c r="KAP21" s="19"/>
      <c r="KAQ21" s="19"/>
      <c r="KAR21" s="19"/>
      <c r="KAS21" s="19"/>
      <c r="KAT21" s="19"/>
      <c r="KAU21" s="19"/>
      <c r="KAV21" s="19"/>
      <c r="KAW21" s="19"/>
      <c r="KAX21" s="19"/>
      <c r="KAY21" s="19"/>
      <c r="KAZ21" s="19"/>
      <c r="KBA21" s="19"/>
      <c r="KBB21" s="19"/>
      <c r="KBC21" s="19"/>
      <c r="KBD21" s="19"/>
      <c r="KBE21" s="19"/>
      <c r="KBF21" s="19"/>
      <c r="KBG21" s="19"/>
      <c r="KBH21" s="19"/>
      <c r="KBI21" s="19"/>
      <c r="KBJ21" s="19"/>
      <c r="KBK21" s="19"/>
      <c r="KBL21" s="19"/>
      <c r="KBM21" s="19"/>
      <c r="KBN21" s="19"/>
      <c r="KBO21" s="19"/>
      <c r="KBP21" s="19"/>
      <c r="KBQ21" s="19"/>
      <c r="KBR21" s="19"/>
      <c r="KBS21" s="19"/>
      <c r="KBT21" s="19"/>
      <c r="KBU21" s="19"/>
      <c r="KBV21" s="19"/>
      <c r="KBW21" s="19"/>
      <c r="KBX21" s="19"/>
      <c r="KBY21" s="19"/>
      <c r="KBZ21" s="19"/>
      <c r="KCA21" s="19"/>
      <c r="KCB21" s="19"/>
      <c r="KCC21" s="19"/>
      <c r="KCD21" s="19"/>
      <c r="KCE21" s="19"/>
      <c r="KCF21" s="19"/>
      <c r="KCG21" s="19"/>
      <c r="KCH21" s="19"/>
      <c r="KCI21" s="19"/>
      <c r="KCJ21" s="19"/>
      <c r="KCK21" s="19"/>
      <c r="KCL21" s="19"/>
      <c r="KCM21" s="19"/>
      <c r="KCN21" s="19"/>
      <c r="KCO21" s="19"/>
      <c r="KCP21" s="19"/>
      <c r="KCQ21" s="19"/>
      <c r="KCR21" s="19"/>
      <c r="KCS21" s="19"/>
      <c r="KCT21" s="19"/>
      <c r="KCU21" s="19"/>
      <c r="KCV21" s="19"/>
      <c r="KCW21" s="19"/>
      <c r="KCX21" s="19"/>
      <c r="KCY21" s="19"/>
      <c r="KCZ21" s="19"/>
      <c r="KDA21" s="19"/>
      <c r="KDB21" s="19"/>
      <c r="KDC21" s="19"/>
      <c r="KDD21" s="19"/>
      <c r="KDE21" s="19"/>
      <c r="KDF21" s="19"/>
      <c r="KDG21" s="19"/>
      <c r="KDH21" s="19"/>
      <c r="KDI21" s="19"/>
      <c r="KDJ21" s="19"/>
      <c r="KDK21" s="19"/>
      <c r="KDL21" s="19"/>
      <c r="KDM21" s="19"/>
      <c r="KDN21" s="19"/>
      <c r="KDO21" s="19"/>
      <c r="KDP21" s="19"/>
      <c r="KDQ21" s="19"/>
      <c r="KDR21" s="19"/>
      <c r="KDS21" s="19"/>
      <c r="KDT21" s="19"/>
      <c r="KDU21" s="19"/>
      <c r="KDV21" s="19"/>
      <c r="KDW21" s="19"/>
      <c r="KDX21" s="19"/>
      <c r="KDY21" s="19"/>
      <c r="KDZ21" s="19"/>
      <c r="KEA21" s="19"/>
      <c r="KEB21" s="19"/>
      <c r="KEC21" s="19"/>
      <c r="KED21" s="19"/>
      <c r="KEE21" s="19"/>
      <c r="KEF21" s="19"/>
      <c r="KEG21" s="19"/>
      <c r="KEH21" s="19"/>
      <c r="KEI21" s="19"/>
      <c r="KEJ21" s="19"/>
      <c r="KEK21" s="19"/>
      <c r="KEL21" s="19"/>
      <c r="KEM21" s="19"/>
      <c r="KEN21" s="19"/>
      <c r="KEO21" s="19"/>
      <c r="KEP21" s="19"/>
      <c r="KEQ21" s="19"/>
      <c r="KER21" s="19"/>
      <c r="KES21" s="19"/>
      <c r="KET21" s="19"/>
      <c r="KEU21" s="19"/>
      <c r="KEV21" s="19"/>
      <c r="KEW21" s="19"/>
      <c r="KEX21" s="19"/>
      <c r="KEY21" s="19"/>
      <c r="KEZ21" s="19"/>
      <c r="KFA21" s="19"/>
      <c r="KFB21" s="19"/>
      <c r="KFC21" s="19"/>
      <c r="KFD21" s="19"/>
      <c r="KFE21" s="19"/>
      <c r="KFF21" s="19"/>
      <c r="KFG21" s="19"/>
      <c r="KFH21" s="19"/>
      <c r="KFI21" s="19"/>
      <c r="KFJ21" s="19"/>
      <c r="KFK21" s="19"/>
      <c r="KFL21" s="19"/>
      <c r="KFM21" s="19"/>
      <c r="KFN21" s="19"/>
      <c r="KFO21" s="19"/>
      <c r="KFP21" s="19"/>
      <c r="KFQ21" s="19"/>
      <c r="KFR21" s="19"/>
      <c r="KFS21" s="19"/>
      <c r="KFT21" s="19"/>
      <c r="KFU21" s="19"/>
      <c r="KFV21" s="19"/>
      <c r="KFW21" s="19"/>
      <c r="KFX21" s="19"/>
      <c r="KFY21" s="19"/>
      <c r="KFZ21" s="19"/>
      <c r="KGA21" s="19"/>
      <c r="KGB21" s="19"/>
      <c r="KGC21" s="19"/>
      <c r="KGD21" s="19"/>
      <c r="KGE21" s="19"/>
      <c r="KGF21" s="19"/>
      <c r="KGG21" s="19"/>
      <c r="KGH21" s="19"/>
      <c r="KGI21" s="19"/>
      <c r="KGJ21" s="19"/>
      <c r="KGK21" s="19"/>
      <c r="KGL21" s="19"/>
      <c r="KGM21" s="19"/>
      <c r="KGN21" s="19"/>
      <c r="KGO21" s="19"/>
      <c r="KGP21" s="19"/>
      <c r="KGQ21" s="19"/>
      <c r="KGR21" s="19"/>
      <c r="KGS21" s="19"/>
      <c r="KGT21" s="19"/>
      <c r="KGU21" s="19"/>
      <c r="KGV21" s="19"/>
      <c r="KGW21" s="19"/>
      <c r="KGX21" s="19"/>
      <c r="KGY21" s="19"/>
      <c r="KGZ21" s="19"/>
      <c r="KHA21" s="19"/>
      <c r="KHB21" s="19"/>
      <c r="KHC21" s="19"/>
      <c r="KHD21" s="19"/>
      <c r="KHE21" s="19"/>
      <c r="KHF21" s="19"/>
      <c r="KHG21" s="19"/>
      <c r="KHH21" s="19"/>
      <c r="KHI21" s="19"/>
      <c r="KHJ21" s="19"/>
      <c r="KHK21" s="19"/>
      <c r="KHL21" s="19"/>
      <c r="KHM21" s="19"/>
      <c r="KHN21" s="19"/>
      <c r="KHO21" s="19"/>
      <c r="KHP21" s="19"/>
      <c r="KHQ21" s="19"/>
      <c r="KHR21" s="19"/>
      <c r="KHS21" s="19"/>
      <c r="KHT21" s="19"/>
      <c r="KHU21" s="19"/>
      <c r="KHV21" s="19"/>
      <c r="KHW21" s="19"/>
      <c r="KHX21" s="19"/>
      <c r="KHY21" s="19"/>
      <c r="KHZ21" s="19"/>
      <c r="KIA21" s="19"/>
      <c r="KIB21" s="19"/>
      <c r="KIC21" s="19"/>
      <c r="KID21" s="19"/>
      <c r="KIE21" s="19"/>
      <c r="KIF21" s="19"/>
      <c r="KIG21" s="19"/>
      <c r="KIH21" s="19"/>
      <c r="KII21" s="19"/>
      <c r="KIJ21" s="19"/>
      <c r="KIK21" s="19"/>
      <c r="KIL21" s="19"/>
      <c r="KIM21" s="19"/>
      <c r="KIN21" s="19"/>
      <c r="KIO21" s="19"/>
      <c r="KIP21" s="19"/>
      <c r="KIQ21" s="19"/>
      <c r="KIR21" s="19"/>
      <c r="KIS21" s="19"/>
      <c r="KIT21" s="19"/>
      <c r="KIU21" s="19"/>
      <c r="KIV21" s="19"/>
      <c r="KIW21" s="19"/>
      <c r="KIX21" s="19"/>
      <c r="KIY21" s="19"/>
      <c r="KIZ21" s="19"/>
      <c r="KJA21" s="19"/>
      <c r="KJB21" s="19"/>
      <c r="KJC21" s="19"/>
      <c r="KJD21" s="19"/>
      <c r="KJE21" s="19"/>
      <c r="KJF21" s="19"/>
      <c r="KJG21" s="19"/>
      <c r="KJH21" s="19"/>
      <c r="KJI21" s="19"/>
      <c r="KJJ21" s="19"/>
      <c r="KJK21" s="19"/>
      <c r="KJL21" s="19"/>
      <c r="KJM21" s="19"/>
      <c r="KJN21" s="19"/>
      <c r="KJO21" s="19"/>
      <c r="KJP21" s="19"/>
      <c r="KJQ21" s="19"/>
      <c r="KJR21" s="19"/>
      <c r="KJS21" s="19"/>
      <c r="KJT21" s="19"/>
      <c r="KJU21" s="19"/>
      <c r="KJV21" s="19"/>
      <c r="KJW21" s="19"/>
      <c r="KJX21" s="19"/>
      <c r="KJY21" s="19"/>
      <c r="KJZ21" s="19"/>
      <c r="KKA21" s="19"/>
      <c r="KKB21" s="19"/>
      <c r="KKC21" s="19"/>
      <c r="KKD21" s="19"/>
      <c r="KKE21" s="19"/>
      <c r="KKF21" s="19"/>
      <c r="KKG21" s="19"/>
      <c r="KKH21" s="19"/>
      <c r="KKI21" s="19"/>
      <c r="KKJ21" s="19"/>
      <c r="KKK21" s="19"/>
      <c r="KKL21" s="19"/>
      <c r="KKM21" s="19"/>
      <c r="KKN21" s="19"/>
      <c r="KKO21" s="19"/>
      <c r="KKP21" s="19"/>
      <c r="KKQ21" s="19"/>
      <c r="KKR21" s="19"/>
      <c r="KKS21" s="19"/>
      <c r="KKT21" s="19"/>
      <c r="KKU21" s="19"/>
      <c r="KKV21" s="19"/>
      <c r="KKW21" s="19"/>
      <c r="KKX21" s="19"/>
      <c r="KKY21" s="19"/>
      <c r="KKZ21" s="19"/>
      <c r="KLA21" s="19"/>
      <c r="KLB21" s="19"/>
      <c r="KLC21" s="19"/>
      <c r="KLD21" s="19"/>
      <c r="KLE21" s="19"/>
      <c r="KLF21" s="19"/>
      <c r="KLG21" s="19"/>
      <c r="KLH21" s="19"/>
      <c r="KLI21" s="19"/>
      <c r="KLJ21" s="19"/>
      <c r="KLK21" s="19"/>
      <c r="KLL21" s="19"/>
      <c r="KLM21" s="19"/>
      <c r="KLN21" s="19"/>
      <c r="KLO21" s="19"/>
      <c r="KLP21" s="19"/>
      <c r="KLQ21" s="19"/>
      <c r="KLR21" s="19"/>
      <c r="KLS21" s="19"/>
      <c r="KLT21" s="19"/>
      <c r="KLU21" s="19"/>
      <c r="KLV21" s="19"/>
      <c r="KLW21" s="19"/>
      <c r="KLX21" s="19"/>
      <c r="KLY21" s="19"/>
      <c r="KLZ21" s="19"/>
      <c r="KMA21" s="19"/>
      <c r="KMB21" s="19"/>
      <c r="KMC21" s="19"/>
      <c r="KMD21" s="19"/>
      <c r="KME21" s="19"/>
      <c r="KMF21" s="19"/>
      <c r="KMG21" s="19"/>
      <c r="KMH21" s="19"/>
      <c r="KMI21" s="19"/>
      <c r="KMJ21" s="19"/>
      <c r="KMK21" s="19"/>
      <c r="KML21" s="19"/>
      <c r="KMM21" s="19"/>
      <c r="KMN21" s="19"/>
      <c r="KMO21" s="19"/>
      <c r="KMP21" s="19"/>
      <c r="KMQ21" s="19"/>
      <c r="KMR21" s="19"/>
      <c r="KMS21" s="19"/>
      <c r="KMT21" s="19"/>
      <c r="KMU21" s="19"/>
      <c r="KMV21" s="19"/>
      <c r="KMW21" s="19"/>
      <c r="KMX21" s="19"/>
      <c r="KMY21" s="19"/>
      <c r="KMZ21" s="19"/>
      <c r="KNA21" s="19"/>
      <c r="KNB21" s="19"/>
      <c r="KNC21" s="19"/>
      <c r="KND21" s="19"/>
      <c r="KNE21" s="19"/>
      <c r="KNF21" s="19"/>
      <c r="KNG21" s="19"/>
      <c r="KNH21" s="19"/>
      <c r="KNI21" s="19"/>
      <c r="KNJ21" s="19"/>
      <c r="KNK21" s="19"/>
      <c r="KNL21" s="19"/>
      <c r="KNM21" s="19"/>
      <c r="KNN21" s="19"/>
      <c r="KNO21" s="19"/>
      <c r="KNP21" s="19"/>
      <c r="KNQ21" s="19"/>
      <c r="KNR21" s="19"/>
      <c r="KNS21" s="19"/>
      <c r="KNT21" s="19"/>
      <c r="KNU21" s="19"/>
      <c r="KNV21" s="19"/>
      <c r="KNW21" s="19"/>
      <c r="KNX21" s="19"/>
      <c r="KNY21" s="19"/>
      <c r="KNZ21" s="19"/>
      <c r="KOA21" s="19"/>
      <c r="KOB21" s="19"/>
      <c r="KOC21" s="19"/>
      <c r="KOD21" s="19"/>
      <c r="KOE21" s="19"/>
      <c r="KOF21" s="19"/>
      <c r="KOG21" s="19"/>
      <c r="KOH21" s="19"/>
      <c r="KOI21" s="19"/>
      <c r="KOJ21" s="19"/>
      <c r="KOK21" s="19"/>
      <c r="KOL21" s="19"/>
      <c r="KOM21" s="19"/>
      <c r="KON21" s="19"/>
      <c r="KOO21" s="19"/>
      <c r="KOP21" s="19"/>
      <c r="KOQ21" s="19"/>
      <c r="KOR21" s="19"/>
      <c r="KOS21" s="19"/>
      <c r="KOT21" s="19"/>
      <c r="KOU21" s="19"/>
      <c r="KOV21" s="19"/>
      <c r="KOW21" s="19"/>
      <c r="KOX21" s="19"/>
      <c r="KOY21" s="19"/>
      <c r="KOZ21" s="19"/>
      <c r="KPA21" s="19"/>
      <c r="KPB21" s="19"/>
      <c r="KPC21" s="19"/>
      <c r="KPD21" s="19"/>
      <c r="KPE21" s="19"/>
      <c r="KPF21" s="19"/>
      <c r="KPG21" s="19"/>
      <c r="KPH21" s="19"/>
      <c r="KPI21" s="19"/>
      <c r="KPJ21" s="19"/>
      <c r="KPK21" s="19"/>
      <c r="KPL21" s="19"/>
      <c r="KPM21" s="19"/>
      <c r="KPN21" s="19"/>
      <c r="KPO21" s="19"/>
      <c r="KPP21" s="19"/>
      <c r="KPQ21" s="19"/>
      <c r="KPR21" s="19"/>
      <c r="KPS21" s="19"/>
      <c r="KPT21" s="19"/>
      <c r="KPU21" s="19"/>
      <c r="KPV21" s="19"/>
      <c r="KPW21" s="19"/>
      <c r="KPX21" s="19"/>
      <c r="KPY21" s="19"/>
      <c r="KPZ21" s="19"/>
      <c r="KQA21" s="19"/>
      <c r="KQB21" s="19"/>
      <c r="KQC21" s="19"/>
      <c r="KQD21" s="19"/>
      <c r="KQE21" s="19"/>
      <c r="KQF21" s="19"/>
      <c r="KQG21" s="19"/>
      <c r="KQH21" s="19"/>
      <c r="KQI21" s="19"/>
      <c r="KQJ21" s="19"/>
      <c r="KQK21" s="19"/>
      <c r="KQL21" s="19"/>
      <c r="KQM21" s="19"/>
      <c r="KQN21" s="19"/>
      <c r="KQO21" s="19"/>
      <c r="KQP21" s="19"/>
      <c r="KQQ21" s="19"/>
      <c r="KQR21" s="19"/>
      <c r="KQS21" s="19"/>
      <c r="KQT21" s="19"/>
      <c r="KQU21" s="19"/>
      <c r="KQV21" s="19"/>
      <c r="KQW21" s="19"/>
      <c r="KQX21" s="19"/>
      <c r="KQY21" s="19"/>
      <c r="KQZ21" s="19"/>
      <c r="KRA21" s="19"/>
      <c r="KRB21" s="19"/>
      <c r="KRC21" s="19"/>
      <c r="KRD21" s="19"/>
      <c r="KRE21" s="19"/>
      <c r="KRF21" s="19"/>
      <c r="KRG21" s="19"/>
      <c r="KRH21" s="19"/>
      <c r="KRI21" s="19"/>
      <c r="KRJ21" s="19"/>
      <c r="KRK21" s="19"/>
      <c r="KRL21" s="19"/>
      <c r="KRM21" s="19"/>
      <c r="KRN21" s="19"/>
      <c r="KRO21" s="19"/>
      <c r="KRP21" s="19"/>
      <c r="KRQ21" s="19"/>
      <c r="KRR21" s="19"/>
      <c r="KRS21" s="19"/>
      <c r="KRT21" s="19"/>
      <c r="KRU21" s="19"/>
      <c r="KRV21" s="19"/>
      <c r="KRW21" s="19"/>
      <c r="KRX21" s="19"/>
      <c r="KRY21" s="19"/>
      <c r="KRZ21" s="19"/>
      <c r="KSA21" s="19"/>
      <c r="KSB21" s="19"/>
      <c r="KSC21" s="19"/>
      <c r="KSD21" s="19"/>
      <c r="KSE21" s="19"/>
      <c r="KSF21" s="19"/>
      <c r="KSG21" s="19"/>
      <c r="KSH21" s="19"/>
      <c r="KSI21" s="19"/>
      <c r="KSJ21" s="19"/>
      <c r="KSK21" s="19"/>
      <c r="KSL21" s="19"/>
      <c r="KSM21" s="19"/>
      <c r="KSN21" s="19"/>
      <c r="KSO21" s="19"/>
      <c r="KSP21" s="19"/>
      <c r="KSQ21" s="19"/>
      <c r="KSR21" s="19"/>
      <c r="KSS21" s="19"/>
      <c r="KST21" s="19"/>
      <c r="KSU21" s="19"/>
      <c r="KSV21" s="19"/>
      <c r="KSW21" s="19"/>
      <c r="KSX21" s="19"/>
      <c r="KSY21" s="19"/>
      <c r="KSZ21" s="19"/>
      <c r="KTA21" s="19"/>
      <c r="KTB21" s="19"/>
      <c r="KTC21" s="19"/>
      <c r="KTD21" s="19"/>
      <c r="KTE21" s="19"/>
      <c r="KTF21" s="19"/>
      <c r="KTG21" s="19"/>
      <c r="KTH21" s="19"/>
      <c r="KTI21" s="19"/>
      <c r="KTJ21" s="19"/>
      <c r="KTK21" s="19"/>
      <c r="KTL21" s="19"/>
      <c r="KTM21" s="19"/>
      <c r="KTN21" s="19"/>
      <c r="KTO21" s="19"/>
      <c r="KTP21" s="19"/>
      <c r="KTQ21" s="19"/>
      <c r="KTR21" s="19"/>
      <c r="KTS21" s="19"/>
      <c r="KTT21" s="19"/>
      <c r="KTU21" s="19"/>
      <c r="KTV21" s="19"/>
      <c r="KTW21" s="19"/>
      <c r="KTX21" s="19"/>
      <c r="KTY21" s="19"/>
      <c r="KTZ21" s="19"/>
      <c r="KUA21" s="19"/>
      <c r="KUB21" s="19"/>
      <c r="KUC21" s="19"/>
      <c r="KUD21" s="19"/>
      <c r="KUE21" s="19"/>
      <c r="KUF21" s="19"/>
      <c r="KUG21" s="19"/>
      <c r="KUH21" s="19"/>
      <c r="KUI21" s="19"/>
      <c r="KUJ21" s="19"/>
      <c r="KUK21" s="19"/>
      <c r="KUL21" s="19"/>
      <c r="KUM21" s="19"/>
      <c r="KUN21" s="19"/>
      <c r="KUO21" s="19"/>
      <c r="KUP21" s="19"/>
      <c r="KUQ21" s="19"/>
      <c r="KUR21" s="19"/>
      <c r="KUS21" s="19"/>
      <c r="KUT21" s="19"/>
      <c r="KUU21" s="19"/>
      <c r="KUV21" s="19"/>
      <c r="KUW21" s="19"/>
      <c r="KUX21" s="19"/>
      <c r="KUY21" s="19"/>
      <c r="KUZ21" s="19"/>
      <c r="KVA21" s="19"/>
      <c r="KVB21" s="19"/>
      <c r="KVC21" s="19"/>
      <c r="KVD21" s="19"/>
      <c r="KVE21" s="19"/>
      <c r="KVF21" s="19"/>
      <c r="KVG21" s="19"/>
      <c r="KVH21" s="19"/>
      <c r="KVI21" s="19"/>
      <c r="KVJ21" s="19"/>
      <c r="KVK21" s="19"/>
      <c r="KVL21" s="19"/>
      <c r="KVM21" s="19"/>
      <c r="KVN21" s="19"/>
      <c r="KVO21" s="19"/>
      <c r="KVP21" s="19"/>
      <c r="KVQ21" s="19"/>
      <c r="KVR21" s="19"/>
      <c r="KVS21" s="19"/>
      <c r="KVT21" s="19"/>
      <c r="KVU21" s="19"/>
      <c r="KVV21" s="19"/>
      <c r="KVW21" s="19"/>
      <c r="KVX21" s="19"/>
      <c r="KVY21" s="19"/>
      <c r="KVZ21" s="19"/>
      <c r="KWA21" s="19"/>
      <c r="KWB21" s="19"/>
      <c r="KWC21" s="19"/>
      <c r="KWD21" s="19"/>
      <c r="KWE21" s="19"/>
      <c r="KWF21" s="19"/>
      <c r="KWG21" s="19"/>
      <c r="KWH21" s="19"/>
      <c r="KWI21" s="19"/>
      <c r="KWJ21" s="19"/>
      <c r="KWK21" s="19"/>
      <c r="KWL21" s="19"/>
      <c r="KWM21" s="19"/>
      <c r="KWN21" s="19"/>
      <c r="KWO21" s="19"/>
      <c r="KWP21" s="19"/>
      <c r="KWQ21" s="19"/>
      <c r="KWR21" s="19"/>
      <c r="KWS21" s="19"/>
      <c r="KWT21" s="19"/>
      <c r="KWU21" s="19"/>
      <c r="KWV21" s="19"/>
      <c r="KWW21" s="19"/>
      <c r="KWX21" s="19"/>
      <c r="KWY21" s="19"/>
      <c r="KWZ21" s="19"/>
      <c r="KXA21" s="19"/>
      <c r="KXB21" s="19"/>
      <c r="KXC21" s="19"/>
      <c r="KXD21" s="19"/>
      <c r="KXE21" s="19"/>
      <c r="KXF21" s="19"/>
      <c r="KXG21" s="19"/>
      <c r="KXH21" s="19"/>
      <c r="KXI21" s="19"/>
      <c r="KXJ21" s="19"/>
      <c r="KXK21" s="19"/>
      <c r="KXL21" s="19"/>
      <c r="KXM21" s="19"/>
      <c r="KXN21" s="19"/>
      <c r="KXO21" s="19"/>
      <c r="KXP21" s="19"/>
      <c r="KXQ21" s="19"/>
      <c r="KXR21" s="19"/>
      <c r="KXS21" s="19"/>
      <c r="KXT21" s="19"/>
      <c r="KXU21" s="19"/>
      <c r="KXV21" s="19"/>
      <c r="KXW21" s="19"/>
      <c r="KXX21" s="19"/>
      <c r="KXY21" s="19"/>
      <c r="KXZ21" s="19"/>
      <c r="KYA21" s="19"/>
      <c r="KYB21" s="19"/>
      <c r="KYC21" s="19"/>
      <c r="KYD21" s="19"/>
      <c r="KYE21" s="19"/>
      <c r="KYF21" s="19"/>
      <c r="KYG21" s="19"/>
      <c r="KYH21" s="19"/>
      <c r="KYI21" s="19"/>
      <c r="KYJ21" s="19"/>
      <c r="KYK21" s="19"/>
      <c r="KYL21" s="19"/>
      <c r="KYM21" s="19"/>
      <c r="KYN21" s="19"/>
      <c r="KYO21" s="19"/>
      <c r="KYP21" s="19"/>
      <c r="KYQ21" s="19"/>
      <c r="KYR21" s="19"/>
      <c r="KYS21" s="19"/>
      <c r="KYT21" s="19"/>
      <c r="KYU21" s="19"/>
      <c r="KYV21" s="19"/>
      <c r="KYW21" s="19"/>
      <c r="KYX21" s="19"/>
      <c r="KYY21" s="19"/>
      <c r="KYZ21" s="19"/>
      <c r="KZA21" s="19"/>
      <c r="KZB21" s="19"/>
      <c r="KZC21" s="19"/>
      <c r="KZD21" s="19"/>
      <c r="KZE21" s="19"/>
      <c r="KZF21" s="19"/>
      <c r="KZG21" s="19"/>
      <c r="KZH21" s="19"/>
      <c r="KZI21" s="19"/>
      <c r="KZJ21" s="19"/>
      <c r="KZK21" s="19"/>
      <c r="KZL21" s="19"/>
      <c r="KZM21" s="19"/>
      <c r="KZN21" s="19"/>
      <c r="KZO21" s="19"/>
      <c r="KZP21" s="19"/>
      <c r="KZQ21" s="19"/>
      <c r="KZR21" s="19"/>
      <c r="KZS21" s="19"/>
      <c r="KZT21" s="19"/>
      <c r="KZU21" s="19"/>
      <c r="KZV21" s="19"/>
      <c r="KZW21" s="19"/>
      <c r="KZX21" s="19"/>
      <c r="KZY21" s="19"/>
      <c r="KZZ21" s="19"/>
      <c r="LAA21" s="19"/>
      <c r="LAB21" s="19"/>
      <c r="LAC21" s="19"/>
      <c r="LAD21" s="19"/>
      <c r="LAE21" s="19"/>
      <c r="LAF21" s="19"/>
      <c r="LAG21" s="19"/>
      <c r="LAH21" s="19"/>
      <c r="LAI21" s="19"/>
      <c r="LAJ21" s="19"/>
      <c r="LAK21" s="19"/>
      <c r="LAL21" s="19"/>
      <c r="LAM21" s="19"/>
      <c r="LAN21" s="19"/>
      <c r="LAO21" s="19"/>
      <c r="LAP21" s="19"/>
      <c r="LAQ21" s="19"/>
      <c r="LAR21" s="19"/>
      <c r="LAS21" s="19"/>
      <c r="LAT21" s="19"/>
      <c r="LAU21" s="19"/>
      <c r="LAV21" s="19"/>
      <c r="LAW21" s="19"/>
      <c r="LAX21" s="19"/>
      <c r="LAY21" s="19"/>
      <c r="LAZ21" s="19"/>
      <c r="LBA21" s="19"/>
      <c r="LBB21" s="19"/>
      <c r="LBC21" s="19"/>
      <c r="LBD21" s="19"/>
      <c r="LBE21" s="19"/>
      <c r="LBF21" s="19"/>
      <c r="LBG21" s="19"/>
      <c r="LBH21" s="19"/>
      <c r="LBI21" s="19"/>
      <c r="LBJ21" s="19"/>
      <c r="LBK21" s="19"/>
      <c r="LBL21" s="19"/>
      <c r="LBM21" s="19"/>
      <c r="LBN21" s="19"/>
      <c r="LBO21" s="19"/>
      <c r="LBP21" s="19"/>
      <c r="LBQ21" s="19"/>
      <c r="LBR21" s="19"/>
      <c r="LBS21" s="19"/>
      <c r="LBT21" s="19"/>
      <c r="LBU21" s="19"/>
      <c r="LBV21" s="19"/>
      <c r="LBW21" s="19"/>
      <c r="LBX21" s="19"/>
      <c r="LBY21" s="19"/>
      <c r="LBZ21" s="19"/>
      <c r="LCA21" s="19"/>
      <c r="LCB21" s="19"/>
      <c r="LCC21" s="19"/>
      <c r="LCD21" s="19"/>
      <c r="LCE21" s="19"/>
      <c r="LCF21" s="19"/>
      <c r="LCG21" s="19"/>
      <c r="LCH21" s="19"/>
      <c r="LCI21" s="19"/>
      <c r="LCJ21" s="19"/>
      <c r="LCK21" s="19"/>
      <c r="LCL21" s="19"/>
      <c r="LCM21" s="19"/>
      <c r="LCN21" s="19"/>
      <c r="LCO21" s="19"/>
      <c r="LCP21" s="19"/>
      <c r="LCQ21" s="19"/>
      <c r="LCR21" s="19"/>
      <c r="LCS21" s="19"/>
      <c r="LCT21" s="19"/>
      <c r="LCU21" s="19"/>
      <c r="LCV21" s="19"/>
      <c r="LCW21" s="19"/>
      <c r="LCX21" s="19"/>
      <c r="LCY21" s="19"/>
      <c r="LCZ21" s="19"/>
      <c r="LDA21" s="19"/>
      <c r="LDB21" s="19"/>
      <c r="LDC21" s="19"/>
      <c r="LDD21" s="19"/>
      <c r="LDE21" s="19"/>
      <c r="LDF21" s="19"/>
      <c r="LDG21" s="19"/>
      <c r="LDH21" s="19"/>
      <c r="LDI21" s="19"/>
      <c r="LDJ21" s="19"/>
      <c r="LDK21" s="19"/>
      <c r="LDL21" s="19"/>
      <c r="LDM21" s="19"/>
      <c r="LDN21" s="19"/>
      <c r="LDO21" s="19"/>
      <c r="LDP21" s="19"/>
      <c r="LDQ21" s="19"/>
      <c r="LDR21" s="19"/>
      <c r="LDS21" s="19"/>
      <c r="LDT21" s="19"/>
      <c r="LDU21" s="19"/>
      <c r="LDV21" s="19"/>
      <c r="LDW21" s="19"/>
      <c r="LDX21" s="19"/>
      <c r="LDY21" s="19"/>
      <c r="LDZ21" s="19"/>
      <c r="LEA21" s="19"/>
      <c r="LEB21" s="19"/>
      <c r="LEC21" s="19"/>
      <c r="LED21" s="19"/>
      <c r="LEE21" s="19"/>
      <c r="LEF21" s="19"/>
      <c r="LEG21" s="19"/>
      <c r="LEH21" s="19"/>
      <c r="LEI21" s="19"/>
      <c r="LEJ21" s="19"/>
      <c r="LEK21" s="19"/>
      <c r="LEL21" s="19"/>
      <c r="LEM21" s="19"/>
      <c r="LEN21" s="19"/>
      <c r="LEO21" s="19"/>
      <c r="LEP21" s="19"/>
      <c r="LEQ21" s="19"/>
      <c r="LER21" s="19"/>
      <c r="LES21" s="19"/>
      <c r="LET21" s="19"/>
      <c r="LEU21" s="19"/>
      <c r="LEV21" s="19"/>
      <c r="LEW21" s="19"/>
      <c r="LEX21" s="19"/>
      <c r="LEY21" s="19"/>
      <c r="LEZ21" s="19"/>
      <c r="LFA21" s="19"/>
      <c r="LFB21" s="19"/>
      <c r="LFC21" s="19"/>
      <c r="LFD21" s="19"/>
      <c r="LFE21" s="19"/>
      <c r="LFF21" s="19"/>
      <c r="LFG21" s="19"/>
      <c r="LFH21" s="19"/>
      <c r="LFI21" s="19"/>
      <c r="LFJ21" s="19"/>
      <c r="LFK21" s="19"/>
      <c r="LFL21" s="19"/>
      <c r="LFM21" s="19"/>
      <c r="LFN21" s="19"/>
      <c r="LFO21" s="19"/>
      <c r="LFP21" s="19"/>
      <c r="LFQ21" s="19"/>
      <c r="LFR21" s="19"/>
      <c r="LFS21" s="19"/>
      <c r="LFT21" s="19"/>
      <c r="LFU21" s="19"/>
      <c r="LFV21" s="19"/>
      <c r="LFW21" s="19"/>
      <c r="LFX21" s="19"/>
      <c r="LFY21" s="19"/>
      <c r="LFZ21" s="19"/>
      <c r="LGA21" s="19"/>
      <c r="LGB21" s="19"/>
      <c r="LGC21" s="19"/>
      <c r="LGD21" s="19"/>
      <c r="LGE21" s="19"/>
      <c r="LGF21" s="19"/>
      <c r="LGG21" s="19"/>
      <c r="LGH21" s="19"/>
      <c r="LGI21" s="19"/>
      <c r="LGJ21" s="19"/>
      <c r="LGK21" s="19"/>
      <c r="LGL21" s="19"/>
      <c r="LGM21" s="19"/>
      <c r="LGN21" s="19"/>
      <c r="LGO21" s="19"/>
      <c r="LGP21" s="19"/>
      <c r="LGQ21" s="19"/>
      <c r="LGR21" s="19"/>
      <c r="LGS21" s="19"/>
      <c r="LGT21" s="19"/>
      <c r="LGU21" s="19"/>
      <c r="LGV21" s="19"/>
      <c r="LGW21" s="19"/>
      <c r="LGX21" s="19"/>
      <c r="LGY21" s="19"/>
      <c r="LGZ21" s="19"/>
      <c r="LHA21" s="19"/>
      <c r="LHB21" s="19"/>
      <c r="LHC21" s="19"/>
      <c r="LHD21" s="19"/>
      <c r="LHE21" s="19"/>
      <c r="LHF21" s="19"/>
      <c r="LHG21" s="19"/>
      <c r="LHH21" s="19"/>
      <c r="LHI21" s="19"/>
      <c r="LHJ21" s="19"/>
      <c r="LHK21" s="19"/>
      <c r="LHL21" s="19"/>
      <c r="LHM21" s="19"/>
      <c r="LHN21" s="19"/>
      <c r="LHO21" s="19"/>
      <c r="LHP21" s="19"/>
      <c r="LHQ21" s="19"/>
      <c r="LHR21" s="19"/>
      <c r="LHS21" s="19"/>
      <c r="LHT21" s="19"/>
      <c r="LHU21" s="19"/>
      <c r="LHV21" s="19"/>
      <c r="LHW21" s="19"/>
      <c r="LHX21" s="19"/>
      <c r="LHY21" s="19"/>
      <c r="LHZ21" s="19"/>
      <c r="LIA21" s="19"/>
      <c r="LIB21" s="19"/>
      <c r="LIC21" s="19"/>
      <c r="LID21" s="19"/>
      <c r="LIE21" s="19"/>
      <c r="LIF21" s="19"/>
      <c r="LIG21" s="19"/>
      <c r="LIH21" s="19"/>
      <c r="LII21" s="19"/>
      <c r="LIJ21" s="19"/>
      <c r="LIK21" s="19"/>
      <c r="LIL21" s="19"/>
      <c r="LIM21" s="19"/>
      <c r="LIN21" s="19"/>
      <c r="LIO21" s="19"/>
      <c r="LIP21" s="19"/>
      <c r="LIQ21" s="19"/>
      <c r="LIR21" s="19"/>
      <c r="LIS21" s="19"/>
      <c r="LIT21" s="19"/>
      <c r="LIU21" s="19"/>
      <c r="LIV21" s="19"/>
      <c r="LIW21" s="19"/>
      <c r="LIX21" s="19"/>
      <c r="LIY21" s="19"/>
      <c r="LIZ21" s="19"/>
      <c r="LJA21" s="19"/>
      <c r="LJB21" s="19"/>
      <c r="LJC21" s="19"/>
      <c r="LJD21" s="19"/>
      <c r="LJE21" s="19"/>
      <c r="LJF21" s="19"/>
      <c r="LJG21" s="19"/>
      <c r="LJH21" s="19"/>
      <c r="LJI21" s="19"/>
      <c r="LJJ21" s="19"/>
      <c r="LJK21" s="19"/>
      <c r="LJL21" s="19"/>
      <c r="LJM21" s="19"/>
      <c r="LJN21" s="19"/>
      <c r="LJO21" s="19"/>
      <c r="LJP21" s="19"/>
      <c r="LJQ21" s="19"/>
      <c r="LJR21" s="19"/>
      <c r="LJS21" s="19"/>
      <c r="LJT21" s="19"/>
      <c r="LJU21" s="19"/>
      <c r="LJV21" s="19"/>
      <c r="LJW21" s="19"/>
      <c r="LJX21" s="19"/>
      <c r="LJY21" s="19"/>
      <c r="LJZ21" s="19"/>
      <c r="LKA21" s="19"/>
      <c r="LKB21" s="19"/>
      <c r="LKC21" s="19"/>
      <c r="LKD21" s="19"/>
      <c r="LKE21" s="19"/>
      <c r="LKF21" s="19"/>
      <c r="LKG21" s="19"/>
      <c r="LKH21" s="19"/>
      <c r="LKI21" s="19"/>
      <c r="LKJ21" s="19"/>
      <c r="LKK21" s="19"/>
      <c r="LKL21" s="19"/>
      <c r="LKM21" s="19"/>
      <c r="LKN21" s="19"/>
      <c r="LKO21" s="19"/>
      <c r="LKP21" s="19"/>
      <c r="LKQ21" s="19"/>
      <c r="LKR21" s="19"/>
      <c r="LKS21" s="19"/>
      <c r="LKT21" s="19"/>
      <c r="LKU21" s="19"/>
      <c r="LKV21" s="19"/>
      <c r="LKW21" s="19"/>
      <c r="LKX21" s="19"/>
      <c r="LKY21" s="19"/>
      <c r="LKZ21" s="19"/>
      <c r="LLA21" s="19"/>
      <c r="LLB21" s="19"/>
      <c r="LLC21" s="19"/>
      <c r="LLD21" s="19"/>
      <c r="LLE21" s="19"/>
      <c r="LLF21" s="19"/>
      <c r="LLG21" s="19"/>
      <c r="LLH21" s="19"/>
      <c r="LLI21" s="19"/>
      <c r="LLJ21" s="19"/>
      <c r="LLK21" s="19"/>
      <c r="LLL21" s="19"/>
      <c r="LLM21" s="19"/>
      <c r="LLN21" s="19"/>
      <c r="LLO21" s="19"/>
      <c r="LLP21" s="19"/>
      <c r="LLQ21" s="19"/>
      <c r="LLR21" s="19"/>
      <c r="LLS21" s="19"/>
      <c r="LLT21" s="19"/>
      <c r="LLU21" s="19"/>
      <c r="LLV21" s="19"/>
      <c r="LLW21" s="19"/>
      <c r="LLX21" s="19"/>
      <c r="LLY21" s="19"/>
      <c r="LLZ21" s="19"/>
      <c r="LMA21" s="19"/>
      <c r="LMB21" s="19"/>
      <c r="LMC21" s="19"/>
      <c r="LMD21" s="19"/>
      <c r="LME21" s="19"/>
      <c r="LMF21" s="19"/>
      <c r="LMG21" s="19"/>
      <c r="LMH21" s="19"/>
      <c r="LMI21" s="19"/>
      <c r="LMJ21" s="19"/>
      <c r="LMK21" s="19"/>
      <c r="LML21" s="19"/>
      <c r="LMM21" s="19"/>
      <c r="LMN21" s="19"/>
      <c r="LMO21" s="19"/>
      <c r="LMP21" s="19"/>
      <c r="LMQ21" s="19"/>
      <c r="LMR21" s="19"/>
      <c r="LMS21" s="19"/>
      <c r="LMT21" s="19"/>
      <c r="LMU21" s="19"/>
      <c r="LMV21" s="19"/>
      <c r="LMW21" s="19"/>
      <c r="LMX21" s="19"/>
      <c r="LMY21" s="19"/>
      <c r="LMZ21" s="19"/>
      <c r="LNA21" s="19"/>
      <c r="LNB21" s="19"/>
      <c r="LNC21" s="19"/>
      <c r="LND21" s="19"/>
      <c r="LNE21" s="19"/>
      <c r="LNF21" s="19"/>
      <c r="LNG21" s="19"/>
      <c r="LNH21" s="19"/>
      <c r="LNI21" s="19"/>
      <c r="LNJ21" s="19"/>
      <c r="LNK21" s="19"/>
      <c r="LNL21" s="19"/>
      <c r="LNM21" s="19"/>
      <c r="LNN21" s="19"/>
      <c r="LNO21" s="19"/>
      <c r="LNP21" s="19"/>
      <c r="LNQ21" s="19"/>
      <c r="LNR21" s="19"/>
      <c r="LNS21" s="19"/>
      <c r="LNT21" s="19"/>
      <c r="LNU21" s="19"/>
      <c r="LNV21" s="19"/>
      <c r="LNW21" s="19"/>
      <c r="LNX21" s="19"/>
      <c r="LNY21" s="19"/>
      <c r="LNZ21" s="19"/>
      <c r="LOA21" s="19"/>
      <c r="LOB21" s="19"/>
      <c r="LOC21" s="19"/>
      <c r="LOD21" s="19"/>
      <c r="LOE21" s="19"/>
      <c r="LOF21" s="19"/>
      <c r="LOG21" s="19"/>
      <c r="LOH21" s="19"/>
      <c r="LOI21" s="19"/>
      <c r="LOJ21" s="19"/>
      <c r="LOK21" s="19"/>
      <c r="LOL21" s="19"/>
      <c r="LOM21" s="19"/>
      <c r="LON21" s="19"/>
      <c r="LOO21" s="19"/>
      <c r="LOP21" s="19"/>
      <c r="LOQ21" s="19"/>
      <c r="LOR21" s="19"/>
      <c r="LOS21" s="19"/>
      <c r="LOT21" s="19"/>
      <c r="LOU21" s="19"/>
      <c r="LOV21" s="19"/>
      <c r="LOW21" s="19"/>
      <c r="LOX21" s="19"/>
      <c r="LOY21" s="19"/>
      <c r="LOZ21" s="19"/>
      <c r="LPA21" s="19"/>
      <c r="LPB21" s="19"/>
      <c r="LPC21" s="19"/>
      <c r="LPD21" s="19"/>
      <c r="LPE21" s="19"/>
      <c r="LPF21" s="19"/>
      <c r="LPG21" s="19"/>
      <c r="LPH21" s="19"/>
      <c r="LPI21" s="19"/>
      <c r="LPJ21" s="19"/>
      <c r="LPK21" s="19"/>
      <c r="LPL21" s="19"/>
      <c r="LPM21" s="19"/>
      <c r="LPN21" s="19"/>
      <c r="LPO21" s="19"/>
      <c r="LPP21" s="19"/>
      <c r="LPQ21" s="19"/>
      <c r="LPR21" s="19"/>
      <c r="LPS21" s="19"/>
      <c r="LPT21" s="19"/>
      <c r="LPU21" s="19"/>
      <c r="LPV21" s="19"/>
      <c r="LPW21" s="19"/>
      <c r="LPX21" s="19"/>
      <c r="LPY21" s="19"/>
      <c r="LPZ21" s="19"/>
      <c r="LQA21" s="19"/>
      <c r="LQB21" s="19"/>
      <c r="LQC21" s="19"/>
      <c r="LQD21" s="19"/>
      <c r="LQE21" s="19"/>
      <c r="LQF21" s="19"/>
      <c r="LQG21" s="19"/>
      <c r="LQH21" s="19"/>
      <c r="LQI21" s="19"/>
      <c r="LQJ21" s="19"/>
      <c r="LQK21" s="19"/>
      <c r="LQL21" s="19"/>
      <c r="LQM21" s="19"/>
      <c r="LQN21" s="19"/>
      <c r="LQO21" s="19"/>
      <c r="LQP21" s="19"/>
      <c r="LQQ21" s="19"/>
      <c r="LQR21" s="19"/>
      <c r="LQS21" s="19"/>
      <c r="LQT21" s="19"/>
      <c r="LQU21" s="19"/>
      <c r="LQV21" s="19"/>
      <c r="LQW21" s="19"/>
      <c r="LQX21" s="19"/>
      <c r="LQY21" s="19"/>
      <c r="LQZ21" s="19"/>
      <c r="LRA21" s="19"/>
      <c r="LRB21" s="19"/>
      <c r="LRC21" s="19"/>
      <c r="LRD21" s="19"/>
      <c r="LRE21" s="19"/>
      <c r="LRF21" s="19"/>
      <c r="LRG21" s="19"/>
      <c r="LRH21" s="19"/>
      <c r="LRI21" s="19"/>
      <c r="LRJ21" s="19"/>
      <c r="LRK21" s="19"/>
      <c r="LRL21" s="19"/>
      <c r="LRM21" s="19"/>
      <c r="LRN21" s="19"/>
      <c r="LRO21" s="19"/>
      <c r="LRP21" s="19"/>
      <c r="LRQ21" s="19"/>
      <c r="LRR21" s="19"/>
      <c r="LRS21" s="19"/>
      <c r="LRT21" s="19"/>
      <c r="LRU21" s="19"/>
      <c r="LRV21" s="19"/>
      <c r="LRW21" s="19"/>
      <c r="LRX21" s="19"/>
      <c r="LRY21" s="19"/>
      <c r="LRZ21" s="19"/>
      <c r="LSA21" s="19"/>
      <c r="LSB21" s="19"/>
      <c r="LSC21" s="19"/>
      <c r="LSD21" s="19"/>
      <c r="LSE21" s="19"/>
      <c r="LSF21" s="19"/>
      <c r="LSG21" s="19"/>
      <c r="LSH21" s="19"/>
      <c r="LSI21" s="19"/>
      <c r="LSJ21" s="19"/>
      <c r="LSK21" s="19"/>
      <c r="LSL21" s="19"/>
      <c r="LSM21" s="19"/>
      <c r="LSN21" s="19"/>
      <c r="LSO21" s="19"/>
      <c r="LSP21" s="19"/>
      <c r="LSQ21" s="19"/>
      <c r="LSR21" s="19"/>
      <c r="LSS21" s="19"/>
      <c r="LST21" s="19"/>
      <c r="LSU21" s="19"/>
      <c r="LSV21" s="19"/>
      <c r="LSW21" s="19"/>
      <c r="LSX21" s="19"/>
      <c r="LSY21" s="19"/>
      <c r="LSZ21" s="19"/>
      <c r="LTA21" s="19"/>
      <c r="LTB21" s="19"/>
      <c r="LTC21" s="19"/>
      <c r="LTD21" s="19"/>
      <c r="LTE21" s="19"/>
      <c r="LTF21" s="19"/>
      <c r="LTG21" s="19"/>
      <c r="LTH21" s="19"/>
      <c r="LTI21" s="19"/>
      <c r="LTJ21" s="19"/>
      <c r="LTK21" s="19"/>
      <c r="LTL21" s="19"/>
      <c r="LTM21" s="19"/>
      <c r="LTN21" s="19"/>
      <c r="LTO21" s="19"/>
      <c r="LTP21" s="19"/>
      <c r="LTQ21" s="19"/>
      <c r="LTR21" s="19"/>
      <c r="LTS21" s="19"/>
      <c r="LTT21" s="19"/>
      <c r="LTU21" s="19"/>
      <c r="LTV21" s="19"/>
      <c r="LTW21" s="19"/>
      <c r="LTX21" s="19"/>
      <c r="LTY21" s="19"/>
      <c r="LTZ21" s="19"/>
      <c r="LUA21" s="19"/>
      <c r="LUB21" s="19"/>
      <c r="LUC21" s="19"/>
      <c r="LUD21" s="19"/>
      <c r="LUE21" s="19"/>
      <c r="LUF21" s="19"/>
      <c r="LUG21" s="19"/>
      <c r="LUH21" s="19"/>
      <c r="LUI21" s="19"/>
      <c r="LUJ21" s="19"/>
      <c r="LUK21" s="19"/>
      <c r="LUL21" s="19"/>
      <c r="LUM21" s="19"/>
      <c r="LUN21" s="19"/>
      <c r="LUO21" s="19"/>
      <c r="LUP21" s="19"/>
      <c r="LUQ21" s="19"/>
      <c r="LUR21" s="19"/>
      <c r="LUS21" s="19"/>
      <c r="LUT21" s="19"/>
      <c r="LUU21" s="19"/>
      <c r="LUV21" s="19"/>
      <c r="LUW21" s="19"/>
      <c r="LUX21" s="19"/>
      <c r="LUY21" s="19"/>
      <c r="LUZ21" s="19"/>
      <c r="LVA21" s="19"/>
      <c r="LVB21" s="19"/>
      <c r="LVC21" s="19"/>
      <c r="LVD21" s="19"/>
      <c r="LVE21" s="19"/>
      <c r="LVF21" s="19"/>
      <c r="LVG21" s="19"/>
      <c r="LVH21" s="19"/>
      <c r="LVI21" s="19"/>
      <c r="LVJ21" s="19"/>
      <c r="LVK21" s="19"/>
      <c r="LVL21" s="19"/>
      <c r="LVM21" s="19"/>
      <c r="LVN21" s="19"/>
      <c r="LVO21" s="19"/>
      <c r="LVP21" s="19"/>
      <c r="LVQ21" s="19"/>
      <c r="LVR21" s="19"/>
      <c r="LVS21" s="19"/>
      <c r="LVT21" s="19"/>
      <c r="LVU21" s="19"/>
      <c r="LVV21" s="19"/>
      <c r="LVW21" s="19"/>
      <c r="LVX21" s="19"/>
      <c r="LVY21" s="19"/>
      <c r="LVZ21" s="19"/>
      <c r="LWA21" s="19"/>
      <c r="LWB21" s="19"/>
      <c r="LWC21" s="19"/>
      <c r="LWD21" s="19"/>
      <c r="LWE21" s="19"/>
      <c r="LWF21" s="19"/>
      <c r="LWG21" s="19"/>
      <c r="LWH21" s="19"/>
      <c r="LWI21" s="19"/>
      <c r="LWJ21" s="19"/>
      <c r="LWK21" s="19"/>
      <c r="LWL21" s="19"/>
      <c r="LWM21" s="19"/>
      <c r="LWN21" s="19"/>
      <c r="LWO21" s="19"/>
      <c r="LWP21" s="19"/>
      <c r="LWQ21" s="19"/>
      <c r="LWR21" s="19"/>
      <c r="LWS21" s="19"/>
      <c r="LWT21" s="19"/>
      <c r="LWU21" s="19"/>
      <c r="LWV21" s="19"/>
      <c r="LWW21" s="19"/>
      <c r="LWX21" s="19"/>
      <c r="LWY21" s="19"/>
      <c r="LWZ21" s="19"/>
      <c r="LXA21" s="19"/>
      <c r="LXB21" s="19"/>
      <c r="LXC21" s="19"/>
      <c r="LXD21" s="19"/>
      <c r="LXE21" s="19"/>
      <c r="LXF21" s="19"/>
      <c r="LXG21" s="19"/>
      <c r="LXH21" s="19"/>
      <c r="LXI21" s="19"/>
      <c r="LXJ21" s="19"/>
      <c r="LXK21" s="19"/>
      <c r="LXL21" s="19"/>
      <c r="LXM21" s="19"/>
      <c r="LXN21" s="19"/>
      <c r="LXO21" s="19"/>
      <c r="LXP21" s="19"/>
      <c r="LXQ21" s="19"/>
      <c r="LXR21" s="19"/>
      <c r="LXS21" s="19"/>
      <c r="LXT21" s="19"/>
      <c r="LXU21" s="19"/>
      <c r="LXV21" s="19"/>
      <c r="LXW21" s="19"/>
      <c r="LXX21" s="19"/>
      <c r="LXY21" s="19"/>
      <c r="LXZ21" s="19"/>
      <c r="LYA21" s="19"/>
      <c r="LYB21" s="19"/>
      <c r="LYC21" s="19"/>
      <c r="LYD21" s="19"/>
      <c r="LYE21" s="19"/>
      <c r="LYF21" s="19"/>
      <c r="LYG21" s="19"/>
      <c r="LYH21" s="19"/>
      <c r="LYI21" s="19"/>
      <c r="LYJ21" s="19"/>
      <c r="LYK21" s="19"/>
      <c r="LYL21" s="19"/>
      <c r="LYM21" s="19"/>
      <c r="LYN21" s="19"/>
      <c r="LYO21" s="19"/>
      <c r="LYP21" s="19"/>
      <c r="LYQ21" s="19"/>
      <c r="LYR21" s="19"/>
      <c r="LYS21" s="19"/>
      <c r="LYT21" s="19"/>
      <c r="LYU21" s="19"/>
      <c r="LYV21" s="19"/>
      <c r="LYW21" s="19"/>
      <c r="LYX21" s="19"/>
      <c r="LYY21" s="19"/>
      <c r="LYZ21" s="19"/>
      <c r="LZA21" s="19"/>
      <c r="LZB21" s="19"/>
      <c r="LZC21" s="19"/>
      <c r="LZD21" s="19"/>
      <c r="LZE21" s="19"/>
      <c r="LZF21" s="19"/>
      <c r="LZG21" s="19"/>
      <c r="LZH21" s="19"/>
      <c r="LZI21" s="19"/>
      <c r="LZJ21" s="19"/>
      <c r="LZK21" s="19"/>
      <c r="LZL21" s="19"/>
      <c r="LZM21" s="19"/>
      <c r="LZN21" s="19"/>
      <c r="LZO21" s="19"/>
      <c r="LZP21" s="19"/>
      <c r="LZQ21" s="19"/>
      <c r="LZR21" s="19"/>
      <c r="LZS21" s="19"/>
      <c r="LZT21" s="19"/>
      <c r="LZU21" s="19"/>
      <c r="LZV21" s="19"/>
      <c r="LZW21" s="19"/>
      <c r="LZX21" s="19"/>
      <c r="LZY21" s="19"/>
      <c r="LZZ21" s="19"/>
      <c r="MAA21" s="19"/>
      <c r="MAB21" s="19"/>
      <c r="MAC21" s="19"/>
      <c r="MAD21" s="19"/>
      <c r="MAE21" s="19"/>
      <c r="MAF21" s="19"/>
      <c r="MAG21" s="19"/>
      <c r="MAH21" s="19"/>
      <c r="MAI21" s="19"/>
      <c r="MAJ21" s="19"/>
      <c r="MAK21" s="19"/>
      <c r="MAL21" s="19"/>
      <c r="MAM21" s="19"/>
      <c r="MAN21" s="19"/>
      <c r="MAO21" s="19"/>
      <c r="MAP21" s="19"/>
      <c r="MAQ21" s="19"/>
      <c r="MAR21" s="19"/>
      <c r="MAS21" s="19"/>
      <c r="MAT21" s="19"/>
      <c r="MAU21" s="19"/>
      <c r="MAV21" s="19"/>
      <c r="MAW21" s="19"/>
      <c r="MAX21" s="19"/>
      <c r="MAY21" s="19"/>
      <c r="MAZ21" s="19"/>
      <c r="MBA21" s="19"/>
      <c r="MBB21" s="19"/>
      <c r="MBC21" s="19"/>
      <c r="MBD21" s="19"/>
      <c r="MBE21" s="19"/>
      <c r="MBF21" s="19"/>
      <c r="MBG21" s="19"/>
      <c r="MBH21" s="19"/>
      <c r="MBI21" s="19"/>
      <c r="MBJ21" s="19"/>
      <c r="MBK21" s="19"/>
      <c r="MBL21" s="19"/>
      <c r="MBM21" s="19"/>
      <c r="MBN21" s="19"/>
      <c r="MBO21" s="19"/>
      <c r="MBP21" s="19"/>
      <c r="MBQ21" s="19"/>
      <c r="MBR21" s="19"/>
      <c r="MBS21" s="19"/>
      <c r="MBT21" s="19"/>
      <c r="MBU21" s="19"/>
      <c r="MBV21" s="19"/>
      <c r="MBW21" s="19"/>
      <c r="MBX21" s="19"/>
      <c r="MBY21" s="19"/>
      <c r="MBZ21" s="19"/>
      <c r="MCA21" s="19"/>
      <c r="MCB21" s="19"/>
      <c r="MCC21" s="19"/>
      <c r="MCD21" s="19"/>
      <c r="MCE21" s="19"/>
      <c r="MCF21" s="19"/>
      <c r="MCG21" s="19"/>
      <c r="MCH21" s="19"/>
      <c r="MCI21" s="19"/>
      <c r="MCJ21" s="19"/>
      <c r="MCK21" s="19"/>
      <c r="MCL21" s="19"/>
      <c r="MCM21" s="19"/>
      <c r="MCN21" s="19"/>
      <c r="MCO21" s="19"/>
      <c r="MCP21" s="19"/>
      <c r="MCQ21" s="19"/>
      <c r="MCR21" s="19"/>
      <c r="MCS21" s="19"/>
      <c r="MCT21" s="19"/>
      <c r="MCU21" s="19"/>
      <c r="MCV21" s="19"/>
      <c r="MCW21" s="19"/>
      <c r="MCX21" s="19"/>
      <c r="MCY21" s="19"/>
      <c r="MCZ21" s="19"/>
      <c r="MDA21" s="19"/>
      <c r="MDB21" s="19"/>
      <c r="MDC21" s="19"/>
      <c r="MDD21" s="19"/>
      <c r="MDE21" s="19"/>
      <c r="MDF21" s="19"/>
      <c r="MDG21" s="19"/>
      <c r="MDH21" s="19"/>
      <c r="MDI21" s="19"/>
      <c r="MDJ21" s="19"/>
      <c r="MDK21" s="19"/>
      <c r="MDL21" s="19"/>
      <c r="MDM21" s="19"/>
      <c r="MDN21" s="19"/>
      <c r="MDO21" s="19"/>
      <c r="MDP21" s="19"/>
      <c r="MDQ21" s="19"/>
      <c r="MDR21" s="19"/>
      <c r="MDS21" s="19"/>
      <c r="MDT21" s="19"/>
      <c r="MDU21" s="19"/>
      <c r="MDV21" s="19"/>
      <c r="MDW21" s="19"/>
      <c r="MDX21" s="19"/>
      <c r="MDY21" s="19"/>
      <c r="MDZ21" s="19"/>
      <c r="MEA21" s="19"/>
      <c r="MEB21" s="19"/>
      <c r="MEC21" s="19"/>
      <c r="MED21" s="19"/>
      <c r="MEE21" s="19"/>
      <c r="MEF21" s="19"/>
      <c r="MEG21" s="19"/>
      <c r="MEH21" s="19"/>
      <c r="MEI21" s="19"/>
      <c r="MEJ21" s="19"/>
      <c r="MEK21" s="19"/>
      <c r="MEL21" s="19"/>
      <c r="MEM21" s="19"/>
      <c r="MEN21" s="19"/>
      <c r="MEO21" s="19"/>
      <c r="MEP21" s="19"/>
      <c r="MEQ21" s="19"/>
      <c r="MER21" s="19"/>
      <c r="MES21" s="19"/>
      <c r="MET21" s="19"/>
      <c r="MEU21" s="19"/>
      <c r="MEV21" s="19"/>
      <c r="MEW21" s="19"/>
      <c r="MEX21" s="19"/>
      <c r="MEY21" s="19"/>
      <c r="MEZ21" s="19"/>
      <c r="MFA21" s="19"/>
      <c r="MFB21" s="19"/>
      <c r="MFC21" s="19"/>
      <c r="MFD21" s="19"/>
      <c r="MFE21" s="19"/>
      <c r="MFF21" s="19"/>
      <c r="MFG21" s="19"/>
      <c r="MFH21" s="19"/>
      <c r="MFI21" s="19"/>
      <c r="MFJ21" s="19"/>
      <c r="MFK21" s="19"/>
      <c r="MFL21" s="19"/>
      <c r="MFM21" s="19"/>
      <c r="MFN21" s="19"/>
      <c r="MFO21" s="19"/>
      <c r="MFP21" s="19"/>
      <c r="MFQ21" s="19"/>
      <c r="MFR21" s="19"/>
      <c r="MFS21" s="19"/>
      <c r="MFT21" s="19"/>
      <c r="MFU21" s="19"/>
      <c r="MFV21" s="19"/>
      <c r="MFW21" s="19"/>
      <c r="MFX21" s="19"/>
      <c r="MFY21" s="19"/>
      <c r="MFZ21" s="19"/>
      <c r="MGA21" s="19"/>
      <c r="MGB21" s="19"/>
      <c r="MGC21" s="19"/>
      <c r="MGD21" s="19"/>
      <c r="MGE21" s="19"/>
      <c r="MGF21" s="19"/>
      <c r="MGG21" s="19"/>
      <c r="MGH21" s="19"/>
      <c r="MGI21" s="19"/>
      <c r="MGJ21" s="19"/>
      <c r="MGK21" s="19"/>
      <c r="MGL21" s="19"/>
      <c r="MGM21" s="19"/>
      <c r="MGN21" s="19"/>
      <c r="MGO21" s="19"/>
      <c r="MGP21" s="19"/>
      <c r="MGQ21" s="19"/>
      <c r="MGR21" s="19"/>
      <c r="MGS21" s="19"/>
      <c r="MGT21" s="19"/>
      <c r="MGU21" s="19"/>
      <c r="MGV21" s="19"/>
      <c r="MGW21" s="19"/>
      <c r="MGX21" s="19"/>
      <c r="MGY21" s="19"/>
      <c r="MGZ21" s="19"/>
      <c r="MHA21" s="19"/>
      <c r="MHB21" s="19"/>
      <c r="MHC21" s="19"/>
      <c r="MHD21" s="19"/>
      <c r="MHE21" s="19"/>
      <c r="MHF21" s="19"/>
      <c r="MHG21" s="19"/>
      <c r="MHH21" s="19"/>
      <c r="MHI21" s="19"/>
      <c r="MHJ21" s="19"/>
      <c r="MHK21" s="19"/>
      <c r="MHL21" s="19"/>
      <c r="MHM21" s="19"/>
      <c r="MHN21" s="19"/>
      <c r="MHO21" s="19"/>
      <c r="MHP21" s="19"/>
      <c r="MHQ21" s="19"/>
      <c r="MHR21" s="19"/>
      <c r="MHS21" s="19"/>
      <c r="MHT21" s="19"/>
      <c r="MHU21" s="19"/>
      <c r="MHV21" s="19"/>
      <c r="MHW21" s="19"/>
      <c r="MHX21" s="19"/>
      <c r="MHY21" s="19"/>
      <c r="MHZ21" s="19"/>
      <c r="MIA21" s="19"/>
      <c r="MIB21" s="19"/>
      <c r="MIC21" s="19"/>
      <c r="MID21" s="19"/>
      <c r="MIE21" s="19"/>
      <c r="MIF21" s="19"/>
      <c r="MIG21" s="19"/>
      <c r="MIH21" s="19"/>
      <c r="MII21" s="19"/>
      <c r="MIJ21" s="19"/>
      <c r="MIK21" s="19"/>
      <c r="MIL21" s="19"/>
      <c r="MIM21" s="19"/>
      <c r="MIN21" s="19"/>
      <c r="MIO21" s="19"/>
      <c r="MIP21" s="19"/>
      <c r="MIQ21" s="19"/>
      <c r="MIR21" s="19"/>
      <c r="MIS21" s="19"/>
      <c r="MIT21" s="19"/>
      <c r="MIU21" s="19"/>
      <c r="MIV21" s="19"/>
      <c r="MIW21" s="19"/>
      <c r="MIX21" s="19"/>
      <c r="MIY21" s="19"/>
      <c r="MIZ21" s="19"/>
      <c r="MJA21" s="19"/>
      <c r="MJB21" s="19"/>
      <c r="MJC21" s="19"/>
      <c r="MJD21" s="19"/>
      <c r="MJE21" s="19"/>
      <c r="MJF21" s="19"/>
      <c r="MJG21" s="19"/>
      <c r="MJH21" s="19"/>
      <c r="MJI21" s="19"/>
      <c r="MJJ21" s="19"/>
      <c r="MJK21" s="19"/>
      <c r="MJL21" s="19"/>
      <c r="MJM21" s="19"/>
      <c r="MJN21" s="19"/>
      <c r="MJO21" s="19"/>
      <c r="MJP21" s="19"/>
      <c r="MJQ21" s="19"/>
      <c r="MJR21" s="19"/>
      <c r="MJS21" s="19"/>
      <c r="MJT21" s="19"/>
      <c r="MJU21" s="19"/>
      <c r="MJV21" s="19"/>
      <c r="MJW21" s="19"/>
      <c r="MJX21" s="19"/>
      <c r="MJY21" s="19"/>
      <c r="MJZ21" s="19"/>
      <c r="MKA21" s="19"/>
      <c r="MKB21" s="19"/>
      <c r="MKC21" s="19"/>
      <c r="MKD21" s="19"/>
      <c r="MKE21" s="19"/>
      <c r="MKF21" s="19"/>
      <c r="MKG21" s="19"/>
      <c r="MKH21" s="19"/>
      <c r="MKI21" s="19"/>
      <c r="MKJ21" s="19"/>
      <c r="MKK21" s="19"/>
      <c r="MKL21" s="19"/>
      <c r="MKM21" s="19"/>
      <c r="MKN21" s="19"/>
      <c r="MKO21" s="19"/>
      <c r="MKP21" s="19"/>
      <c r="MKQ21" s="19"/>
      <c r="MKR21" s="19"/>
      <c r="MKS21" s="19"/>
      <c r="MKT21" s="19"/>
      <c r="MKU21" s="19"/>
      <c r="MKV21" s="19"/>
      <c r="MKW21" s="19"/>
      <c r="MKX21" s="19"/>
      <c r="MKY21" s="19"/>
      <c r="MKZ21" s="19"/>
      <c r="MLA21" s="19"/>
      <c r="MLB21" s="19"/>
      <c r="MLC21" s="19"/>
      <c r="MLD21" s="19"/>
      <c r="MLE21" s="19"/>
      <c r="MLF21" s="19"/>
      <c r="MLG21" s="19"/>
      <c r="MLH21" s="19"/>
      <c r="MLI21" s="19"/>
      <c r="MLJ21" s="19"/>
      <c r="MLK21" s="19"/>
      <c r="MLL21" s="19"/>
      <c r="MLM21" s="19"/>
      <c r="MLN21" s="19"/>
      <c r="MLO21" s="19"/>
      <c r="MLP21" s="19"/>
      <c r="MLQ21" s="19"/>
      <c r="MLR21" s="19"/>
      <c r="MLS21" s="19"/>
      <c r="MLT21" s="19"/>
      <c r="MLU21" s="19"/>
      <c r="MLV21" s="19"/>
      <c r="MLW21" s="19"/>
      <c r="MLX21" s="19"/>
      <c r="MLY21" s="19"/>
      <c r="MLZ21" s="19"/>
      <c r="MMA21" s="19"/>
      <c r="MMB21" s="19"/>
      <c r="MMC21" s="19"/>
      <c r="MMD21" s="19"/>
      <c r="MME21" s="19"/>
      <c r="MMF21" s="19"/>
      <c r="MMG21" s="19"/>
      <c r="MMH21" s="19"/>
      <c r="MMI21" s="19"/>
      <c r="MMJ21" s="19"/>
      <c r="MMK21" s="19"/>
      <c r="MML21" s="19"/>
      <c r="MMM21" s="19"/>
      <c r="MMN21" s="19"/>
      <c r="MMO21" s="19"/>
      <c r="MMP21" s="19"/>
      <c r="MMQ21" s="19"/>
      <c r="MMR21" s="19"/>
      <c r="MMS21" s="19"/>
      <c r="MMT21" s="19"/>
      <c r="MMU21" s="19"/>
      <c r="MMV21" s="19"/>
      <c r="MMW21" s="19"/>
      <c r="MMX21" s="19"/>
      <c r="MMY21" s="19"/>
      <c r="MMZ21" s="19"/>
      <c r="MNA21" s="19"/>
      <c r="MNB21" s="19"/>
      <c r="MNC21" s="19"/>
      <c r="MND21" s="19"/>
      <c r="MNE21" s="19"/>
      <c r="MNF21" s="19"/>
      <c r="MNG21" s="19"/>
      <c r="MNH21" s="19"/>
      <c r="MNI21" s="19"/>
      <c r="MNJ21" s="19"/>
      <c r="MNK21" s="19"/>
      <c r="MNL21" s="19"/>
      <c r="MNM21" s="19"/>
      <c r="MNN21" s="19"/>
      <c r="MNO21" s="19"/>
      <c r="MNP21" s="19"/>
      <c r="MNQ21" s="19"/>
      <c r="MNR21" s="19"/>
      <c r="MNS21" s="19"/>
      <c r="MNT21" s="19"/>
      <c r="MNU21" s="19"/>
      <c r="MNV21" s="19"/>
      <c r="MNW21" s="19"/>
      <c r="MNX21" s="19"/>
      <c r="MNY21" s="19"/>
      <c r="MNZ21" s="19"/>
      <c r="MOA21" s="19"/>
      <c r="MOB21" s="19"/>
      <c r="MOC21" s="19"/>
      <c r="MOD21" s="19"/>
      <c r="MOE21" s="19"/>
      <c r="MOF21" s="19"/>
      <c r="MOG21" s="19"/>
      <c r="MOH21" s="19"/>
      <c r="MOI21" s="19"/>
      <c r="MOJ21" s="19"/>
      <c r="MOK21" s="19"/>
      <c r="MOL21" s="19"/>
      <c r="MOM21" s="19"/>
      <c r="MON21" s="19"/>
      <c r="MOO21" s="19"/>
      <c r="MOP21" s="19"/>
      <c r="MOQ21" s="19"/>
      <c r="MOR21" s="19"/>
      <c r="MOS21" s="19"/>
      <c r="MOT21" s="19"/>
      <c r="MOU21" s="19"/>
      <c r="MOV21" s="19"/>
      <c r="MOW21" s="19"/>
      <c r="MOX21" s="19"/>
      <c r="MOY21" s="19"/>
      <c r="MOZ21" s="19"/>
      <c r="MPA21" s="19"/>
      <c r="MPB21" s="19"/>
      <c r="MPC21" s="19"/>
      <c r="MPD21" s="19"/>
      <c r="MPE21" s="19"/>
      <c r="MPF21" s="19"/>
      <c r="MPG21" s="19"/>
      <c r="MPH21" s="19"/>
      <c r="MPI21" s="19"/>
      <c r="MPJ21" s="19"/>
      <c r="MPK21" s="19"/>
      <c r="MPL21" s="19"/>
      <c r="MPM21" s="19"/>
      <c r="MPN21" s="19"/>
      <c r="MPO21" s="19"/>
      <c r="MPP21" s="19"/>
      <c r="MPQ21" s="19"/>
      <c r="MPR21" s="19"/>
      <c r="MPS21" s="19"/>
      <c r="MPT21" s="19"/>
      <c r="MPU21" s="19"/>
      <c r="MPV21" s="19"/>
      <c r="MPW21" s="19"/>
      <c r="MPX21" s="19"/>
      <c r="MPY21" s="19"/>
      <c r="MPZ21" s="19"/>
      <c r="MQA21" s="19"/>
      <c r="MQB21" s="19"/>
      <c r="MQC21" s="19"/>
      <c r="MQD21" s="19"/>
      <c r="MQE21" s="19"/>
      <c r="MQF21" s="19"/>
      <c r="MQG21" s="19"/>
      <c r="MQH21" s="19"/>
      <c r="MQI21" s="19"/>
      <c r="MQJ21" s="19"/>
      <c r="MQK21" s="19"/>
      <c r="MQL21" s="19"/>
      <c r="MQM21" s="19"/>
      <c r="MQN21" s="19"/>
      <c r="MQO21" s="19"/>
      <c r="MQP21" s="19"/>
      <c r="MQQ21" s="19"/>
      <c r="MQR21" s="19"/>
      <c r="MQS21" s="19"/>
      <c r="MQT21" s="19"/>
      <c r="MQU21" s="19"/>
      <c r="MQV21" s="19"/>
      <c r="MQW21" s="19"/>
      <c r="MQX21" s="19"/>
      <c r="MQY21" s="19"/>
      <c r="MQZ21" s="19"/>
      <c r="MRA21" s="19"/>
      <c r="MRB21" s="19"/>
      <c r="MRC21" s="19"/>
      <c r="MRD21" s="19"/>
      <c r="MRE21" s="19"/>
      <c r="MRF21" s="19"/>
      <c r="MRG21" s="19"/>
      <c r="MRH21" s="19"/>
      <c r="MRI21" s="19"/>
      <c r="MRJ21" s="19"/>
      <c r="MRK21" s="19"/>
      <c r="MRL21" s="19"/>
      <c r="MRM21" s="19"/>
      <c r="MRN21" s="19"/>
      <c r="MRO21" s="19"/>
      <c r="MRP21" s="19"/>
      <c r="MRQ21" s="19"/>
      <c r="MRR21" s="19"/>
      <c r="MRS21" s="19"/>
      <c r="MRT21" s="19"/>
      <c r="MRU21" s="19"/>
      <c r="MRV21" s="19"/>
      <c r="MRW21" s="19"/>
      <c r="MRX21" s="19"/>
      <c r="MRY21" s="19"/>
      <c r="MRZ21" s="19"/>
      <c r="MSA21" s="19"/>
      <c r="MSB21" s="19"/>
      <c r="MSC21" s="19"/>
      <c r="MSD21" s="19"/>
      <c r="MSE21" s="19"/>
      <c r="MSF21" s="19"/>
      <c r="MSG21" s="19"/>
      <c r="MSH21" s="19"/>
      <c r="MSI21" s="19"/>
      <c r="MSJ21" s="19"/>
      <c r="MSK21" s="19"/>
      <c r="MSL21" s="19"/>
      <c r="MSM21" s="19"/>
      <c r="MSN21" s="19"/>
      <c r="MSO21" s="19"/>
      <c r="MSP21" s="19"/>
      <c r="MSQ21" s="19"/>
      <c r="MSR21" s="19"/>
      <c r="MSS21" s="19"/>
      <c r="MST21" s="19"/>
      <c r="MSU21" s="19"/>
      <c r="MSV21" s="19"/>
      <c r="MSW21" s="19"/>
      <c r="MSX21" s="19"/>
      <c r="MSY21" s="19"/>
      <c r="MSZ21" s="19"/>
      <c r="MTA21" s="19"/>
      <c r="MTB21" s="19"/>
      <c r="MTC21" s="19"/>
      <c r="MTD21" s="19"/>
      <c r="MTE21" s="19"/>
      <c r="MTF21" s="19"/>
      <c r="MTG21" s="19"/>
      <c r="MTH21" s="19"/>
      <c r="MTI21" s="19"/>
      <c r="MTJ21" s="19"/>
      <c r="MTK21" s="19"/>
      <c r="MTL21" s="19"/>
      <c r="MTM21" s="19"/>
      <c r="MTN21" s="19"/>
      <c r="MTO21" s="19"/>
      <c r="MTP21" s="19"/>
      <c r="MTQ21" s="19"/>
      <c r="MTR21" s="19"/>
      <c r="MTS21" s="19"/>
      <c r="MTT21" s="19"/>
      <c r="MTU21" s="19"/>
      <c r="MTV21" s="19"/>
      <c r="MTW21" s="19"/>
      <c r="MTX21" s="19"/>
      <c r="MTY21" s="19"/>
      <c r="MTZ21" s="19"/>
      <c r="MUA21" s="19"/>
      <c r="MUB21" s="19"/>
      <c r="MUC21" s="19"/>
      <c r="MUD21" s="19"/>
      <c r="MUE21" s="19"/>
      <c r="MUF21" s="19"/>
      <c r="MUG21" s="19"/>
      <c r="MUH21" s="19"/>
      <c r="MUI21" s="19"/>
      <c r="MUJ21" s="19"/>
      <c r="MUK21" s="19"/>
      <c r="MUL21" s="19"/>
      <c r="MUM21" s="19"/>
      <c r="MUN21" s="19"/>
      <c r="MUO21" s="19"/>
      <c r="MUP21" s="19"/>
      <c r="MUQ21" s="19"/>
      <c r="MUR21" s="19"/>
      <c r="MUS21" s="19"/>
      <c r="MUT21" s="19"/>
      <c r="MUU21" s="19"/>
      <c r="MUV21" s="19"/>
      <c r="MUW21" s="19"/>
      <c r="MUX21" s="19"/>
      <c r="MUY21" s="19"/>
      <c r="MUZ21" s="19"/>
      <c r="MVA21" s="19"/>
      <c r="MVB21" s="19"/>
      <c r="MVC21" s="19"/>
      <c r="MVD21" s="19"/>
      <c r="MVE21" s="19"/>
      <c r="MVF21" s="19"/>
      <c r="MVG21" s="19"/>
      <c r="MVH21" s="19"/>
      <c r="MVI21" s="19"/>
      <c r="MVJ21" s="19"/>
      <c r="MVK21" s="19"/>
      <c r="MVL21" s="19"/>
      <c r="MVM21" s="19"/>
      <c r="MVN21" s="19"/>
      <c r="MVO21" s="19"/>
      <c r="MVP21" s="19"/>
      <c r="MVQ21" s="19"/>
      <c r="MVR21" s="19"/>
      <c r="MVS21" s="19"/>
      <c r="MVT21" s="19"/>
      <c r="MVU21" s="19"/>
      <c r="MVV21" s="19"/>
      <c r="MVW21" s="19"/>
      <c r="MVX21" s="19"/>
      <c r="MVY21" s="19"/>
      <c r="MVZ21" s="19"/>
      <c r="MWA21" s="19"/>
      <c r="MWB21" s="19"/>
      <c r="MWC21" s="19"/>
      <c r="MWD21" s="19"/>
      <c r="MWE21" s="19"/>
      <c r="MWF21" s="19"/>
      <c r="MWG21" s="19"/>
      <c r="MWH21" s="19"/>
      <c r="MWI21" s="19"/>
      <c r="MWJ21" s="19"/>
      <c r="MWK21" s="19"/>
      <c r="MWL21" s="19"/>
      <c r="MWM21" s="19"/>
      <c r="MWN21" s="19"/>
      <c r="MWO21" s="19"/>
      <c r="MWP21" s="19"/>
      <c r="MWQ21" s="19"/>
      <c r="MWR21" s="19"/>
      <c r="MWS21" s="19"/>
      <c r="MWT21" s="19"/>
      <c r="MWU21" s="19"/>
      <c r="MWV21" s="19"/>
      <c r="MWW21" s="19"/>
      <c r="MWX21" s="19"/>
      <c r="MWY21" s="19"/>
      <c r="MWZ21" s="19"/>
      <c r="MXA21" s="19"/>
      <c r="MXB21" s="19"/>
      <c r="MXC21" s="19"/>
      <c r="MXD21" s="19"/>
      <c r="MXE21" s="19"/>
      <c r="MXF21" s="19"/>
      <c r="MXG21" s="19"/>
      <c r="MXH21" s="19"/>
      <c r="MXI21" s="19"/>
      <c r="MXJ21" s="19"/>
      <c r="MXK21" s="19"/>
      <c r="MXL21" s="19"/>
      <c r="MXM21" s="19"/>
      <c r="MXN21" s="19"/>
      <c r="MXO21" s="19"/>
      <c r="MXP21" s="19"/>
      <c r="MXQ21" s="19"/>
      <c r="MXR21" s="19"/>
      <c r="MXS21" s="19"/>
      <c r="MXT21" s="19"/>
      <c r="MXU21" s="19"/>
      <c r="MXV21" s="19"/>
      <c r="MXW21" s="19"/>
      <c r="MXX21" s="19"/>
      <c r="MXY21" s="19"/>
      <c r="MXZ21" s="19"/>
      <c r="MYA21" s="19"/>
      <c r="MYB21" s="19"/>
      <c r="MYC21" s="19"/>
      <c r="MYD21" s="19"/>
      <c r="MYE21" s="19"/>
      <c r="MYF21" s="19"/>
      <c r="MYG21" s="19"/>
      <c r="MYH21" s="19"/>
      <c r="MYI21" s="19"/>
      <c r="MYJ21" s="19"/>
      <c r="MYK21" s="19"/>
      <c r="MYL21" s="19"/>
      <c r="MYM21" s="19"/>
      <c r="MYN21" s="19"/>
      <c r="MYO21" s="19"/>
      <c r="MYP21" s="19"/>
      <c r="MYQ21" s="19"/>
      <c r="MYR21" s="19"/>
      <c r="MYS21" s="19"/>
      <c r="MYT21" s="19"/>
      <c r="MYU21" s="19"/>
      <c r="MYV21" s="19"/>
      <c r="MYW21" s="19"/>
      <c r="MYX21" s="19"/>
      <c r="MYY21" s="19"/>
      <c r="MYZ21" s="19"/>
      <c r="MZA21" s="19"/>
      <c r="MZB21" s="19"/>
      <c r="MZC21" s="19"/>
      <c r="MZD21" s="19"/>
      <c r="MZE21" s="19"/>
      <c r="MZF21" s="19"/>
      <c r="MZG21" s="19"/>
      <c r="MZH21" s="19"/>
      <c r="MZI21" s="19"/>
      <c r="MZJ21" s="19"/>
      <c r="MZK21" s="19"/>
      <c r="MZL21" s="19"/>
      <c r="MZM21" s="19"/>
      <c r="MZN21" s="19"/>
      <c r="MZO21" s="19"/>
      <c r="MZP21" s="19"/>
      <c r="MZQ21" s="19"/>
      <c r="MZR21" s="19"/>
      <c r="MZS21" s="19"/>
      <c r="MZT21" s="19"/>
      <c r="MZU21" s="19"/>
      <c r="MZV21" s="19"/>
      <c r="MZW21" s="19"/>
      <c r="MZX21" s="19"/>
      <c r="MZY21" s="19"/>
      <c r="MZZ21" s="19"/>
      <c r="NAA21" s="19"/>
      <c r="NAB21" s="19"/>
      <c r="NAC21" s="19"/>
      <c r="NAD21" s="19"/>
      <c r="NAE21" s="19"/>
      <c r="NAF21" s="19"/>
      <c r="NAG21" s="19"/>
      <c r="NAH21" s="19"/>
      <c r="NAI21" s="19"/>
      <c r="NAJ21" s="19"/>
      <c r="NAK21" s="19"/>
      <c r="NAL21" s="19"/>
      <c r="NAM21" s="19"/>
      <c r="NAN21" s="19"/>
      <c r="NAO21" s="19"/>
      <c r="NAP21" s="19"/>
      <c r="NAQ21" s="19"/>
      <c r="NAR21" s="19"/>
      <c r="NAS21" s="19"/>
      <c r="NAT21" s="19"/>
      <c r="NAU21" s="19"/>
      <c r="NAV21" s="19"/>
      <c r="NAW21" s="19"/>
      <c r="NAX21" s="19"/>
      <c r="NAY21" s="19"/>
      <c r="NAZ21" s="19"/>
      <c r="NBA21" s="19"/>
      <c r="NBB21" s="19"/>
      <c r="NBC21" s="19"/>
      <c r="NBD21" s="19"/>
      <c r="NBE21" s="19"/>
      <c r="NBF21" s="19"/>
      <c r="NBG21" s="19"/>
      <c r="NBH21" s="19"/>
      <c r="NBI21" s="19"/>
      <c r="NBJ21" s="19"/>
      <c r="NBK21" s="19"/>
      <c r="NBL21" s="19"/>
      <c r="NBM21" s="19"/>
      <c r="NBN21" s="19"/>
      <c r="NBO21" s="19"/>
      <c r="NBP21" s="19"/>
      <c r="NBQ21" s="19"/>
      <c r="NBR21" s="19"/>
      <c r="NBS21" s="19"/>
      <c r="NBT21" s="19"/>
      <c r="NBU21" s="19"/>
      <c r="NBV21" s="19"/>
      <c r="NBW21" s="19"/>
      <c r="NBX21" s="19"/>
      <c r="NBY21" s="19"/>
      <c r="NBZ21" s="19"/>
      <c r="NCA21" s="19"/>
      <c r="NCB21" s="19"/>
      <c r="NCC21" s="19"/>
      <c r="NCD21" s="19"/>
      <c r="NCE21" s="19"/>
      <c r="NCF21" s="19"/>
      <c r="NCG21" s="19"/>
      <c r="NCH21" s="19"/>
      <c r="NCI21" s="19"/>
      <c r="NCJ21" s="19"/>
      <c r="NCK21" s="19"/>
      <c r="NCL21" s="19"/>
      <c r="NCM21" s="19"/>
      <c r="NCN21" s="19"/>
      <c r="NCO21" s="19"/>
      <c r="NCP21" s="19"/>
      <c r="NCQ21" s="19"/>
      <c r="NCR21" s="19"/>
      <c r="NCS21" s="19"/>
      <c r="NCT21" s="19"/>
      <c r="NCU21" s="19"/>
      <c r="NCV21" s="19"/>
      <c r="NCW21" s="19"/>
      <c r="NCX21" s="19"/>
      <c r="NCY21" s="19"/>
      <c r="NCZ21" s="19"/>
      <c r="NDA21" s="19"/>
      <c r="NDB21" s="19"/>
      <c r="NDC21" s="19"/>
      <c r="NDD21" s="19"/>
      <c r="NDE21" s="19"/>
      <c r="NDF21" s="19"/>
      <c r="NDG21" s="19"/>
      <c r="NDH21" s="19"/>
      <c r="NDI21" s="19"/>
      <c r="NDJ21" s="19"/>
      <c r="NDK21" s="19"/>
      <c r="NDL21" s="19"/>
      <c r="NDM21" s="19"/>
      <c r="NDN21" s="19"/>
      <c r="NDO21" s="19"/>
      <c r="NDP21" s="19"/>
      <c r="NDQ21" s="19"/>
      <c r="NDR21" s="19"/>
      <c r="NDS21" s="19"/>
      <c r="NDT21" s="19"/>
      <c r="NDU21" s="19"/>
      <c r="NDV21" s="19"/>
      <c r="NDW21" s="19"/>
      <c r="NDX21" s="19"/>
      <c r="NDY21" s="19"/>
      <c r="NDZ21" s="19"/>
      <c r="NEA21" s="19"/>
      <c r="NEB21" s="19"/>
      <c r="NEC21" s="19"/>
      <c r="NED21" s="19"/>
      <c r="NEE21" s="19"/>
      <c r="NEF21" s="19"/>
      <c r="NEG21" s="19"/>
      <c r="NEH21" s="19"/>
      <c r="NEI21" s="19"/>
      <c r="NEJ21" s="19"/>
      <c r="NEK21" s="19"/>
      <c r="NEL21" s="19"/>
      <c r="NEM21" s="19"/>
      <c r="NEN21" s="19"/>
      <c r="NEO21" s="19"/>
      <c r="NEP21" s="19"/>
      <c r="NEQ21" s="19"/>
      <c r="NER21" s="19"/>
      <c r="NES21" s="19"/>
      <c r="NET21" s="19"/>
      <c r="NEU21" s="19"/>
      <c r="NEV21" s="19"/>
      <c r="NEW21" s="19"/>
      <c r="NEX21" s="19"/>
      <c r="NEY21" s="19"/>
      <c r="NEZ21" s="19"/>
      <c r="NFA21" s="19"/>
      <c r="NFB21" s="19"/>
      <c r="NFC21" s="19"/>
      <c r="NFD21" s="19"/>
      <c r="NFE21" s="19"/>
      <c r="NFF21" s="19"/>
      <c r="NFG21" s="19"/>
      <c r="NFH21" s="19"/>
      <c r="NFI21" s="19"/>
      <c r="NFJ21" s="19"/>
      <c r="NFK21" s="19"/>
      <c r="NFL21" s="19"/>
      <c r="NFM21" s="19"/>
      <c r="NFN21" s="19"/>
      <c r="NFO21" s="19"/>
      <c r="NFP21" s="19"/>
      <c r="NFQ21" s="19"/>
      <c r="NFR21" s="19"/>
      <c r="NFS21" s="19"/>
      <c r="NFT21" s="19"/>
      <c r="NFU21" s="19"/>
      <c r="NFV21" s="19"/>
      <c r="NFW21" s="19"/>
      <c r="NFX21" s="19"/>
      <c r="NFY21" s="19"/>
      <c r="NFZ21" s="19"/>
      <c r="NGA21" s="19"/>
      <c r="NGB21" s="19"/>
      <c r="NGC21" s="19"/>
      <c r="NGD21" s="19"/>
      <c r="NGE21" s="19"/>
      <c r="NGF21" s="19"/>
      <c r="NGG21" s="19"/>
      <c r="NGH21" s="19"/>
      <c r="NGI21" s="19"/>
      <c r="NGJ21" s="19"/>
      <c r="NGK21" s="19"/>
      <c r="NGL21" s="19"/>
      <c r="NGM21" s="19"/>
      <c r="NGN21" s="19"/>
      <c r="NGO21" s="19"/>
      <c r="NGP21" s="19"/>
      <c r="NGQ21" s="19"/>
      <c r="NGR21" s="19"/>
      <c r="NGS21" s="19"/>
      <c r="NGT21" s="19"/>
      <c r="NGU21" s="19"/>
      <c r="NGV21" s="19"/>
      <c r="NGW21" s="19"/>
      <c r="NGX21" s="19"/>
      <c r="NGY21" s="19"/>
      <c r="NGZ21" s="19"/>
      <c r="NHA21" s="19"/>
      <c r="NHB21" s="19"/>
      <c r="NHC21" s="19"/>
      <c r="NHD21" s="19"/>
      <c r="NHE21" s="19"/>
      <c r="NHF21" s="19"/>
      <c r="NHG21" s="19"/>
      <c r="NHH21" s="19"/>
      <c r="NHI21" s="19"/>
      <c r="NHJ21" s="19"/>
      <c r="NHK21" s="19"/>
      <c r="NHL21" s="19"/>
      <c r="NHM21" s="19"/>
      <c r="NHN21" s="19"/>
      <c r="NHO21" s="19"/>
      <c r="NHP21" s="19"/>
      <c r="NHQ21" s="19"/>
      <c r="NHR21" s="19"/>
      <c r="NHS21" s="19"/>
      <c r="NHT21" s="19"/>
      <c r="NHU21" s="19"/>
      <c r="NHV21" s="19"/>
      <c r="NHW21" s="19"/>
      <c r="NHX21" s="19"/>
      <c r="NHY21" s="19"/>
      <c r="NHZ21" s="19"/>
      <c r="NIA21" s="19"/>
      <c r="NIB21" s="19"/>
      <c r="NIC21" s="19"/>
      <c r="NID21" s="19"/>
      <c r="NIE21" s="19"/>
      <c r="NIF21" s="19"/>
      <c r="NIG21" s="19"/>
      <c r="NIH21" s="19"/>
      <c r="NII21" s="19"/>
      <c r="NIJ21" s="19"/>
      <c r="NIK21" s="19"/>
      <c r="NIL21" s="19"/>
      <c r="NIM21" s="19"/>
      <c r="NIN21" s="19"/>
      <c r="NIO21" s="19"/>
      <c r="NIP21" s="19"/>
      <c r="NIQ21" s="19"/>
      <c r="NIR21" s="19"/>
      <c r="NIS21" s="19"/>
      <c r="NIT21" s="19"/>
      <c r="NIU21" s="19"/>
      <c r="NIV21" s="19"/>
      <c r="NIW21" s="19"/>
      <c r="NIX21" s="19"/>
      <c r="NIY21" s="19"/>
      <c r="NIZ21" s="19"/>
      <c r="NJA21" s="19"/>
      <c r="NJB21" s="19"/>
      <c r="NJC21" s="19"/>
      <c r="NJD21" s="19"/>
      <c r="NJE21" s="19"/>
      <c r="NJF21" s="19"/>
      <c r="NJG21" s="19"/>
      <c r="NJH21" s="19"/>
      <c r="NJI21" s="19"/>
      <c r="NJJ21" s="19"/>
      <c r="NJK21" s="19"/>
      <c r="NJL21" s="19"/>
      <c r="NJM21" s="19"/>
      <c r="NJN21" s="19"/>
      <c r="NJO21" s="19"/>
      <c r="NJP21" s="19"/>
      <c r="NJQ21" s="19"/>
      <c r="NJR21" s="19"/>
      <c r="NJS21" s="19"/>
      <c r="NJT21" s="19"/>
      <c r="NJU21" s="19"/>
      <c r="NJV21" s="19"/>
      <c r="NJW21" s="19"/>
      <c r="NJX21" s="19"/>
      <c r="NJY21" s="19"/>
      <c r="NJZ21" s="19"/>
      <c r="NKA21" s="19"/>
      <c r="NKB21" s="19"/>
      <c r="NKC21" s="19"/>
      <c r="NKD21" s="19"/>
      <c r="NKE21" s="19"/>
      <c r="NKF21" s="19"/>
      <c r="NKG21" s="19"/>
      <c r="NKH21" s="19"/>
      <c r="NKI21" s="19"/>
      <c r="NKJ21" s="19"/>
      <c r="NKK21" s="19"/>
      <c r="NKL21" s="19"/>
      <c r="NKM21" s="19"/>
      <c r="NKN21" s="19"/>
      <c r="NKO21" s="19"/>
      <c r="NKP21" s="19"/>
      <c r="NKQ21" s="19"/>
      <c r="NKR21" s="19"/>
      <c r="NKS21" s="19"/>
      <c r="NKT21" s="19"/>
      <c r="NKU21" s="19"/>
      <c r="NKV21" s="19"/>
      <c r="NKW21" s="19"/>
      <c r="NKX21" s="19"/>
      <c r="NKY21" s="19"/>
      <c r="NKZ21" s="19"/>
      <c r="NLA21" s="19"/>
      <c r="NLB21" s="19"/>
      <c r="NLC21" s="19"/>
      <c r="NLD21" s="19"/>
      <c r="NLE21" s="19"/>
      <c r="NLF21" s="19"/>
      <c r="NLG21" s="19"/>
      <c r="NLH21" s="19"/>
      <c r="NLI21" s="19"/>
      <c r="NLJ21" s="19"/>
      <c r="NLK21" s="19"/>
      <c r="NLL21" s="19"/>
      <c r="NLM21" s="19"/>
      <c r="NLN21" s="19"/>
      <c r="NLO21" s="19"/>
      <c r="NLP21" s="19"/>
      <c r="NLQ21" s="19"/>
      <c r="NLR21" s="19"/>
      <c r="NLS21" s="19"/>
      <c r="NLT21" s="19"/>
      <c r="NLU21" s="19"/>
      <c r="NLV21" s="19"/>
      <c r="NLW21" s="19"/>
      <c r="NLX21" s="19"/>
      <c r="NLY21" s="19"/>
      <c r="NLZ21" s="19"/>
      <c r="NMA21" s="19"/>
      <c r="NMB21" s="19"/>
      <c r="NMC21" s="19"/>
      <c r="NMD21" s="19"/>
      <c r="NME21" s="19"/>
      <c r="NMF21" s="19"/>
      <c r="NMG21" s="19"/>
      <c r="NMH21" s="19"/>
      <c r="NMI21" s="19"/>
      <c r="NMJ21" s="19"/>
      <c r="NMK21" s="19"/>
      <c r="NML21" s="19"/>
      <c r="NMM21" s="19"/>
      <c r="NMN21" s="19"/>
      <c r="NMO21" s="19"/>
      <c r="NMP21" s="19"/>
      <c r="NMQ21" s="19"/>
      <c r="NMR21" s="19"/>
      <c r="NMS21" s="19"/>
      <c r="NMT21" s="19"/>
      <c r="NMU21" s="19"/>
      <c r="NMV21" s="19"/>
      <c r="NMW21" s="19"/>
      <c r="NMX21" s="19"/>
      <c r="NMY21" s="19"/>
      <c r="NMZ21" s="19"/>
      <c r="NNA21" s="19"/>
      <c r="NNB21" s="19"/>
      <c r="NNC21" s="19"/>
      <c r="NND21" s="19"/>
      <c r="NNE21" s="19"/>
      <c r="NNF21" s="19"/>
      <c r="NNG21" s="19"/>
      <c r="NNH21" s="19"/>
      <c r="NNI21" s="19"/>
      <c r="NNJ21" s="19"/>
      <c r="NNK21" s="19"/>
      <c r="NNL21" s="19"/>
      <c r="NNM21" s="19"/>
      <c r="NNN21" s="19"/>
      <c r="NNO21" s="19"/>
      <c r="NNP21" s="19"/>
      <c r="NNQ21" s="19"/>
      <c r="NNR21" s="19"/>
      <c r="NNS21" s="19"/>
      <c r="NNT21" s="19"/>
      <c r="NNU21" s="19"/>
      <c r="NNV21" s="19"/>
      <c r="NNW21" s="19"/>
      <c r="NNX21" s="19"/>
      <c r="NNY21" s="19"/>
      <c r="NNZ21" s="19"/>
      <c r="NOA21" s="19"/>
      <c r="NOB21" s="19"/>
      <c r="NOC21" s="19"/>
      <c r="NOD21" s="19"/>
      <c r="NOE21" s="19"/>
      <c r="NOF21" s="19"/>
      <c r="NOG21" s="19"/>
      <c r="NOH21" s="19"/>
      <c r="NOI21" s="19"/>
      <c r="NOJ21" s="19"/>
      <c r="NOK21" s="19"/>
      <c r="NOL21" s="19"/>
      <c r="NOM21" s="19"/>
      <c r="NON21" s="19"/>
      <c r="NOO21" s="19"/>
      <c r="NOP21" s="19"/>
      <c r="NOQ21" s="19"/>
      <c r="NOR21" s="19"/>
      <c r="NOS21" s="19"/>
      <c r="NOT21" s="19"/>
      <c r="NOU21" s="19"/>
      <c r="NOV21" s="19"/>
      <c r="NOW21" s="19"/>
      <c r="NOX21" s="19"/>
      <c r="NOY21" s="19"/>
      <c r="NOZ21" s="19"/>
      <c r="NPA21" s="19"/>
      <c r="NPB21" s="19"/>
      <c r="NPC21" s="19"/>
      <c r="NPD21" s="19"/>
      <c r="NPE21" s="19"/>
      <c r="NPF21" s="19"/>
      <c r="NPG21" s="19"/>
      <c r="NPH21" s="19"/>
      <c r="NPI21" s="19"/>
      <c r="NPJ21" s="19"/>
      <c r="NPK21" s="19"/>
      <c r="NPL21" s="19"/>
      <c r="NPM21" s="19"/>
      <c r="NPN21" s="19"/>
      <c r="NPO21" s="19"/>
      <c r="NPP21" s="19"/>
      <c r="NPQ21" s="19"/>
      <c r="NPR21" s="19"/>
      <c r="NPS21" s="19"/>
      <c r="NPT21" s="19"/>
      <c r="NPU21" s="19"/>
      <c r="NPV21" s="19"/>
      <c r="NPW21" s="19"/>
      <c r="NPX21" s="19"/>
      <c r="NPY21" s="19"/>
      <c r="NPZ21" s="19"/>
      <c r="NQA21" s="19"/>
      <c r="NQB21" s="19"/>
      <c r="NQC21" s="19"/>
      <c r="NQD21" s="19"/>
      <c r="NQE21" s="19"/>
      <c r="NQF21" s="19"/>
      <c r="NQG21" s="19"/>
      <c r="NQH21" s="19"/>
      <c r="NQI21" s="19"/>
      <c r="NQJ21" s="19"/>
      <c r="NQK21" s="19"/>
      <c r="NQL21" s="19"/>
      <c r="NQM21" s="19"/>
      <c r="NQN21" s="19"/>
      <c r="NQO21" s="19"/>
      <c r="NQP21" s="19"/>
      <c r="NQQ21" s="19"/>
      <c r="NQR21" s="19"/>
      <c r="NQS21" s="19"/>
      <c r="NQT21" s="19"/>
      <c r="NQU21" s="19"/>
      <c r="NQV21" s="19"/>
      <c r="NQW21" s="19"/>
      <c r="NQX21" s="19"/>
      <c r="NQY21" s="19"/>
      <c r="NQZ21" s="19"/>
      <c r="NRA21" s="19"/>
      <c r="NRB21" s="19"/>
      <c r="NRC21" s="19"/>
      <c r="NRD21" s="19"/>
      <c r="NRE21" s="19"/>
      <c r="NRF21" s="19"/>
      <c r="NRG21" s="19"/>
      <c r="NRH21" s="19"/>
      <c r="NRI21" s="19"/>
      <c r="NRJ21" s="19"/>
      <c r="NRK21" s="19"/>
      <c r="NRL21" s="19"/>
      <c r="NRM21" s="19"/>
      <c r="NRN21" s="19"/>
      <c r="NRO21" s="19"/>
      <c r="NRP21" s="19"/>
      <c r="NRQ21" s="19"/>
      <c r="NRR21" s="19"/>
      <c r="NRS21" s="19"/>
      <c r="NRT21" s="19"/>
      <c r="NRU21" s="19"/>
      <c r="NRV21" s="19"/>
      <c r="NRW21" s="19"/>
      <c r="NRX21" s="19"/>
      <c r="NRY21" s="19"/>
      <c r="NRZ21" s="19"/>
      <c r="NSA21" s="19"/>
      <c r="NSB21" s="19"/>
      <c r="NSC21" s="19"/>
      <c r="NSD21" s="19"/>
      <c r="NSE21" s="19"/>
      <c r="NSF21" s="19"/>
      <c r="NSG21" s="19"/>
      <c r="NSH21" s="19"/>
      <c r="NSI21" s="19"/>
      <c r="NSJ21" s="19"/>
      <c r="NSK21" s="19"/>
      <c r="NSL21" s="19"/>
      <c r="NSM21" s="19"/>
      <c r="NSN21" s="19"/>
      <c r="NSO21" s="19"/>
      <c r="NSP21" s="19"/>
      <c r="NSQ21" s="19"/>
      <c r="NSR21" s="19"/>
      <c r="NSS21" s="19"/>
      <c r="NST21" s="19"/>
      <c r="NSU21" s="19"/>
      <c r="NSV21" s="19"/>
      <c r="NSW21" s="19"/>
      <c r="NSX21" s="19"/>
      <c r="NSY21" s="19"/>
      <c r="NSZ21" s="19"/>
      <c r="NTA21" s="19"/>
      <c r="NTB21" s="19"/>
      <c r="NTC21" s="19"/>
      <c r="NTD21" s="19"/>
      <c r="NTE21" s="19"/>
      <c r="NTF21" s="19"/>
      <c r="NTG21" s="19"/>
      <c r="NTH21" s="19"/>
      <c r="NTI21" s="19"/>
      <c r="NTJ21" s="19"/>
      <c r="NTK21" s="19"/>
      <c r="NTL21" s="19"/>
      <c r="NTM21" s="19"/>
      <c r="NTN21" s="19"/>
      <c r="NTO21" s="19"/>
      <c r="NTP21" s="19"/>
      <c r="NTQ21" s="19"/>
      <c r="NTR21" s="19"/>
      <c r="NTS21" s="19"/>
      <c r="NTT21" s="19"/>
      <c r="NTU21" s="19"/>
      <c r="NTV21" s="19"/>
      <c r="NTW21" s="19"/>
      <c r="NTX21" s="19"/>
      <c r="NTY21" s="19"/>
      <c r="NTZ21" s="19"/>
      <c r="NUA21" s="19"/>
      <c r="NUB21" s="19"/>
      <c r="NUC21" s="19"/>
      <c r="NUD21" s="19"/>
      <c r="NUE21" s="19"/>
      <c r="NUF21" s="19"/>
      <c r="NUG21" s="19"/>
      <c r="NUH21" s="19"/>
      <c r="NUI21" s="19"/>
      <c r="NUJ21" s="19"/>
      <c r="NUK21" s="19"/>
      <c r="NUL21" s="19"/>
      <c r="NUM21" s="19"/>
      <c r="NUN21" s="19"/>
      <c r="NUO21" s="19"/>
      <c r="NUP21" s="19"/>
      <c r="NUQ21" s="19"/>
      <c r="NUR21" s="19"/>
      <c r="NUS21" s="19"/>
      <c r="NUT21" s="19"/>
      <c r="NUU21" s="19"/>
      <c r="NUV21" s="19"/>
      <c r="NUW21" s="19"/>
      <c r="NUX21" s="19"/>
      <c r="NUY21" s="19"/>
      <c r="NUZ21" s="19"/>
      <c r="NVA21" s="19"/>
      <c r="NVB21" s="19"/>
      <c r="NVC21" s="19"/>
      <c r="NVD21" s="19"/>
      <c r="NVE21" s="19"/>
      <c r="NVF21" s="19"/>
      <c r="NVG21" s="19"/>
      <c r="NVH21" s="19"/>
      <c r="NVI21" s="19"/>
      <c r="NVJ21" s="19"/>
      <c r="NVK21" s="19"/>
      <c r="NVL21" s="19"/>
      <c r="NVM21" s="19"/>
      <c r="NVN21" s="19"/>
      <c r="NVO21" s="19"/>
      <c r="NVP21" s="19"/>
      <c r="NVQ21" s="19"/>
      <c r="NVR21" s="19"/>
      <c r="NVS21" s="19"/>
      <c r="NVT21" s="19"/>
      <c r="NVU21" s="19"/>
      <c r="NVV21" s="19"/>
      <c r="NVW21" s="19"/>
      <c r="NVX21" s="19"/>
      <c r="NVY21" s="19"/>
      <c r="NVZ21" s="19"/>
      <c r="NWA21" s="19"/>
      <c r="NWB21" s="19"/>
      <c r="NWC21" s="19"/>
      <c r="NWD21" s="19"/>
      <c r="NWE21" s="19"/>
      <c r="NWF21" s="19"/>
      <c r="NWG21" s="19"/>
      <c r="NWH21" s="19"/>
      <c r="NWI21" s="19"/>
      <c r="NWJ21" s="19"/>
      <c r="NWK21" s="19"/>
      <c r="NWL21" s="19"/>
      <c r="NWM21" s="19"/>
      <c r="NWN21" s="19"/>
      <c r="NWO21" s="19"/>
      <c r="NWP21" s="19"/>
      <c r="NWQ21" s="19"/>
      <c r="NWR21" s="19"/>
      <c r="NWS21" s="19"/>
      <c r="NWT21" s="19"/>
      <c r="NWU21" s="19"/>
      <c r="NWV21" s="19"/>
      <c r="NWW21" s="19"/>
      <c r="NWX21" s="19"/>
      <c r="NWY21" s="19"/>
      <c r="NWZ21" s="19"/>
      <c r="NXA21" s="19"/>
      <c r="NXB21" s="19"/>
      <c r="NXC21" s="19"/>
      <c r="NXD21" s="19"/>
      <c r="NXE21" s="19"/>
      <c r="NXF21" s="19"/>
      <c r="NXG21" s="19"/>
      <c r="NXH21" s="19"/>
      <c r="NXI21" s="19"/>
      <c r="NXJ21" s="19"/>
      <c r="NXK21" s="19"/>
      <c r="NXL21" s="19"/>
      <c r="NXM21" s="19"/>
      <c r="NXN21" s="19"/>
      <c r="NXO21" s="19"/>
      <c r="NXP21" s="19"/>
      <c r="NXQ21" s="19"/>
      <c r="NXR21" s="19"/>
      <c r="NXS21" s="19"/>
      <c r="NXT21" s="19"/>
      <c r="NXU21" s="19"/>
      <c r="NXV21" s="19"/>
      <c r="NXW21" s="19"/>
      <c r="NXX21" s="19"/>
      <c r="NXY21" s="19"/>
      <c r="NXZ21" s="19"/>
      <c r="NYA21" s="19"/>
      <c r="NYB21" s="19"/>
      <c r="NYC21" s="19"/>
      <c r="NYD21" s="19"/>
      <c r="NYE21" s="19"/>
      <c r="NYF21" s="19"/>
      <c r="NYG21" s="19"/>
      <c r="NYH21" s="19"/>
      <c r="NYI21" s="19"/>
      <c r="NYJ21" s="19"/>
      <c r="NYK21" s="19"/>
      <c r="NYL21" s="19"/>
      <c r="NYM21" s="19"/>
      <c r="NYN21" s="19"/>
      <c r="NYO21" s="19"/>
      <c r="NYP21" s="19"/>
      <c r="NYQ21" s="19"/>
      <c r="NYR21" s="19"/>
      <c r="NYS21" s="19"/>
      <c r="NYT21" s="19"/>
      <c r="NYU21" s="19"/>
      <c r="NYV21" s="19"/>
      <c r="NYW21" s="19"/>
      <c r="NYX21" s="19"/>
      <c r="NYY21" s="19"/>
      <c r="NYZ21" s="19"/>
      <c r="NZA21" s="19"/>
      <c r="NZB21" s="19"/>
      <c r="NZC21" s="19"/>
      <c r="NZD21" s="19"/>
      <c r="NZE21" s="19"/>
      <c r="NZF21" s="19"/>
      <c r="NZG21" s="19"/>
      <c r="NZH21" s="19"/>
      <c r="NZI21" s="19"/>
      <c r="NZJ21" s="19"/>
      <c r="NZK21" s="19"/>
      <c r="NZL21" s="19"/>
      <c r="NZM21" s="19"/>
      <c r="NZN21" s="19"/>
      <c r="NZO21" s="19"/>
      <c r="NZP21" s="19"/>
      <c r="NZQ21" s="19"/>
      <c r="NZR21" s="19"/>
      <c r="NZS21" s="19"/>
      <c r="NZT21" s="19"/>
      <c r="NZU21" s="19"/>
      <c r="NZV21" s="19"/>
      <c r="NZW21" s="19"/>
      <c r="NZX21" s="19"/>
      <c r="NZY21" s="19"/>
      <c r="NZZ21" s="19"/>
      <c r="OAA21" s="19"/>
      <c r="OAB21" s="19"/>
      <c r="OAC21" s="19"/>
      <c r="OAD21" s="19"/>
      <c r="OAE21" s="19"/>
      <c r="OAF21" s="19"/>
      <c r="OAG21" s="19"/>
      <c r="OAH21" s="19"/>
      <c r="OAI21" s="19"/>
      <c r="OAJ21" s="19"/>
      <c r="OAK21" s="19"/>
      <c r="OAL21" s="19"/>
      <c r="OAM21" s="19"/>
      <c r="OAN21" s="19"/>
      <c r="OAO21" s="19"/>
      <c r="OAP21" s="19"/>
      <c r="OAQ21" s="19"/>
      <c r="OAR21" s="19"/>
      <c r="OAS21" s="19"/>
      <c r="OAT21" s="19"/>
      <c r="OAU21" s="19"/>
      <c r="OAV21" s="19"/>
      <c r="OAW21" s="19"/>
      <c r="OAX21" s="19"/>
      <c r="OAY21" s="19"/>
      <c r="OAZ21" s="19"/>
      <c r="OBA21" s="19"/>
      <c r="OBB21" s="19"/>
      <c r="OBC21" s="19"/>
      <c r="OBD21" s="19"/>
      <c r="OBE21" s="19"/>
      <c r="OBF21" s="19"/>
      <c r="OBG21" s="19"/>
      <c r="OBH21" s="19"/>
      <c r="OBI21" s="19"/>
      <c r="OBJ21" s="19"/>
      <c r="OBK21" s="19"/>
      <c r="OBL21" s="19"/>
      <c r="OBM21" s="19"/>
      <c r="OBN21" s="19"/>
      <c r="OBO21" s="19"/>
      <c r="OBP21" s="19"/>
      <c r="OBQ21" s="19"/>
      <c r="OBR21" s="19"/>
      <c r="OBS21" s="19"/>
      <c r="OBT21" s="19"/>
      <c r="OBU21" s="19"/>
      <c r="OBV21" s="19"/>
      <c r="OBW21" s="19"/>
      <c r="OBX21" s="19"/>
      <c r="OBY21" s="19"/>
      <c r="OBZ21" s="19"/>
      <c r="OCA21" s="19"/>
      <c r="OCB21" s="19"/>
      <c r="OCC21" s="19"/>
      <c r="OCD21" s="19"/>
      <c r="OCE21" s="19"/>
      <c r="OCF21" s="19"/>
      <c r="OCG21" s="19"/>
      <c r="OCH21" s="19"/>
      <c r="OCI21" s="19"/>
      <c r="OCJ21" s="19"/>
      <c r="OCK21" s="19"/>
      <c r="OCL21" s="19"/>
      <c r="OCM21" s="19"/>
      <c r="OCN21" s="19"/>
      <c r="OCO21" s="19"/>
      <c r="OCP21" s="19"/>
      <c r="OCQ21" s="19"/>
      <c r="OCR21" s="19"/>
      <c r="OCS21" s="19"/>
      <c r="OCT21" s="19"/>
      <c r="OCU21" s="19"/>
      <c r="OCV21" s="19"/>
      <c r="OCW21" s="19"/>
      <c r="OCX21" s="19"/>
      <c r="OCY21" s="19"/>
      <c r="OCZ21" s="19"/>
      <c r="ODA21" s="19"/>
      <c r="ODB21" s="19"/>
      <c r="ODC21" s="19"/>
      <c r="ODD21" s="19"/>
      <c r="ODE21" s="19"/>
      <c r="ODF21" s="19"/>
      <c r="ODG21" s="19"/>
      <c r="ODH21" s="19"/>
      <c r="ODI21" s="19"/>
      <c r="ODJ21" s="19"/>
      <c r="ODK21" s="19"/>
      <c r="ODL21" s="19"/>
      <c r="ODM21" s="19"/>
      <c r="ODN21" s="19"/>
      <c r="ODO21" s="19"/>
      <c r="ODP21" s="19"/>
      <c r="ODQ21" s="19"/>
      <c r="ODR21" s="19"/>
      <c r="ODS21" s="19"/>
      <c r="ODT21" s="19"/>
      <c r="ODU21" s="19"/>
      <c r="ODV21" s="19"/>
      <c r="ODW21" s="19"/>
      <c r="ODX21" s="19"/>
      <c r="ODY21" s="19"/>
      <c r="ODZ21" s="19"/>
      <c r="OEA21" s="19"/>
      <c r="OEB21" s="19"/>
      <c r="OEC21" s="19"/>
      <c r="OED21" s="19"/>
      <c r="OEE21" s="19"/>
      <c r="OEF21" s="19"/>
      <c r="OEG21" s="19"/>
      <c r="OEH21" s="19"/>
      <c r="OEI21" s="19"/>
      <c r="OEJ21" s="19"/>
      <c r="OEK21" s="19"/>
      <c r="OEL21" s="19"/>
      <c r="OEM21" s="19"/>
      <c r="OEN21" s="19"/>
      <c r="OEO21" s="19"/>
      <c r="OEP21" s="19"/>
      <c r="OEQ21" s="19"/>
      <c r="OER21" s="19"/>
      <c r="OES21" s="19"/>
      <c r="OET21" s="19"/>
      <c r="OEU21" s="19"/>
      <c r="OEV21" s="19"/>
      <c r="OEW21" s="19"/>
      <c r="OEX21" s="19"/>
      <c r="OEY21" s="19"/>
      <c r="OEZ21" s="19"/>
      <c r="OFA21" s="19"/>
      <c r="OFB21" s="19"/>
      <c r="OFC21" s="19"/>
      <c r="OFD21" s="19"/>
      <c r="OFE21" s="19"/>
      <c r="OFF21" s="19"/>
      <c r="OFG21" s="19"/>
      <c r="OFH21" s="19"/>
      <c r="OFI21" s="19"/>
      <c r="OFJ21" s="19"/>
      <c r="OFK21" s="19"/>
      <c r="OFL21" s="19"/>
      <c r="OFM21" s="19"/>
      <c r="OFN21" s="19"/>
      <c r="OFO21" s="19"/>
      <c r="OFP21" s="19"/>
      <c r="OFQ21" s="19"/>
      <c r="OFR21" s="19"/>
      <c r="OFS21" s="19"/>
      <c r="OFT21" s="19"/>
      <c r="OFU21" s="19"/>
      <c r="OFV21" s="19"/>
      <c r="OFW21" s="19"/>
      <c r="OFX21" s="19"/>
      <c r="OFY21" s="19"/>
      <c r="OFZ21" s="19"/>
      <c r="OGA21" s="19"/>
      <c r="OGB21" s="19"/>
      <c r="OGC21" s="19"/>
      <c r="OGD21" s="19"/>
      <c r="OGE21" s="19"/>
      <c r="OGF21" s="19"/>
      <c r="OGG21" s="19"/>
      <c r="OGH21" s="19"/>
      <c r="OGI21" s="19"/>
      <c r="OGJ21" s="19"/>
      <c r="OGK21" s="19"/>
      <c r="OGL21" s="19"/>
      <c r="OGM21" s="19"/>
      <c r="OGN21" s="19"/>
      <c r="OGO21" s="19"/>
      <c r="OGP21" s="19"/>
      <c r="OGQ21" s="19"/>
      <c r="OGR21" s="19"/>
      <c r="OGS21" s="19"/>
      <c r="OGT21" s="19"/>
      <c r="OGU21" s="19"/>
      <c r="OGV21" s="19"/>
      <c r="OGW21" s="19"/>
      <c r="OGX21" s="19"/>
      <c r="OGY21" s="19"/>
      <c r="OGZ21" s="19"/>
      <c r="OHA21" s="19"/>
      <c r="OHB21" s="19"/>
      <c r="OHC21" s="19"/>
      <c r="OHD21" s="19"/>
      <c r="OHE21" s="19"/>
      <c r="OHF21" s="19"/>
      <c r="OHG21" s="19"/>
      <c r="OHH21" s="19"/>
      <c r="OHI21" s="19"/>
      <c r="OHJ21" s="19"/>
      <c r="OHK21" s="19"/>
      <c r="OHL21" s="19"/>
      <c r="OHM21" s="19"/>
      <c r="OHN21" s="19"/>
      <c r="OHO21" s="19"/>
      <c r="OHP21" s="19"/>
      <c r="OHQ21" s="19"/>
      <c r="OHR21" s="19"/>
      <c r="OHS21" s="19"/>
      <c r="OHT21" s="19"/>
      <c r="OHU21" s="19"/>
      <c r="OHV21" s="19"/>
      <c r="OHW21" s="19"/>
      <c r="OHX21" s="19"/>
      <c r="OHY21" s="19"/>
      <c r="OHZ21" s="19"/>
      <c r="OIA21" s="19"/>
      <c r="OIB21" s="19"/>
      <c r="OIC21" s="19"/>
      <c r="OID21" s="19"/>
      <c r="OIE21" s="19"/>
      <c r="OIF21" s="19"/>
      <c r="OIG21" s="19"/>
      <c r="OIH21" s="19"/>
      <c r="OII21" s="19"/>
      <c r="OIJ21" s="19"/>
      <c r="OIK21" s="19"/>
      <c r="OIL21" s="19"/>
      <c r="OIM21" s="19"/>
      <c r="OIN21" s="19"/>
      <c r="OIO21" s="19"/>
      <c r="OIP21" s="19"/>
      <c r="OIQ21" s="19"/>
      <c r="OIR21" s="19"/>
      <c r="OIS21" s="19"/>
      <c r="OIT21" s="19"/>
      <c r="OIU21" s="19"/>
      <c r="OIV21" s="19"/>
      <c r="OIW21" s="19"/>
      <c r="OIX21" s="19"/>
      <c r="OIY21" s="19"/>
      <c r="OIZ21" s="19"/>
      <c r="OJA21" s="19"/>
      <c r="OJB21" s="19"/>
      <c r="OJC21" s="19"/>
      <c r="OJD21" s="19"/>
      <c r="OJE21" s="19"/>
      <c r="OJF21" s="19"/>
      <c r="OJG21" s="19"/>
      <c r="OJH21" s="19"/>
      <c r="OJI21" s="19"/>
      <c r="OJJ21" s="19"/>
      <c r="OJK21" s="19"/>
      <c r="OJL21" s="19"/>
      <c r="OJM21" s="19"/>
      <c r="OJN21" s="19"/>
      <c r="OJO21" s="19"/>
      <c r="OJP21" s="19"/>
      <c r="OJQ21" s="19"/>
      <c r="OJR21" s="19"/>
      <c r="OJS21" s="19"/>
      <c r="OJT21" s="19"/>
      <c r="OJU21" s="19"/>
      <c r="OJV21" s="19"/>
      <c r="OJW21" s="19"/>
      <c r="OJX21" s="19"/>
      <c r="OJY21" s="19"/>
      <c r="OJZ21" s="19"/>
      <c r="OKA21" s="19"/>
      <c r="OKB21" s="19"/>
      <c r="OKC21" s="19"/>
      <c r="OKD21" s="19"/>
      <c r="OKE21" s="19"/>
      <c r="OKF21" s="19"/>
      <c r="OKG21" s="19"/>
      <c r="OKH21" s="19"/>
      <c r="OKI21" s="19"/>
      <c r="OKJ21" s="19"/>
      <c r="OKK21" s="19"/>
      <c r="OKL21" s="19"/>
      <c r="OKM21" s="19"/>
      <c r="OKN21" s="19"/>
      <c r="OKO21" s="19"/>
      <c r="OKP21" s="19"/>
      <c r="OKQ21" s="19"/>
      <c r="OKR21" s="19"/>
      <c r="OKS21" s="19"/>
      <c r="OKT21" s="19"/>
      <c r="OKU21" s="19"/>
      <c r="OKV21" s="19"/>
      <c r="OKW21" s="19"/>
      <c r="OKX21" s="19"/>
      <c r="OKY21" s="19"/>
      <c r="OKZ21" s="19"/>
      <c r="OLA21" s="19"/>
      <c r="OLB21" s="19"/>
      <c r="OLC21" s="19"/>
      <c r="OLD21" s="19"/>
      <c r="OLE21" s="19"/>
      <c r="OLF21" s="19"/>
      <c r="OLG21" s="19"/>
      <c r="OLH21" s="19"/>
      <c r="OLI21" s="19"/>
      <c r="OLJ21" s="19"/>
      <c r="OLK21" s="19"/>
      <c r="OLL21" s="19"/>
      <c r="OLM21" s="19"/>
      <c r="OLN21" s="19"/>
      <c r="OLO21" s="19"/>
      <c r="OLP21" s="19"/>
      <c r="OLQ21" s="19"/>
      <c r="OLR21" s="19"/>
      <c r="OLS21" s="19"/>
      <c r="OLT21" s="19"/>
      <c r="OLU21" s="19"/>
      <c r="OLV21" s="19"/>
      <c r="OLW21" s="19"/>
      <c r="OLX21" s="19"/>
      <c r="OLY21" s="19"/>
      <c r="OLZ21" s="19"/>
      <c r="OMA21" s="19"/>
      <c r="OMB21" s="19"/>
      <c r="OMC21" s="19"/>
      <c r="OMD21" s="19"/>
      <c r="OME21" s="19"/>
      <c r="OMF21" s="19"/>
      <c r="OMG21" s="19"/>
      <c r="OMH21" s="19"/>
      <c r="OMI21" s="19"/>
      <c r="OMJ21" s="19"/>
      <c r="OMK21" s="19"/>
      <c r="OML21" s="19"/>
      <c r="OMM21" s="19"/>
      <c r="OMN21" s="19"/>
      <c r="OMO21" s="19"/>
      <c r="OMP21" s="19"/>
      <c r="OMQ21" s="19"/>
      <c r="OMR21" s="19"/>
      <c r="OMS21" s="19"/>
      <c r="OMT21" s="19"/>
      <c r="OMU21" s="19"/>
      <c r="OMV21" s="19"/>
      <c r="OMW21" s="19"/>
      <c r="OMX21" s="19"/>
      <c r="OMY21" s="19"/>
      <c r="OMZ21" s="19"/>
      <c r="ONA21" s="19"/>
      <c r="ONB21" s="19"/>
      <c r="ONC21" s="19"/>
      <c r="OND21" s="19"/>
      <c r="ONE21" s="19"/>
      <c r="ONF21" s="19"/>
      <c r="ONG21" s="19"/>
      <c r="ONH21" s="19"/>
      <c r="ONI21" s="19"/>
      <c r="ONJ21" s="19"/>
      <c r="ONK21" s="19"/>
      <c r="ONL21" s="19"/>
      <c r="ONM21" s="19"/>
      <c r="ONN21" s="19"/>
      <c r="ONO21" s="19"/>
      <c r="ONP21" s="19"/>
      <c r="ONQ21" s="19"/>
      <c r="ONR21" s="19"/>
      <c r="ONS21" s="19"/>
      <c r="ONT21" s="19"/>
      <c r="ONU21" s="19"/>
      <c r="ONV21" s="19"/>
      <c r="ONW21" s="19"/>
      <c r="ONX21" s="19"/>
      <c r="ONY21" s="19"/>
      <c r="ONZ21" s="19"/>
      <c r="OOA21" s="19"/>
      <c r="OOB21" s="19"/>
      <c r="OOC21" s="19"/>
      <c r="OOD21" s="19"/>
      <c r="OOE21" s="19"/>
      <c r="OOF21" s="19"/>
      <c r="OOG21" s="19"/>
      <c r="OOH21" s="19"/>
      <c r="OOI21" s="19"/>
      <c r="OOJ21" s="19"/>
      <c r="OOK21" s="19"/>
      <c r="OOL21" s="19"/>
      <c r="OOM21" s="19"/>
      <c r="OON21" s="19"/>
      <c r="OOO21" s="19"/>
      <c r="OOP21" s="19"/>
      <c r="OOQ21" s="19"/>
      <c r="OOR21" s="19"/>
      <c r="OOS21" s="19"/>
      <c r="OOT21" s="19"/>
      <c r="OOU21" s="19"/>
      <c r="OOV21" s="19"/>
      <c r="OOW21" s="19"/>
      <c r="OOX21" s="19"/>
      <c r="OOY21" s="19"/>
      <c r="OOZ21" s="19"/>
      <c r="OPA21" s="19"/>
      <c r="OPB21" s="19"/>
      <c r="OPC21" s="19"/>
      <c r="OPD21" s="19"/>
      <c r="OPE21" s="19"/>
      <c r="OPF21" s="19"/>
      <c r="OPG21" s="19"/>
      <c r="OPH21" s="19"/>
      <c r="OPI21" s="19"/>
      <c r="OPJ21" s="19"/>
      <c r="OPK21" s="19"/>
      <c r="OPL21" s="19"/>
      <c r="OPM21" s="19"/>
      <c r="OPN21" s="19"/>
      <c r="OPO21" s="19"/>
      <c r="OPP21" s="19"/>
      <c r="OPQ21" s="19"/>
      <c r="OPR21" s="19"/>
      <c r="OPS21" s="19"/>
      <c r="OPT21" s="19"/>
      <c r="OPU21" s="19"/>
      <c r="OPV21" s="19"/>
      <c r="OPW21" s="19"/>
      <c r="OPX21" s="19"/>
      <c r="OPY21" s="19"/>
      <c r="OPZ21" s="19"/>
      <c r="OQA21" s="19"/>
      <c r="OQB21" s="19"/>
      <c r="OQC21" s="19"/>
      <c r="OQD21" s="19"/>
      <c r="OQE21" s="19"/>
      <c r="OQF21" s="19"/>
      <c r="OQG21" s="19"/>
      <c r="OQH21" s="19"/>
      <c r="OQI21" s="19"/>
      <c r="OQJ21" s="19"/>
      <c r="OQK21" s="19"/>
      <c r="OQL21" s="19"/>
      <c r="OQM21" s="19"/>
      <c r="OQN21" s="19"/>
      <c r="OQO21" s="19"/>
      <c r="OQP21" s="19"/>
      <c r="OQQ21" s="19"/>
      <c r="OQR21" s="19"/>
      <c r="OQS21" s="19"/>
      <c r="OQT21" s="19"/>
      <c r="OQU21" s="19"/>
      <c r="OQV21" s="19"/>
      <c r="OQW21" s="19"/>
      <c r="OQX21" s="19"/>
      <c r="OQY21" s="19"/>
      <c r="OQZ21" s="19"/>
      <c r="ORA21" s="19"/>
      <c r="ORB21" s="19"/>
      <c r="ORC21" s="19"/>
      <c r="ORD21" s="19"/>
      <c r="ORE21" s="19"/>
      <c r="ORF21" s="19"/>
      <c r="ORG21" s="19"/>
      <c r="ORH21" s="19"/>
      <c r="ORI21" s="19"/>
      <c r="ORJ21" s="19"/>
      <c r="ORK21" s="19"/>
      <c r="ORL21" s="19"/>
      <c r="ORM21" s="19"/>
      <c r="ORN21" s="19"/>
      <c r="ORO21" s="19"/>
      <c r="ORP21" s="19"/>
      <c r="ORQ21" s="19"/>
      <c r="ORR21" s="19"/>
      <c r="ORS21" s="19"/>
      <c r="ORT21" s="19"/>
      <c r="ORU21" s="19"/>
      <c r="ORV21" s="19"/>
      <c r="ORW21" s="19"/>
      <c r="ORX21" s="19"/>
      <c r="ORY21" s="19"/>
      <c r="ORZ21" s="19"/>
      <c r="OSA21" s="19"/>
      <c r="OSB21" s="19"/>
      <c r="OSC21" s="19"/>
      <c r="OSD21" s="19"/>
      <c r="OSE21" s="19"/>
      <c r="OSF21" s="19"/>
      <c r="OSG21" s="19"/>
      <c r="OSH21" s="19"/>
      <c r="OSI21" s="19"/>
      <c r="OSJ21" s="19"/>
      <c r="OSK21" s="19"/>
      <c r="OSL21" s="19"/>
      <c r="OSM21" s="19"/>
      <c r="OSN21" s="19"/>
      <c r="OSO21" s="19"/>
      <c r="OSP21" s="19"/>
      <c r="OSQ21" s="19"/>
      <c r="OSR21" s="19"/>
      <c r="OSS21" s="19"/>
      <c r="OST21" s="19"/>
      <c r="OSU21" s="19"/>
      <c r="OSV21" s="19"/>
      <c r="OSW21" s="19"/>
      <c r="OSX21" s="19"/>
      <c r="OSY21" s="19"/>
      <c r="OSZ21" s="19"/>
      <c r="OTA21" s="19"/>
      <c r="OTB21" s="19"/>
      <c r="OTC21" s="19"/>
      <c r="OTD21" s="19"/>
      <c r="OTE21" s="19"/>
      <c r="OTF21" s="19"/>
      <c r="OTG21" s="19"/>
      <c r="OTH21" s="19"/>
      <c r="OTI21" s="19"/>
      <c r="OTJ21" s="19"/>
      <c r="OTK21" s="19"/>
      <c r="OTL21" s="19"/>
      <c r="OTM21" s="19"/>
      <c r="OTN21" s="19"/>
      <c r="OTO21" s="19"/>
      <c r="OTP21" s="19"/>
      <c r="OTQ21" s="19"/>
      <c r="OTR21" s="19"/>
      <c r="OTS21" s="19"/>
      <c r="OTT21" s="19"/>
      <c r="OTU21" s="19"/>
      <c r="OTV21" s="19"/>
      <c r="OTW21" s="19"/>
      <c r="OTX21" s="19"/>
      <c r="OTY21" s="19"/>
      <c r="OTZ21" s="19"/>
      <c r="OUA21" s="19"/>
      <c r="OUB21" s="19"/>
      <c r="OUC21" s="19"/>
      <c r="OUD21" s="19"/>
      <c r="OUE21" s="19"/>
      <c r="OUF21" s="19"/>
      <c r="OUG21" s="19"/>
      <c r="OUH21" s="19"/>
      <c r="OUI21" s="19"/>
      <c r="OUJ21" s="19"/>
      <c r="OUK21" s="19"/>
      <c r="OUL21" s="19"/>
      <c r="OUM21" s="19"/>
      <c r="OUN21" s="19"/>
      <c r="OUO21" s="19"/>
      <c r="OUP21" s="19"/>
      <c r="OUQ21" s="19"/>
      <c r="OUR21" s="19"/>
      <c r="OUS21" s="19"/>
      <c r="OUT21" s="19"/>
      <c r="OUU21" s="19"/>
      <c r="OUV21" s="19"/>
      <c r="OUW21" s="19"/>
      <c r="OUX21" s="19"/>
      <c r="OUY21" s="19"/>
      <c r="OUZ21" s="19"/>
      <c r="OVA21" s="19"/>
      <c r="OVB21" s="19"/>
      <c r="OVC21" s="19"/>
      <c r="OVD21" s="19"/>
      <c r="OVE21" s="19"/>
      <c r="OVF21" s="19"/>
      <c r="OVG21" s="19"/>
      <c r="OVH21" s="19"/>
      <c r="OVI21" s="19"/>
      <c r="OVJ21" s="19"/>
      <c r="OVK21" s="19"/>
      <c r="OVL21" s="19"/>
      <c r="OVM21" s="19"/>
      <c r="OVN21" s="19"/>
      <c r="OVO21" s="19"/>
      <c r="OVP21" s="19"/>
      <c r="OVQ21" s="19"/>
      <c r="OVR21" s="19"/>
      <c r="OVS21" s="19"/>
      <c r="OVT21" s="19"/>
      <c r="OVU21" s="19"/>
      <c r="OVV21" s="19"/>
      <c r="OVW21" s="19"/>
      <c r="OVX21" s="19"/>
      <c r="OVY21" s="19"/>
      <c r="OVZ21" s="19"/>
      <c r="OWA21" s="19"/>
      <c r="OWB21" s="19"/>
      <c r="OWC21" s="19"/>
      <c r="OWD21" s="19"/>
      <c r="OWE21" s="19"/>
      <c r="OWF21" s="19"/>
      <c r="OWG21" s="19"/>
      <c r="OWH21" s="19"/>
      <c r="OWI21" s="19"/>
      <c r="OWJ21" s="19"/>
      <c r="OWK21" s="19"/>
      <c r="OWL21" s="19"/>
      <c r="OWM21" s="19"/>
      <c r="OWN21" s="19"/>
      <c r="OWO21" s="19"/>
      <c r="OWP21" s="19"/>
      <c r="OWQ21" s="19"/>
      <c r="OWR21" s="19"/>
      <c r="OWS21" s="19"/>
      <c r="OWT21" s="19"/>
      <c r="OWU21" s="19"/>
      <c r="OWV21" s="19"/>
      <c r="OWW21" s="19"/>
      <c r="OWX21" s="19"/>
      <c r="OWY21" s="19"/>
      <c r="OWZ21" s="19"/>
      <c r="OXA21" s="19"/>
      <c r="OXB21" s="19"/>
      <c r="OXC21" s="19"/>
      <c r="OXD21" s="19"/>
      <c r="OXE21" s="19"/>
      <c r="OXF21" s="19"/>
      <c r="OXG21" s="19"/>
      <c r="OXH21" s="19"/>
      <c r="OXI21" s="19"/>
      <c r="OXJ21" s="19"/>
      <c r="OXK21" s="19"/>
      <c r="OXL21" s="19"/>
      <c r="OXM21" s="19"/>
      <c r="OXN21" s="19"/>
      <c r="OXO21" s="19"/>
      <c r="OXP21" s="19"/>
      <c r="OXQ21" s="19"/>
      <c r="OXR21" s="19"/>
      <c r="OXS21" s="19"/>
      <c r="OXT21" s="19"/>
      <c r="OXU21" s="19"/>
      <c r="OXV21" s="19"/>
      <c r="OXW21" s="19"/>
      <c r="OXX21" s="19"/>
      <c r="OXY21" s="19"/>
      <c r="OXZ21" s="19"/>
      <c r="OYA21" s="19"/>
      <c r="OYB21" s="19"/>
      <c r="OYC21" s="19"/>
      <c r="OYD21" s="19"/>
      <c r="OYE21" s="19"/>
      <c r="OYF21" s="19"/>
      <c r="OYG21" s="19"/>
      <c r="OYH21" s="19"/>
      <c r="OYI21" s="19"/>
      <c r="OYJ21" s="19"/>
      <c r="OYK21" s="19"/>
      <c r="OYL21" s="19"/>
      <c r="OYM21" s="19"/>
      <c r="OYN21" s="19"/>
      <c r="OYO21" s="19"/>
      <c r="OYP21" s="19"/>
      <c r="OYQ21" s="19"/>
      <c r="OYR21" s="19"/>
      <c r="OYS21" s="19"/>
      <c r="OYT21" s="19"/>
      <c r="OYU21" s="19"/>
      <c r="OYV21" s="19"/>
      <c r="OYW21" s="19"/>
      <c r="OYX21" s="19"/>
      <c r="OYY21" s="19"/>
      <c r="OYZ21" s="19"/>
      <c r="OZA21" s="19"/>
      <c r="OZB21" s="19"/>
      <c r="OZC21" s="19"/>
      <c r="OZD21" s="19"/>
      <c r="OZE21" s="19"/>
      <c r="OZF21" s="19"/>
      <c r="OZG21" s="19"/>
      <c r="OZH21" s="19"/>
      <c r="OZI21" s="19"/>
      <c r="OZJ21" s="19"/>
      <c r="OZK21" s="19"/>
      <c r="OZL21" s="19"/>
      <c r="OZM21" s="19"/>
      <c r="OZN21" s="19"/>
      <c r="OZO21" s="19"/>
      <c r="OZP21" s="19"/>
      <c r="OZQ21" s="19"/>
      <c r="OZR21" s="19"/>
      <c r="OZS21" s="19"/>
      <c r="OZT21" s="19"/>
      <c r="OZU21" s="19"/>
      <c r="OZV21" s="19"/>
      <c r="OZW21" s="19"/>
      <c r="OZX21" s="19"/>
      <c r="OZY21" s="19"/>
      <c r="OZZ21" s="19"/>
      <c r="PAA21" s="19"/>
      <c r="PAB21" s="19"/>
      <c r="PAC21" s="19"/>
      <c r="PAD21" s="19"/>
      <c r="PAE21" s="19"/>
      <c r="PAF21" s="19"/>
      <c r="PAG21" s="19"/>
      <c r="PAH21" s="19"/>
      <c r="PAI21" s="19"/>
      <c r="PAJ21" s="19"/>
      <c r="PAK21" s="19"/>
      <c r="PAL21" s="19"/>
      <c r="PAM21" s="19"/>
      <c r="PAN21" s="19"/>
      <c r="PAO21" s="19"/>
      <c r="PAP21" s="19"/>
      <c r="PAQ21" s="19"/>
      <c r="PAR21" s="19"/>
      <c r="PAS21" s="19"/>
      <c r="PAT21" s="19"/>
      <c r="PAU21" s="19"/>
      <c r="PAV21" s="19"/>
      <c r="PAW21" s="19"/>
      <c r="PAX21" s="19"/>
      <c r="PAY21" s="19"/>
      <c r="PAZ21" s="19"/>
      <c r="PBA21" s="19"/>
      <c r="PBB21" s="19"/>
      <c r="PBC21" s="19"/>
      <c r="PBD21" s="19"/>
      <c r="PBE21" s="19"/>
      <c r="PBF21" s="19"/>
      <c r="PBG21" s="19"/>
      <c r="PBH21" s="19"/>
      <c r="PBI21" s="19"/>
      <c r="PBJ21" s="19"/>
      <c r="PBK21" s="19"/>
      <c r="PBL21" s="19"/>
      <c r="PBM21" s="19"/>
      <c r="PBN21" s="19"/>
      <c r="PBO21" s="19"/>
      <c r="PBP21" s="19"/>
      <c r="PBQ21" s="19"/>
      <c r="PBR21" s="19"/>
      <c r="PBS21" s="19"/>
      <c r="PBT21" s="19"/>
      <c r="PBU21" s="19"/>
      <c r="PBV21" s="19"/>
      <c r="PBW21" s="19"/>
      <c r="PBX21" s="19"/>
      <c r="PBY21" s="19"/>
      <c r="PBZ21" s="19"/>
      <c r="PCA21" s="19"/>
      <c r="PCB21" s="19"/>
      <c r="PCC21" s="19"/>
      <c r="PCD21" s="19"/>
      <c r="PCE21" s="19"/>
      <c r="PCF21" s="19"/>
      <c r="PCG21" s="19"/>
      <c r="PCH21" s="19"/>
      <c r="PCI21" s="19"/>
      <c r="PCJ21" s="19"/>
      <c r="PCK21" s="19"/>
      <c r="PCL21" s="19"/>
      <c r="PCM21" s="19"/>
      <c r="PCN21" s="19"/>
      <c r="PCO21" s="19"/>
      <c r="PCP21" s="19"/>
      <c r="PCQ21" s="19"/>
      <c r="PCR21" s="19"/>
      <c r="PCS21" s="19"/>
      <c r="PCT21" s="19"/>
      <c r="PCU21" s="19"/>
      <c r="PCV21" s="19"/>
      <c r="PCW21" s="19"/>
      <c r="PCX21" s="19"/>
      <c r="PCY21" s="19"/>
      <c r="PCZ21" s="19"/>
      <c r="PDA21" s="19"/>
      <c r="PDB21" s="19"/>
      <c r="PDC21" s="19"/>
      <c r="PDD21" s="19"/>
      <c r="PDE21" s="19"/>
      <c r="PDF21" s="19"/>
      <c r="PDG21" s="19"/>
      <c r="PDH21" s="19"/>
      <c r="PDI21" s="19"/>
      <c r="PDJ21" s="19"/>
      <c r="PDK21" s="19"/>
      <c r="PDL21" s="19"/>
      <c r="PDM21" s="19"/>
      <c r="PDN21" s="19"/>
      <c r="PDO21" s="19"/>
      <c r="PDP21" s="19"/>
      <c r="PDQ21" s="19"/>
      <c r="PDR21" s="19"/>
      <c r="PDS21" s="19"/>
      <c r="PDT21" s="19"/>
      <c r="PDU21" s="19"/>
      <c r="PDV21" s="19"/>
      <c r="PDW21" s="19"/>
      <c r="PDX21" s="19"/>
      <c r="PDY21" s="19"/>
      <c r="PDZ21" s="19"/>
      <c r="PEA21" s="19"/>
      <c r="PEB21" s="19"/>
      <c r="PEC21" s="19"/>
      <c r="PED21" s="19"/>
      <c r="PEE21" s="19"/>
      <c r="PEF21" s="19"/>
      <c r="PEG21" s="19"/>
      <c r="PEH21" s="19"/>
      <c r="PEI21" s="19"/>
      <c r="PEJ21" s="19"/>
      <c r="PEK21" s="19"/>
      <c r="PEL21" s="19"/>
      <c r="PEM21" s="19"/>
      <c r="PEN21" s="19"/>
      <c r="PEO21" s="19"/>
      <c r="PEP21" s="19"/>
      <c r="PEQ21" s="19"/>
      <c r="PER21" s="19"/>
      <c r="PES21" s="19"/>
      <c r="PET21" s="19"/>
      <c r="PEU21" s="19"/>
      <c r="PEV21" s="19"/>
      <c r="PEW21" s="19"/>
      <c r="PEX21" s="19"/>
      <c r="PEY21" s="19"/>
      <c r="PEZ21" s="19"/>
      <c r="PFA21" s="19"/>
      <c r="PFB21" s="19"/>
      <c r="PFC21" s="19"/>
      <c r="PFD21" s="19"/>
      <c r="PFE21" s="19"/>
      <c r="PFF21" s="19"/>
      <c r="PFG21" s="19"/>
      <c r="PFH21" s="19"/>
      <c r="PFI21" s="19"/>
      <c r="PFJ21" s="19"/>
      <c r="PFK21" s="19"/>
      <c r="PFL21" s="19"/>
      <c r="PFM21" s="19"/>
      <c r="PFN21" s="19"/>
      <c r="PFO21" s="19"/>
      <c r="PFP21" s="19"/>
      <c r="PFQ21" s="19"/>
      <c r="PFR21" s="19"/>
      <c r="PFS21" s="19"/>
      <c r="PFT21" s="19"/>
      <c r="PFU21" s="19"/>
      <c r="PFV21" s="19"/>
      <c r="PFW21" s="19"/>
      <c r="PFX21" s="19"/>
      <c r="PFY21" s="19"/>
      <c r="PFZ21" s="19"/>
      <c r="PGA21" s="19"/>
      <c r="PGB21" s="19"/>
      <c r="PGC21" s="19"/>
      <c r="PGD21" s="19"/>
      <c r="PGE21" s="19"/>
      <c r="PGF21" s="19"/>
      <c r="PGG21" s="19"/>
      <c r="PGH21" s="19"/>
      <c r="PGI21" s="19"/>
      <c r="PGJ21" s="19"/>
      <c r="PGK21" s="19"/>
      <c r="PGL21" s="19"/>
      <c r="PGM21" s="19"/>
      <c r="PGN21" s="19"/>
      <c r="PGO21" s="19"/>
      <c r="PGP21" s="19"/>
      <c r="PGQ21" s="19"/>
      <c r="PGR21" s="19"/>
      <c r="PGS21" s="19"/>
      <c r="PGT21" s="19"/>
      <c r="PGU21" s="19"/>
      <c r="PGV21" s="19"/>
      <c r="PGW21" s="19"/>
      <c r="PGX21" s="19"/>
      <c r="PGY21" s="19"/>
      <c r="PGZ21" s="19"/>
      <c r="PHA21" s="19"/>
      <c r="PHB21" s="19"/>
      <c r="PHC21" s="19"/>
      <c r="PHD21" s="19"/>
      <c r="PHE21" s="19"/>
      <c r="PHF21" s="19"/>
      <c r="PHG21" s="19"/>
      <c r="PHH21" s="19"/>
      <c r="PHI21" s="19"/>
      <c r="PHJ21" s="19"/>
      <c r="PHK21" s="19"/>
      <c r="PHL21" s="19"/>
      <c r="PHM21" s="19"/>
      <c r="PHN21" s="19"/>
      <c r="PHO21" s="19"/>
      <c r="PHP21" s="19"/>
      <c r="PHQ21" s="19"/>
      <c r="PHR21" s="19"/>
      <c r="PHS21" s="19"/>
      <c r="PHT21" s="19"/>
      <c r="PHU21" s="19"/>
      <c r="PHV21" s="19"/>
      <c r="PHW21" s="19"/>
      <c r="PHX21" s="19"/>
      <c r="PHY21" s="19"/>
      <c r="PHZ21" s="19"/>
      <c r="PIA21" s="19"/>
      <c r="PIB21" s="19"/>
      <c r="PIC21" s="19"/>
      <c r="PID21" s="19"/>
      <c r="PIE21" s="19"/>
      <c r="PIF21" s="19"/>
      <c r="PIG21" s="19"/>
      <c r="PIH21" s="19"/>
      <c r="PII21" s="19"/>
      <c r="PIJ21" s="19"/>
      <c r="PIK21" s="19"/>
      <c r="PIL21" s="19"/>
      <c r="PIM21" s="19"/>
      <c r="PIN21" s="19"/>
      <c r="PIO21" s="19"/>
      <c r="PIP21" s="19"/>
      <c r="PIQ21" s="19"/>
      <c r="PIR21" s="19"/>
      <c r="PIS21" s="19"/>
      <c r="PIT21" s="19"/>
      <c r="PIU21" s="19"/>
      <c r="PIV21" s="19"/>
      <c r="PIW21" s="19"/>
      <c r="PIX21" s="19"/>
      <c r="PIY21" s="19"/>
      <c r="PIZ21" s="19"/>
      <c r="PJA21" s="19"/>
      <c r="PJB21" s="19"/>
      <c r="PJC21" s="19"/>
      <c r="PJD21" s="19"/>
      <c r="PJE21" s="19"/>
      <c r="PJF21" s="19"/>
      <c r="PJG21" s="19"/>
      <c r="PJH21" s="19"/>
      <c r="PJI21" s="19"/>
      <c r="PJJ21" s="19"/>
      <c r="PJK21" s="19"/>
      <c r="PJL21" s="19"/>
      <c r="PJM21" s="19"/>
      <c r="PJN21" s="19"/>
      <c r="PJO21" s="19"/>
      <c r="PJP21" s="19"/>
      <c r="PJQ21" s="19"/>
      <c r="PJR21" s="19"/>
      <c r="PJS21" s="19"/>
      <c r="PJT21" s="19"/>
      <c r="PJU21" s="19"/>
      <c r="PJV21" s="19"/>
      <c r="PJW21" s="19"/>
      <c r="PJX21" s="19"/>
      <c r="PJY21" s="19"/>
      <c r="PJZ21" s="19"/>
      <c r="PKA21" s="19"/>
      <c r="PKB21" s="19"/>
      <c r="PKC21" s="19"/>
      <c r="PKD21" s="19"/>
      <c r="PKE21" s="19"/>
      <c r="PKF21" s="19"/>
      <c r="PKG21" s="19"/>
      <c r="PKH21" s="19"/>
      <c r="PKI21" s="19"/>
      <c r="PKJ21" s="19"/>
      <c r="PKK21" s="19"/>
      <c r="PKL21" s="19"/>
      <c r="PKM21" s="19"/>
      <c r="PKN21" s="19"/>
      <c r="PKO21" s="19"/>
      <c r="PKP21" s="19"/>
      <c r="PKQ21" s="19"/>
      <c r="PKR21" s="19"/>
      <c r="PKS21" s="19"/>
      <c r="PKT21" s="19"/>
      <c r="PKU21" s="19"/>
      <c r="PKV21" s="19"/>
      <c r="PKW21" s="19"/>
      <c r="PKX21" s="19"/>
      <c r="PKY21" s="19"/>
      <c r="PKZ21" s="19"/>
      <c r="PLA21" s="19"/>
      <c r="PLB21" s="19"/>
      <c r="PLC21" s="19"/>
      <c r="PLD21" s="19"/>
      <c r="PLE21" s="19"/>
      <c r="PLF21" s="19"/>
      <c r="PLG21" s="19"/>
      <c r="PLH21" s="19"/>
      <c r="PLI21" s="19"/>
      <c r="PLJ21" s="19"/>
      <c r="PLK21" s="19"/>
      <c r="PLL21" s="19"/>
      <c r="PLM21" s="19"/>
      <c r="PLN21" s="19"/>
      <c r="PLO21" s="19"/>
      <c r="PLP21" s="19"/>
      <c r="PLQ21" s="19"/>
      <c r="PLR21" s="19"/>
      <c r="PLS21" s="19"/>
      <c r="PLT21" s="19"/>
      <c r="PLU21" s="19"/>
      <c r="PLV21" s="19"/>
      <c r="PLW21" s="19"/>
      <c r="PLX21" s="19"/>
      <c r="PLY21" s="19"/>
      <c r="PLZ21" s="19"/>
      <c r="PMA21" s="19"/>
      <c r="PMB21" s="19"/>
      <c r="PMC21" s="19"/>
      <c r="PMD21" s="19"/>
      <c r="PME21" s="19"/>
      <c r="PMF21" s="19"/>
      <c r="PMG21" s="19"/>
      <c r="PMH21" s="19"/>
      <c r="PMI21" s="19"/>
      <c r="PMJ21" s="19"/>
      <c r="PMK21" s="19"/>
      <c r="PML21" s="19"/>
      <c r="PMM21" s="19"/>
      <c r="PMN21" s="19"/>
      <c r="PMO21" s="19"/>
      <c r="PMP21" s="19"/>
      <c r="PMQ21" s="19"/>
      <c r="PMR21" s="19"/>
      <c r="PMS21" s="19"/>
      <c r="PMT21" s="19"/>
      <c r="PMU21" s="19"/>
      <c r="PMV21" s="19"/>
      <c r="PMW21" s="19"/>
      <c r="PMX21" s="19"/>
      <c r="PMY21" s="19"/>
      <c r="PMZ21" s="19"/>
      <c r="PNA21" s="19"/>
      <c r="PNB21" s="19"/>
      <c r="PNC21" s="19"/>
      <c r="PND21" s="19"/>
      <c r="PNE21" s="19"/>
      <c r="PNF21" s="19"/>
      <c r="PNG21" s="19"/>
      <c r="PNH21" s="19"/>
      <c r="PNI21" s="19"/>
      <c r="PNJ21" s="19"/>
      <c r="PNK21" s="19"/>
      <c r="PNL21" s="19"/>
      <c r="PNM21" s="19"/>
      <c r="PNN21" s="19"/>
      <c r="PNO21" s="19"/>
      <c r="PNP21" s="19"/>
      <c r="PNQ21" s="19"/>
      <c r="PNR21" s="19"/>
      <c r="PNS21" s="19"/>
      <c r="PNT21" s="19"/>
      <c r="PNU21" s="19"/>
      <c r="PNV21" s="19"/>
      <c r="PNW21" s="19"/>
      <c r="PNX21" s="19"/>
      <c r="PNY21" s="19"/>
      <c r="PNZ21" s="19"/>
      <c r="POA21" s="19"/>
      <c r="POB21" s="19"/>
      <c r="POC21" s="19"/>
      <c r="POD21" s="19"/>
      <c r="POE21" s="19"/>
      <c r="POF21" s="19"/>
      <c r="POG21" s="19"/>
      <c r="POH21" s="19"/>
      <c r="POI21" s="19"/>
      <c r="POJ21" s="19"/>
      <c r="POK21" s="19"/>
      <c r="POL21" s="19"/>
      <c r="POM21" s="19"/>
      <c r="PON21" s="19"/>
      <c r="POO21" s="19"/>
      <c r="POP21" s="19"/>
      <c r="POQ21" s="19"/>
      <c r="POR21" s="19"/>
      <c r="POS21" s="19"/>
      <c r="POT21" s="19"/>
      <c r="POU21" s="19"/>
      <c r="POV21" s="19"/>
      <c r="POW21" s="19"/>
      <c r="POX21" s="19"/>
      <c r="POY21" s="19"/>
      <c r="POZ21" s="19"/>
      <c r="PPA21" s="19"/>
      <c r="PPB21" s="19"/>
      <c r="PPC21" s="19"/>
      <c r="PPD21" s="19"/>
      <c r="PPE21" s="19"/>
      <c r="PPF21" s="19"/>
      <c r="PPG21" s="19"/>
      <c r="PPH21" s="19"/>
      <c r="PPI21" s="19"/>
      <c r="PPJ21" s="19"/>
      <c r="PPK21" s="19"/>
      <c r="PPL21" s="19"/>
      <c r="PPM21" s="19"/>
      <c r="PPN21" s="19"/>
      <c r="PPO21" s="19"/>
      <c r="PPP21" s="19"/>
      <c r="PPQ21" s="19"/>
      <c r="PPR21" s="19"/>
      <c r="PPS21" s="19"/>
      <c r="PPT21" s="19"/>
      <c r="PPU21" s="19"/>
      <c r="PPV21" s="19"/>
      <c r="PPW21" s="19"/>
      <c r="PPX21" s="19"/>
      <c r="PPY21" s="19"/>
      <c r="PPZ21" s="19"/>
      <c r="PQA21" s="19"/>
      <c r="PQB21" s="19"/>
      <c r="PQC21" s="19"/>
      <c r="PQD21" s="19"/>
      <c r="PQE21" s="19"/>
      <c r="PQF21" s="19"/>
      <c r="PQG21" s="19"/>
      <c r="PQH21" s="19"/>
      <c r="PQI21" s="19"/>
      <c r="PQJ21" s="19"/>
      <c r="PQK21" s="19"/>
      <c r="PQL21" s="19"/>
      <c r="PQM21" s="19"/>
      <c r="PQN21" s="19"/>
      <c r="PQO21" s="19"/>
      <c r="PQP21" s="19"/>
      <c r="PQQ21" s="19"/>
      <c r="PQR21" s="19"/>
      <c r="PQS21" s="19"/>
      <c r="PQT21" s="19"/>
      <c r="PQU21" s="19"/>
      <c r="PQV21" s="19"/>
      <c r="PQW21" s="19"/>
      <c r="PQX21" s="19"/>
      <c r="PQY21" s="19"/>
      <c r="PQZ21" s="19"/>
      <c r="PRA21" s="19"/>
      <c r="PRB21" s="19"/>
      <c r="PRC21" s="19"/>
      <c r="PRD21" s="19"/>
      <c r="PRE21" s="19"/>
      <c r="PRF21" s="19"/>
      <c r="PRG21" s="19"/>
      <c r="PRH21" s="19"/>
      <c r="PRI21" s="19"/>
      <c r="PRJ21" s="19"/>
      <c r="PRK21" s="19"/>
      <c r="PRL21" s="19"/>
      <c r="PRM21" s="19"/>
      <c r="PRN21" s="19"/>
      <c r="PRO21" s="19"/>
      <c r="PRP21" s="19"/>
      <c r="PRQ21" s="19"/>
      <c r="PRR21" s="19"/>
      <c r="PRS21" s="19"/>
      <c r="PRT21" s="19"/>
      <c r="PRU21" s="19"/>
      <c r="PRV21" s="19"/>
      <c r="PRW21" s="19"/>
      <c r="PRX21" s="19"/>
      <c r="PRY21" s="19"/>
      <c r="PRZ21" s="19"/>
      <c r="PSA21" s="19"/>
      <c r="PSB21" s="19"/>
      <c r="PSC21" s="19"/>
      <c r="PSD21" s="19"/>
      <c r="PSE21" s="19"/>
      <c r="PSF21" s="19"/>
      <c r="PSG21" s="19"/>
      <c r="PSH21" s="19"/>
      <c r="PSI21" s="19"/>
      <c r="PSJ21" s="19"/>
      <c r="PSK21" s="19"/>
      <c r="PSL21" s="19"/>
      <c r="PSM21" s="19"/>
      <c r="PSN21" s="19"/>
      <c r="PSO21" s="19"/>
      <c r="PSP21" s="19"/>
      <c r="PSQ21" s="19"/>
      <c r="PSR21" s="19"/>
      <c r="PSS21" s="19"/>
      <c r="PST21" s="19"/>
      <c r="PSU21" s="19"/>
      <c r="PSV21" s="19"/>
      <c r="PSW21" s="19"/>
      <c r="PSX21" s="19"/>
      <c r="PSY21" s="19"/>
      <c r="PSZ21" s="19"/>
      <c r="PTA21" s="19"/>
      <c r="PTB21" s="19"/>
      <c r="PTC21" s="19"/>
      <c r="PTD21" s="19"/>
      <c r="PTE21" s="19"/>
      <c r="PTF21" s="19"/>
      <c r="PTG21" s="19"/>
      <c r="PTH21" s="19"/>
      <c r="PTI21" s="19"/>
      <c r="PTJ21" s="19"/>
      <c r="PTK21" s="19"/>
      <c r="PTL21" s="19"/>
      <c r="PTM21" s="19"/>
      <c r="PTN21" s="19"/>
      <c r="PTO21" s="19"/>
      <c r="PTP21" s="19"/>
      <c r="PTQ21" s="19"/>
      <c r="PTR21" s="19"/>
      <c r="PTS21" s="19"/>
      <c r="PTT21" s="19"/>
      <c r="PTU21" s="19"/>
      <c r="PTV21" s="19"/>
      <c r="PTW21" s="19"/>
      <c r="PTX21" s="19"/>
      <c r="PTY21" s="19"/>
      <c r="PTZ21" s="19"/>
      <c r="PUA21" s="19"/>
      <c r="PUB21" s="19"/>
      <c r="PUC21" s="19"/>
      <c r="PUD21" s="19"/>
      <c r="PUE21" s="19"/>
      <c r="PUF21" s="19"/>
      <c r="PUG21" s="19"/>
      <c r="PUH21" s="19"/>
      <c r="PUI21" s="19"/>
      <c r="PUJ21" s="19"/>
      <c r="PUK21" s="19"/>
      <c r="PUL21" s="19"/>
      <c r="PUM21" s="19"/>
      <c r="PUN21" s="19"/>
      <c r="PUO21" s="19"/>
      <c r="PUP21" s="19"/>
      <c r="PUQ21" s="19"/>
      <c r="PUR21" s="19"/>
      <c r="PUS21" s="19"/>
      <c r="PUT21" s="19"/>
      <c r="PUU21" s="19"/>
      <c r="PUV21" s="19"/>
      <c r="PUW21" s="19"/>
      <c r="PUX21" s="19"/>
      <c r="PUY21" s="19"/>
      <c r="PUZ21" s="19"/>
      <c r="PVA21" s="19"/>
      <c r="PVB21" s="19"/>
      <c r="PVC21" s="19"/>
      <c r="PVD21" s="19"/>
      <c r="PVE21" s="19"/>
      <c r="PVF21" s="19"/>
      <c r="PVG21" s="19"/>
      <c r="PVH21" s="19"/>
      <c r="PVI21" s="19"/>
      <c r="PVJ21" s="19"/>
      <c r="PVK21" s="19"/>
      <c r="PVL21" s="19"/>
      <c r="PVM21" s="19"/>
      <c r="PVN21" s="19"/>
      <c r="PVO21" s="19"/>
      <c r="PVP21" s="19"/>
      <c r="PVQ21" s="19"/>
      <c r="PVR21" s="19"/>
      <c r="PVS21" s="19"/>
      <c r="PVT21" s="19"/>
      <c r="PVU21" s="19"/>
      <c r="PVV21" s="19"/>
      <c r="PVW21" s="19"/>
      <c r="PVX21" s="19"/>
      <c r="PVY21" s="19"/>
      <c r="PVZ21" s="19"/>
      <c r="PWA21" s="19"/>
      <c r="PWB21" s="19"/>
      <c r="PWC21" s="19"/>
      <c r="PWD21" s="19"/>
      <c r="PWE21" s="19"/>
      <c r="PWF21" s="19"/>
      <c r="PWG21" s="19"/>
      <c r="PWH21" s="19"/>
      <c r="PWI21" s="19"/>
      <c r="PWJ21" s="19"/>
      <c r="PWK21" s="19"/>
      <c r="PWL21" s="19"/>
      <c r="PWM21" s="19"/>
      <c r="PWN21" s="19"/>
      <c r="PWO21" s="19"/>
      <c r="PWP21" s="19"/>
      <c r="PWQ21" s="19"/>
      <c r="PWR21" s="19"/>
      <c r="PWS21" s="19"/>
      <c r="PWT21" s="19"/>
      <c r="PWU21" s="19"/>
      <c r="PWV21" s="19"/>
      <c r="PWW21" s="19"/>
      <c r="PWX21" s="19"/>
      <c r="PWY21" s="19"/>
      <c r="PWZ21" s="19"/>
      <c r="PXA21" s="19"/>
      <c r="PXB21" s="19"/>
      <c r="PXC21" s="19"/>
      <c r="PXD21" s="19"/>
      <c r="PXE21" s="19"/>
      <c r="PXF21" s="19"/>
      <c r="PXG21" s="19"/>
      <c r="PXH21" s="19"/>
      <c r="PXI21" s="19"/>
      <c r="PXJ21" s="19"/>
      <c r="PXK21" s="19"/>
      <c r="PXL21" s="19"/>
      <c r="PXM21" s="19"/>
      <c r="PXN21" s="19"/>
      <c r="PXO21" s="19"/>
      <c r="PXP21" s="19"/>
      <c r="PXQ21" s="19"/>
      <c r="PXR21" s="19"/>
      <c r="PXS21" s="19"/>
      <c r="PXT21" s="19"/>
      <c r="PXU21" s="19"/>
      <c r="PXV21" s="19"/>
      <c r="PXW21" s="19"/>
      <c r="PXX21" s="19"/>
      <c r="PXY21" s="19"/>
      <c r="PXZ21" s="19"/>
      <c r="PYA21" s="19"/>
      <c r="PYB21" s="19"/>
      <c r="PYC21" s="19"/>
      <c r="PYD21" s="19"/>
      <c r="PYE21" s="19"/>
      <c r="PYF21" s="19"/>
      <c r="PYG21" s="19"/>
      <c r="PYH21" s="19"/>
      <c r="PYI21" s="19"/>
      <c r="PYJ21" s="19"/>
      <c r="PYK21" s="19"/>
      <c r="PYL21" s="19"/>
      <c r="PYM21" s="19"/>
      <c r="PYN21" s="19"/>
      <c r="PYO21" s="19"/>
      <c r="PYP21" s="19"/>
      <c r="PYQ21" s="19"/>
      <c r="PYR21" s="19"/>
      <c r="PYS21" s="19"/>
      <c r="PYT21" s="19"/>
      <c r="PYU21" s="19"/>
      <c r="PYV21" s="19"/>
      <c r="PYW21" s="19"/>
      <c r="PYX21" s="19"/>
      <c r="PYY21" s="19"/>
      <c r="PYZ21" s="19"/>
      <c r="PZA21" s="19"/>
      <c r="PZB21" s="19"/>
      <c r="PZC21" s="19"/>
      <c r="PZD21" s="19"/>
      <c r="PZE21" s="19"/>
      <c r="PZF21" s="19"/>
      <c r="PZG21" s="19"/>
      <c r="PZH21" s="19"/>
      <c r="PZI21" s="19"/>
      <c r="PZJ21" s="19"/>
      <c r="PZK21" s="19"/>
      <c r="PZL21" s="19"/>
      <c r="PZM21" s="19"/>
      <c r="PZN21" s="19"/>
      <c r="PZO21" s="19"/>
      <c r="PZP21" s="19"/>
      <c r="PZQ21" s="19"/>
      <c r="PZR21" s="19"/>
      <c r="PZS21" s="19"/>
      <c r="PZT21" s="19"/>
      <c r="PZU21" s="19"/>
      <c r="PZV21" s="19"/>
      <c r="PZW21" s="19"/>
      <c r="PZX21" s="19"/>
      <c r="PZY21" s="19"/>
      <c r="PZZ21" s="19"/>
      <c r="QAA21" s="19"/>
      <c r="QAB21" s="19"/>
      <c r="QAC21" s="19"/>
      <c r="QAD21" s="19"/>
      <c r="QAE21" s="19"/>
      <c r="QAF21" s="19"/>
      <c r="QAG21" s="19"/>
      <c r="QAH21" s="19"/>
      <c r="QAI21" s="19"/>
      <c r="QAJ21" s="19"/>
      <c r="QAK21" s="19"/>
      <c r="QAL21" s="19"/>
      <c r="QAM21" s="19"/>
      <c r="QAN21" s="19"/>
      <c r="QAO21" s="19"/>
      <c r="QAP21" s="19"/>
      <c r="QAQ21" s="19"/>
      <c r="QAR21" s="19"/>
      <c r="QAS21" s="19"/>
      <c r="QAT21" s="19"/>
      <c r="QAU21" s="19"/>
      <c r="QAV21" s="19"/>
      <c r="QAW21" s="19"/>
      <c r="QAX21" s="19"/>
      <c r="QAY21" s="19"/>
      <c r="QAZ21" s="19"/>
      <c r="QBA21" s="19"/>
      <c r="QBB21" s="19"/>
      <c r="QBC21" s="19"/>
      <c r="QBD21" s="19"/>
      <c r="QBE21" s="19"/>
      <c r="QBF21" s="19"/>
      <c r="QBG21" s="19"/>
      <c r="QBH21" s="19"/>
      <c r="QBI21" s="19"/>
      <c r="QBJ21" s="19"/>
      <c r="QBK21" s="19"/>
      <c r="QBL21" s="19"/>
      <c r="QBM21" s="19"/>
      <c r="QBN21" s="19"/>
      <c r="QBO21" s="19"/>
      <c r="QBP21" s="19"/>
      <c r="QBQ21" s="19"/>
      <c r="QBR21" s="19"/>
      <c r="QBS21" s="19"/>
      <c r="QBT21" s="19"/>
      <c r="QBU21" s="19"/>
      <c r="QBV21" s="19"/>
      <c r="QBW21" s="19"/>
      <c r="QBX21" s="19"/>
      <c r="QBY21" s="19"/>
      <c r="QBZ21" s="19"/>
      <c r="QCA21" s="19"/>
      <c r="QCB21" s="19"/>
      <c r="QCC21" s="19"/>
      <c r="QCD21" s="19"/>
      <c r="QCE21" s="19"/>
      <c r="QCF21" s="19"/>
      <c r="QCG21" s="19"/>
      <c r="QCH21" s="19"/>
      <c r="QCI21" s="19"/>
      <c r="QCJ21" s="19"/>
      <c r="QCK21" s="19"/>
      <c r="QCL21" s="19"/>
      <c r="QCM21" s="19"/>
      <c r="QCN21" s="19"/>
      <c r="QCO21" s="19"/>
      <c r="QCP21" s="19"/>
      <c r="QCQ21" s="19"/>
      <c r="QCR21" s="19"/>
      <c r="QCS21" s="19"/>
      <c r="QCT21" s="19"/>
      <c r="QCU21" s="19"/>
      <c r="QCV21" s="19"/>
      <c r="QCW21" s="19"/>
      <c r="QCX21" s="19"/>
      <c r="QCY21" s="19"/>
      <c r="QCZ21" s="19"/>
      <c r="QDA21" s="19"/>
      <c r="QDB21" s="19"/>
      <c r="QDC21" s="19"/>
      <c r="QDD21" s="19"/>
      <c r="QDE21" s="19"/>
      <c r="QDF21" s="19"/>
      <c r="QDG21" s="19"/>
      <c r="QDH21" s="19"/>
      <c r="QDI21" s="19"/>
      <c r="QDJ21" s="19"/>
      <c r="QDK21" s="19"/>
      <c r="QDL21" s="19"/>
      <c r="QDM21" s="19"/>
      <c r="QDN21" s="19"/>
      <c r="QDO21" s="19"/>
      <c r="QDP21" s="19"/>
      <c r="QDQ21" s="19"/>
      <c r="QDR21" s="19"/>
      <c r="QDS21" s="19"/>
      <c r="QDT21" s="19"/>
      <c r="QDU21" s="19"/>
      <c r="QDV21" s="19"/>
      <c r="QDW21" s="19"/>
      <c r="QDX21" s="19"/>
      <c r="QDY21" s="19"/>
      <c r="QDZ21" s="19"/>
      <c r="QEA21" s="19"/>
      <c r="QEB21" s="19"/>
      <c r="QEC21" s="19"/>
      <c r="QED21" s="19"/>
      <c r="QEE21" s="19"/>
      <c r="QEF21" s="19"/>
      <c r="QEG21" s="19"/>
      <c r="QEH21" s="19"/>
      <c r="QEI21" s="19"/>
      <c r="QEJ21" s="19"/>
      <c r="QEK21" s="19"/>
      <c r="QEL21" s="19"/>
      <c r="QEM21" s="19"/>
      <c r="QEN21" s="19"/>
      <c r="QEO21" s="19"/>
      <c r="QEP21" s="19"/>
      <c r="QEQ21" s="19"/>
      <c r="QER21" s="19"/>
      <c r="QES21" s="19"/>
      <c r="QET21" s="19"/>
      <c r="QEU21" s="19"/>
      <c r="QEV21" s="19"/>
      <c r="QEW21" s="19"/>
      <c r="QEX21" s="19"/>
      <c r="QEY21" s="19"/>
      <c r="QEZ21" s="19"/>
      <c r="QFA21" s="19"/>
      <c r="QFB21" s="19"/>
      <c r="QFC21" s="19"/>
      <c r="QFD21" s="19"/>
      <c r="QFE21" s="19"/>
      <c r="QFF21" s="19"/>
      <c r="QFG21" s="19"/>
      <c r="QFH21" s="19"/>
      <c r="QFI21" s="19"/>
      <c r="QFJ21" s="19"/>
      <c r="QFK21" s="19"/>
      <c r="QFL21" s="19"/>
      <c r="QFM21" s="19"/>
      <c r="QFN21" s="19"/>
      <c r="QFO21" s="19"/>
      <c r="QFP21" s="19"/>
      <c r="QFQ21" s="19"/>
      <c r="QFR21" s="19"/>
      <c r="QFS21" s="19"/>
      <c r="QFT21" s="19"/>
      <c r="QFU21" s="19"/>
      <c r="QFV21" s="19"/>
      <c r="QFW21" s="19"/>
      <c r="QFX21" s="19"/>
      <c r="QFY21" s="19"/>
      <c r="QFZ21" s="19"/>
      <c r="QGA21" s="19"/>
      <c r="QGB21" s="19"/>
      <c r="QGC21" s="19"/>
      <c r="QGD21" s="19"/>
      <c r="QGE21" s="19"/>
      <c r="QGF21" s="19"/>
      <c r="QGG21" s="19"/>
      <c r="QGH21" s="19"/>
      <c r="QGI21" s="19"/>
      <c r="QGJ21" s="19"/>
      <c r="QGK21" s="19"/>
      <c r="QGL21" s="19"/>
      <c r="QGM21" s="19"/>
      <c r="QGN21" s="19"/>
      <c r="QGO21" s="19"/>
      <c r="QGP21" s="19"/>
      <c r="QGQ21" s="19"/>
      <c r="QGR21" s="19"/>
      <c r="QGS21" s="19"/>
      <c r="QGT21" s="19"/>
      <c r="QGU21" s="19"/>
      <c r="QGV21" s="19"/>
      <c r="QGW21" s="19"/>
      <c r="QGX21" s="19"/>
      <c r="QGY21" s="19"/>
      <c r="QGZ21" s="19"/>
      <c r="QHA21" s="19"/>
      <c r="QHB21" s="19"/>
      <c r="QHC21" s="19"/>
      <c r="QHD21" s="19"/>
      <c r="QHE21" s="19"/>
      <c r="QHF21" s="19"/>
      <c r="QHG21" s="19"/>
      <c r="QHH21" s="19"/>
      <c r="QHI21" s="19"/>
      <c r="QHJ21" s="19"/>
      <c r="QHK21" s="19"/>
      <c r="QHL21" s="19"/>
      <c r="QHM21" s="19"/>
      <c r="QHN21" s="19"/>
      <c r="QHO21" s="19"/>
      <c r="QHP21" s="19"/>
      <c r="QHQ21" s="19"/>
      <c r="QHR21" s="19"/>
      <c r="QHS21" s="19"/>
      <c r="QHT21" s="19"/>
      <c r="QHU21" s="19"/>
      <c r="QHV21" s="19"/>
      <c r="QHW21" s="19"/>
      <c r="QHX21" s="19"/>
      <c r="QHY21" s="19"/>
      <c r="QHZ21" s="19"/>
      <c r="QIA21" s="19"/>
      <c r="QIB21" s="19"/>
      <c r="QIC21" s="19"/>
      <c r="QID21" s="19"/>
      <c r="QIE21" s="19"/>
      <c r="QIF21" s="19"/>
      <c r="QIG21" s="19"/>
      <c r="QIH21" s="19"/>
      <c r="QII21" s="19"/>
      <c r="QIJ21" s="19"/>
      <c r="QIK21" s="19"/>
      <c r="QIL21" s="19"/>
      <c r="QIM21" s="19"/>
      <c r="QIN21" s="19"/>
      <c r="QIO21" s="19"/>
      <c r="QIP21" s="19"/>
      <c r="QIQ21" s="19"/>
      <c r="QIR21" s="19"/>
      <c r="QIS21" s="19"/>
      <c r="QIT21" s="19"/>
      <c r="QIU21" s="19"/>
      <c r="QIV21" s="19"/>
      <c r="QIW21" s="19"/>
      <c r="QIX21" s="19"/>
      <c r="QIY21" s="19"/>
      <c r="QIZ21" s="19"/>
      <c r="QJA21" s="19"/>
      <c r="QJB21" s="19"/>
      <c r="QJC21" s="19"/>
      <c r="QJD21" s="19"/>
      <c r="QJE21" s="19"/>
      <c r="QJF21" s="19"/>
      <c r="QJG21" s="19"/>
      <c r="QJH21" s="19"/>
      <c r="QJI21" s="19"/>
      <c r="QJJ21" s="19"/>
      <c r="QJK21" s="19"/>
      <c r="QJL21" s="19"/>
      <c r="QJM21" s="19"/>
      <c r="QJN21" s="19"/>
      <c r="QJO21" s="19"/>
      <c r="QJP21" s="19"/>
      <c r="QJQ21" s="19"/>
      <c r="QJR21" s="19"/>
      <c r="QJS21" s="19"/>
      <c r="QJT21" s="19"/>
      <c r="QJU21" s="19"/>
      <c r="QJV21" s="19"/>
      <c r="QJW21" s="19"/>
      <c r="QJX21" s="19"/>
      <c r="QJY21" s="19"/>
      <c r="QJZ21" s="19"/>
      <c r="QKA21" s="19"/>
      <c r="QKB21" s="19"/>
      <c r="QKC21" s="19"/>
      <c r="QKD21" s="19"/>
      <c r="QKE21" s="19"/>
      <c r="QKF21" s="19"/>
      <c r="QKG21" s="19"/>
      <c r="QKH21" s="19"/>
      <c r="QKI21" s="19"/>
      <c r="QKJ21" s="19"/>
      <c r="QKK21" s="19"/>
      <c r="QKL21" s="19"/>
      <c r="QKM21" s="19"/>
      <c r="QKN21" s="19"/>
      <c r="QKO21" s="19"/>
      <c r="QKP21" s="19"/>
      <c r="QKQ21" s="19"/>
      <c r="QKR21" s="19"/>
      <c r="QKS21" s="19"/>
      <c r="QKT21" s="19"/>
      <c r="QKU21" s="19"/>
      <c r="QKV21" s="19"/>
      <c r="QKW21" s="19"/>
      <c r="QKX21" s="19"/>
      <c r="QKY21" s="19"/>
      <c r="QKZ21" s="19"/>
      <c r="QLA21" s="19"/>
      <c r="QLB21" s="19"/>
      <c r="QLC21" s="19"/>
      <c r="QLD21" s="19"/>
      <c r="QLE21" s="19"/>
      <c r="QLF21" s="19"/>
      <c r="QLG21" s="19"/>
      <c r="QLH21" s="19"/>
      <c r="QLI21" s="19"/>
      <c r="QLJ21" s="19"/>
      <c r="QLK21" s="19"/>
      <c r="QLL21" s="19"/>
      <c r="QLM21" s="19"/>
      <c r="QLN21" s="19"/>
      <c r="QLO21" s="19"/>
      <c r="QLP21" s="19"/>
      <c r="QLQ21" s="19"/>
      <c r="QLR21" s="19"/>
      <c r="QLS21" s="19"/>
      <c r="QLT21" s="19"/>
      <c r="QLU21" s="19"/>
      <c r="QLV21" s="19"/>
      <c r="QLW21" s="19"/>
      <c r="QLX21" s="19"/>
      <c r="QLY21" s="19"/>
      <c r="QLZ21" s="19"/>
      <c r="QMA21" s="19"/>
      <c r="QMB21" s="19"/>
      <c r="QMC21" s="19"/>
      <c r="QMD21" s="19"/>
      <c r="QME21" s="19"/>
      <c r="QMF21" s="19"/>
      <c r="QMG21" s="19"/>
      <c r="QMH21" s="19"/>
      <c r="QMI21" s="19"/>
      <c r="QMJ21" s="19"/>
      <c r="QMK21" s="19"/>
      <c r="QML21" s="19"/>
      <c r="QMM21" s="19"/>
      <c r="QMN21" s="19"/>
      <c r="QMO21" s="19"/>
      <c r="QMP21" s="19"/>
      <c r="QMQ21" s="19"/>
      <c r="QMR21" s="19"/>
      <c r="QMS21" s="19"/>
      <c r="QMT21" s="19"/>
      <c r="QMU21" s="19"/>
      <c r="QMV21" s="19"/>
      <c r="QMW21" s="19"/>
      <c r="QMX21" s="19"/>
      <c r="QMY21" s="19"/>
      <c r="QMZ21" s="19"/>
      <c r="QNA21" s="19"/>
      <c r="QNB21" s="19"/>
      <c r="QNC21" s="19"/>
      <c r="QND21" s="19"/>
      <c r="QNE21" s="19"/>
      <c r="QNF21" s="19"/>
      <c r="QNG21" s="19"/>
      <c r="QNH21" s="19"/>
      <c r="QNI21" s="19"/>
      <c r="QNJ21" s="19"/>
      <c r="QNK21" s="19"/>
      <c r="QNL21" s="19"/>
      <c r="QNM21" s="19"/>
      <c r="QNN21" s="19"/>
      <c r="QNO21" s="19"/>
      <c r="QNP21" s="19"/>
      <c r="QNQ21" s="19"/>
      <c r="QNR21" s="19"/>
      <c r="QNS21" s="19"/>
      <c r="QNT21" s="19"/>
      <c r="QNU21" s="19"/>
      <c r="QNV21" s="19"/>
      <c r="QNW21" s="19"/>
      <c r="QNX21" s="19"/>
      <c r="QNY21" s="19"/>
      <c r="QNZ21" s="19"/>
      <c r="QOA21" s="19"/>
      <c r="QOB21" s="19"/>
      <c r="QOC21" s="19"/>
      <c r="QOD21" s="19"/>
      <c r="QOE21" s="19"/>
      <c r="QOF21" s="19"/>
      <c r="QOG21" s="19"/>
      <c r="QOH21" s="19"/>
      <c r="QOI21" s="19"/>
      <c r="QOJ21" s="19"/>
      <c r="QOK21" s="19"/>
      <c r="QOL21" s="19"/>
      <c r="QOM21" s="19"/>
      <c r="QON21" s="19"/>
      <c r="QOO21" s="19"/>
      <c r="QOP21" s="19"/>
      <c r="QOQ21" s="19"/>
      <c r="QOR21" s="19"/>
      <c r="QOS21" s="19"/>
      <c r="QOT21" s="19"/>
      <c r="QOU21" s="19"/>
      <c r="QOV21" s="19"/>
      <c r="QOW21" s="19"/>
      <c r="QOX21" s="19"/>
      <c r="QOY21" s="19"/>
      <c r="QOZ21" s="19"/>
      <c r="QPA21" s="19"/>
      <c r="QPB21" s="19"/>
      <c r="QPC21" s="19"/>
      <c r="QPD21" s="19"/>
      <c r="QPE21" s="19"/>
      <c r="QPF21" s="19"/>
      <c r="QPG21" s="19"/>
      <c r="QPH21" s="19"/>
      <c r="QPI21" s="19"/>
      <c r="QPJ21" s="19"/>
      <c r="QPK21" s="19"/>
      <c r="QPL21" s="19"/>
      <c r="QPM21" s="19"/>
      <c r="QPN21" s="19"/>
      <c r="QPO21" s="19"/>
      <c r="QPP21" s="19"/>
      <c r="QPQ21" s="19"/>
      <c r="QPR21" s="19"/>
      <c r="QPS21" s="19"/>
      <c r="QPT21" s="19"/>
      <c r="QPU21" s="19"/>
      <c r="QPV21" s="19"/>
      <c r="QPW21" s="19"/>
      <c r="QPX21" s="19"/>
      <c r="QPY21" s="19"/>
      <c r="QPZ21" s="19"/>
      <c r="QQA21" s="19"/>
      <c r="QQB21" s="19"/>
      <c r="QQC21" s="19"/>
      <c r="QQD21" s="19"/>
      <c r="QQE21" s="19"/>
      <c r="QQF21" s="19"/>
      <c r="QQG21" s="19"/>
      <c r="QQH21" s="19"/>
      <c r="QQI21" s="19"/>
      <c r="QQJ21" s="19"/>
      <c r="QQK21" s="19"/>
      <c r="QQL21" s="19"/>
      <c r="QQM21" s="19"/>
      <c r="QQN21" s="19"/>
      <c r="QQO21" s="19"/>
      <c r="QQP21" s="19"/>
      <c r="QQQ21" s="19"/>
      <c r="QQR21" s="19"/>
      <c r="QQS21" s="19"/>
      <c r="QQT21" s="19"/>
      <c r="QQU21" s="19"/>
      <c r="QQV21" s="19"/>
      <c r="QQW21" s="19"/>
      <c r="QQX21" s="19"/>
      <c r="QQY21" s="19"/>
      <c r="QQZ21" s="19"/>
      <c r="QRA21" s="19"/>
      <c r="QRB21" s="19"/>
      <c r="QRC21" s="19"/>
      <c r="QRD21" s="19"/>
      <c r="QRE21" s="19"/>
      <c r="QRF21" s="19"/>
      <c r="QRG21" s="19"/>
      <c r="QRH21" s="19"/>
      <c r="QRI21" s="19"/>
      <c r="QRJ21" s="19"/>
      <c r="QRK21" s="19"/>
      <c r="QRL21" s="19"/>
      <c r="QRM21" s="19"/>
      <c r="QRN21" s="19"/>
      <c r="QRO21" s="19"/>
      <c r="QRP21" s="19"/>
      <c r="QRQ21" s="19"/>
      <c r="QRR21" s="19"/>
      <c r="QRS21" s="19"/>
      <c r="QRT21" s="19"/>
      <c r="QRU21" s="19"/>
      <c r="QRV21" s="19"/>
      <c r="QRW21" s="19"/>
      <c r="QRX21" s="19"/>
      <c r="QRY21" s="19"/>
      <c r="QRZ21" s="19"/>
      <c r="QSA21" s="19"/>
      <c r="QSB21" s="19"/>
      <c r="QSC21" s="19"/>
      <c r="QSD21" s="19"/>
      <c r="QSE21" s="19"/>
      <c r="QSF21" s="19"/>
      <c r="QSG21" s="19"/>
      <c r="QSH21" s="19"/>
      <c r="QSI21" s="19"/>
      <c r="QSJ21" s="19"/>
      <c r="QSK21" s="19"/>
      <c r="QSL21" s="19"/>
      <c r="QSM21" s="19"/>
      <c r="QSN21" s="19"/>
      <c r="QSO21" s="19"/>
      <c r="QSP21" s="19"/>
      <c r="QSQ21" s="19"/>
      <c r="QSR21" s="19"/>
      <c r="QSS21" s="19"/>
      <c r="QST21" s="19"/>
      <c r="QSU21" s="19"/>
      <c r="QSV21" s="19"/>
      <c r="QSW21" s="19"/>
      <c r="QSX21" s="19"/>
      <c r="QSY21" s="19"/>
      <c r="QSZ21" s="19"/>
      <c r="QTA21" s="19"/>
      <c r="QTB21" s="19"/>
      <c r="QTC21" s="19"/>
      <c r="QTD21" s="19"/>
      <c r="QTE21" s="19"/>
      <c r="QTF21" s="19"/>
      <c r="QTG21" s="19"/>
      <c r="QTH21" s="19"/>
      <c r="QTI21" s="19"/>
      <c r="QTJ21" s="19"/>
      <c r="QTK21" s="19"/>
      <c r="QTL21" s="19"/>
      <c r="QTM21" s="19"/>
      <c r="QTN21" s="19"/>
      <c r="QTO21" s="19"/>
      <c r="QTP21" s="19"/>
      <c r="QTQ21" s="19"/>
      <c r="QTR21" s="19"/>
      <c r="QTS21" s="19"/>
      <c r="QTT21" s="19"/>
      <c r="QTU21" s="19"/>
      <c r="QTV21" s="19"/>
      <c r="QTW21" s="19"/>
      <c r="QTX21" s="19"/>
      <c r="QTY21" s="19"/>
      <c r="QTZ21" s="19"/>
      <c r="QUA21" s="19"/>
      <c r="QUB21" s="19"/>
      <c r="QUC21" s="19"/>
      <c r="QUD21" s="19"/>
      <c r="QUE21" s="19"/>
      <c r="QUF21" s="19"/>
      <c r="QUG21" s="19"/>
      <c r="QUH21" s="19"/>
      <c r="QUI21" s="19"/>
      <c r="QUJ21" s="19"/>
      <c r="QUK21" s="19"/>
      <c r="QUL21" s="19"/>
      <c r="QUM21" s="19"/>
      <c r="QUN21" s="19"/>
      <c r="QUO21" s="19"/>
      <c r="QUP21" s="19"/>
      <c r="QUQ21" s="19"/>
      <c r="QUR21" s="19"/>
      <c r="QUS21" s="19"/>
      <c r="QUT21" s="19"/>
      <c r="QUU21" s="19"/>
      <c r="QUV21" s="19"/>
      <c r="QUW21" s="19"/>
      <c r="QUX21" s="19"/>
      <c r="QUY21" s="19"/>
      <c r="QUZ21" s="19"/>
      <c r="QVA21" s="19"/>
      <c r="QVB21" s="19"/>
      <c r="QVC21" s="19"/>
      <c r="QVD21" s="19"/>
      <c r="QVE21" s="19"/>
      <c r="QVF21" s="19"/>
      <c r="QVG21" s="19"/>
      <c r="QVH21" s="19"/>
      <c r="QVI21" s="19"/>
      <c r="QVJ21" s="19"/>
      <c r="QVK21" s="19"/>
      <c r="QVL21" s="19"/>
      <c r="QVM21" s="19"/>
      <c r="QVN21" s="19"/>
      <c r="QVO21" s="19"/>
      <c r="QVP21" s="19"/>
      <c r="QVQ21" s="19"/>
      <c r="QVR21" s="19"/>
      <c r="QVS21" s="19"/>
      <c r="QVT21" s="19"/>
      <c r="QVU21" s="19"/>
      <c r="QVV21" s="19"/>
      <c r="QVW21" s="19"/>
      <c r="QVX21" s="19"/>
      <c r="QVY21" s="19"/>
      <c r="QVZ21" s="19"/>
      <c r="QWA21" s="19"/>
      <c r="QWB21" s="19"/>
      <c r="QWC21" s="19"/>
      <c r="QWD21" s="19"/>
      <c r="QWE21" s="19"/>
      <c r="QWF21" s="19"/>
      <c r="QWG21" s="19"/>
      <c r="QWH21" s="19"/>
      <c r="QWI21" s="19"/>
      <c r="QWJ21" s="19"/>
      <c r="QWK21" s="19"/>
      <c r="QWL21" s="19"/>
      <c r="QWM21" s="19"/>
      <c r="QWN21" s="19"/>
      <c r="QWO21" s="19"/>
      <c r="QWP21" s="19"/>
      <c r="QWQ21" s="19"/>
      <c r="QWR21" s="19"/>
      <c r="QWS21" s="19"/>
      <c r="QWT21" s="19"/>
      <c r="QWU21" s="19"/>
      <c r="QWV21" s="19"/>
      <c r="QWW21" s="19"/>
      <c r="QWX21" s="19"/>
      <c r="QWY21" s="19"/>
      <c r="QWZ21" s="19"/>
      <c r="QXA21" s="19"/>
      <c r="QXB21" s="19"/>
      <c r="QXC21" s="19"/>
      <c r="QXD21" s="19"/>
      <c r="QXE21" s="19"/>
      <c r="QXF21" s="19"/>
      <c r="QXG21" s="19"/>
      <c r="QXH21" s="19"/>
      <c r="QXI21" s="19"/>
      <c r="QXJ21" s="19"/>
      <c r="QXK21" s="19"/>
      <c r="QXL21" s="19"/>
      <c r="QXM21" s="19"/>
      <c r="QXN21" s="19"/>
      <c r="QXO21" s="19"/>
      <c r="QXP21" s="19"/>
      <c r="QXQ21" s="19"/>
      <c r="QXR21" s="19"/>
      <c r="QXS21" s="19"/>
      <c r="QXT21" s="19"/>
      <c r="QXU21" s="19"/>
      <c r="QXV21" s="19"/>
      <c r="QXW21" s="19"/>
      <c r="QXX21" s="19"/>
      <c r="QXY21" s="19"/>
      <c r="QXZ21" s="19"/>
      <c r="QYA21" s="19"/>
      <c r="QYB21" s="19"/>
      <c r="QYC21" s="19"/>
      <c r="QYD21" s="19"/>
      <c r="QYE21" s="19"/>
      <c r="QYF21" s="19"/>
      <c r="QYG21" s="19"/>
      <c r="QYH21" s="19"/>
      <c r="QYI21" s="19"/>
      <c r="QYJ21" s="19"/>
      <c r="QYK21" s="19"/>
      <c r="QYL21" s="19"/>
      <c r="QYM21" s="19"/>
      <c r="QYN21" s="19"/>
      <c r="QYO21" s="19"/>
      <c r="QYP21" s="19"/>
      <c r="QYQ21" s="19"/>
      <c r="QYR21" s="19"/>
      <c r="QYS21" s="19"/>
      <c r="QYT21" s="19"/>
      <c r="QYU21" s="19"/>
      <c r="QYV21" s="19"/>
      <c r="QYW21" s="19"/>
      <c r="QYX21" s="19"/>
      <c r="QYY21" s="19"/>
      <c r="QYZ21" s="19"/>
      <c r="QZA21" s="19"/>
      <c r="QZB21" s="19"/>
      <c r="QZC21" s="19"/>
      <c r="QZD21" s="19"/>
      <c r="QZE21" s="19"/>
      <c r="QZF21" s="19"/>
      <c r="QZG21" s="19"/>
      <c r="QZH21" s="19"/>
      <c r="QZI21" s="19"/>
      <c r="QZJ21" s="19"/>
      <c r="QZK21" s="19"/>
      <c r="QZL21" s="19"/>
      <c r="QZM21" s="19"/>
      <c r="QZN21" s="19"/>
      <c r="QZO21" s="19"/>
      <c r="QZP21" s="19"/>
      <c r="QZQ21" s="19"/>
      <c r="QZR21" s="19"/>
      <c r="QZS21" s="19"/>
      <c r="QZT21" s="19"/>
      <c r="QZU21" s="19"/>
      <c r="QZV21" s="19"/>
      <c r="QZW21" s="19"/>
      <c r="QZX21" s="19"/>
      <c r="QZY21" s="19"/>
      <c r="QZZ21" s="19"/>
      <c r="RAA21" s="19"/>
      <c r="RAB21" s="19"/>
      <c r="RAC21" s="19"/>
      <c r="RAD21" s="19"/>
      <c r="RAE21" s="19"/>
      <c r="RAF21" s="19"/>
      <c r="RAG21" s="19"/>
      <c r="RAH21" s="19"/>
      <c r="RAI21" s="19"/>
      <c r="RAJ21" s="19"/>
      <c r="RAK21" s="19"/>
      <c r="RAL21" s="19"/>
      <c r="RAM21" s="19"/>
      <c r="RAN21" s="19"/>
      <c r="RAO21" s="19"/>
      <c r="RAP21" s="19"/>
      <c r="RAQ21" s="19"/>
      <c r="RAR21" s="19"/>
      <c r="RAS21" s="19"/>
      <c r="RAT21" s="19"/>
      <c r="RAU21" s="19"/>
      <c r="RAV21" s="19"/>
      <c r="RAW21" s="19"/>
      <c r="RAX21" s="19"/>
      <c r="RAY21" s="19"/>
      <c r="RAZ21" s="19"/>
      <c r="RBA21" s="19"/>
      <c r="RBB21" s="19"/>
      <c r="RBC21" s="19"/>
      <c r="RBD21" s="19"/>
      <c r="RBE21" s="19"/>
      <c r="RBF21" s="19"/>
      <c r="RBG21" s="19"/>
      <c r="RBH21" s="19"/>
      <c r="RBI21" s="19"/>
      <c r="RBJ21" s="19"/>
      <c r="RBK21" s="19"/>
      <c r="RBL21" s="19"/>
      <c r="RBM21" s="19"/>
      <c r="RBN21" s="19"/>
      <c r="RBO21" s="19"/>
      <c r="RBP21" s="19"/>
      <c r="RBQ21" s="19"/>
      <c r="RBR21" s="19"/>
      <c r="RBS21" s="19"/>
      <c r="RBT21" s="19"/>
      <c r="RBU21" s="19"/>
      <c r="RBV21" s="19"/>
      <c r="RBW21" s="19"/>
      <c r="RBX21" s="19"/>
      <c r="RBY21" s="19"/>
      <c r="RBZ21" s="19"/>
      <c r="RCA21" s="19"/>
      <c r="RCB21" s="19"/>
      <c r="RCC21" s="19"/>
      <c r="RCD21" s="19"/>
      <c r="RCE21" s="19"/>
      <c r="RCF21" s="19"/>
      <c r="RCG21" s="19"/>
      <c r="RCH21" s="19"/>
      <c r="RCI21" s="19"/>
      <c r="RCJ21" s="19"/>
      <c r="RCK21" s="19"/>
      <c r="RCL21" s="19"/>
      <c r="RCM21" s="19"/>
      <c r="RCN21" s="19"/>
      <c r="RCO21" s="19"/>
      <c r="RCP21" s="19"/>
      <c r="RCQ21" s="19"/>
      <c r="RCR21" s="19"/>
      <c r="RCS21" s="19"/>
      <c r="RCT21" s="19"/>
      <c r="RCU21" s="19"/>
      <c r="RCV21" s="19"/>
      <c r="RCW21" s="19"/>
      <c r="RCX21" s="19"/>
      <c r="RCY21" s="19"/>
      <c r="RCZ21" s="19"/>
      <c r="RDA21" s="19"/>
      <c r="RDB21" s="19"/>
      <c r="RDC21" s="19"/>
      <c r="RDD21" s="19"/>
      <c r="RDE21" s="19"/>
      <c r="RDF21" s="19"/>
      <c r="RDG21" s="19"/>
      <c r="RDH21" s="19"/>
      <c r="RDI21" s="19"/>
      <c r="RDJ21" s="19"/>
      <c r="RDK21" s="19"/>
      <c r="RDL21" s="19"/>
      <c r="RDM21" s="19"/>
      <c r="RDN21" s="19"/>
      <c r="RDO21" s="19"/>
      <c r="RDP21" s="19"/>
      <c r="RDQ21" s="19"/>
      <c r="RDR21" s="19"/>
      <c r="RDS21" s="19"/>
      <c r="RDT21" s="19"/>
      <c r="RDU21" s="19"/>
      <c r="RDV21" s="19"/>
      <c r="RDW21" s="19"/>
      <c r="RDX21" s="19"/>
      <c r="RDY21" s="19"/>
      <c r="RDZ21" s="19"/>
      <c r="REA21" s="19"/>
      <c r="REB21" s="19"/>
      <c r="REC21" s="19"/>
      <c r="RED21" s="19"/>
      <c r="REE21" s="19"/>
      <c r="REF21" s="19"/>
      <c r="REG21" s="19"/>
      <c r="REH21" s="19"/>
      <c r="REI21" s="19"/>
      <c r="REJ21" s="19"/>
      <c r="REK21" s="19"/>
      <c r="REL21" s="19"/>
      <c r="REM21" s="19"/>
      <c r="REN21" s="19"/>
      <c r="REO21" s="19"/>
      <c r="REP21" s="19"/>
      <c r="REQ21" s="19"/>
      <c r="RER21" s="19"/>
      <c r="RES21" s="19"/>
      <c r="RET21" s="19"/>
      <c r="REU21" s="19"/>
      <c r="REV21" s="19"/>
      <c r="REW21" s="19"/>
      <c r="REX21" s="19"/>
      <c r="REY21" s="19"/>
      <c r="REZ21" s="19"/>
      <c r="RFA21" s="19"/>
      <c r="RFB21" s="19"/>
      <c r="RFC21" s="19"/>
      <c r="RFD21" s="19"/>
      <c r="RFE21" s="19"/>
      <c r="RFF21" s="19"/>
      <c r="RFG21" s="19"/>
      <c r="RFH21" s="19"/>
      <c r="RFI21" s="19"/>
      <c r="RFJ21" s="19"/>
      <c r="RFK21" s="19"/>
      <c r="RFL21" s="19"/>
      <c r="RFM21" s="19"/>
      <c r="RFN21" s="19"/>
      <c r="RFO21" s="19"/>
      <c r="RFP21" s="19"/>
      <c r="RFQ21" s="19"/>
      <c r="RFR21" s="19"/>
      <c r="RFS21" s="19"/>
      <c r="RFT21" s="19"/>
      <c r="RFU21" s="19"/>
      <c r="RFV21" s="19"/>
      <c r="RFW21" s="19"/>
      <c r="RFX21" s="19"/>
      <c r="RFY21" s="19"/>
      <c r="RFZ21" s="19"/>
      <c r="RGA21" s="19"/>
      <c r="RGB21" s="19"/>
      <c r="RGC21" s="19"/>
      <c r="RGD21" s="19"/>
      <c r="RGE21" s="19"/>
      <c r="RGF21" s="19"/>
      <c r="RGG21" s="19"/>
      <c r="RGH21" s="19"/>
      <c r="RGI21" s="19"/>
      <c r="RGJ21" s="19"/>
      <c r="RGK21" s="19"/>
      <c r="RGL21" s="19"/>
      <c r="RGM21" s="19"/>
      <c r="RGN21" s="19"/>
      <c r="RGO21" s="19"/>
      <c r="RGP21" s="19"/>
      <c r="RGQ21" s="19"/>
      <c r="RGR21" s="19"/>
      <c r="RGS21" s="19"/>
      <c r="RGT21" s="19"/>
      <c r="RGU21" s="19"/>
      <c r="RGV21" s="19"/>
      <c r="RGW21" s="19"/>
      <c r="RGX21" s="19"/>
      <c r="RGY21" s="19"/>
      <c r="RGZ21" s="19"/>
      <c r="RHA21" s="19"/>
      <c r="RHB21" s="19"/>
      <c r="RHC21" s="19"/>
      <c r="RHD21" s="19"/>
      <c r="RHE21" s="19"/>
      <c r="RHF21" s="19"/>
      <c r="RHG21" s="19"/>
      <c r="RHH21" s="19"/>
      <c r="RHI21" s="19"/>
      <c r="RHJ21" s="19"/>
      <c r="RHK21" s="19"/>
      <c r="RHL21" s="19"/>
      <c r="RHM21" s="19"/>
      <c r="RHN21" s="19"/>
      <c r="RHO21" s="19"/>
      <c r="RHP21" s="19"/>
      <c r="RHQ21" s="19"/>
      <c r="RHR21" s="19"/>
      <c r="RHS21" s="19"/>
      <c r="RHT21" s="19"/>
      <c r="RHU21" s="19"/>
      <c r="RHV21" s="19"/>
      <c r="RHW21" s="19"/>
      <c r="RHX21" s="19"/>
      <c r="RHY21" s="19"/>
      <c r="RHZ21" s="19"/>
      <c r="RIA21" s="19"/>
      <c r="RIB21" s="19"/>
      <c r="RIC21" s="19"/>
      <c r="RID21" s="19"/>
      <c r="RIE21" s="19"/>
      <c r="RIF21" s="19"/>
      <c r="RIG21" s="19"/>
      <c r="RIH21" s="19"/>
      <c r="RII21" s="19"/>
      <c r="RIJ21" s="19"/>
      <c r="RIK21" s="19"/>
      <c r="RIL21" s="19"/>
      <c r="RIM21" s="19"/>
      <c r="RIN21" s="19"/>
      <c r="RIO21" s="19"/>
      <c r="RIP21" s="19"/>
      <c r="RIQ21" s="19"/>
      <c r="RIR21" s="19"/>
      <c r="RIS21" s="19"/>
      <c r="RIT21" s="19"/>
      <c r="RIU21" s="19"/>
      <c r="RIV21" s="19"/>
      <c r="RIW21" s="19"/>
      <c r="RIX21" s="19"/>
      <c r="RIY21" s="19"/>
      <c r="RIZ21" s="19"/>
      <c r="RJA21" s="19"/>
      <c r="RJB21" s="19"/>
      <c r="RJC21" s="19"/>
      <c r="RJD21" s="19"/>
      <c r="RJE21" s="19"/>
      <c r="RJF21" s="19"/>
      <c r="RJG21" s="19"/>
      <c r="RJH21" s="19"/>
      <c r="RJI21" s="19"/>
      <c r="RJJ21" s="19"/>
      <c r="RJK21" s="19"/>
      <c r="RJL21" s="19"/>
      <c r="RJM21" s="19"/>
      <c r="RJN21" s="19"/>
      <c r="RJO21" s="19"/>
      <c r="RJP21" s="19"/>
      <c r="RJQ21" s="19"/>
      <c r="RJR21" s="19"/>
      <c r="RJS21" s="19"/>
      <c r="RJT21" s="19"/>
      <c r="RJU21" s="19"/>
      <c r="RJV21" s="19"/>
      <c r="RJW21" s="19"/>
      <c r="RJX21" s="19"/>
      <c r="RJY21" s="19"/>
      <c r="RJZ21" s="19"/>
      <c r="RKA21" s="19"/>
      <c r="RKB21" s="19"/>
      <c r="RKC21" s="19"/>
      <c r="RKD21" s="19"/>
      <c r="RKE21" s="19"/>
      <c r="RKF21" s="19"/>
      <c r="RKG21" s="19"/>
      <c r="RKH21" s="19"/>
      <c r="RKI21" s="19"/>
      <c r="RKJ21" s="19"/>
      <c r="RKK21" s="19"/>
      <c r="RKL21" s="19"/>
      <c r="RKM21" s="19"/>
      <c r="RKN21" s="19"/>
      <c r="RKO21" s="19"/>
      <c r="RKP21" s="19"/>
      <c r="RKQ21" s="19"/>
      <c r="RKR21" s="19"/>
      <c r="RKS21" s="19"/>
      <c r="RKT21" s="19"/>
      <c r="RKU21" s="19"/>
      <c r="RKV21" s="19"/>
      <c r="RKW21" s="19"/>
      <c r="RKX21" s="19"/>
      <c r="RKY21" s="19"/>
      <c r="RKZ21" s="19"/>
      <c r="RLA21" s="19"/>
      <c r="RLB21" s="19"/>
      <c r="RLC21" s="19"/>
      <c r="RLD21" s="19"/>
      <c r="RLE21" s="19"/>
      <c r="RLF21" s="19"/>
      <c r="RLG21" s="19"/>
      <c r="RLH21" s="19"/>
      <c r="RLI21" s="19"/>
      <c r="RLJ21" s="19"/>
      <c r="RLK21" s="19"/>
      <c r="RLL21" s="19"/>
      <c r="RLM21" s="19"/>
      <c r="RLN21" s="19"/>
      <c r="RLO21" s="19"/>
      <c r="RLP21" s="19"/>
      <c r="RLQ21" s="19"/>
      <c r="RLR21" s="19"/>
      <c r="RLS21" s="19"/>
      <c r="RLT21" s="19"/>
      <c r="RLU21" s="19"/>
      <c r="RLV21" s="19"/>
      <c r="RLW21" s="19"/>
      <c r="RLX21" s="19"/>
      <c r="RLY21" s="19"/>
      <c r="RLZ21" s="19"/>
      <c r="RMA21" s="19"/>
      <c r="RMB21" s="19"/>
      <c r="RMC21" s="19"/>
      <c r="RMD21" s="19"/>
      <c r="RME21" s="19"/>
      <c r="RMF21" s="19"/>
      <c r="RMG21" s="19"/>
      <c r="RMH21" s="19"/>
      <c r="RMI21" s="19"/>
      <c r="RMJ21" s="19"/>
      <c r="RMK21" s="19"/>
      <c r="RML21" s="19"/>
      <c r="RMM21" s="19"/>
      <c r="RMN21" s="19"/>
      <c r="RMO21" s="19"/>
      <c r="RMP21" s="19"/>
      <c r="RMQ21" s="19"/>
      <c r="RMR21" s="19"/>
      <c r="RMS21" s="19"/>
      <c r="RMT21" s="19"/>
      <c r="RMU21" s="19"/>
      <c r="RMV21" s="19"/>
      <c r="RMW21" s="19"/>
      <c r="RMX21" s="19"/>
      <c r="RMY21" s="19"/>
      <c r="RMZ21" s="19"/>
      <c r="RNA21" s="19"/>
      <c r="RNB21" s="19"/>
      <c r="RNC21" s="19"/>
      <c r="RND21" s="19"/>
      <c r="RNE21" s="19"/>
      <c r="RNF21" s="19"/>
      <c r="RNG21" s="19"/>
      <c r="RNH21" s="19"/>
      <c r="RNI21" s="19"/>
      <c r="RNJ21" s="19"/>
      <c r="RNK21" s="19"/>
      <c r="RNL21" s="19"/>
      <c r="RNM21" s="19"/>
      <c r="RNN21" s="19"/>
      <c r="RNO21" s="19"/>
      <c r="RNP21" s="19"/>
      <c r="RNQ21" s="19"/>
      <c r="RNR21" s="19"/>
      <c r="RNS21" s="19"/>
      <c r="RNT21" s="19"/>
      <c r="RNU21" s="19"/>
      <c r="RNV21" s="19"/>
      <c r="RNW21" s="19"/>
      <c r="RNX21" s="19"/>
      <c r="RNY21" s="19"/>
      <c r="RNZ21" s="19"/>
      <c r="ROA21" s="19"/>
      <c r="ROB21" s="19"/>
      <c r="ROC21" s="19"/>
      <c r="ROD21" s="19"/>
      <c r="ROE21" s="19"/>
      <c r="ROF21" s="19"/>
      <c r="ROG21" s="19"/>
      <c r="ROH21" s="19"/>
      <c r="ROI21" s="19"/>
      <c r="ROJ21" s="19"/>
      <c r="ROK21" s="19"/>
      <c r="ROL21" s="19"/>
      <c r="ROM21" s="19"/>
      <c r="RON21" s="19"/>
      <c r="ROO21" s="19"/>
      <c r="ROP21" s="19"/>
      <c r="ROQ21" s="19"/>
      <c r="ROR21" s="19"/>
      <c r="ROS21" s="19"/>
      <c r="ROT21" s="19"/>
      <c r="ROU21" s="19"/>
      <c r="ROV21" s="19"/>
      <c r="ROW21" s="19"/>
      <c r="ROX21" s="19"/>
      <c r="ROY21" s="19"/>
      <c r="ROZ21" s="19"/>
      <c r="RPA21" s="19"/>
      <c r="RPB21" s="19"/>
      <c r="RPC21" s="19"/>
      <c r="RPD21" s="19"/>
      <c r="RPE21" s="19"/>
      <c r="RPF21" s="19"/>
      <c r="RPG21" s="19"/>
      <c r="RPH21" s="19"/>
      <c r="RPI21" s="19"/>
      <c r="RPJ21" s="19"/>
      <c r="RPK21" s="19"/>
      <c r="RPL21" s="19"/>
      <c r="RPM21" s="19"/>
      <c r="RPN21" s="19"/>
      <c r="RPO21" s="19"/>
      <c r="RPP21" s="19"/>
      <c r="RPQ21" s="19"/>
      <c r="RPR21" s="19"/>
      <c r="RPS21" s="19"/>
      <c r="RPT21" s="19"/>
      <c r="RPU21" s="19"/>
      <c r="RPV21" s="19"/>
      <c r="RPW21" s="19"/>
      <c r="RPX21" s="19"/>
      <c r="RPY21" s="19"/>
      <c r="RPZ21" s="19"/>
      <c r="RQA21" s="19"/>
      <c r="RQB21" s="19"/>
      <c r="RQC21" s="19"/>
      <c r="RQD21" s="19"/>
      <c r="RQE21" s="19"/>
      <c r="RQF21" s="19"/>
      <c r="RQG21" s="19"/>
      <c r="RQH21" s="19"/>
      <c r="RQI21" s="19"/>
      <c r="RQJ21" s="19"/>
      <c r="RQK21" s="19"/>
      <c r="RQL21" s="19"/>
      <c r="RQM21" s="19"/>
      <c r="RQN21" s="19"/>
      <c r="RQO21" s="19"/>
      <c r="RQP21" s="19"/>
      <c r="RQQ21" s="19"/>
      <c r="RQR21" s="19"/>
      <c r="RQS21" s="19"/>
      <c r="RQT21" s="19"/>
      <c r="RQU21" s="19"/>
      <c r="RQV21" s="19"/>
      <c r="RQW21" s="19"/>
      <c r="RQX21" s="19"/>
      <c r="RQY21" s="19"/>
      <c r="RQZ21" s="19"/>
      <c r="RRA21" s="19"/>
      <c r="RRB21" s="19"/>
      <c r="RRC21" s="19"/>
      <c r="RRD21" s="19"/>
      <c r="RRE21" s="19"/>
      <c r="RRF21" s="19"/>
      <c r="RRG21" s="19"/>
      <c r="RRH21" s="19"/>
      <c r="RRI21" s="19"/>
      <c r="RRJ21" s="19"/>
      <c r="RRK21" s="19"/>
      <c r="RRL21" s="19"/>
      <c r="RRM21" s="19"/>
      <c r="RRN21" s="19"/>
      <c r="RRO21" s="19"/>
      <c r="RRP21" s="19"/>
      <c r="RRQ21" s="19"/>
      <c r="RRR21" s="19"/>
      <c r="RRS21" s="19"/>
      <c r="RRT21" s="19"/>
      <c r="RRU21" s="19"/>
      <c r="RRV21" s="19"/>
      <c r="RRW21" s="19"/>
      <c r="RRX21" s="19"/>
      <c r="RRY21" s="19"/>
      <c r="RRZ21" s="19"/>
      <c r="RSA21" s="19"/>
      <c r="RSB21" s="19"/>
      <c r="RSC21" s="19"/>
      <c r="RSD21" s="19"/>
      <c r="RSE21" s="19"/>
      <c r="RSF21" s="19"/>
      <c r="RSG21" s="19"/>
      <c r="RSH21" s="19"/>
      <c r="RSI21" s="19"/>
      <c r="RSJ21" s="19"/>
      <c r="RSK21" s="19"/>
      <c r="RSL21" s="19"/>
      <c r="RSM21" s="19"/>
      <c r="RSN21" s="19"/>
      <c r="RSO21" s="19"/>
      <c r="RSP21" s="19"/>
      <c r="RSQ21" s="19"/>
      <c r="RSR21" s="19"/>
      <c r="RSS21" s="19"/>
      <c r="RST21" s="19"/>
      <c r="RSU21" s="19"/>
      <c r="RSV21" s="19"/>
      <c r="RSW21" s="19"/>
      <c r="RSX21" s="19"/>
      <c r="RSY21" s="19"/>
      <c r="RSZ21" s="19"/>
      <c r="RTA21" s="19"/>
      <c r="RTB21" s="19"/>
      <c r="RTC21" s="19"/>
      <c r="RTD21" s="19"/>
      <c r="RTE21" s="19"/>
      <c r="RTF21" s="19"/>
      <c r="RTG21" s="19"/>
      <c r="RTH21" s="19"/>
      <c r="RTI21" s="19"/>
      <c r="RTJ21" s="19"/>
      <c r="RTK21" s="19"/>
      <c r="RTL21" s="19"/>
      <c r="RTM21" s="19"/>
      <c r="RTN21" s="19"/>
      <c r="RTO21" s="19"/>
      <c r="RTP21" s="19"/>
      <c r="RTQ21" s="19"/>
      <c r="RTR21" s="19"/>
      <c r="RTS21" s="19"/>
      <c r="RTT21" s="19"/>
      <c r="RTU21" s="19"/>
      <c r="RTV21" s="19"/>
      <c r="RTW21" s="19"/>
      <c r="RTX21" s="19"/>
      <c r="RTY21" s="19"/>
      <c r="RTZ21" s="19"/>
      <c r="RUA21" s="19"/>
      <c r="RUB21" s="19"/>
      <c r="RUC21" s="19"/>
      <c r="RUD21" s="19"/>
      <c r="RUE21" s="19"/>
      <c r="RUF21" s="19"/>
      <c r="RUG21" s="19"/>
      <c r="RUH21" s="19"/>
      <c r="RUI21" s="19"/>
      <c r="RUJ21" s="19"/>
      <c r="RUK21" s="19"/>
      <c r="RUL21" s="19"/>
      <c r="RUM21" s="19"/>
      <c r="RUN21" s="19"/>
      <c r="RUO21" s="19"/>
      <c r="RUP21" s="19"/>
      <c r="RUQ21" s="19"/>
      <c r="RUR21" s="19"/>
      <c r="RUS21" s="19"/>
      <c r="RUT21" s="19"/>
      <c r="RUU21" s="19"/>
      <c r="RUV21" s="19"/>
      <c r="RUW21" s="19"/>
      <c r="RUX21" s="19"/>
      <c r="RUY21" s="19"/>
      <c r="RUZ21" s="19"/>
      <c r="RVA21" s="19"/>
      <c r="RVB21" s="19"/>
      <c r="RVC21" s="19"/>
      <c r="RVD21" s="19"/>
      <c r="RVE21" s="19"/>
      <c r="RVF21" s="19"/>
      <c r="RVG21" s="19"/>
      <c r="RVH21" s="19"/>
      <c r="RVI21" s="19"/>
      <c r="RVJ21" s="19"/>
      <c r="RVK21" s="19"/>
      <c r="RVL21" s="19"/>
      <c r="RVM21" s="19"/>
      <c r="RVN21" s="19"/>
      <c r="RVO21" s="19"/>
      <c r="RVP21" s="19"/>
      <c r="RVQ21" s="19"/>
      <c r="RVR21" s="19"/>
      <c r="RVS21" s="19"/>
      <c r="RVT21" s="19"/>
      <c r="RVU21" s="19"/>
      <c r="RVV21" s="19"/>
      <c r="RVW21" s="19"/>
      <c r="RVX21" s="19"/>
      <c r="RVY21" s="19"/>
      <c r="RVZ21" s="19"/>
      <c r="RWA21" s="19"/>
      <c r="RWB21" s="19"/>
      <c r="RWC21" s="19"/>
      <c r="RWD21" s="19"/>
      <c r="RWE21" s="19"/>
      <c r="RWF21" s="19"/>
      <c r="RWG21" s="19"/>
      <c r="RWH21" s="19"/>
      <c r="RWI21" s="19"/>
      <c r="RWJ21" s="19"/>
      <c r="RWK21" s="19"/>
      <c r="RWL21" s="19"/>
      <c r="RWM21" s="19"/>
      <c r="RWN21" s="19"/>
      <c r="RWO21" s="19"/>
      <c r="RWP21" s="19"/>
      <c r="RWQ21" s="19"/>
      <c r="RWR21" s="19"/>
      <c r="RWS21" s="19"/>
      <c r="RWT21" s="19"/>
      <c r="RWU21" s="19"/>
      <c r="RWV21" s="19"/>
      <c r="RWW21" s="19"/>
      <c r="RWX21" s="19"/>
      <c r="RWY21" s="19"/>
      <c r="RWZ21" s="19"/>
      <c r="RXA21" s="19"/>
      <c r="RXB21" s="19"/>
      <c r="RXC21" s="19"/>
      <c r="RXD21" s="19"/>
      <c r="RXE21" s="19"/>
      <c r="RXF21" s="19"/>
      <c r="RXG21" s="19"/>
      <c r="RXH21" s="19"/>
      <c r="RXI21" s="19"/>
      <c r="RXJ21" s="19"/>
      <c r="RXK21" s="19"/>
      <c r="RXL21" s="19"/>
      <c r="RXM21" s="19"/>
      <c r="RXN21" s="19"/>
      <c r="RXO21" s="19"/>
      <c r="RXP21" s="19"/>
      <c r="RXQ21" s="19"/>
      <c r="RXR21" s="19"/>
      <c r="RXS21" s="19"/>
      <c r="RXT21" s="19"/>
      <c r="RXU21" s="19"/>
      <c r="RXV21" s="19"/>
      <c r="RXW21" s="19"/>
      <c r="RXX21" s="19"/>
      <c r="RXY21" s="19"/>
      <c r="RXZ21" s="19"/>
      <c r="RYA21" s="19"/>
      <c r="RYB21" s="19"/>
      <c r="RYC21" s="19"/>
      <c r="RYD21" s="19"/>
      <c r="RYE21" s="19"/>
      <c r="RYF21" s="19"/>
      <c r="RYG21" s="19"/>
      <c r="RYH21" s="19"/>
      <c r="RYI21" s="19"/>
      <c r="RYJ21" s="19"/>
      <c r="RYK21" s="19"/>
      <c r="RYL21" s="19"/>
      <c r="RYM21" s="19"/>
      <c r="RYN21" s="19"/>
      <c r="RYO21" s="19"/>
      <c r="RYP21" s="19"/>
      <c r="RYQ21" s="19"/>
      <c r="RYR21" s="19"/>
      <c r="RYS21" s="19"/>
      <c r="RYT21" s="19"/>
      <c r="RYU21" s="19"/>
      <c r="RYV21" s="19"/>
      <c r="RYW21" s="19"/>
      <c r="RYX21" s="19"/>
      <c r="RYY21" s="19"/>
      <c r="RYZ21" s="19"/>
      <c r="RZA21" s="19"/>
      <c r="RZB21" s="19"/>
      <c r="RZC21" s="19"/>
      <c r="RZD21" s="19"/>
      <c r="RZE21" s="19"/>
      <c r="RZF21" s="19"/>
      <c r="RZG21" s="19"/>
      <c r="RZH21" s="19"/>
      <c r="RZI21" s="19"/>
      <c r="RZJ21" s="19"/>
      <c r="RZK21" s="19"/>
      <c r="RZL21" s="19"/>
      <c r="RZM21" s="19"/>
      <c r="RZN21" s="19"/>
      <c r="RZO21" s="19"/>
      <c r="RZP21" s="19"/>
      <c r="RZQ21" s="19"/>
      <c r="RZR21" s="19"/>
      <c r="RZS21" s="19"/>
      <c r="RZT21" s="19"/>
      <c r="RZU21" s="19"/>
      <c r="RZV21" s="19"/>
      <c r="RZW21" s="19"/>
      <c r="RZX21" s="19"/>
      <c r="RZY21" s="19"/>
      <c r="RZZ21" s="19"/>
      <c r="SAA21" s="19"/>
      <c r="SAB21" s="19"/>
      <c r="SAC21" s="19"/>
      <c r="SAD21" s="19"/>
      <c r="SAE21" s="19"/>
      <c r="SAF21" s="19"/>
      <c r="SAG21" s="19"/>
      <c r="SAH21" s="19"/>
      <c r="SAI21" s="19"/>
      <c r="SAJ21" s="19"/>
      <c r="SAK21" s="19"/>
      <c r="SAL21" s="19"/>
      <c r="SAM21" s="19"/>
      <c r="SAN21" s="19"/>
      <c r="SAO21" s="19"/>
      <c r="SAP21" s="19"/>
      <c r="SAQ21" s="19"/>
      <c r="SAR21" s="19"/>
      <c r="SAS21" s="19"/>
      <c r="SAT21" s="19"/>
      <c r="SAU21" s="19"/>
      <c r="SAV21" s="19"/>
      <c r="SAW21" s="19"/>
      <c r="SAX21" s="19"/>
      <c r="SAY21" s="19"/>
      <c r="SAZ21" s="19"/>
      <c r="SBA21" s="19"/>
      <c r="SBB21" s="19"/>
      <c r="SBC21" s="19"/>
      <c r="SBD21" s="19"/>
      <c r="SBE21" s="19"/>
      <c r="SBF21" s="19"/>
      <c r="SBG21" s="19"/>
      <c r="SBH21" s="19"/>
      <c r="SBI21" s="19"/>
      <c r="SBJ21" s="19"/>
      <c r="SBK21" s="19"/>
      <c r="SBL21" s="19"/>
      <c r="SBM21" s="19"/>
      <c r="SBN21" s="19"/>
      <c r="SBO21" s="19"/>
      <c r="SBP21" s="19"/>
      <c r="SBQ21" s="19"/>
      <c r="SBR21" s="19"/>
      <c r="SBS21" s="19"/>
      <c r="SBT21" s="19"/>
      <c r="SBU21" s="19"/>
      <c r="SBV21" s="19"/>
      <c r="SBW21" s="19"/>
      <c r="SBX21" s="19"/>
      <c r="SBY21" s="19"/>
      <c r="SBZ21" s="19"/>
      <c r="SCA21" s="19"/>
      <c r="SCB21" s="19"/>
      <c r="SCC21" s="19"/>
      <c r="SCD21" s="19"/>
      <c r="SCE21" s="19"/>
      <c r="SCF21" s="19"/>
      <c r="SCG21" s="19"/>
      <c r="SCH21" s="19"/>
      <c r="SCI21" s="19"/>
      <c r="SCJ21" s="19"/>
      <c r="SCK21" s="19"/>
      <c r="SCL21" s="19"/>
      <c r="SCM21" s="19"/>
      <c r="SCN21" s="19"/>
      <c r="SCO21" s="19"/>
      <c r="SCP21" s="19"/>
      <c r="SCQ21" s="19"/>
      <c r="SCR21" s="19"/>
      <c r="SCS21" s="19"/>
      <c r="SCT21" s="19"/>
      <c r="SCU21" s="19"/>
      <c r="SCV21" s="19"/>
      <c r="SCW21" s="19"/>
      <c r="SCX21" s="19"/>
      <c r="SCY21" s="19"/>
      <c r="SCZ21" s="19"/>
      <c r="SDA21" s="19"/>
      <c r="SDB21" s="19"/>
      <c r="SDC21" s="19"/>
      <c r="SDD21" s="19"/>
      <c r="SDE21" s="19"/>
      <c r="SDF21" s="19"/>
      <c r="SDG21" s="19"/>
      <c r="SDH21" s="19"/>
      <c r="SDI21" s="19"/>
      <c r="SDJ21" s="19"/>
      <c r="SDK21" s="19"/>
      <c r="SDL21" s="19"/>
      <c r="SDM21" s="19"/>
      <c r="SDN21" s="19"/>
      <c r="SDO21" s="19"/>
      <c r="SDP21" s="19"/>
      <c r="SDQ21" s="19"/>
      <c r="SDR21" s="19"/>
      <c r="SDS21" s="19"/>
      <c r="SDT21" s="19"/>
      <c r="SDU21" s="19"/>
      <c r="SDV21" s="19"/>
      <c r="SDW21" s="19"/>
      <c r="SDX21" s="19"/>
      <c r="SDY21" s="19"/>
      <c r="SDZ21" s="19"/>
      <c r="SEA21" s="19"/>
      <c r="SEB21" s="19"/>
      <c r="SEC21" s="19"/>
      <c r="SED21" s="19"/>
      <c r="SEE21" s="19"/>
      <c r="SEF21" s="19"/>
      <c r="SEG21" s="19"/>
      <c r="SEH21" s="19"/>
      <c r="SEI21" s="19"/>
      <c r="SEJ21" s="19"/>
      <c r="SEK21" s="19"/>
      <c r="SEL21" s="19"/>
      <c r="SEM21" s="19"/>
      <c r="SEN21" s="19"/>
      <c r="SEO21" s="19"/>
      <c r="SEP21" s="19"/>
      <c r="SEQ21" s="19"/>
      <c r="SER21" s="19"/>
      <c r="SES21" s="19"/>
      <c r="SET21" s="19"/>
      <c r="SEU21" s="19"/>
      <c r="SEV21" s="19"/>
      <c r="SEW21" s="19"/>
      <c r="SEX21" s="19"/>
      <c r="SEY21" s="19"/>
      <c r="SEZ21" s="19"/>
      <c r="SFA21" s="19"/>
      <c r="SFB21" s="19"/>
      <c r="SFC21" s="19"/>
      <c r="SFD21" s="19"/>
      <c r="SFE21" s="19"/>
      <c r="SFF21" s="19"/>
      <c r="SFG21" s="19"/>
      <c r="SFH21" s="19"/>
      <c r="SFI21" s="19"/>
      <c r="SFJ21" s="19"/>
      <c r="SFK21" s="19"/>
      <c r="SFL21" s="19"/>
      <c r="SFM21" s="19"/>
      <c r="SFN21" s="19"/>
      <c r="SFO21" s="19"/>
      <c r="SFP21" s="19"/>
      <c r="SFQ21" s="19"/>
      <c r="SFR21" s="19"/>
      <c r="SFS21" s="19"/>
      <c r="SFT21" s="19"/>
      <c r="SFU21" s="19"/>
      <c r="SFV21" s="19"/>
      <c r="SFW21" s="19"/>
      <c r="SFX21" s="19"/>
      <c r="SFY21" s="19"/>
      <c r="SFZ21" s="19"/>
      <c r="SGA21" s="19"/>
      <c r="SGB21" s="19"/>
      <c r="SGC21" s="19"/>
      <c r="SGD21" s="19"/>
      <c r="SGE21" s="19"/>
      <c r="SGF21" s="19"/>
      <c r="SGG21" s="19"/>
      <c r="SGH21" s="19"/>
      <c r="SGI21" s="19"/>
      <c r="SGJ21" s="19"/>
      <c r="SGK21" s="19"/>
      <c r="SGL21" s="19"/>
      <c r="SGM21" s="19"/>
      <c r="SGN21" s="19"/>
      <c r="SGO21" s="19"/>
      <c r="SGP21" s="19"/>
      <c r="SGQ21" s="19"/>
      <c r="SGR21" s="19"/>
      <c r="SGS21" s="19"/>
      <c r="SGT21" s="19"/>
      <c r="SGU21" s="19"/>
      <c r="SGV21" s="19"/>
      <c r="SGW21" s="19"/>
      <c r="SGX21" s="19"/>
      <c r="SGY21" s="19"/>
      <c r="SGZ21" s="19"/>
      <c r="SHA21" s="19"/>
      <c r="SHB21" s="19"/>
      <c r="SHC21" s="19"/>
      <c r="SHD21" s="19"/>
      <c r="SHE21" s="19"/>
      <c r="SHF21" s="19"/>
      <c r="SHG21" s="19"/>
      <c r="SHH21" s="19"/>
      <c r="SHI21" s="19"/>
      <c r="SHJ21" s="19"/>
      <c r="SHK21" s="19"/>
      <c r="SHL21" s="19"/>
      <c r="SHM21" s="19"/>
      <c r="SHN21" s="19"/>
      <c r="SHO21" s="19"/>
      <c r="SHP21" s="19"/>
      <c r="SHQ21" s="19"/>
      <c r="SHR21" s="19"/>
      <c r="SHS21" s="19"/>
      <c r="SHT21" s="19"/>
      <c r="SHU21" s="19"/>
      <c r="SHV21" s="19"/>
      <c r="SHW21" s="19"/>
      <c r="SHX21" s="19"/>
      <c r="SHY21" s="19"/>
      <c r="SHZ21" s="19"/>
      <c r="SIA21" s="19"/>
      <c r="SIB21" s="19"/>
      <c r="SIC21" s="19"/>
      <c r="SID21" s="19"/>
      <c r="SIE21" s="19"/>
      <c r="SIF21" s="19"/>
      <c r="SIG21" s="19"/>
      <c r="SIH21" s="19"/>
      <c r="SII21" s="19"/>
      <c r="SIJ21" s="19"/>
      <c r="SIK21" s="19"/>
      <c r="SIL21" s="19"/>
      <c r="SIM21" s="19"/>
      <c r="SIN21" s="19"/>
      <c r="SIO21" s="19"/>
      <c r="SIP21" s="19"/>
      <c r="SIQ21" s="19"/>
      <c r="SIR21" s="19"/>
      <c r="SIS21" s="19"/>
      <c r="SIT21" s="19"/>
      <c r="SIU21" s="19"/>
      <c r="SIV21" s="19"/>
      <c r="SIW21" s="19"/>
      <c r="SIX21" s="19"/>
      <c r="SIY21" s="19"/>
      <c r="SIZ21" s="19"/>
      <c r="SJA21" s="19"/>
      <c r="SJB21" s="19"/>
      <c r="SJC21" s="19"/>
      <c r="SJD21" s="19"/>
      <c r="SJE21" s="19"/>
      <c r="SJF21" s="19"/>
      <c r="SJG21" s="19"/>
      <c r="SJH21" s="19"/>
      <c r="SJI21" s="19"/>
      <c r="SJJ21" s="19"/>
      <c r="SJK21" s="19"/>
      <c r="SJL21" s="19"/>
      <c r="SJM21" s="19"/>
      <c r="SJN21" s="19"/>
      <c r="SJO21" s="19"/>
      <c r="SJP21" s="19"/>
      <c r="SJQ21" s="19"/>
      <c r="SJR21" s="19"/>
      <c r="SJS21" s="19"/>
      <c r="SJT21" s="19"/>
      <c r="SJU21" s="19"/>
      <c r="SJV21" s="19"/>
      <c r="SJW21" s="19"/>
      <c r="SJX21" s="19"/>
      <c r="SJY21" s="19"/>
      <c r="SJZ21" s="19"/>
      <c r="SKA21" s="19"/>
      <c r="SKB21" s="19"/>
      <c r="SKC21" s="19"/>
      <c r="SKD21" s="19"/>
      <c r="SKE21" s="19"/>
      <c r="SKF21" s="19"/>
      <c r="SKG21" s="19"/>
      <c r="SKH21" s="19"/>
      <c r="SKI21" s="19"/>
      <c r="SKJ21" s="19"/>
      <c r="SKK21" s="19"/>
      <c r="SKL21" s="19"/>
      <c r="SKM21" s="19"/>
      <c r="SKN21" s="19"/>
      <c r="SKO21" s="19"/>
      <c r="SKP21" s="19"/>
      <c r="SKQ21" s="19"/>
      <c r="SKR21" s="19"/>
      <c r="SKS21" s="19"/>
      <c r="SKT21" s="19"/>
      <c r="SKU21" s="19"/>
      <c r="SKV21" s="19"/>
      <c r="SKW21" s="19"/>
      <c r="SKX21" s="19"/>
      <c r="SKY21" s="19"/>
      <c r="SKZ21" s="19"/>
      <c r="SLA21" s="19"/>
      <c r="SLB21" s="19"/>
      <c r="SLC21" s="19"/>
      <c r="SLD21" s="19"/>
      <c r="SLE21" s="19"/>
      <c r="SLF21" s="19"/>
      <c r="SLG21" s="19"/>
      <c r="SLH21" s="19"/>
      <c r="SLI21" s="19"/>
      <c r="SLJ21" s="19"/>
      <c r="SLK21" s="19"/>
      <c r="SLL21" s="19"/>
      <c r="SLM21" s="19"/>
      <c r="SLN21" s="19"/>
      <c r="SLO21" s="19"/>
      <c r="SLP21" s="19"/>
      <c r="SLQ21" s="19"/>
      <c r="SLR21" s="19"/>
      <c r="SLS21" s="19"/>
      <c r="SLT21" s="19"/>
      <c r="SLU21" s="19"/>
      <c r="SLV21" s="19"/>
      <c r="SLW21" s="19"/>
      <c r="SLX21" s="19"/>
      <c r="SLY21" s="19"/>
      <c r="SLZ21" s="19"/>
      <c r="SMA21" s="19"/>
      <c r="SMB21" s="19"/>
      <c r="SMC21" s="19"/>
      <c r="SMD21" s="19"/>
      <c r="SME21" s="19"/>
      <c r="SMF21" s="19"/>
      <c r="SMG21" s="19"/>
      <c r="SMH21" s="19"/>
      <c r="SMI21" s="19"/>
      <c r="SMJ21" s="19"/>
      <c r="SMK21" s="19"/>
      <c r="SML21" s="19"/>
      <c r="SMM21" s="19"/>
      <c r="SMN21" s="19"/>
      <c r="SMO21" s="19"/>
      <c r="SMP21" s="19"/>
      <c r="SMQ21" s="19"/>
      <c r="SMR21" s="19"/>
      <c r="SMS21" s="19"/>
      <c r="SMT21" s="19"/>
      <c r="SMU21" s="19"/>
      <c r="SMV21" s="19"/>
      <c r="SMW21" s="19"/>
      <c r="SMX21" s="19"/>
      <c r="SMY21" s="19"/>
      <c r="SMZ21" s="19"/>
      <c r="SNA21" s="19"/>
      <c r="SNB21" s="19"/>
      <c r="SNC21" s="19"/>
      <c r="SND21" s="19"/>
      <c r="SNE21" s="19"/>
      <c r="SNF21" s="19"/>
      <c r="SNG21" s="19"/>
      <c r="SNH21" s="19"/>
      <c r="SNI21" s="19"/>
      <c r="SNJ21" s="19"/>
      <c r="SNK21" s="19"/>
      <c r="SNL21" s="19"/>
      <c r="SNM21" s="19"/>
      <c r="SNN21" s="19"/>
      <c r="SNO21" s="19"/>
      <c r="SNP21" s="19"/>
      <c r="SNQ21" s="19"/>
      <c r="SNR21" s="19"/>
      <c r="SNS21" s="19"/>
      <c r="SNT21" s="19"/>
      <c r="SNU21" s="19"/>
      <c r="SNV21" s="19"/>
      <c r="SNW21" s="19"/>
      <c r="SNX21" s="19"/>
      <c r="SNY21" s="19"/>
      <c r="SNZ21" s="19"/>
      <c r="SOA21" s="19"/>
      <c r="SOB21" s="19"/>
      <c r="SOC21" s="19"/>
      <c r="SOD21" s="19"/>
      <c r="SOE21" s="19"/>
      <c r="SOF21" s="19"/>
      <c r="SOG21" s="19"/>
      <c r="SOH21" s="19"/>
      <c r="SOI21" s="19"/>
      <c r="SOJ21" s="19"/>
      <c r="SOK21" s="19"/>
      <c r="SOL21" s="19"/>
      <c r="SOM21" s="19"/>
      <c r="SON21" s="19"/>
      <c r="SOO21" s="19"/>
      <c r="SOP21" s="19"/>
      <c r="SOQ21" s="19"/>
      <c r="SOR21" s="19"/>
      <c r="SOS21" s="19"/>
      <c r="SOT21" s="19"/>
      <c r="SOU21" s="19"/>
      <c r="SOV21" s="19"/>
      <c r="SOW21" s="19"/>
      <c r="SOX21" s="19"/>
      <c r="SOY21" s="19"/>
      <c r="SOZ21" s="19"/>
      <c r="SPA21" s="19"/>
      <c r="SPB21" s="19"/>
      <c r="SPC21" s="19"/>
      <c r="SPD21" s="19"/>
      <c r="SPE21" s="19"/>
      <c r="SPF21" s="19"/>
      <c r="SPG21" s="19"/>
      <c r="SPH21" s="19"/>
      <c r="SPI21" s="19"/>
      <c r="SPJ21" s="19"/>
      <c r="SPK21" s="19"/>
      <c r="SPL21" s="19"/>
      <c r="SPM21" s="19"/>
      <c r="SPN21" s="19"/>
      <c r="SPO21" s="19"/>
      <c r="SPP21" s="19"/>
      <c r="SPQ21" s="19"/>
      <c r="SPR21" s="19"/>
      <c r="SPS21" s="19"/>
      <c r="SPT21" s="19"/>
      <c r="SPU21" s="19"/>
      <c r="SPV21" s="19"/>
      <c r="SPW21" s="19"/>
      <c r="SPX21" s="19"/>
      <c r="SPY21" s="19"/>
      <c r="SPZ21" s="19"/>
      <c r="SQA21" s="19"/>
      <c r="SQB21" s="19"/>
      <c r="SQC21" s="19"/>
      <c r="SQD21" s="19"/>
      <c r="SQE21" s="19"/>
      <c r="SQF21" s="19"/>
      <c r="SQG21" s="19"/>
      <c r="SQH21" s="19"/>
      <c r="SQI21" s="19"/>
      <c r="SQJ21" s="19"/>
      <c r="SQK21" s="19"/>
      <c r="SQL21" s="19"/>
      <c r="SQM21" s="19"/>
      <c r="SQN21" s="19"/>
      <c r="SQO21" s="19"/>
      <c r="SQP21" s="19"/>
      <c r="SQQ21" s="19"/>
      <c r="SQR21" s="19"/>
      <c r="SQS21" s="19"/>
      <c r="SQT21" s="19"/>
      <c r="SQU21" s="19"/>
      <c r="SQV21" s="19"/>
      <c r="SQW21" s="19"/>
      <c r="SQX21" s="19"/>
      <c r="SQY21" s="19"/>
      <c r="SQZ21" s="19"/>
      <c r="SRA21" s="19"/>
      <c r="SRB21" s="19"/>
      <c r="SRC21" s="19"/>
      <c r="SRD21" s="19"/>
      <c r="SRE21" s="19"/>
      <c r="SRF21" s="19"/>
      <c r="SRG21" s="19"/>
      <c r="SRH21" s="19"/>
      <c r="SRI21" s="19"/>
      <c r="SRJ21" s="19"/>
      <c r="SRK21" s="19"/>
      <c r="SRL21" s="19"/>
      <c r="SRM21" s="19"/>
      <c r="SRN21" s="19"/>
      <c r="SRO21" s="19"/>
      <c r="SRP21" s="19"/>
      <c r="SRQ21" s="19"/>
      <c r="SRR21" s="19"/>
      <c r="SRS21" s="19"/>
      <c r="SRT21" s="19"/>
      <c r="SRU21" s="19"/>
      <c r="SRV21" s="19"/>
      <c r="SRW21" s="19"/>
      <c r="SRX21" s="19"/>
      <c r="SRY21" s="19"/>
      <c r="SRZ21" s="19"/>
      <c r="SSA21" s="19"/>
      <c r="SSB21" s="19"/>
      <c r="SSC21" s="19"/>
      <c r="SSD21" s="19"/>
      <c r="SSE21" s="19"/>
      <c r="SSF21" s="19"/>
      <c r="SSG21" s="19"/>
      <c r="SSH21" s="19"/>
      <c r="SSI21" s="19"/>
      <c r="SSJ21" s="19"/>
      <c r="SSK21" s="19"/>
      <c r="SSL21" s="19"/>
      <c r="SSM21" s="19"/>
      <c r="SSN21" s="19"/>
      <c r="SSO21" s="19"/>
      <c r="SSP21" s="19"/>
      <c r="SSQ21" s="19"/>
      <c r="SSR21" s="19"/>
      <c r="SSS21" s="19"/>
      <c r="SST21" s="19"/>
      <c r="SSU21" s="19"/>
      <c r="SSV21" s="19"/>
      <c r="SSW21" s="19"/>
      <c r="SSX21" s="19"/>
      <c r="SSY21" s="19"/>
      <c r="SSZ21" s="19"/>
      <c r="STA21" s="19"/>
      <c r="STB21" s="19"/>
      <c r="STC21" s="19"/>
      <c r="STD21" s="19"/>
      <c r="STE21" s="19"/>
      <c r="STF21" s="19"/>
      <c r="STG21" s="19"/>
      <c r="STH21" s="19"/>
      <c r="STI21" s="19"/>
      <c r="STJ21" s="19"/>
      <c r="STK21" s="19"/>
      <c r="STL21" s="19"/>
      <c r="STM21" s="19"/>
      <c r="STN21" s="19"/>
      <c r="STO21" s="19"/>
      <c r="STP21" s="19"/>
      <c r="STQ21" s="19"/>
      <c r="STR21" s="19"/>
      <c r="STS21" s="19"/>
      <c r="STT21" s="19"/>
      <c r="STU21" s="19"/>
      <c r="STV21" s="19"/>
      <c r="STW21" s="19"/>
      <c r="STX21" s="19"/>
      <c r="STY21" s="19"/>
      <c r="STZ21" s="19"/>
      <c r="SUA21" s="19"/>
      <c r="SUB21" s="19"/>
      <c r="SUC21" s="19"/>
      <c r="SUD21" s="19"/>
      <c r="SUE21" s="19"/>
      <c r="SUF21" s="19"/>
      <c r="SUG21" s="19"/>
      <c r="SUH21" s="19"/>
      <c r="SUI21" s="19"/>
      <c r="SUJ21" s="19"/>
      <c r="SUK21" s="19"/>
      <c r="SUL21" s="19"/>
      <c r="SUM21" s="19"/>
      <c r="SUN21" s="19"/>
      <c r="SUO21" s="19"/>
      <c r="SUP21" s="19"/>
      <c r="SUQ21" s="19"/>
      <c r="SUR21" s="19"/>
      <c r="SUS21" s="19"/>
      <c r="SUT21" s="19"/>
      <c r="SUU21" s="19"/>
      <c r="SUV21" s="19"/>
      <c r="SUW21" s="19"/>
      <c r="SUX21" s="19"/>
      <c r="SUY21" s="19"/>
      <c r="SUZ21" s="19"/>
      <c r="SVA21" s="19"/>
      <c r="SVB21" s="19"/>
      <c r="SVC21" s="19"/>
      <c r="SVD21" s="19"/>
      <c r="SVE21" s="19"/>
      <c r="SVF21" s="19"/>
      <c r="SVG21" s="19"/>
      <c r="SVH21" s="19"/>
      <c r="SVI21" s="19"/>
      <c r="SVJ21" s="19"/>
      <c r="SVK21" s="19"/>
      <c r="SVL21" s="19"/>
      <c r="SVM21" s="19"/>
      <c r="SVN21" s="19"/>
      <c r="SVO21" s="19"/>
      <c r="SVP21" s="19"/>
      <c r="SVQ21" s="19"/>
      <c r="SVR21" s="19"/>
      <c r="SVS21" s="19"/>
      <c r="SVT21" s="19"/>
      <c r="SVU21" s="19"/>
      <c r="SVV21" s="19"/>
      <c r="SVW21" s="19"/>
      <c r="SVX21" s="19"/>
      <c r="SVY21" s="19"/>
      <c r="SVZ21" s="19"/>
      <c r="SWA21" s="19"/>
      <c r="SWB21" s="19"/>
      <c r="SWC21" s="19"/>
      <c r="SWD21" s="19"/>
      <c r="SWE21" s="19"/>
      <c r="SWF21" s="19"/>
      <c r="SWG21" s="19"/>
      <c r="SWH21" s="19"/>
      <c r="SWI21" s="19"/>
      <c r="SWJ21" s="19"/>
      <c r="SWK21" s="19"/>
      <c r="SWL21" s="19"/>
      <c r="SWM21" s="19"/>
      <c r="SWN21" s="19"/>
      <c r="SWO21" s="19"/>
      <c r="SWP21" s="19"/>
      <c r="SWQ21" s="19"/>
      <c r="SWR21" s="19"/>
      <c r="SWS21" s="19"/>
      <c r="SWT21" s="19"/>
      <c r="SWU21" s="19"/>
      <c r="SWV21" s="19"/>
      <c r="SWW21" s="19"/>
      <c r="SWX21" s="19"/>
      <c r="SWY21" s="19"/>
      <c r="SWZ21" s="19"/>
      <c r="SXA21" s="19"/>
      <c r="SXB21" s="19"/>
      <c r="SXC21" s="19"/>
      <c r="SXD21" s="19"/>
      <c r="SXE21" s="19"/>
      <c r="SXF21" s="19"/>
      <c r="SXG21" s="19"/>
      <c r="SXH21" s="19"/>
      <c r="SXI21" s="19"/>
      <c r="SXJ21" s="19"/>
      <c r="SXK21" s="19"/>
      <c r="SXL21" s="19"/>
      <c r="SXM21" s="19"/>
      <c r="SXN21" s="19"/>
      <c r="SXO21" s="19"/>
      <c r="SXP21" s="19"/>
      <c r="SXQ21" s="19"/>
      <c r="SXR21" s="19"/>
      <c r="SXS21" s="19"/>
      <c r="SXT21" s="19"/>
      <c r="SXU21" s="19"/>
      <c r="SXV21" s="19"/>
      <c r="SXW21" s="19"/>
      <c r="SXX21" s="19"/>
      <c r="SXY21" s="19"/>
      <c r="SXZ21" s="19"/>
      <c r="SYA21" s="19"/>
      <c r="SYB21" s="19"/>
      <c r="SYC21" s="19"/>
      <c r="SYD21" s="19"/>
      <c r="SYE21" s="19"/>
      <c r="SYF21" s="19"/>
      <c r="SYG21" s="19"/>
      <c r="SYH21" s="19"/>
      <c r="SYI21" s="19"/>
      <c r="SYJ21" s="19"/>
      <c r="SYK21" s="19"/>
      <c r="SYL21" s="19"/>
      <c r="SYM21" s="19"/>
      <c r="SYN21" s="19"/>
      <c r="SYO21" s="19"/>
      <c r="SYP21" s="19"/>
      <c r="SYQ21" s="19"/>
      <c r="SYR21" s="19"/>
      <c r="SYS21" s="19"/>
      <c r="SYT21" s="19"/>
      <c r="SYU21" s="19"/>
      <c r="SYV21" s="19"/>
      <c r="SYW21" s="19"/>
      <c r="SYX21" s="19"/>
      <c r="SYY21" s="19"/>
      <c r="SYZ21" s="19"/>
      <c r="SZA21" s="19"/>
      <c r="SZB21" s="19"/>
      <c r="SZC21" s="19"/>
      <c r="SZD21" s="19"/>
      <c r="SZE21" s="19"/>
      <c r="SZF21" s="19"/>
      <c r="SZG21" s="19"/>
      <c r="SZH21" s="19"/>
      <c r="SZI21" s="19"/>
      <c r="SZJ21" s="19"/>
      <c r="SZK21" s="19"/>
      <c r="SZL21" s="19"/>
      <c r="SZM21" s="19"/>
      <c r="SZN21" s="19"/>
      <c r="SZO21" s="19"/>
      <c r="SZP21" s="19"/>
      <c r="SZQ21" s="19"/>
      <c r="SZR21" s="19"/>
      <c r="SZS21" s="19"/>
      <c r="SZT21" s="19"/>
      <c r="SZU21" s="19"/>
      <c r="SZV21" s="19"/>
      <c r="SZW21" s="19"/>
      <c r="SZX21" s="19"/>
      <c r="SZY21" s="19"/>
      <c r="SZZ21" s="19"/>
      <c r="TAA21" s="19"/>
      <c r="TAB21" s="19"/>
      <c r="TAC21" s="19"/>
      <c r="TAD21" s="19"/>
      <c r="TAE21" s="19"/>
      <c r="TAF21" s="19"/>
      <c r="TAG21" s="19"/>
      <c r="TAH21" s="19"/>
      <c r="TAI21" s="19"/>
      <c r="TAJ21" s="19"/>
      <c r="TAK21" s="19"/>
      <c r="TAL21" s="19"/>
      <c r="TAM21" s="19"/>
      <c r="TAN21" s="19"/>
      <c r="TAO21" s="19"/>
      <c r="TAP21" s="19"/>
      <c r="TAQ21" s="19"/>
      <c r="TAR21" s="19"/>
      <c r="TAS21" s="19"/>
      <c r="TAT21" s="19"/>
      <c r="TAU21" s="19"/>
      <c r="TAV21" s="19"/>
      <c r="TAW21" s="19"/>
      <c r="TAX21" s="19"/>
      <c r="TAY21" s="19"/>
      <c r="TAZ21" s="19"/>
      <c r="TBA21" s="19"/>
      <c r="TBB21" s="19"/>
      <c r="TBC21" s="19"/>
      <c r="TBD21" s="19"/>
      <c r="TBE21" s="19"/>
      <c r="TBF21" s="19"/>
      <c r="TBG21" s="19"/>
      <c r="TBH21" s="19"/>
      <c r="TBI21" s="19"/>
      <c r="TBJ21" s="19"/>
      <c r="TBK21" s="19"/>
      <c r="TBL21" s="19"/>
      <c r="TBM21" s="19"/>
      <c r="TBN21" s="19"/>
      <c r="TBO21" s="19"/>
      <c r="TBP21" s="19"/>
      <c r="TBQ21" s="19"/>
      <c r="TBR21" s="19"/>
      <c r="TBS21" s="19"/>
      <c r="TBT21" s="19"/>
      <c r="TBU21" s="19"/>
      <c r="TBV21" s="19"/>
      <c r="TBW21" s="19"/>
      <c r="TBX21" s="19"/>
      <c r="TBY21" s="19"/>
      <c r="TBZ21" s="19"/>
      <c r="TCA21" s="19"/>
      <c r="TCB21" s="19"/>
      <c r="TCC21" s="19"/>
      <c r="TCD21" s="19"/>
      <c r="TCE21" s="19"/>
      <c r="TCF21" s="19"/>
      <c r="TCG21" s="19"/>
      <c r="TCH21" s="19"/>
      <c r="TCI21" s="19"/>
      <c r="TCJ21" s="19"/>
      <c r="TCK21" s="19"/>
      <c r="TCL21" s="19"/>
      <c r="TCM21" s="19"/>
      <c r="TCN21" s="19"/>
      <c r="TCO21" s="19"/>
      <c r="TCP21" s="19"/>
      <c r="TCQ21" s="19"/>
      <c r="TCR21" s="19"/>
      <c r="TCS21" s="19"/>
      <c r="TCT21" s="19"/>
      <c r="TCU21" s="19"/>
      <c r="TCV21" s="19"/>
      <c r="TCW21" s="19"/>
      <c r="TCX21" s="19"/>
      <c r="TCY21" s="19"/>
      <c r="TCZ21" s="19"/>
      <c r="TDA21" s="19"/>
      <c r="TDB21" s="19"/>
      <c r="TDC21" s="19"/>
      <c r="TDD21" s="19"/>
      <c r="TDE21" s="19"/>
      <c r="TDF21" s="19"/>
      <c r="TDG21" s="19"/>
      <c r="TDH21" s="19"/>
      <c r="TDI21" s="19"/>
      <c r="TDJ21" s="19"/>
      <c r="TDK21" s="19"/>
      <c r="TDL21" s="19"/>
      <c r="TDM21" s="19"/>
      <c r="TDN21" s="19"/>
      <c r="TDO21" s="19"/>
      <c r="TDP21" s="19"/>
      <c r="TDQ21" s="19"/>
      <c r="TDR21" s="19"/>
      <c r="TDS21" s="19"/>
      <c r="TDT21" s="19"/>
      <c r="TDU21" s="19"/>
      <c r="TDV21" s="19"/>
      <c r="TDW21" s="19"/>
      <c r="TDX21" s="19"/>
      <c r="TDY21" s="19"/>
      <c r="TDZ21" s="19"/>
      <c r="TEA21" s="19"/>
      <c r="TEB21" s="19"/>
      <c r="TEC21" s="19"/>
      <c r="TED21" s="19"/>
      <c r="TEE21" s="19"/>
      <c r="TEF21" s="19"/>
      <c r="TEG21" s="19"/>
      <c r="TEH21" s="19"/>
      <c r="TEI21" s="19"/>
      <c r="TEJ21" s="19"/>
      <c r="TEK21" s="19"/>
      <c r="TEL21" s="19"/>
      <c r="TEM21" s="19"/>
      <c r="TEN21" s="19"/>
      <c r="TEO21" s="19"/>
      <c r="TEP21" s="19"/>
      <c r="TEQ21" s="19"/>
      <c r="TER21" s="19"/>
      <c r="TES21" s="19"/>
      <c r="TET21" s="19"/>
      <c r="TEU21" s="19"/>
      <c r="TEV21" s="19"/>
      <c r="TEW21" s="19"/>
      <c r="TEX21" s="19"/>
      <c r="TEY21" s="19"/>
      <c r="TEZ21" s="19"/>
      <c r="TFA21" s="19"/>
      <c r="TFB21" s="19"/>
      <c r="TFC21" s="19"/>
      <c r="TFD21" s="19"/>
      <c r="TFE21" s="19"/>
      <c r="TFF21" s="19"/>
      <c r="TFG21" s="19"/>
      <c r="TFH21" s="19"/>
      <c r="TFI21" s="19"/>
      <c r="TFJ21" s="19"/>
      <c r="TFK21" s="19"/>
      <c r="TFL21" s="19"/>
      <c r="TFM21" s="19"/>
      <c r="TFN21" s="19"/>
      <c r="TFO21" s="19"/>
      <c r="TFP21" s="19"/>
      <c r="TFQ21" s="19"/>
      <c r="TFR21" s="19"/>
      <c r="TFS21" s="19"/>
      <c r="TFT21" s="19"/>
      <c r="TFU21" s="19"/>
      <c r="TFV21" s="19"/>
      <c r="TFW21" s="19"/>
      <c r="TFX21" s="19"/>
      <c r="TFY21" s="19"/>
      <c r="TFZ21" s="19"/>
      <c r="TGA21" s="19"/>
      <c r="TGB21" s="19"/>
      <c r="TGC21" s="19"/>
      <c r="TGD21" s="19"/>
      <c r="TGE21" s="19"/>
      <c r="TGF21" s="19"/>
      <c r="TGG21" s="19"/>
      <c r="TGH21" s="19"/>
      <c r="TGI21" s="19"/>
      <c r="TGJ21" s="19"/>
      <c r="TGK21" s="19"/>
      <c r="TGL21" s="19"/>
      <c r="TGM21" s="19"/>
      <c r="TGN21" s="19"/>
      <c r="TGO21" s="19"/>
      <c r="TGP21" s="19"/>
      <c r="TGQ21" s="19"/>
      <c r="TGR21" s="19"/>
      <c r="TGS21" s="19"/>
      <c r="TGT21" s="19"/>
      <c r="TGU21" s="19"/>
      <c r="TGV21" s="19"/>
      <c r="TGW21" s="19"/>
      <c r="TGX21" s="19"/>
      <c r="TGY21" s="19"/>
      <c r="TGZ21" s="19"/>
      <c r="THA21" s="19"/>
      <c r="THB21" s="19"/>
      <c r="THC21" s="19"/>
      <c r="THD21" s="19"/>
      <c r="THE21" s="19"/>
      <c r="THF21" s="19"/>
      <c r="THG21" s="19"/>
      <c r="THH21" s="19"/>
      <c r="THI21" s="19"/>
      <c r="THJ21" s="19"/>
      <c r="THK21" s="19"/>
      <c r="THL21" s="19"/>
      <c r="THM21" s="19"/>
      <c r="THN21" s="19"/>
      <c r="THO21" s="19"/>
      <c r="THP21" s="19"/>
      <c r="THQ21" s="19"/>
      <c r="THR21" s="19"/>
      <c r="THS21" s="19"/>
      <c r="THT21" s="19"/>
      <c r="THU21" s="19"/>
      <c r="THV21" s="19"/>
      <c r="THW21" s="19"/>
      <c r="THX21" s="19"/>
      <c r="THY21" s="19"/>
      <c r="THZ21" s="19"/>
      <c r="TIA21" s="19"/>
      <c r="TIB21" s="19"/>
      <c r="TIC21" s="19"/>
      <c r="TID21" s="19"/>
      <c r="TIE21" s="19"/>
      <c r="TIF21" s="19"/>
      <c r="TIG21" s="19"/>
      <c r="TIH21" s="19"/>
      <c r="TII21" s="19"/>
      <c r="TIJ21" s="19"/>
      <c r="TIK21" s="19"/>
      <c r="TIL21" s="19"/>
      <c r="TIM21" s="19"/>
      <c r="TIN21" s="19"/>
      <c r="TIO21" s="19"/>
      <c r="TIP21" s="19"/>
      <c r="TIQ21" s="19"/>
      <c r="TIR21" s="19"/>
      <c r="TIS21" s="19"/>
      <c r="TIT21" s="19"/>
      <c r="TIU21" s="19"/>
      <c r="TIV21" s="19"/>
      <c r="TIW21" s="19"/>
      <c r="TIX21" s="19"/>
      <c r="TIY21" s="19"/>
      <c r="TIZ21" s="19"/>
      <c r="TJA21" s="19"/>
      <c r="TJB21" s="19"/>
      <c r="TJC21" s="19"/>
      <c r="TJD21" s="19"/>
      <c r="TJE21" s="19"/>
      <c r="TJF21" s="19"/>
      <c r="TJG21" s="19"/>
      <c r="TJH21" s="19"/>
      <c r="TJI21" s="19"/>
      <c r="TJJ21" s="19"/>
      <c r="TJK21" s="19"/>
      <c r="TJL21" s="19"/>
      <c r="TJM21" s="19"/>
      <c r="TJN21" s="19"/>
      <c r="TJO21" s="19"/>
      <c r="TJP21" s="19"/>
      <c r="TJQ21" s="19"/>
      <c r="TJR21" s="19"/>
      <c r="TJS21" s="19"/>
      <c r="TJT21" s="19"/>
      <c r="TJU21" s="19"/>
      <c r="TJV21" s="19"/>
      <c r="TJW21" s="19"/>
      <c r="TJX21" s="19"/>
      <c r="TJY21" s="19"/>
      <c r="TJZ21" s="19"/>
      <c r="TKA21" s="19"/>
      <c r="TKB21" s="19"/>
      <c r="TKC21" s="19"/>
      <c r="TKD21" s="19"/>
      <c r="TKE21" s="19"/>
      <c r="TKF21" s="19"/>
      <c r="TKG21" s="19"/>
      <c r="TKH21" s="19"/>
      <c r="TKI21" s="19"/>
      <c r="TKJ21" s="19"/>
      <c r="TKK21" s="19"/>
      <c r="TKL21" s="19"/>
      <c r="TKM21" s="19"/>
      <c r="TKN21" s="19"/>
      <c r="TKO21" s="19"/>
      <c r="TKP21" s="19"/>
      <c r="TKQ21" s="19"/>
      <c r="TKR21" s="19"/>
      <c r="TKS21" s="19"/>
      <c r="TKT21" s="19"/>
      <c r="TKU21" s="19"/>
      <c r="TKV21" s="19"/>
      <c r="TKW21" s="19"/>
      <c r="TKX21" s="19"/>
      <c r="TKY21" s="19"/>
      <c r="TKZ21" s="19"/>
      <c r="TLA21" s="19"/>
      <c r="TLB21" s="19"/>
      <c r="TLC21" s="19"/>
      <c r="TLD21" s="19"/>
      <c r="TLE21" s="19"/>
      <c r="TLF21" s="19"/>
      <c r="TLG21" s="19"/>
      <c r="TLH21" s="19"/>
      <c r="TLI21" s="19"/>
      <c r="TLJ21" s="19"/>
      <c r="TLK21" s="19"/>
      <c r="TLL21" s="19"/>
      <c r="TLM21" s="19"/>
      <c r="TLN21" s="19"/>
      <c r="TLO21" s="19"/>
      <c r="TLP21" s="19"/>
      <c r="TLQ21" s="19"/>
      <c r="TLR21" s="19"/>
      <c r="TLS21" s="19"/>
      <c r="TLT21" s="19"/>
      <c r="TLU21" s="19"/>
      <c r="TLV21" s="19"/>
      <c r="TLW21" s="19"/>
      <c r="TLX21" s="19"/>
      <c r="TLY21" s="19"/>
      <c r="TLZ21" s="19"/>
      <c r="TMA21" s="19"/>
      <c r="TMB21" s="19"/>
      <c r="TMC21" s="19"/>
      <c r="TMD21" s="19"/>
      <c r="TME21" s="19"/>
      <c r="TMF21" s="19"/>
      <c r="TMG21" s="19"/>
      <c r="TMH21" s="19"/>
      <c r="TMI21" s="19"/>
      <c r="TMJ21" s="19"/>
      <c r="TMK21" s="19"/>
      <c r="TML21" s="19"/>
      <c r="TMM21" s="19"/>
      <c r="TMN21" s="19"/>
      <c r="TMO21" s="19"/>
      <c r="TMP21" s="19"/>
      <c r="TMQ21" s="19"/>
      <c r="TMR21" s="19"/>
      <c r="TMS21" s="19"/>
      <c r="TMT21" s="19"/>
      <c r="TMU21" s="19"/>
      <c r="TMV21" s="19"/>
      <c r="TMW21" s="19"/>
      <c r="TMX21" s="19"/>
      <c r="TMY21" s="19"/>
      <c r="TMZ21" s="19"/>
      <c r="TNA21" s="19"/>
      <c r="TNB21" s="19"/>
      <c r="TNC21" s="19"/>
      <c r="TND21" s="19"/>
      <c r="TNE21" s="19"/>
      <c r="TNF21" s="19"/>
      <c r="TNG21" s="19"/>
      <c r="TNH21" s="19"/>
      <c r="TNI21" s="19"/>
      <c r="TNJ21" s="19"/>
      <c r="TNK21" s="19"/>
      <c r="TNL21" s="19"/>
      <c r="TNM21" s="19"/>
      <c r="TNN21" s="19"/>
      <c r="TNO21" s="19"/>
      <c r="TNP21" s="19"/>
      <c r="TNQ21" s="19"/>
      <c r="TNR21" s="19"/>
      <c r="TNS21" s="19"/>
      <c r="TNT21" s="19"/>
      <c r="TNU21" s="19"/>
      <c r="TNV21" s="19"/>
      <c r="TNW21" s="19"/>
      <c r="TNX21" s="19"/>
      <c r="TNY21" s="19"/>
      <c r="TNZ21" s="19"/>
      <c r="TOA21" s="19"/>
      <c r="TOB21" s="19"/>
      <c r="TOC21" s="19"/>
      <c r="TOD21" s="19"/>
      <c r="TOE21" s="19"/>
      <c r="TOF21" s="19"/>
      <c r="TOG21" s="19"/>
      <c r="TOH21" s="19"/>
      <c r="TOI21" s="19"/>
      <c r="TOJ21" s="19"/>
      <c r="TOK21" s="19"/>
      <c r="TOL21" s="19"/>
      <c r="TOM21" s="19"/>
      <c r="TON21" s="19"/>
      <c r="TOO21" s="19"/>
      <c r="TOP21" s="19"/>
      <c r="TOQ21" s="19"/>
      <c r="TOR21" s="19"/>
      <c r="TOS21" s="19"/>
      <c r="TOT21" s="19"/>
      <c r="TOU21" s="19"/>
      <c r="TOV21" s="19"/>
      <c r="TOW21" s="19"/>
      <c r="TOX21" s="19"/>
      <c r="TOY21" s="19"/>
      <c r="TOZ21" s="19"/>
      <c r="TPA21" s="19"/>
      <c r="TPB21" s="19"/>
      <c r="TPC21" s="19"/>
      <c r="TPD21" s="19"/>
      <c r="TPE21" s="19"/>
      <c r="TPF21" s="19"/>
      <c r="TPG21" s="19"/>
      <c r="TPH21" s="19"/>
      <c r="TPI21" s="19"/>
      <c r="TPJ21" s="19"/>
      <c r="TPK21" s="19"/>
      <c r="TPL21" s="19"/>
      <c r="TPM21" s="19"/>
      <c r="TPN21" s="19"/>
      <c r="TPO21" s="19"/>
      <c r="TPP21" s="19"/>
      <c r="TPQ21" s="19"/>
      <c r="TPR21" s="19"/>
      <c r="TPS21" s="19"/>
      <c r="TPT21" s="19"/>
      <c r="TPU21" s="19"/>
      <c r="TPV21" s="19"/>
      <c r="TPW21" s="19"/>
      <c r="TPX21" s="19"/>
      <c r="TPY21" s="19"/>
      <c r="TPZ21" s="19"/>
      <c r="TQA21" s="19"/>
      <c r="TQB21" s="19"/>
      <c r="TQC21" s="19"/>
      <c r="TQD21" s="19"/>
      <c r="TQE21" s="19"/>
      <c r="TQF21" s="19"/>
      <c r="TQG21" s="19"/>
      <c r="TQH21" s="19"/>
      <c r="TQI21" s="19"/>
      <c r="TQJ21" s="19"/>
      <c r="TQK21" s="19"/>
      <c r="TQL21" s="19"/>
      <c r="TQM21" s="19"/>
      <c r="TQN21" s="19"/>
      <c r="TQO21" s="19"/>
      <c r="TQP21" s="19"/>
      <c r="TQQ21" s="19"/>
      <c r="TQR21" s="19"/>
      <c r="TQS21" s="19"/>
      <c r="TQT21" s="19"/>
      <c r="TQU21" s="19"/>
      <c r="TQV21" s="19"/>
      <c r="TQW21" s="19"/>
      <c r="TQX21" s="19"/>
      <c r="TQY21" s="19"/>
      <c r="TQZ21" s="19"/>
      <c r="TRA21" s="19"/>
      <c r="TRB21" s="19"/>
      <c r="TRC21" s="19"/>
      <c r="TRD21" s="19"/>
      <c r="TRE21" s="19"/>
      <c r="TRF21" s="19"/>
      <c r="TRG21" s="19"/>
      <c r="TRH21" s="19"/>
      <c r="TRI21" s="19"/>
      <c r="TRJ21" s="19"/>
      <c r="TRK21" s="19"/>
      <c r="TRL21" s="19"/>
      <c r="TRM21" s="19"/>
      <c r="TRN21" s="19"/>
      <c r="TRO21" s="19"/>
      <c r="TRP21" s="19"/>
      <c r="TRQ21" s="19"/>
      <c r="TRR21" s="19"/>
      <c r="TRS21" s="19"/>
      <c r="TRT21" s="19"/>
      <c r="TRU21" s="19"/>
      <c r="TRV21" s="19"/>
      <c r="TRW21" s="19"/>
      <c r="TRX21" s="19"/>
      <c r="TRY21" s="19"/>
      <c r="TRZ21" s="19"/>
      <c r="TSA21" s="19"/>
      <c r="TSB21" s="19"/>
      <c r="TSC21" s="19"/>
      <c r="TSD21" s="19"/>
      <c r="TSE21" s="19"/>
      <c r="TSF21" s="19"/>
      <c r="TSG21" s="19"/>
      <c r="TSH21" s="19"/>
      <c r="TSI21" s="19"/>
      <c r="TSJ21" s="19"/>
      <c r="TSK21" s="19"/>
      <c r="TSL21" s="19"/>
      <c r="TSM21" s="19"/>
      <c r="TSN21" s="19"/>
      <c r="TSO21" s="19"/>
      <c r="TSP21" s="19"/>
      <c r="TSQ21" s="19"/>
      <c r="TSR21" s="19"/>
      <c r="TSS21" s="19"/>
      <c r="TST21" s="19"/>
      <c r="TSU21" s="19"/>
      <c r="TSV21" s="19"/>
      <c r="TSW21" s="19"/>
      <c r="TSX21" s="19"/>
      <c r="TSY21" s="19"/>
      <c r="TSZ21" s="19"/>
      <c r="TTA21" s="19"/>
      <c r="TTB21" s="19"/>
      <c r="TTC21" s="19"/>
      <c r="TTD21" s="19"/>
      <c r="TTE21" s="19"/>
      <c r="TTF21" s="19"/>
      <c r="TTG21" s="19"/>
      <c r="TTH21" s="19"/>
      <c r="TTI21" s="19"/>
      <c r="TTJ21" s="19"/>
      <c r="TTK21" s="19"/>
      <c r="TTL21" s="19"/>
      <c r="TTM21" s="19"/>
      <c r="TTN21" s="19"/>
      <c r="TTO21" s="19"/>
      <c r="TTP21" s="19"/>
      <c r="TTQ21" s="19"/>
      <c r="TTR21" s="19"/>
      <c r="TTS21" s="19"/>
      <c r="TTT21" s="19"/>
      <c r="TTU21" s="19"/>
      <c r="TTV21" s="19"/>
      <c r="TTW21" s="19"/>
      <c r="TTX21" s="19"/>
      <c r="TTY21" s="19"/>
      <c r="TTZ21" s="19"/>
      <c r="TUA21" s="19"/>
      <c r="TUB21" s="19"/>
      <c r="TUC21" s="19"/>
      <c r="TUD21" s="19"/>
      <c r="TUE21" s="19"/>
      <c r="TUF21" s="19"/>
      <c r="TUG21" s="19"/>
      <c r="TUH21" s="19"/>
      <c r="TUI21" s="19"/>
      <c r="TUJ21" s="19"/>
      <c r="TUK21" s="19"/>
      <c r="TUL21" s="19"/>
      <c r="TUM21" s="19"/>
      <c r="TUN21" s="19"/>
      <c r="TUO21" s="19"/>
      <c r="TUP21" s="19"/>
      <c r="TUQ21" s="19"/>
      <c r="TUR21" s="19"/>
      <c r="TUS21" s="19"/>
      <c r="TUT21" s="19"/>
      <c r="TUU21" s="19"/>
      <c r="TUV21" s="19"/>
      <c r="TUW21" s="19"/>
      <c r="TUX21" s="19"/>
      <c r="TUY21" s="19"/>
      <c r="TUZ21" s="19"/>
      <c r="TVA21" s="19"/>
      <c r="TVB21" s="19"/>
      <c r="TVC21" s="19"/>
      <c r="TVD21" s="19"/>
      <c r="TVE21" s="19"/>
      <c r="TVF21" s="19"/>
      <c r="TVG21" s="19"/>
      <c r="TVH21" s="19"/>
      <c r="TVI21" s="19"/>
      <c r="TVJ21" s="19"/>
      <c r="TVK21" s="19"/>
      <c r="TVL21" s="19"/>
      <c r="TVM21" s="19"/>
      <c r="TVN21" s="19"/>
      <c r="TVO21" s="19"/>
      <c r="TVP21" s="19"/>
      <c r="TVQ21" s="19"/>
      <c r="TVR21" s="19"/>
      <c r="TVS21" s="19"/>
      <c r="TVT21" s="19"/>
      <c r="TVU21" s="19"/>
      <c r="TVV21" s="19"/>
      <c r="TVW21" s="19"/>
      <c r="TVX21" s="19"/>
      <c r="TVY21" s="19"/>
      <c r="TVZ21" s="19"/>
      <c r="TWA21" s="19"/>
      <c r="TWB21" s="19"/>
      <c r="TWC21" s="19"/>
      <c r="TWD21" s="19"/>
      <c r="TWE21" s="19"/>
      <c r="TWF21" s="19"/>
      <c r="TWG21" s="19"/>
      <c r="TWH21" s="19"/>
      <c r="TWI21" s="19"/>
      <c r="TWJ21" s="19"/>
      <c r="TWK21" s="19"/>
      <c r="TWL21" s="19"/>
      <c r="TWM21" s="19"/>
      <c r="TWN21" s="19"/>
      <c r="TWO21" s="19"/>
      <c r="TWP21" s="19"/>
      <c r="TWQ21" s="19"/>
      <c r="TWR21" s="19"/>
      <c r="TWS21" s="19"/>
      <c r="TWT21" s="19"/>
      <c r="TWU21" s="19"/>
      <c r="TWV21" s="19"/>
      <c r="TWW21" s="19"/>
      <c r="TWX21" s="19"/>
      <c r="TWY21" s="19"/>
      <c r="TWZ21" s="19"/>
      <c r="TXA21" s="19"/>
      <c r="TXB21" s="19"/>
      <c r="TXC21" s="19"/>
      <c r="TXD21" s="19"/>
      <c r="TXE21" s="19"/>
      <c r="TXF21" s="19"/>
      <c r="TXG21" s="19"/>
      <c r="TXH21" s="19"/>
      <c r="TXI21" s="19"/>
      <c r="TXJ21" s="19"/>
      <c r="TXK21" s="19"/>
      <c r="TXL21" s="19"/>
      <c r="TXM21" s="19"/>
      <c r="TXN21" s="19"/>
      <c r="TXO21" s="19"/>
      <c r="TXP21" s="19"/>
      <c r="TXQ21" s="19"/>
      <c r="TXR21" s="19"/>
      <c r="TXS21" s="19"/>
      <c r="TXT21" s="19"/>
      <c r="TXU21" s="19"/>
      <c r="TXV21" s="19"/>
      <c r="TXW21" s="19"/>
      <c r="TXX21" s="19"/>
      <c r="TXY21" s="19"/>
      <c r="TXZ21" s="19"/>
      <c r="TYA21" s="19"/>
      <c r="TYB21" s="19"/>
      <c r="TYC21" s="19"/>
      <c r="TYD21" s="19"/>
      <c r="TYE21" s="19"/>
      <c r="TYF21" s="19"/>
      <c r="TYG21" s="19"/>
      <c r="TYH21" s="19"/>
      <c r="TYI21" s="19"/>
      <c r="TYJ21" s="19"/>
      <c r="TYK21" s="19"/>
      <c r="TYL21" s="19"/>
      <c r="TYM21" s="19"/>
      <c r="TYN21" s="19"/>
      <c r="TYO21" s="19"/>
      <c r="TYP21" s="19"/>
      <c r="TYQ21" s="19"/>
      <c r="TYR21" s="19"/>
      <c r="TYS21" s="19"/>
      <c r="TYT21" s="19"/>
      <c r="TYU21" s="19"/>
      <c r="TYV21" s="19"/>
      <c r="TYW21" s="19"/>
      <c r="TYX21" s="19"/>
      <c r="TYY21" s="19"/>
      <c r="TYZ21" s="19"/>
      <c r="TZA21" s="19"/>
      <c r="TZB21" s="19"/>
      <c r="TZC21" s="19"/>
      <c r="TZD21" s="19"/>
      <c r="TZE21" s="19"/>
      <c r="TZF21" s="19"/>
      <c r="TZG21" s="19"/>
      <c r="TZH21" s="19"/>
      <c r="TZI21" s="19"/>
      <c r="TZJ21" s="19"/>
      <c r="TZK21" s="19"/>
      <c r="TZL21" s="19"/>
      <c r="TZM21" s="19"/>
      <c r="TZN21" s="19"/>
      <c r="TZO21" s="19"/>
      <c r="TZP21" s="19"/>
      <c r="TZQ21" s="19"/>
      <c r="TZR21" s="19"/>
      <c r="TZS21" s="19"/>
      <c r="TZT21" s="19"/>
      <c r="TZU21" s="19"/>
      <c r="TZV21" s="19"/>
      <c r="TZW21" s="19"/>
      <c r="TZX21" s="19"/>
      <c r="TZY21" s="19"/>
      <c r="TZZ21" s="19"/>
      <c r="UAA21" s="19"/>
      <c r="UAB21" s="19"/>
      <c r="UAC21" s="19"/>
      <c r="UAD21" s="19"/>
      <c r="UAE21" s="19"/>
      <c r="UAF21" s="19"/>
      <c r="UAG21" s="19"/>
      <c r="UAH21" s="19"/>
      <c r="UAI21" s="19"/>
      <c r="UAJ21" s="19"/>
      <c r="UAK21" s="19"/>
      <c r="UAL21" s="19"/>
      <c r="UAM21" s="19"/>
      <c r="UAN21" s="19"/>
      <c r="UAO21" s="19"/>
      <c r="UAP21" s="19"/>
      <c r="UAQ21" s="19"/>
      <c r="UAR21" s="19"/>
      <c r="UAS21" s="19"/>
      <c r="UAT21" s="19"/>
      <c r="UAU21" s="19"/>
      <c r="UAV21" s="19"/>
      <c r="UAW21" s="19"/>
      <c r="UAX21" s="19"/>
      <c r="UAY21" s="19"/>
      <c r="UAZ21" s="19"/>
      <c r="UBA21" s="19"/>
      <c r="UBB21" s="19"/>
      <c r="UBC21" s="19"/>
      <c r="UBD21" s="19"/>
      <c r="UBE21" s="19"/>
      <c r="UBF21" s="19"/>
      <c r="UBG21" s="19"/>
      <c r="UBH21" s="19"/>
      <c r="UBI21" s="19"/>
      <c r="UBJ21" s="19"/>
      <c r="UBK21" s="19"/>
      <c r="UBL21" s="19"/>
      <c r="UBM21" s="19"/>
      <c r="UBN21" s="19"/>
      <c r="UBO21" s="19"/>
      <c r="UBP21" s="19"/>
      <c r="UBQ21" s="19"/>
      <c r="UBR21" s="19"/>
      <c r="UBS21" s="19"/>
      <c r="UBT21" s="19"/>
      <c r="UBU21" s="19"/>
      <c r="UBV21" s="19"/>
      <c r="UBW21" s="19"/>
      <c r="UBX21" s="19"/>
      <c r="UBY21" s="19"/>
      <c r="UBZ21" s="19"/>
      <c r="UCA21" s="19"/>
      <c r="UCB21" s="19"/>
      <c r="UCC21" s="19"/>
      <c r="UCD21" s="19"/>
      <c r="UCE21" s="19"/>
      <c r="UCF21" s="19"/>
      <c r="UCG21" s="19"/>
      <c r="UCH21" s="19"/>
      <c r="UCI21" s="19"/>
      <c r="UCJ21" s="19"/>
      <c r="UCK21" s="19"/>
      <c r="UCL21" s="19"/>
      <c r="UCM21" s="19"/>
      <c r="UCN21" s="19"/>
      <c r="UCO21" s="19"/>
      <c r="UCP21" s="19"/>
      <c r="UCQ21" s="19"/>
      <c r="UCR21" s="19"/>
      <c r="UCS21" s="19"/>
      <c r="UCT21" s="19"/>
      <c r="UCU21" s="19"/>
      <c r="UCV21" s="19"/>
      <c r="UCW21" s="19"/>
      <c r="UCX21" s="19"/>
      <c r="UCY21" s="19"/>
      <c r="UCZ21" s="19"/>
      <c r="UDA21" s="19"/>
      <c r="UDB21" s="19"/>
      <c r="UDC21" s="19"/>
      <c r="UDD21" s="19"/>
      <c r="UDE21" s="19"/>
      <c r="UDF21" s="19"/>
      <c r="UDG21" s="19"/>
      <c r="UDH21" s="19"/>
      <c r="UDI21" s="19"/>
      <c r="UDJ21" s="19"/>
      <c r="UDK21" s="19"/>
      <c r="UDL21" s="19"/>
      <c r="UDM21" s="19"/>
      <c r="UDN21" s="19"/>
      <c r="UDO21" s="19"/>
      <c r="UDP21" s="19"/>
      <c r="UDQ21" s="19"/>
      <c r="UDR21" s="19"/>
      <c r="UDS21" s="19"/>
      <c r="UDT21" s="19"/>
      <c r="UDU21" s="19"/>
      <c r="UDV21" s="19"/>
      <c r="UDW21" s="19"/>
      <c r="UDX21" s="19"/>
      <c r="UDY21" s="19"/>
      <c r="UDZ21" s="19"/>
      <c r="UEA21" s="19"/>
      <c r="UEB21" s="19"/>
      <c r="UEC21" s="19"/>
      <c r="UED21" s="19"/>
      <c r="UEE21" s="19"/>
      <c r="UEF21" s="19"/>
      <c r="UEG21" s="19"/>
      <c r="UEH21" s="19"/>
      <c r="UEI21" s="19"/>
      <c r="UEJ21" s="19"/>
      <c r="UEK21" s="19"/>
      <c r="UEL21" s="19"/>
      <c r="UEM21" s="19"/>
      <c r="UEN21" s="19"/>
      <c r="UEO21" s="19"/>
      <c r="UEP21" s="19"/>
      <c r="UEQ21" s="19"/>
      <c r="UER21" s="19"/>
      <c r="UES21" s="19"/>
      <c r="UET21" s="19"/>
      <c r="UEU21" s="19"/>
      <c r="UEV21" s="19"/>
      <c r="UEW21" s="19"/>
      <c r="UEX21" s="19"/>
      <c r="UEY21" s="19"/>
      <c r="UEZ21" s="19"/>
      <c r="UFA21" s="19"/>
      <c r="UFB21" s="19"/>
      <c r="UFC21" s="19"/>
      <c r="UFD21" s="19"/>
      <c r="UFE21" s="19"/>
      <c r="UFF21" s="19"/>
      <c r="UFG21" s="19"/>
      <c r="UFH21" s="19"/>
      <c r="UFI21" s="19"/>
      <c r="UFJ21" s="19"/>
      <c r="UFK21" s="19"/>
      <c r="UFL21" s="19"/>
      <c r="UFM21" s="19"/>
      <c r="UFN21" s="19"/>
      <c r="UFO21" s="19"/>
      <c r="UFP21" s="19"/>
      <c r="UFQ21" s="19"/>
      <c r="UFR21" s="19"/>
      <c r="UFS21" s="19"/>
      <c r="UFT21" s="19"/>
      <c r="UFU21" s="19"/>
      <c r="UFV21" s="19"/>
      <c r="UFW21" s="19"/>
      <c r="UFX21" s="19"/>
      <c r="UFY21" s="19"/>
      <c r="UFZ21" s="19"/>
      <c r="UGA21" s="19"/>
      <c r="UGB21" s="19"/>
      <c r="UGC21" s="19"/>
      <c r="UGD21" s="19"/>
      <c r="UGE21" s="19"/>
      <c r="UGF21" s="19"/>
      <c r="UGG21" s="19"/>
      <c r="UGH21" s="19"/>
      <c r="UGI21" s="19"/>
      <c r="UGJ21" s="19"/>
      <c r="UGK21" s="19"/>
      <c r="UGL21" s="19"/>
      <c r="UGM21" s="19"/>
      <c r="UGN21" s="19"/>
      <c r="UGO21" s="19"/>
      <c r="UGP21" s="19"/>
      <c r="UGQ21" s="19"/>
      <c r="UGR21" s="19"/>
      <c r="UGS21" s="19"/>
      <c r="UGT21" s="19"/>
      <c r="UGU21" s="19"/>
      <c r="UGV21" s="19"/>
      <c r="UGW21" s="19"/>
      <c r="UGX21" s="19"/>
      <c r="UGY21" s="19"/>
      <c r="UGZ21" s="19"/>
      <c r="UHA21" s="19"/>
      <c r="UHB21" s="19"/>
      <c r="UHC21" s="19"/>
      <c r="UHD21" s="19"/>
      <c r="UHE21" s="19"/>
      <c r="UHF21" s="19"/>
      <c r="UHG21" s="19"/>
      <c r="UHH21" s="19"/>
      <c r="UHI21" s="19"/>
      <c r="UHJ21" s="19"/>
      <c r="UHK21" s="19"/>
      <c r="UHL21" s="19"/>
      <c r="UHM21" s="19"/>
      <c r="UHN21" s="19"/>
      <c r="UHO21" s="19"/>
      <c r="UHP21" s="19"/>
      <c r="UHQ21" s="19"/>
      <c r="UHR21" s="19"/>
      <c r="UHS21" s="19"/>
      <c r="UHT21" s="19"/>
      <c r="UHU21" s="19"/>
      <c r="UHV21" s="19"/>
      <c r="UHW21" s="19"/>
      <c r="UHX21" s="19"/>
      <c r="UHY21" s="19"/>
      <c r="UHZ21" s="19"/>
      <c r="UIA21" s="19"/>
      <c r="UIB21" s="19"/>
      <c r="UIC21" s="19"/>
      <c r="UID21" s="19"/>
      <c r="UIE21" s="19"/>
      <c r="UIF21" s="19"/>
      <c r="UIG21" s="19"/>
      <c r="UIH21" s="19"/>
      <c r="UII21" s="19"/>
      <c r="UIJ21" s="19"/>
      <c r="UIK21" s="19"/>
      <c r="UIL21" s="19"/>
      <c r="UIM21" s="19"/>
      <c r="UIN21" s="19"/>
      <c r="UIO21" s="19"/>
      <c r="UIP21" s="19"/>
      <c r="UIQ21" s="19"/>
      <c r="UIR21" s="19"/>
      <c r="UIS21" s="19"/>
      <c r="UIT21" s="19"/>
      <c r="UIU21" s="19"/>
      <c r="UIV21" s="19"/>
      <c r="UIW21" s="19"/>
      <c r="UIX21" s="19"/>
      <c r="UIY21" s="19"/>
      <c r="UIZ21" s="19"/>
      <c r="UJA21" s="19"/>
      <c r="UJB21" s="19"/>
      <c r="UJC21" s="19"/>
      <c r="UJD21" s="19"/>
      <c r="UJE21" s="19"/>
      <c r="UJF21" s="19"/>
      <c r="UJG21" s="19"/>
      <c r="UJH21" s="19"/>
      <c r="UJI21" s="19"/>
      <c r="UJJ21" s="19"/>
      <c r="UJK21" s="19"/>
      <c r="UJL21" s="19"/>
      <c r="UJM21" s="19"/>
      <c r="UJN21" s="19"/>
      <c r="UJO21" s="19"/>
      <c r="UJP21" s="19"/>
      <c r="UJQ21" s="19"/>
      <c r="UJR21" s="19"/>
      <c r="UJS21" s="19"/>
      <c r="UJT21" s="19"/>
      <c r="UJU21" s="19"/>
      <c r="UJV21" s="19"/>
      <c r="UJW21" s="19"/>
      <c r="UJX21" s="19"/>
      <c r="UJY21" s="19"/>
      <c r="UJZ21" s="19"/>
      <c r="UKA21" s="19"/>
      <c r="UKB21" s="19"/>
      <c r="UKC21" s="19"/>
      <c r="UKD21" s="19"/>
      <c r="UKE21" s="19"/>
      <c r="UKF21" s="19"/>
      <c r="UKG21" s="19"/>
      <c r="UKH21" s="19"/>
      <c r="UKI21" s="19"/>
      <c r="UKJ21" s="19"/>
      <c r="UKK21" s="19"/>
      <c r="UKL21" s="19"/>
      <c r="UKM21" s="19"/>
      <c r="UKN21" s="19"/>
      <c r="UKO21" s="19"/>
      <c r="UKP21" s="19"/>
      <c r="UKQ21" s="19"/>
      <c r="UKR21" s="19"/>
      <c r="UKS21" s="19"/>
      <c r="UKT21" s="19"/>
      <c r="UKU21" s="19"/>
      <c r="UKV21" s="19"/>
      <c r="UKW21" s="19"/>
      <c r="UKX21" s="19"/>
      <c r="UKY21" s="19"/>
      <c r="UKZ21" s="19"/>
      <c r="ULA21" s="19"/>
      <c r="ULB21" s="19"/>
      <c r="ULC21" s="19"/>
      <c r="ULD21" s="19"/>
      <c r="ULE21" s="19"/>
      <c r="ULF21" s="19"/>
      <c r="ULG21" s="19"/>
      <c r="ULH21" s="19"/>
      <c r="ULI21" s="19"/>
      <c r="ULJ21" s="19"/>
      <c r="ULK21" s="19"/>
      <c r="ULL21" s="19"/>
      <c r="ULM21" s="19"/>
      <c r="ULN21" s="19"/>
      <c r="ULO21" s="19"/>
      <c r="ULP21" s="19"/>
      <c r="ULQ21" s="19"/>
      <c r="ULR21" s="19"/>
      <c r="ULS21" s="19"/>
      <c r="ULT21" s="19"/>
      <c r="ULU21" s="19"/>
      <c r="ULV21" s="19"/>
      <c r="ULW21" s="19"/>
      <c r="ULX21" s="19"/>
      <c r="ULY21" s="19"/>
      <c r="ULZ21" s="19"/>
      <c r="UMA21" s="19"/>
      <c r="UMB21" s="19"/>
      <c r="UMC21" s="19"/>
      <c r="UMD21" s="19"/>
      <c r="UME21" s="19"/>
      <c r="UMF21" s="19"/>
      <c r="UMG21" s="19"/>
      <c r="UMH21" s="19"/>
      <c r="UMI21" s="19"/>
      <c r="UMJ21" s="19"/>
      <c r="UMK21" s="19"/>
      <c r="UML21" s="19"/>
      <c r="UMM21" s="19"/>
      <c r="UMN21" s="19"/>
      <c r="UMO21" s="19"/>
      <c r="UMP21" s="19"/>
      <c r="UMQ21" s="19"/>
      <c r="UMR21" s="19"/>
      <c r="UMS21" s="19"/>
      <c r="UMT21" s="19"/>
      <c r="UMU21" s="19"/>
      <c r="UMV21" s="19"/>
      <c r="UMW21" s="19"/>
      <c r="UMX21" s="19"/>
      <c r="UMY21" s="19"/>
      <c r="UMZ21" s="19"/>
      <c r="UNA21" s="19"/>
      <c r="UNB21" s="19"/>
      <c r="UNC21" s="19"/>
      <c r="UND21" s="19"/>
      <c r="UNE21" s="19"/>
      <c r="UNF21" s="19"/>
      <c r="UNG21" s="19"/>
      <c r="UNH21" s="19"/>
      <c r="UNI21" s="19"/>
      <c r="UNJ21" s="19"/>
      <c r="UNK21" s="19"/>
      <c r="UNL21" s="19"/>
      <c r="UNM21" s="19"/>
      <c r="UNN21" s="19"/>
      <c r="UNO21" s="19"/>
      <c r="UNP21" s="19"/>
      <c r="UNQ21" s="19"/>
      <c r="UNR21" s="19"/>
      <c r="UNS21" s="19"/>
      <c r="UNT21" s="19"/>
      <c r="UNU21" s="19"/>
      <c r="UNV21" s="19"/>
      <c r="UNW21" s="19"/>
      <c r="UNX21" s="19"/>
      <c r="UNY21" s="19"/>
      <c r="UNZ21" s="19"/>
      <c r="UOA21" s="19"/>
      <c r="UOB21" s="19"/>
      <c r="UOC21" s="19"/>
      <c r="UOD21" s="19"/>
      <c r="UOE21" s="19"/>
      <c r="UOF21" s="19"/>
      <c r="UOG21" s="19"/>
      <c r="UOH21" s="19"/>
      <c r="UOI21" s="19"/>
      <c r="UOJ21" s="19"/>
      <c r="UOK21" s="19"/>
      <c r="UOL21" s="19"/>
      <c r="UOM21" s="19"/>
      <c r="UON21" s="19"/>
      <c r="UOO21" s="19"/>
      <c r="UOP21" s="19"/>
      <c r="UOQ21" s="19"/>
      <c r="UOR21" s="19"/>
      <c r="UOS21" s="19"/>
      <c r="UOT21" s="19"/>
      <c r="UOU21" s="19"/>
      <c r="UOV21" s="19"/>
      <c r="UOW21" s="19"/>
      <c r="UOX21" s="19"/>
      <c r="UOY21" s="19"/>
      <c r="UOZ21" s="19"/>
      <c r="UPA21" s="19"/>
      <c r="UPB21" s="19"/>
      <c r="UPC21" s="19"/>
      <c r="UPD21" s="19"/>
      <c r="UPE21" s="19"/>
      <c r="UPF21" s="19"/>
      <c r="UPG21" s="19"/>
      <c r="UPH21" s="19"/>
      <c r="UPI21" s="19"/>
      <c r="UPJ21" s="19"/>
      <c r="UPK21" s="19"/>
      <c r="UPL21" s="19"/>
      <c r="UPM21" s="19"/>
      <c r="UPN21" s="19"/>
      <c r="UPO21" s="19"/>
      <c r="UPP21" s="19"/>
      <c r="UPQ21" s="19"/>
      <c r="UPR21" s="19"/>
      <c r="UPS21" s="19"/>
      <c r="UPT21" s="19"/>
      <c r="UPU21" s="19"/>
      <c r="UPV21" s="19"/>
      <c r="UPW21" s="19"/>
      <c r="UPX21" s="19"/>
      <c r="UPY21" s="19"/>
      <c r="UPZ21" s="19"/>
      <c r="UQA21" s="19"/>
      <c r="UQB21" s="19"/>
      <c r="UQC21" s="19"/>
      <c r="UQD21" s="19"/>
      <c r="UQE21" s="19"/>
      <c r="UQF21" s="19"/>
      <c r="UQG21" s="19"/>
      <c r="UQH21" s="19"/>
      <c r="UQI21" s="19"/>
      <c r="UQJ21" s="19"/>
      <c r="UQK21" s="19"/>
      <c r="UQL21" s="19"/>
      <c r="UQM21" s="19"/>
      <c r="UQN21" s="19"/>
      <c r="UQO21" s="19"/>
      <c r="UQP21" s="19"/>
      <c r="UQQ21" s="19"/>
      <c r="UQR21" s="19"/>
      <c r="UQS21" s="19"/>
      <c r="UQT21" s="19"/>
      <c r="UQU21" s="19"/>
      <c r="UQV21" s="19"/>
      <c r="UQW21" s="19"/>
      <c r="UQX21" s="19"/>
      <c r="UQY21" s="19"/>
      <c r="UQZ21" s="19"/>
      <c r="URA21" s="19"/>
      <c r="URB21" s="19"/>
      <c r="URC21" s="19"/>
      <c r="URD21" s="19"/>
      <c r="URE21" s="19"/>
      <c r="URF21" s="19"/>
      <c r="URG21" s="19"/>
      <c r="URH21" s="19"/>
      <c r="URI21" s="19"/>
      <c r="URJ21" s="19"/>
      <c r="URK21" s="19"/>
      <c r="URL21" s="19"/>
      <c r="URM21" s="19"/>
      <c r="URN21" s="19"/>
      <c r="URO21" s="19"/>
      <c r="URP21" s="19"/>
      <c r="URQ21" s="19"/>
      <c r="URR21" s="19"/>
      <c r="URS21" s="19"/>
      <c r="URT21" s="19"/>
      <c r="URU21" s="19"/>
      <c r="URV21" s="19"/>
      <c r="URW21" s="19"/>
      <c r="URX21" s="19"/>
      <c r="URY21" s="19"/>
      <c r="URZ21" s="19"/>
      <c r="USA21" s="19"/>
      <c r="USB21" s="19"/>
      <c r="USC21" s="19"/>
      <c r="USD21" s="19"/>
      <c r="USE21" s="19"/>
      <c r="USF21" s="19"/>
      <c r="USG21" s="19"/>
      <c r="USH21" s="19"/>
      <c r="USI21" s="19"/>
      <c r="USJ21" s="19"/>
      <c r="USK21" s="19"/>
      <c r="USL21" s="19"/>
      <c r="USM21" s="19"/>
      <c r="USN21" s="19"/>
      <c r="USO21" s="19"/>
      <c r="USP21" s="19"/>
      <c r="USQ21" s="19"/>
      <c r="USR21" s="19"/>
      <c r="USS21" s="19"/>
      <c r="UST21" s="19"/>
      <c r="USU21" s="19"/>
      <c r="USV21" s="19"/>
      <c r="USW21" s="19"/>
      <c r="USX21" s="19"/>
      <c r="USY21" s="19"/>
      <c r="USZ21" s="19"/>
      <c r="UTA21" s="19"/>
      <c r="UTB21" s="19"/>
      <c r="UTC21" s="19"/>
      <c r="UTD21" s="19"/>
      <c r="UTE21" s="19"/>
      <c r="UTF21" s="19"/>
      <c r="UTG21" s="19"/>
      <c r="UTH21" s="19"/>
      <c r="UTI21" s="19"/>
      <c r="UTJ21" s="19"/>
      <c r="UTK21" s="19"/>
      <c r="UTL21" s="19"/>
      <c r="UTM21" s="19"/>
      <c r="UTN21" s="19"/>
      <c r="UTO21" s="19"/>
      <c r="UTP21" s="19"/>
      <c r="UTQ21" s="19"/>
      <c r="UTR21" s="19"/>
      <c r="UTS21" s="19"/>
      <c r="UTT21" s="19"/>
      <c r="UTU21" s="19"/>
      <c r="UTV21" s="19"/>
      <c r="UTW21" s="19"/>
      <c r="UTX21" s="19"/>
      <c r="UTY21" s="19"/>
      <c r="UTZ21" s="19"/>
      <c r="UUA21" s="19"/>
      <c r="UUB21" s="19"/>
      <c r="UUC21" s="19"/>
      <c r="UUD21" s="19"/>
      <c r="UUE21" s="19"/>
      <c r="UUF21" s="19"/>
      <c r="UUG21" s="19"/>
      <c r="UUH21" s="19"/>
      <c r="UUI21" s="19"/>
      <c r="UUJ21" s="19"/>
      <c r="UUK21" s="19"/>
      <c r="UUL21" s="19"/>
      <c r="UUM21" s="19"/>
      <c r="UUN21" s="19"/>
      <c r="UUO21" s="19"/>
      <c r="UUP21" s="19"/>
      <c r="UUQ21" s="19"/>
      <c r="UUR21" s="19"/>
      <c r="UUS21" s="19"/>
      <c r="UUT21" s="19"/>
      <c r="UUU21" s="19"/>
      <c r="UUV21" s="19"/>
      <c r="UUW21" s="19"/>
      <c r="UUX21" s="19"/>
      <c r="UUY21" s="19"/>
      <c r="UUZ21" s="19"/>
      <c r="UVA21" s="19"/>
      <c r="UVB21" s="19"/>
      <c r="UVC21" s="19"/>
      <c r="UVD21" s="19"/>
      <c r="UVE21" s="19"/>
      <c r="UVF21" s="19"/>
      <c r="UVG21" s="19"/>
      <c r="UVH21" s="19"/>
      <c r="UVI21" s="19"/>
      <c r="UVJ21" s="19"/>
      <c r="UVK21" s="19"/>
      <c r="UVL21" s="19"/>
      <c r="UVM21" s="19"/>
      <c r="UVN21" s="19"/>
      <c r="UVO21" s="19"/>
      <c r="UVP21" s="19"/>
      <c r="UVQ21" s="19"/>
      <c r="UVR21" s="19"/>
      <c r="UVS21" s="19"/>
      <c r="UVT21" s="19"/>
      <c r="UVU21" s="19"/>
      <c r="UVV21" s="19"/>
      <c r="UVW21" s="19"/>
      <c r="UVX21" s="19"/>
      <c r="UVY21" s="19"/>
      <c r="UVZ21" s="19"/>
      <c r="UWA21" s="19"/>
      <c r="UWB21" s="19"/>
      <c r="UWC21" s="19"/>
      <c r="UWD21" s="19"/>
      <c r="UWE21" s="19"/>
      <c r="UWF21" s="19"/>
      <c r="UWG21" s="19"/>
      <c r="UWH21" s="19"/>
      <c r="UWI21" s="19"/>
      <c r="UWJ21" s="19"/>
      <c r="UWK21" s="19"/>
      <c r="UWL21" s="19"/>
      <c r="UWM21" s="19"/>
      <c r="UWN21" s="19"/>
      <c r="UWO21" s="19"/>
      <c r="UWP21" s="19"/>
      <c r="UWQ21" s="19"/>
      <c r="UWR21" s="19"/>
      <c r="UWS21" s="19"/>
      <c r="UWT21" s="19"/>
      <c r="UWU21" s="19"/>
      <c r="UWV21" s="19"/>
      <c r="UWW21" s="19"/>
      <c r="UWX21" s="19"/>
      <c r="UWY21" s="19"/>
      <c r="UWZ21" s="19"/>
      <c r="UXA21" s="19"/>
      <c r="UXB21" s="19"/>
      <c r="UXC21" s="19"/>
      <c r="UXD21" s="19"/>
      <c r="UXE21" s="19"/>
      <c r="UXF21" s="19"/>
      <c r="UXG21" s="19"/>
      <c r="UXH21" s="19"/>
      <c r="UXI21" s="19"/>
      <c r="UXJ21" s="19"/>
      <c r="UXK21" s="19"/>
      <c r="UXL21" s="19"/>
      <c r="UXM21" s="19"/>
      <c r="UXN21" s="19"/>
      <c r="UXO21" s="19"/>
      <c r="UXP21" s="19"/>
      <c r="UXQ21" s="19"/>
      <c r="UXR21" s="19"/>
      <c r="UXS21" s="19"/>
      <c r="UXT21" s="19"/>
      <c r="UXU21" s="19"/>
      <c r="UXV21" s="19"/>
      <c r="UXW21" s="19"/>
      <c r="UXX21" s="19"/>
      <c r="UXY21" s="19"/>
      <c r="UXZ21" s="19"/>
      <c r="UYA21" s="19"/>
      <c r="UYB21" s="19"/>
      <c r="UYC21" s="19"/>
      <c r="UYD21" s="19"/>
      <c r="UYE21" s="19"/>
      <c r="UYF21" s="19"/>
      <c r="UYG21" s="19"/>
      <c r="UYH21" s="19"/>
      <c r="UYI21" s="19"/>
      <c r="UYJ21" s="19"/>
      <c r="UYK21" s="19"/>
      <c r="UYL21" s="19"/>
      <c r="UYM21" s="19"/>
      <c r="UYN21" s="19"/>
      <c r="UYO21" s="19"/>
      <c r="UYP21" s="19"/>
      <c r="UYQ21" s="19"/>
      <c r="UYR21" s="19"/>
      <c r="UYS21" s="19"/>
      <c r="UYT21" s="19"/>
      <c r="UYU21" s="19"/>
      <c r="UYV21" s="19"/>
      <c r="UYW21" s="19"/>
      <c r="UYX21" s="19"/>
      <c r="UYY21" s="19"/>
      <c r="UYZ21" s="19"/>
      <c r="UZA21" s="19"/>
      <c r="UZB21" s="19"/>
      <c r="UZC21" s="19"/>
      <c r="UZD21" s="19"/>
      <c r="UZE21" s="19"/>
      <c r="UZF21" s="19"/>
      <c r="UZG21" s="19"/>
      <c r="UZH21" s="19"/>
      <c r="UZI21" s="19"/>
      <c r="UZJ21" s="19"/>
      <c r="UZK21" s="19"/>
      <c r="UZL21" s="19"/>
      <c r="UZM21" s="19"/>
      <c r="UZN21" s="19"/>
      <c r="UZO21" s="19"/>
      <c r="UZP21" s="19"/>
      <c r="UZQ21" s="19"/>
      <c r="UZR21" s="19"/>
      <c r="UZS21" s="19"/>
      <c r="UZT21" s="19"/>
      <c r="UZU21" s="19"/>
      <c r="UZV21" s="19"/>
      <c r="UZW21" s="19"/>
      <c r="UZX21" s="19"/>
      <c r="UZY21" s="19"/>
      <c r="UZZ21" s="19"/>
      <c r="VAA21" s="19"/>
      <c r="VAB21" s="19"/>
      <c r="VAC21" s="19"/>
      <c r="VAD21" s="19"/>
      <c r="VAE21" s="19"/>
      <c r="VAF21" s="19"/>
      <c r="VAG21" s="19"/>
      <c r="VAH21" s="19"/>
      <c r="VAI21" s="19"/>
      <c r="VAJ21" s="19"/>
      <c r="VAK21" s="19"/>
      <c r="VAL21" s="19"/>
      <c r="VAM21" s="19"/>
      <c r="VAN21" s="19"/>
      <c r="VAO21" s="19"/>
      <c r="VAP21" s="19"/>
      <c r="VAQ21" s="19"/>
      <c r="VAR21" s="19"/>
      <c r="VAS21" s="19"/>
      <c r="VAT21" s="19"/>
      <c r="VAU21" s="19"/>
      <c r="VAV21" s="19"/>
      <c r="VAW21" s="19"/>
      <c r="VAX21" s="19"/>
      <c r="VAY21" s="19"/>
      <c r="VAZ21" s="19"/>
      <c r="VBA21" s="19"/>
      <c r="VBB21" s="19"/>
      <c r="VBC21" s="19"/>
      <c r="VBD21" s="19"/>
      <c r="VBE21" s="19"/>
      <c r="VBF21" s="19"/>
      <c r="VBG21" s="19"/>
      <c r="VBH21" s="19"/>
      <c r="VBI21" s="19"/>
      <c r="VBJ21" s="19"/>
      <c r="VBK21" s="19"/>
      <c r="VBL21" s="19"/>
      <c r="VBM21" s="19"/>
      <c r="VBN21" s="19"/>
      <c r="VBO21" s="19"/>
      <c r="VBP21" s="19"/>
      <c r="VBQ21" s="19"/>
      <c r="VBR21" s="19"/>
      <c r="VBS21" s="19"/>
      <c r="VBT21" s="19"/>
      <c r="VBU21" s="19"/>
      <c r="VBV21" s="19"/>
      <c r="VBW21" s="19"/>
      <c r="VBX21" s="19"/>
      <c r="VBY21" s="19"/>
      <c r="VBZ21" s="19"/>
      <c r="VCA21" s="19"/>
      <c r="VCB21" s="19"/>
      <c r="VCC21" s="19"/>
      <c r="VCD21" s="19"/>
      <c r="VCE21" s="19"/>
      <c r="VCF21" s="19"/>
      <c r="VCG21" s="19"/>
      <c r="VCH21" s="19"/>
      <c r="VCI21" s="19"/>
      <c r="VCJ21" s="19"/>
      <c r="VCK21" s="19"/>
      <c r="VCL21" s="19"/>
      <c r="VCM21" s="19"/>
      <c r="VCN21" s="19"/>
      <c r="VCO21" s="19"/>
      <c r="VCP21" s="19"/>
      <c r="VCQ21" s="19"/>
      <c r="VCR21" s="19"/>
      <c r="VCS21" s="19"/>
      <c r="VCT21" s="19"/>
      <c r="VCU21" s="19"/>
      <c r="VCV21" s="19"/>
      <c r="VCW21" s="19"/>
      <c r="VCX21" s="19"/>
      <c r="VCY21" s="19"/>
      <c r="VCZ21" s="19"/>
      <c r="VDA21" s="19"/>
      <c r="VDB21" s="19"/>
      <c r="VDC21" s="19"/>
      <c r="VDD21" s="19"/>
      <c r="VDE21" s="19"/>
      <c r="VDF21" s="19"/>
      <c r="VDG21" s="19"/>
      <c r="VDH21" s="19"/>
      <c r="VDI21" s="19"/>
      <c r="VDJ21" s="19"/>
      <c r="VDK21" s="19"/>
      <c r="VDL21" s="19"/>
      <c r="VDM21" s="19"/>
      <c r="VDN21" s="19"/>
      <c r="VDO21" s="19"/>
      <c r="VDP21" s="19"/>
      <c r="VDQ21" s="19"/>
      <c r="VDR21" s="19"/>
      <c r="VDS21" s="19"/>
      <c r="VDT21" s="19"/>
      <c r="VDU21" s="19"/>
      <c r="VDV21" s="19"/>
      <c r="VDW21" s="19"/>
      <c r="VDX21" s="19"/>
      <c r="VDY21" s="19"/>
      <c r="VDZ21" s="19"/>
      <c r="VEA21" s="19"/>
      <c r="VEB21" s="19"/>
      <c r="VEC21" s="19"/>
      <c r="VED21" s="19"/>
      <c r="VEE21" s="19"/>
      <c r="VEF21" s="19"/>
      <c r="VEG21" s="19"/>
      <c r="VEH21" s="19"/>
      <c r="VEI21" s="19"/>
      <c r="VEJ21" s="19"/>
      <c r="VEK21" s="19"/>
      <c r="VEL21" s="19"/>
      <c r="VEM21" s="19"/>
      <c r="VEN21" s="19"/>
      <c r="VEO21" s="19"/>
      <c r="VEP21" s="19"/>
      <c r="VEQ21" s="19"/>
      <c r="VER21" s="19"/>
      <c r="VES21" s="19"/>
      <c r="VET21" s="19"/>
      <c r="VEU21" s="19"/>
      <c r="VEV21" s="19"/>
      <c r="VEW21" s="19"/>
      <c r="VEX21" s="19"/>
      <c r="VEY21" s="19"/>
      <c r="VEZ21" s="19"/>
      <c r="VFA21" s="19"/>
      <c r="VFB21" s="19"/>
      <c r="VFC21" s="19"/>
      <c r="VFD21" s="19"/>
      <c r="VFE21" s="19"/>
      <c r="VFF21" s="19"/>
      <c r="VFG21" s="19"/>
      <c r="VFH21" s="19"/>
      <c r="VFI21" s="19"/>
      <c r="VFJ21" s="19"/>
      <c r="VFK21" s="19"/>
      <c r="VFL21" s="19"/>
      <c r="VFM21" s="19"/>
      <c r="VFN21" s="19"/>
      <c r="VFO21" s="19"/>
      <c r="VFP21" s="19"/>
      <c r="VFQ21" s="19"/>
      <c r="VFR21" s="19"/>
      <c r="VFS21" s="19"/>
      <c r="VFT21" s="19"/>
      <c r="VFU21" s="19"/>
      <c r="VFV21" s="19"/>
      <c r="VFW21" s="19"/>
      <c r="VFX21" s="19"/>
      <c r="VFY21" s="19"/>
      <c r="VFZ21" s="19"/>
      <c r="VGA21" s="19"/>
      <c r="VGB21" s="19"/>
      <c r="VGC21" s="19"/>
      <c r="VGD21" s="19"/>
      <c r="VGE21" s="19"/>
      <c r="VGF21" s="19"/>
      <c r="VGG21" s="19"/>
      <c r="VGH21" s="19"/>
      <c r="VGI21" s="19"/>
      <c r="VGJ21" s="19"/>
      <c r="VGK21" s="19"/>
      <c r="VGL21" s="19"/>
      <c r="VGM21" s="19"/>
      <c r="VGN21" s="19"/>
      <c r="VGO21" s="19"/>
      <c r="VGP21" s="19"/>
      <c r="VGQ21" s="19"/>
      <c r="VGR21" s="19"/>
      <c r="VGS21" s="19"/>
      <c r="VGT21" s="19"/>
      <c r="VGU21" s="19"/>
      <c r="VGV21" s="19"/>
      <c r="VGW21" s="19"/>
      <c r="VGX21" s="19"/>
      <c r="VGY21" s="19"/>
      <c r="VGZ21" s="19"/>
      <c r="VHA21" s="19"/>
      <c r="VHB21" s="19"/>
      <c r="VHC21" s="19"/>
      <c r="VHD21" s="19"/>
      <c r="VHE21" s="19"/>
      <c r="VHF21" s="19"/>
      <c r="VHG21" s="19"/>
      <c r="VHH21" s="19"/>
      <c r="VHI21" s="19"/>
      <c r="VHJ21" s="19"/>
      <c r="VHK21" s="19"/>
      <c r="VHL21" s="19"/>
      <c r="VHM21" s="19"/>
      <c r="VHN21" s="19"/>
      <c r="VHO21" s="19"/>
      <c r="VHP21" s="19"/>
      <c r="VHQ21" s="19"/>
      <c r="VHR21" s="19"/>
      <c r="VHS21" s="19"/>
      <c r="VHT21" s="19"/>
      <c r="VHU21" s="19"/>
      <c r="VHV21" s="19"/>
      <c r="VHW21" s="19"/>
      <c r="VHX21" s="19"/>
      <c r="VHY21" s="19"/>
      <c r="VHZ21" s="19"/>
      <c r="VIA21" s="19"/>
      <c r="VIB21" s="19"/>
      <c r="VIC21" s="19"/>
      <c r="VID21" s="19"/>
      <c r="VIE21" s="19"/>
      <c r="VIF21" s="19"/>
      <c r="VIG21" s="19"/>
      <c r="VIH21" s="19"/>
      <c r="VII21" s="19"/>
      <c r="VIJ21" s="19"/>
      <c r="VIK21" s="19"/>
      <c r="VIL21" s="19"/>
      <c r="VIM21" s="19"/>
      <c r="VIN21" s="19"/>
      <c r="VIO21" s="19"/>
      <c r="VIP21" s="19"/>
      <c r="VIQ21" s="19"/>
      <c r="VIR21" s="19"/>
      <c r="VIS21" s="19"/>
      <c r="VIT21" s="19"/>
      <c r="VIU21" s="19"/>
      <c r="VIV21" s="19"/>
      <c r="VIW21" s="19"/>
      <c r="VIX21" s="19"/>
      <c r="VIY21" s="19"/>
      <c r="VIZ21" s="19"/>
      <c r="VJA21" s="19"/>
      <c r="VJB21" s="19"/>
      <c r="VJC21" s="19"/>
      <c r="VJD21" s="19"/>
      <c r="VJE21" s="19"/>
      <c r="VJF21" s="19"/>
      <c r="VJG21" s="19"/>
      <c r="VJH21" s="19"/>
      <c r="VJI21" s="19"/>
      <c r="VJJ21" s="19"/>
      <c r="VJK21" s="19"/>
      <c r="VJL21" s="19"/>
      <c r="VJM21" s="19"/>
      <c r="VJN21" s="19"/>
      <c r="VJO21" s="19"/>
      <c r="VJP21" s="19"/>
      <c r="VJQ21" s="19"/>
      <c r="VJR21" s="19"/>
      <c r="VJS21" s="19"/>
      <c r="VJT21" s="19"/>
      <c r="VJU21" s="19"/>
      <c r="VJV21" s="19"/>
      <c r="VJW21" s="19"/>
      <c r="VJX21" s="19"/>
      <c r="VJY21" s="19"/>
      <c r="VJZ21" s="19"/>
      <c r="VKA21" s="19"/>
      <c r="VKB21" s="19"/>
      <c r="VKC21" s="19"/>
      <c r="VKD21" s="19"/>
      <c r="VKE21" s="19"/>
      <c r="VKF21" s="19"/>
      <c r="VKG21" s="19"/>
      <c r="VKH21" s="19"/>
      <c r="VKI21" s="19"/>
      <c r="VKJ21" s="19"/>
      <c r="VKK21" s="19"/>
      <c r="VKL21" s="19"/>
      <c r="VKM21" s="19"/>
      <c r="VKN21" s="19"/>
      <c r="VKO21" s="19"/>
      <c r="VKP21" s="19"/>
      <c r="VKQ21" s="19"/>
      <c r="VKR21" s="19"/>
      <c r="VKS21" s="19"/>
      <c r="VKT21" s="19"/>
      <c r="VKU21" s="19"/>
      <c r="VKV21" s="19"/>
      <c r="VKW21" s="19"/>
      <c r="VKX21" s="19"/>
      <c r="VKY21" s="19"/>
      <c r="VKZ21" s="19"/>
      <c r="VLA21" s="19"/>
      <c r="VLB21" s="19"/>
      <c r="VLC21" s="19"/>
      <c r="VLD21" s="19"/>
      <c r="VLE21" s="19"/>
      <c r="VLF21" s="19"/>
      <c r="VLG21" s="19"/>
      <c r="VLH21" s="19"/>
      <c r="VLI21" s="19"/>
      <c r="VLJ21" s="19"/>
      <c r="VLK21" s="19"/>
      <c r="VLL21" s="19"/>
      <c r="VLM21" s="19"/>
      <c r="VLN21" s="19"/>
      <c r="VLO21" s="19"/>
      <c r="VLP21" s="19"/>
      <c r="VLQ21" s="19"/>
      <c r="VLR21" s="19"/>
      <c r="VLS21" s="19"/>
      <c r="VLT21" s="19"/>
      <c r="VLU21" s="19"/>
      <c r="VLV21" s="19"/>
      <c r="VLW21" s="19"/>
      <c r="VLX21" s="19"/>
      <c r="VLY21" s="19"/>
      <c r="VLZ21" s="19"/>
      <c r="VMA21" s="19"/>
      <c r="VMB21" s="19"/>
      <c r="VMC21" s="19"/>
      <c r="VMD21" s="19"/>
      <c r="VME21" s="19"/>
      <c r="VMF21" s="19"/>
      <c r="VMG21" s="19"/>
      <c r="VMH21" s="19"/>
      <c r="VMI21" s="19"/>
      <c r="VMJ21" s="19"/>
      <c r="VMK21" s="19"/>
      <c r="VML21" s="19"/>
      <c r="VMM21" s="19"/>
      <c r="VMN21" s="19"/>
      <c r="VMO21" s="19"/>
      <c r="VMP21" s="19"/>
      <c r="VMQ21" s="19"/>
      <c r="VMR21" s="19"/>
      <c r="VMS21" s="19"/>
      <c r="VMT21" s="19"/>
      <c r="VMU21" s="19"/>
      <c r="VMV21" s="19"/>
      <c r="VMW21" s="19"/>
      <c r="VMX21" s="19"/>
      <c r="VMY21" s="19"/>
      <c r="VMZ21" s="19"/>
      <c r="VNA21" s="19"/>
      <c r="VNB21" s="19"/>
      <c r="VNC21" s="19"/>
      <c r="VND21" s="19"/>
      <c r="VNE21" s="19"/>
      <c r="VNF21" s="19"/>
      <c r="VNG21" s="19"/>
      <c r="VNH21" s="19"/>
      <c r="VNI21" s="19"/>
      <c r="VNJ21" s="19"/>
      <c r="VNK21" s="19"/>
      <c r="VNL21" s="19"/>
      <c r="VNM21" s="19"/>
      <c r="VNN21" s="19"/>
      <c r="VNO21" s="19"/>
      <c r="VNP21" s="19"/>
      <c r="VNQ21" s="19"/>
      <c r="VNR21" s="19"/>
      <c r="VNS21" s="19"/>
      <c r="VNT21" s="19"/>
      <c r="VNU21" s="19"/>
      <c r="VNV21" s="19"/>
      <c r="VNW21" s="19"/>
      <c r="VNX21" s="19"/>
      <c r="VNY21" s="19"/>
      <c r="VNZ21" s="19"/>
      <c r="VOA21" s="19"/>
      <c r="VOB21" s="19"/>
      <c r="VOC21" s="19"/>
      <c r="VOD21" s="19"/>
      <c r="VOE21" s="19"/>
      <c r="VOF21" s="19"/>
      <c r="VOG21" s="19"/>
      <c r="VOH21" s="19"/>
      <c r="VOI21" s="19"/>
      <c r="VOJ21" s="19"/>
      <c r="VOK21" s="19"/>
      <c r="VOL21" s="19"/>
      <c r="VOM21" s="19"/>
      <c r="VON21" s="19"/>
      <c r="VOO21" s="19"/>
      <c r="VOP21" s="19"/>
      <c r="VOQ21" s="19"/>
      <c r="VOR21" s="19"/>
      <c r="VOS21" s="19"/>
      <c r="VOT21" s="19"/>
      <c r="VOU21" s="19"/>
      <c r="VOV21" s="19"/>
      <c r="VOW21" s="19"/>
      <c r="VOX21" s="19"/>
      <c r="VOY21" s="19"/>
      <c r="VOZ21" s="19"/>
      <c r="VPA21" s="19"/>
      <c r="VPB21" s="19"/>
      <c r="VPC21" s="19"/>
      <c r="VPD21" s="19"/>
      <c r="VPE21" s="19"/>
      <c r="VPF21" s="19"/>
      <c r="VPG21" s="19"/>
      <c r="VPH21" s="19"/>
      <c r="VPI21" s="19"/>
      <c r="VPJ21" s="19"/>
      <c r="VPK21" s="19"/>
      <c r="VPL21" s="19"/>
      <c r="VPM21" s="19"/>
      <c r="VPN21" s="19"/>
      <c r="VPO21" s="19"/>
      <c r="VPP21" s="19"/>
      <c r="VPQ21" s="19"/>
      <c r="VPR21" s="19"/>
      <c r="VPS21" s="19"/>
      <c r="VPT21" s="19"/>
      <c r="VPU21" s="19"/>
      <c r="VPV21" s="19"/>
      <c r="VPW21" s="19"/>
      <c r="VPX21" s="19"/>
      <c r="VPY21" s="19"/>
      <c r="VPZ21" s="19"/>
      <c r="VQA21" s="19"/>
      <c r="VQB21" s="19"/>
      <c r="VQC21" s="19"/>
      <c r="VQD21" s="19"/>
      <c r="VQE21" s="19"/>
      <c r="VQF21" s="19"/>
      <c r="VQG21" s="19"/>
      <c r="VQH21" s="19"/>
      <c r="VQI21" s="19"/>
      <c r="VQJ21" s="19"/>
      <c r="VQK21" s="19"/>
      <c r="VQL21" s="19"/>
      <c r="VQM21" s="19"/>
      <c r="VQN21" s="19"/>
      <c r="VQO21" s="19"/>
      <c r="VQP21" s="19"/>
      <c r="VQQ21" s="19"/>
      <c r="VQR21" s="19"/>
      <c r="VQS21" s="19"/>
      <c r="VQT21" s="19"/>
      <c r="VQU21" s="19"/>
      <c r="VQV21" s="19"/>
      <c r="VQW21" s="19"/>
      <c r="VQX21" s="19"/>
      <c r="VQY21" s="19"/>
      <c r="VQZ21" s="19"/>
      <c r="VRA21" s="19"/>
      <c r="VRB21" s="19"/>
      <c r="VRC21" s="19"/>
      <c r="VRD21" s="19"/>
      <c r="VRE21" s="19"/>
      <c r="VRF21" s="19"/>
      <c r="VRG21" s="19"/>
      <c r="VRH21" s="19"/>
      <c r="VRI21" s="19"/>
      <c r="VRJ21" s="19"/>
      <c r="VRK21" s="19"/>
      <c r="VRL21" s="19"/>
      <c r="VRM21" s="19"/>
      <c r="VRN21" s="19"/>
      <c r="VRO21" s="19"/>
      <c r="VRP21" s="19"/>
      <c r="VRQ21" s="19"/>
      <c r="VRR21" s="19"/>
      <c r="VRS21" s="19"/>
      <c r="VRT21" s="19"/>
      <c r="VRU21" s="19"/>
      <c r="VRV21" s="19"/>
      <c r="VRW21" s="19"/>
      <c r="VRX21" s="19"/>
      <c r="VRY21" s="19"/>
      <c r="VRZ21" s="19"/>
      <c r="VSA21" s="19"/>
      <c r="VSB21" s="19"/>
      <c r="VSC21" s="19"/>
      <c r="VSD21" s="19"/>
      <c r="VSE21" s="19"/>
      <c r="VSF21" s="19"/>
      <c r="VSG21" s="19"/>
      <c r="VSH21" s="19"/>
      <c r="VSI21" s="19"/>
      <c r="VSJ21" s="19"/>
      <c r="VSK21" s="19"/>
      <c r="VSL21" s="19"/>
      <c r="VSM21" s="19"/>
      <c r="VSN21" s="19"/>
      <c r="VSO21" s="19"/>
      <c r="VSP21" s="19"/>
      <c r="VSQ21" s="19"/>
      <c r="VSR21" s="19"/>
      <c r="VSS21" s="19"/>
      <c r="VST21" s="19"/>
      <c r="VSU21" s="19"/>
      <c r="VSV21" s="19"/>
      <c r="VSW21" s="19"/>
      <c r="VSX21" s="19"/>
      <c r="VSY21" s="19"/>
      <c r="VSZ21" s="19"/>
      <c r="VTA21" s="19"/>
      <c r="VTB21" s="19"/>
      <c r="VTC21" s="19"/>
      <c r="VTD21" s="19"/>
      <c r="VTE21" s="19"/>
      <c r="VTF21" s="19"/>
      <c r="VTG21" s="19"/>
      <c r="VTH21" s="19"/>
      <c r="VTI21" s="19"/>
      <c r="VTJ21" s="19"/>
      <c r="VTK21" s="19"/>
      <c r="VTL21" s="19"/>
      <c r="VTM21" s="19"/>
      <c r="VTN21" s="19"/>
      <c r="VTO21" s="19"/>
      <c r="VTP21" s="19"/>
      <c r="VTQ21" s="19"/>
      <c r="VTR21" s="19"/>
      <c r="VTS21" s="19"/>
      <c r="VTT21" s="19"/>
      <c r="VTU21" s="19"/>
      <c r="VTV21" s="19"/>
      <c r="VTW21" s="19"/>
      <c r="VTX21" s="19"/>
      <c r="VTY21" s="19"/>
      <c r="VTZ21" s="19"/>
      <c r="VUA21" s="19"/>
      <c r="VUB21" s="19"/>
      <c r="VUC21" s="19"/>
      <c r="VUD21" s="19"/>
      <c r="VUE21" s="19"/>
      <c r="VUF21" s="19"/>
      <c r="VUG21" s="19"/>
      <c r="VUH21" s="19"/>
      <c r="VUI21" s="19"/>
      <c r="VUJ21" s="19"/>
      <c r="VUK21" s="19"/>
      <c r="VUL21" s="19"/>
      <c r="VUM21" s="19"/>
      <c r="VUN21" s="19"/>
      <c r="VUO21" s="19"/>
      <c r="VUP21" s="19"/>
      <c r="VUQ21" s="19"/>
      <c r="VUR21" s="19"/>
      <c r="VUS21" s="19"/>
      <c r="VUT21" s="19"/>
      <c r="VUU21" s="19"/>
      <c r="VUV21" s="19"/>
      <c r="VUW21" s="19"/>
      <c r="VUX21" s="19"/>
      <c r="VUY21" s="19"/>
      <c r="VUZ21" s="19"/>
      <c r="VVA21" s="19"/>
      <c r="VVB21" s="19"/>
      <c r="VVC21" s="19"/>
      <c r="VVD21" s="19"/>
      <c r="VVE21" s="19"/>
      <c r="VVF21" s="19"/>
      <c r="VVG21" s="19"/>
      <c r="VVH21" s="19"/>
      <c r="VVI21" s="19"/>
      <c r="VVJ21" s="19"/>
      <c r="VVK21" s="19"/>
      <c r="VVL21" s="19"/>
      <c r="VVM21" s="19"/>
      <c r="VVN21" s="19"/>
      <c r="VVO21" s="19"/>
      <c r="VVP21" s="19"/>
      <c r="VVQ21" s="19"/>
      <c r="VVR21" s="19"/>
      <c r="VVS21" s="19"/>
      <c r="VVT21" s="19"/>
      <c r="VVU21" s="19"/>
      <c r="VVV21" s="19"/>
      <c r="VVW21" s="19"/>
      <c r="VVX21" s="19"/>
      <c r="VVY21" s="19"/>
      <c r="VVZ21" s="19"/>
      <c r="VWA21" s="19"/>
      <c r="VWB21" s="19"/>
      <c r="VWC21" s="19"/>
      <c r="VWD21" s="19"/>
      <c r="VWE21" s="19"/>
      <c r="VWF21" s="19"/>
      <c r="VWG21" s="19"/>
      <c r="VWH21" s="19"/>
      <c r="VWI21" s="19"/>
      <c r="VWJ21" s="19"/>
      <c r="VWK21" s="19"/>
      <c r="VWL21" s="19"/>
      <c r="VWM21" s="19"/>
      <c r="VWN21" s="19"/>
      <c r="VWO21" s="19"/>
      <c r="VWP21" s="19"/>
      <c r="VWQ21" s="19"/>
      <c r="VWR21" s="19"/>
      <c r="VWS21" s="19"/>
      <c r="VWT21" s="19"/>
      <c r="VWU21" s="19"/>
      <c r="VWV21" s="19"/>
      <c r="VWW21" s="19"/>
      <c r="VWX21" s="19"/>
      <c r="VWY21" s="19"/>
      <c r="VWZ21" s="19"/>
      <c r="VXA21" s="19"/>
      <c r="VXB21" s="19"/>
      <c r="VXC21" s="19"/>
      <c r="VXD21" s="19"/>
      <c r="VXE21" s="19"/>
      <c r="VXF21" s="19"/>
      <c r="VXG21" s="19"/>
      <c r="VXH21" s="19"/>
      <c r="VXI21" s="19"/>
      <c r="VXJ21" s="19"/>
      <c r="VXK21" s="19"/>
      <c r="VXL21" s="19"/>
      <c r="VXM21" s="19"/>
      <c r="VXN21" s="19"/>
      <c r="VXO21" s="19"/>
      <c r="VXP21" s="19"/>
      <c r="VXQ21" s="19"/>
      <c r="VXR21" s="19"/>
      <c r="VXS21" s="19"/>
      <c r="VXT21" s="19"/>
      <c r="VXU21" s="19"/>
      <c r="VXV21" s="19"/>
      <c r="VXW21" s="19"/>
      <c r="VXX21" s="19"/>
      <c r="VXY21" s="19"/>
      <c r="VXZ21" s="19"/>
      <c r="VYA21" s="19"/>
      <c r="VYB21" s="19"/>
      <c r="VYC21" s="19"/>
      <c r="VYD21" s="19"/>
      <c r="VYE21" s="19"/>
      <c r="VYF21" s="19"/>
      <c r="VYG21" s="19"/>
      <c r="VYH21" s="19"/>
      <c r="VYI21" s="19"/>
      <c r="VYJ21" s="19"/>
      <c r="VYK21" s="19"/>
      <c r="VYL21" s="19"/>
      <c r="VYM21" s="19"/>
      <c r="VYN21" s="19"/>
      <c r="VYO21" s="19"/>
      <c r="VYP21" s="19"/>
      <c r="VYQ21" s="19"/>
      <c r="VYR21" s="19"/>
      <c r="VYS21" s="19"/>
      <c r="VYT21" s="19"/>
      <c r="VYU21" s="19"/>
      <c r="VYV21" s="19"/>
      <c r="VYW21" s="19"/>
      <c r="VYX21" s="19"/>
      <c r="VYY21" s="19"/>
      <c r="VYZ21" s="19"/>
      <c r="VZA21" s="19"/>
      <c r="VZB21" s="19"/>
      <c r="VZC21" s="19"/>
      <c r="VZD21" s="19"/>
      <c r="VZE21" s="19"/>
      <c r="VZF21" s="19"/>
      <c r="VZG21" s="19"/>
      <c r="VZH21" s="19"/>
      <c r="VZI21" s="19"/>
      <c r="VZJ21" s="19"/>
      <c r="VZK21" s="19"/>
      <c r="VZL21" s="19"/>
      <c r="VZM21" s="19"/>
      <c r="VZN21" s="19"/>
      <c r="VZO21" s="19"/>
      <c r="VZP21" s="19"/>
      <c r="VZQ21" s="19"/>
      <c r="VZR21" s="19"/>
      <c r="VZS21" s="19"/>
      <c r="VZT21" s="19"/>
      <c r="VZU21" s="19"/>
      <c r="VZV21" s="19"/>
      <c r="VZW21" s="19"/>
      <c r="VZX21" s="19"/>
      <c r="VZY21" s="19"/>
      <c r="VZZ21" s="19"/>
      <c r="WAA21" s="19"/>
      <c r="WAB21" s="19"/>
      <c r="WAC21" s="19"/>
      <c r="WAD21" s="19"/>
      <c r="WAE21" s="19"/>
      <c r="WAF21" s="19"/>
      <c r="WAG21" s="19"/>
      <c r="WAH21" s="19"/>
      <c r="WAI21" s="19"/>
      <c r="WAJ21" s="19"/>
      <c r="WAK21" s="19"/>
      <c r="WAL21" s="19"/>
      <c r="WAM21" s="19"/>
      <c r="WAN21" s="19"/>
      <c r="WAO21" s="19"/>
      <c r="WAP21" s="19"/>
      <c r="WAQ21" s="19"/>
      <c r="WAR21" s="19"/>
      <c r="WAS21" s="19"/>
      <c r="WAT21" s="19"/>
      <c r="WAU21" s="19"/>
      <c r="WAV21" s="19"/>
      <c r="WAW21" s="19"/>
      <c r="WAX21" s="19"/>
      <c r="WAY21" s="19"/>
      <c r="WAZ21" s="19"/>
      <c r="WBA21" s="19"/>
      <c r="WBB21" s="19"/>
      <c r="WBC21" s="19"/>
      <c r="WBD21" s="19"/>
      <c r="WBE21" s="19"/>
      <c r="WBF21" s="19"/>
      <c r="WBG21" s="19"/>
      <c r="WBH21" s="19"/>
      <c r="WBI21" s="19"/>
      <c r="WBJ21" s="19"/>
      <c r="WBK21" s="19"/>
      <c r="WBL21" s="19"/>
      <c r="WBM21" s="19"/>
      <c r="WBN21" s="19"/>
      <c r="WBO21" s="19"/>
      <c r="WBP21" s="19"/>
      <c r="WBQ21" s="19"/>
      <c r="WBR21" s="19"/>
      <c r="WBS21" s="19"/>
      <c r="WBT21" s="19"/>
      <c r="WBU21" s="19"/>
      <c r="WBV21" s="19"/>
      <c r="WBW21" s="19"/>
      <c r="WBX21" s="19"/>
      <c r="WBY21" s="19"/>
      <c r="WBZ21" s="19"/>
      <c r="WCA21" s="19"/>
      <c r="WCB21" s="19"/>
      <c r="WCC21" s="19"/>
      <c r="WCD21" s="19"/>
      <c r="WCE21" s="19"/>
      <c r="WCF21" s="19"/>
      <c r="WCG21" s="19"/>
      <c r="WCH21" s="19"/>
      <c r="WCI21" s="19"/>
      <c r="WCJ21" s="19"/>
      <c r="WCK21" s="19"/>
      <c r="WCL21" s="19"/>
      <c r="WCM21" s="19"/>
      <c r="WCN21" s="19"/>
      <c r="WCO21" s="19"/>
      <c r="WCP21" s="19"/>
      <c r="WCQ21" s="19"/>
      <c r="WCR21" s="19"/>
      <c r="WCS21" s="19"/>
      <c r="WCT21" s="19"/>
      <c r="WCU21" s="19"/>
      <c r="WCV21" s="19"/>
      <c r="WCW21" s="19"/>
      <c r="WCX21" s="19"/>
      <c r="WCY21" s="19"/>
      <c r="WCZ21" s="19"/>
      <c r="WDA21" s="19"/>
      <c r="WDB21" s="19"/>
      <c r="WDC21" s="19"/>
      <c r="WDD21" s="19"/>
      <c r="WDE21" s="19"/>
      <c r="WDF21" s="19"/>
      <c r="WDG21" s="19"/>
      <c r="WDH21" s="19"/>
      <c r="WDI21" s="19"/>
      <c r="WDJ21" s="19"/>
      <c r="WDK21" s="19"/>
      <c r="WDL21" s="19"/>
      <c r="WDM21" s="19"/>
      <c r="WDN21" s="19"/>
      <c r="WDO21" s="19"/>
      <c r="WDP21" s="19"/>
      <c r="WDQ21" s="19"/>
      <c r="WDR21" s="19"/>
      <c r="WDS21" s="19"/>
      <c r="WDT21" s="19"/>
      <c r="WDU21" s="19"/>
      <c r="WDV21" s="19"/>
      <c r="WDW21" s="19"/>
      <c r="WDX21" s="19"/>
      <c r="WDY21" s="19"/>
      <c r="WDZ21" s="19"/>
      <c r="WEA21" s="19"/>
      <c r="WEB21" s="19"/>
      <c r="WEC21" s="19"/>
      <c r="WED21" s="19"/>
      <c r="WEE21" s="19"/>
      <c r="WEF21" s="19"/>
      <c r="WEG21" s="19"/>
      <c r="WEH21" s="19"/>
      <c r="WEI21" s="19"/>
      <c r="WEJ21" s="19"/>
      <c r="WEK21" s="19"/>
      <c r="WEL21" s="19"/>
      <c r="WEM21" s="19"/>
      <c r="WEN21" s="19"/>
      <c r="WEO21" s="19"/>
      <c r="WEP21" s="19"/>
      <c r="WEQ21" s="19"/>
      <c r="WER21" s="19"/>
      <c r="WES21" s="19"/>
      <c r="WET21" s="19"/>
      <c r="WEU21" s="19"/>
      <c r="WEV21" s="19"/>
      <c r="WEW21" s="19"/>
      <c r="WEX21" s="19"/>
      <c r="WEY21" s="19"/>
      <c r="WEZ21" s="19"/>
      <c r="WFA21" s="19"/>
      <c r="WFB21" s="19"/>
      <c r="WFC21" s="19"/>
      <c r="WFD21" s="19"/>
      <c r="WFE21" s="19"/>
      <c r="WFF21" s="19"/>
      <c r="WFG21" s="19"/>
      <c r="WFH21" s="19"/>
      <c r="WFI21" s="19"/>
      <c r="WFJ21" s="19"/>
      <c r="WFK21" s="19"/>
      <c r="WFL21" s="19"/>
      <c r="WFM21" s="19"/>
      <c r="WFN21" s="19"/>
      <c r="WFO21" s="19"/>
      <c r="WFP21" s="19"/>
      <c r="WFQ21" s="19"/>
      <c r="WFR21" s="19"/>
      <c r="WFS21" s="19"/>
      <c r="WFT21" s="19"/>
      <c r="WFU21" s="19"/>
      <c r="WFV21" s="19"/>
      <c r="WFW21" s="19"/>
      <c r="WFX21" s="19"/>
      <c r="WFY21" s="19"/>
      <c r="WFZ21" s="19"/>
      <c r="WGA21" s="19"/>
      <c r="WGB21" s="19"/>
      <c r="WGC21" s="19"/>
      <c r="WGD21" s="19"/>
      <c r="WGE21" s="19"/>
      <c r="WGF21" s="19"/>
      <c r="WGG21" s="19"/>
      <c r="WGH21" s="19"/>
      <c r="WGI21" s="19"/>
      <c r="WGJ21" s="19"/>
      <c r="WGK21" s="19"/>
      <c r="WGL21" s="19"/>
      <c r="WGM21" s="19"/>
      <c r="WGN21" s="19"/>
      <c r="WGO21" s="19"/>
      <c r="WGP21" s="19"/>
      <c r="WGQ21" s="19"/>
      <c r="WGR21" s="19"/>
      <c r="WGS21" s="19"/>
      <c r="WGT21" s="19"/>
      <c r="WGU21" s="19"/>
      <c r="WGV21" s="19"/>
      <c r="WGW21" s="19"/>
      <c r="WGX21" s="19"/>
      <c r="WGY21" s="19"/>
      <c r="WGZ21" s="19"/>
      <c r="WHA21" s="19"/>
      <c r="WHB21" s="19"/>
      <c r="WHC21" s="19"/>
      <c r="WHD21" s="19"/>
      <c r="WHE21" s="19"/>
      <c r="WHF21" s="19"/>
      <c r="WHG21" s="19"/>
      <c r="WHH21" s="19"/>
      <c r="WHI21" s="19"/>
      <c r="WHJ21" s="19"/>
      <c r="WHK21" s="19"/>
      <c r="WHL21" s="19"/>
      <c r="WHM21" s="19"/>
      <c r="WHN21" s="19"/>
      <c r="WHO21" s="19"/>
      <c r="WHP21" s="19"/>
      <c r="WHQ21" s="19"/>
      <c r="WHR21" s="19"/>
      <c r="WHS21" s="19"/>
      <c r="WHT21" s="19"/>
      <c r="WHU21" s="19"/>
      <c r="WHV21" s="19"/>
      <c r="WHW21" s="19"/>
      <c r="WHX21" s="19"/>
      <c r="WHY21" s="19"/>
      <c r="WHZ21" s="19"/>
      <c r="WIA21" s="19"/>
      <c r="WIB21" s="19"/>
      <c r="WIC21" s="19"/>
      <c r="WID21" s="19"/>
      <c r="WIE21" s="19"/>
      <c r="WIF21" s="19"/>
      <c r="WIG21" s="19"/>
      <c r="WIH21" s="19"/>
      <c r="WII21" s="19"/>
      <c r="WIJ21" s="19"/>
      <c r="WIK21" s="19"/>
      <c r="WIL21" s="19"/>
      <c r="WIM21" s="19"/>
      <c r="WIN21" s="19"/>
      <c r="WIO21" s="19"/>
      <c r="WIP21" s="19"/>
      <c r="WIQ21" s="19"/>
      <c r="WIR21" s="19"/>
      <c r="WIS21" s="19"/>
      <c r="WIT21" s="19"/>
      <c r="WIU21" s="19"/>
      <c r="WIV21" s="19"/>
      <c r="WIW21" s="19"/>
      <c r="WIX21" s="19"/>
      <c r="WIY21" s="19"/>
      <c r="WIZ21" s="19"/>
      <c r="WJA21" s="19"/>
      <c r="WJB21" s="19"/>
      <c r="WJC21" s="19"/>
      <c r="WJD21" s="19"/>
      <c r="WJE21" s="19"/>
      <c r="WJF21" s="19"/>
      <c r="WJG21" s="19"/>
      <c r="WJH21" s="19"/>
      <c r="WJI21" s="19"/>
      <c r="WJJ21" s="19"/>
      <c r="WJK21" s="19"/>
      <c r="WJL21" s="19"/>
      <c r="WJM21" s="19"/>
      <c r="WJN21" s="19"/>
      <c r="WJO21" s="19"/>
      <c r="WJP21" s="19"/>
      <c r="WJQ21" s="19"/>
      <c r="WJR21" s="19"/>
      <c r="WJS21" s="19"/>
      <c r="WJT21" s="19"/>
      <c r="WJU21" s="19"/>
      <c r="WJV21" s="19"/>
      <c r="WJW21" s="19"/>
      <c r="WJX21" s="19"/>
      <c r="WJY21" s="19"/>
      <c r="WJZ21" s="19"/>
      <c r="WKA21" s="19"/>
      <c r="WKB21" s="19"/>
      <c r="WKC21" s="19"/>
      <c r="WKD21" s="19"/>
      <c r="WKE21" s="19"/>
      <c r="WKF21" s="19"/>
      <c r="WKG21" s="19"/>
      <c r="WKH21" s="19"/>
      <c r="WKI21" s="19"/>
      <c r="WKJ21" s="19"/>
      <c r="WKK21" s="19"/>
      <c r="WKL21" s="19"/>
      <c r="WKM21" s="19"/>
      <c r="WKN21" s="19"/>
      <c r="WKO21" s="19"/>
      <c r="WKP21" s="19"/>
      <c r="WKQ21" s="19"/>
      <c r="WKR21" s="19"/>
      <c r="WKS21" s="19"/>
      <c r="WKT21" s="19"/>
      <c r="WKU21" s="19"/>
      <c r="WKV21" s="19"/>
      <c r="WKW21" s="19"/>
      <c r="WKX21" s="19"/>
      <c r="WKY21" s="19"/>
      <c r="WKZ21" s="19"/>
      <c r="WLA21" s="19"/>
      <c r="WLB21" s="19"/>
      <c r="WLC21" s="19"/>
      <c r="WLD21" s="19"/>
      <c r="WLE21" s="19"/>
      <c r="WLF21" s="19"/>
      <c r="WLG21" s="19"/>
      <c r="WLH21" s="19"/>
      <c r="WLI21" s="19"/>
      <c r="WLJ21" s="19"/>
      <c r="WLK21" s="19"/>
      <c r="WLL21" s="19"/>
      <c r="WLM21" s="19"/>
      <c r="WLN21" s="19"/>
      <c r="WLO21" s="19"/>
      <c r="WLP21" s="19"/>
      <c r="WLQ21" s="19"/>
      <c r="WLR21" s="19"/>
      <c r="WLS21" s="19"/>
      <c r="WLT21" s="19"/>
      <c r="WLU21" s="19"/>
      <c r="WLV21" s="19"/>
      <c r="WLW21" s="19"/>
      <c r="WLX21" s="19"/>
      <c r="WLY21" s="19"/>
      <c r="WLZ21" s="19"/>
      <c r="WMA21" s="19"/>
      <c r="WMB21" s="19"/>
      <c r="WMC21" s="19"/>
      <c r="WMD21" s="19"/>
      <c r="WME21" s="19"/>
      <c r="WMF21" s="19"/>
      <c r="WMG21" s="19"/>
      <c r="WMH21" s="19"/>
      <c r="WMI21" s="19"/>
      <c r="WMJ21" s="19"/>
      <c r="WMK21" s="19"/>
      <c r="WML21" s="19"/>
      <c r="WMM21" s="19"/>
      <c r="WMN21" s="19"/>
      <c r="WMO21" s="19"/>
      <c r="WMP21" s="19"/>
      <c r="WMQ21" s="19"/>
      <c r="WMR21" s="19"/>
      <c r="WMS21" s="19"/>
      <c r="WMT21" s="19"/>
      <c r="WMU21" s="19"/>
      <c r="WMV21" s="19"/>
      <c r="WMW21" s="19"/>
      <c r="WMX21" s="19"/>
      <c r="WMY21" s="19"/>
      <c r="WMZ21" s="19"/>
      <c r="WNA21" s="19"/>
      <c r="WNB21" s="19"/>
      <c r="WNC21" s="19"/>
      <c r="WND21" s="19"/>
      <c r="WNE21" s="19"/>
      <c r="WNF21" s="19"/>
      <c r="WNG21" s="19"/>
      <c r="WNH21" s="19"/>
      <c r="WNI21" s="19"/>
      <c r="WNJ21" s="19"/>
      <c r="WNK21" s="19"/>
      <c r="WNL21" s="19"/>
      <c r="WNM21" s="19"/>
      <c r="WNN21" s="19"/>
      <c r="WNO21" s="19"/>
      <c r="WNP21" s="19"/>
      <c r="WNQ21" s="19"/>
      <c r="WNR21" s="19"/>
      <c r="WNS21" s="19"/>
      <c r="WNT21" s="19"/>
      <c r="WNU21" s="19"/>
      <c r="WNV21" s="19"/>
      <c r="WNW21" s="19"/>
      <c r="WNX21" s="19"/>
      <c r="WNY21" s="19"/>
      <c r="WNZ21" s="19"/>
      <c r="WOA21" s="19"/>
      <c r="WOB21" s="19"/>
      <c r="WOC21" s="19"/>
      <c r="WOD21" s="19"/>
      <c r="WOE21" s="19"/>
      <c r="WOF21" s="19"/>
      <c r="WOG21" s="19"/>
      <c r="WOH21" s="19"/>
      <c r="WOI21" s="19"/>
      <c r="WOJ21" s="19"/>
      <c r="WOK21" s="19"/>
      <c r="WOL21" s="19"/>
      <c r="WOM21" s="19"/>
      <c r="WON21" s="19"/>
      <c r="WOO21" s="19"/>
      <c r="WOP21" s="19"/>
      <c r="WOQ21" s="19"/>
      <c r="WOR21" s="19"/>
      <c r="WOS21" s="19"/>
      <c r="WOT21" s="19"/>
      <c r="WOU21" s="19"/>
      <c r="WOV21" s="19"/>
      <c r="WOW21" s="19"/>
      <c r="WOX21" s="19"/>
      <c r="WOY21" s="19"/>
      <c r="WOZ21" s="19"/>
      <c r="WPA21" s="19"/>
      <c r="WPB21" s="19"/>
      <c r="WPC21" s="19"/>
      <c r="WPD21" s="19"/>
      <c r="WPE21" s="19"/>
      <c r="WPF21" s="19"/>
      <c r="WPG21" s="19"/>
      <c r="WPH21" s="19"/>
      <c r="WPI21" s="19"/>
      <c r="WPJ21" s="19"/>
      <c r="WPK21" s="19"/>
      <c r="WPL21" s="19"/>
      <c r="WPM21" s="19"/>
      <c r="WPN21" s="19"/>
      <c r="WPO21" s="19"/>
      <c r="WPP21" s="19"/>
      <c r="WPQ21" s="19"/>
      <c r="WPR21" s="19"/>
      <c r="WPS21" s="19"/>
      <c r="WPT21" s="19"/>
      <c r="WPU21" s="19"/>
      <c r="WPV21" s="19"/>
      <c r="WPW21" s="19"/>
      <c r="WPX21" s="19"/>
      <c r="WPY21" s="19"/>
      <c r="WPZ21" s="19"/>
      <c r="WQA21" s="19"/>
      <c r="WQB21" s="19"/>
      <c r="WQC21" s="19"/>
      <c r="WQD21" s="19"/>
      <c r="WQE21" s="19"/>
      <c r="WQF21" s="19"/>
      <c r="WQG21" s="19"/>
      <c r="WQH21" s="19"/>
      <c r="WQI21" s="19"/>
      <c r="WQJ21" s="19"/>
      <c r="WQK21" s="19"/>
      <c r="WQL21" s="19"/>
      <c r="WQM21" s="19"/>
      <c r="WQN21" s="19"/>
      <c r="WQO21" s="19"/>
      <c r="WQP21" s="19"/>
      <c r="WQQ21" s="19"/>
      <c r="WQR21" s="19"/>
      <c r="WQS21" s="19"/>
      <c r="WQT21" s="19"/>
      <c r="WQU21" s="19"/>
      <c r="WQV21" s="19"/>
      <c r="WQW21" s="19"/>
      <c r="WQX21" s="19"/>
      <c r="WQY21" s="19"/>
      <c r="WQZ21" s="19"/>
      <c r="WRA21" s="19"/>
      <c r="WRB21" s="19"/>
      <c r="WRC21" s="19"/>
      <c r="WRD21" s="19"/>
      <c r="WRE21" s="19"/>
      <c r="WRF21" s="19"/>
      <c r="WRG21" s="19"/>
      <c r="WRH21" s="19"/>
      <c r="WRI21" s="19"/>
      <c r="WRJ21" s="19"/>
      <c r="WRK21" s="19"/>
      <c r="WRL21" s="19"/>
      <c r="WRM21" s="19"/>
      <c r="WRN21" s="19"/>
      <c r="WRO21" s="19"/>
      <c r="WRP21" s="19"/>
      <c r="WRQ21" s="19"/>
      <c r="WRR21" s="19"/>
      <c r="WRS21" s="19"/>
      <c r="WRT21" s="19"/>
      <c r="WRU21" s="19"/>
      <c r="WRV21" s="19"/>
      <c r="WRW21" s="19"/>
      <c r="WRX21" s="19"/>
      <c r="WRY21" s="19"/>
      <c r="WRZ21" s="19"/>
      <c r="WSA21" s="19"/>
      <c r="WSB21" s="19"/>
      <c r="WSC21" s="19"/>
      <c r="WSD21" s="19"/>
      <c r="WSE21" s="19"/>
      <c r="WSF21" s="19"/>
      <c r="WSG21" s="19"/>
      <c r="WSH21" s="19"/>
      <c r="WSI21" s="19"/>
      <c r="WSJ21" s="19"/>
      <c r="WSK21" s="19"/>
      <c r="WSL21" s="19"/>
      <c r="WSM21" s="19"/>
      <c r="WSN21" s="19"/>
      <c r="WSO21" s="19"/>
      <c r="WSP21" s="19"/>
      <c r="WSQ21" s="19"/>
      <c r="WSR21" s="19"/>
      <c r="WSS21" s="19"/>
      <c r="WST21" s="19"/>
      <c r="WSU21" s="19"/>
      <c r="WSV21" s="19"/>
      <c r="WSW21" s="19"/>
      <c r="WSX21" s="19"/>
      <c r="WSY21" s="19"/>
      <c r="WSZ21" s="19"/>
      <c r="WTA21" s="19"/>
      <c r="WTB21" s="19"/>
      <c r="WTC21" s="19"/>
      <c r="WTD21" s="19"/>
      <c r="WTE21" s="19"/>
      <c r="WTF21" s="19"/>
      <c r="WTG21" s="19"/>
      <c r="WTH21" s="19"/>
      <c r="WTI21" s="19"/>
      <c r="WTJ21" s="19"/>
      <c r="WTK21" s="19"/>
      <c r="WTL21" s="19"/>
      <c r="WTM21" s="19"/>
      <c r="WTN21" s="19"/>
      <c r="WTO21" s="19"/>
      <c r="WTP21" s="19"/>
      <c r="WTQ21" s="19"/>
      <c r="WTR21" s="19"/>
      <c r="WTS21" s="19"/>
      <c r="WTT21" s="19"/>
      <c r="WTU21" s="19"/>
      <c r="WTV21" s="19"/>
      <c r="WTW21" s="19"/>
      <c r="WTX21" s="19"/>
      <c r="WTY21" s="19"/>
      <c r="WTZ21" s="19"/>
      <c r="WUA21" s="19"/>
      <c r="WUB21" s="19"/>
      <c r="WUC21" s="19"/>
      <c r="WUD21" s="19"/>
      <c r="WUE21" s="19"/>
      <c r="WUF21" s="19"/>
      <c r="WUG21" s="19"/>
      <c r="WUH21" s="19"/>
      <c r="WUI21" s="19"/>
      <c r="WUJ21" s="19"/>
      <c r="WUK21" s="19"/>
      <c r="WUL21" s="19"/>
      <c r="WUM21" s="19"/>
      <c r="WUN21" s="19"/>
      <c r="WUO21" s="19"/>
      <c r="WUP21" s="19"/>
      <c r="WUQ21" s="19"/>
      <c r="WUR21" s="19"/>
      <c r="WUS21" s="19"/>
      <c r="WUT21" s="19"/>
      <c r="WUU21" s="19"/>
      <c r="WUV21" s="19"/>
      <c r="WUW21" s="19"/>
      <c r="WUX21" s="19"/>
      <c r="WUY21" s="19"/>
      <c r="WUZ21" s="19"/>
      <c r="WVA21" s="19"/>
      <c r="WVB21" s="19"/>
      <c r="WVC21" s="19"/>
      <c r="WVD21" s="19"/>
      <c r="WVE21" s="19"/>
      <c r="WVF21" s="19"/>
      <c r="WVG21" s="19"/>
      <c r="WVH21" s="19"/>
      <c r="WVI21" s="19"/>
      <c r="WVJ21" s="19"/>
      <c r="WVK21" s="19"/>
      <c r="WVL21" s="19"/>
      <c r="WVM21" s="19"/>
      <c r="WVN21" s="19"/>
      <c r="WVO21" s="19"/>
      <c r="WVP21" s="19"/>
      <c r="WVQ21" s="19"/>
      <c r="WVR21" s="19"/>
      <c r="WVS21" s="19"/>
      <c r="WVT21" s="19"/>
      <c r="WVU21" s="19"/>
      <c r="WVV21" s="19"/>
      <c r="WVW21" s="19"/>
      <c r="WVX21" s="19"/>
      <c r="WVY21" s="19"/>
      <c r="WVZ21" s="19"/>
      <c r="WWA21" s="19"/>
      <c r="WWB21" s="19"/>
      <c r="WWC21" s="19"/>
      <c r="WWD21" s="19"/>
      <c r="WWE21" s="19"/>
      <c r="WWF21" s="19"/>
      <c r="WWG21" s="19"/>
      <c r="WWH21" s="19"/>
      <c r="WWI21" s="19"/>
      <c r="WWJ21" s="19"/>
      <c r="WWK21" s="19"/>
      <c r="WWL21" s="19"/>
      <c r="WWM21" s="19"/>
      <c r="WWN21" s="19"/>
      <c r="WWO21" s="19"/>
      <c r="WWP21" s="19"/>
      <c r="WWQ21" s="19"/>
      <c r="WWR21" s="19"/>
      <c r="WWS21" s="19"/>
      <c r="WWT21" s="19"/>
      <c r="WWU21" s="19"/>
      <c r="WWV21" s="19"/>
      <c r="WWW21" s="19"/>
      <c r="WWX21" s="19"/>
      <c r="WWY21" s="19"/>
      <c r="WWZ21" s="19"/>
      <c r="WXA21" s="19"/>
      <c r="WXB21" s="19"/>
      <c r="WXC21" s="19"/>
      <c r="WXD21" s="19"/>
      <c r="WXE21" s="19"/>
      <c r="WXF21" s="19"/>
      <c r="WXG21" s="19"/>
      <c r="WXH21" s="19"/>
      <c r="WXI21" s="19"/>
      <c r="WXJ21" s="19"/>
      <c r="WXK21" s="19"/>
      <c r="WXL21" s="19"/>
      <c r="WXM21" s="19"/>
      <c r="WXN21" s="19"/>
      <c r="WXO21" s="19"/>
      <c r="WXP21" s="19"/>
      <c r="WXQ21" s="19"/>
      <c r="WXR21" s="19"/>
      <c r="WXS21" s="19"/>
      <c r="WXT21" s="19"/>
      <c r="WXU21" s="19"/>
      <c r="WXV21" s="19"/>
      <c r="WXW21" s="19"/>
      <c r="WXX21" s="19"/>
      <c r="WXY21" s="19"/>
      <c r="WXZ21" s="19"/>
      <c r="WYA21" s="19"/>
      <c r="WYB21" s="19"/>
      <c r="WYC21" s="19"/>
      <c r="WYD21" s="19"/>
      <c r="WYE21" s="19"/>
      <c r="WYF21" s="19"/>
      <c r="WYG21" s="19"/>
      <c r="WYH21" s="19"/>
      <c r="WYI21" s="19"/>
      <c r="WYJ21" s="19"/>
      <c r="WYK21" s="19"/>
      <c r="WYL21" s="19"/>
      <c r="WYM21" s="19"/>
      <c r="WYN21" s="19"/>
      <c r="WYO21" s="19"/>
      <c r="WYP21" s="19"/>
      <c r="WYQ21" s="19"/>
      <c r="WYR21" s="19"/>
      <c r="WYS21" s="19"/>
      <c r="WYT21" s="19"/>
      <c r="WYU21" s="19"/>
      <c r="WYV21" s="19"/>
      <c r="WYW21" s="19"/>
      <c r="WYX21" s="19"/>
      <c r="WYY21" s="19"/>
      <c r="WYZ21" s="19"/>
      <c r="WZA21" s="19"/>
      <c r="WZB21" s="19"/>
      <c r="WZC21" s="19"/>
      <c r="WZD21" s="19"/>
      <c r="WZE21" s="19"/>
      <c r="WZF21" s="19"/>
      <c r="WZG21" s="19"/>
      <c r="WZH21" s="19"/>
      <c r="WZI21" s="19"/>
      <c r="WZJ21" s="19"/>
      <c r="WZK21" s="19"/>
      <c r="WZL21" s="19"/>
      <c r="WZM21" s="19"/>
      <c r="WZN21" s="19"/>
      <c r="WZO21" s="19"/>
      <c r="WZP21" s="19"/>
      <c r="WZQ21" s="19"/>
      <c r="WZR21" s="19"/>
      <c r="WZS21" s="19"/>
      <c r="WZT21" s="19"/>
      <c r="WZU21" s="19"/>
      <c r="WZV21" s="19"/>
      <c r="WZW21" s="19"/>
      <c r="WZX21" s="19"/>
      <c r="WZY21" s="19"/>
      <c r="WZZ21" s="19"/>
      <c r="XAA21" s="19"/>
      <c r="XAB21" s="19"/>
      <c r="XAC21" s="19"/>
      <c r="XAD21" s="19"/>
      <c r="XAE21" s="19"/>
      <c r="XAF21" s="19"/>
      <c r="XAG21" s="19"/>
      <c r="XAH21" s="19"/>
      <c r="XAI21" s="19"/>
      <c r="XAJ21" s="19"/>
      <c r="XAK21" s="19"/>
      <c r="XAL21" s="19"/>
      <c r="XAM21" s="19"/>
      <c r="XAN21" s="19"/>
      <c r="XAO21" s="19"/>
      <c r="XAP21" s="19"/>
      <c r="XAQ21" s="19"/>
      <c r="XAR21" s="19"/>
      <c r="XAS21" s="19"/>
      <c r="XAT21" s="19"/>
      <c r="XAU21" s="19"/>
      <c r="XAV21" s="19"/>
      <c r="XAW21" s="19"/>
      <c r="XAX21" s="19"/>
      <c r="XAY21" s="19"/>
      <c r="XAZ21" s="19"/>
      <c r="XBA21" s="19"/>
      <c r="XBB21" s="19"/>
      <c r="XBC21" s="19"/>
      <c r="XBD21" s="19"/>
      <c r="XBE21" s="19"/>
      <c r="XBF21" s="19"/>
      <c r="XBG21" s="19"/>
      <c r="XBH21" s="19"/>
      <c r="XBI21" s="19"/>
      <c r="XBJ21" s="19"/>
      <c r="XBK21" s="19"/>
      <c r="XBL21" s="19"/>
      <c r="XBM21" s="19"/>
      <c r="XBN21" s="19"/>
      <c r="XBO21" s="19"/>
      <c r="XBP21" s="19"/>
      <c r="XBQ21" s="19"/>
      <c r="XBR21" s="19"/>
      <c r="XBS21" s="19"/>
      <c r="XBT21" s="19"/>
      <c r="XBU21" s="19"/>
      <c r="XBV21" s="19"/>
      <c r="XBW21" s="19"/>
      <c r="XBX21" s="19"/>
      <c r="XBY21" s="19"/>
      <c r="XBZ21" s="19"/>
      <c r="XCA21" s="19"/>
      <c r="XCB21" s="19"/>
      <c r="XCC21" s="19"/>
      <c r="XCD21" s="19"/>
      <c r="XCE21" s="19"/>
      <c r="XCF21" s="19"/>
      <c r="XCG21" s="19"/>
      <c r="XCH21" s="19"/>
      <c r="XCI21" s="19"/>
      <c r="XCJ21" s="19"/>
      <c r="XCK21" s="19"/>
      <c r="XCL21" s="19"/>
      <c r="XCM21" s="19"/>
      <c r="XCN21" s="19"/>
      <c r="XCO21" s="19"/>
      <c r="XCP21" s="19"/>
      <c r="XCQ21" s="19"/>
      <c r="XCR21" s="19"/>
      <c r="XCS21" s="19"/>
      <c r="XCT21" s="19"/>
      <c r="XCU21" s="19"/>
      <c r="XCV21" s="19"/>
      <c r="XCW21" s="19"/>
      <c r="XCX21" s="19"/>
      <c r="XCY21" s="19"/>
      <c r="XCZ21" s="19"/>
      <c r="XDA21" s="19"/>
      <c r="XDB21" s="19"/>
      <c r="XDC21" s="19"/>
      <c r="XDD21" s="19"/>
      <c r="XDE21" s="19"/>
      <c r="XDF21" s="19"/>
      <c r="XDG21" s="19"/>
      <c r="XDH21" s="19"/>
      <c r="XDI21" s="19"/>
      <c r="XDJ21" s="19"/>
      <c r="XDK21" s="19"/>
      <c r="XDL21" s="19"/>
      <c r="XDM21" s="19"/>
      <c r="XDN21" s="19"/>
      <c r="XDO21" s="19"/>
      <c r="XDP21" s="19"/>
      <c r="XDQ21" s="19"/>
      <c r="XDR21" s="19"/>
      <c r="XDS21" s="19"/>
      <c r="XDT21" s="19"/>
      <c r="XDU21" s="19"/>
      <c r="XDV21" s="19"/>
      <c r="XDW21" s="19"/>
      <c r="XDX21" s="19"/>
      <c r="XDY21" s="19"/>
      <c r="XDZ21" s="19"/>
      <c r="XEA21" s="19"/>
      <c r="XEB21" s="19"/>
      <c r="XEC21" s="19"/>
      <c r="XED21" s="19"/>
      <c r="XEE21" s="19"/>
      <c r="XEF21" s="19"/>
      <c r="XEG21" s="19"/>
      <c r="XEH21" s="19"/>
      <c r="XEI21" s="19"/>
      <c r="XEJ21" s="19"/>
      <c r="XEK21" s="19"/>
      <c r="XEL21" s="19"/>
      <c r="XEM21" s="19"/>
      <c r="XEN21" s="19"/>
      <c r="XEO21" s="19"/>
      <c r="XEP21" s="19"/>
      <c r="XEQ21" s="19"/>
      <c r="XER21" s="19"/>
      <c r="XES21" s="19"/>
      <c r="XET21" s="19"/>
      <c r="XEU21" s="19"/>
      <c r="XEV21" s="19"/>
      <c r="XEW21" s="19"/>
      <c r="XEX21" s="19"/>
      <c r="XEY21" s="19"/>
      <c r="XEZ21" s="19"/>
      <c r="XFA21" s="19"/>
      <c r="XFB21" s="19"/>
    </row>
    <row r="22" spans="1:16382" s="18" customFormat="1" ht="15" customHeight="1" x14ac:dyDescent="0.25"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  <c r="AAB22" s="19"/>
      <c r="AAC22" s="19"/>
      <c r="AAD22" s="19"/>
      <c r="AAE22" s="19"/>
      <c r="AAF22" s="19"/>
      <c r="AAG22" s="19"/>
      <c r="AAH22" s="19"/>
      <c r="AAI22" s="19"/>
      <c r="AAJ22" s="19"/>
      <c r="AAK22" s="19"/>
      <c r="AAL22" s="19"/>
      <c r="AAM22" s="19"/>
      <c r="AAN22" s="19"/>
      <c r="AAO22" s="19"/>
      <c r="AAP22" s="19"/>
      <c r="AAQ22" s="19"/>
      <c r="AAR22" s="19"/>
      <c r="AAS22" s="19"/>
      <c r="AAT22" s="19"/>
      <c r="AAU22" s="19"/>
      <c r="AAV22" s="19"/>
      <c r="AAW22" s="19"/>
      <c r="AAX22" s="19"/>
      <c r="AAY22" s="19"/>
      <c r="AAZ22" s="19"/>
      <c r="ABA22" s="19"/>
      <c r="ABB22" s="19"/>
      <c r="ABC22" s="19"/>
      <c r="ABD22" s="19"/>
      <c r="ABE22" s="19"/>
      <c r="ABF22" s="19"/>
      <c r="ABG22" s="19"/>
      <c r="ABH22" s="19"/>
      <c r="ABI22" s="19"/>
      <c r="ABJ22" s="19"/>
      <c r="ABK22" s="19"/>
      <c r="ABL22" s="19"/>
      <c r="ABM22" s="19"/>
      <c r="ABN22" s="19"/>
      <c r="ABO22" s="19"/>
      <c r="ABP22" s="19"/>
      <c r="ABQ22" s="19"/>
      <c r="ABR22" s="19"/>
      <c r="ABS22" s="19"/>
      <c r="ABT22" s="19"/>
      <c r="ABU22" s="19"/>
      <c r="ABV22" s="19"/>
      <c r="ABW22" s="19"/>
      <c r="ABX22" s="19"/>
      <c r="ABY22" s="19"/>
      <c r="ABZ22" s="19"/>
      <c r="ACA22" s="19"/>
      <c r="ACB22" s="19"/>
      <c r="ACC22" s="19"/>
      <c r="ACD22" s="19"/>
      <c r="ACE22" s="19"/>
      <c r="ACF22" s="19"/>
      <c r="ACG22" s="19"/>
      <c r="ACH22" s="19"/>
      <c r="ACI22" s="19"/>
      <c r="ACJ22" s="19"/>
      <c r="ACK22" s="19"/>
      <c r="ACL22" s="19"/>
      <c r="ACM22" s="19"/>
      <c r="ACN22" s="19"/>
      <c r="ACO22" s="19"/>
      <c r="ACP22" s="19"/>
      <c r="ACQ22" s="19"/>
      <c r="ACR22" s="19"/>
      <c r="ACS22" s="19"/>
      <c r="ACT22" s="19"/>
      <c r="ACU22" s="19"/>
      <c r="ACV22" s="19"/>
      <c r="ACW22" s="19"/>
      <c r="ACX22" s="19"/>
      <c r="ACY22" s="19"/>
      <c r="ACZ22" s="19"/>
      <c r="ADA22" s="19"/>
      <c r="ADB22" s="19"/>
      <c r="ADC22" s="19"/>
      <c r="ADD22" s="19"/>
      <c r="ADE22" s="19"/>
      <c r="ADF22" s="19"/>
      <c r="ADG22" s="19"/>
      <c r="ADH22" s="19"/>
      <c r="ADI22" s="19"/>
      <c r="ADJ22" s="19"/>
      <c r="ADK22" s="19"/>
      <c r="ADL22" s="19"/>
      <c r="ADM22" s="19"/>
      <c r="ADN22" s="19"/>
      <c r="ADO22" s="19"/>
      <c r="ADP22" s="19"/>
      <c r="ADQ22" s="19"/>
      <c r="ADR22" s="19"/>
      <c r="ADS22" s="19"/>
      <c r="ADT22" s="19"/>
      <c r="ADU22" s="19"/>
      <c r="ADV22" s="19"/>
      <c r="ADW22" s="19"/>
      <c r="ADX22" s="19"/>
      <c r="ADY22" s="19"/>
      <c r="ADZ22" s="19"/>
      <c r="AEA22" s="19"/>
      <c r="AEB22" s="19"/>
      <c r="AEC22" s="19"/>
      <c r="AED22" s="19"/>
      <c r="AEE22" s="19"/>
      <c r="AEF22" s="19"/>
      <c r="AEG22" s="19"/>
      <c r="AEH22" s="19"/>
      <c r="AEI22" s="19"/>
      <c r="AEJ22" s="19"/>
      <c r="AEK22" s="19"/>
      <c r="AEL22" s="19"/>
      <c r="AEM22" s="19"/>
      <c r="AEN22" s="19"/>
      <c r="AEO22" s="19"/>
      <c r="AEP22" s="19"/>
      <c r="AEQ22" s="19"/>
      <c r="AER22" s="19"/>
      <c r="AES22" s="19"/>
      <c r="AET22" s="19"/>
      <c r="AEU22" s="19"/>
      <c r="AEV22" s="19"/>
      <c r="AEW22" s="19"/>
      <c r="AEX22" s="19"/>
      <c r="AEY22" s="19"/>
      <c r="AEZ22" s="19"/>
      <c r="AFA22" s="19"/>
      <c r="AFB22" s="19"/>
      <c r="AFC22" s="19"/>
      <c r="AFD22" s="19"/>
      <c r="AFE22" s="19"/>
      <c r="AFF22" s="19"/>
      <c r="AFG22" s="19"/>
      <c r="AFH22" s="19"/>
      <c r="AFI22" s="19"/>
      <c r="AFJ22" s="19"/>
      <c r="AFK22" s="19"/>
      <c r="AFL22" s="19"/>
      <c r="AFM22" s="19"/>
      <c r="AFN22" s="19"/>
      <c r="AFO22" s="19"/>
      <c r="AFP22" s="19"/>
      <c r="AFQ22" s="19"/>
      <c r="AFR22" s="19"/>
      <c r="AFS22" s="19"/>
      <c r="AFT22" s="19"/>
      <c r="AFU22" s="19"/>
      <c r="AFV22" s="19"/>
      <c r="AFW22" s="19"/>
      <c r="AFX22" s="19"/>
      <c r="AFY22" s="19"/>
      <c r="AFZ22" s="19"/>
      <c r="AGA22" s="19"/>
      <c r="AGB22" s="19"/>
      <c r="AGC22" s="19"/>
      <c r="AGD22" s="19"/>
      <c r="AGE22" s="19"/>
      <c r="AGF22" s="19"/>
      <c r="AGG22" s="19"/>
      <c r="AGH22" s="19"/>
      <c r="AGI22" s="19"/>
      <c r="AGJ22" s="19"/>
      <c r="AGK22" s="19"/>
      <c r="AGL22" s="19"/>
      <c r="AGM22" s="19"/>
      <c r="AGN22" s="19"/>
      <c r="AGO22" s="19"/>
      <c r="AGP22" s="19"/>
      <c r="AGQ22" s="19"/>
      <c r="AGR22" s="19"/>
      <c r="AGS22" s="19"/>
      <c r="AGT22" s="19"/>
      <c r="AGU22" s="19"/>
      <c r="AGV22" s="19"/>
      <c r="AGW22" s="19"/>
      <c r="AGX22" s="19"/>
      <c r="AGY22" s="19"/>
      <c r="AGZ22" s="19"/>
      <c r="AHA22" s="19"/>
      <c r="AHB22" s="19"/>
      <c r="AHC22" s="19"/>
      <c r="AHD22" s="19"/>
      <c r="AHE22" s="19"/>
      <c r="AHF22" s="19"/>
      <c r="AHG22" s="19"/>
      <c r="AHH22" s="19"/>
      <c r="AHI22" s="19"/>
      <c r="AHJ22" s="19"/>
      <c r="AHK22" s="19"/>
      <c r="AHL22" s="19"/>
      <c r="AHM22" s="19"/>
      <c r="AHN22" s="19"/>
      <c r="AHO22" s="19"/>
      <c r="AHP22" s="19"/>
      <c r="AHQ22" s="19"/>
      <c r="AHR22" s="19"/>
      <c r="AHS22" s="19"/>
      <c r="AHT22" s="19"/>
      <c r="AHU22" s="19"/>
      <c r="AHV22" s="19"/>
      <c r="AHW22" s="19"/>
      <c r="AHX22" s="19"/>
      <c r="AHY22" s="19"/>
      <c r="AHZ22" s="19"/>
      <c r="AIA22" s="19"/>
      <c r="AIB22" s="19"/>
      <c r="AIC22" s="19"/>
      <c r="AID22" s="19"/>
      <c r="AIE22" s="19"/>
      <c r="AIF22" s="19"/>
      <c r="AIG22" s="19"/>
      <c r="AIH22" s="19"/>
      <c r="AII22" s="19"/>
      <c r="AIJ22" s="19"/>
      <c r="AIK22" s="19"/>
      <c r="AIL22" s="19"/>
      <c r="AIM22" s="19"/>
      <c r="AIN22" s="19"/>
      <c r="AIO22" s="19"/>
      <c r="AIP22" s="19"/>
      <c r="AIQ22" s="19"/>
      <c r="AIR22" s="19"/>
      <c r="AIS22" s="19"/>
      <c r="AIT22" s="19"/>
      <c r="AIU22" s="19"/>
      <c r="AIV22" s="19"/>
      <c r="AIW22" s="19"/>
      <c r="AIX22" s="19"/>
      <c r="AIY22" s="19"/>
      <c r="AIZ22" s="19"/>
      <c r="AJA22" s="19"/>
      <c r="AJB22" s="19"/>
      <c r="AJC22" s="19"/>
      <c r="AJD22" s="19"/>
      <c r="AJE22" s="19"/>
      <c r="AJF22" s="19"/>
      <c r="AJG22" s="19"/>
      <c r="AJH22" s="19"/>
      <c r="AJI22" s="19"/>
      <c r="AJJ22" s="19"/>
      <c r="AJK22" s="19"/>
      <c r="AJL22" s="19"/>
      <c r="AJM22" s="19"/>
      <c r="AJN22" s="19"/>
      <c r="AJO22" s="19"/>
      <c r="AJP22" s="19"/>
      <c r="AJQ22" s="19"/>
      <c r="AJR22" s="19"/>
      <c r="AJS22" s="19"/>
      <c r="AJT22" s="19"/>
      <c r="AJU22" s="19"/>
      <c r="AJV22" s="19"/>
      <c r="AJW22" s="19"/>
      <c r="AJX22" s="19"/>
      <c r="AJY22" s="19"/>
      <c r="AJZ22" s="19"/>
      <c r="AKA22" s="19"/>
      <c r="AKB22" s="19"/>
      <c r="AKC22" s="19"/>
      <c r="AKD22" s="19"/>
      <c r="AKE22" s="19"/>
      <c r="AKF22" s="19"/>
      <c r="AKG22" s="19"/>
      <c r="AKH22" s="19"/>
      <c r="AKI22" s="19"/>
      <c r="AKJ22" s="19"/>
      <c r="AKK22" s="19"/>
      <c r="AKL22" s="19"/>
      <c r="AKM22" s="19"/>
      <c r="AKN22" s="19"/>
      <c r="AKO22" s="19"/>
      <c r="AKP22" s="19"/>
      <c r="AKQ22" s="19"/>
      <c r="AKR22" s="19"/>
      <c r="AKS22" s="19"/>
      <c r="AKT22" s="19"/>
      <c r="AKU22" s="19"/>
      <c r="AKV22" s="19"/>
      <c r="AKW22" s="19"/>
      <c r="AKX22" s="19"/>
      <c r="AKY22" s="19"/>
      <c r="AKZ22" s="19"/>
      <c r="ALA22" s="19"/>
      <c r="ALB22" s="19"/>
      <c r="ALC22" s="19"/>
      <c r="ALD22" s="19"/>
      <c r="ALE22" s="19"/>
      <c r="ALF22" s="19"/>
      <c r="ALG22" s="19"/>
      <c r="ALH22" s="19"/>
      <c r="ALI22" s="19"/>
      <c r="ALJ22" s="19"/>
      <c r="ALK22" s="19"/>
      <c r="ALL22" s="19"/>
      <c r="ALM22" s="19"/>
      <c r="ALN22" s="19"/>
      <c r="ALO22" s="19"/>
      <c r="ALP22" s="19"/>
      <c r="ALQ22" s="19"/>
      <c r="ALR22" s="19"/>
      <c r="ALS22" s="19"/>
      <c r="ALT22" s="19"/>
      <c r="ALU22" s="19"/>
      <c r="ALV22" s="19"/>
      <c r="ALW22" s="19"/>
      <c r="ALX22" s="19"/>
      <c r="ALY22" s="19"/>
      <c r="ALZ22" s="19"/>
      <c r="AMA22" s="19"/>
      <c r="AMB22" s="19"/>
      <c r="AMC22" s="19"/>
      <c r="AMD22" s="19"/>
      <c r="AME22" s="19"/>
      <c r="AMF22" s="19"/>
      <c r="AMG22" s="19"/>
      <c r="AMH22" s="19"/>
      <c r="AMI22" s="19"/>
      <c r="AMJ22" s="19"/>
      <c r="AMK22" s="19"/>
      <c r="AML22" s="19"/>
      <c r="AMM22" s="19"/>
      <c r="AMN22" s="19"/>
      <c r="AMO22" s="19"/>
      <c r="AMP22" s="19"/>
      <c r="AMQ22" s="19"/>
      <c r="AMR22" s="19"/>
      <c r="AMS22" s="19"/>
      <c r="AMT22" s="19"/>
      <c r="AMU22" s="19"/>
      <c r="AMV22" s="19"/>
      <c r="AMW22" s="19"/>
      <c r="AMX22" s="19"/>
      <c r="AMY22" s="19"/>
      <c r="AMZ22" s="19"/>
      <c r="ANA22" s="19"/>
      <c r="ANB22" s="19"/>
      <c r="ANC22" s="19"/>
      <c r="AND22" s="19"/>
      <c r="ANE22" s="19"/>
      <c r="ANF22" s="19"/>
      <c r="ANG22" s="19"/>
      <c r="ANH22" s="19"/>
      <c r="ANI22" s="19"/>
      <c r="ANJ22" s="19"/>
      <c r="ANK22" s="19"/>
      <c r="ANL22" s="19"/>
      <c r="ANM22" s="19"/>
      <c r="ANN22" s="19"/>
      <c r="ANO22" s="19"/>
      <c r="ANP22" s="19"/>
      <c r="ANQ22" s="19"/>
      <c r="ANR22" s="19"/>
      <c r="ANS22" s="19"/>
      <c r="ANT22" s="19"/>
      <c r="ANU22" s="19"/>
      <c r="ANV22" s="19"/>
      <c r="ANW22" s="19"/>
      <c r="ANX22" s="19"/>
      <c r="ANY22" s="19"/>
      <c r="ANZ22" s="19"/>
      <c r="AOA22" s="19"/>
      <c r="AOB22" s="19"/>
      <c r="AOC22" s="19"/>
      <c r="AOD22" s="19"/>
      <c r="AOE22" s="19"/>
      <c r="AOF22" s="19"/>
      <c r="AOG22" s="19"/>
      <c r="AOH22" s="19"/>
      <c r="AOI22" s="19"/>
      <c r="AOJ22" s="19"/>
      <c r="AOK22" s="19"/>
      <c r="AOL22" s="19"/>
      <c r="AOM22" s="19"/>
      <c r="AON22" s="19"/>
      <c r="AOO22" s="19"/>
      <c r="AOP22" s="19"/>
      <c r="AOQ22" s="19"/>
      <c r="AOR22" s="19"/>
      <c r="AOS22" s="19"/>
      <c r="AOT22" s="19"/>
      <c r="AOU22" s="19"/>
      <c r="AOV22" s="19"/>
      <c r="AOW22" s="19"/>
      <c r="AOX22" s="19"/>
      <c r="AOY22" s="19"/>
      <c r="AOZ22" s="19"/>
      <c r="APA22" s="19"/>
      <c r="APB22" s="19"/>
      <c r="APC22" s="19"/>
      <c r="APD22" s="19"/>
      <c r="APE22" s="19"/>
      <c r="APF22" s="19"/>
      <c r="APG22" s="19"/>
      <c r="APH22" s="19"/>
      <c r="API22" s="19"/>
      <c r="APJ22" s="19"/>
      <c r="APK22" s="19"/>
      <c r="APL22" s="19"/>
      <c r="APM22" s="19"/>
      <c r="APN22" s="19"/>
      <c r="APO22" s="19"/>
      <c r="APP22" s="19"/>
      <c r="APQ22" s="19"/>
      <c r="APR22" s="19"/>
      <c r="APS22" s="19"/>
      <c r="APT22" s="19"/>
      <c r="APU22" s="19"/>
      <c r="APV22" s="19"/>
      <c r="APW22" s="19"/>
      <c r="APX22" s="19"/>
      <c r="APY22" s="19"/>
      <c r="APZ22" s="19"/>
      <c r="AQA22" s="19"/>
      <c r="AQB22" s="19"/>
      <c r="AQC22" s="19"/>
      <c r="AQD22" s="19"/>
      <c r="AQE22" s="19"/>
      <c r="AQF22" s="19"/>
      <c r="AQG22" s="19"/>
      <c r="AQH22" s="19"/>
      <c r="AQI22" s="19"/>
      <c r="AQJ22" s="19"/>
      <c r="AQK22" s="19"/>
      <c r="AQL22" s="19"/>
      <c r="AQM22" s="19"/>
      <c r="AQN22" s="19"/>
      <c r="AQO22" s="19"/>
      <c r="AQP22" s="19"/>
      <c r="AQQ22" s="19"/>
      <c r="AQR22" s="19"/>
      <c r="AQS22" s="19"/>
      <c r="AQT22" s="19"/>
      <c r="AQU22" s="19"/>
      <c r="AQV22" s="19"/>
      <c r="AQW22" s="19"/>
      <c r="AQX22" s="19"/>
      <c r="AQY22" s="19"/>
      <c r="AQZ22" s="19"/>
      <c r="ARA22" s="19"/>
      <c r="ARB22" s="19"/>
      <c r="ARC22" s="19"/>
      <c r="ARD22" s="19"/>
      <c r="ARE22" s="19"/>
      <c r="ARF22" s="19"/>
      <c r="ARG22" s="19"/>
      <c r="ARH22" s="19"/>
      <c r="ARI22" s="19"/>
      <c r="ARJ22" s="19"/>
      <c r="ARK22" s="19"/>
      <c r="ARL22" s="19"/>
      <c r="ARM22" s="19"/>
      <c r="ARN22" s="19"/>
      <c r="ARO22" s="19"/>
      <c r="ARP22" s="19"/>
      <c r="ARQ22" s="19"/>
      <c r="ARR22" s="19"/>
      <c r="ARS22" s="19"/>
      <c r="ART22" s="19"/>
      <c r="ARU22" s="19"/>
      <c r="ARV22" s="19"/>
      <c r="ARW22" s="19"/>
      <c r="ARX22" s="19"/>
      <c r="ARY22" s="19"/>
      <c r="ARZ22" s="19"/>
      <c r="ASA22" s="19"/>
      <c r="ASB22" s="19"/>
      <c r="ASC22" s="19"/>
      <c r="ASD22" s="19"/>
      <c r="ASE22" s="19"/>
      <c r="ASF22" s="19"/>
      <c r="ASG22" s="19"/>
      <c r="ASH22" s="19"/>
      <c r="ASI22" s="19"/>
      <c r="ASJ22" s="19"/>
      <c r="ASK22" s="19"/>
      <c r="ASL22" s="19"/>
      <c r="ASM22" s="19"/>
      <c r="ASN22" s="19"/>
      <c r="ASO22" s="19"/>
      <c r="ASP22" s="19"/>
      <c r="ASQ22" s="19"/>
      <c r="ASR22" s="19"/>
      <c r="ASS22" s="19"/>
      <c r="AST22" s="19"/>
      <c r="ASU22" s="19"/>
      <c r="ASV22" s="19"/>
      <c r="ASW22" s="19"/>
      <c r="ASX22" s="19"/>
      <c r="ASY22" s="19"/>
      <c r="ASZ22" s="19"/>
      <c r="ATA22" s="19"/>
      <c r="ATB22" s="19"/>
      <c r="ATC22" s="19"/>
      <c r="ATD22" s="19"/>
      <c r="ATE22" s="19"/>
      <c r="ATF22" s="19"/>
      <c r="ATG22" s="19"/>
      <c r="ATH22" s="19"/>
      <c r="ATI22" s="19"/>
      <c r="ATJ22" s="19"/>
      <c r="ATK22" s="19"/>
      <c r="ATL22" s="19"/>
      <c r="ATM22" s="19"/>
      <c r="ATN22" s="19"/>
      <c r="ATO22" s="19"/>
      <c r="ATP22" s="19"/>
      <c r="ATQ22" s="19"/>
      <c r="ATR22" s="19"/>
      <c r="ATS22" s="19"/>
      <c r="ATT22" s="19"/>
      <c r="ATU22" s="19"/>
      <c r="ATV22" s="19"/>
      <c r="ATW22" s="19"/>
      <c r="ATX22" s="19"/>
      <c r="ATY22" s="19"/>
      <c r="ATZ22" s="19"/>
      <c r="AUA22" s="19"/>
      <c r="AUB22" s="19"/>
      <c r="AUC22" s="19"/>
      <c r="AUD22" s="19"/>
      <c r="AUE22" s="19"/>
      <c r="AUF22" s="19"/>
      <c r="AUG22" s="19"/>
      <c r="AUH22" s="19"/>
      <c r="AUI22" s="19"/>
      <c r="AUJ22" s="19"/>
      <c r="AUK22" s="19"/>
      <c r="AUL22" s="19"/>
      <c r="AUM22" s="19"/>
      <c r="AUN22" s="19"/>
      <c r="AUO22" s="19"/>
      <c r="AUP22" s="19"/>
      <c r="AUQ22" s="19"/>
      <c r="AUR22" s="19"/>
      <c r="AUS22" s="19"/>
      <c r="AUT22" s="19"/>
      <c r="AUU22" s="19"/>
      <c r="AUV22" s="19"/>
      <c r="AUW22" s="19"/>
      <c r="AUX22" s="19"/>
      <c r="AUY22" s="19"/>
      <c r="AUZ22" s="19"/>
      <c r="AVA22" s="19"/>
      <c r="AVB22" s="19"/>
      <c r="AVC22" s="19"/>
      <c r="AVD22" s="19"/>
      <c r="AVE22" s="19"/>
      <c r="AVF22" s="19"/>
      <c r="AVG22" s="19"/>
      <c r="AVH22" s="19"/>
      <c r="AVI22" s="19"/>
      <c r="AVJ22" s="19"/>
      <c r="AVK22" s="19"/>
      <c r="AVL22" s="19"/>
      <c r="AVM22" s="19"/>
      <c r="AVN22" s="19"/>
      <c r="AVO22" s="19"/>
      <c r="AVP22" s="19"/>
      <c r="AVQ22" s="19"/>
      <c r="AVR22" s="19"/>
      <c r="AVS22" s="19"/>
      <c r="AVT22" s="19"/>
      <c r="AVU22" s="19"/>
      <c r="AVV22" s="19"/>
      <c r="AVW22" s="19"/>
      <c r="AVX22" s="19"/>
      <c r="AVY22" s="19"/>
      <c r="AVZ22" s="19"/>
      <c r="AWA22" s="19"/>
      <c r="AWB22" s="19"/>
      <c r="AWC22" s="19"/>
      <c r="AWD22" s="19"/>
      <c r="AWE22" s="19"/>
      <c r="AWF22" s="19"/>
      <c r="AWG22" s="19"/>
      <c r="AWH22" s="19"/>
      <c r="AWI22" s="19"/>
      <c r="AWJ22" s="19"/>
      <c r="AWK22" s="19"/>
      <c r="AWL22" s="19"/>
      <c r="AWM22" s="19"/>
      <c r="AWN22" s="19"/>
      <c r="AWO22" s="19"/>
      <c r="AWP22" s="19"/>
      <c r="AWQ22" s="19"/>
      <c r="AWR22" s="19"/>
      <c r="AWS22" s="19"/>
      <c r="AWT22" s="19"/>
      <c r="AWU22" s="19"/>
      <c r="AWV22" s="19"/>
      <c r="AWW22" s="19"/>
      <c r="AWX22" s="19"/>
      <c r="AWY22" s="19"/>
      <c r="AWZ22" s="19"/>
      <c r="AXA22" s="19"/>
      <c r="AXB22" s="19"/>
      <c r="AXC22" s="19"/>
      <c r="AXD22" s="19"/>
      <c r="AXE22" s="19"/>
      <c r="AXF22" s="19"/>
      <c r="AXG22" s="19"/>
      <c r="AXH22" s="19"/>
      <c r="AXI22" s="19"/>
      <c r="AXJ22" s="19"/>
      <c r="AXK22" s="19"/>
      <c r="AXL22" s="19"/>
      <c r="AXM22" s="19"/>
      <c r="AXN22" s="19"/>
      <c r="AXO22" s="19"/>
      <c r="AXP22" s="19"/>
      <c r="AXQ22" s="19"/>
      <c r="AXR22" s="19"/>
      <c r="AXS22" s="19"/>
      <c r="AXT22" s="19"/>
      <c r="AXU22" s="19"/>
      <c r="AXV22" s="19"/>
      <c r="AXW22" s="19"/>
      <c r="AXX22" s="19"/>
      <c r="AXY22" s="19"/>
      <c r="AXZ22" s="19"/>
      <c r="AYA22" s="19"/>
      <c r="AYB22" s="19"/>
      <c r="AYC22" s="19"/>
      <c r="AYD22" s="19"/>
      <c r="AYE22" s="19"/>
      <c r="AYF22" s="19"/>
      <c r="AYG22" s="19"/>
      <c r="AYH22" s="19"/>
      <c r="AYI22" s="19"/>
      <c r="AYJ22" s="19"/>
      <c r="AYK22" s="19"/>
      <c r="AYL22" s="19"/>
      <c r="AYM22" s="19"/>
      <c r="AYN22" s="19"/>
      <c r="AYO22" s="19"/>
      <c r="AYP22" s="19"/>
      <c r="AYQ22" s="19"/>
      <c r="AYR22" s="19"/>
      <c r="AYS22" s="19"/>
      <c r="AYT22" s="19"/>
      <c r="AYU22" s="19"/>
      <c r="AYV22" s="19"/>
      <c r="AYW22" s="19"/>
      <c r="AYX22" s="19"/>
      <c r="AYY22" s="19"/>
      <c r="AYZ22" s="19"/>
      <c r="AZA22" s="19"/>
      <c r="AZB22" s="19"/>
      <c r="AZC22" s="19"/>
      <c r="AZD22" s="19"/>
      <c r="AZE22" s="19"/>
      <c r="AZF22" s="19"/>
      <c r="AZG22" s="19"/>
      <c r="AZH22" s="19"/>
      <c r="AZI22" s="19"/>
      <c r="AZJ22" s="19"/>
      <c r="AZK22" s="19"/>
      <c r="AZL22" s="19"/>
      <c r="AZM22" s="19"/>
      <c r="AZN22" s="19"/>
      <c r="AZO22" s="19"/>
      <c r="AZP22" s="19"/>
      <c r="AZQ22" s="19"/>
      <c r="AZR22" s="19"/>
      <c r="AZS22" s="19"/>
      <c r="AZT22" s="19"/>
      <c r="AZU22" s="19"/>
      <c r="AZV22" s="19"/>
      <c r="AZW22" s="19"/>
      <c r="AZX22" s="19"/>
      <c r="AZY22" s="19"/>
      <c r="AZZ22" s="19"/>
      <c r="BAA22" s="19"/>
      <c r="BAB22" s="19"/>
      <c r="BAC22" s="19"/>
      <c r="BAD22" s="19"/>
      <c r="BAE22" s="19"/>
      <c r="BAF22" s="19"/>
      <c r="BAG22" s="19"/>
      <c r="BAH22" s="19"/>
      <c r="BAI22" s="19"/>
      <c r="BAJ22" s="19"/>
      <c r="BAK22" s="19"/>
      <c r="BAL22" s="19"/>
      <c r="BAM22" s="19"/>
      <c r="BAN22" s="19"/>
      <c r="BAO22" s="19"/>
      <c r="BAP22" s="19"/>
      <c r="BAQ22" s="19"/>
      <c r="BAR22" s="19"/>
      <c r="BAS22" s="19"/>
      <c r="BAT22" s="19"/>
      <c r="BAU22" s="19"/>
      <c r="BAV22" s="19"/>
      <c r="BAW22" s="19"/>
      <c r="BAX22" s="19"/>
      <c r="BAY22" s="19"/>
      <c r="BAZ22" s="19"/>
      <c r="BBA22" s="19"/>
      <c r="BBB22" s="19"/>
      <c r="BBC22" s="19"/>
      <c r="BBD22" s="19"/>
      <c r="BBE22" s="19"/>
      <c r="BBF22" s="19"/>
      <c r="BBG22" s="19"/>
      <c r="BBH22" s="19"/>
      <c r="BBI22" s="19"/>
      <c r="BBJ22" s="19"/>
      <c r="BBK22" s="19"/>
      <c r="BBL22" s="19"/>
      <c r="BBM22" s="19"/>
      <c r="BBN22" s="19"/>
      <c r="BBO22" s="19"/>
      <c r="BBP22" s="19"/>
      <c r="BBQ22" s="19"/>
      <c r="BBR22" s="19"/>
      <c r="BBS22" s="19"/>
      <c r="BBT22" s="19"/>
      <c r="BBU22" s="19"/>
      <c r="BBV22" s="19"/>
      <c r="BBW22" s="19"/>
      <c r="BBX22" s="19"/>
      <c r="BBY22" s="19"/>
      <c r="BBZ22" s="19"/>
      <c r="BCA22" s="19"/>
      <c r="BCB22" s="19"/>
      <c r="BCC22" s="19"/>
      <c r="BCD22" s="19"/>
      <c r="BCE22" s="19"/>
      <c r="BCF22" s="19"/>
      <c r="BCG22" s="19"/>
      <c r="BCH22" s="19"/>
      <c r="BCI22" s="19"/>
      <c r="BCJ22" s="19"/>
      <c r="BCK22" s="19"/>
      <c r="BCL22" s="19"/>
      <c r="BCM22" s="19"/>
      <c r="BCN22" s="19"/>
      <c r="BCO22" s="19"/>
      <c r="BCP22" s="19"/>
      <c r="BCQ22" s="19"/>
      <c r="BCR22" s="19"/>
      <c r="BCS22" s="19"/>
      <c r="BCT22" s="19"/>
      <c r="BCU22" s="19"/>
      <c r="BCV22" s="19"/>
      <c r="BCW22" s="19"/>
      <c r="BCX22" s="19"/>
      <c r="BCY22" s="19"/>
      <c r="BCZ22" s="19"/>
      <c r="BDA22" s="19"/>
      <c r="BDB22" s="19"/>
      <c r="BDC22" s="19"/>
      <c r="BDD22" s="19"/>
      <c r="BDE22" s="19"/>
      <c r="BDF22" s="19"/>
      <c r="BDG22" s="19"/>
      <c r="BDH22" s="19"/>
      <c r="BDI22" s="19"/>
      <c r="BDJ22" s="19"/>
      <c r="BDK22" s="19"/>
      <c r="BDL22" s="19"/>
      <c r="BDM22" s="19"/>
      <c r="BDN22" s="19"/>
      <c r="BDO22" s="19"/>
      <c r="BDP22" s="19"/>
      <c r="BDQ22" s="19"/>
      <c r="BDR22" s="19"/>
      <c r="BDS22" s="19"/>
      <c r="BDT22" s="19"/>
      <c r="BDU22" s="19"/>
      <c r="BDV22" s="19"/>
      <c r="BDW22" s="19"/>
      <c r="BDX22" s="19"/>
      <c r="BDY22" s="19"/>
      <c r="BDZ22" s="19"/>
      <c r="BEA22" s="19"/>
      <c r="BEB22" s="19"/>
      <c r="BEC22" s="19"/>
      <c r="BED22" s="19"/>
      <c r="BEE22" s="19"/>
      <c r="BEF22" s="19"/>
      <c r="BEG22" s="19"/>
      <c r="BEH22" s="19"/>
      <c r="BEI22" s="19"/>
      <c r="BEJ22" s="19"/>
      <c r="BEK22" s="19"/>
      <c r="BEL22" s="19"/>
      <c r="BEM22" s="19"/>
      <c r="BEN22" s="19"/>
      <c r="BEO22" s="19"/>
      <c r="BEP22" s="19"/>
      <c r="BEQ22" s="19"/>
      <c r="BER22" s="19"/>
      <c r="BES22" s="19"/>
      <c r="BET22" s="19"/>
      <c r="BEU22" s="19"/>
      <c r="BEV22" s="19"/>
      <c r="BEW22" s="19"/>
      <c r="BEX22" s="19"/>
      <c r="BEY22" s="19"/>
      <c r="BEZ22" s="19"/>
      <c r="BFA22" s="19"/>
      <c r="BFB22" s="19"/>
      <c r="BFC22" s="19"/>
      <c r="BFD22" s="19"/>
      <c r="BFE22" s="19"/>
      <c r="BFF22" s="19"/>
      <c r="BFG22" s="19"/>
      <c r="BFH22" s="19"/>
      <c r="BFI22" s="19"/>
      <c r="BFJ22" s="19"/>
      <c r="BFK22" s="19"/>
      <c r="BFL22" s="19"/>
      <c r="BFM22" s="19"/>
      <c r="BFN22" s="19"/>
      <c r="BFO22" s="19"/>
      <c r="BFP22" s="19"/>
      <c r="BFQ22" s="19"/>
      <c r="BFR22" s="19"/>
      <c r="BFS22" s="19"/>
      <c r="BFT22" s="19"/>
      <c r="BFU22" s="19"/>
      <c r="BFV22" s="19"/>
      <c r="BFW22" s="19"/>
      <c r="BFX22" s="19"/>
      <c r="BFY22" s="19"/>
      <c r="BFZ22" s="19"/>
      <c r="BGA22" s="19"/>
      <c r="BGB22" s="19"/>
      <c r="BGC22" s="19"/>
      <c r="BGD22" s="19"/>
      <c r="BGE22" s="19"/>
      <c r="BGF22" s="19"/>
      <c r="BGG22" s="19"/>
      <c r="BGH22" s="19"/>
      <c r="BGI22" s="19"/>
      <c r="BGJ22" s="19"/>
      <c r="BGK22" s="19"/>
      <c r="BGL22" s="19"/>
      <c r="BGM22" s="19"/>
      <c r="BGN22" s="19"/>
      <c r="BGO22" s="19"/>
      <c r="BGP22" s="19"/>
      <c r="BGQ22" s="19"/>
      <c r="BGR22" s="19"/>
      <c r="BGS22" s="19"/>
      <c r="BGT22" s="19"/>
      <c r="BGU22" s="19"/>
      <c r="BGV22" s="19"/>
      <c r="BGW22" s="19"/>
      <c r="BGX22" s="19"/>
      <c r="BGY22" s="19"/>
      <c r="BGZ22" s="19"/>
      <c r="BHA22" s="19"/>
      <c r="BHB22" s="19"/>
      <c r="BHC22" s="19"/>
      <c r="BHD22" s="19"/>
      <c r="BHE22" s="19"/>
      <c r="BHF22" s="19"/>
      <c r="BHG22" s="19"/>
      <c r="BHH22" s="19"/>
      <c r="BHI22" s="19"/>
      <c r="BHJ22" s="19"/>
      <c r="BHK22" s="19"/>
      <c r="BHL22" s="19"/>
      <c r="BHM22" s="19"/>
      <c r="BHN22" s="19"/>
      <c r="BHO22" s="19"/>
      <c r="BHP22" s="19"/>
      <c r="BHQ22" s="19"/>
      <c r="BHR22" s="19"/>
      <c r="BHS22" s="19"/>
      <c r="BHT22" s="19"/>
      <c r="BHU22" s="19"/>
      <c r="BHV22" s="19"/>
      <c r="BHW22" s="19"/>
      <c r="BHX22" s="19"/>
      <c r="BHY22" s="19"/>
      <c r="BHZ22" s="19"/>
      <c r="BIA22" s="19"/>
      <c r="BIB22" s="19"/>
      <c r="BIC22" s="19"/>
      <c r="BID22" s="19"/>
      <c r="BIE22" s="19"/>
      <c r="BIF22" s="19"/>
      <c r="BIG22" s="19"/>
      <c r="BIH22" s="19"/>
      <c r="BII22" s="19"/>
      <c r="BIJ22" s="19"/>
      <c r="BIK22" s="19"/>
      <c r="BIL22" s="19"/>
      <c r="BIM22" s="19"/>
      <c r="BIN22" s="19"/>
      <c r="BIO22" s="19"/>
      <c r="BIP22" s="19"/>
      <c r="BIQ22" s="19"/>
      <c r="BIR22" s="19"/>
      <c r="BIS22" s="19"/>
      <c r="BIT22" s="19"/>
      <c r="BIU22" s="19"/>
      <c r="BIV22" s="19"/>
      <c r="BIW22" s="19"/>
      <c r="BIX22" s="19"/>
      <c r="BIY22" s="19"/>
      <c r="BIZ22" s="19"/>
      <c r="BJA22" s="19"/>
      <c r="BJB22" s="19"/>
      <c r="BJC22" s="19"/>
      <c r="BJD22" s="19"/>
      <c r="BJE22" s="19"/>
      <c r="BJF22" s="19"/>
      <c r="BJG22" s="19"/>
      <c r="BJH22" s="19"/>
      <c r="BJI22" s="19"/>
      <c r="BJJ22" s="19"/>
      <c r="BJK22" s="19"/>
      <c r="BJL22" s="19"/>
      <c r="BJM22" s="19"/>
      <c r="BJN22" s="19"/>
      <c r="BJO22" s="19"/>
      <c r="BJP22" s="19"/>
      <c r="BJQ22" s="19"/>
      <c r="BJR22" s="19"/>
      <c r="BJS22" s="19"/>
      <c r="BJT22" s="19"/>
      <c r="BJU22" s="19"/>
      <c r="BJV22" s="19"/>
      <c r="BJW22" s="19"/>
      <c r="BJX22" s="19"/>
      <c r="BJY22" s="19"/>
      <c r="BJZ22" s="19"/>
      <c r="BKA22" s="19"/>
      <c r="BKB22" s="19"/>
      <c r="BKC22" s="19"/>
      <c r="BKD22" s="19"/>
      <c r="BKE22" s="19"/>
      <c r="BKF22" s="19"/>
      <c r="BKG22" s="19"/>
      <c r="BKH22" s="19"/>
      <c r="BKI22" s="19"/>
      <c r="BKJ22" s="19"/>
      <c r="BKK22" s="19"/>
      <c r="BKL22" s="19"/>
      <c r="BKM22" s="19"/>
      <c r="BKN22" s="19"/>
      <c r="BKO22" s="19"/>
      <c r="BKP22" s="19"/>
      <c r="BKQ22" s="19"/>
      <c r="BKR22" s="19"/>
      <c r="BKS22" s="19"/>
      <c r="BKT22" s="19"/>
      <c r="BKU22" s="19"/>
      <c r="BKV22" s="19"/>
      <c r="BKW22" s="19"/>
      <c r="BKX22" s="19"/>
      <c r="BKY22" s="19"/>
      <c r="BKZ22" s="19"/>
      <c r="BLA22" s="19"/>
      <c r="BLB22" s="19"/>
      <c r="BLC22" s="19"/>
      <c r="BLD22" s="19"/>
      <c r="BLE22" s="19"/>
      <c r="BLF22" s="19"/>
      <c r="BLG22" s="19"/>
      <c r="BLH22" s="19"/>
      <c r="BLI22" s="19"/>
      <c r="BLJ22" s="19"/>
      <c r="BLK22" s="19"/>
      <c r="BLL22" s="19"/>
      <c r="BLM22" s="19"/>
      <c r="BLN22" s="19"/>
      <c r="BLO22" s="19"/>
      <c r="BLP22" s="19"/>
      <c r="BLQ22" s="19"/>
      <c r="BLR22" s="19"/>
      <c r="BLS22" s="19"/>
      <c r="BLT22" s="19"/>
      <c r="BLU22" s="19"/>
      <c r="BLV22" s="19"/>
      <c r="BLW22" s="19"/>
      <c r="BLX22" s="19"/>
      <c r="BLY22" s="19"/>
      <c r="BLZ22" s="19"/>
      <c r="BMA22" s="19"/>
      <c r="BMB22" s="19"/>
      <c r="BMC22" s="19"/>
      <c r="BMD22" s="19"/>
      <c r="BME22" s="19"/>
      <c r="BMF22" s="19"/>
      <c r="BMG22" s="19"/>
      <c r="BMH22" s="19"/>
      <c r="BMI22" s="19"/>
      <c r="BMJ22" s="19"/>
      <c r="BMK22" s="19"/>
      <c r="BML22" s="19"/>
      <c r="BMM22" s="19"/>
      <c r="BMN22" s="19"/>
      <c r="BMO22" s="19"/>
      <c r="BMP22" s="19"/>
      <c r="BMQ22" s="19"/>
      <c r="BMR22" s="19"/>
      <c r="BMS22" s="19"/>
      <c r="BMT22" s="19"/>
      <c r="BMU22" s="19"/>
      <c r="BMV22" s="19"/>
      <c r="BMW22" s="19"/>
      <c r="BMX22" s="19"/>
      <c r="BMY22" s="19"/>
      <c r="BMZ22" s="19"/>
      <c r="BNA22" s="19"/>
      <c r="BNB22" s="19"/>
      <c r="BNC22" s="19"/>
      <c r="BND22" s="19"/>
      <c r="BNE22" s="19"/>
      <c r="BNF22" s="19"/>
      <c r="BNG22" s="19"/>
      <c r="BNH22" s="19"/>
      <c r="BNI22" s="19"/>
      <c r="BNJ22" s="19"/>
      <c r="BNK22" s="19"/>
      <c r="BNL22" s="19"/>
      <c r="BNM22" s="19"/>
      <c r="BNN22" s="19"/>
      <c r="BNO22" s="19"/>
      <c r="BNP22" s="19"/>
      <c r="BNQ22" s="19"/>
      <c r="BNR22" s="19"/>
      <c r="BNS22" s="19"/>
      <c r="BNT22" s="19"/>
      <c r="BNU22" s="19"/>
      <c r="BNV22" s="19"/>
      <c r="BNW22" s="19"/>
      <c r="BNX22" s="19"/>
      <c r="BNY22" s="19"/>
      <c r="BNZ22" s="19"/>
      <c r="BOA22" s="19"/>
      <c r="BOB22" s="19"/>
      <c r="BOC22" s="19"/>
      <c r="BOD22" s="19"/>
      <c r="BOE22" s="19"/>
      <c r="BOF22" s="19"/>
      <c r="BOG22" s="19"/>
      <c r="BOH22" s="19"/>
      <c r="BOI22" s="19"/>
      <c r="BOJ22" s="19"/>
      <c r="BOK22" s="19"/>
      <c r="BOL22" s="19"/>
      <c r="BOM22" s="19"/>
      <c r="BON22" s="19"/>
      <c r="BOO22" s="19"/>
      <c r="BOP22" s="19"/>
      <c r="BOQ22" s="19"/>
      <c r="BOR22" s="19"/>
      <c r="BOS22" s="19"/>
      <c r="BOT22" s="19"/>
      <c r="BOU22" s="19"/>
      <c r="BOV22" s="19"/>
      <c r="BOW22" s="19"/>
      <c r="BOX22" s="19"/>
      <c r="BOY22" s="19"/>
      <c r="BOZ22" s="19"/>
      <c r="BPA22" s="19"/>
      <c r="BPB22" s="19"/>
      <c r="BPC22" s="19"/>
      <c r="BPD22" s="19"/>
      <c r="BPE22" s="19"/>
      <c r="BPF22" s="19"/>
      <c r="BPG22" s="19"/>
      <c r="BPH22" s="19"/>
      <c r="BPI22" s="19"/>
      <c r="BPJ22" s="19"/>
      <c r="BPK22" s="19"/>
      <c r="BPL22" s="19"/>
      <c r="BPM22" s="19"/>
      <c r="BPN22" s="19"/>
      <c r="BPO22" s="19"/>
      <c r="BPP22" s="19"/>
      <c r="BPQ22" s="19"/>
      <c r="BPR22" s="19"/>
      <c r="BPS22" s="19"/>
      <c r="BPT22" s="19"/>
      <c r="BPU22" s="19"/>
      <c r="BPV22" s="19"/>
      <c r="BPW22" s="19"/>
      <c r="BPX22" s="19"/>
      <c r="BPY22" s="19"/>
      <c r="BPZ22" s="19"/>
      <c r="BQA22" s="19"/>
      <c r="BQB22" s="19"/>
      <c r="BQC22" s="19"/>
      <c r="BQD22" s="19"/>
      <c r="BQE22" s="19"/>
      <c r="BQF22" s="19"/>
      <c r="BQG22" s="19"/>
      <c r="BQH22" s="19"/>
      <c r="BQI22" s="19"/>
      <c r="BQJ22" s="19"/>
      <c r="BQK22" s="19"/>
      <c r="BQL22" s="19"/>
      <c r="BQM22" s="19"/>
      <c r="BQN22" s="19"/>
      <c r="BQO22" s="19"/>
      <c r="BQP22" s="19"/>
      <c r="BQQ22" s="19"/>
      <c r="BQR22" s="19"/>
      <c r="BQS22" s="19"/>
      <c r="BQT22" s="19"/>
      <c r="BQU22" s="19"/>
      <c r="BQV22" s="19"/>
      <c r="BQW22" s="19"/>
      <c r="BQX22" s="19"/>
      <c r="BQY22" s="19"/>
      <c r="BQZ22" s="19"/>
      <c r="BRA22" s="19"/>
      <c r="BRB22" s="19"/>
      <c r="BRC22" s="19"/>
      <c r="BRD22" s="19"/>
      <c r="BRE22" s="19"/>
      <c r="BRF22" s="19"/>
      <c r="BRG22" s="19"/>
      <c r="BRH22" s="19"/>
      <c r="BRI22" s="19"/>
      <c r="BRJ22" s="19"/>
      <c r="BRK22" s="19"/>
      <c r="BRL22" s="19"/>
      <c r="BRM22" s="19"/>
      <c r="BRN22" s="19"/>
      <c r="BRO22" s="19"/>
      <c r="BRP22" s="19"/>
      <c r="BRQ22" s="19"/>
      <c r="BRR22" s="19"/>
      <c r="BRS22" s="19"/>
      <c r="BRT22" s="19"/>
      <c r="BRU22" s="19"/>
      <c r="BRV22" s="19"/>
      <c r="BRW22" s="19"/>
      <c r="BRX22" s="19"/>
      <c r="BRY22" s="19"/>
      <c r="BRZ22" s="19"/>
      <c r="BSA22" s="19"/>
      <c r="BSB22" s="19"/>
      <c r="BSC22" s="19"/>
      <c r="BSD22" s="19"/>
      <c r="BSE22" s="19"/>
      <c r="BSF22" s="19"/>
      <c r="BSG22" s="19"/>
      <c r="BSH22" s="19"/>
      <c r="BSI22" s="19"/>
      <c r="BSJ22" s="19"/>
      <c r="BSK22" s="19"/>
      <c r="BSL22" s="19"/>
      <c r="BSM22" s="19"/>
      <c r="BSN22" s="19"/>
      <c r="BSO22" s="19"/>
      <c r="BSP22" s="19"/>
      <c r="BSQ22" s="19"/>
      <c r="BSR22" s="19"/>
      <c r="BSS22" s="19"/>
      <c r="BST22" s="19"/>
      <c r="BSU22" s="19"/>
      <c r="BSV22" s="19"/>
      <c r="BSW22" s="19"/>
      <c r="BSX22" s="19"/>
      <c r="BSY22" s="19"/>
      <c r="BSZ22" s="19"/>
      <c r="BTA22" s="19"/>
      <c r="BTB22" s="19"/>
      <c r="BTC22" s="19"/>
      <c r="BTD22" s="19"/>
      <c r="BTE22" s="19"/>
      <c r="BTF22" s="19"/>
      <c r="BTG22" s="19"/>
      <c r="BTH22" s="19"/>
      <c r="BTI22" s="19"/>
      <c r="BTJ22" s="19"/>
      <c r="BTK22" s="19"/>
      <c r="BTL22" s="19"/>
      <c r="BTM22" s="19"/>
      <c r="BTN22" s="19"/>
      <c r="BTO22" s="19"/>
      <c r="BTP22" s="19"/>
      <c r="BTQ22" s="19"/>
      <c r="BTR22" s="19"/>
      <c r="BTS22" s="19"/>
      <c r="BTT22" s="19"/>
      <c r="BTU22" s="19"/>
      <c r="BTV22" s="19"/>
      <c r="BTW22" s="19"/>
      <c r="BTX22" s="19"/>
      <c r="BTY22" s="19"/>
      <c r="BTZ22" s="19"/>
      <c r="BUA22" s="19"/>
      <c r="BUB22" s="19"/>
      <c r="BUC22" s="19"/>
      <c r="BUD22" s="19"/>
      <c r="BUE22" s="19"/>
      <c r="BUF22" s="19"/>
      <c r="BUG22" s="19"/>
      <c r="BUH22" s="19"/>
      <c r="BUI22" s="19"/>
      <c r="BUJ22" s="19"/>
      <c r="BUK22" s="19"/>
      <c r="BUL22" s="19"/>
      <c r="BUM22" s="19"/>
      <c r="BUN22" s="19"/>
      <c r="BUO22" s="19"/>
      <c r="BUP22" s="19"/>
      <c r="BUQ22" s="19"/>
      <c r="BUR22" s="19"/>
      <c r="BUS22" s="19"/>
      <c r="BUT22" s="19"/>
      <c r="BUU22" s="19"/>
      <c r="BUV22" s="19"/>
      <c r="BUW22" s="19"/>
      <c r="BUX22" s="19"/>
      <c r="BUY22" s="19"/>
      <c r="BUZ22" s="19"/>
      <c r="BVA22" s="19"/>
      <c r="BVB22" s="19"/>
      <c r="BVC22" s="19"/>
      <c r="BVD22" s="19"/>
      <c r="BVE22" s="19"/>
      <c r="BVF22" s="19"/>
      <c r="BVG22" s="19"/>
      <c r="BVH22" s="19"/>
      <c r="BVI22" s="19"/>
      <c r="BVJ22" s="19"/>
      <c r="BVK22" s="19"/>
      <c r="BVL22" s="19"/>
      <c r="BVM22" s="19"/>
      <c r="BVN22" s="19"/>
      <c r="BVO22" s="19"/>
      <c r="BVP22" s="19"/>
      <c r="BVQ22" s="19"/>
      <c r="BVR22" s="19"/>
      <c r="BVS22" s="19"/>
      <c r="BVT22" s="19"/>
      <c r="BVU22" s="19"/>
      <c r="BVV22" s="19"/>
      <c r="BVW22" s="19"/>
      <c r="BVX22" s="19"/>
      <c r="BVY22" s="19"/>
      <c r="BVZ22" s="19"/>
      <c r="BWA22" s="19"/>
      <c r="BWB22" s="19"/>
      <c r="BWC22" s="19"/>
      <c r="BWD22" s="19"/>
      <c r="BWE22" s="19"/>
      <c r="BWF22" s="19"/>
      <c r="BWG22" s="19"/>
      <c r="BWH22" s="19"/>
      <c r="BWI22" s="19"/>
      <c r="BWJ22" s="19"/>
      <c r="BWK22" s="19"/>
      <c r="BWL22" s="19"/>
      <c r="BWM22" s="19"/>
      <c r="BWN22" s="19"/>
      <c r="BWO22" s="19"/>
      <c r="BWP22" s="19"/>
      <c r="BWQ22" s="19"/>
      <c r="BWR22" s="19"/>
      <c r="BWS22" s="19"/>
      <c r="BWT22" s="19"/>
      <c r="BWU22" s="19"/>
      <c r="BWV22" s="19"/>
      <c r="BWW22" s="19"/>
      <c r="BWX22" s="19"/>
      <c r="BWY22" s="19"/>
      <c r="BWZ22" s="19"/>
      <c r="BXA22" s="19"/>
      <c r="BXB22" s="19"/>
      <c r="BXC22" s="19"/>
      <c r="BXD22" s="19"/>
      <c r="BXE22" s="19"/>
      <c r="BXF22" s="19"/>
      <c r="BXG22" s="19"/>
      <c r="BXH22" s="19"/>
      <c r="BXI22" s="19"/>
      <c r="BXJ22" s="19"/>
      <c r="BXK22" s="19"/>
      <c r="BXL22" s="19"/>
      <c r="BXM22" s="19"/>
      <c r="BXN22" s="19"/>
      <c r="BXO22" s="19"/>
      <c r="BXP22" s="19"/>
      <c r="BXQ22" s="19"/>
      <c r="BXR22" s="19"/>
      <c r="BXS22" s="19"/>
      <c r="BXT22" s="19"/>
      <c r="BXU22" s="19"/>
      <c r="BXV22" s="19"/>
      <c r="BXW22" s="19"/>
      <c r="BXX22" s="19"/>
      <c r="BXY22" s="19"/>
      <c r="BXZ22" s="19"/>
      <c r="BYA22" s="19"/>
      <c r="BYB22" s="19"/>
      <c r="BYC22" s="19"/>
      <c r="BYD22" s="19"/>
      <c r="BYE22" s="19"/>
      <c r="BYF22" s="19"/>
      <c r="BYG22" s="19"/>
      <c r="BYH22" s="19"/>
      <c r="BYI22" s="19"/>
      <c r="BYJ22" s="19"/>
      <c r="BYK22" s="19"/>
      <c r="BYL22" s="19"/>
      <c r="BYM22" s="19"/>
      <c r="BYN22" s="19"/>
      <c r="BYO22" s="19"/>
      <c r="BYP22" s="19"/>
      <c r="BYQ22" s="19"/>
      <c r="BYR22" s="19"/>
      <c r="BYS22" s="19"/>
      <c r="BYT22" s="19"/>
      <c r="BYU22" s="19"/>
      <c r="BYV22" s="19"/>
      <c r="BYW22" s="19"/>
      <c r="BYX22" s="19"/>
      <c r="BYY22" s="19"/>
      <c r="BYZ22" s="19"/>
      <c r="BZA22" s="19"/>
      <c r="BZB22" s="19"/>
      <c r="BZC22" s="19"/>
      <c r="BZD22" s="19"/>
      <c r="BZE22" s="19"/>
      <c r="BZF22" s="19"/>
      <c r="BZG22" s="19"/>
      <c r="BZH22" s="19"/>
      <c r="BZI22" s="19"/>
      <c r="BZJ22" s="19"/>
      <c r="BZK22" s="19"/>
      <c r="BZL22" s="19"/>
      <c r="BZM22" s="19"/>
      <c r="BZN22" s="19"/>
      <c r="BZO22" s="19"/>
      <c r="BZP22" s="19"/>
      <c r="BZQ22" s="19"/>
      <c r="BZR22" s="19"/>
      <c r="BZS22" s="19"/>
      <c r="BZT22" s="19"/>
      <c r="BZU22" s="19"/>
      <c r="BZV22" s="19"/>
      <c r="BZW22" s="19"/>
      <c r="BZX22" s="19"/>
      <c r="BZY22" s="19"/>
      <c r="BZZ22" s="19"/>
      <c r="CAA22" s="19"/>
      <c r="CAB22" s="19"/>
      <c r="CAC22" s="19"/>
      <c r="CAD22" s="19"/>
      <c r="CAE22" s="19"/>
      <c r="CAF22" s="19"/>
      <c r="CAG22" s="19"/>
      <c r="CAH22" s="19"/>
      <c r="CAI22" s="19"/>
      <c r="CAJ22" s="19"/>
      <c r="CAK22" s="19"/>
      <c r="CAL22" s="19"/>
      <c r="CAM22" s="19"/>
      <c r="CAN22" s="19"/>
      <c r="CAO22" s="19"/>
      <c r="CAP22" s="19"/>
      <c r="CAQ22" s="19"/>
      <c r="CAR22" s="19"/>
      <c r="CAS22" s="19"/>
      <c r="CAT22" s="19"/>
      <c r="CAU22" s="19"/>
      <c r="CAV22" s="19"/>
      <c r="CAW22" s="19"/>
      <c r="CAX22" s="19"/>
      <c r="CAY22" s="19"/>
      <c r="CAZ22" s="19"/>
      <c r="CBA22" s="19"/>
      <c r="CBB22" s="19"/>
      <c r="CBC22" s="19"/>
      <c r="CBD22" s="19"/>
      <c r="CBE22" s="19"/>
      <c r="CBF22" s="19"/>
      <c r="CBG22" s="19"/>
      <c r="CBH22" s="19"/>
      <c r="CBI22" s="19"/>
      <c r="CBJ22" s="19"/>
      <c r="CBK22" s="19"/>
      <c r="CBL22" s="19"/>
      <c r="CBM22" s="19"/>
      <c r="CBN22" s="19"/>
      <c r="CBO22" s="19"/>
      <c r="CBP22" s="19"/>
      <c r="CBQ22" s="19"/>
      <c r="CBR22" s="19"/>
      <c r="CBS22" s="19"/>
      <c r="CBT22" s="19"/>
      <c r="CBU22" s="19"/>
      <c r="CBV22" s="19"/>
      <c r="CBW22" s="19"/>
      <c r="CBX22" s="19"/>
      <c r="CBY22" s="19"/>
      <c r="CBZ22" s="19"/>
      <c r="CCA22" s="19"/>
      <c r="CCB22" s="19"/>
      <c r="CCC22" s="19"/>
      <c r="CCD22" s="19"/>
      <c r="CCE22" s="19"/>
      <c r="CCF22" s="19"/>
      <c r="CCG22" s="19"/>
      <c r="CCH22" s="19"/>
      <c r="CCI22" s="19"/>
      <c r="CCJ22" s="19"/>
      <c r="CCK22" s="19"/>
      <c r="CCL22" s="19"/>
      <c r="CCM22" s="19"/>
      <c r="CCN22" s="19"/>
      <c r="CCO22" s="19"/>
      <c r="CCP22" s="19"/>
      <c r="CCQ22" s="19"/>
      <c r="CCR22" s="19"/>
      <c r="CCS22" s="19"/>
      <c r="CCT22" s="19"/>
      <c r="CCU22" s="19"/>
      <c r="CCV22" s="19"/>
      <c r="CCW22" s="19"/>
      <c r="CCX22" s="19"/>
      <c r="CCY22" s="19"/>
      <c r="CCZ22" s="19"/>
      <c r="CDA22" s="19"/>
      <c r="CDB22" s="19"/>
      <c r="CDC22" s="19"/>
      <c r="CDD22" s="19"/>
      <c r="CDE22" s="19"/>
      <c r="CDF22" s="19"/>
      <c r="CDG22" s="19"/>
      <c r="CDH22" s="19"/>
      <c r="CDI22" s="19"/>
      <c r="CDJ22" s="19"/>
      <c r="CDK22" s="19"/>
      <c r="CDL22" s="19"/>
      <c r="CDM22" s="19"/>
      <c r="CDN22" s="19"/>
      <c r="CDO22" s="19"/>
      <c r="CDP22" s="19"/>
      <c r="CDQ22" s="19"/>
      <c r="CDR22" s="19"/>
      <c r="CDS22" s="19"/>
      <c r="CDT22" s="19"/>
      <c r="CDU22" s="19"/>
      <c r="CDV22" s="19"/>
      <c r="CDW22" s="19"/>
      <c r="CDX22" s="19"/>
      <c r="CDY22" s="19"/>
      <c r="CDZ22" s="19"/>
      <c r="CEA22" s="19"/>
      <c r="CEB22" s="19"/>
      <c r="CEC22" s="19"/>
      <c r="CED22" s="19"/>
      <c r="CEE22" s="19"/>
      <c r="CEF22" s="19"/>
      <c r="CEG22" s="19"/>
      <c r="CEH22" s="19"/>
      <c r="CEI22" s="19"/>
      <c r="CEJ22" s="19"/>
      <c r="CEK22" s="19"/>
      <c r="CEL22" s="19"/>
      <c r="CEM22" s="19"/>
      <c r="CEN22" s="19"/>
      <c r="CEO22" s="19"/>
      <c r="CEP22" s="19"/>
      <c r="CEQ22" s="19"/>
      <c r="CER22" s="19"/>
      <c r="CES22" s="19"/>
      <c r="CET22" s="19"/>
      <c r="CEU22" s="19"/>
      <c r="CEV22" s="19"/>
      <c r="CEW22" s="19"/>
      <c r="CEX22" s="19"/>
      <c r="CEY22" s="19"/>
      <c r="CEZ22" s="19"/>
      <c r="CFA22" s="19"/>
      <c r="CFB22" s="19"/>
      <c r="CFC22" s="19"/>
      <c r="CFD22" s="19"/>
      <c r="CFE22" s="19"/>
      <c r="CFF22" s="19"/>
      <c r="CFG22" s="19"/>
      <c r="CFH22" s="19"/>
      <c r="CFI22" s="19"/>
      <c r="CFJ22" s="19"/>
      <c r="CFK22" s="19"/>
      <c r="CFL22" s="19"/>
      <c r="CFM22" s="19"/>
      <c r="CFN22" s="19"/>
      <c r="CFO22" s="19"/>
      <c r="CFP22" s="19"/>
      <c r="CFQ22" s="19"/>
      <c r="CFR22" s="19"/>
      <c r="CFS22" s="19"/>
      <c r="CFT22" s="19"/>
      <c r="CFU22" s="19"/>
      <c r="CFV22" s="19"/>
      <c r="CFW22" s="19"/>
      <c r="CFX22" s="19"/>
      <c r="CFY22" s="19"/>
      <c r="CFZ22" s="19"/>
      <c r="CGA22" s="19"/>
      <c r="CGB22" s="19"/>
      <c r="CGC22" s="19"/>
      <c r="CGD22" s="19"/>
      <c r="CGE22" s="19"/>
      <c r="CGF22" s="19"/>
      <c r="CGG22" s="19"/>
      <c r="CGH22" s="19"/>
      <c r="CGI22" s="19"/>
      <c r="CGJ22" s="19"/>
      <c r="CGK22" s="19"/>
      <c r="CGL22" s="19"/>
      <c r="CGM22" s="19"/>
      <c r="CGN22" s="19"/>
      <c r="CGO22" s="19"/>
      <c r="CGP22" s="19"/>
      <c r="CGQ22" s="19"/>
      <c r="CGR22" s="19"/>
      <c r="CGS22" s="19"/>
      <c r="CGT22" s="19"/>
      <c r="CGU22" s="19"/>
      <c r="CGV22" s="19"/>
      <c r="CGW22" s="19"/>
      <c r="CGX22" s="19"/>
      <c r="CGY22" s="19"/>
      <c r="CGZ22" s="19"/>
      <c r="CHA22" s="19"/>
      <c r="CHB22" s="19"/>
      <c r="CHC22" s="19"/>
      <c r="CHD22" s="19"/>
      <c r="CHE22" s="19"/>
      <c r="CHF22" s="19"/>
      <c r="CHG22" s="19"/>
      <c r="CHH22" s="19"/>
      <c r="CHI22" s="19"/>
      <c r="CHJ22" s="19"/>
      <c r="CHK22" s="19"/>
      <c r="CHL22" s="19"/>
      <c r="CHM22" s="19"/>
      <c r="CHN22" s="19"/>
      <c r="CHO22" s="19"/>
      <c r="CHP22" s="19"/>
      <c r="CHQ22" s="19"/>
      <c r="CHR22" s="19"/>
      <c r="CHS22" s="19"/>
      <c r="CHT22" s="19"/>
      <c r="CHU22" s="19"/>
      <c r="CHV22" s="19"/>
      <c r="CHW22" s="19"/>
      <c r="CHX22" s="19"/>
      <c r="CHY22" s="19"/>
      <c r="CHZ22" s="19"/>
      <c r="CIA22" s="19"/>
      <c r="CIB22" s="19"/>
      <c r="CIC22" s="19"/>
      <c r="CID22" s="19"/>
      <c r="CIE22" s="19"/>
      <c r="CIF22" s="19"/>
      <c r="CIG22" s="19"/>
      <c r="CIH22" s="19"/>
      <c r="CII22" s="19"/>
      <c r="CIJ22" s="19"/>
      <c r="CIK22" s="19"/>
      <c r="CIL22" s="19"/>
      <c r="CIM22" s="19"/>
      <c r="CIN22" s="19"/>
      <c r="CIO22" s="19"/>
      <c r="CIP22" s="19"/>
      <c r="CIQ22" s="19"/>
      <c r="CIR22" s="19"/>
      <c r="CIS22" s="19"/>
      <c r="CIT22" s="19"/>
      <c r="CIU22" s="19"/>
      <c r="CIV22" s="19"/>
      <c r="CIW22" s="19"/>
      <c r="CIX22" s="19"/>
      <c r="CIY22" s="19"/>
      <c r="CIZ22" s="19"/>
      <c r="CJA22" s="19"/>
      <c r="CJB22" s="19"/>
      <c r="CJC22" s="19"/>
      <c r="CJD22" s="19"/>
      <c r="CJE22" s="19"/>
      <c r="CJF22" s="19"/>
      <c r="CJG22" s="19"/>
      <c r="CJH22" s="19"/>
      <c r="CJI22" s="19"/>
      <c r="CJJ22" s="19"/>
      <c r="CJK22" s="19"/>
      <c r="CJL22" s="19"/>
      <c r="CJM22" s="19"/>
      <c r="CJN22" s="19"/>
      <c r="CJO22" s="19"/>
      <c r="CJP22" s="19"/>
      <c r="CJQ22" s="19"/>
      <c r="CJR22" s="19"/>
      <c r="CJS22" s="19"/>
      <c r="CJT22" s="19"/>
      <c r="CJU22" s="19"/>
      <c r="CJV22" s="19"/>
      <c r="CJW22" s="19"/>
      <c r="CJX22" s="19"/>
      <c r="CJY22" s="19"/>
      <c r="CJZ22" s="19"/>
      <c r="CKA22" s="19"/>
      <c r="CKB22" s="19"/>
      <c r="CKC22" s="19"/>
      <c r="CKD22" s="19"/>
      <c r="CKE22" s="19"/>
      <c r="CKF22" s="19"/>
      <c r="CKG22" s="19"/>
      <c r="CKH22" s="19"/>
      <c r="CKI22" s="19"/>
      <c r="CKJ22" s="19"/>
      <c r="CKK22" s="19"/>
      <c r="CKL22" s="19"/>
      <c r="CKM22" s="19"/>
      <c r="CKN22" s="19"/>
      <c r="CKO22" s="19"/>
      <c r="CKP22" s="19"/>
      <c r="CKQ22" s="19"/>
      <c r="CKR22" s="19"/>
      <c r="CKS22" s="19"/>
      <c r="CKT22" s="19"/>
      <c r="CKU22" s="19"/>
      <c r="CKV22" s="19"/>
      <c r="CKW22" s="19"/>
      <c r="CKX22" s="19"/>
      <c r="CKY22" s="19"/>
      <c r="CKZ22" s="19"/>
      <c r="CLA22" s="19"/>
      <c r="CLB22" s="19"/>
      <c r="CLC22" s="19"/>
      <c r="CLD22" s="19"/>
      <c r="CLE22" s="19"/>
      <c r="CLF22" s="19"/>
      <c r="CLG22" s="19"/>
      <c r="CLH22" s="19"/>
      <c r="CLI22" s="19"/>
      <c r="CLJ22" s="19"/>
      <c r="CLK22" s="19"/>
      <c r="CLL22" s="19"/>
      <c r="CLM22" s="19"/>
      <c r="CLN22" s="19"/>
      <c r="CLO22" s="19"/>
      <c r="CLP22" s="19"/>
      <c r="CLQ22" s="19"/>
      <c r="CLR22" s="19"/>
      <c r="CLS22" s="19"/>
      <c r="CLT22" s="19"/>
      <c r="CLU22" s="19"/>
      <c r="CLV22" s="19"/>
      <c r="CLW22" s="19"/>
      <c r="CLX22" s="19"/>
      <c r="CLY22" s="19"/>
      <c r="CLZ22" s="19"/>
      <c r="CMA22" s="19"/>
      <c r="CMB22" s="19"/>
      <c r="CMC22" s="19"/>
      <c r="CMD22" s="19"/>
      <c r="CME22" s="19"/>
      <c r="CMF22" s="19"/>
      <c r="CMG22" s="19"/>
      <c r="CMH22" s="19"/>
      <c r="CMI22" s="19"/>
      <c r="CMJ22" s="19"/>
      <c r="CMK22" s="19"/>
      <c r="CML22" s="19"/>
      <c r="CMM22" s="19"/>
      <c r="CMN22" s="19"/>
      <c r="CMO22" s="19"/>
      <c r="CMP22" s="19"/>
      <c r="CMQ22" s="19"/>
      <c r="CMR22" s="19"/>
      <c r="CMS22" s="19"/>
      <c r="CMT22" s="19"/>
      <c r="CMU22" s="19"/>
      <c r="CMV22" s="19"/>
      <c r="CMW22" s="19"/>
      <c r="CMX22" s="19"/>
      <c r="CMY22" s="19"/>
      <c r="CMZ22" s="19"/>
      <c r="CNA22" s="19"/>
      <c r="CNB22" s="19"/>
      <c r="CNC22" s="19"/>
      <c r="CND22" s="19"/>
      <c r="CNE22" s="19"/>
      <c r="CNF22" s="19"/>
      <c r="CNG22" s="19"/>
      <c r="CNH22" s="19"/>
      <c r="CNI22" s="19"/>
      <c r="CNJ22" s="19"/>
      <c r="CNK22" s="19"/>
      <c r="CNL22" s="19"/>
      <c r="CNM22" s="19"/>
      <c r="CNN22" s="19"/>
      <c r="CNO22" s="19"/>
      <c r="CNP22" s="19"/>
      <c r="CNQ22" s="19"/>
      <c r="CNR22" s="19"/>
      <c r="CNS22" s="19"/>
      <c r="CNT22" s="19"/>
      <c r="CNU22" s="19"/>
      <c r="CNV22" s="19"/>
      <c r="CNW22" s="19"/>
      <c r="CNX22" s="19"/>
      <c r="CNY22" s="19"/>
      <c r="CNZ22" s="19"/>
      <c r="COA22" s="19"/>
      <c r="COB22" s="19"/>
      <c r="COC22" s="19"/>
      <c r="COD22" s="19"/>
      <c r="COE22" s="19"/>
      <c r="COF22" s="19"/>
      <c r="COG22" s="19"/>
      <c r="COH22" s="19"/>
      <c r="COI22" s="19"/>
      <c r="COJ22" s="19"/>
      <c r="COK22" s="19"/>
      <c r="COL22" s="19"/>
      <c r="COM22" s="19"/>
      <c r="CON22" s="19"/>
      <c r="COO22" s="19"/>
      <c r="COP22" s="19"/>
      <c r="COQ22" s="19"/>
      <c r="COR22" s="19"/>
      <c r="COS22" s="19"/>
      <c r="COT22" s="19"/>
      <c r="COU22" s="19"/>
      <c r="COV22" s="19"/>
      <c r="COW22" s="19"/>
      <c r="COX22" s="19"/>
      <c r="COY22" s="19"/>
      <c r="COZ22" s="19"/>
      <c r="CPA22" s="19"/>
      <c r="CPB22" s="19"/>
      <c r="CPC22" s="19"/>
      <c r="CPD22" s="19"/>
      <c r="CPE22" s="19"/>
      <c r="CPF22" s="19"/>
      <c r="CPG22" s="19"/>
      <c r="CPH22" s="19"/>
      <c r="CPI22" s="19"/>
      <c r="CPJ22" s="19"/>
      <c r="CPK22" s="19"/>
      <c r="CPL22" s="19"/>
      <c r="CPM22" s="19"/>
      <c r="CPN22" s="19"/>
      <c r="CPO22" s="19"/>
      <c r="CPP22" s="19"/>
      <c r="CPQ22" s="19"/>
      <c r="CPR22" s="19"/>
      <c r="CPS22" s="19"/>
      <c r="CPT22" s="19"/>
      <c r="CPU22" s="19"/>
      <c r="CPV22" s="19"/>
      <c r="CPW22" s="19"/>
      <c r="CPX22" s="19"/>
      <c r="CPY22" s="19"/>
      <c r="CPZ22" s="19"/>
      <c r="CQA22" s="19"/>
      <c r="CQB22" s="19"/>
      <c r="CQC22" s="19"/>
      <c r="CQD22" s="19"/>
      <c r="CQE22" s="19"/>
      <c r="CQF22" s="19"/>
      <c r="CQG22" s="19"/>
      <c r="CQH22" s="19"/>
      <c r="CQI22" s="19"/>
      <c r="CQJ22" s="19"/>
      <c r="CQK22" s="19"/>
      <c r="CQL22" s="19"/>
      <c r="CQM22" s="19"/>
      <c r="CQN22" s="19"/>
      <c r="CQO22" s="19"/>
      <c r="CQP22" s="19"/>
      <c r="CQQ22" s="19"/>
      <c r="CQR22" s="19"/>
      <c r="CQS22" s="19"/>
      <c r="CQT22" s="19"/>
      <c r="CQU22" s="19"/>
      <c r="CQV22" s="19"/>
      <c r="CQW22" s="19"/>
      <c r="CQX22" s="19"/>
      <c r="CQY22" s="19"/>
      <c r="CQZ22" s="19"/>
      <c r="CRA22" s="19"/>
      <c r="CRB22" s="19"/>
      <c r="CRC22" s="19"/>
      <c r="CRD22" s="19"/>
      <c r="CRE22" s="19"/>
      <c r="CRF22" s="19"/>
      <c r="CRG22" s="19"/>
      <c r="CRH22" s="19"/>
      <c r="CRI22" s="19"/>
      <c r="CRJ22" s="19"/>
      <c r="CRK22" s="19"/>
      <c r="CRL22" s="19"/>
      <c r="CRM22" s="19"/>
      <c r="CRN22" s="19"/>
      <c r="CRO22" s="19"/>
      <c r="CRP22" s="19"/>
      <c r="CRQ22" s="19"/>
      <c r="CRR22" s="19"/>
      <c r="CRS22" s="19"/>
      <c r="CRT22" s="19"/>
      <c r="CRU22" s="19"/>
      <c r="CRV22" s="19"/>
      <c r="CRW22" s="19"/>
      <c r="CRX22" s="19"/>
      <c r="CRY22" s="19"/>
      <c r="CRZ22" s="19"/>
      <c r="CSA22" s="19"/>
      <c r="CSB22" s="19"/>
      <c r="CSC22" s="19"/>
      <c r="CSD22" s="19"/>
      <c r="CSE22" s="19"/>
      <c r="CSF22" s="19"/>
      <c r="CSG22" s="19"/>
      <c r="CSH22" s="19"/>
      <c r="CSI22" s="19"/>
      <c r="CSJ22" s="19"/>
      <c r="CSK22" s="19"/>
      <c r="CSL22" s="19"/>
      <c r="CSM22" s="19"/>
      <c r="CSN22" s="19"/>
      <c r="CSO22" s="19"/>
      <c r="CSP22" s="19"/>
      <c r="CSQ22" s="19"/>
      <c r="CSR22" s="19"/>
      <c r="CSS22" s="19"/>
      <c r="CST22" s="19"/>
      <c r="CSU22" s="19"/>
      <c r="CSV22" s="19"/>
      <c r="CSW22" s="19"/>
      <c r="CSX22" s="19"/>
      <c r="CSY22" s="19"/>
      <c r="CSZ22" s="19"/>
      <c r="CTA22" s="19"/>
      <c r="CTB22" s="19"/>
      <c r="CTC22" s="19"/>
      <c r="CTD22" s="19"/>
      <c r="CTE22" s="19"/>
      <c r="CTF22" s="19"/>
      <c r="CTG22" s="19"/>
      <c r="CTH22" s="19"/>
      <c r="CTI22" s="19"/>
      <c r="CTJ22" s="19"/>
      <c r="CTK22" s="19"/>
      <c r="CTL22" s="19"/>
      <c r="CTM22" s="19"/>
      <c r="CTN22" s="19"/>
      <c r="CTO22" s="19"/>
      <c r="CTP22" s="19"/>
      <c r="CTQ22" s="19"/>
      <c r="CTR22" s="19"/>
      <c r="CTS22" s="19"/>
      <c r="CTT22" s="19"/>
      <c r="CTU22" s="19"/>
      <c r="CTV22" s="19"/>
      <c r="CTW22" s="19"/>
      <c r="CTX22" s="19"/>
      <c r="CTY22" s="19"/>
      <c r="CTZ22" s="19"/>
      <c r="CUA22" s="19"/>
      <c r="CUB22" s="19"/>
      <c r="CUC22" s="19"/>
      <c r="CUD22" s="19"/>
      <c r="CUE22" s="19"/>
      <c r="CUF22" s="19"/>
      <c r="CUG22" s="19"/>
      <c r="CUH22" s="19"/>
      <c r="CUI22" s="19"/>
      <c r="CUJ22" s="19"/>
      <c r="CUK22" s="19"/>
      <c r="CUL22" s="19"/>
      <c r="CUM22" s="19"/>
      <c r="CUN22" s="19"/>
      <c r="CUO22" s="19"/>
      <c r="CUP22" s="19"/>
      <c r="CUQ22" s="19"/>
      <c r="CUR22" s="19"/>
      <c r="CUS22" s="19"/>
      <c r="CUT22" s="19"/>
      <c r="CUU22" s="19"/>
      <c r="CUV22" s="19"/>
      <c r="CUW22" s="19"/>
      <c r="CUX22" s="19"/>
      <c r="CUY22" s="19"/>
      <c r="CUZ22" s="19"/>
      <c r="CVA22" s="19"/>
      <c r="CVB22" s="19"/>
      <c r="CVC22" s="19"/>
      <c r="CVD22" s="19"/>
      <c r="CVE22" s="19"/>
      <c r="CVF22" s="19"/>
      <c r="CVG22" s="19"/>
      <c r="CVH22" s="19"/>
      <c r="CVI22" s="19"/>
      <c r="CVJ22" s="19"/>
      <c r="CVK22" s="19"/>
      <c r="CVL22" s="19"/>
      <c r="CVM22" s="19"/>
      <c r="CVN22" s="19"/>
      <c r="CVO22" s="19"/>
      <c r="CVP22" s="19"/>
      <c r="CVQ22" s="19"/>
      <c r="CVR22" s="19"/>
      <c r="CVS22" s="19"/>
      <c r="CVT22" s="19"/>
      <c r="CVU22" s="19"/>
      <c r="CVV22" s="19"/>
      <c r="CVW22" s="19"/>
      <c r="CVX22" s="19"/>
      <c r="CVY22" s="19"/>
      <c r="CVZ22" s="19"/>
      <c r="CWA22" s="19"/>
      <c r="CWB22" s="19"/>
      <c r="CWC22" s="19"/>
      <c r="CWD22" s="19"/>
      <c r="CWE22" s="19"/>
      <c r="CWF22" s="19"/>
      <c r="CWG22" s="19"/>
      <c r="CWH22" s="19"/>
      <c r="CWI22" s="19"/>
      <c r="CWJ22" s="19"/>
      <c r="CWK22" s="19"/>
      <c r="CWL22" s="19"/>
      <c r="CWM22" s="19"/>
      <c r="CWN22" s="19"/>
      <c r="CWO22" s="19"/>
      <c r="CWP22" s="19"/>
      <c r="CWQ22" s="19"/>
      <c r="CWR22" s="19"/>
      <c r="CWS22" s="19"/>
      <c r="CWT22" s="19"/>
      <c r="CWU22" s="19"/>
      <c r="CWV22" s="19"/>
      <c r="CWW22" s="19"/>
      <c r="CWX22" s="19"/>
      <c r="CWY22" s="19"/>
      <c r="CWZ22" s="19"/>
      <c r="CXA22" s="19"/>
      <c r="CXB22" s="19"/>
      <c r="CXC22" s="19"/>
      <c r="CXD22" s="19"/>
      <c r="CXE22" s="19"/>
      <c r="CXF22" s="19"/>
      <c r="CXG22" s="19"/>
      <c r="CXH22" s="19"/>
      <c r="CXI22" s="19"/>
      <c r="CXJ22" s="19"/>
      <c r="CXK22" s="19"/>
      <c r="CXL22" s="19"/>
      <c r="CXM22" s="19"/>
      <c r="CXN22" s="19"/>
      <c r="CXO22" s="19"/>
      <c r="CXP22" s="19"/>
      <c r="CXQ22" s="19"/>
      <c r="CXR22" s="19"/>
      <c r="CXS22" s="19"/>
      <c r="CXT22" s="19"/>
      <c r="CXU22" s="19"/>
      <c r="CXV22" s="19"/>
      <c r="CXW22" s="19"/>
      <c r="CXX22" s="19"/>
      <c r="CXY22" s="19"/>
      <c r="CXZ22" s="19"/>
      <c r="CYA22" s="19"/>
      <c r="CYB22" s="19"/>
      <c r="CYC22" s="19"/>
      <c r="CYD22" s="19"/>
      <c r="CYE22" s="19"/>
      <c r="CYF22" s="19"/>
      <c r="CYG22" s="19"/>
      <c r="CYH22" s="19"/>
      <c r="CYI22" s="19"/>
      <c r="CYJ22" s="19"/>
      <c r="CYK22" s="19"/>
      <c r="CYL22" s="19"/>
      <c r="CYM22" s="19"/>
      <c r="CYN22" s="19"/>
      <c r="CYO22" s="19"/>
      <c r="CYP22" s="19"/>
      <c r="CYQ22" s="19"/>
      <c r="CYR22" s="19"/>
      <c r="CYS22" s="19"/>
      <c r="CYT22" s="19"/>
      <c r="CYU22" s="19"/>
      <c r="CYV22" s="19"/>
      <c r="CYW22" s="19"/>
      <c r="CYX22" s="19"/>
      <c r="CYY22" s="19"/>
      <c r="CYZ22" s="19"/>
      <c r="CZA22" s="19"/>
      <c r="CZB22" s="19"/>
      <c r="CZC22" s="19"/>
      <c r="CZD22" s="19"/>
      <c r="CZE22" s="19"/>
      <c r="CZF22" s="19"/>
      <c r="CZG22" s="19"/>
      <c r="CZH22" s="19"/>
      <c r="CZI22" s="19"/>
      <c r="CZJ22" s="19"/>
      <c r="CZK22" s="19"/>
      <c r="CZL22" s="19"/>
      <c r="CZM22" s="19"/>
      <c r="CZN22" s="19"/>
      <c r="CZO22" s="19"/>
      <c r="CZP22" s="19"/>
      <c r="CZQ22" s="19"/>
      <c r="CZR22" s="19"/>
      <c r="CZS22" s="19"/>
      <c r="CZT22" s="19"/>
      <c r="CZU22" s="19"/>
      <c r="CZV22" s="19"/>
      <c r="CZW22" s="19"/>
      <c r="CZX22" s="19"/>
      <c r="CZY22" s="19"/>
      <c r="CZZ22" s="19"/>
      <c r="DAA22" s="19"/>
      <c r="DAB22" s="19"/>
      <c r="DAC22" s="19"/>
      <c r="DAD22" s="19"/>
      <c r="DAE22" s="19"/>
      <c r="DAF22" s="19"/>
      <c r="DAG22" s="19"/>
      <c r="DAH22" s="19"/>
      <c r="DAI22" s="19"/>
      <c r="DAJ22" s="19"/>
      <c r="DAK22" s="19"/>
      <c r="DAL22" s="19"/>
      <c r="DAM22" s="19"/>
      <c r="DAN22" s="19"/>
      <c r="DAO22" s="19"/>
      <c r="DAP22" s="19"/>
      <c r="DAQ22" s="19"/>
      <c r="DAR22" s="19"/>
      <c r="DAS22" s="19"/>
      <c r="DAT22" s="19"/>
      <c r="DAU22" s="19"/>
      <c r="DAV22" s="19"/>
      <c r="DAW22" s="19"/>
      <c r="DAX22" s="19"/>
      <c r="DAY22" s="19"/>
      <c r="DAZ22" s="19"/>
      <c r="DBA22" s="19"/>
      <c r="DBB22" s="19"/>
      <c r="DBC22" s="19"/>
      <c r="DBD22" s="19"/>
      <c r="DBE22" s="19"/>
      <c r="DBF22" s="19"/>
      <c r="DBG22" s="19"/>
      <c r="DBH22" s="19"/>
      <c r="DBI22" s="19"/>
      <c r="DBJ22" s="19"/>
      <c r="DBK22" s="19"/>
      <c r="DBL22" s="19"/>
      <c r="DBM22" s="19"/>
      <c r="DBN22" s="19"/>
      <c r="DBO22" s="19"/>
      <c r="DBP22" s="19"/>
      <c r="DBQ22" s="19"/>
      <c r="DBR22" s="19"/>
      <c r="DBS22" s="19"/>
      <c r="DBT22" s="19"/>
      <c r="DBU22" s="19"/>
      <c r="DBV22" s="19"/>
      <c r="DBW22" s="19"/>
      <c r="DBX22" s="19"/>
      <c r="DBY22" s="19"/>
      <c r="DBZ22" s="19"/>
      <c r="DCA22" s="19"/>
      <c r="DCB22" s="19"/>
      <c r="DCC22" s="19"/>
      <c r="DCD22" s="19"/>
      <c r="DCE22" s="19"/>
      <c r="DCF22" s="19"/>
      <c r="DCG22" s="19"/>
      <c r="DCH22" s="19"/>
      <c r="DCI22" s="19"/>
      <c r="DCJ22" s="19"/>
      <c r="DCK22" s="19"/>
      <c r="DCL22" s="19"/>
      <c r="DCM22" s="19"/>
      <c r="DCN22" s="19"/>
      <c r="DCO22" s="19"/>
      <c r="DCP22" s="19"/>
      <c r="DCQ22" s="19"/>
      <c r="DCR22" s="19"/>
      <c r="DCS22" s="19"/>
      <c r="DCT22" s="19"/>
      <c r="DCU22" s="19"/>
      <c r="DCV22" s="19"/>
      <c r="DCW22" s="19"/>
      <c r="DCX22" s="19"/>
      <c r="DCY22" s="19"/>
      <c r="DCZ22" s="19"/>
      <c r="DDA22" s="19"/>
      <c r="DDB22" s="19"/>
      <c r="DDC22" s="19"/>
      <c r="DDD22" s="19"/>
      <c r="DDE22" s="19"/>
      <c r="DDF22" s="19"/>
      <c r="DDG22" s="19"/>
      <c r="DDH22" s="19"/>
      <c r="DDI22" s="19"/>
      <c r="DDJ22" s="19"/>
      <c r="DDK22" s="19"/>
      <c r="DDL22" s="19"/>
      <c r="DDM22" s="19"/>
      <c r="DDN22" s="19"/>
      <c r="DDO22" s="19"/>
      <c r="DDP22" s="19"/>
      <c r="DDQ22" s="19"/>
      <c r="DDR22" s="19"/>
      <c r="DDS22" s="19"/>
      <c r="DDT22" s="19"/>
      <c r="DDU22" s="19"/>
      <c r="DDV22" s="19"/>
      <c r="DDW22" s="19"/>
      <c r="DDX22" s="19"/>
      <c r="DDY22" s="19"/>
      <c r="DDZ22" s="19"/>
      <c r="DEA22" s="19"/>
      <c r="DEB22" s="19"/>
      <c r="DEC22" s="19"/>
      <c r="DED22" s="19"/>
      <c r="DEE22" s="19"/>
      <c r="DEF22" s="19"/>
      <c r="DEG22" s="19"/>
      <c r="DEH22" s="19"/>
      <c r="DEI22" s="19"/>
      <c r="DEJ22" s="19"/>
      <c r="DEK22" s="19"/>
      <c r="DEL22" s="19"/>
      <c r="DEM22" s="19"/>
      <c r="DEN22" s="19"/>
      <c r="DEO22" s="19"/>
      <c r="DEP22" s="19"/>
      <c r="DEQ22" s="19"/>
      <c r="DER22" s="19"/>
      <c r="DES22" s="19"/>
      <c r="DET22" s="19"/>
      <c r="DEU22" s="19"/>
      <c r="DEV22" s="19"/>
      <c r="DEW22" s="19"/>
      <c r="DEX22" s="19"/>
      <c r="DEY22" s="19"/>
      <c r="DEZ22" s="19"/>
      <c r="DFA22" s="19"/>
      <c r="DFB22" s="19"/>
      <c r="DFC22" s="19"/>
      <c r="DFD22" s="19"/>
      <c r="DFE22" s="19"/>
      <c r="DFF22" s="19"/>
      <c r="DFG22" s="19"/>
      <c r="DFH22" s="19"/>
      <c r="DFI22" s="19"/>
      <c r="DFJ22" s="19"/>
      <c r="DFK22" s="19"/>
      <c r="DFL22" s="19"/>
      <c r="DFM22" s="19"/>
      <c r="DFN22" s="19"/>
      <c r="DFO22" s="19"/>
      <c r="DFP22" s="19"/>
      <c r="DFQ22" s="19"/>
      <c r="DFR22" s="19"/>
      <c r="DFS22" s="19"/>
      <c r="DFT22" s="19"/>
      <c r="DFU22" s="19"/>
      <c r="DFV22" s="19"/>
      <c r="DFW22" s="19"/>
      <c r="DFX22" s="19"/>
      <c r="DFY22" s="19"/>
      <c r="DFZ22" s="19"/>
      <c r="DGA22" s="19"/>
      <c r="DGB22" s="19"/>
      <c r="DGC22" s="19"/>
      <c r="DGD22" s="19"/>
      <c r="DGE22" s="19"/>
      <c r="DGF22" s="19"/>
      <c r="DGG22" s="19"/>
      <c r="DGH22" s="19"/>
      <c r="DGI22" s="19"/>
      <c r="DGJ22" s="19"/>
      <c r="DGK22" s="19"/>
      <c r="DGL22" s="19"/>
      <c r="DGM22" s="19"/>
      <c r="DGN22" s="19"/>
      <c r="DGO22" s="19"/>
      <c r="DGP22" s="19"/>
      <c r="DGQ22" s="19"/>
      <c r="DGR22" s="19"/>
      <c r="DGS22" s="19"/>
      <c r="DGT22" s="19"/>
      <c r="DGU22" s="19"/>
      <c r="DGV22" s="19"/>
      <c r="DGW22" s="19"/>
      <c r="DGX22" s="19"/>
      <c r="DGY22" s="19"/>
      <c r="DGZ22" s="19"/>
      <c r="DHA22" s="19"/>
      <c r="DHB22" s="19"/>
      <c r="DHC22" s="19"/>
      <c r="DHD22" s="19"/>
      <c r="DHE22" s="19"/>
      <c r="DHF22" s="19"/>
      <c r="DHG22" s="19"/>
      <c r="DHH22" s="19"/>
      <c r="DHI22" s="19"/>
      <c r="DHJ22" s="19"/>
      <c r="DHK22" s="19"/>
      <c r="DHL22" s="19"/>
      <c r="DHM22" s="19"/>
      <c r="DHN22" s="19"/>
      <c r="DHO22" s="19"/>
      <c r="DHP22" s="19"/>
      <c r="DHQ22" s="19"/>
      <c r="DHR22" s="19"/>
      <c r="DHS22" s="19"/>
      <c r="DHT22" s="19"/>
      <c r="DHU22" s="19"/>
      <c r="DHV22" s="19"/>
      <c r="DHW22" s="19"/>
      <c r="DHX22" s="19"/>
      <c r="DHY22" s="19"/>
      <c r="DHZ22" s="19"/>
      <c r="DIA22" s="19"/>
      <c r="DIB22" s="19"/>
      <c r="DIC22" s="19"/>
      <c r="DID22" s="19"/>
      <c r="DIE22" s="19"/>
      <c r="DIF22" s="19"/>
      <c r="DIG22" s="19"/>
      <c r="DIH22" s="19"/>
      <c r="DII22" s="19"/>
      <c r="DIJ22" s="19"/>
      <c r="DIK22" s="19"/>
      <c r="DIL22" s="19"/>
      <c r="DIM22" s="19"/>
      <c r="DIN22" s="19"/>
      <c r="DIO22" s="19"/>
      <c r="DIP22" s="19"/>
      <c r="DIQ22" s="19"/>
      <c r="DIR22" s="19"/>
      <c r="DIS22" s="19"/>
      <c r="DIT22" s="19"/>
      <c r="DIU22" s="19"/>
      <c r="DIV22" s="19"/>
      <c r="DIW22" s="19"/>
      <c r="DIX22" s="19"/>
      <c r="DIY22" s="19"/>
      <c r="DIZ22" s="19"/>
      <c r="DJA22" s="19"/>
      <c r="DJB22" s="19"/>
      <c r="DJC22" s="19"/>
      <c r="DJD22" s="19"/>
      <c r="DJE22" s="19"/>
      <c r="DJF22" s="19"/>
      <c r="DJG22" s="19"/>
      <c r="DJH22" s="19"/>
      <c r="DJI22" s="19"/>
      <c r="DJJ22" s="19"/>
      <c r="DJK22" s="19"/>
      <c r="DJL22" s="19"/>
      <c r="DJM22" s="19"/>
      <c r="DJN22" s="19"/>
      <c r="DJO22" s="19"/>
      <c r="DJP22" s="19"/>
      <c r="DJQ22" s="19"/>
      <c r="DJR22" s="19"/>
      <c r="DJS22" s="19"/>
      <c r="DJT22" s="19"/>
      <c r="DJU22" s="19"/>
      <c r="DJV22" s="19"/>
      <c r="DJW22" s="19"/>
      <c r="DJX22" s="19"/>
      <c r="DJY22" s="19"/>
      <c r="DJZ22" s="19"/>
      <c r="DKA22" s="19"/>
      <c r="DKB22" s="19"/>
      <c r="DKC22" s="19"/>
      <c r="DKD22" s="19"/>
      <c r="DKE22" s="19"/>
      <c r="DKF22" s="19"/>
      <c r="DKG22" s="19"/>
      <c r="DKH22" s="19"/>
      <c r="DKI22" s="19"/>
      <c r="DKJ22" s="19"/>
      <c r="DKK22" s="19"/>
      <c r="DKL22" s="19"/>
      <c r="DKM22" s="19"/>
      <c r="DKN22" s="19"/>
      <c r="DKO22" s="19"/>
      <c r="DKP22" s="19"/>
      <c r="DKQ22" s="19"/>
      <c r="DKR22" s="19"/>
      <c r="DKS22" s="19"/>
      <c r="DKT22" s="19"/>
      <c r="DKU22" s="19"/>
      <c r="DKV22" s="19"/>
      <c r="DKW22" s="19"/>
      <c r="DKX22" s="19"/>
      <c r="DKY22" s="19"/>
      <c r="DKZ22" s="19"/>
      <c r="DLA22" s="19"/>
      <c r="DLB22" s="19"/>
      <c r="DLC22" s="19"/>
      <c r="DLD22" s="19"/>
      <c r="DLE22" s="19"/>
      <c r="DLF22" s="19"/>
      <c r="DLG22" s="19"/>
      <c r="DLH22" s="19"/>
      <c r="DLI22" s="19"/>
      <c r="DLJ22" s="19"/>
      <c r="DLK22" s="19"/>
      <c r="DLL22" s="19"/>
      <c r="DLM22" s="19"/>
      <c r="DLN22" s="19"/>
      <c r="DLO22" s="19"/>
      <c r="DLP22" s="19"/>
      <c r="DLQ22" s="19"/>
      <c r="DLR22" s="19"/>
      <c r="DLS22" s="19"/>
      <c r="DLT22" s="19"/>
      <c r="DLU22" s="19"/>
      <c r="DLV22" s="19"/>
      <c r="DLW22" s="19"/>
      <c r="DLX22" s="19"/>
      <c r="DLY22" s="19"/>
      <c r="DLZ22" s="19"/>
      <c r="DMA22" s="19"/>
      <c r="DMB22" s="19"/>
      <c r="DMC22" s="19"/>
      <c r="DMD22" s="19"/>
      <c r="DME22" s="19"/>
      <c r="DMF22" s="19"/>
      <c r="DMG22" s="19"/>
      <c r="DMH22" s="19"/>
      <c r="DMI22" s="19"/>
      <c r="DMJ22" s="19"/>
      <c r="DMK22" s="19"/>
      <c r="DML22" s="19"/>
      <c r="DMM22" s="19"/>
      <c r="DMN22" s="19"/>
      <c r="DMO22" s="19"/>
      <c r="DMP22" s="19"/>
      <c r="DMQ22" s="19"/>
      <c r="DMR22" s="19"/>
      <c r="DMS22" s="19"/>
      <c r="DMT22" s="19"/>
      <c r="DMU22" s="19"/>
      <c r="DMV22" s="19"/>
      <c r="DMW22" s="19"/>
      <c r="DMX22" s="19"/>
      <c r="DMY22" s="19"/>
      <c r="DMZ22" s="19"/>
      <c r="DNA22" s="19"/>
      <c r="DNB22" s="19"/>
      <c r="DNC22" s="19"/>
      <c r="DND22" s="19"/>
      <c r="DNE22" s="19"/>
      <c r="DNF22" s="19"/>
      <c r="DNG22" s="19"/>
      <c r="DNH22" s="19"/>
      <c r="DNI22" s="19"/>
      <c r="DNJ22" s="19"/>
      <c r="DNK22" s="19"/>
      <c r="DNL22" s="19"/>
      <c r="DNM22" s="19"/>
      <c r="DNN22" s="19"/>
      <c r="DNO22" s="19"/>
      <c r="DNP22" s="19"/>
      <c r="DNQ22" s="19"/>
      <c r="DNR22" s="19"/>
      <c r="DNS22" s="19"/>
      <c r="DNT22" s="19"/>
      <c r="DNU22" s="19"/>
      <c r="DNV22" s="19"/>
      <c r="DNW22" s="19"/>
      <c r="DNX22" s="19"/>
      <c r="DNY22" s="19"/>
      <c r="DNZ22" s="19"/>
      <c r="DOA22" s="19"/>
      <c r="DOB22" s="19"/>
      <c r="DOC22" s="19"/>
      <c r="DOD22" s="19"/>
      <c r="DOE22" s="19"/>
      <c r="DOF22" s="19"/>
      <c r="DOG22" s="19"/>
      <c r="DOH22" s="19"/>
      <c r="DOI22" s="19"/>
      <c r="DOJ22" s="19"/>
      <c r="DOK22" s="19"/>
      <c r="DOL22" s="19"/>
      <c r="DOM22" s="19"/>
      <c r="DON22" s="19"/>
      <c r="DOO22" s="19"/>
      <c r="DOP22" s="19"/>
      <c r="DOQ22" s="19"/>
      <c r="DOR22" s="19"/>
      <c r="DOS22" s="19"/>
      <c r="DOT22" s="19"/>
      <c r="DOU22" s="19"/>
      <c r="DOV22" s="19"/>
      <c r="DOW22" s="19"/>
      <c r="DOX22" s="19"/>
      <c r="DOY22" s="19"/>
      <c r="DOZ22" s="19"/>
      <c r="DPA22" s="19"/>
      <c r="DPB22" s="19"/>
      <c r="DPC22" s="19"/>
      <c r="DPD22" s="19"/>
      <c r="DPE22" s="19"/>
      <c r="DPF22" s="19"/>
      <c r="DPG22" s="19"/>
      <c r="DPH22" s="19"/>
      <c r="DPI22" s="19"/>
      <c r="DPJ22" s="19"/>
      <c r="DPK22" s="19"/>
      <c r="DPL22" s="19"/>
      <c r="DPM22" s="19"/>
      <c r="DPN22" s="19"/>
      <c r="DPO22" s="19"/>
      <c r="DPP22" s="19"/>
      <c r="DPQ22" s="19"/>
      <c r="DPR22" s="19"/>
      <c r="DPS22" s="19"/>
      <c r="DPT22" s="19"/>
      <c r="DPU22" s="19"/>
      <c r="DPV22" s="19"/>
      <c r="DPW22" s="19"/>
      <c r="DPX22" s="19"/>
      <c r="DPY22" s="19"/>
      <c r="DPZ22" s="19"/>
      <c r="DQA22" s="19"/>
      <c r="DQB22" s="19"/>
      <c r="DQC22" s="19"/>
      <c r="DQD22" s="19"/>
      <c r="DQE22" s="19"/>
      <c r="DQF22" s="19"/>
      <c r="DQG22" s="19"/>
      <c r="DQH22" s="19"/>
      <c r="DQI22" s="19"/>
      <c r="DQJ22" s="19"/>
      <c r="DQK22" s="19"/>
      <c r="DQL22" s="19"/>
      <c r="DQM22" s="19"/>
      <c r="DQN22" s="19"/>
      <c r="DQO22" s="19"/>
      <c r="DQP22" s="19"/>
      <c r="DQQ22" s="19"/>
      <c r="DQR22" s="19"/>
      <c r="DQS22" s="19"/>
      <c r="DQT22" s="19"/>
      <c r="DQU22" s="19"/>
      <c r="DQV22" s="19"/>
      <c r="DQW22" s="19"/>
      <c r="DQX22" s="19"/>
      <c r="DQY22" s="19"/>
      <c r="DQZ22" s="19"/>
      <c r="DRA22" s="19"/>
      <c r="DRB22" s="19"/>
      <c r="DRC22" s="19"/>
      <c r="DRD22" s="19"/>
      <c r="DRE22" s="19"/>
      <c r="DRF22" s="19"/>
      <c r="DRG22" s="19"/>
      <c r="DRH22" s="19"/>
      <c r="DRI22" s="19"/>
      <c r="DRJ22" s="19"/>
      <c r="DRK22" s="19"/>
      <c r="DRL22" s="19"/>
      <c r="DRM22" s="19"/>
      <c r="DRN22" s="19"/>
      <c r="DRO22" s="19"/>
      <c r="DRP22" s="19"/>
      <c r="DRQ22" s="19"/>
      <c r="DRR22" s="19"/>
      <c r="DRS22" s="19"/>
      <c r="DRT22" s="19"/>
      <c r="DRU22" s="19"/>
      <c r="DRV22" s="19"/>
      <c r="DRW22" s="19"/>
      <c r="DRX22" s="19"/>
      <c r="DRY22" s="19"/>
      <c r="DRZ22" s="19"/>
      <c r="DSA22" s="19"/>
      <c r="DSB22" s="19"/>
      <c r="DSC22" s="19"/>
      <c r="DSD22" s="19"/>
      <c r="DSE22" s="19"/>
      <c r="DSF22" s="19"/>
      <c r="DSG22" s="19"/>
      <c r="DSH22" s="19"/>
      <c r="DSI22" s="19"/>
      <c r="DSJ22" s="19"/>
      <c r="DSK22" s="19"/>
      <c r="DSL22" s="19"/>
      <c r="DSM22" s="19"/>
      <c r="DSN22" s="19"/>
      <c r="DSO22" s="19"/>
      <c r="DSP22" s="19"/>
      <c r="DSQ22" s="19"/>
      <c r="DSR22" s="19"/>
      <c r="DSS22" s="19"/>
      <c r="DST22" s="19"/>
      <c r="DSU22" s="19"/>
      <c r="DSV22" s="19"/>
      <c r="DSW22" s="19"/>
      <c r="DSX22" s="19"/>
      <c r="DSY22" s="19"/>
      <c r="DSZ22" s="19"/>
      <c r="DTA22" s="19"/>
      <c r="DTB22" s="19"/>
      <c r="DTC22" s="19"/>
      <c r="DTD22" s="19"/>
      <c r="DTE22" s="19"/>
      <c r="DTF22" s="19"/>
      <c r="DTG22" s="19"/>
      <c r="DTH22" s="19"/>
      <c r="DTI22" s="19"/>
      <c r="DTJ22" s="19"/>
      <c r="DTK22" s="19"/>
      <c r="DTL22" s="19"/>
      <c r="DTM22" s="19"/>
      <c r="DTN22" s="19"/>
      <c r="DTO22" s="19"/>
      <c r="DTP22" s="19"/>
      <c r="DTQ22" s="19"/>
      <c r="DTR22" s="19"/>
      <c r="DTS22" s="19"/>
      <c r="DTT22" s="19"/>
      <c r="DTU22" s="19"/>
      <c r="DTV22" s="19"/>
      <c r="DTW22" s="19"/>
      <c r="DTX22" s="19"/>
      <c r="DTY22" s="19"/>
      <c r="DTZ22" s="19"/>
      <c r="DUA22" s="19"/>
      <c r="DUB22" s="19"/>
      <c r="DUC22" s="19"/>
      <c r="DUD22" s="19"/>
      <c r="DUE22" s="19"/>
      <c r="DUF22" s="19"/>
      <c r="DUG22" s="19"/>
      <c r="DUH22" s="19"/>
      <c r="DUI22" s="19"/>
      <c r="DUJ22" s="19"/>
      <c r="DUK22" s="19"/>
      <c r="DUL22" s="19"/>
      <c r="DUM22" s="19"/>
      <c r="DUN22" s="19"/>
      <c r="DUO22" s="19"/>
      <c r="DUP22" s="19"/>
      <c r="DUQ22" s="19"/>
      <c r="DUR22" s="19"/>
      <c r="DUS22" s="19"/>
      <c r="DUT22" s="19"/>
      <c r="DUU22" s="19"/>
      <c r="DUV22" s="19"/>
      <c r="DUW22" s="19"/>
      <c r="DUX22" s="19"/>
      <c r="DUY22" s="19"/>
      <c r="DUZ22" s="19"/>
      <c r="DVA22" s="19"/>
      <c r="DVB22" s="19"/>
      <c r="DVC22" s="19"/>
      <c r="DVD22" s="19"/>
      <c r="DVE22" s="19"/>
      <c r="DVF22" s="19"/>
      <c r="DVG22" s="19"/>
      <c r="DVH22" s="19"/>
      <c r="DVI22" s="19"/>
      <c r="DVJ22" s="19"/>
      <c r="DVK22" s="19"/>
      <c r="DVL22" s="19"/>
      <c r="DVM22" s="19"/>
      <c r="DVN22" s="19"/>
      <c r="DVO22" s="19"/>
      <c r="DVP22" s="19"/>
      <c r="DVQ22" s="19"/>
      <c r="DVR22" s="19"/>
      <c r="DVS22" s="19"/>
      <c r="DVT22" s="19"/>
      <c r="DVU22" s="19"/>
      <c r="DVV22" s="19"/>
      <c r="DVW22" s="19"/>
      <c r="DVX22" s="19"/>
      <c r="DVY22" s="19"/>
      <c r="DVZ22" s="19"/>
      <c r="DWA22" s="19"/>
      <c r="DWB22" s="19"/>
      <c r="DWC22" s="19"/>
      <c r="DWD22" s="19"/>
      <c r="DWE22" s="19"/>
      <c r="DWF22" s="19"/>
      <c r="DWG22" s="19"/>
      <c r="DWH22" s="19"/>
      <c r="DWI22" s="19"/>
      <c r="DWJ22" s="19"/>
      <c r="DWK22" s="19"/>
      <c r="DWL22" s="19"/>
      <c r="DWM22" s="19"/>
      <c r="DWN22" s="19"/>
      <c r="DWO22" s="19"/>
      <c r="DWP22" s="19"/>
      <c r="DWQ22" s="19"/>
      <c r="DWR22" s="19"/>
      <c r="DWS22" s="19"/>
      <c r="DWT22" s="19"/>
      <c r="DWU22" s="19"/>
      <c r="DWV22" s="19"/>
      <c r="DWW22" s="19"/>
      <c r="DWX22" s="19"/>
      <c r="DWY22" s="19"/>
      <c r="DWZ22" s="19"/>
      <c r="DXA22" s="19"/>
      <c r="DXB22" s="19"/>
      <c r="DXC22" s="19"/>
      <c r="DXD22" s="19"/>
      <c r="DXE22" s="19"/>
      <c r="DXF22" s="19"/>
      <c r="DXG22" s="19"/>
      <c r="DXH22" s="19"/>
      <c r="DXI22" s="19"/>
      <c r="DXJ22" s="19"/>
      <c r="DXK22" s="19"/>
      <c r="DXL22" s="19"/>
      <c r="DXM22" s="19"/>
      <c r="DXN22" s="19"/>
      <c r="DXO22" s="19"/>
      <c r="DXP22" s="19"/>
      <c r="DXQ22" s="19"/>
      <c r="DXR22" s="19"/>
      <c r="DXS22" s="19"/>
      <c r="DXT22" s="19"/>
      <c r="DXU22" s="19"/>
      <c r="DXV22" s="19"/>
      <c r="DXW22" s="19"/>
      <c r="DXX22" s="19"/>
      <c r="DXY22" s="19"/>
      <c r="DXZ22" s="19"/>
      <c r="DYA22" s="19"/>
      <c r="DYB22" s="19"/>
      <c r="DYC22" s="19"/>
      <c r="DYD22" s="19"/>
      <c r="DYE22" s="19"/>
      <c r="DYF22" s="19"/>
      <c r="DYG22" s="19"/>
      <c r="DYH22" s="19"/>
      <c r="DYI22" s="19"/>
      <c r="DYJ22" s="19"/>
      <c r="DYK22" s="19"/>
      <c r="DYL22" s="19"/>
      <c r="DYM22" s="19"/>
      <c r="DYN22" s="19"/>
      <c r="DYO22" s="19"/>
      <c r="DYP22" s="19"/>
      <c r="DYQ22" s="19"/>
      <c r="DYR22" s="19"/>
      <c r="DYS22" s="19"/>
      <c r="DYT22" s="19"/>
      <c r="DYU22" s="19"/>
      <c r="DYV22" s="19"/>
      <c r="DYW22" s="19"/>
      <c r="DYX22" s="19"/>
      <c r="DYY22" s="19"/>
      <c r="DYZ22" s="19"/>
      <c r="DZA22" s="19"/>
      <c r="DZB22" s="19"/>
      <c r="DZC22" s="19"/>
      <c r="DZD22" s="19"/>
      <c r="DZE22" s="19"/>
      <c r="DZF22" s="19"/>
      <c r="DZG22" s="19"/>
      <c r="DZH22" s="19"/>
      <c r="DZI22" s="19"/>
      <c r="DZJ22" s="19"/>
      <c r="DZK22" s="19"/>
      <c r="DZL22" s="19"/>
      <c r="DZM22" s="19"/>
      <c r="DZN22" s="19"/>
      <c r="DZO22" s="19"/>
      <c r="DZP22" s="19"/>
      <c r="DZQ22" s="19"/>
      <c r="DZR22" s="19"/>
      <c r="DZS22" s="19"/>
      <c r="DZT22" s="19"/>
      <c r="DZU22" s="19"/>
      <c r="DZV22" s="19"/>
      <c r="DZW22" s="19"/>
      <c r="DZX22" s="19"/>
      <c r="DZY22" s="19"/>
      <c r="DZZ22" s="19"/>
      <c r="EAA22" s="19"/>
      <c r="EAB22" s="19"/>
      <c r="EAC22" s="19"/>
      <c r="EAD22" s="19"/>
      <c r="EAE22" s="19"/>
      <c r="EAF22" s="19"/>
      <c r="EAG22" s="19"/>
      <c r="EAH22" s="19"/>
      <c r="EAI22" s="19"/>
      <c r="EAJ22" s="19"/>
      <c r="EAK22" s="19"/>
      <c r="EAL22" s="19"/>
      <c r="EAM22" s="19"/>
      <c r="EAN22" s="19"/>
      <c r="EAO22" s="19"/>
      <c r="EAP22" s="19"/>
      <c r="EAQ22" s="19"/>
      <c r="EAR22" s="19"/>
      <c r="EAS22" s="19"/>
      <c r="EAT22" s="19"/>
      <c r="EAU22" s="19"/>
      <c r="EAV22" s="19"/>
      <c r="EAW22" s="19"/>
      <c r="EAX22" s="19"/>
      <c r="EAY22" s="19"/>
      <c r="EAZ22" s="19"/>
      <c r="EBA22" s="19"/>
      <c r="EBB22" s="19"/>
      <c r="EBC22" s="19"/>
      <c r="EBD22" s="19"/>
      <c r="EBE22" s="19"/>
      <c r="EBF22" s="19"/>
      <c r="EBG22" s="19"/>
      <c r="EBH22" s="19"/>
      <c r="EBI22" s="19"/>
      <c r="EBJ22" s="19"/>
      <c r="EBK22" s="19"/>
      <c r="EBL22" s="19"/>
      <c r="EBM22" s="19"/>
      <c r="EBN22" s="19"/>
      <c r="EBO22" s="19"/>
      <c r="EBP22" s="19"/>
      <c r="EBQ22" s="19"/>
      <c r="EBR22" s="19"/>
      <c r="EBS22" s="19"/>
      <c r="EBT22" s="19"/>
      <c r="EBU22" s="19"/>
      <c r="EBV22" s="19"/>
      <c r="EBW22" s="19"/>
      <c r="EBX22" s="19"/>
      <c r="EBY22" s="19"/>
      <c r="EBZ22" s="19"/>
      <c r="ECA22" s="19"/>
      <c r="ECB22" s="19"/>
      <c r="ECC22" s="19"/>
      <c r="ECD22" s="19"/>
      <c r="ECE22" s="19"/>
      <c r="ECF22" s="19"/>
      <c r="ECG22" s="19"/>
      <c r="ECH22" s="19"/>
      <c r="ECI22" s="19"/>
      <c r="ECJ22" s="19"/>
      <c r="ECK22" s="19"/>
      <c r="ECL22" s="19"/>
      <c r="ECM22" s="19"/>
      <c r="ECN22" s="19"/>
      <c r="ECO22" s="19"/>
      <c r="ECP22" s="19"/>
      <c r="ECQ22" s="19"/>
      <c r="ECR22" s="19"/>
      <c r="ECS22" s="19"/>
      <c r="ECT22" s="19"/>
      <c r="ECU22" s="19"/>
      <c r="ECV22" s="19"/>
      <c r="ECW22" s="19"/>
      <c r="ECX22" s="19"/>
      <c r="ECY22" s="19"/>
      <c r="ECZ22" s="19"/>
      <c r="EDA22" s="19"/>
      <c r="EDB22" s="19"/>
      <c r="EDC22" s="19"/>
      <c r="EDD22" s="19"/>
      <c r="EDE22" s="19"/>
      <c r="EDF22" s="19"/>
      <c r="EDG22" s="19"/>
      <c r="EDH22" s="19"/>
      <c r="EDI22" s="19"/>
      <c r="EDJ22" s="19"/>
      <c r="EDK22" s="19"/>
      <c r="EDL22" s="19"/>
      <c r="EDM22" s="19"/>
      <c r="EDN22" s="19"/>
      <c r="EDO22" s="19"/>
      <c r="EDP22" s="19"/>
      <c r="EDQ22" s="19"/>
      <c r="EDR22" s="19"/>
      <c r="EDS22" s="19"/>
      <c r="EDT22" s="19"/>
      <c r="EDU22" s="19"/>
      <c r="EDV22" s="19"/>
      <c r="EDW22" s="19"/>
      <c r="EDX22" s="19"/>
      <c r="EDY22" s="19"/>
      <c r="EDZ22" s="19"/>
      <c r="EEA22" s="19"/>
      <c r="EEB22" s="19"/>
      <c r="EEC22" s="19"/>
      <c r="EED22" s="19"/>
      <c r="EEE22" s="19"/>
      <c r="EEF22" s="19"/>
      <c r="EEG22" s="19"/>
      <c r="EEH22" s="19"/>
      <c r="EEI22" s="19"/>
      <c r="EEJ22" s="19"/>
      <c r="EEK22" s="19"/>
      <c r="EEL22" s="19"/>
      <c r="EEM22" s="19"/>
      <c r="EEN22" s="19"/>
      <c r="EEO22" s="19"/>
      <c r="EEP22" s="19"/>
      <c r="EEQ22" s="19"/>
      <c r="EER22" s="19"/>
      <c r="EES22" s="19"/>
      <c r="EET22" s="19"/>
      <c r="EEU22" s="19"/>
      <c r="EEV22" s="19"/>
      <c r="EEW22" s="19"/>
      <c r="EEX22" s="19"/>
      <c r="EEY22" s="19"/>
      <c r="EEZ22" s="19"/>
      <c r="EFA22" s="19"/>
      <c r="EFB22" s="19"/>
      <c r="EFC22" s="19"/>
      <c r="EFD22" s="19"/>
      <c r="EFE22" s="19"/>
      <c r="EFF22" s="19"/>
      <c r="EFG22" s="19"/>
      <c r="EFH22" s="19"/>
      <c r="EFI22" s="19"/>
      <c r="EFJ22" s="19"/>
      <c r="EFK22" s="19"/>
      <c r="EFL22" s="19"/>
      <c r="EFM22" s="19"/>
      <c r="EFN22" s="19"/>
      <c r="EFO22" s="19"/>
      <c r="EFP22" s="19"/>
      <c r="EFQ22" s="19"/>
      <c r="EFR22" s="19"/>
      <c r="EFS22" s="19"/>
      <c r="EFT22" s="19"/>
      <c r="EFU22" s="19"/>
      <c r="EFV22" s="19"/>
      <c r="EFW22" s="19"/>
      <c r="EFX22" s="19"/>
      <c r="EFY22" s="19"/>
      <c r="EFZ22" s="19"/>
      <c r="EGA22" s="19"/>
      <c r="EGB22" s="19"/>
      <c r="EGC22" s="19"/>
      <c r="EGD22" s="19"/>
      <c r="EGE22" s="19"/>
      <c r="EGF22" s="19"/>
      <c r="EGG22" s="19"/>
      <c r="EGH22" s="19"/>
      <c r="EGI22" s="19"/>
      <c r="EGJ22" s="19"/>
      <c r="EGK22" s="19"/>
      <c r="EGL22" s="19"/>
      <c r="EGM22" s="19"/>
      <c r="EGN22" s="19"/>
      <c r="EGO22" s="19"/>
      <c r="EGP22" s="19"/>
      <c r="EGQ22" s="19"/>
      <c r="EGR22" s="19"/>
      <c r="EGS22" s="19"/>
      <c r="EGT22" s="19"/>
      <c r="EGU22" s="19"/>
      <c r="EGV22" s="19"/>
      <c r="EGW22" s="19"/>
      <c r="EGX22" s="19"/>
      <c r="EGY22" s="19"/>
      <c r="EGZ22" s="19"/>
      <c r="EHA22" s="19"/>
      <c r="EHB22" s="19"/>
      <c r="EHC22" s="19"/>
      <c r="EHD22" s="19"/>
      <c r="EHE22" s="19"/>
      <c r="EHF22" s="19"/>
      <c r="EHG22" s="19"/>
      <c r="EHH22" s="19"/>
      <c r="EHI22" s="19"/>
      <c r="EHJ22" s="19"/>
      <c r="EHK22" s="19"/>
      <c r="EHL22" s="19"/>
      <c r="EHM22" s="19"/>
      <c r="EHN22" s="19"/>
      <c r="EHO22" s="19"/>
      <c r="EHP22" s="19"/>
      <c r="EHQ22" s="19"/>
      <c r="EHR22" s="19"/>
      <c r="EHS22" s="19"/>
      <c r="EHT22" s="19"/>
      <c r="EHU22" s="19"/>
      <c r="EHV22" s="19"/>
      <c r="EHW22" s="19"/>
      <c r="EHX22" s="19"/>
      <c r="EHY22" s="19"/>
      <c r="EHZ22" s="19"/>
      <c r="EIA22" s="19"/>
      <c r="EIB22" s="19"/>
      <c r="EIC22" s="19"/>
      <c r="EID22" s="19"/>
      <c r="EIE22" s="19"/>
      <c r="EIF22" s="19"/>
      <c r="EIG22" s="19"/>
      <c r="EIH22" s="19"/>
      <c r="EII22" s="19"/>
      <c r="EIJ22" s="19"/>
      <c r="EIK22" s="19"/>
      <c r="EIL22" s="19"/>
      <c r="EIM22" s="19"/>
      <c r="EIN22" s="19"/>
      <c r="EIO22" s="19"/>
      <c r="EIP22" s="19"/>
      <c r="EIQ22" s="19"/>
      <c r="EIR22" s="19"/>
      <c r="EIS22" s="19"/>
      <c r="EIT22" s="19"/>
      <c r="EIU22" s="19"/>
      <c r="EIV22" s="19"/>
      <c r="EIW22" s="19"/>
      <c r="EIX22" s="19"/>
      <c r="EIY22" s="19"/>
      <c r="EIZ22" s="19"/>
      <c r="EJA22" s="19"/>
      <c r="EJB22" s="19"/>
      <c r="EJC22" s="19"/>
      <c r="EJD22" s="19"/>
      <c r="EJE22" s="19"/>
      <c r="EJF22" s="19"/>
      <c r="EJG22" s="19"/>
      <c r="EJH22" s="19"/>
      <c r="EJI22" s="19"/>
      <c r="EJJ22" s="19"/>
      <c r="EJK22" s="19"/>
      <c r="EJL22" s="19"/>
      <c r="EJM22" s="19"/>
      <c r="EJN22" s="19"/>
      <c r="EJO22" s="19"/>
      <c r="EJP22" s="19"/>
      <c r="EJQ22" s="19"/>
      <c r="EJR22" s="19"/>
      <c r="EJS22" s="19"/>
      <c r="EJT22" s="19"/>
      <c r="EJU22" s="19"/>
      <c r="EJV22" s="19"/>
      <c r="EJW22" s="19"/>
      <c r="EJX22" s="19"/>
      <c r="EJY22" s="19"/>
      <c r="EJZ22" s="19"/>
      <c r="EKA22" s="19"/>
      <c r="EKB22" s="19"/>
      <c r="EKC22" s="19"/>
      <c r="EKD22" s="19"/>
      <c r="EKE22" s="19"/>
      <c r="EKF22" s="19"/>
      <c r="EKG22" s="19"/>
      <c r="EKH22" s="19"/>
      <c r="EKI22" s="19"/>
      <c r="EKJ22" s="19"/>
      <c r="EKK22" s="19"/>
      <c r="EKL22" s="19"/>
      <c r="EKM22" s="19"/>
      <c r="EKN22" s="19"/>
      <c r="EKO22" s="19"/>
      <c r="EKP22" s="19"/>
      <c r="EKQ22" s="19"/>
      <c r="EKR22" s="19"/>
      <c r="EKS22" s="19"/>
      <c r="EKT22" s="19"/>
      <c r="EKU22" s="19"/>
      <c r="EKV22" s="19"/>
      <c r="EKW22" s="19"/>
      <c r="EKX22" s="19"/>
      <c r="EKY22" s="19"/>
      <c r="EKZ22" s="19"/>
      <c r="ELA22" s="19"/>
      <c r="ELB22" s="19"/>
      <c r="ELC22" s="19"/>
      <c r="ELD22" s="19"/>
      <c r="ELE22" s="19"/>
      <c r="ELF22" s="19"/>
      <c r="ELG22" s="19"/>
      <c r="ELH22" s="19"/>
      <c r="ELI22" s="19"/>
      <c r="ELJ22" s="19"/>
      <c r="ELK22" s="19"/>
      <c r="ELL22" s="19"/>
      <c r="ELM22" s="19"/>
      <c r="ELN22" s="19"/>
      <c r="ELO22" s="19"/>
      <c r="ELP22" s="19"/>
      <c r="ELQ22" s="19"/>
      <c r="ELR22" s="19"/>
      <c r="ELS22" s="19"/>
      <c r="ELT22" s="19"/>
      <c r="ELU22" s="19"/>
      <c r="ELV22" s="19"/>
      <c r="ELW22" s="19"/>
      <c r="ELX22" s="19"/>
      <c r="ELY22" s="19"/>
      <c r="ELZ22" s="19"/>
      <c r="EMA22" s="19"/>
      <c r="EMB22" s="19"/>
      <c r="EMC22" s="19"/>
      <c r="EMD22" s="19"/>
      <c r="EME22" s="19"/>
      <c r="EMF22" s="19"/>
      <c r="EMG22" s="19"/>
      <c r="EMH22" s="19"/>
      <c r="EMI22" s="19"/>
      <c r="EMJ22" s="19"/>
      <c r="EMK22" s="19"/>
      <c r="EML22" s="19"/>
      <c r="EMM22" s="19"/>
      <c r="EMN22" s="19"/>
      <c r="EMO22" s="19"/>
      <c r="EMP22" s="19"/>
      <c r="EMQ22" s="19"/>
      <c r="EMR22" s="19"/>
      <c r="EMS22" s="19"/>
      <c r="EMT22" s="19"/>
      <c r="EMU22" s="19"/>
      <c r="EMV22" s="19"/>
      <c r="EMW22" s="19"/>
      <c r="EMX22" s="19"/>
      <c r="EMY22" s="19"/>
      <c r="EMZ22" s="19"/>
      <c r="ENA22" s="19"/>
      <c r="ENB22" s="19"/>
      <c r="ENC22" s="19"/>
      <c r="END22" s="19"/>
      <c r="ENE22" s="19"/>
      <c r="ENF22" s="19"/>
      <c r="ENG22" s="19"/>
      <c r="ENH22" s="19"/>
      <c r="ENI22" s="19"/>
      <c r="ENJ22" s="19"/>
      <c r="ENK22" s="19"/>
      <c r="ENL22" s="19"/>
      <c r="ENM22" s="19"/>
      <c r="ENN22" s="19"/>
      <c r="ENO22" s="19"/>
      <c r="ENP22" s="19"/>
      <c r="ENQ22" s="19"/>
      <c r="ENR22" s="19"/>
      <c r="ENS22" s="19"/>
      <c r="ENT22" s="19"/>
      <c r="ENU22" s="19"/>
      <c r="ENV22" s="19"/>
      <c r="ENW22" s="19"/>
      <c r="ENX22" s="19"/>
      <c r="ENY22" s="19"/>
      <c r="ENZ22" s="19"/>
      <c r="EOA22" s="19"/>
      <c r="EOB22" s="19"/>
      <c r="EOC22" s="19"/>
      <c r="EOD22" s="19"/>
      <c r="EOE22" s="19"/>
      <c r="EOF22" s="19"/>
      <c r="EOG22" s="19"/>
      <c r="EOH22" s="19"/>
      <c r="EOI22" s="19"/>
      <c r="EOJ22" s="19"/>
      <c r="EOK22" s="19"/>
      <c r="EOL22" s="19"/>
      <c r="EOM22" s="19"/>
      <c r="EON22" s="19"/>
      <c r="EOO22" s="19"/>
      <c r="EOP22" s="19"/>
      <c r="EOQ22" s="19"/>
      <c r="EOR22" s="19"/>
      <c r="EOS22" s="19"/>
      <c r="EOT22" s="19"/>
      <c r="EOU22" s="19"/>
      <c r="EOV22" s="19"/>
      <c r="EOW22" s="19"/>
      <c r="EOX22" s="19"/>
      <c r="EOY22" s="19"/>
      <c r="EOZ22" s="19"/>
      <c r="EPA22" s="19"/>
      <c r="EPB22" s="19"/>
      <c r="EPC22" s="19"/>
      <c r="EPD22" s="19"/>
      <c r="EPE22" s="19"/>
      <c r="EPF22" s="19"/>
      <c r="EPG22" s="19"/>
      <c r="EPH22" s="19"/>
      <c r="EPI22" s="19"/>
      <c r="EPJ22" s="19"/>
      <c r="EPK22" s="19"/>
      <c r="EPL22" s="19"/>
      <c r="EPM22" s="19"/>
      <c r="EPN22" s="19"/>
      <c r="EPO22" s="19"/>
      <c r="EPP22" s="19"/>
      <c r="EPQ22" s="19"/>
      <c r="EPR22" s="19"/>
      <c r="EPS22" s="19"/>
      <c r="EPT22" s="19"/>
      <c r="EPU22" s="19"/>
      <c r="EPV22" s="19"/>
      <c r="EPW22" s="19"/>
      <c r="EPX22" s="19"/>
      <c r="EPY22" s="19"/>
      <c r="EPZ22" s="19"/>
      <c r="EQA22" s="19"/>
      <c r="EQB22" s="19"/>
      <c r="EQC22" s="19"/>
      <c r="EQD22" s="19"/>
      <c r="EQE22" s="19"/>
      <c r="EQF22" s="19"/>
      <c r="EQG22" s="19"/>
      <c r="EQH22" s="19"/>
      <c r="EQI22" s="19"/>
      <c r="EQJ22" s="19"/>
      <c r="EQK22" s="19"/>
      <c r="EQL22" s="19"/>
      <c r="EQM22" s="19"/>
      <c r="EQN22" s="19"/>
      <c r="EQO22" s="19"/>
      <c r="EQP22" s="19"/>
      <c r="EQQ22" s="19"/>
      <c r="EQR22" s="19"/>
      <c r="EQS22" s="19"/>
      <c r="EQT22" s="19"/>
      <c r="EQU22" s="19"/>
      <c r="EQV22" s="19"/>
      <c r="EQW22" s="19"/>
      <c r="EQX22" s="19"/>
      <c r="EQY22" s="19"/>
      <c r="EQZ22" s="19"/>
      <c r="ERA22" s="19"/>
      <c r="ERB22" s="19"/>
      <c r="ERC22" s="19"/>
      <c r="ERD22" s="19"/>
      <c r="ERE22" s="19"/>
      <c r="ERF22" s="19"/>
      <c r="ERG22" s="19"/>
      <c r="ERH22" s="19"/>
      <c r="ERI22" s="19"/>
      <c r="ERJ22" s="19"/>
      <c r="ERK22" s="19"/>
      <c r="ERL22" s="19"/>
      <c r="ERM22" s="19"/>
      <c r="ERN22" s="19"/>
      <c r="ERO22" s="19"/>
      <c r="ERP22" s="19"/>
      <c r="ERQ22" s="19"/>
      <c r="ERR22" s="19"/>
      <c r="ERS22" s="19"/>
      <c r="ERT22" s="19"/>
      <c r="ERU22" s="19"/>
      <c r="ERV22" s="19"/>
      <c r="ERW22" s="19"/>
      <c r="ERX22" s="19"/>
      <c r="ERY22" s="19"/>
      <c r="ERZ22" s="19"/>
      <c r="ESA22" s="19"/>
      <c r="ESB22" s="19"/>
      <c r="ESC22" s="19"/>
      <c r="ESD22" s="19"/>
      <c r="ESE22" s="19"/>
      <c r="ESF22" s="19"/>
      <c r="ESG22" s="19"/>
      <c r="ESH22" s="19"/>
      <c r="ESI22" s="19"/>
      <c r="ESJ22" s="19"/>
      <c r="ESK22" s="19"/>
      <c r="ESL22" s="19"/>
      <c r="ESM22" s="19"/>
      <c r="ESN22" s="19"/>
      <c r="ESO22" s="19"/>
      <c r="ESP22" s="19"/>
      <c r="ESQ22" s="19"/>
      <c r="ESR22" s="19"/>
      <c r="ESS22" s="19"/>
      <c r="EST22" s="19"/>
      <c r="ESU22" s="19"/>
      <c r="ESV22" s="19"/>
      <c r="ESW22" s="19"/>
      <c r="ESX22" s="19"/>
      <c r="ESY22" s="19"/>
      <c r="ESZ22" s="19"/>
      <c r="ETA22" s="19"/>
      <c r="ETB22" s="19"/>
      <c r="ETC22" s="19"/>
      <c r="ETD22" s="19"/>
      <c r="ETE22" s="19"/>
      <c r="ETF22" s="19"/>
      <c r="ETG22" s="19"/>
      <c r="ETH22" s="19"/>
      <c r="ETI22" s="19"/>
      <c r="ETJ22" s="19"/>
      <c r="ETK22" s="19"/>
      <c r="ETL22" s="19"/>
      <c r="ETM22" s="19"/>
      <c r="ETN22" s="19"/>
      <c r="ETO22" s="19"/>
      <c r="ETP22" s="19"/>
      <c r="ETQ22" s="19"/>
      <c r="ETR22" s="19"/>
      <c r="ETS22" s="19"/>
      <c r="ETT22" s="19"/>
      <c r="ETU22" s="19"/>
      <c r="ETV22" s="19"/>
      <c r="ETW22" s="19"/>
      <c r="ETX22" s="19"/>
      <c r="ETY22" s="19"/>
      <c r="ETZ22" s="19"/>
      <c r="EUA22" s="19"/>
      <c r="EUB22" s="19"/>
      <c r="EUC22" s="19"/>
      <c r="EUD22" s="19"/>
      <c r="EUE22" s="19"/>
      <c r="EUF22" s="19"/>
      <c r="EUG22" s="19"/>
      <c r="EUH22" s="19"/>
      <c r="EUI22" s="19"/>
      <c r="EUJ22" s="19"/>
      <c r="EUK22" s="19"/>
      <c r="EUL22" s="19"/>
      <c r="EUM22" s="19"/>
      <c r="EUN22" s="19"/>
      <c r="EUO22" s="19"/>
      <c r="EUP22" s="19"/>
      <c r="EUQ22" s="19"/>
      <c r="EUR22" s="19"/>
      <c r="EUS22" s="19"/>
      <c r="EUT22" s="19"/>
      <c r="EUU22" s="19"/>
      <c r="EUV22" s="19"/>
      <c r="EUW22" s="19"/>
      <c r="EUX22" s="19"/>
      <c r="EUY22" s="19"/>
      <c r="EUZ22" s="19"/>
      <c r="EVA22" s="19"/>
      <c r="EVB22" s="19"/>
      <c r="EVC22" s="19"/>
      <c r="EVD22" s="19"/>
      <c r="EVE22" s="19"/>
      <c r="EVF22" s="19"/>
      <c r="EVG22" s="19"/>
      <c r="EVH22" s="19"/>
      <c r="EVI22" s="19"/>
      <c r="EVJ22" s="19"/>
      <c r="EVK22" s="19"/>
      <c r="EVL22" s="19"/>
      <c r="EVM22" s="19"/>
      <c r="EVN22" s="19"/>
      <c r="EVO22" s="19"/>
      <c r="EVP22" s="19"/>
      <c r="EVQ22" s="19"/>
      <c r="EVR22" s="19"/>
      <c r="EVS22" s="19"/>
      <c r="EVT22" s="19"/>
      <c r="EVU22" s="19"/>
      <c r="EVV22" s="19"/>
      <c r="EVW22" s="19"/>
      <c r="EVX22" s="19"/>
      <c r="EVY22" s="19"/>
      <c r="EVZ22" s="19"/>
      <c r="EWA22" s="19"/>
      <c r="EWB22" s="19"/>
      <c r="EWC22" s="19"/>
      <c r="EWD22" s="19"/>
      <c r="EWE22" s="19"/>
      <c r="EWF22" s="19"/>
      <c r="EWG22" s="19"/>
      <c r="EWH22" s="19"/>
      <c r="EWI22" s="19"/>
      <c r="EWJ22" s="19"/>
      <c r="EWK22" s="19"/>
      <c r="EWL22" s="19"/>
      <c r="EWM22" s="19"/>
      <c r="EWN22" s="19"/>
      <c r="EWO22" s="19"/>
      <c r="EWP22" s="19"/>
      <c r="EWQ22" s="19"/>
      <c r="EWR22" s="19"/>
      <c r="EWS22" s="19"/>
      <c r="EWT22" s="19"/>
      <c r="EWU22" s="19"/>
      <c r="EWV22" s="19"/>
      <c r="EWW22" s="19"/>
      <c r="EWX22" s="19"/>
      <c r="EWY22" s="19"/>
      <c r="EWZ22" s="19"/>
      <c r="EXA22" s="19"/>
      <c r="EXB22" s="19"/>
      <c r="EXC22" s="19"/>
      <c r="EXD22" s="19"/>
      <c r="EXE22" s="19"/>
      <c r="EXF22" s="19"/>
      <c r="EXG22" s="19"/>
      <c r="EXH22" s="19"/>
      <c r="EXI22" s="19"/>
      <c r="EXJ22" s="19"/>
      <c r="EXK22" s="19"/>
      <c r="EXL22" s="19"/>
      <c r="EXM22" s="19"/>
      <c r="EXN22" s="19"/>
      <c r="EXO22" s="19"/>
      <c r="EXP22" s="19"/>
      <c r="EXQ22" s="19"/>
      <c r="EXR22" s="19"/>
      <c r="EXS22" s="19"/>
      <c r="EXT22" s="19"/>
      <c r="EXU22" s="19"/>
      <c r="EXV22" s="19"/>
      <c r="EXW22" s="19"/>
      <c r="EXX22" s="19"/>
      <c r="EXY22" s="19"/>
      <c r="EXZ22" s="19"/>
      <c r="EYA22" s="19"/>
      <c r="EYB22" s="19"/>
      <c r="EYC22" s="19"/>
      <c r="EYD22" s="19"/>
      <c r="EYE22" s="19"/>
      <c r="EYF22" s="19"/>
      <c r="EYG22" s="19"/>
      <c r="EYH22" s="19"/>
      <c r="EYI22" s="19"/>
      <c r="EYJ22" s="19"/>
      <c r="EYK22" s="19"/>
      <c r="EYL22" s="19"/>
      <c r="EYM22" s="19"/>
      <c r="EYN22" s="19"/>
      <c r="EYO22" s="19"/>
      <c r="EYP22" s="19"/>
      <c r="EYQ22" s="19"/>
      <c r="EYR22" s="19"/>
      <c r="EYS22" s="19"/>
      <c r="EYT22" s="19"/>
      <c r="EYU22" s="19"/>
      <c r="EYV22" s="19"/>
      <c r="EYW22" s="19"/>
      <c r="EYX22" s="19"/>
      <c r="EYY22" s="19"/>
      <c r="EYZ22" s="19"/>
      <c r="EZA22" s="19"/>
      <c r="EZB22" s="19"/>
      <c r="EZC22" s="19"/>
      <c r="EZD22" s="19"/>
      <c r="EZE22" s="19"/>
      <c r="EZF22" s="19"/>
      <c r="EZG22" s="19"/>
      <c r="EZH22" s="19"/>
      <c r="EZI22" s="19"/>
      <c r="EZJ22" s="19"/>
      <c r="EZK22" s="19"/>
      <c r="EZL22" s="19"/>
      <c r="EZM22" s="19"/>
      <c r="EZN22" s="19"/>
      <c r="EZO22" s="19"/>
      <c r="EZP22" s="19"/>
      <c r="EZQ22" s="19"/>
      <c r="EZR22" s="19"/>
      <c r="EZS22" s="19"/>
      <c r="EZT22" s="19"/>
      <c r="EZU22" s="19"/>
      <c r="EZV22" s="19"/>
      <c r="EZW22" s="19"/>
      <c r="EZX22" s="19"/>
      <c r="EZY22" s="19"/>
      <c r="EZZ22" s="19"/>
      <c r="FAA22" s="19"/>
      <c r="FAB22" s="19"/>
      <c r="FAC22" s="19"/>
      <c r="FAD22" s="19"/>
      <c r="FAE22" s="19"/>
      <c r="FAF22" s="19"/>
      <c r="FAG22" s="19"/>
      <c r="FAH22" s="19"/>
      <c r="FAI22" s="19"/>
      <c r="FAJ22" s="19"/>
      <c r="FAK22" s="19"/>
      <c r="FAL22" s="19"/>
      <c r="FAM22" s="19"/>
      <c r="FAN22" s="19"/>
      <c r="FAO22" s="19"/>
      <c r="FAP22" s="19"/>
      <c r="FAQ22" s="19"/>
      <c r="FAR22" s="19"/>
      <c r="FAS22" s="19"/>
      <c r="FAT22" s="19"/>
      <c r="FAU22" s="19"/>
      <c r="FAV22" s="19"/>
      <c r="FAW22" s="19"/>
      <c r="FAX22" s="19"/>
      <c r="FAY22" s="19"/>
      <c r="FAZ22" s="19"/>
      <c r="FBA22" s="19"/>
      <c r="FBB22" s="19"/>
      <c r="FBC22" s="19"/>
      <c r="FBD22" s="19"/>
      <c r="FBE22" s="19"/>
      <c r="FBF22" s="19"/>
      <c r="FBG22" s="19"/>
      <c r="FBH22" s="19"/>
      <c r="FBI22" s="19"/>
      <c r="FBJ22" s="19"/>
      <c r="FBK22" s="19"/>
      <c r="FBL22" s="19"/>
      <c r="FBM22" s="19"/>
      <c r="FBN22" s="19"/>
      <c r="FBO22" s="19"/>
      <c r="FBP22" s="19"/>
      <c r="FBQ22" s="19"/>
      <c r="FBR22" s="19"/>
      <c r="FBS22" s="19"/>
      <c r="FBT22" s="19"/>
      <c r="FBU22" s="19"/>
      <c r="FBV22" s="19"/>
      <c r="FBW22" s="19"/>
      <c r="FBX22" s="19"/>
      <c r="FBY22" s="19"/>
      <c r="FBZ22" s="19"/>
      <c r="FCA22" s="19"/>
      <c r="FCB22" s="19"/>
      <c r="FCC22" s="19"/>
      <c r="FCD22" s="19"/>
      <c r="FCE22" s="19"/>
      <c r="FCF22" s="19"/>
      <c r="FCG22" s="19"/>
      <c r="FCH22" s="19"/>
      <c r="FCI22" s="19"/>
      <c r="FCJ22" s="19"/>
      <c r="FCK22" s="19"/>
      <c r="FCL22" s="19"/>
      <c r="FCM22" s="19"/>
      <c r="FCN22" s="19"/>
      <c r="FCO22" s="19"/>
      <c r="FCP22" s="19"/>
      <c r="FCQ22" s="19"/>
      <c r="FCR22" s="19"/>
      <c r="FCS22" s="19"/>
      <c r="FCT22" s="19"/>
      <c r="FCU22" s="19"/>
      <c r="FCV22" s="19"/>
      <c r="FCW22" s="19"/>
      <c r="FCX22" s="19"/>
      <c r="FCY22" s="19"/>
      <c r="FCZ22" s="19"/>
      <c r="FDA22" s="19"/>
      <c r="FDB22" s="19"/>
      <c r="FDC22" s="19"/>
      <c r="FDD22" s="19"/>
      <c r="FDE22" s="19"/>
      <c r="FDF22" s="19"/>
      <c r="FDG22" s="19"/>
      <c r="FDH22" s="19"/>
      <c r="FDI22" s="19"/>
      <c r="FDJ22" s="19"/>
      <c r="FDK22" s="19"/>
      <c r="FDL22" s="19"/>
      <c r="FDM22" s="19"/>
      <c r="FDN22" s="19"/>
      <c r="FDO22" s="19"/>
      <c r="FDP22" s="19"/>
      <c r="FDQ22" s="19"/>
      <c r="FDR22" s="19"/>
      <c r="FDS22" s="19"/>
      <c r="FDT22" s="19"/>
      <c r="FDU22" s="19"/>
      <c r="FDV22" s="19"/>
      <c r="FDW22" s="19"/>
      <c r="FDX22" s="19"/>
      <c r="FDY22" s="19"/>
      <c r="FDZ22" s="19"/>
      <c r="FEA22" s="19"/>
      <c r="FEB22" s="19"/>
      <c r="FEC22" s="19"/>
      <c r="FED22" s="19"/>
      <c r="FEE22" s="19"/>
      <c r="FEF22" s="19"/>
      <c r="FEG22" s="19"/>
      <c r="FEH22" s="19"/>
      <c r="FEI22" s="19"/>
      <c r="FEJ22" s="19"/>
      <c r="FEK22" s="19"/>
      <c r="FEL22" s="19"/>
      <c r="FEM22" s="19"/>
      <c r="FEN22" s="19"/>
      <c r="FEO22" s="19"/>
      <c r="FEP22" s="19"/>
      <c r="FEQ22" s="19"/>
      <c r="FER22" s="19"/>
      <c r="FES22" s="19"/>
      <c r="FET22" s="19"/>
      <c r="FEU22" s="19"/>
      <c r="FEV22" s="19"/>
      <c r="FEW22" s="19"/>
      <c r="FEX22" s="19"/>
      <c r="FEY22" s="19"/>
      <c r="FEZ22" s="19"/>
      <c r="FFA22" s="19"/>
      <c r="FFB22" s="19"/>
      <c r="FFC22" s="19"/>
      <c r="FFD22" s="19"/>
      <c r="FFE22" s="19"/>
      <c r="FFF22" s="19"/>
      <c r="FFG22" s="19"/>
      <c r="FFH22" s="19"/>
      <c r="FFI22" s="19"/>
      <c r="FFJ22" s="19"/>
      <c r="FFK22" s="19"/>
      <c r="FFL22" s="19"/>
      <c r="FFM22" s="19"/>
      <c r="FFN22" s="19"/>
      <c r="FFO22" s="19"/>
      <c r="FFP22" s="19"/>
      <c r="FFQ22" s="19"/>
      <c r="FFR22" s="19"/>
      <c r="FFS22" s="19"/>
      <c r="FFT22" s="19"/>
      <c r="FFU22" s="19"/>
      <c r="FFV22" s="19"/>
      <c r="FFW22" s="19"/>
      <c r="FFX22" s="19"/>
      <c r="FFY22" s="19"/>
      <c r="FFZ22" s="19"/>
      <c r="FGA22" s="19"/>
      <c r="FGB22" s="19"/>
      <c r="FGC22" s="19"/>
      <c r="FGD22" s="19"/>
      <c r="FGE22" s="19"/>
      <c r="FGF22" s="19"/>
      <c r="FGG22" s="19"/>
      <c r="FGH22" s="19"/>
      <c r="FGI22" s="19"/>
      <c r="FGJ22" s="19"/>
      <c r="FGK22" s="19"/>
      <c r="FGL22" s="19"/>
      <c r="FGM22" s="19"/>
      <c r="FGN22" s="19"/>
      <c r="FGO22" s="19"/>
      <c r="FGP22" s="19"/>
      <c r="FGQ22" s="19"/>
      <c r="FGR22" s="19"/>
      <c r="FGS22" s="19"/>
      <c r="FGT22" s="19"/>
      <c r="FGU22" s="19"/>
      <c r="FGV22" s="19"/>
      <c r="FGW22" s="19"/>
      <c r="FGX22" s="19"/>
      <c r="FGY22" s="19"/>
      <c r="FGZ22" s="19"/>
      <c r="FHA22" s="19"/>
      <c r="FHB22" s="19"/>
      <c r="FHC22" s="19"/>
      <c r="FHD22" s="19"/>
      <c r="FHE22" s="19"/>
      <c r="FHF22" s="19"/>
      <c r="FHG22" s="19"/>
      <c r="FHH22" s="19"/>
      <c r="FHI22" s="19"/>
      <c r="FHJ22" s="19"/>
      <c r="FHK22" s="19"/>
      <c r="FHL22" s="19"/>
      <c r="FHM22" s="19"/>
      <c r="FHN22" s="19"/>
      <c r="FHO22" s="19"/>
      <c r="FHP22" s="19"/>
      <c r="FHQ22" s="19"/>
      <c r="FHR22" s="19"/>
      <c r="FHS22" s="19"/>
      <c r="FHT22" s="19"/>
      <c r="FHU22" s="19"/>
      <c r="FHV22" s="19"/>
      <c r="FHW22" s="19"/>
      <c r="FHX22" s="19"/>
      <c r="FHY22" s="19"/>
      <c r="FHZ22" s="19"/>
      <c r="FIA22" s="19"/>
      <c r="FIB22" s="19"/>
      <c r="FIC22" s="19"/>
      <c r="FID22" s="19"/>
      <c r="FIE22" s="19"/>
      <c r="FIF22" s="19"/>
      <c r="FIG22" s="19"/>
      <c r="FIH22" s="19"/>
      <c r="FII22" s="19"/>
      <c r="FIJ22" s="19"/>
      <c r="FIK22" s="19"/>
      <c r="FIL22" s="19"/>
      <c r="FIM22" s="19"/>
      <c r="FIN22" s="19"/>
      <c r="FIO22" s="19"/>
      <c r="FIP22" s="19"/>
      <c r="FIQ22" s="19"/>
      <c r="FIR22" s="19"/>
      <c r="FIS22" s="19"/>
      <c r="FIT22" s="19"/>
      <c r="FIU22" s="19"/>
      <c r="FIV22" s="19"/>
      <c r="FIW22" s="19"/>
      <c r="FIX22" s="19"/>
      <c r="FIY22" s="19"/>
      <c r="FIZ22" s="19"/>
      <c r="FJA22" s="19"/>
      <c r="FJB22" s="19"/>
      <c r="FJC22" s="19"/>
      <c r="FJD22" s="19"/>
      <c r="FJE22" s="19"/>
      <c r="FJF22" s="19"/>
      <c r="FJG22" s="19"/>
      <c r="FJH22" s="19"/>
      <c r="FJI22" s="19"/>
      <c r="FJJ22" s="19"/>
      <c r="FJK22" s="19"/>
      <c r="FJL22" s="19"/>
      <c r="FJM22" s="19"/>
      <c r="FJN22" s="19"/>
      <c r="FJO22" s="19"/>
      <c r="FJP22" s="19"/>
      <c r="FJQ22" s="19"/>
      <c r="FJR22" s="19"/>
      <c r="FJS22" s="19"/>
      <c r="FJT22" s="19"/>
      <c r="FJU22" s="19"/>
      <c r="FJV22" s="19"/>
      <c r="FJW22" s="19"/>
      <c r="FJX22" s="19"/>
      <c r="FJY22" s="19"/>
      <c r="FJZ22" s="19"/>
      <c r="FKA22" s="19"/>
      <c r="FKB22" s="19"/>
      <c r="FKC22" s="19"/>
      <c r="FKD22" s="19"/>
      <c r="FKE22" s="19"/>
      <c r="FKF22" s="19"/>
      <c r="FKG22" s="19"/>
      <c r="FKH22" s="19"/>
      <c r="FKI22" s="19"/>
      <c r="FKJ22" s="19"/>
      <c r="FKK22" s="19"/>
      <c r="FKL22" s="19"/>
      <c r="FKM22" s="19"/>
      <c r="FKN22" s="19"/>
      <c r="FKO22" s="19"/>
      <c r="FKP22" s="19"/>
      <c r="FKQ22" s="19"/>
      <c r="FKR22" s="19"/>
      <c r="FKS22" s="19"/>
      <c r="FKT22" s="19"/>
      <c r="FKU22" s="19"/>
      <c r="FKV22" s="19"/>
      <c r="FKW22" s="19"/>
      <c r="FKX22" s="19"/>
      <c r="FKY22" s="19"/>
      <c r="FKZ22" s="19"/>
      <c r="FLA22" s="19"/>
      <c r="FLB22" s="19"/>
      <c r="FLC22" s="19"/>
      <c r="FLD22" s="19"/>
      <c r="FLE22" s="19"/>
      <c r="FLF22" s="19"/>
      <c r="FLG22" s="19"/>
      <c r="FLH22" s="19"/>
      <c r="FLI22" s="19"/>
      <c r="FLJ22" s="19"/>
      <c r="FLK22" s="19"/>
      <c r="FLL22" s="19"/>
      <c r="FLM22" s="19"/>
      <c r="FLN22" s="19"/>
      <c r="FLO22" s="19"/>
      <c r="FLP22" s="19"/>
      <c r="FLQ22" s="19"/>
      <c r="FLR22" s="19"/>
      <c r="FLS22" s="19"/>
      <c r="FLT22" s="19"/>
      <c r="FLU22" s="19"/>
      <c r="FLV22" s="19"/>
      <c r="FLW22" s="19"/>
      <c r="FLX22" s="19"/>
      <c r="FLY22" s="19"/>
      <c r="FLZ22" s="19"/>
      <c r="FMA22" s="19"/>
      <c r="FMB22" s="19"/>
      <c r="FMC22" s="19"/>
      <c r="FMD22" s="19"/>
      <c r="FME22" s="19"/>
      <c r="FMF22" s="19"/>
      <c r="FMG22" s="19"/>
      <c r="FMH22" s="19"/>
      <c r="FMI22" s="19"/>
      <c r="FMJ22" s="19"/>
      <c r="FMK22" s="19"/>
      <c r="FML22" s="19"/>
      <c r="FMM22" s="19"/>
      <c r="FMN22" s="19"/>
      <c r="FMO22" s="19"/>
      <c r="FMP22" s="19"/>
      <c r="FMQ22" s="19"/>
      <c r="FMR22" s="19"/>
      <c r="FMS22" s="19"/>
      <c r="FMT22" s="19"/>
      <c r="FMU22" s="19"/>
      <c r="FMV22" s="19"/>
      <c r="FMW22" s="19"/>
      <c r="FMX22" s="19"/>
      <c r="FMY22" s="19"/>
      <c r="FMZ22" s="19"/>
      <c r="FNA22" s="19"/>
      <c r="FNB22" s="19"/>
      <c r="FNC22" s="19"/>
      <c r="FND22" s="19"/>
      <c r="FNE22" s="19"/>
      <c r="FNF22" s="19"/>
      <c r="FNG22" s="19"/>
      <c r="FNH22" s="19"/>
      <c r="FNI22" s="19"/>
      <c r="FNJ22" s="19"/>
      <c r="FNK22" s="19"/>
      <c r="FNL22" s="19"/>
      <c r="FNM22" s="19"/>
      <c r="FNN22" s="19"/>
      <c r="FNO22" s="19"/>
      <c r="FNP22" s="19"/>
      <c r="FNQ22" s="19"/>
      <c r="FNR22" s="19"/>
      <c r="FNS22" s="19"/>
      <c r="FNT22" s="19"/>
      <c r="FNU22" s="19"/>
      <c r="FNV22" s="19"/>
      <c r="FNW22" s="19"/>
      <c r="FNX22" s="19"/>
      <c r="FNY22" s="19"/>
      <c r="FNZ22" s="19"/>
      <c r="FOA22" s="19"/>
      <c r="FOB22" s="19"/>
      <c r="FOC22" s="19"/>
      <c r="FOD22" s="19"/>
      <c r="FOE22" s="19"/>
      <c r="FOF22" s="19"/>
      <c r="FOG22" s="19"/>
      <c r="FOH22" s="19"/>
      <c r="FOI22" s="19"/>
      <c r="FOJ22" s="19"/>
      <c r="FOK22" s="19"/>
      <c r="FOL22" s="19"/>
      <c r="FOM22" s="19"/>
      <c r="FON22" s="19"/>
      <c r="FOO22" s="19"/>
      <c r="FOP22" s="19"/>
      <c r="FOQ22" s="19"/>
      <c r="FOR22" s="19"/>
      <c r="FOS22" s="19"/>
      <c r="FOT22" s="19"/>
      <c r="FOU22" s="19"/>
      <c r="FOV22" s="19"/>
      <c r="FOW22" s="19"/>
      <c r="FOX22" s="19"/>
      <c r="FOY22" s="19"/>
      <c r="FOZ22" s="19"/>
      <c r="FPA22" s="19"/>
      <c r="FPB22" s="19"/>
      <c r="FPC22" s="19"/>
      <c r="FPD22" s="19"/>
      <c r="FPE22" s="19"/>
      <c r="FPF22" s="19"/>
      <c r="FPG22" s="19"/>
      <c r="FPH22" s="19"/>
      <c r="FPI22" s="19"/>
      <c r="FPJ22" s="19"/>
      <c r="FPK22" s="19"/>
      <c r="FPL22" s="19"/>
      <c r="FPM22" s="19"/>
      <c r="FPN22" s="19"/>
      <c r="FPO22" s="19"/>
      <c r="FPP22" s="19"/>
      <c r="FPQ22" s="19"/>
      <c r="FPR22" s="19"/>
      <c r="FPS22" s="19"/>
      <c r="FPT22" s="19"/>
      <c r="FPU22" s="19"/>
      <c r="FPV22" s="19"/>
      <c r="FPW22" s="19"/>
      <c r="FPX22" s="19"/>
      <c r="FPY22" s="19"/>
      <c r="FPZ22" s="19"/>
      <c r="FQA22" s="19"/>
      <c r="FQB22" s="19"/>
      <c r="FQC22" s="19"/>
      <c r="FQD22" s="19"/>
      <c r="FQE22" s="19"/>
      <c r="FQF22" s="19"/>
      <c r="FQG22" s="19"/>
      <c r="FQH22" s="19"/>
      <c r="FQI22" s="19"/>
      <c r="FQJ22" s="19"/>
      <c r="FQK22" s="19"/>
      <c r="FQL22" s="19"/>
      <c r="FQM22" s="19"/>
      <c r="FQN22" s="19"/>
      <c r="FQO22" s="19"/>
      <c r="FQP22" s="19"/>
      <c r="FQQ22" s="19"/>
      <c r="FQR22" s="19"/>
      <c r="FQS22" s="19"/>
      <c r="FQT22" s="19"/>
      <c r="FQU22" s="19"/>
      <c r="FQV22" s="19"/>
      <c r="FQW22" s="19"/>
      <c r="FQX22" s="19"/>
      <c r="FQY22" s="19"/>
      <c r="FQZ22" s="19"/>
      <c r="FRA22" s="19"/>
      <c r="FRB22" s="19"/>
      <c r="FRC22" s="19"/>
      <c r="FRD22" s="19"/>
      <c r="FRE22" s="19"/>
      <c r="FRF22" s="19"/>
      <c r="FRG22" s="19"/>
      <c r="FRH22" s="19"/>
      <c r="FRI22" s="19"/>
      <c r="FRJ22" s="19"/>
      <c r="FRK22" s="19"/>
      <c r="FRL22" s="19"/>
      <c r="FRM22" s="19"/>
      <c r="FRN22" s="19"/>
      <c r="FRO22" s="19"/>
      <c r="FRP22" s="19"/>
      <c r="FRQ22" s="19"/>
      <c r="FRR22" s="19"/>
      <c r="FRS22" s="19"/>
      <c r="FRT22" s="19"/>
      <c r="FRU22" s="19"/>
      <c r="FRV22" s="19"/>
      <c r="FRW22" s="19"/>
      <c r="FRX22" s="19"/>
      <c r="FRY22" s="19"/>
      <c r="FRZ22" s="19"/>
      <c r="FSA22" s="19"/>
      <c r="FSB22" s="19"/>
      <c r="FSC22" s="19"/>
      <c r="FSD22" s="19"/>
      <c r="FSE22" s="19"/>
      <c r="FSF22" s="19"/>
      <c r="FSG22" s="19"/>
      <c r="FSH22" s="19"/>
      <c r="FSI22" s="19"/>
      <c r="FSJ22" s="19"/>
      <c r="FSK22" s="19"/>
      <c r="FSL22" s="19"/>
      <c r="FSM22" s="19"/>
      <c r="FSN22" s="19"/>
      <c r="FSO22" s="19"/>
      <c r="FSP22" s="19"/>
      <c r="FSQ22" s="19"/>
      <c r="FSR22" s="19"/>
      <c r="FSS22" s="19"/>
      <c r="FST22" s="19"/>
      <c r="FSU22" s="19"/>
      <c r="FSV22" s="19"/>
      <c r="FSW22" s="19"/>
      <c r="FSX22" s="19"/>
      <c r="FSY22" s="19"/>
      <c r="FSZ22" s="19"/>
      <c r="FTA22" s="19"/>
      <c r="FTB22" s="19"/>
      <c r="FTC22" s="19"/>
      <c r="FTD22" s="19"/>
      <c r="FTE22" s="19"/>
      <c r="FTF22" s="19"/>
      <c r="FTG22" s="19"/>
      <c r="FTH22" s="19"/>
      <c r="FTI22" s="19"/>
      <c r="FTJ22" s="19"/>
      <c r="FTK22" s="19"/>
      <c r="FTL22" s="19"/>
      <c r="FTM22" s="19"/>
      <c r="FTN22" s="19"/>
      <c r="FTO22" s="19"/>
      <c r="FTP22" s="19"/>
      <c r="FTQ22" s="19"/>
      <c r="FTR22" s="19"/>
      <c r="FTS22" s="19"/>
      <c r="FTT22" s="19"/>
      <c r="FTU22" s="19"/>
      <c r="FTV22" s="19"/>
      <c r="FTW22" s="19"/>
      <c r="FTX22" s="19"/>
      <c r="FTY22" s="19"/>
      <c r="FTZ22" s="19"/>
      <c r="FUA22" s="19"/>
      <c r="FUB22" s="19"/>
      <c r="FUC22" s="19"/>
      <c r="FUD22" s="19"/>
      <c r="FUE22" s="19"/>
      <c r="FUF22" s="19"/>
      <c r="FUG22" s="19"/>
      <c r="FUH22" s="19"/>
      <c r="FUI22" s="19"/>
      <c r="FUJ22" s="19"/>
      <c r="FUK22" s="19"/>
      <c r="FUL22" s="19"/>
      <c r="FUM22" s="19"/>
      <c r="FUN22" s="19"/>
      <c r="FUO22" s="19"/>
      <c r="FUP22" s="19"/>
      <c r="FUQ22" s="19"/>
      <c r="FUR22" s="19"/>
      <c r="FUS22" s="19"/>
      <c r="FUT22" s="19"/>
      <c r="FUU22" s="19"/>
      <c r="FUV22" s="19"/>
      <c r="FUW22" s="19"/>
      <c r="FUX22" s="19"/>
      <c r="FUY22" s="19"/>
      <c r="FUZ22" s="19"/>
      <c r="FVA22" s="19"/>
      <c r="FVB22" s="19"/>
      <c r="FVC22" s="19"/>
      <c r="FVD22" s="19"/>
      <c r="FVE22" s="19"/>
      <c r="FVF22" s="19"/>
      <c r="FVG22" s="19"/>
      <c r="FVH22" s="19"/>
      <c r="FVI22" s="19"/>
      <c r="FVJ22" s="19"/>
      <c r="FVK22" s="19"/>
      <c r="FVL22" s="19"/>
      <c r="FVM22" s="19"/>
      <c r="FVN22" s="19"/>
      <c r="FVO22" s="19"/>
      <c r="FVP22" s="19"/>
      <c r="FVQ22" s="19"/>
      <c r="FVR22" s="19"/>
      <c r="FVS22" s="19"/>
      <c r="FVT22" s="19"/>
      <c r="FVU22" s="19"/>
      <c r="FVV22" s="19"/>
      <c r="FVW22" s="19"/>
      <c r="FVX22" s="19"/>
      <c r="FVY22" s="19"/>
      <c r="FVZ22" s="19"/>
      <c r="FWA22" s="19"/>
      <c r="FWB22" s="19"/>
      <c r="FWC22" s="19"/>
      <c r="FWD22" s="19"/>
      <c r="FWE22" s="19"/>
      <c r="FWF22" s="19"/>
      <c r="FWG22" s="19"/>
      <c r="FWH22" s="19"/>
      <c r="FWI22" s="19"/>
      <c r="FWJ22" s="19"/>
      <c r="FWK22" s="19"/>
      <c r="FWL22" s="19"/>
      <c r="FWM22" s="19"/>
      <c r="FWN22" s="19"/>
      <c r="FWO22" s="19"/>
      <c r="FWP22" s="19"/>
      <c r="FWQ22" s="19"/>
      <c r="FWR22" s="19"/>
      <c r="FWS22" s="19"/>
      <c r="FWT22" s="19"/>
      <c r="FWU22" s="19"/>
      <c r="FWV22" s="19"/>
      <c r="FWW22" s="19"/>
      <c r="FWX22" s="19"/>
      <c r="FWY22" s="19"/>
      <c r="FWZ22" s="19"/>
      <c r="FXA22" s="19"/>
      <c r="FXB22" s="19"/>
      <c r="FXC22" s="19"/>
      <c r="FXD22" s="19"/>
      <c r="FXE22" s="19"/>
      <c r="FXF22" s="19"/>
      <c r="FXG22" s="19"/>
      <c r="FXH22" s="19"/>
      <c r="FXI22" s="19"/>
      <c r="FXJ22" s="19"/>
      <c r="FXK22" s="19"/>
      <c r="FXL22" s="19"/>
      <c r="FXM22" s="19"/>
      <c r="FXN22" s="19"/>
      <c r="FXO22" s="19"/>
      <c r="FXP22" s="19"/>
      <c r="FXQ22" s="19"/>
      <c r="FXR22" s="19"/>
      <c r="FXS22" s="19"/>
      <c r="FXT22" s="19"/>
      <c r="FXU22" s="19"/>
      <c r="FXV22" s="19"/>
      <c r="FXW22" s="19"/>
      <c r="FXX22" s="19"/>
      <c r="FXY22" s="19"/>
      <c r="FXZ22" s="19"/>
      <c r="FYA22" s="19"/>
      <c r="FYB22" s="19"/>
      <c r="FYC22" s="19"/>
      <c r="FYD22" s="19"/>
      <c r="FYE22" s="19"/>
      <c r="FYF22" s="19"/>
      <c r="FYG22" s="19"/>
      <c r="FYH22" s="19"/>
      <c r="FYI22" s="19"/>
      <c r="FYJ22" s="19"/>
      <c r="FYK22" s="19"/>
      <c r="FYL22" s="19"/>
      <c r="FYM22" s="19"/>
      <c r="FYN22" s="19"/>
      <c r="FYO22" s="19"/>
      <c r="FYP22" s="19"/>
      <c r="FYQ22" s="19"/>
      <c r="FYR22" s="19"/>
      <c r="FYS22" s="19"/>
      <c r="FYT22" s="19"/>
      <c r="FYU22" s="19"/>
      <c r="FYV22" s="19"/>
      <c r="FYW22" s="19"/>
      <c r="FYX22" s="19"/>
      <c r="FYY22" s="19"/>
      <c r="FYZ22" s="19"/>
      <c r="FZA22" s="19"/>
      <c r="FZB22" s="19"/>
      <c r="FZC22" s="19"/>
      <c r="FZD22" s="19"/>
      <c r="FZE22" s="19"/>
      <c r="FZF22" s="19"/>
      <c r="FZG22" s="19"/>
      <c r="FZH22" s="19"/>
      <c r="FZI22" s="19"/>
      <c r="FZJ22" s="19"/>
      <c r="FZK22" s="19"/>
      <c r="FZL22" s="19"/>
      <c r="FZM22" s="19"/>
      <c r="FZN22" s="19"/>
      <c r="FZO22" s="19"/>
      <c r="FZP22" s="19"/>
      <c r="FZQ22" s="19"/>
      <c r="FZR22" s="19"/>
      <c r="FZS22" s="19"/>
      <c r="FZT22" s="19"/>
      <c r="FZU22" s="19"/>
      <c r="FZV22" s="19"/>
      <c r="FZW22" s="19"/>
      <c r="FZX22" s="19"/>
      <c r="FZY22" s="19"/>
      <c r="FZZ22" s="19"/>
      <c r="GAA22" s="19"/>
      <c r="GAB22" s="19"/>
      <c r="GAC22" s="19"/>
      <c r="GAD22" s="19"/>
      <c r="GAE22" s="19"/>
      <c r="GAF22" s="19"/>
      <c r="GAG22" s="19"/>
      <c r="GAH22" s="19"/>
      <c r="GAI22" s="19"/>
      <c r="GAJ22" s="19"/>
      <c r="GAK22" s="19"/>
      <c r="GAL22" s="19"/>
      <c r="GAM22" s="19"/>
      <c r="GAN22" s="19"/>
      <c r="GAO22" s="19"/>
      <c r="GAP22" s="19"/>
      <c r="GAQ22" s="19"/>
      <c r="GAR22" s="19"/>
      <c r="GAS22" s="19"/>
      <c r="GAT22" s="19"/>
      <c r="GAU22" s="19"/>
      <c r="GAV22" s="19"/>
      <c r="GAW22" s="19"/>
      <c r="GAX22" s="19"/>
      <c r="GAY22" s="19"/>
      <c r="GAZ22" s="19"/>
      <c r="GBA22" s="19"/>
      <c r="GBB22" s="19"/>
      <c r="GBC22" s="19"/>
      <c r="GBD22" s="19"/>
      <c r="GBE22" s="19"/>
      <c r="GBF22" s="19"/>
      <c r="GBG22" s="19"/>
      <c r="GBH22" s="19"/>
      <c r="GBI22" s="19"/>
      <c r="GBJ22" s="19"/>
      <c r="GBK22" s="19"/>
      <c r="GBL22" s="19"/>
      <c r="GBM22" s="19"/>
      <c r="GBN22" s="19"/>
      <c r="GBO22" s="19"/>
      <c r="GBP22" s="19"/>
      <c r="GBQ22" s="19"/>
      <c r="GBR22" s="19"/>
      <c r="GBS22" s="19"/>
      <c r="GBT22" s="19"/>
      <c r="GBU22" s="19"/>
      <c r="GBV22" s="19"/>
      <c r="GBW22" s="19"/>
      <c r="GBX22" s="19"/>
      <c r="GBY22" s="19"/>
      <c r="GBZ22" s="19"/>
      <c r="GCA22" s="19"/>
      <c r="GCB22" s="19"/>
      <c r="GCC22" s="19"/>
      <c r="GCD22" s="19"/>
      <c r="GCE22" s="19"/>
      <c r="GCF22" s="19"/>
      <c r="GCG22" s="19"/>
      <c r="GCH22" s="19"/>
      <c r="GCI22" s="19"/>
      <c r="GCJ22" s="19"/>
      <c r="GCK22" s="19"/>
      <c r="GCL22" s="19"/>
      <c r="GCM22" s="19"/>
      <c r="GCN22" s="19"/>
      <c r="GCO22" s="19"/>
      <c r="GCP22" s="19"/>
      <c r="GCQ22" s="19"/>
      <c r="GCR22" s="19"/>
      <c r="GCS22" s="19"/>
      <c r="GCT22" s="19"/>
      <c r="GCU22" s="19"/>
      <c r="GCV22" s="19"/>
      <c r="GCW22" s="19"/>
      <c r="GCX22" s="19"/>
      <c r="GCY22" s="19"/>
      <c r="GCZ22" s="19"/>
      <c r="GDA22" s="19"/>
      <c r="GDB22" s="19"/>
      <c r="GDC22" s="19"/>
      <c r="GDD22" s="19"/>
      <c r="GDE22" s="19"/>
      <c r="GDF22" s="19"/>
      <c r="GDG22" s="19"/>
      <c r="GDH22" s="19"/>
      <c r="GDI22" s="19"/>
      <c r="GDJ22" s="19"/>
      <c r="GDK22" s="19"/>
      <c r="GDL22" s="19"/>
      <c r="GDM22" s="19"/>
      <c r="GDN22" s="19"/>
      <c r="GDO22" s="19"/>
      <c r="GDP22" s="19"/>
      <c r="GDQ22" s="19"/>
      <c r="GDR22" s="19"/>
      <c r="GDS22" s="19"/>
      <c r="GDT22" s="19"/>
      <c r="GDU22" s="19"/>
      <c r="GDV22" s="19"/>
      <c r="GDW22" s="19"/>
      <c r="GDX22" s="19"/>
      <c r="GDY22" s="19"/>
      <c r="GDZ22" s="19"/>
      <c r="GEA22" s="19"/>
      <c r="GEB22" s="19"/>
      <c r="GEC22" s="19"/>
      <c r="GED22" s="19"/>
      <c r="GEE22" s="19"/>
      <c r="GEF22" s="19"/>
      <c r="GEG22" s="19"/>
      <c r="GEH22" s="19"/>
      <c r="GEI22" s="19"/>
      <c r="GEJ22" s="19"/>
      <c r="GEK22" s="19"/>
      <c r="GEL22" s="19"/>
      <c r="GEM22" s="19"/>
      <c r="GEN22" s="19"/>
      <c r="GEO22" s="19"/>
      <c r="GEP22" s="19"/>
      <c r="GEQ22" s="19"/>
      <c r="GER22" s="19"/>
      <c r="GES22" s="19"/>
      <c r="GET22" s="19"/>
      <c r="GEU22" s="19"/>
      <c r="GEV22" s="19"/>
      <c r="GEW22" s="19"/>
      <c r="GEX22" s="19"/>
      <c r="GEY22" s="19"/>
      <c r="GEZ22" s="19"/>
      <c r="GFA22" s="19"/>
      <c r="GFB22" s="19"/>
      <c r="GFC22" s="19"/>
      <c r="GFD22" s="19"/>
      <c r="GFE22" s="19"/>
      <c r="GFF22" s="19"/>
      <c r="GFG22" s="19"/>
      <c r="GFH22" s="19"/>
      <c r="GFI22" s="19"/>
      <c r="GFJ22" s="19"/>
      <c r="GFK22" s="19"/>
      <c r="GFL22" s="19"/>
      <c r="GFM22" s="19"/>
      <c r="GFN22" s="19"/>
      <c r="GFO22" s="19"/>
      <c r="GFP22" s="19"/>
      <c r="GFQ22" s="19"/>
      <c r="GFR22" s="19"/>
      <c r="GFS22" s="19"/>
      <c r="GFT22" s="19"/>
      <c r="GFU22" s="19"/>
      <c r="GFV22" s="19"/>
      <c r="GFW22" s="19"/>
      <c r="GFX22" s="19"/>
      <c r="GFY22" s="19"/>
      <c r="GFZ22" s="19"/>
      <c r="GGA22" s="19"/>
      <c r="GGB22" s="19"/>
      <c r="GGC22" s="19"/>
      <c r="GGD22" s="19"/>
      <c r="GGE22" s="19"/>
      <c r="GGF22" s="19"/>
      <c r="GGG22" s="19"/>
      <c r="GGH22" s="19"/>
      <c r="GGI22" s="19"/>
      <c r="GGJ22" s="19"/>
      <c r="GGK22" s="19"/>
      <c r="GGL22" s="19"/>
      <c r="GGM22" s="19"/>
      <c r="GGN22" s="19"/>
      <c r="GGO22" s="19"/>
      <c r="GGP22" s="19"/>
      <c r="GGQ22" s="19"/>
      <c r="GGR22" s="19"/>
      <c r="GGS22" s="19"/>
      <c r="GGT22" s="19"/>
      <c r="GGU22" s="19"/>
      <c r="GGV22" s="19"/>
      <c r="GGW22" s="19"/>
      <c r="GGX22" s="19"/>
      <c r="GGY22" s="19"/>
      <c r="GGZ22" s="19"/>
      <c r="GHA22" s="19"/>
      <c r="GHB22" s="19"/>
      <c r="GHC22" s="19"/>
      <c r="GHD22" s="19"/>
      <c r="GHE22" s="19"/>
      <c r="GHF22" s="19"/>
      <c r="GHG22" s="19"/>
      <c r="GHH22" s="19"/>
      <c r="GHI22" s="19"/>
      <c r="GHJ22" s="19"/>
      <c r="GHK22" s="19"/>
      <c r="GHL22" s="19"/>
      <c r="GHM22" s="19"/>
      <c r="GHN22" s="19"/>
      <c r="GHO22" s="19"/>
      <c r="GHP22" s="19"/>
      <c r="GHQ22" s="19"/>
      <c r="GHR22" s="19"/>
      <c r="GHS22" s="19"/>
      <c r="GHT22" s="19"/>
      <c r="GHU22" s="19"/>
      <c r="GHV22" s="19"/>
      <c r="GHW22" s="19"/>
      <c r="GHX22" s="19"/>
      <c r="GHY22" s="19"/>
      <c r="GHZ22" s="19"/>
      <c r="GIA22" s="19"/>
      <c r="GIB22" s="19"/>
      <c r="GIC22" s="19"/>
      <c r="GID22" s="19"/>
      <c r="GIE22" s="19"/>
      <c r="GIF22" s="19"/>
      <c r="GIG22" s="19"/>
      <c r="GIH22" s="19"/>
      <c r="GII22" s="19"/>
      <c r="GIJ22" s="19"/>
      <c r="GIK22" s="19"/>
      <c r="GIL22" s="19"/>
      <c r="GIM22" s="19"/>
      <c r="GIN22" s="19"/>
      <c r="GIO22" s="19"/>
      <c r="GIP22" s="19"/>
      <c r="GIQ22" s="19"/>
      <c r="GIR22" s="19"/>
      <c r="GIS22" s="19"/>
      <c r="GIT22" s="19"/>
      <c r="GIU22" s="19"/>
      <c r="GIV22" s="19"/>
      <c r="GIW22" s="19"/>
      <c r="GIX22" s="19"/>
      <c r="GIY22" s="19"/>
      <c r="GIZ22" s="19"/>
      <c r="GJA22" s="19"/>
      <c r="GJB22" s="19"/>
      <c r="GJC22" s="19"/>
      <c r="GJD22" s="19"/>
      <c r="GJE22" s="19"/>
      <c r="GJF22" s="19"/>
      <c r="GJG22" s="19"/>
      <c r="GJH22" s="19"/>
      <c r="GJI22" s="19"/>
      <c r="GJJ22" s="19"/>
      <c r="GJK22" s="19"/>
      <c r="GJL22" s="19"/>
      <c r="GJM22" s="19"/>
      <c r="GJN22" s="19"/>
      <c r="GJO22" s="19"/>
      <c r="GJP22" s="19"/>
      <c r="GJQ22" s="19"/>
      <c r="GJR22" s="19"/>
      <c r="GJS22" s="19"/>
      <c r="GJT22" s="19"/>
      <c r="GJU22" s="19"/>
      <c r="GJV22" s="19"/>
      <c r="GJW22" s="19"/>
      <c r="GJX22" s="19"/>
      <c r="GJY22" s="19"/>
      <c r="GJZ22" s="19"/>
      <c r="GKA22" s="19"/>
      <c r="GKB22" s="19"/>
      <c r="GKC22" s="19"/>
      <c r="GKD22" s="19"/>
      <c r="GKE22" s="19"/>
      <c r="GKF22" s="19"/>
      <c r="GKG22" s="19"/>
      <c r="GKH22" s="19"/>
      <c r="GKI22" s="19"/>
      <c r="GKJ22" s="19"/>
      <c r="GKK22" s="19"/>
      <c r="GKL22" s="19"/>
      <c r="GKM22" s="19"/>
      <c r="GKN22" s="19"/>
      <c r="GKO22" s="19"/>
      <c r="GKP22" s="19"/>
      <c r="GKQ22" s="19"/>
      <c r="GKR22" s="19"/>
      <c r="GKS22" s="19"/>
      <c r="GKT22" s="19"/>
      <c r="GKU22" s="19"/>
      <c r="GKV22" s="19"/>
      <c r="GKW22" s="19"/>
      <c r="GKX22" s="19"/>
      <c r="GKY22" s="19"/>
      <c r="GKZ22" s="19"/>
      <c r="GLA22" s="19"/>
      <c r="GLB22" s="19"/>
      <c r="GLC22" s="19"/>
      <c r="GLD22" s="19"/>
      <c r="GLE22" s="19"/>
      <c r="GLF22" s="19"/>
      <c r="GLG22" s="19"/>
      <c r="GLH22" s="19"/>
      <c r="GLI22" s="19"/>
      <c r="GLJ22" s="19"/>
      <c r="GLK22" s="19"/>
      <c r="GLL22" s="19"/>
      <c r="GLM22" s="19"/>
      <c r="GLN22" s="19"/>
      <c r="GLO22" s="19"/>
      <c r="GLP22" s="19"/>
      <c r="GLQ22" s="19"/>
      <c r="GLR22" s="19"/>
      <c r="GLS22" s="19"/>
      <c r="GLT22" s="19"/>
      <c r="GLU22" s="19"/>
      <c r="GLV22" s="19"/>
      <c r="GLW22" s="19"/>
      <c r="GLX22" s="19"/>
      <c r="GLY22" s="19"/>
      <c r="GLZ22" s="19"/>
      <c r="GMA22" s="19"/>
      <c r="GMB22" s="19"/>
      <c r="GMC22" s="19"/>
      <c r="GMD22" s="19"/>
      <c r="GME22" s="19"/>
      <c r="GMF22" s="19"/>
      <c r="GMG22" s="19"/>
      <c r="GMH22" s="19"/>
      <c r="GMI22" s="19"/>
      <c r="GMJ22" s="19"/>
      <c r="GMK22" s="19"/>
      <c r="GML22" s="19"/>
      <c r="GMM22" s="19"/>
      <c r="GMN22" s="19"/>
      <c r="GMO22" s="19"/>
      <c r="GMP22" s="19"/>
      <c r="GMQ22" s="19"/>
      <c r="GMR22" s="19"/>
      <c r="GMS22" s="19"/>
      <c r="GMT22" s="19"/>
      <c r="GMU22" s="19"/>
      <c r="GMV22" s="19"/>
      <c r="GMW22" s="19"/>
      <c r="GMX22" s="19"/>
      <c r="GMY22" s="19"/>
      <c r="GMZ22" s="19"/>
      <c r="GNA22" s="19"/>
      <c r="GNB22" s="19"/>
      <c r="GNC22" s="19"/>
      <c r="GND22" s="19"/>
      <c r="GNE22" s="19"/>
      <c r="GNF22" s="19"/>
      <c r="GNG22" s="19"/>
      <c r="GNH22" s="19"/>
      <c r="GNI22" s="19"/>
      <c r="GNJ22" s="19"/>
      <c r="GNK22" s="19"/>
      <c r="GNL22" s="19"/>
      <c r="GNM22" s="19"/>
      <c r="GNN22" s="19"/>
      <c r="GNO22" s="19"/>
      <c r="GNP22" s="19"/>
      <c r="GNQ22" s="19"/>
      <c r="GNR22" s="19"/>
      <c r="GNS22" s="19"/>
      <c r="GNT22" s="19"/>
      <c r="GNU22" s="19"/>
      <c r="GNV22" s="19"/>
      <c r="GNW22" s="19"/>
      <c r="GNX22" s="19"/>
      <c r="GNY22" s="19"/>
      <c r="GNZ22" s="19"/>
      <c r="GOA22" s="19"/>
      <c r="GOB22" s="19"/>
      <c r="GOC22" s="19"/>
      <c r="GOD22" s="19"/>
      <c r="GOE22" s="19"/>
      <c r="GOF22" s="19"/>
      <c r="GOG22" s="19"/>
      <c r="GOH22" s="19"/>
      <c r="GOI22" s="19"/>
      <c r="GOJ22" s="19"/>
      <c r="GOK22" s="19"/>
      <c r="GOL22" s="19"/>
      <c r="GOM22" s="19"/>
      <c r="GON22" s="19"/>
      <c r="GOO22" s="19"/>
      <c r="GOP22" s="19"/>
      <c r="GOQ22" s="19"/>
      <c r="GOR22" s="19"/>
      <c r="GOS22" s="19"/>
      <c r="GOT22" s="19"/>
      <c r="GOU22" s="19"/>
      <c r="GOV22" s="19"/>
      <c r="GOW22" s="19"/>
      <c r="GOX22" s="19"/>
      <c r="GOY22" s="19"/>
      <c r="GOZ22" s="19"/>
      <c r="GPA22" s="19"/>
      <c r="GPB22" s="19"/>
      <c r="GPC22" s="19"/>
      <c r="GPD22" s="19"/>
      <c r="GPE22" s="19"/>
      <c r="GPF22" s="19"/>
      <c r="GPG22" s="19"/>
      <c r="GPH22" s="19"/>
      <c r="GPI22" s="19"/>
      <c r="GPJ22" s="19"/>
      <c r="GPK22" s="19"/>
      <c r="GPL22" s="19"/>
      <c r="GPM22" s="19"/>
      <c r="GPN22" s="19"/>
      <c r="GPO22" s="19"/>
      <c r="GPP22" s="19"/>
      <c r="GPQ22" s="19"/>
      <c r="GPR22" s="19"/>
      <c r="GPS22" s="19"/>
      <c r="GPT22" s="19"/>
      <c r="GPU22" s="19"/>
      <c r="GPV22" s="19"/>
      <c r="GPW22" s="19"/>
      <c r="GPX22" s="19"/>
      <c r="GPY22" s="19"/>
      <c r="GPZ22" s="19"/>
      <c r="GQA22" s="19"/>
      <c r="GQB22" s="19"/>
      <c r="GQC22" s="19"/>
      <c r="GQD22" s="19"/>
      <c r="GQE22" s="19"/>
      <c r="GQF22" s="19"/>
      <c r="GQG22" s="19"/>
      <c r="GQH22" s="19"/>
      <c r="GQI22" s="19"/>
      <c r="GQJ22" s="19"/>
      <c r="GQK22" s="19"/>
      <c r="GQL22" s="19"/>
      <c r="GQM22" s="19"/>
      <c r="GQN22" s="19"/>
      <c r="GQO22" s="19"/>
      <c r="GQP22" s="19"/>
      <c r="GQQ22" s="19"/>
      <c r="GQR22" s="19"/>
      <c r="GQS22" s="19"/>
      <c r="GQT22" s="19"/>
      <c r="GQU22" s="19"/>
      <c r="GQV22" s="19"/>
      <c r="GQW22" s="19"/>
      <c r="GQX22" s="19"/>
      <c r="GQY22" s="19"/>
      <c r="GQZ22" s="19"/>
      <c r="GRA22" s="19"/>
      <c r="GRB22" s="19"/>
      <c r="GRC22" s="19"/>
      <c r="GRD22" s="19"/>
      <c r="GRE22" s="19"/>
      <c r="GRF22" s="19"/>
      <c r="GRG22" s="19"/>
      <c r="GRH22" s="19"/>
      <c r="GRI22" s="19"/>
      <c r="GRJ22" s="19"/>
      <c r="GRK22" s="19"/>
      <c r="GRL22" s="19"/>
      <c r="GRM22" s="19"/>
      <c r="GRN22" s="19"/>
      <c r="GRO22" s="19"/>
      <c r="GRP22" s="19"/>
      <c r="GRQ22" s="19"/>
      <c r="GRR22" s="19"/>
      <c r="GRS22" s="19"/>
      <c r="GRT22" s="19"/>
      <c r="GRU22" s="19"/>
      <c r="GRV22" s="19"/>
      <c r="GRW22" s="19"/>
      <c r="GRX22" s="19"/>
      <c r="GRY22" s="19"/>
      <c r="GRZ22" s="19"/>
      <c r="GSA22" s="19"/>
      <c r="GSB22" s="19"/>
      <c r="GSC22" s="19"/>
      <c r="GSD22" s="19"/>
      <c r="GSE22" s="19"/>
      <c r="GSF22" s="19"/>
      <c r="GSG22" s="19"/>
      <c r="GSH22" s="19"/>
      <c r="GSI22" s="19"/>
      <c r="GSJ22" s="19"/>
      <c r="GSK22" s="19"/>
      <c r="GSL22" s="19"/>
      <c r="GSM22" s="19"/>
      <c r="GSN22" s="19"/>
      <c r="GSO22" s="19"/>
      <c r="GSP22" s="19"/>
      <c r="GSQ22" s="19"/>
      <c r="GSR22" s="19"/>
      <c r="GSS22" s="19"/>
      <c r="GST22" s="19"/>
      <c r="GSU22" s="19"/>
      <c r="GSV22" s="19"/>
      <c r="GSW22" s="19"/>
      <c r="GSX22" s="19"/>
      <c r="GSY22" s="19"/>
      <c r="GSZ22" s="19"/>
      <c r="GTA22" s="19"/>
      <c r="GTB22" s="19"/>
      <c r="GTC22" s="19"/>
      <c r="GTD22" s="19"/>
      <c r="GTE22" s="19"/>
      <c r="GTF22" s="19"/>
      <c r="GTG22" s="19"/>
      <c r="GTH22" s="19"/>
      <c r="GTI22" s="19"/>
      <c r="GTJ22" s="19"/>
      <c r="GTK22" s="19"/>
      <c r="GTL22" s="19"/>
      <c r="GTM22" s="19"/>
      <c r="GTN22" s="19"/>
      <c r="GTO22" s="19"/>
      <c r="GTP22" s="19"/>
      <c r="GTQ22" s="19"/>
      <c r="GTR22" s="19"/>
      <c r="GTS22" s="19"/>
      <c r="GTT22" s="19"/>
      <c r="GTU22" s="19"/>
      <c r="GTV22" s="19"/>
      <c r="GTW22" s="19"/>
      <c r="GTX22" s="19"/>
      <c r="GTY22" s="19"/>
      <c r="GTZ22" s="19"/>
      <c r="GUA22" s="19"/>
      <c r="GUB22" s="19"/>
      <c r="GUC22" s="19"/>
      <c r="GUD22" s="19"/>
      <c r="GUE22" s="19"/>
      <c r="GUF22" s="19"/>
      <c r="GUG22" s="19"/>
      <c r="GUH22" s="19"/>
      <c r="GUI22" s="19"/>
      <c r="GUJ22" s="19"/>
      <c r="GUK22" s="19"/>
      <c r="GUL22" s="19"/>
      <c r="GUM22" s="19"/>
      <c r="GUN22" s="19"/>
      <c r="GUO22" s="19"/>
      <c r="GUP22" s="19"/>
      <c r="GUQ22" s="19"/>
      <c r="GUR22" s="19"/>
      <c r="GUS22" s="19"/>
      <c r="GUT22" s="19"/>
      <c r="GUU22" s="19"/>
      <c r="GUV22" s="19"/>
      <c r="GUW22" s="19"/>
      <c r="GUX22" s="19"/>
      <c r="GUY22" s="19"/>
      <c r="GUZ22" s="19"/>
      <c r="GVA22" s="19"/>
      <c r="GVB22" s="19"/>
      <c r="GVC22" s="19"/>
      <c r="GVD22" s="19"/>
      <c r="GVE22" s="19"/>
      <c r="GVF22" s="19"/>
      <c r="GVG22" s="19"/>
      <c r="GVH22" s="19"/>
      <c r="GVI22" s="19"/>
      <c r="GVJ22" s="19"/>
      <c r="GVK22" s="19"/>
      <c r="GVL22" s="19"/>
      <c r="GVM22" s="19"/>
      <c r="GVN22" s="19"/>
      <c r="GVO22" s="19"/>
      <c r="GVP22" s="19"/>
      <c r="GVQ22" s="19"/>
      <c r="GVR22" s="19"/>
      <c r="GVS22" s="19"/>
      <c r="GVT22" s="19"/>
      <c r="GVU22" s="19"/>
      <c r="GVV22" s="19"/>
      <c r="GVW22" s="19"/>
      <c r="GVX22" s="19"/>
      <c r="GVY22" s="19"/>
      <c r="GVZ22" s="19"/>
      <c r="GWA22" s="19"/>
      <c r="GWB22" s="19"/>
      <c r="GWC22" s="19"/>
      <c r="GWD22" s="19"/>
      <c r="GWE22" s="19"/>
      <c r="GWF22" s="19"/>
      <c r="GWG22" s="19"/>
      <c r="GWH22" s="19"/>
      <c r="GWI22" s="19"/>
      <c r="GWJ22" s="19"/>
      <c r="GWK22" s="19"/>
      <c r="GWL22" s="19"/>
      <c r="GWM22" s="19"/>
      <c r="GWN22" s="19"/>
      <c r="GWO22" s="19"/>
      <c r="GWP22" s="19"/>
      <c r="GWQ22" s="19"/>
      <c r="GWR22" s="19"/>
      <c r="GWS22" s="19"/>
      <c r="GWT22" s="19"/>
      <c r="GWU22" s="19"/>
      <c r="GWV22" s="19"/>
      <c r="GWW22" s="19"/>
      <c r="GWX22" s="19"/>
      <c r="GWY22" s="19"/>
      <c r="GWZ22" s="19"/>
      <c r="GXA22" s="19"/>
      <c r="GXB22" s="19"/>
      <c r="GXC22" s="19"/>
      <c r="GXD22" s="19"/>
      <c r="GXE22" s="19"/>
      <c r="GXF22" s="19"/>
      <c r="GXG22" s="19"/>
      <c r="GXH22" s="19"/>
      <c r="GXI22" s="19"/>
      <c r="GXJ22" s="19"/>
      <c r="GXK22" s="19"/>
      <c r="GXL22" s="19"/>
      <c r="GXM22" s="19"/>
      <c r="GXN22" s="19"/>
      <c r="GXO22" s="19"/>
      <c r="GXP22" s="19"/>
      <c r="GXQ22" s="19"/>
      <c r="GXR22" s="19"/>
      <c r="GXS22" s="19"/>
      <c r="GXT22" s="19"/>
      <c r="GXU22" s="19"/>
      <c r="GXV22" s="19"/>
      <c r="GXW22" s="19"/>
      <c r="GXX22" s="19"/>
      <c r="GXY22" s="19"/>
      <c r="GXZ22" s="19"/>
      <c r="GYA22" s="19"/>
      <c r="GYB22" s="19"/>
      <c r="GYC22" s="19"/>
      <c r="GYD22" s="19"/>
      <c r="GYE22" s="19"/>
      <c r="GYF22" s="19"/>
      <c r="GYG22" s="19"/>
      <c r="GYH22" s="19"/>
      <c r="GYI22" s="19"/>
      <c r="GYJ22" s="19"/>
      <c r="GYK22" s="19"/>
      <c r="GYL22" s="19"/>
      <c r="GYM22" s="19"/>
      <c r="GYN22" s="19"/>
      <c r="GYO22" s="19"/>
      <c r="GYP22" s="19"/>
      <c r="GYQ22" s="19"/>
      <c r="GYR22" s="19"/>
      <c r="GYS22" s="19"/>
      <c r="GYT22" s="19"/>
      <c r="GYU22" s="19"/>
      <c r="GYV22" s="19"/>
      <c r="GYW22" s="19"/>
      <c r="GYX22" s="19"/>
      <c r="GYY22" s="19"/>
      <c r="GYZ22" s="19"/>
      <c r="GZA22" s="19"/>
      <c r="GZB22" s="19"/>
      <c r="GZC22" s="19"/>
      <c r="GZD22" s="19"/>
      <c r="GZE22" s="19"/>
      <c r="GZF22" s="19"/>
      <c r="GZG22" s="19"/>
      <c r="GZH22" s="19"/>
      <c r="GZI22" s="19"/>
      <c r="GZJ22" s="19"/>
      <c r="GZK22" s="19"/>
      <c r="GZL22" s="19"/>
      <c r="GZM22" s="19"/>
      <c r="GZN22" s="19"/>
      <c r="GZO22" s="19"/>
      <c r="GZP22" s="19"/>
      <c r="GZQ22" s="19"/>
      <c r="GZR22" s="19"/>
      <c r="GZS22" s="19"/>
      <c r="GZT22" s="19"/>
      <c r="GZU22" s="19"/>
      <c r="GZV22" s="19"/>
      <c r="GZW22" s="19"/>
      <c r="GZX22" s="19"/>
      <c r="GZY22" s="19"/>
      <c r="GZZ22" s="19"/>
      <c r="HAA22" s="19"/>
      <c r="HAB22" s="19"/>
      <c r="HAC22" s="19"/>
      <c r="HAD22" s="19"/>
      <c r="HAE22" s="19"/>
      <c r="HAF22" s="19"/>
      <c r="HAG22" s="19"/>
      <c r="HAH22" s="19"/>
      <c r="HAI22" s="19"/>
      <c r="HAJ22" s="19"/>
      <c r="HAK22" s="19"/>
      <c r="HAL22" s="19"/>
      <c r="HAM22" s="19"/>
      <c r="HAN22" s="19"/>
      <c r="HAO22" s="19"/>
      <c r="HAP22" s="19"/>
      <c r="HAQ22" s="19"/>
      <c r="HAR22" s="19"/>
      <c r="HAS22" s="19"/>
      <c r="HAT22" s="19"/>
      <c r="HAU22" s="19"/>
      <c r="HAV22" s="19"/>
      <c r="HAW22" s="19"/>
      <c r="HAX22" s="19"/>
      <c r="HAY22" s="19"/>
      <c r="HAZ22" s="19"/>
      <c r="HBA22" s="19"/>
      <c r="HBB22" s="19"/>
      <c r="HBC22" s="19"/>
      <c r="HBD22" s="19"/>
      <c r="HBE22" s="19"/>
      <c r="HBF22" s="19"/>
      <c r="HBG22" s="19"/>
      <c r="HBH22" s="19"/>
      <c r="HBI22" s="19"/>
      <c r="HBJ22" s="19"/>
      <c r="HBK22" s="19"/>
      <c r="HBL22" s="19"/>
      <c r="HBM22" s="19"/>
      <c r="HBN22" s="19"/>
      <c r="HBO22" s="19"/>
      <c r="HBP22" s="19"/>
      <c r="HBQ22" s="19"/>
      <c r="HBR22" s="19"/>
      <c r="HBS22" s="19"/>
      <c r="HBT22" s="19"/>
      <c r="HBU22" s="19"/>
      <c r="HBV22" s="19"/>
      <c r="HBW22" s="19"/>
      <c r="HBX22" s="19"/>
      <c r="HBY22" s="19"/>
      <c r="HBZ22" s="19"/>
      <c r="HCA22" s="19"/>
      <c r="HCB22" s="19"/>
      <c r="HCC22" s="19"/>
      <c r="HCD22" s="19"/>
      <c r="HCE22" s="19"/>
      <c r="HCF22" s="19"/>
      <c r="HCG22" s="19"/>
      <c r="HCH22" s="19"/>
      <c r="HCI22" s="19"/>
      <c r="HCJ22" s="19"/>
      <c r="HCK22" s="19"/>
      <c r="HCL22" s="19"/>
      <c r="HCM22" s="19"/>
      <c r="HCN22" s="19"/>
      <c r="HCO22" s="19"/>
      <c r="HCP22" s="19"/>
      <c r="HCQ22" s="19"/>
      <c r="HCR22" s="19"/>
      <c r="HCS22" s="19"/>
      <c r="HCT22" s="19"/>
      <c r="HCU22" s="19"/>
      <c r="HCV22" s="19"/>
      <c r="HCW22" s="19"/>
      <c r="HCX22" s="19"/>
      <c r="HCY22" s="19"/>
      <c r="HCZ22" s="19"/>
      <c r="HDA22" s="19"/>
      <c r="HDB22" s="19"/>
      <c r="HDC22" s="19"/>
      <c r="HDD22" s="19"/>
      <c r="HDE22" s="19"/>
      <c r="HDF22" s="19"/>
      <c r="HDG22" s="19"/>
      <c r="HDH22" s="19"/>
      <c r="HDI22" s="19"/>
      <c r="HDJ22" s="19"/>
      <c r="HDK22" s="19"/>
      <c r="HDL22" s="19"/>
      <c r="HDM22" s="19"/>
      <c r="HDN22" s="19"/>
      <c r="HDO22" s="19"/>
      <c r="HDP22" s="19"/>
      <c r="HDQ22" s="19"/>
      <c r="HDR22" s="19"/>
      <c r="HDS22" s="19"/>
      <c r="HDT22" s="19"/>
      <c r="HDU22" s="19"/>
      <c r="HDV22" s="19"/>
      <c r="HDW22" s="19"/>
      <c r="HDX22" s="19"/>
      <c r="HDY22" s="19"/>
      <c r="HDZ22" s="19"/>
      <c r="HEA22" s="19"/>
      <c r="HEB22" s="19"/>
      <c r="HEC22" s="19"/>
      <c r="HED22" s="19"/>
      <c r="HEE22" s="19"/>
      <c r="HEF22" s="19"/>
      <c r="HEG22" s="19"/>
      <c r="HEH22" s="19"/>
      <c r="HEI22" s="19"/>
      <c r="HEJ22" s="19"/>
      <c r="HEK22" s="19"/>
      <c r="HEL22" s="19"/>
      <c r="HEM22" s="19"/>
      <c r="HEN22" s="19"/>
      <c r="HEO22" s="19"/>
      <c r="HEP22" s="19"/>
      <c r="HEQ22" s="19"/>
      <c r="HER22" s="19"/>
      <c r="HES22" s="19"/>
      <c r="HET22" s="19"/>
      <c r="HEU22" s="19"/>
      <c r="HEV22" s="19"/>
      <c r="HEW22" s="19"/>
      <c r="HEX22" s="19"/>
      <c r="HEY22" s="19"/>
      <c r="HEZ22" s="19"/>
      <c r="HFA22" s="19"/>
      <c r="HFB22" s="19"/>
      <c r="HFC22" s="19"/>
      <c r="HFD22" s="19"/>
      <c r="HFE22" s="19"/>
      <c r="HFF22" s="19"/>
      <c r="HFG22" s="19"/>
      <c r="HFH22" s="19"/>
      <c r="HFI22" s="19"/>
      <c r="HFJ22" s="19"/>
      <c r="HFK22" s="19"/>
      <c r="HFL22" s="19"/>
      <c r="HFM22" s="19"/>
      <c r="HFN22" s="19"/>
      <c r="HFO22" s="19"/>
      <c r="HFP22" s="19"/>
      <c r="HFQ22" s="19"/>
      <c r="HFR22" s="19"/>
      <c r="HFS22" s="19"/>
      <c r="HFT22" s="19"/>
      <c r="HFU22" s="19"/>
      <c r="HFV22" s="19"/>
      <c r="HFW22" s="19"/>
      <c r="HFX22" s="19"/>
      <c r="HFY22" s="19"/>
      <c r="HFZ22" s="19"/>
      <c r="HGA22" s="19"/>
      <c r="HGB22" s="19"/>
      <c r="HGC22" s="19"/>
      <c r="HGD22" s="19"/>
      <c r="HGE22" s="19"/>
      <c r="HGF22" s="19"/>
      <c r="HGG22" s="19"/>
      <c r="HGH22" s="19"/>
      <c r="HGI22" s="19"/>
      <c r="HGJ22" s="19"/>
      <c r="HGK22" s="19"/>
      <c r="HGL22" s="19"/>
      <c r="HGM22" s="19"/>
      <c r="HGN22" s="19"/>
      <c r="HGO22" s="19"/>
      <c r="HGP22" s="19"/>
      <c r="HGQ22" s="19"/>
      <c r="HGR22" s="19"/>
      <c r="HGS22" s="19"/>
      <c r="HGT22" s="19"/>
      <c r="HGU22" s="19"/>
      <c r="HGV22" s="19"/>
      <c r="HGW22" s="19"/>
      <c r="HGX22" s="19"/>
      <c r="HGY22" s="19"/>
      <c r="HGZ22" s="19"/>
      <c r="HHA22" s="19"/>
      <c r="HHB22" s="19"/>
      <c r="HHC22" s="19"/>
      <c r="HHD22" s="19"/>
      <c r="HHE22" s="19"/>
      <c r="HHF22" s="19"/>
      <c r="HHG22" s="19"/>
      <c r="HHH22" s="19"/>
      <c r="HHI22" s="19"/>
      <c r="HHJ22" s="19"/>
      <c r="HHK22" s="19"/>
      <c r="HHL22" s="19"/>
      <c r="HHM22" s="19"/>
      <c r="HHN22" s="19"/>
      <c r="HHO22" s="19"/>
      <c r="HHP22" s="19"/>
      <c r="HHQ22" s="19"/>
      <c r="HHR22" s="19"/>
      <c r="HHS22" s="19"/>
      <c r="HHT22" s="19"/>
      <c r="HHU22" s="19"/>
      <c r="HHV22" s="19"/>
      <c r="HHW22" s="19"/>
      <c r="HHX22" s="19"/>
      <c r="HHY22" s="19"/>
      <c r="HHZ22" s="19"/>
      <c r="HIA22" s="19"/>
      <c r="HIB22" s="19"/>
      <c r="HIC22" s="19"/>
      <c r="HID22" s="19"/>
      <c r="HIE22" s="19"/>
      <c r="HIF22" s="19"/>
      <c r="HIG22" s="19"/>
      <c r="HIH22" s="19"/>
      <c r="HII22" s="19"/>
      <c r="HIJ22" s="19"/>
      <c r="HIK22" s="19"/>
      <c r="HIL22" s="19"/>
      <c r="HIM22" s="19"/>
      <c r="HIN22" s="19"/>
      <c r="HIO22" s="19"/>
      <c r="HIP22" s="19"/>
      <c r="HIQ22" s="19"/>
      <c r="HIR22" s="19"/>
      <c r="HIS22" s="19"/>
      <c r="HIT22" s="19"/>
      <c r="HIU22" s="19"/>
      <c r="HIV22" s="19"/>
      <c r="HIW22" s="19"/>
      <c r="HIX22" s="19"/>
      <c r="HIY22" s="19"/>
      <c r="HIZ22" s="19"/>
      <c r="HJA22" s="19"/>
      <c r="HJB22" s="19"/>
      <c r="HJC22" s="19"/>
      <c r="HJD22" s="19"/>
      <c r="HJE22" s="19"/>
      <c r="HJF22" s="19"/>
      <c r="HJG22" s="19"/>
      <c r="HJH22" s="19"/>
      <c r="HJI22" s="19"/>
      <c r="HJJ22" s="19"/>
      <c r="HJK22" s="19"/>
      <c r="HJL22" s="19"/>
      <c r="HJM22" s="19"/>
      <c r="HJN22" s="19"/>
      <c r="HJO22" s="19"/>
      <c r="HJP22" s="19"/>
      <c r="HJQ22" s="19"/>
      <c r="HJR22" s="19"/>
      <c r="HJS22" s="19"/>
      <c r="HJT22" s="19"/>
      <c r="HJU22" s="19"/>
      <c r="HJV22" s="19"/>
      <c r="HJW22" s="19"/>
      <c r="HJX22" s="19"/>
      <c r="HJY22" s="19"/>
      <c r="HJZ22" s="19"/>
      <c r="HKA22" s="19"/>
      <c r="HKB22" s="19"/>
      <c r="HKC22" s="19"/>
      <c r="HKD22" s="19"/>
      <c r="HKE22" s="19"/>
      <c r="HKF22" s="19"/>
      <c r="HKG22" s="19"/>
      <c r="HKH22" s="19"/>
      <c r="HKI22" s="19"/>
      <c r="HKJ22" s="19"/>
      <c r="HKK22" s="19"/>
      <c r="HKL22" s="19"/>
      <c r="HKM22" s="19"/>
      <c r="HKN22" s="19"/>
      <c r="HKO22" s="19"/>
      <c r="HKP22" s="19"/>
      <c r="HKQ22" s="19"/>
      <c r="HKR22" s="19"/>
      <c r="HKS22" s="19"/>
      <c r="HKT22" s="19"/>
      <c r="HKU22" s="19"/>
      <c r="HKV22" s="19"/>
      <c r="HKW22" s="19"/>
      <c r="HKX22" s="19"/>
      <c r="HKY22" s="19"/>
      <c r="HKZ22" s="19"/>
      <c r="HLA22" s="19"/>
      <c r="HLB22" s="19"/>
      <c r="HLC22" s="19"/>
      <c r="HLD22" s="19"/>
      <c r="HLE22" s="19"/>
      <c r="HLF22" s="19"/>
      <c r="HLG22" s="19"/>
      <c r="HLH22" s="19"/>
      <c r="HLI22" s="19"/>
      <c r="HLJ22" s="19"/>
      <c r="HLK22" s="19"/>
      <c r="HLL22" s="19"/>
      <c r="HLM22" s="19"/>
      <c r="HLN22" s="19"/>
      <c r="HLO22" s="19"/>
      <c r="HLP22" s="19"/>
      <c r="HLQ22" s="19"/>
      <c r="HLR22" s="19"/>
      <c r="HLS22" s="19"/>
      <c r="HLT22" s="19"/>
      <c r="HLU22" s="19"/>
      <c r="HLV22" s="19"/>
      <c r="HLW22" s="19"/>
      <c r="HLX22" s="19"/>
      <c r="HLY22" s="19"/>
      <c r="HLZ22" s="19"/>
      <c r="HMA22" s="19"/>
      <c r="HMB22" s="19"/>
      <c r="HMC22" s="19"/>
      <c r="HMD22" s="19"/>
      <c r="HME22" s="19"/>
      <c r="HMF22" s="19"/>
      <c r="HMG22" s="19"/>
      <c r="HMH22" s="19"/>
      <c r="HMI22" s="19"/>
      <c r="HMJ22" s="19"/>
      <c r="HMK22" s="19"/>
      <c r="HML22" s="19"/>
      <c r="HMM22" s="19"/>
      <c r="HMN22" s="19"/>
      <c r="HMO22" s="19"/>
      <c r="HMP22" s="19"/>
      <c r="HMQ22" s="19"/>
      <c r="HMR22" s="19"/>
      <c r="HMS22" s="19"/>
      <c r="HMT22" s="19"/>
      <c r="HMU22" s="19"/>
      <c r="HMV22" s="19"/>
      <c r="HMW22" s="19"/>
      <c r="HMX22" s="19"/>
      <c r="HMY22" s="19"/>
      <c r="HMZ22" s="19"/>
      <c r="HNA22" s="19"/>
      <c r="HNB22" s="19"/>
      <c r="HNC22" s="19"/>
      <c r="HND22" s="19"/>
      <c r="HNE22" s="19"/>
      <c r="HNF22" s="19"/>
      <c r="HNG22" s="19"/>
      <c r="HNH22" s="19"/>
      <c r="HNI22" s="19"/>
      <c r="HNJ22" s="19"/>
      <c r="HNK22" s="19"/>
      <c r="HNL22" s="19"/>
      <c r="HNM22" s="19"/>
      <c r="HNN22" s="19"/>
      <c r="HNO22" s="19"/>
      <c r="HNP22" s="19"/>
      <c r="HNQ22" s="19"/>
      <c r="HNR22" s="19"/>
      <c r="HNS22" s="19"/>
      <c r="HNT22" s="19"/>
      <c r="HNU22" s="19"/>
      <c r="HNV22" s="19"/>
      <c r="HNW22" s="19"/>
      <c r="HNX22" s="19"/>
      <c r="HNY22" s="19"/>
      <c r="HNZ22" s="19"/>
      <c r="HOA22" s="19"/>
      <c r="HOB22" s="19"/>
      <c r="HOC22" s="19"/>
      <c r="HOD22" s="19"/>
      <c r="HOE22" s="19"/>
      <c r="HOF22" s="19"/>
      <c r="HOG22" s="19"/>
      <c r="HOH22" s="19"/>
      <c r="HOI22" s="19"/>
      <c r="HOJ22" s="19"/>
      <c r="HOK22" s="19"/>
      <c r="HOL22" s="19"/>
      <c r="HOM22" s="19"/>
      <c r="HON22" s="19"/>
      <c r="HOO22" s="19"/>
      <c r="HOP22" s="19"/>
      <c r="HOQ22" s="19"/>
      <c r="HOR22" s="19"/>
      <c r="HOS22" s="19"/>
      <c r="HOT22" s="19"/>
      <c r="HOU22" s="19"/>
      <c r="HOV22" s="19"/>
      <c r="HOW22" s="19"/>
      <c r="HOX22" s="19"/>
      <c r="HOY22" s="19"/>
      <c r="HOZ22" s="19"/>
      <c r="HPA22" s="19"/>
      <c r="HPB22" s="19"/>
      <c r="HPC22" s="19"/>
      <c r="HPD22" s="19"/>
      <c r="HPE22" s="19"/>
      <c r="HPF22" s="19"/>
      <c r="HPG22" s="19"/>
      <c r="HPH22" s="19"/>
      <c r="HPI22" s="19"/>
      <c r="HPJ22" s="19"/>
      <c r="HPK22" s="19"/>
      <c r="HPL22" s="19"/>
      <c r="HPM22" s="19"/>
      <c r="HPN22" s="19"/>
      <c r="HPO22" s="19"/>
      <c r="HPP22" s="19"/>
      <c r="HPQ22" s="19"/>
      <c r="HPR22" s="19"/>
      <c r="HPS22" s="19"/>
      <c r="HPT22" s="19"/>
      <c r="HPU22" s="19"/>
      <c r="HPV22" s="19"/>
      <c r="HPW22" s="19"/>
      <c r="HPX22" s="19"/>
      <c r="HPY22" s="19"/>
      <c r="HPZ22" s="19"/>
      <c r="HQA22" s="19"/>
      <c r="HQB22" s="19"/>
      <c r="HQC22" s="19"/>
      <c r="HQD22" s="19"/>
      <c r="HQE22" s="19"/>
      <c r="HQF22" s="19"/>
      <c r="HQG22" s="19"/>
      <c r="HQH22" s="19"/>
      <c r="HQI22" s="19"/>
      <c r="HQJ22" s="19"/>
      <c r="HQK22" s="19"/>
      <c r="HQL22" s="19"/>
      <c r="HQM22" s="19"/>
      <c r="HQN22" s="19"/>
      <c r="HQO22" s="19"/>
      <c r="HQP22" s="19"/>
      <c r="HQQ22" s="19"/>
      <c r="HQR22" s="19"/>
      <c r="HQS22" s="19"/>
      <c r="HQT22" s="19"/>
      <c r="HQU22" s="19"/>
      <c r="HQV22" s="19"/>
      <c r="HQW22" s="19"/>
      <c r="HQX22" s="19"/>
      <c r="HQY22" s="19"/>
      <c r="HQZ22" s="19"/>
      <c r="HRA22" s="19"/>
      <c r="HRB22" s="19"/>
      <c r="HRC22" s="19"/>
      <c r="HRD22" s="19"/>
      <c r="HRE22" s="19"/>
      <c r="HRF22" s="19"/>
      <c r="HRG22" s="19"/>
      <c r="HRH22" s="19"/>
      <c r="HRI22" s="19"/>
      <c r="HRJ22" s="19"/>
      <c r="HRK22" s="19"/>
      <c r="HRL22" s="19"/>
      <c r="HRM22" s="19"/>
      <c r="HRN22" s="19"/>
      <c r="HRO22" s="19"/>
      <c r="HRP22" s="19"/>
      <c r="HRQ22" s="19"/>
      <c r="HRR22" s="19"/>
      <c r="HRS22" s="19"/>
      <c r="HRT22" s="19"/>
      <c r="HRU22" s="19"/>
      <c r="HRV22" s="19"/>
      <c r="HRW22" s="19"/>
      <c r="HRX22" s="19"/>
      <c r="HRY22" s="19"/>
      <c r="HRZ22" s="19"/>
      <c r="HSA22" s="19"/>
      <c r="HSB22" s="19"/>
      <c r="HSC22" s="19"/>
      <c r="HSD22" s="19"/>
      <c r="HSE22" s="19"/>
      <c r="HSF22" s="19"/>
      <c r="HSG22" s="19"/>
      <c r="HSH22" s="19"/>
      <c r="HSI22" s="19"/>
      <c r="HSJ22" s="19"/>
      <c r="HSK22" s="19"/>
      <c r="HSL22" s="19"/>
      <c r="HSM22" s="19"/>
      <c r="HSN22" s="19"/>
      <c r="HSO22" s="19"/>
      <c r="HSP22" s="19"/>
      <c r="HSQ22" s="19"/>
      <c r="HSR22" s="19"/>
      <c r="HSS22" s="19"/>
      <c r="HST22" s="19"/>
      <c r="HSU22" s="19"/>
      <c r="HSV22" s="19"/>
      <c r="HSW22" s="19"/>
      <c r="HSX22" s="19"/>
      <c r="HSY22" s="19"/>
      <c r="HSZ22" s="19"/>
      <c r="HTA22" s="19"/>
      <c r="HTB22" s="19"/>
      <c r="HTC22" s="19"/>
      <c r="HTD22" s="19"/>
      <c r="HTE22" s="19"/>
      <c r="HTF22" s="19"/>
      <c r="HTG22" s="19"/>
      <c r="HTH22" s="19"/>
      <c r="HTI22" s="19"/>
      <c r="HTJ22" s="19"/>
      <c r="HTK22" s="19"/>
      <c r="HTL22" s="19"/>
      <c r="HTM22" s="19"/>
      <c r="HTN22" s="19"/>
      <c r="HTO22" s="19"/>
      <c r="HTP22" s="19"/>
      <c r="HTQ22" s="19"/>
      <c r="HTR22" s="19"/>
      <c r="HTS22" s="19"/>
      <c r="HTT22" s="19"/>
      <c r="HTU22" s="19"/>
      <c r="HTV22" s="19"/>
      <c r="HTW22" s="19"/>
      <c r="HTX22" s="19"/>
      <c r="HTY22" s="19"/>
      <c r="HTZ22" s="19"/>
      <c r="HUA22" s="19"/>
      <c r="HUB22" s="19"/>
      <c r="HUC22" s="19"/>
      <c r="HUD22" s="19"/>
      <c r="HUE22" s="19"/>
      <c r="HUF22" s="19"/>
      <c r="HUG22" s="19"/>
      <c r="HUH22" s="19"/>
      <c r="HUI22" s="19"/>
      <c r="HUJ22" s="19"/>
      <c r="HUK22" s="19"/>
      <c r="HUL22" s="19"/>
      <c r="HUM22" s="19"/>
      <c r="HUN22" s="19"/>
      <c r="HUO22" s="19"/>
      <c r="HUP22" s="19"/>
      <c r="HUQ22" s="19"/>
      <c r="HUR22" s="19"/>
      <c r="HUS22" s="19"/>
      <c r="HUT22" s="19"/>
      <c r="HUU22" s="19"/>
      <c r="HUV22" s="19"/>
      <c r="HUW22" s="19"/>
      <c r="HUX22" s="19"/>
      <c r="HUY22" s="19"/>
      <c r="HUZ22" s="19"/>
      <c r="HVA22" s="19"/>
      <c r="HVB22" s="19"/>
      <c r="HVC22" s="19"/>
      <c r="HVD22" s="19"/>
      <c r="HVE22" s="19"/>
      <c r="HVF22" s="19"/>
      <c r="HVG22" s="19"/>
      <c r="HVH22" s="19"/>
      <c r="HVI22" s="19"/>
      <c r="HVJ22" s="19"/>
      <c r="HVK22" s="19"/>
      <c r="HVL22" s="19"/>
      <c r="HVM22" s="19"/>
      <c r="HVN22" s="19"/>
      <c r="HVO22" s="19"/>
      <c r="HVP22" s="19"/>
      <c r="HVQ22" s="19"/>
      <c r="HVR22" s="19"/>
      <c r="HVS22" s="19"/>
      <c r="HVT22" s="19"/>
      <c r="HVU22" s="19"/>
      <c r="HVV22" s="19"/>
      <c r="HVW22" s="19"/>
      <c r="HVX22" s="19"/>
      <c r="HVY22" s="19"/>
      <c r="HVZ22" s="19"/>
      <c r="HWA22" s="19"/>
      <c r="HWB22" s="19"/>
      <c r="HWC22" s="19"/>
      <c r="HWD22" s="19"/>
      <c r="HWE22" s="19"/>
      <c r="HWF22" s="19"/>
      <c r="HWG22" s="19"/>
      <c r="HWH22" s="19"/>
      <c r="HWI22" s="19"/>
      <c r="HWJ22" s="19"/>
      <c r="HWK22" s="19"/>
      <c r="HWL22" s="19"/>
      <c r="HWM22" s="19"/>
      <c r="HWN22" s="19"/>
      <c r="HWO22" s="19"/>
      <c r="HWP22" s="19"/>
      <c r="HWQ22" s="19"/>
      <c r="HWR22" s="19"/>
      <c r="HWS22" s="19"/>
      <c r="HWT22" s="19"/>
      <c r="HWU22" s="19"/>
      <c r="HWV22" s="19"/>
      <c r="HWW22" s="19"/>
      <c r="HWX22" s="19"/>
      <c r="HWY22" s="19"/>
      <c r="HWZ22" s="19"/>
      <c r="HXA22" s="19"/>
      <c r="HXB22" s="19"/>
      <c r="HXC22" s="19"/>
      <c r="HXD22" s="19"/>
      <c r="HXE22" s="19"/>
      <c r="HXF22" s="19"/>
      <c r="HXG22" s="19"/>
      <c r="HXH22" s="19"/>
      <c r="HXI22" s="19"/>
      <c r="HXJ22" s="19"/>
      <c r="HXK22" s="19"/>
      <c r="HXL22" s="19"/>
      <c r="HXM22" s="19"/>
      <c r="HXN22" s="19"/>
      <c r="HXO22" s="19"/>
      <c r="HXP22" s="19"/>
      <c r="HXQ22" s="19"/>
      <c r="HXR22" s="19"/>
      <c r="HXS22" s="19"/>
      <c r="HXT22" s="19"/>
      <c r="HXU22" s="19"/>
      <c r="HXV22" s="19"/>
      <c r="HXW22" s="19"/>
      <c r="HXX22" s="19"/>
      <c r="HXY22" s="19"/>
      <c r="HXZ22" s="19"/>
      <c r="HYA22" s="19"/>
      <c r="HYB22" s="19"/>
      <c r="HYC22" s="19"/>
      <c r="HYD22" s="19"/>
      <c r="HYE22" s="19"/>
      <c r="HYF22" s="19"/>
      <c r="HYG22" s="19"/>
      <c r="HYH22" s="19"/>
      <c r="HYI22" s="19"/>
      <c r="HYJ22" s="19"/>
      <c r="HYK22" s="19"/>
      <c r="HYL22" s="19"/>
      <c r="HYM22" s="19"/>
      <c r="HYN22" s="19"/>
      <c r="HYO22" s="19"/>
      <c r="HYP22" s="19"/>
      <c r="HYQ22" s="19"/>
      <c r="HYR22" s="19"/>
      <c r="HYS22" s="19"/>
      <c r="HYT22" s="19"/>
      <c r="HYU22" s="19"/>
      <c r="HYV22" s="19"/>
      <c r="HYW22" s="19"/>
      <c r="HYX22" s="19"/>
      <c r="HYY22" s="19"/>
      <c r="HYZ22" s="19"/>
      <c r="HZA22" s="19"/>
      <c r="HZB22" s="19"/>
      <c r="HZC22" s="19"/>
      <c r="HZD22" s="19"/>
      <c r="HZE22" s="19"/>
      <c r="HZF22" s="19"/>
      <c r="HZG22" s="19"/>
      <c r="HZH22" s="19"/>
      <c r="HZI22" s="19"/>
      <c r="HZJ22" s="19"/>
      <c r="HZK22" s="19"/>
      <c r="HZL22" s="19"/>
      <c r="HZM22" s="19"/>
      <c r="HZN22" s="19"/>
      <c r="HZO22" s="19"/>
      <c r="HZP22" s="19"/>
      <c r="HZQ22" s="19"/>
      <c r="HZR22" s="19"/>
      <c r="HZS22" s="19"/>
      <c r="HZT22" s="19"/>
      <c r="HZU22" s="19"/>
      <c r="HZV22" s="19"/>
      <c r="HZW22" s="19"/>
      <c r="HZX22" s="19"/>
      <c r="HZY22" s="19"/>
      <c r="HZZ22" s="19"/>
      <c r="IAA22" s="19"/>
      <c r="IAB22" s="19"/>
      <c r="IAC22" s="19"/>
      <c r="IAD22" s="19"/>
      <c r="IAE22" s="19"/>
      <c r="IAF22" s="19"/>
      <c r="IAG22" s="19"/>
      <c r="IAH22" s="19"/>
      <c r="IAI22" s="19"/>
      <c r="IAJ22" s="19"/>
      <c r="IAK22" s="19"/>
      <c r="IAL22" s="19"/>
      <c r="IAM22" s="19"/>
      <c r="IAN22" s="19"/>
      <c r="IAO22" s="19"/>
      <c r="IAP22" s="19"/>
      <c r="IAQ22" s="19"/>
      <c r="IAR22" s="19"/>
      <c r="IAS22" s="19"/>
      <c r="IAT22" s="19"/>
      <c r="IAU22" s="19"/>
      <c r="IAV22" s="19"/>
      <c r="IAW22" s="19"/>
      <c r="IAX22" s="19"/>
      <c r="IAY22" s="19"/>
      <c r="IAZ22" s="19"/>
      <c r="IBA22" s="19"/>
      <c r="IBB22" s="19"/>
      <c r="IBC22" s="19"/>
      <c r="IBD22" s="19"/>
      <c r="IBE22" s="19"/>
      <c r="IBF22" s="19"/>
      <c r="IBG22" s="19"/>
      <c r="IBH22" s="19"/>
      <c r="IBI22" s="19"/>
      <c r="IBJ22" s="19"/>
      <c r="IBK22" s="19"/>
      <c r="IBL22" s="19"/>
      <c r="IBM22" s="19"/>
      <c r="IBN22" s="19"/>
      <c r="IBO22" s="19"/>
      <c r="IBP22" s="19"/>
      <c r="IBQ22" s="19"/>
      <c r="IBR22" s="19"/>
      <c r="IBS22" s="19"/>
      <c r="IBT22" s="19"/>
      <c r="IBU22" s="19"/>
      <c r="IBV22" s="19"/>
      <c r="IBW22" s="19"/>
      <c r="IBX22" s="19"/>
      <c r="IBY22" s="19"/>
      <c r="IBZ22" s="19"/>
      <c r="ICA22" s="19"/>
      <c r="ICB22" s="19"/>
      <c r="ICC22" s="19"/>
      <c r="ICD22" s="19"/>
      <c r="ICE22" s="19"/>
      <c r="ICF22" s="19"/>
      <c r="ICG22" s="19"/>
      <c r="ICH22" s="19"/>
      <c r="ICI22" s="19"/>
      <c r="ICJ22" s="19"/>
      <c r="ICK22" s="19"/>
      <c r="ICL22" s="19"/>
      <c r="ICM22" s="19"/>
      <c r="ICN22" s="19"/>
      <c r="ICO22" s="19"/>
      <c r="ICP22" s="19"/>
      <c r="ICQ22" s="19"/>
      <c r="ICR22" s="19"/>
      <c r="ICS22" s="19"/>
      <c r="ICT22" s="19"/>
      <c r="ICU22" s="19"/>
      <c r="ICV22" s="19"/>
      <c r="ICW22" s="19"/>
      <c r="ICX22" s="19"/>
      <c r="ICY22" s="19"/>
      <c r="ICZ22" s="19"/>
      <c r="IDA22" s="19"/>
      <c r="IDB22" s="19"/>
      <c r="IDC22" s="19"/>
      <c r="IDD22" s="19"/>
      <c r="IDE22" s="19"/>
      <c r="IDF22" s="19"/>
      <c r="IDG22" s="19"/>
      <c r="IDH22" s="19"/>
      <c r="IDI22" s="19"/>
      <c r="IDJ22" s="19"/>
      <c r="IDK22" s="19"/>
      <c r="IDL22" s="19"/>
      <c r="IDM22" s="19"/>
      <c r="IDN22" s="19"/>
      <c r="IDO22" s="19"/>
      <c r="IDP22" s="19"/>
      <c r="IDQ22" s="19"/>
      <c r="IDR22" s="19"/>
      <c r="IDS22" s="19"/>
      <c r="IDT22" s="19"/>
      <c r="IDU22" s="19"/>
      <c r="IDV22" s="19"/>
      <c r="IDW22" s="19"/>
      <c r="IDX22" s="19"/>
      <c r="IDY22" s="19"/>
      <c r="IDZ22" s="19"/>
      <c r="IEA22" s="19"/>
      <c r="IEB22" s="19"/>
      <c r="IEC22" s="19"/>
      <c r="IED22" s="19"/>
      <c r="IEE22" s="19"/>
      <c r="IEF22" s="19"/>
      <c r="IEG22" s="19"/>
      <c r="IEH22" s="19"/>
      <c r="IEI22" s="19"/>
      <c r="IEJ22" s="19"/>
      <c r="IEK22" s="19"/>
      <c r="IEL22" s="19"/>
      <c r="IEM22" s="19"/>
      <c r="IEN22" s="19"/>
      <c r="IEO22" s="19"/>
      <c r="IEP22" s="19"/>
      <c r="IEQ22" s="19"/>
      <c r="IER22" s="19"/>
      <c r="IES22" s="19"/>
      <c r="IET22" s="19"/>
      <c r="IEU22" s="19"/>
      <c r="IEV22" s="19"/>
      <c r="IEW22" s="19"/>
      <c r="IEX22" s="19"/>
      <c r="IEY22" s="19"/>
      <c r="IEZ22" s="19"/>
      <c r="IFA22" s="19"/>
      <c r="IFB22" s="19"/>
      <c r="IFC22" s="19"/>
      <c r="IFD22" s="19"/>
      <c r="IFE22" s="19"/>
      <c r="IFF22" s="19"/>
      <c r="IFG22" s="19"/>
      <c r="IFH22" s="19"/>
      <c r="IFI22" s="19"/>
      <c r="IFJ22" s="19"/>
      <c r="IFK22" s="19"/>
      <c r="IFL22" s="19"/>
      <c r="IFM22" s="19"/>
      <c r="IFN22" s="19"/>
      <c r="IFO22" s="19"/>
      <c r="IFP22" s="19"/>
      <c r="IFQ22" s="19"/>
      <c r="IFR22" s="19"/>
      <c r="IFS22" s="19"/>
      <c r="IFT22" s="19"/>
      <c r="IFU22" s="19"/>
      <c r="IFV22" s="19"/>
      <c r="IFW22" s="19"/>
      <c r="IFX22" s="19"/>
      <c r="IFY22" s="19"/>
      <c r="IFZ22" s="19"/>
      <c r="IGA22" s="19"/>
      <c r="IGB22" s="19"/>
      <c r="IGC22" s="19"/>
      <c r="IGD22" s="19"/>
      <c r="IGE22" s="19"/>
      <c r="IGF22" s="19"/>
      <c r="IGG22" s="19"/>
      <c r="IGH22" s="19"/>
      <c r="IGI22" s="19"/>
      <c r="IGJ22" s="19"/>
      <c r="IGK22" s="19"/>
      <c r="IGL22" s="19"/>
      <c r="IGM22" s="19"/>
      <c r="IGN22" s="19"/>
      <c r="IGO22" s="19"/>
      <c r="IGP22" s="19"/>
      <c r="IGQ22" s="19"/>
      <c r="IGR22" s="19"/>
      <c r="IGS22" s="19"/>
      <c r="IGT22" s="19"/>
      <c r="IGU22" s="19"/>
      <c r="IGV22" s="19"/>
      <c r="IGW22" s="19"/>
      <c r="IGX22" s="19"/>
      <c r="IGY22" s="19"/>
      <c r="IGZ22" s="19"/>
      <c r="IHA22" s="19"/>
      <c r="IHB22" s="19"/>
      <c r="IHC22" s="19"/>
      <c r="IHD22" s="19"/>
      <c r="IHE22" s="19"/>
      <c r="IHF22" s="19"/>
      <c r="IHG22" s="19"/>
      <c r="IHH22" s="19"/>
      <c r="IHI22" s="19"/>
      <c r="IHJ22" s="19"/>
      <c r="IHK22" s="19"/>
      <c r="IHL22" s="19"/>
      <c r="IHM22" s="19"/>
      <c r="IHN22" s="19"/>
      <c r="IHO22" s="19"/>
      <c r="IHP22" s="19"/>
      <c r="IHQ22" s="19"/>
      <c r="IHR22" s="19"/>
      <c r="IHS22" s="19"/>
      <c r="IHT22" s="19"/>
      <c r="IHU22" s="19"/>
      <c r="IHV22" s="19"/>
      <c r="IHW22" s="19"/>
      <c r="IHX22" s="19"/>
      <c r="IHY22" s="19"/>
      <c r="IHZ22" s="19"/>
      <c r="IIA22" s="19"/>
      <c r="IIB22" s="19"/>
      <c r="IIC22" s="19"/>
      <c r="IID22" s="19"/>
      <c r="IIE22" s="19"/>
      <c r="IIF22" s="19"/>
      <c r="IIG22" s="19"/>
      <c r="IIH22" s="19"/>
      <c r="III22" s="19"/>
      <c r="IIJ22" s="19"/>
      <c r="IIK22" s="19"/>
      <c r="IIL22" s="19"/>
      <c r="IIM22" s="19"/>
      <c r="IIN22" s="19"/>
      <c r="IIO22" s="19"/>
      <c r="IIP22" s="19"/>
      <c r="IIQ22" s="19"/>
      <c r="IIR22" s="19"/>
      <c r="IIS22" s="19"/>
      <c r="IIT22" s="19"/>
      <c r="IIU22" s="19"/>
      <c r="IIV22" s="19"/>
      <c r="IIW22" s="19"/>
      <c r="IIX22" s="19"/>
      <c r="IIY22" s="19"/>
      <c r="IIZ22" s="19"/>
      <c r="IJA22" s="19"/>
      <c r="IJB22" s="19"/>
      <c r="IJC22" s="19"/>
      <c r="IJD22" s="19"/>
      <c r="IJE22" s="19"/>
      <c r="IJF22" s="19"/>
      <c r="IJG22" s="19"/>
      <c r="IJH22" s="19"/>
      <c r="IJI22" s="19"/>
      <c r="IJJ22" s="19"/>
      <c r="IJK22" s="19"/>
      <c r="IJL22" s="19"/>
      <c r="IJM22" s="19"/>
      <c r="IJN22" s="19"/>
      <c r="IJO22" s="19"/>
      <c r="IJP22" s="19"/>
      <c r="IJQ22" s="19"/>
      <c r="IJR22" s="19"/>
      <c r="IJS22" s="19"/>
      <c r="IJT22" s="19"/>
      <c r="IJU22" s="19"/>
      <c r="IJV22" s="19"/>
      <c r="IJW22" s="19"/>
      <c r="IJX22" s="19"/>
      <c r="IJY22" s="19"/>
      <c r="IJZ22" s="19"/>
      <c r="IKA22" s="19"/>
      <c r="IKB22" s="19"/>
      <c r="IKC22" s="19"/>
      <c r="IKD22" s="19"/>
      <c r="IKE22" s="19"/>
      <c r="IKF22" s="19"/>
      <c r="IKG22" s="19"/>
      <c r="IKH22" s="19"/>
      <c r="IKI22" s="19"/>
      <c r="IKJ22" s="19"/>
      <c r="IKK22" s="19"/>
      <c r="IKL22" s="19"/>
      <c r="IKM22" s="19"/>
      <c r="IKN22" s="19"/>
      <c r="IKO22" s="19"/>
      <c r="IKP22" s="19"/>
      <c r="IKQ22" s="19"/>
      <c r="IKR22" s="19"/>
      <c r="IKS22" s="19"/>
      <c r="IKT22" s="19"/>
      <c r="IKU22" s="19"/>
      <c r="IKV22" s="19"/>
      <c r="IKW22" s="19"/>
      <c r="IKX22" s="19"/>
      <c r="IKY22" s="19"/>
      <c r="IKZ22" s="19"/>
      <c r="ILA22" s="19"/>
      <c r="ILB22" s="19"/>
      <c r="ILC22" s="19"/>
      <c r="ILD22" s="19"/>
      <c r="ILE22" s="19"/>
      <c r="ILF22" s="19"/>
      <c r="ILG22" s="19"/>
      <c r="ILH22" s="19"/>
      <c r="ILI22" s="19"/>
      <c r="ILJ22" s="19"/>
      <c r="ILK22" s="19"/>
      <c r="ILL22" s="19"/>
      <c r="ILM22" s="19"/>
      <c r="ILN22" s="19"/>
      <c r="ILO22" s="19"/>
      <c r="ILP22" s="19"/>
      <c r="ILQ22" s="19"/>
      <c r="ILR22" s="19"/>
      <c r="ILS22" s="19"/>
      <c r="ILT22" s="19"/>
      <c r="ILU22" s="19"/>
      <c r="ILV22" s="19"/>
      <c r="ILW22" s="19"/>
      <c r="ILX22" s="19"/>
      <c r="ILY22" s="19"/>
      <c r="ILZ22" s="19"/>
      <c r="IMA22" s="19"/>
      <c r="IMB22" s="19"/>
      <c r="IMC22" s="19"/>
      <c r="IMD22" s="19"/>
      <c r="IME22" s="19"/>
      <c r="IMF22" s="19"/>
      <c r="IMG22" s="19"/>
      <c r="IMH22" s="19"/>
      <c r="IMI22" s="19"/>
      <c r="IMJ22" s="19"/>
      <c r="IMK22" s="19"/>
      <c r="IML22" s="19"/>
      <c r="IMM22" s="19"/>
      <c r="IMN22" s="19"/>
      <c r="IMO22" s="19"/>
      <c r="IMP22" s="19"/>
      <c r="IMQ22" s="19"/>
      <c r="IMR22" s="19"/>
      <c r="IMS22" s="19"/>
      <c r="IMT22" s="19"/>
      <c r="IMU22" s="19"/>
      <c r="IMV22" s="19"/>
      <c r="IMW22" s="19"/>
      <c r="IMX22" s="19"/>
      <c r="IMY22" s="19"/>
      <c r="IMZ22" s="19"/>
      <c r="INA22" s="19"/>
      <c r="INB22" s="19"/>
      <c r="INC22" s="19"/>
      <c r="IND22" s="19"/>
      <c r="INE22" s="19"/>
      <c r="INF22" s="19"/>
      <c r="ING22" s="19"/>
      <c r="INH22" s="19"/>
      <c r="INI22" s="19"/>
      <c r="INJ22" s="19"/>
      <c r="INK22" s="19"/>
      <c r="INL22" s="19"/>
      <c r="INM22" s="19"/>
      <c r="INN22" s="19"/>
      <c r="INO22" s="19"/>
      <c r="INP22" s="19"/>
      <c r="INQ22" s="19"/>
      <c r="INR22" s="19"/>
      <c r="INS22" s="19"/>
      <c r="INT22" s="19"/>
      <c r="INU22" s="19"/>
      <c r="INV22" s="19"/>
      <c r="INW22" s="19"/>
      <c r="INX22" s="19"/>
      <c r="INY22" s="19"/>
      <c r="INZ22" s="19"/>
      <c r="IOA22" s="19"/>
      <c r="IOB22" s="19"/>
      <c r="IOC22" s="19"/>
      <c r="IOD22" s="19"/>
      <c r="IOE22" s="19"/>
      <c r="IOF22" s="19"/>
      <c r="IOG22" s="19"/>
      <c r="IOH22" s="19"/>
      <c r="IOI22" s="19"/>
      <c r="IOJ22" s="19"/>
      <c r="IOK22" s="19"/>
      <c r="IOL22" s="19"/>
      <c r="IOM22" s="19"/>
      <c r="ION22" s="19"/>
      <c r="IOO22" s="19"/>
      <c r="IOP22" s="19"/>
      <c r="IOQ22" s="19"/>
      <c r="IOR22" s="19"/>
      <c r="IOS22" s="19"/>
      <c r="IOT22" s="19"/>
      <c r="IOU22" s="19"/>
      <c r="IOV22" s="19"/>
      <c r="IOW22" s="19"/>
      <c r="IOX22" s="19"/>
      <c r="IOY22" s="19"/>
      <c r="IOZ22" s="19"/>
      <c r="IPA22" s="19"/>
      <c r="IPB22" s="19"/>
      <c r="IPC22" s="19"/>
      <c r="IPD22" s="19"/>
      <c r="IPE22" s="19"/>
      <c r="IPF22" s="19"/>
      <c r="IPG22" s="19"/>
      <c r="IPH22" s="19"/>
      <c r="IPI22" s="19"/>
      <c r="IPJ22" s="19"/>
      <c r="IPK22" s="19"/>
      <c r="IPL22" s="19"/>
      <c r="IPM22" s="19"/>
      <c r="IPN22" s="19"/>
      <c r="IPO22" s="19"/>
      <c r="IPP22" s="19"/>
      <c r="IPQ22" s="19"/>
      <c r="IPR22" s="19"/>
      <c r="IPS22" s="19"/>
      <c r="IPT22" s="19"/>
      <c r="IPU22" s="19"/>
      <c r="IPV22" s="19"/>
      <c r="IPW22" s="19"/>
      <c r="IPX22" s="19"/>
      <c r="IPY22" s="19"/>
      <c r="IPZ22" s="19"/>
      <c r="IQA22" s="19"/>
      <c r="IQB22" s="19"/>
      <c r="IQC22" s="19"/>
      <c r="IQD22" s="19"/>
      <c r="IQE22" s="19"/>
      <c r="IQF22" s="19"/>
      <c r="IQG22" s="19"/>
      <c r="IQH22" s="19"/>
      <c r="IQI22" s="19"/>
      <c r="IQJ22" s="19"/>
      <c r="IQK22" s="19"/>
      <c r="IQL22" s="19"/>
      <c r="IQM22" s="19"/>
      <c r="IQN22" s="19"/>
      <c r="IQO22" s="19"/>
      <c r="IQP22" s="19"/>
      <c r="IQQ22" s="19"/>
      <c r="IQR22" s="19"/>
      <c r="IQS22" s="19"/>
      <c r="IQT22" s="19"/>
      <c r="IQU22" s="19"/>
      <c r="IQV22" s="19"/>
      <c r="IQW22" s="19"/>
      <c r="IQX22" s="19"/>
      <c r="IQY22" s="19"/>
      <c r="IQZ22" s="19"/>
      <c r="IRA22" s="19"/>
      <c r="IRB22" s="19"/>
      <c r="IRC22" s="19"/>
      <c r="IRD22" s="19"/>
      <c r="IRE22" s="19"/>
      <c r="IRF22" s="19"/>
      <c r="IRG22" s="19"/>
      <c r="IRH22" s="19"/>
      <c r="IRI22" s="19"/>
      <c r="IRJ22" s="19"/>
      <c r="IRK22" s="19"/>
      <c r="IRL22" s="19"/>
      <c r="IRM22" s="19"/>
      <c r="IRN22" s="19"/>
      <c r="IRO22" s="19"/>
      <c r="IRP22" s="19"/>
      <c r="IRQ22" s="19"/>
      <c r="IRR22" s="19"/>
      <c r="IRS22" s="19"/>
      <c r="IRT22" s="19"/>
      <c r="IRU22" s="19"/>
      <c r="IRV22" s="19"/>
      <c r="IRW22" s="19"/>
      <c r="IRX22" s="19"/>
      <c r="IRY22" s="19"/>
      <c r="IRZ22" s="19"/>
      <c r="ISA22" s="19"/>
      <c r="ISB22" s="19"/>
      <c r="ISC22" s="19"/>
      <c r="ISD22" s="19"/>
      <c r="ISE22" s="19"/>
      <c r="ISF22" s="19"/>
      <c r="ISG22" s="19"/>
      <c r="ISH22" s="19"/>
      <c r="ISI22" s="19"/>
      <c r="ISJ22" s="19"/>
      <c r="ISK22" s="19"/>
      <c r="ISL22" s="19"/>
      <c r="ISM22" s="19"/>
      <c r="ISN22" s="19"/>
      <c r="ISO22" s="19"/>
      <c r="ISP22" s="19"/>
      <c r="ISQ22" s="19"/>
      <c r="ISR22" s="19"/>
      <c r="ISS22" s="19"/>
      <c r="IST22" s="19"/>
      <c r="ISU22" s="19"/>
      <c r="ISV22" s="19"/>
      <c r="ISW22" s="19"/>
      <c r="ISX22" s="19"/>
      <c r="ISY22" s="19"/>
      <c r="ISZ22" s="19"/>
      <c r="ITA22" s="19"/>
      <c r="ITB22" s="19"/>
      <c r="ITC22" s="19"/>
      <c r="ITD22" s="19"/>
      <c r="ITE22" s="19"/>
      <c r="ITF22" s="19"/>
      <c r="ITG22" s="19"/>
      <c r="ITH22" s="19"/>
      <c r="ITI22" s="19"/>
      <c r="ITJ22" s="19"/>
      <c r="ITK22" s="19"/>
      <c r="ITL22" s="19"/>
      <c r="ITM22" s="19"/>
      <c r="ITN22" s="19"/>
      <c r="ITO22" s="19"/>
      <c r="ITP22" s="19"/>
      <c r="ITQ22" s="19"/>
      <c r="ITR22" s="19"/>
      <c r="ITS22" s="19"/>
      <c r="ITT22" s="19"/>
      <c r="ITU22" s="19"/>
      <c r="ITV22" s="19"/>
      <c r="ITW22" s="19"/>
      <c r="ITX22" s="19"/>
      <c r="ITY22" s="19"/>
      <c r="ITZ22" s="19"/>
      <c r="IUA22" s="19"/>
      <c r="IUB22" s="19"/>
      <c r="IUC22" s="19"/>
      <c r="IUD22" s="19"/>
      <c r="IUE22" s="19"/>
      <c r="IUF22" s="19"/>
      <c r="IUG22" s="19"/>
      <c r="IUH22" s="19"/>
      <c r="IUI22" s="19"/>
      <c r="IUJ22" s="19"/>
      <c r="IUK22" s="19"/>
      <c r="IUL22" s="19"/>
      <c r="IUM22" s="19"/>
      <c r="IUN22" s="19"/>
      <c r="IUO22" s="19"/>
      <c r="IUP22" s="19"/>
      <c r="IUQ22" s="19"/>
      <c r="IUR22" s="19"/>
      <c r="IUS22" s="19"/>
      <c r="IUT22" s="19"/>
      <c r="IUU22" s="19"/>
      <c r="IUV22" s="19"/>
      <c r="IUW22" s="19"/>
      <c r="IUX22" s="19"/>
      <c r="IUY22" s="19"/>
      <c r="IUZ22" s="19"/>
      <c r="IVA22" s="19"/>
      <c r="IVB22" s="19"/>
      <c r="IVC22" s="19"/>
      <c r="IVD22" s="19"/>
      <c r="IVE22" s="19"/>
      <c r="IVF22" s="19"/>
      <c r="IVG22" s="19"/>
      <c r="IVH22" s="19"/>
      <c r="IVI22" s="19"/>
      <c r="IVJ22" s="19"/>
      <c r="IVK22" s="19"/>
      <c r="IVL22" s="19"/>
      <c r="IVM22" s="19"/>
      <c r="IVN22" s="19"/>
      <c r="IVO22" s="19"/>
      <c r="IVP22" s="19"/>
      <c r="IVQ22" s="19"/>
      <c r="IVR22" s="19"/>
      <c r="IVS22" s="19"/>
      <c r="IVT22" s="19"/>
      <c r="IVU22" s="19"/>
      <c r="IVV22" s="19"/>
      <c r="IVW22" s="19"/>
      <c r="IVX22" s="19"/>
      <c r="IVY22" s="19"/>
      <c r="IVZ22" s="19"/>
      <c r="IWA22" s="19"/>
      <c r="IWB22" s="19"/>
      <c r="IWC22" s="19"/>
      <c r="IWD22" s="19"/>
      <c r="IWE22" s="19"/>
      <c r="IWF22" s="19"/>
      <c r="IWG22" s="19"/>
      <c r="IWH22" s="19"/>
      <c r="IWI22" s="19"/>
      <c r="IWJ22" s="19"/>
      <c r="IWK22" s="19"/>
      <c r="IWL22" s="19"/>
      <c r="IWM22" s="19"/>
      <c r="IWN22" s="19"/>
      <c r="IWO22" s="19"/>
      <c r="IWP22" s="19"/>
      <c r="IWQ22" s="19"/>
      <c r="IWR22" s="19"/>
      <c r="IWS22" s="19"/>
      <c r="IWT22" s="19"/>
      <c r="IWU22" s="19"/>
      <c r="IWV22" s="19"/>
      <c r="IWW22" s="19"/>
      <c r="IWX22" s="19"/>
      <c r="IWY22" s="19"/>
      <c r="IWZ22" s="19"/>
      <c r="IXA22" s="19"/>
      <c r="IXB22" s="19"/>
      <c r="IXC22" s="19"/>
      <c r="IXD22" s="19"/>
      <c r="IXE22" s="19"/>
      <c r="IXF22" s="19"/>
      <c r="IXG22" s="19"/>
      <c r="IXH22" s="19"/>
      <c r="IXI22" s="19"/>
      <c r="IXJ22" s="19"/>
      <c r="IXK22" s="19"/>
      <c r="IXL22" s="19"/>
      <c r="IXM22" s="19"/>
      <c r="IXN22" s="19"/>
      <c r="IXO22" s="19"/>
      <c r="IXP22" s="19"/>
      <c r="IXQ22" s="19"/>
      <c r="IXR22" s="19"/>
      <c r="IXS22" s="19"/>
      <c r="IXT22" s="19"/>
      <c r="IXU22" s="19"/>
      <c r="IXV22" s="19"/>
      <c r="IXW22" s="19"/>
      <c r="IXX22" s="19"/>
      <c r="IXY22" s="19"/>
      <c r="IXZ22" s="19"/>
      <c r="IYA22" s="19"/>
      <c r="IYB22" s="19"/>
      <c r="IYC22" s="19"/>
      <c r="IYD22" s="19"/>
      <c r="IYE22" s="19"/>
      <c r="IYF22" s="19"/>
      <c r="IYG22" s="19"/>
      <c r="IYH22" s="19"/>
      <c r="IYI22" s="19"/>
      <c r="IYJ22" s="19"/>
      <c r="IYK22" s="19"/>
      <c r="IYL22" s="19"/>
      <c r="IYM22" s="19"/>
      <c r="IYN22" s="19"/>
      <c r="IYO22" s="19"/>
      <c r="IYP22" s="19"/>
      <c r="IYQ22" s="19"/>
      <c r="IYR22" s="19"/>
      <c r="IYS22" s="19"/>
      <c r="IYT22" s="19"/>
      <c r="IYU22" s="19"/>
      <c r="IYV22" s="19"/>
      <c r="IYW22" s="19"/>
      <c r="IYX22" s="19"/>
      <c r="IYY22" s="19"/>
      <c r="IYZ22" s="19"/>
      <c r="IZA22" s="19"/>
      <c r="IZB22" s="19"/>
      <c r="IZC22" s="19"/>
      <c r="IZD22" s="19"/>
      <c r="IZE22" s="19"/>
      <c r="IZF22" s="19"/>
      <c r="IZG22" s="19"/>
      <c r="IZH22" s="19"/>
      <c r="IZI22" s="19"/>
      <c r="IZJ22" s="19"/>
      <c r="IZK22" s="19"/>
      <c r="IZL22" s="19"/>
      <c r="IZM22" s="19"/>
      <c r="IZN22" s="19"/>
      <c r="IZO22" s="19"/>
      <c r="IZP22" s="19"/>
      <c r="IZQ22" s="19"/>
      <c r="IZR22" s="19"/>
      <c r="IZS22" s="19"/>
      <c r="IZT22" s="19"/>
      <c r="IZU22" s="19"/>
      <c r="IZV22" s="19"/>
      <c r="IZW22" s="19"/>
      <c r="IZX22" s="19"/>
      <c r="IZY22" s="19"/>
      <c r="IZZ22" s="19"/>
      <c r="JAA22" s="19"/>
      <c r="JAB22" s="19"/>
      <c r="JAC22" s="19"/>
      <c r="JAD22" s="19"/>
      <c r="JAE22" s="19"/>
      <c r="JAF22" s="19"/>
      <c r="JAG22" s="19"/>
      <c r="JAH22" s="19"/>
      <c r="JAI22" s="19"/>
      <c r="JAJ22" s="19"/>
      <c r="JAK22" s="19"/>
      <c r="JAL22" s="19"/>
      <c r="JAM22" s="19"/>
      <c r="JAN22" s="19"/>
      <c r="JAO22" s="19"/>
      <c r="JAP22" s="19"/>
      <c r="JAQ22" s="19"/>
      <c r="JAR22" s="19"/>
      <c r="JAS22" s="19"/>
      <c r="JAT22" s="19"/>
      <c r="JAU22" s="19"/>
      <c r="JAV22" s="19"/>
      <c r="JAW22" s="19"/>
      <c r="JAX22" s="19"/>
      <c r="JAY22" s="19"/>
      <c r="JAZ22" s="19"/>
      <c r="JBA22" s="19"/>
      <c r="JBB22" s="19"/>
      <c r="JBC22" s="19"/>
      <c r="JBD22" s="19"/>
      <c r="JBE22" s="19"/>
      <c r="JBF22" s="19"/>
      <c r="JBG22" s="19"/>
      <c r="JBH22" s="19"/>
      <c r="JBI22" s="19"/>
      <c r="JBJ22" s="19"/>
      <c r="JBK22" s="19"/>
      <c r="JBL22" s="19"/>
      <c r="JBM22" s="19"/>
      <c r="JBN22" s="19"/>
      <c r="JBO22" s="19"/>
      <c r="JBP22" s="19"/>
      <c r="JBQ22" s="19"/>
      <c r="JBR22" s="19"/>
      <c r="JBS22" s="19"/>
      <c r="JBT22" s="19"/>
      <c r="JBU22" s="19"/>
      <c r="JBV22" s="19"/>
      <c r="JBW22" s="19"/>
      <c r="JBX22" s="19"/>
      <c r="JBY22" s="19"/>
      <c r="JBZ22" s="19"/>
      <c r="JCA22" s="19"/>
      <c r="JCB22" s="19"/>
      <c r="JCC22" s="19"/>
      <c r="JCD22" s="19"/>
      <c r="JCE22" s="19"/>
      <c r="JCF22" s="19"/>
      <c r="JCG22" s="19"/>
      <c r="JCH22" s="19"/>
      <c r="JCI22" s="19"/>
      <c r="JCJ22" s="19"/>
      <c r="JCK22" s="19"/>
      <c r="JCL22" s="19"/>
      <c r="JCM22" s="19"/>
      <c r="JCN22" s="19"/>
      <c r="JCO22" s="19"/>
      <c r="JCP22" s="19"/>
      <c r="JCQ22" s="19"/>
      <c r="JCR22" s="19"/>
      <c r="JCS22" s="19"/>
      <c r="JCT22" s="19"/>
      <c r="JCU22" s="19"/>
      <c r="JCV22" s="19"/>
      <c r="JCW22" s="19"/>
      <c r="JCX22" s="19"/>
      <c r="JCY22" s="19"/>
      <c r="JCZ22" s="19"/>
      <c r="JDA22" s="19"/>
      <c r="JDB22" s="19"/>
      <c r="JDC22" s="19"/>
      <c r="JDD22" s="19"/>
      <c r="JDE22" s="19"/>
      <c r="JDF22" s="19"/>
      <c r="JDG22" s="19"/>
      <c r="JDH22" s="19"/>
      <c r="JDI22" s="19"/>
      <c r="JDJ22" s="19"/>
      <c r="JDK22" s="19"/>
      <c r="JDL22" s="19"/>
      <c r="JDM22" s="19"/>
      <c r="JDN22" s="19"/>
      <c r="JDO22" s="19"/>
      <c r="JDP22" s="19"/>
      <c r="JDQ22" s="19"/>
      <c r="JDR22" s="19"/>
      <c r="JDS22" s="19"/>
      <c r="JDT22" s="19"/>
      <c r="JDU22" s="19"/>
      <c r="JDV22" s="19"/>
      <c r="JDW22" s="19"/>
      <c r="JDX22" s="19"/>
      <c r="JDY22" s="19"/>
      <c r="JDZ22" s="19"/>
      <c r="JEA22" s="19"/>
      <c r="JEB22" s="19"/>
      <c r="JEC22" s="19"/>
      <c r="JED22" s="19"/>
      <c r="JEE22" s="19"/>
      <c r="JEF22" s="19"/>
      <c r="JEG22" s="19"/>
      <c r="JEH22" s="19"/>
      <c r="JEI22" s="19"/>
      <c r="JEJ22" s="19"/>
      <c r="JEK22" s="19"/>
      <c r="JEL22" s="19"/>
      <c r="JEM22" s="19"/>
      <c r="JEN22" s="19"/>
      <c r="JEO22" s="19"/>
      <c r="JEP22" s="19"/>
      <c r="JEQ22" s="19"/>
      <c r="JER22" s="19"/>
      <c r="JES22" s="19"/>
      <c r="JET22" s="19"/>
      <c r="JEU22" s="19"/>
      <c r="JEV22" s="19"/>
      <c r="JEW22" s="19"/>
      <c r="JEX22" s="19"/>
      <c r="JEY22" s="19"/>
      <c r="JEZ22" s="19"/>
      <c r="JFA22" s="19"/>
      <c r="JFB22" s="19"/>
      <c r="JFC22" s="19"/>
      <c r="JFD22" s="19"/>
      <c r="JFE22" s="19"/>
      <c r="JFF22" s="19"/>
      <c r="JFG22" s="19"/>
      <c r="JFH22" s="19"/>
      <c r="JFI22" s="19"/>
      <c r="JFJ22" s="19"/>
      <c r="JFK22" s="19"/>
      <c r="JFL22" s="19"/>
      <c r="JFM22" s="19"/>
      <c r="JFN22" s="19"/>
      <c r="JFO22" s="19"/>
      <c r="JFP22" s="19"/>
      <c r="JFQ22" s="19"/>
      <c r="JFR22" s="19"/>
      <c r="JFS22" s="19"/>
      <c r="JFT22" s="19"/>
      <c r="JFU22" s="19"/>
      <c r="JFV22" s="19"/>
      <c r="JFW22" s="19"/>
      <c r="JFX22" s="19"/>
      <c r="JFY22" s="19"/>
      <c r="JFZ22" s="19"/>
      <c r="JGA22" s="19"/>
      <c r="JGB22" s="19"/>
      <c r="JGC22" s="19"/>
      <c r="JGD22" s="19"/>
      <c r="JGE22" s="19"/>
      <c r="JGF22" s="19"/>
      <c r="JGG22" s="19"/>
      <c r="JGH22" s="19"/>
      <c r="JGI22" s="19"/>
      <c r="JGJ22" s="19"/>
      <c r="JGK22" s="19"/>
      <c r="JGL22" s="19"/>
      <c r="JGM22" s="19"/>
      <c r="JGN22" s="19"/>
      <c r="JGO22" s="19"/>
      <c r="JGP22" s="19"/>
      <c r="JGQ22" s="19"/>
      <c r="JGR22" s="19"/>
      <c r="JGS22" s="19"/>
      <c r="JGT22" s="19"/>
      <c r="JGU22" s="19"/>
      <c r="JGV22" s="19"/>
      <c r="JGW22" s="19"/>
      <c r="JGX22" s="19"/>
      <c r="JGY22" s="19"/>
      <c r="JGZ22" s="19"/>
      <c r="JHA22" s="19"/>
      <c r="JHB22" s="19"/>
      <c r="JHC22" s="19"/>
      <c r="JHD22" s="19"/>
      <c r="JHE22" s="19"/>
      <c r="JHF22" s="19"/>
      <c r="JHG22" s="19"/>
      <c r="JHH22" s="19"/>
      <c r="JHI22" s="19"/>
      <c r="JHJ22" s="19"/>
      <c r="JHK22" s="19"/>
      <c r="JHL22" s="19"/>
      <c r="JHM22" s="19"/>
      <c r="JHN22" s="19"/>
      <c r="JHO22" s="19"/>
      <c r="JHP22" s="19"/>
      <c r="JHQ22" s="19"/>
      <c r="JHR22" s="19"/>
      <c r="JHS22" s="19"/>
      <c r="JHT22" s="19"/>
      <c r="JHU22" s="19"/>
      <c r="JHV22" s="19"/>
      <c r="JHW22" s="19"/>
      <c r="JHX22" s="19"/>
      <c r="JHY22" s="19"/>
      <c r="JHZ22" s="19"/>
      <c r="JIA22" s="19"/>
      <c r="JIB22" s="19"/>
      <c r="JIC22" s="19"/>
      <c r="JID22" s="19"/>
      <c r="JIE22" s="19"/>
      <c r="JIF22" s="19"/>
      <c r="JIG22" s="19"/>
      <c r="JIH22" s="19"/>
      <c r="JII22" s="19"/>
      <c r="JIJ22" s="19"/>
      <c r="JIK22" s="19"/>
      <c r="JIL22" s="19"/>
      <c r="JIM22" s="19"/>
      <c r="JIN22" s="19"/>
      <c r="JIO22" s="19"/>
      <c r="JIP22" s="19"/>
      <c r="JIQ22" s="19"/>
      <c r="JIR22" s="19"/>
      <c r="JIS22" s="19"/>
      <c r="JIT22" s="19"/>
      <c r="JIU22" s="19"/>
      <c r="JIV22" s="19"/>
      <c r="JIW22" s="19"/>
      <c r="JIX22" s="19"/>
      <c r="JIY22" s="19"/>
      <c r="JIZ22" s="19"/>
      <c r="JJA22" s="19"/>
      <c r="JJB22" s="19"/>
      <c r="JJC22" s="19"/>
      <c r="JJD22" s="19"/>
      <c r="JJE22" s="19"/>
      <c r="JJF22" s="19"/>
      <c r="JJG22" s="19"/>
      <c r="JJH22" s="19"/>
      <c r="JJI22" s="19"/>
      <c r="JJJ22" s="19"/>
      <c r="JJK22" s="19"/>
      <c r="JJL22" s="19"/>
      <c r="JJM22" s="19"/>
      <c r="JJN22" s="19"/>
      <c r="JJO22" s="19"/>
      <c r="JJP22" s="19"/>
      <c r="JJQ22" s="19"/>
      <c r="JJR22" s="19"/>
      <c r="JJS22" s="19"/>
      <c r="JJT22" s="19"/>
      <c r="JJU22" s="19"/>
      <c r="JJV22" s="19"/>
      <c r="JJW22" s="19"/>
      <c r="JJX22" s="19"/>
      <c r="JJY22" s="19"/>
      <c r="JJZ22" s="19"/>
      <c r="JKA22" s="19"/>
      <c r="JKB22" s="19"/>
      <c r="JKC22" s="19"/>
      <c r="JKD22" s="19"/>
      <c r="JKE22" s="19"/>
      <c r="JKF22" s="19"/>
      <c r="JKG22" s="19"/>
      <c r="JKH22" s="19"/>
      <c r="JKI22" s="19"/>
      <c r="JKJ22" s="19"/>
      <c r="JKK22" s="19"/>
      <c r="JKL22" s="19"/>
      <c r="JKM22" s="19"/>
      <c r="JKN22" s="19"/>
      <c r="JKO22" s="19"/>
      <c r="JKP22" s="19"/>
      <c r="JKQ22" s="19"/>
      <c r="JKR22" s="19"/>
      <c r="JKS22" s="19"/>
      <c r="JKT22" s="19"/>
      <c r="JKU22" s="19"/>
      <c r="JKV22" s="19"/>
      <c r="JKW22" s="19"/>
      <c r="JKX22" s="19"/>
      <c r="JKY22" s="19"/>
      <c r="JKZ22" s="19"/>
      <c r="JLA22" s="19"/>
      <c r="JLB22" s="19"/>
      <c r="JLC22" s="19"/>
      <c r="JLD22" s="19"/>
      <c r="JLE22" s="19"/>
      <c r="JLF22" s="19"/>
      <c r="JLG22" s="19"/>
      <c r="JLH22" s="19"/>
      <c r="JLI22" s="19"/>
      <c r="JLJ22" s="19"/>
      <c r="JLK22" s="19"/>
      <c r="JLL22" s="19"/>
      <c r="JLM22" s="19"/>
      <c r="JLN22" s="19"/>
      <c r="JLO22" s="19"/>
      <c r="JLP22" s="19"/>
      <c r="JLQ22" s="19"/>
      <c r="JLR22" s="19"/>
      <c r="JLS22" s="19"/>
      <c r="JLT22" s="19"/>
      <c r="JLU22" s="19"/>
      <c r="JLV22" s="19"/>
      <c r="JLW22" s="19"/>
      <c r="JLX22" s="19"/>
      <c r="JLY22" s="19"/>
      <c r="JLZ22" s="19"/>
      <c r="JMA22" s="19"/>
      <c r="JMB22" s="19"/>
      <c r="JMC22" s="19"/>
      <c r="JMD22" s="19"/>
      <c r="JME22" s="19"/>
      <c r="JMF22" s="19"/>
      <c r="JMG22" s="19"/>
      <c r="JMH22" s="19"/>
      <c r="JMI22" s="19"/>
      <c r="JMJ22" s="19"/>
      <c r="JMK22" s="19"/>
      <c r="JML22" s="19"/>
      <c r="JMM22" s="19"/>
      <c r="JMN22" s="19"/>
      <c r="JMO22" s="19"/>
      <c r="JMP22" s="19"/>
      <c r="JMQ22" s="19"/>
      <c r="JMR22" s="19"/>
      <c r="JMS22" s="19"/>
      <c r="JMT22" s="19"/>
      <c r="JMU22" s="19"/>
      <c r="JMV22" s="19"/>
      <c r="JMW22" s="19"/>
      <c r="JMX22" s="19"/>
      <c r="JMY22" s="19"/>
      <c r="JMZ22" s="19"/>
      <c r="JNA22" s="19"/>
      <c r="JNB22" s="19"/>
      <c r="JNC22" s="19"/>
      <c r="JND22" s="19"/>
      <c r="JNE22" s="19"/>
      <c r="JNF22" s="19"/>
      <c r="JNG22" s="19"/>
      <c r="JNH22" s="19"/>
      <c r="JNI22" s="19"/>
      <c r="JNJ22" s="19"/>
      <c r="JNK22" s="19"/>
      <c r="JNL22" s="19"/>
      <c r="JNM22" s="19"/>
      <c r="JNN22" s="19"/>
      <c r="JNO22" s="19"/>
      <c r="JNP22" s="19"/>
      <c r="JNQ22" s="19"/>
      <c r="JNR22" s="19"/>
      <c r="JNS22" s="19"/>
      <c r="JNT22" s="19"/>
      <c r="JNU22" s="19"/>
      <c r="JNV22" s="19"/>
      <c r="JNW22" s="19"/>
      <c r="JNX22" s="19"/>
      <c r="JNY22" s="19"/>
      <c r="JNZ22" s="19"/>
      <c r="JOA22" s="19"/>
      <c r="JOB22" s="19"/>
      <c r="JOC22" s="19"/>
      <c r="JOD22" s="19"/>
      <c r="JOE22" s="19"/>
      <c r="JOF22" s="19"/>
      <c r="JOG22" s="19"/>
      <c r="JOH22" s="19"/>
      <c r="JOI22" s="19"/>
      <c r="JOJ22" s="19"/>
      <c r="JOK22" s="19"/>
      <c r="JOL22" s="19"/>
      <c r="JOM22" s="19"/>
      <c r="JON22" s="19"/>
      <c r="JOO22" s="19"/>
      <c r="JOP22" s="19"/>
      <c r="JOQ22" s="19"/>
      <c r="JOR22" s="19"/>
      <c r="JOS22" s="19"/>
      <c r="JOT22" s="19"/>
      <c r="JOU22" s="19"/>
      <c r="JOV22" s="19"/>
      <c r="JOW22" s="19"/>
      <c r="JOX22" s="19"/>
      <c r="JOY22" s="19"/>
      <c r="JOZ22" s="19"/>
      <c r="JPA22" s="19"/>
      <c r="JPB22" s="19"/>
      <c r="JPC22" s="19"/>
      <c r="JPD22" s="19"/>
      <c r="JPE22" s="19"/>
      <c r="JPF22" s="19"/>
      <c r="JPG22" s="19"/>
      <c r="JPH22" s="19"/>
      <c r="JPI22" s="19"/>
      <c r="JPJ22" s="19"/>
      <c r="JPK22" s="19"/>
      <c r="JPL22" s="19"/>
      <c r="JPM22" s="19"/>
      <c r="JPN22" s="19"/>
      <c r="JPO22" s="19"/>
      <c r="JPP22" s="19"/>
      <c r="JPQ22" s="19"/>
      <c r="JPR22" s="19"/>
      <c r="JPS22" s="19"/>
      <c r="JPT22" s="19"/>
      <c r="JPU22" s="19"/>
      <c r="JPV22" s="19"/>
      <c r="JPW22" s="19"/>
      <c r="JPX22" s="19"/>
      <c r="JPY22" s="19"/>
      <c r="JPZ22" s="19"/>
      <c r="JQA22" s="19"/>
      <c r="JQB22" s="19"/>
      <c r="JQC22" s="19"/>
      <c r="JQD22" s="19"/>
      <c r="JQE22" s="19"/>
      <c r="JQF22" s="19"/>
      <c r="JQG22" s="19"/>
      <c r="JQH22" s="19"/>
      <c r="JQI22" s="19"/>
      <c r="JQJ22" s="19"/>
      <c r="JQK22" s="19"/>
      <c r="JQL22" s="19"/>
      <c r="JQM22" s="19"/>
      <c r="JQN22" s="19"/>
      <c r="JQO22" s="19"/>
      <c r="JQP22" s="19"/>
      <c r="JQQ22" s="19"/>
      <c r="JQR22" s="19"/>
      <c r="JQS22" s="19"/>
      <c r="JQT22" s="19"/>
      <c r="JQU22" s="19"/>
      <c r="JQV22" s="19"/>
      <c r="JQW22" s="19"/>
      <c r="JQX22" s="19"/>
      <c r="JQY22" s="19"/>
      <c r="JQZ22" s="19"/>
      <c r="JRA22" s="19"/>
      <c r="JRB22" s="19"/>
      <c r="JRC22" s="19"/>
      <c r="JRD22" s="19"/>
      <c r="JRE22" s="19"/>
      <c r="JRF22" s="19"/>
      <c r="JRG22" s="19"/>
      <c r="JRH22" s="19"/>
      <c r="JRI22" s="19"/>
      <c r="JRJ22" s="19"/>
      <c r="JRK22" s="19"/>
      <c r="JRL22" s="19"/>
      <c r="JRM22" s="19"/>
      <c r="JRN22" s="19"/>
      <c r="JRO22" s="19"/>
      <c r="JRP22" s="19"/>
      <c r="JRQ22" s="19"/>
      <c r="JRR22" s="19"/>
      <c r="JRS22" s="19"/>
      <c r="JRT22" s="19"/>
      <c r="JRU22" s="19"/>
      <c r="JRV22" s="19"/>
      <c r="JRW22" s="19"/>
      <c r="JRX22" s="19"/>
      <c r="JRY22" s="19"/>
      <c r="JRZ22" s="19"/>
      <c r="JSA22" s="19"/>
      <c r="JSB22" s="19"/>
      <c r="JSC22" s="19"/>
      <c r="JSD22" s="19"/>
      <c r="JSE22" s="19"/>
      <c r="JSF22" s="19"/>
      <c r="JSG22" s="19"/>
      <c r="JSH22" s="19"/>
      <c r="JSI22" s="19"/>
      <c r="JSJ22" s="19"/>
      <c r="JSK22" s="19"/>
      <c r="JSL22" s="19"/>
      <c r="JSM22" s="19"/>
      <c r="JSN22" s="19"/>
      <c r="JSO22" s="19"/>
      <c r="JSP22" s="19"/>
      <c r="JSQ22" s="19"/>
      <c r="JSR22" s="19"/>
      <c r="JSS22" s="19"/>
      <c r="JST22" s="19"/>
      <c r="JSU22" s="19"/>
      <c r="JSV22" s="19"/>
      <c r="JSW22" s="19"/>
      <c r="JSX22" s="19"/>
      <c r="JSY22" s="19"/>
      <c r="JSZ22" s="19"/>
      <c r="JTA22" s="19"/>
      <c r="JTB22" s="19"/>
      <c r="JTC22" s="19"/>
      <c r="JTD22" s="19"/>
      <c r="JTE22" s="19"/>
      <c r="JTF22" s="19"/>
      <c r="JTG22" s="19"/>
      <c r="JTH22" s="19"/>
      <c r="JTI22" s="19"/>
      <c r="JTJ22" s="19"/>
      <c r="JTK22" s="19"/>
      <c r="JTL22" s="19"/>
      <c r="JTM22" s="19"/>
      <c r="JTN22" s="19"/>
      <c r="JTO22" s="19"/>
      <c r="JTP22" s="19"/>
      <c r="JTQ22" s="19"/>
      <c r="JTR22" s="19"/>
      <c r="JTS22" s="19"/>
      <c r="JTT22" s="19"/>
      <c r="JTU22" s="19"/>
      <c r="JTV22" s="19"/>
      <c r="JTW22" s="19"/>
      <c r="JTX22" s="19"/>
      <c r="JTY22" s="19"/>
      <c r="JTZ22" s="19"/>
      <c r="JUA22" s="19"/>
      <c r="JUB22" s="19"/>
      <c r="JUC22" s="19"/>
      <c r="JUD22" s="19"/>
      <c r="JUE22" s="19"/>
      <c r="JUF22" s="19"/>
      <c r="JUG22" s="19"/>
      <c r="JUH22" s="19"/>
      <c r="JUI22" s="19"/>
      <c r="JUJ22" s="19"/>
      <c r="JUK22" s="19"/>
      <c r="JUL22" s="19"/>
      <c r="JUM22" s="19"/>
      <c r="JUN22" s="19"/>
      <c r="JUO22" s="19"/>
      <c r="JUP22" s="19"/>
      <c r="JUQ22" s="19"/>
      <c r="JUR22" s="19"/>
      <c r="JUS22" s="19"/>
      <c r="JUT22" s="19"/>
      <c r="JUU22" s="19"/>
      <c r="JUV22" s="19"/>
      <c r="JUW22" s="19"/>
      <c r="JUX22" s="19"/>
      <c r="JUY22" s="19"/>
      <c r="JUZ22" s="19"/>
      <c r="JVA22" s="19"/>
      <c r="JVB22" s="19"/>
      <c r="JVC22" s="19"/>
      <c r="JVD22" s="19"/>
      <c r="JVE22" s="19"/>
      <c r="JVF22" s="19"/>
      <c r="JVG22" s="19"/>
      <c r="JVH22" s="19"/>
      <c r="JVI22" s="19"/>
      <c r="JVJ22" s="19"/>
      <c r="JVK22" s="19"/>
      <c r="JVL22" s="19"/>
      <c r="JVM22" s="19"/>
      <c r="JVN22" s="19"/>
      <c r="JVO22" s="19"/>
      <c r="JVP22" s="19"/>
      <c r="JVQ22" s="19"/>
      <c r="JVR22" s="19"/>
      <c r="JVS22" s="19"/>
      <c r="JVT22" s="19"/>
      <c r="JVU22" s="19"/>
      <c r="JVV22" s="19"/>
      <c r="JVW22" s="19"/>
      <c r="JVX22" s="19"/>
      <c r="JVY22" s="19"/>
      <c r="JVZ22" s="19"/>
      <c r="JWA22" s="19"/>
      <c r="JWB22" s="19"/>
      <c r="JWC22" s="19"/>
      <c r="JWD22" s="19"/>
      <c r="JWE22" s="19"/>
      <c r="JWF22" s="19"/>
      <c r="JWG22" s="19"/>
      <c r="JWH22" s="19"/>
      <c r="JWI22" s="19"/>
      <c r="JWJ22" s="19"/>
      <c r="JWK22" s="19"/>
      <c r="JWL22" s="19"/>
      <c r="JWM22" s="19"/>
      <c r="JWN22" s="19"/>
      <c r="JWO22" s="19"/>
      <c r="JWP22" s="19"/>
      <c r="JWQ22" s="19"/>
      <c r="JWR22" s="19"/>
      <c r="JWS22" s="19"/>
      <c r="JWT22" s="19"/>
      <c r="JWU22" s="19"/>
      <c r="JWV22" s="19"/>
      <c r="JWW22" s="19"/>
      <c r="JWX22" s="19"/>
      <c r="JWY22" s="19"/>
      <c r="JWZ22" s="19"/>
      <c r="JXA22" s="19"/>
      <c r="JXB22" s="19"/>
      <c r="JXC22" s="19"/>
      <c r="JXD22" s="19"/>
      <c r="JXE22" s="19"/>
      <c r="JXF22" s="19"/>
      <c r="JXG22" s="19"/>
      <c r="JXH22" s="19"/>
      <c r="JXI22" s="19"/>
      <c r="JXJ22" s="19"/>
      <c r="JXK22" s="19"/>
      <c r="JXL22" s="19"/>
      <c r="JXM22" s="19"/>
      <c r="JXN22" s="19"/>
      <c r="JXO22" s="19"/>
      <c r="JXP22" s="19"/>
      <c r="JXQ22" s="19"/>
      <c r="JXR22" s="19"/>
      <c r="JXS22" s="19"/>
      <c r="JXT22" s="19"/>
      <c r="JXU22" s="19"/>
      <c r="JXV22" s="19"/>
      <c r="JXW22" s="19"/>
      <c r="JXX22" s="19"/>
      <c r="JXY22" s="19"/>
      <c r="JXZ22" s="19"/>
      <c r="JYA22" s="19"/>
      <c r="JYB22" s="19"/>
      <c r="JYC22" s="19"/>
      <c r="JYD22" s="19"/>
      <c r="JYE22" s="19"/>
      <c r="JYF22" s="19"/>
      <c r="JYG22" s="19"/>
      <c r="JYH22" s="19"/>
      <c r="JYI22" s="19"/>
      <c r="JYJ22" s="19"/>
      <c r="JYK22" s="19"/>
      <c r="JYL22" s="19"/>
      <c r="JYM22" s="19"/>
      <c r="JYN22" s="19"/>
      <c r="JYO22" s="19"/>
      <c r="JYP22" s="19"/>
      <c r="JYQ22" s="19"/>
      <c r="JYR22" s="19"/>
      <c r="JYS22" s="19"/>
      <c r="JYT22" s="19"/>
      <c r="JYU22" s="19"/>
      <c r="JYV22" s="19"/>
      <c r="JYW22" s="19"/>
      <c r="JYX22" s="19"/>
      <c r="JYY22" s="19"/>
      <c r="JYZ22" s="19"/>
      <c r="JZA22" s="19"/>
      <c r="JZB22" s="19"/>
      <c r="JZC22" s="19"/>
      <c r="JZD22" s="19"/>
      <c r="JZE22" s="19"/>
      <c r="JZF22" s="19"/>
      <c r="JZG22" s="19"/>
      <c r="JZH22" s="19"/>
      <c r="JZI22" s="19"/>
      <c r="JZJ22" s="19"/>
      <c r="JZK22" s="19"/>
      <c r="JZL22" s="19"/>
      <c r="JZM22" s="19"/>
      <c r="JZN22" s="19"/>
      <c r="JZO22" s="19"/>
      <c r="JZP22" s="19"/>
      <c r="JZQ22" s="19"/>
      <c r="JZR22" s="19"/>
      <c r="JZS22" s="19"/>
      <c r="JZT22" s="19"/>
      <c r="JZU22" s="19"/>
      <c r="JZV22" s="19"/>
      <c r="JZW22" s="19"/>
      <c r="JZX22" s="19"/>
      <c r="JZY22" s="19"/>
      <c r="JZZ22" s="19"/>
      <c r="KAA22" s="19"/>
      <c r="KAB22" s="19"/>
      <c r="KAC22" s="19"/>
      <c r="KAD22" s="19"/>
      <c r="KAE22" s="19"/>
      <c r="KAF22" s="19"/>
      <c r="KAG22" s="19"/>
      <c r="KAH22" s="19"/>
      <c r="KAI22" s="19"/>
      <c r="KAJ22" s="19"/>
      <c r="KAK22" s="19"/>
      <c r="KAL22" s="19"/>
      <c r="KAM22" s="19"/>
      <c r="KAN22" s="19"/>
      <c r="KAO22" s="19"/>
      <c r="KAP22" s="19"/>
      <c r="KAQ22" s="19"/>
      <c r="KAR22" s="19"/>
      <c r="KAS22" s="19"/>
      <c r="KAT22" s="19"/>
      <c r="KAU22" s="19"/>
      <c r="KAV22" s="19"/>
      <c r="KAW22" s="19"/>
      <c r="KAX22" s="19"/>
      <c r="KAY22" s="19"/>
      <c r="KAZ22" s="19"/>
      <c r="KBA22" s="19"/>
      <c r="KBB22" s="19"/>
      <c r="KBC22" s="19"/>
      <c r="KBD22" s="19"/>
      <c r="KBE22" s="19"/>
      <c r="KBF22" s="19"/>
      <c r="KBG22" s="19"/>
      <c r="KBH22" s="19"/>
      <c r="KBI22" s="19"/>
      <c r="KBJ22" s="19"/>
      <c r="KBK22" s="19"/>
      <c r="KBL22" s="19"/>
      <c r="KBM22" s="19"/>
      <c r="KBN22" s="19"/>
      <c r="KBO22" s="19"/>
      <c r="KBP22" s="19"/>
      <c r="KBQ22" s="19"/>
      <c r="KBR22" s="19"/>
      <c r="KBS22" s="19"/>
      <c r="KBT22" s="19"/>
      <c r="KBU22" s="19"/>
      <c r="KBV22" s="19"/>
      <c r="KBW22" s="19"/>
      <c r="KBX22" s="19"/>
      <c r="KBY22" s="19"/>
      <c r="KBZ22" s="19"/>
      <c r="KCA22" s="19"/>
      <c r="KCB22" s="19"/>
      <c r="KCC22" s="19"/>
      <c r="KCD22" s="19"/>
      <c r="KCE22" s="19"/>
      <c r="KCF22" s="19"/>
      <c r="KCG22" s="19"/>
      <c r="KCH22" s="19"/>
      <c r="KCI22" s="19"/>
      <c r="KCJ22" s="19"/>
      <c r="KCK22" s="19"/>
      <c r="KCL22" s="19"/>
      <c r="KCM22" s="19"/>
      <c r="KCN22" s="19"/>
      <c r="KCO22" s="19"/>
      <c r="KCP22" s="19"/>
      <c r="KCQ22" s="19"/>
      <c r="KCR22" s="19"/>
      <c r="KCS22" s="19"/>
      <c r="KCT22" s="19"/>
      <c r="KCU22" s="19"/>
      <c r="KCV22" s="19"/>
      <c r="KCW22" s="19"/>
      <c r="KCX22" s="19"/>
      <c r="KCY22" s="19"/>
      <c r="KCZ22" s="19"/>
      <c r="KDA22" s="19"/>
      <c r="KDB22" s="19"/>
      <c r="KDC22" s="19"/>
      <c r="KDD22" s="19"/>
      <c r="KDE22" s="19"/>
      <c r="KDF22" s="19"/>
      <c r="KDG22" s="19"/>
      <c r="KDH22" s="19"/>
      <c r="KDI22" s="19"/>
      <c r="KDJ22" s="19"/>
      <c r="KDK22" s="19"/>
      <c r="KDL22" s="19"/>
      <c r="KDM22" s="19"/>
      <c r="KDN22" s="19"/>
      <c r="KDO22" s="19"/>
      <c r="KDP22" s="19"/>
      <c r="KDQ22" s="19"/>
      <c r="KDR22" s="19"/>
      <c r="KDS22" s="19"/>
      <c r="KDT22" s="19"/>
      <c r="KDU22" s="19"/>
      <c r="KDV22" s="19"/>
      <c r="KDW22" s="19"/>
      <c r="KDX22" s="19"/>
      <c r="KDY22" s="19"/>
      <c r="KDZ22" s="19"/>
      <c r="KEA22" s="19"/>
      <c r="KEB22" s="19"/>
      <c r="KEC22" s="19"/>
      <c r="KED22" s="19"/>
      <c r="KEE22" s="19"/>
      <c r="KEF22" s="19"/>
      <c r="KEG22" s="19"/>
      <c r="KEH22" s="19"/>
      <c r="KEI22" s="19"/>
      <c r="KEJ22" s="19"/>
      <c r="KEK22" s="19"/>
      <c r="KEL22" s="19"/>
      <c r="KEM22" s="19"/>
      <c r="KEN22" s="19"/>
      <c r="KEO22" s="19"/>
      <c r="KEP22" s="19"/>
      <c r="KEQ22" s="19"/>
      <c r="KER22" s="19"/>
      <c r="KES22" s="19"/>
      <c r="KET22" s="19"/>
      <c r="KEU22" s="19"/>
      <c r="KEV22" s="19"/>
      <c r="KEW22" s="19"/>
      <c r="KEX22" s="19"/>
      <c r="KEY22" s="19"/>
      <c r="KEZ22" s="19"/>
      <c r="KFA22" s="19"/>
      <c r="KFB22" s="19"/>
      <c r="KFC22" s="19"/>
      <c r="KFD22" s="19"/>
      <c r="KFE22" s="19"/>
      <c r="KFF22" s="19"/>
      <c r="KFG22" s="19"/>
      <c r="KFH22" s="19"/>
      <c r="KFI22" s="19"/>
      <c r="KFJ22" s="19"/>
      <c r="KFK22" s="19"/>
      <c r="KFL22" s="19"/>
      <c r="KFM22" s="19"/>
      <c r="KFN22" s="19"/>
      <c r="KFO22" s="19"/>
      <c r="KFP22" s="19"/>
      <c r="KFQ22" s="19"/>
      <c r="KFR22" s="19"/>
      <c r="KFS22" s="19"/>
      <c r="KFT22" s="19"/>
      <c r="KFU22" s="19"/>
      <c r="KFV22" s="19"/>
      <c r="KFW22" s="19"/>
      <c r="KFX22" s="19"/>
      <c r="KFY22" s="19"/>
      <c r="KFZ22" s="19"/>
      <c r="KGA22" s="19"/>
      <c r="KGB22" s="19"/>
      <c r="KGC22" s="19"/>
      <c r="KGD22" s="19"/>
      <c r="KGE22" s="19"/>
      <c r="KGF22" s="19"/>
      <c r="KGG22" s="19"/>
      <c r="KGH22" s="19"/>
      <c r="KGI22" s="19"/>
      <c r="KGJ22" s="19"/>
      <c r="KGK22" s="19"/>
      <c r="KGL22" s="19"/>
      <c r="KGM22" s="19"/>
      <c r="KGN22" s="19"/>
      <c r="KGO22" s="19"/>
      <c r="KGP22" s="19"/>
      <c r="KGQ22" s="19"/>
      <c r="KGR22" s="19"/>
      <c r="KGS22" s="19"/>
      <c r="KGT22" s="19"/>
      <c r="KGU22" s="19"/>
      <c r="KGV22" s="19"/>
      <c r="KGW22" s="19"/>
      <c r="KGX22" s="19"/>
      <c r="KGY22" s="19"/>
      <c r="KGZ22" s="19"/>
      <c r="KHA22" s="19"/>
      <c r="KHB22" s="19"/>
      <c r="KHC22" s="19"/>
      <c r="KHD22" s="19"/>
      <c r="KHE22" s="19"/>
      <c r="KHF22" s="19"/>
      <c r="KHG22" s="19"/>
      <c r="KHH22" s="19"/>
      <c r="KHI22" s="19"/>
      <c r="KHJ22" s="19"/>
      <c r="KHK22" s="19"/>
      <c r="KHL22" s="19"/>
      <c r="KHM22" s="19"/>
      <c r="KHN22" s="19"/>
      <c r="KHO22" s="19"/>
      <c r="KHP22" s="19"/>
      <c r="KHQ22" s="19"/>
      <c r="KHR22" s="19"/>
      <c r="KHS22" s="19"/>
      <c r="KHT22" s="19"/>
      <c r="KHU22" s="19"/>
      <c r="KHV22" s="19"/>
      <c r="KHW22" s="19"/>
      <c r="KHX22" s="19"/>
      <c r="KHY22" s="19"/>
      <c r="KHZ22" s="19"/>
      <c r="KIA22" s="19"/>
      <c r="KIB22" s="19"/>
      <c r="KIC22" s="19"/>
      <c r="KID22" s="19"/>
      <c r="KIE22" s="19"/>
      <c r="KIF22" s="19"/>
      <c r="KIG22" s="19"/>
      <c r="KIH22" s="19"/>
      <c r="KII22" s="19"/>
      <c r="KIJ22" s="19"/>
      <c r="KIK22" s="19"/>
      <c r="KIL22" s="19"/>
      <c r="KIM22" s="19"/>
      <c r="KIN22" s="19"/>
      <c r="KIO22" s="19"/>
      <c r="KIP22" s="19"/>
      <c r="KIQ22" s="19"/>
      <c r="KIR22" s="19"/>
      <c r="KIS22" s="19"/>
      <c r="KIT22" s="19"/>
      <c r="KIU22" s="19"/>
      <c r="KIV22" s="19"/>
      <c r="KIW22" s="19"/>
      <c r="KIX22" s="19"/>
      <c r="KIY22" s="19"/>
      <c r="KIZ22" s="19"/>
      <c r="KJA22" s="19"/>
      <c r="KJB22" s="19"/>
      <c r="KJC22" s="19"/>
      <c r="KJD22" s="19"/>
      <c r="KJE22" s="19"/>
      <c r="KJF22" s="19"/>
      <c r="KJG22" s="19"/>
      <c r="KJH22" s="19"/>
      <c r="KJI22" s="19"/>
      <c r="KJJ22" s="19"/>
      <c r="KJK22" s="19"/>
      <c r="KJL22" s="19"/>
      <c r="KJM22" s="19"/>
      <c r="KJN22" s="19"/>
      <c r="KJO22" s="19"/>
      <c r="KJP22" s="19"/>
      <c r="KJQ22" s="19"/>
      <c r="KJR22" s="19"/>
      <c r="KJS22" s="19"/>
      <c r="KJT22" s="19"/>
      <c r="KJU22" s="19"/>
      <c r="KJV22" s="19"/>
      <c r="KJW22" s="19"/>
      <c r="KJX22" s="19"/>
      <c r="KJY22" s="19"/>
      <c r="KJZ22" s="19"/>
      <c r="KKA22" s="19"/>
      <c r="KKB22" s="19"/>
      <c r="KKC22" s="19"/>
      <c r="KKD22" s="19"/>
      <c r="KKE22" s="19"/>
      <c r="KKF22" s="19"/>
      <c r="KKG22" s="19"/>
      <c r="KKH22" s="19"/>
      <c r="KKI22" s="19"/>
      <c r="KKJ22" s="19"/>
      <c r="KKK22" s="19"/>
      <c r="KKL22" s="19"/>
      <c r="KKM22" s="19"/>
      <c r="KKN22" s="19"/>
      <c r="KKO22" s="19"/>
      <c r="KKP22" s="19"/>
      <c r="KKQ22" s="19"/>
      <c r="KKR22" s="19"/>
      <c r="KKS22" s="19"/>
      <c r="KKT22" s="19"/>
      <c r="KKU22" s="19"/>
      <c r="KKV22" s="19"/>
      <c r="KKW22" s="19"/>
      <c r="KKX22" s="19"/>
      <c r="KKY22" s="19"/>
      <c r="KKZ22" s="19"/>
      <c r="KLA22" s="19"/>
      <c r="KLB22" s="19"/>
      <c r="KLC22" s="19"/>
      <c r="KLD22" s="19"/>
      <c r="KLE22" s="19"/>
      <c r="KLF22" s="19"/>
      <c r="KLG22" s="19"/>
      <c r="KLH22" s="19"/>
      <c r="KLI22" s="19"/>
      <c r="KLJ22" s="19"/>
      <c r="KLK22" s="19"/>
      <c r="KLL22" s="19"/>
      <c r="KLM22" s="19"/>
      <c r="KLN22" s="19"/>
      <c r="KLO22" s="19"/>
      <c r="KLP22" s="19"/>
      <c r="KLQ22" s="19"/>
      <c r="KLR22" s="19"/>
      <c r="KLS22" s="19"/>
      <c r="KLT22" s="19"/>
      <c r="KLU22" s="19"/>
      <c r="KLV22" s="19"/>
      <c r="KLW22" s="19"/>
      <c r="KLX22" s="19"/>
      <c r="KLY22" s="19"/>
      <c r="KLZ22" s="19"/>
      <c r="KMA22" s="19"/>
      <c r="KMB22" s="19"/>
      <c r="KMC22" s="19"/>
      <c r="KMD22" s="19"/>
      <c r="KME22" s="19"/>
      <c r="KMF22" s="19"/>
      <c r="KMG22" s="19"/>
      <c r="KMH22" s="19"/>
      <c r="KMI22" s="19"/>
      <c r="KMJ22" s="19"/>
      <c r="KMK22" s="19"/>
      <c r="KML22" s="19"/>
      <c r="KMM22" s="19"/>
      <c r="KMN22" s="19"/>
      <c r="KMO22" s="19"/>
      <c r="KMP22" s="19"/>
      <c r="KMQ22" s="19"/>
      <c r="KMR22" s="19"/>
      <c r="KMS22" s="19"/>
      <c r="KMT22" s="19"/>
      <c r="KMU22" s="19"/>
      <c r="KMV22" s="19"/>
      <c r="KMW22" s="19"/>
      <c r="KMX22" s="19"/>
      <c r="KMY22" s="19"/>
      <c r="KMZ22" s="19"/>
      <c r="KNA22" s="19"/>
      <c r="KNB22" s="19"/>
      <c r="KNC22" s="19"/>
      <c r="KND22" s="19"/>
      <c r="KNE22" s="19"/>
      <c r="KNF22" s="19"/>
      <c r="KNG22" s="19"/>
      <c r="KNH22" s="19"/>
      <c r="KNI22" s="19"/>
      <c r="KNJ22" s="19"/>
      <c r="KNK22" s="19"/>
      <c r="KNL22" s="19"/>
      <c r="KNM22" s="19"/>
      <c r="KNN22" s="19"/>
      <c r="KNO22" s="19"/>
      <c r="KNP22" s="19"/>
      <c r="KNQ22" s="19"/>
      <c r="KNR22" s="19"/>
      <c r="KNS22" s="19"/>
      <c r="KNT22" s="19"/>
      <c r="KNU22" s="19"/>
      <c r="KNV22" s="19"/>
      <c r="KNW22" s="19"/>
      <c r="KNX22" s="19"/>
      <c r="KNY22" s="19"/>
      <c r="KNZ22" s="19"/>
      <c r="KOA22" s="19"/>
      <c r="KOB22" s="19"/>
      <c r="KOC22" s="19"/>
      <c r="KOD22" s="19"/>
      <c r="KOE22" s="19"/>
      <c r="KOF22" s="19"/>
      <c r="KOG22" s="19"/>
      <c r="KOH22" s="19"/>
      <c r="KOI22" s="19"/>
      <c r="KOJ22" s="19"/>
      <c r="KOK22" s="19"/>
      <c r="KOL22" s="19"/>
      <c r="KOM22" s="19"/>
      <c r="KON22" s="19"/>
      <c r="KOO22" s="19"/>
      <c r="KOP22" s="19"/>
      <c r="KOQ22" s="19"/>
      <c r="KOR22" s="19"/>
      <c r="KOS22" s="19"/>
      <c r="KOT22" s="19"/>
      <c r="KOU22" s="19"/>
      <c r="KOV22" s="19"/>
      <c r="KOW22" s="19"/>
      <c r="KOX22" s="19"/>
      <c r="KOY22" s="19"/>
      <c r="KOZ22" s="19"/>
      <c r="KPA22" s="19"/>
      <c r="KPB22" s="19"/>
      <c r="KPC22" s="19"/>
      <c r="KPD22" s="19"/>
      <c r="KPE22" s="19"/>
      <c r="KPF22" s="19"/>
      <c r="KPG22" s="19"/>
      <c r="KPH22" s="19"/>
      <c r="KPI22" s="19"/>
      <c r="KPJ22" s="19"/>
      <c r="KPK22" s="19"/>
      <c r="KPL22" s="19"/>
      <c r="KPM22" s="19"/>
      <c r="KPN22" s="19"/>
      <c r="KPO22" s="19"/>
      <c r="KPP22" s="19"/>
      <c r="KPQ22" s="19"/>
      <c r="KPR22" s="19"/>
      <c r="KPS22" s="19"/>
      <c r="KPT22" s="19"/>
      <c r="KPU22" s="19"/>
      <c r="KPV22" s="19"/>
      <c r="KPW22" s="19"/>
      <c r="KPX22" s="19"/>
      <c r="KPY22" s="19"/>
      <c r="KPZ22" s="19"/>
      <c r="KQA22" s="19"/>
      <c r="KQB22" s="19"/>
      <c r="KQC22" s="19"/>
      <c r="KQD22" s="19"/>
      <c r="KQE22" s="19"/>
      <c r="KQF22" s="19"/>
      <c r="KQG22" s="19"/>
      <c r="KQH22" s="19"/>
      <c r="KQI22" s="19"/>
      <c r="KQJ22" s="19"/>
      <c r="KQK22" s="19"/>
      <c r="KQL22" s="19"/>
      <c r="KQM22" s="19"/>
      <c r="KQN22" s="19"/>
      <c r="KQO22" s="19"/>
      <c r="KQP22" s="19"/>
      <c r="KQQ22" s="19"/>
      <c r="KQR22" s="19"/>
      <c r="KQS22" s="19"/>
      <c r="KQT22" s="19"/>
      <c r="KQU22" s="19"/>
      <c r="KQV22" s="19"/>
      <c r="KQW22" s="19"/>
      <c r="KQX22" s="19"/>
      <c r="KQY22" s="19"/>
      <c r="KQZ22" s="19"/>
      <c r="KRA22" s="19"/>
      <c r="KRB22" s="19"/>
      <c r="KRC22" s="19"/>
      <c r="KRD22" s="19"/>
      <c r="KRE22" s="19"/>
      <c r="KRF22" s="19"/>
      <c r="KRG22" s="19"/>
      <c r="KRH22" s="19"/>
      <c r="KRI22" s="19"/>
      <c r="KRJ22" s="19"/>
      <c r="KRK22" s="19"/>
      <c r="KRL22" s="19"/>
      <c r="KRM22" s="19"/>
      <c r="KRN22" s="19"/>
      <c r="KRO22" s="19"/>
      <c r="KRP22" s="19"/>
      <c r="KRQ22" s="19"/>
      <c r="KRR22" s="19"/>
      <c r="KRS22" s="19"/>
      <c r="KRT22" s="19"/>
      <c r="KRU22" s="19"/>
      <c r="KRV22" s="19"/>
      <c r="KRW22" s="19"/>
      <c r="KRX22" s="19"/>
      <c r="KRY22" s="19"/>
      <c r="KRZ22" s="19"/>
      <c r="KSA22" s="19"/>
      <c r="KSB22" s="19"/>
      <c r="KSC22" s="19"/>
      <c r="KSD22" s="19"/>
      <c r="KSE22" s="19"/>
      <c r="KSF22" s="19"/>
      <c r="KSG22" s="19"/>
      <c r="KSH22" s="19"/>
      <c r="KSI22" s="19"/>
      <c r="KSJ22" s="19"/>
      <c r="KSK22" s="19"/>
      <c r="KSL22" s="19"/>
      <c r="KSM22" s="19"/>
      <c r="KSN22" s="19"/>
      <c r="KSO22" s="19"/>
      <c r="KSP22" s="19"/>
      <c r="KSQ22" s="19"/>
      <c r="KSR22" s="19"/>
      <c r="KSS22" s="19"/>
      <c r="KST22" s="19"/>
      <c r="KSU22" s="19"/>
      <c r="KSV22" s="19"/>
      <c r="KSW22" s="19"/>
      <c r="KSX22" s="19"/>
      <c r="KSY22" s="19"/>
      <c r="KSZ22" s="19"/>
      <c r="KTA22" s="19"/>
      <c r="KTB22" s="19"/>
      <c r="KTC22" s="19"/>
      <c r="KTD22" s="19"/>
      <c r="KTE22" s="19"/>
      <c r="KTF22" s="19"/>
      <c r="KTG22" s="19"/>
      <c r="KTH22" s="19"/>
      <c r="KTI22" s="19"/>
      <c r="KTJ22" s="19"/>
      <c r="KTK22" s="19"/>
      <c r="KTL22" s="19"/>
      <c r="KTM22" s="19"/>
      <c r="KTN22" s="19"/>
      <c r="KTO22" s="19"/>
      <c r="KTP22" s="19"/>
      <c r="KTQ22" s="19"/>
      <c r="KTR22" s="19"/>
      <c r="KTS22" s="19"/>
      <c r="KTT22" s="19"/>
      <c r="KTU22" s="19"/>
      <c r="KTV22" s="19"/>
      <c r="KTW22" s="19"/>
      <c r="KTX22" s="19"/>
      <c r="KTY22" s="19"/>
      <c r="KTZ22" s="19"/>
      <c r="KUA22" s="19"/>
      <c r="KUB22" s="19"/>
      <c r="KUC22" s="19"/>
      <c r="KUD22" s="19"/>
      <c r="KUE22" s="19"/>
      <c r="KUF22" s="19"/>
      <c r="KUG22" s="19"/>
      <c r="KUH22" s="19"/>
      <c r="KUI22" s="19"/>
      <c r="KUJ22" s="19"/>
      <c r="KUK22" s="19"/>
      <c r="KUL22" s="19"/>
      <c r="KUM22" s="19"/>
      <c r="KUN22" s="19"/>
      <c r="KUO22" s="19"/>
      <c r="KUP22" s="19"/>
      <c r="KUQ22" s="19"/>
      <c r="KUR22" s="19"/>
      <c r="KUS22" s="19"/>
      <c r="KUT22" s="19"/>
      <c r="KUU22" s="19"/>
      <c r="KUV22" s="19"/>
      <c r="KUW22" s="19"/>
      <c r="KUX22" s="19"/>
      <c r="KUY22" s="19"/>
      <c r="KUZ22" s="19"/>
      <c r="KVA22" s="19"/>
      <c r="KVB22" s="19"/>
      <c r="KVC22" s="19"/>
      <c r="KVD22" s="19"/>
      <c r="KVE22" s="19"/>
      <c r="KVF22" s="19"/>
      <c r="KVG22" s="19"/>
      <c r="KVH22" s="19"/>
      <c r="KVI22" s="19"/>
      <c r="KVJ22" s="19"/>
      <c r="KVK22" s="19"/>
      <c r="KVL22" s="19"/>
      <c r="KVM22" s="19"/>
      <c r="KVN22" s="19"/>
      <c r="KVO22" s="19"/>
      <c r="KVP22" s="19"/>
      <c r="KVQ22" s="19"/>
      <c r="KVR22" s="19"/>
      <c r="KVS22" s="19"/>
      <c r="KVT22" s="19"/>
      <c r="KVU22" s="19"/>
      <c r="KVV22" s="19"/>
      <c r="KVW22" s="19"/>
      <c r="KVX22" s="19"/>
      <c r="KVY22" s="19"/>
      <c r="KVZ22" s="19"/>
      <c r="KWA22" s="19"/>
      <c r="KWB22" s="19"/>
      <c r="KWC22" s="19"/>
      <c r="KWD22" s="19"/>
      <c r="KWE22" s="19"/>
      <c r="KWF22" s="19"/>
      <c r="KWG22" s="19"/>
      <c r="KWH22" s="19"/>
      <c r="KWI22" s="19"/>
      <c r="KWJ22" s="19"/>
      <c r="KWK22" s="19"/>
      <c r="KWL22" s="19"/>
      <c r="KWM22" s="19"/>
      <c r="KWN22" s="19"/>
      <c r="KWO22" s="19"/>
      <c r="KWP22" s="19"/>
      <c r="KWQ22" s="19"/>
      <c r="KWR22" s="19"/>
      <c r="KWS22" s="19"/>
      <c r="KWT22" s="19"/>
      <c r="KWU22" s="19"/>
      <c r="KWV22" s="19"/>
      <c r="KWW22" s="19"/>
      <c r="KWX22" s="19"/>
      <c r="KWY22" s="19"/>
      <c r="KWZ22" s="19"/>
      <c r="KXA22" s="19"/>
      <c r="KXB22" s="19"/>
      <c r="KXC22" s="19"/>
      <c r="KXD22" s="19"/>
      <c r="KXE22" s="19"/>
      <c r="KXF22" s="19"/>
      <c r="KXG22" s="19"/>
      <c r="KXH22" s="19"/>
      <c r="KXI22" s="19"/>
      <c r="KXJ22" s="19"/>
      <c r="KXK22" s="19"/>
      <c r="KXL22" s="19"/>
      <c r="KXM22" s="19"/>
      <c r="KXN22" s="19"/>
      <c r="KXO22" s="19"/>
      <c r="KXP22" s="19"/>
      <c r="KXQ22" s="19"/>
      <c r="KXR22" s="19"/>
      <c r="KXS22" s="19"/>
      <c r="KXT22" s="19"/>
      <c r="KXU22" s="19"/>
      <c r="KXV22" s="19"/>
      <c r="KXW22" s="19"/>
      <c r="KXX22" s="19"/>
      <c r="KXY22" s="19"/>
      <c r="KXZ22" s="19"/>
      <c r="KYA22" s="19"/>
      <c r="KYB22" s="19"/>
      <c r="KYC22" s="19"/>
      <c r="KYD22" s="19"/>
      <c r="KYE22" s="19"/>
      <c r="KYF22" s="19"/>
      <c r="KYG22" s="19"/>
      <c r="KYH22" s="19"/>
      <c r="KYI22" s="19"/>
      <c r="KYJ22" s="19"/>
      <c r="KYK22" s="19"/>
      <c r="KYL22" s="19"/>
      <c r="KYM22" s="19"/>
      <c r="KYN22" s="19"/>
      <c r="KYO22" s="19"/>
      <c r="KYP22" s="19"/>
      <c r="KYQ22" s="19"/>
      <c r="KYR22" s="19"/>
      <c r="KYS22" s="19"/>
      <c r="KYT22" s="19"/>
      <c r="KYU22" s="19"/>
      <c r="KYV22" s="19"/>
      <c r="KYW22" s="19"/>
      <c r="KYX22" s="19"/>
      <c r="KYY22" s="19"/>
      <c r="KYZ22" s="19"/>
      <c r="KZA22" s="19"/>
      <c r="KZB22" s="19"/>
      <c r="KZC22" s="19"/>
      <c r="KZD22" s="19"/>
      <c r="KZE22" s="19"/>
      <c r="KZF22" s="19"/>
      <c r="KZG22" s="19"/>
      <c r="KZH22" s="19"/>
      <c r="KZI22" s="19"/>
      <c r="KZJ22" s="19"/>
      <c r="KZK22" s="19"/>
      <c r="KZL22" s="19"/>
      <c r="KZM22" s="19"/>
      <c r="KZN22" s="19"/>
      <c r="KZO22" s="19"/>
      <c r="KZP22" s="19"/>
      <c r="KZQ22" s="19"/>
      <c r="KZR22" s="19"/>
      <c r="KZS22" s="19"/>
      <c r="KZT22" s="19"/>
      <c r="KZU22" s="19"/>
      <c r="KZV22" s="19"/>
      <c r="KZW22" s="19"/>
      <c r="KZX22" s="19"/>
      <c r="KZY22" s="19"/>
      <c r="KZZ22" s="19"/>
      <c r="LAA22" s="19"/>
      <c r="LAB22" s="19"/>
      <c r="LAC22" s="19"/>
      <c r="LAD22" s="19"/>
      <c r="LAE22" s="19"/>
      <c r="LAF22" s="19"/>
      <c r="LAG22" s="19"/>
      <c r="LAH22" s="19"/>
      <c r="LAI22" s="19"/>
      <c r="LAJ22" s="19"/>
      <c r="LAK22" s="19"/>
      <c r="LAL22" s="19"/>
      <c r="LAM22" s="19"/>
      <c r="LAN22" s="19"/>
      <c r="LAO22" s="19"/>
      <c r="LAP22" s="19"/>
      <c r="LAQ22" s="19"/>
      <c r="LAR22" s="19"/>
      <c r="LAS22" s="19"/>
      <c r="LAT22" s="19"/>
      <c r="LAU22" s="19"/>
      <c r="LAV22" s="19"/>
      <c r="LAW22" s="19"/>
      <c r="LAX22" s="19"/>
      <c r="LAY22" s="19"/>
      <c r="LAZ22" s="19"/>
      <c r="LBA22" s="19"/>
      <c r="LBB22" s="19"/>
      <c r="LBC22" s="19"/>
      <c r="LBD22" s="19"/>
      <c r="LBE22" s="19"/>
      <c r="LBF22" s="19"/>
      <c r="LBG22" s="19"/>
      <c r="LBH22" s="19"/>
      <c r="LBI22" s="19"/>
      <c r="LBJ22" s="19"/>
      <c r="LBK22" s="19"/>
      <c r="LBL22" s="19"/>
      <c r="LBM22" s="19"/>
      <c r="LBN22" s="19"/>
      <c r="LBO22" s="19"/>
      <c r="LBP22" s="19"/>
      <c r="LBQ22" s="19"/>
      <c r="LBR22" s="19"/>
      <c r="LBS22" s="19"/>
      <c r="LBT22" s="19"/>
      <c r="LBU22" s="19"/>
      <c r="LBV22" s="19"/>
      <c r="LBW22" s="19"/>
      <c r="LBX22" s="19"/>
      <c r="LBY22" s="19"/>
      <c r="LBZ22" s="19"/>
      <c r="LCA22" s="19"/>
      <c r="LCB22" s="19"/>
      <c r="LCC22" s="19"/>
      <c r="LCD22" s="19"/>
      <c r="LCE22" s="19"/>
      <c r="LCF22" s="19"/>
      <c r="LCG22" s="19"/>
      <c r="LCH22" s="19"/>
      <c r="LCI22" s="19"/>
      <c r="LCJ22" s="19"/>
      <c r="LCK22" s="19"/>
      <c r="LCL22" s="19"/>
      <c r="LCM22" s="19"/>
      <c r="LCN22" s="19"/>
      <c r="LCO22" s="19"/>
      <c r="LCP22" s="19"/>
      <c r="LCQ22" s="19"/>
      <c r="LCR22" s="19"/>
      <c r="LCS22" s="19"/>
      <c r="LCT22" s="19"/>
      <c r="LCU22" s="19"/>
      <c r="LCV22" s="19"/>
      <c r="LCW22" s="19"/>
      <c r="LCX22" s="19"/>
      <c r="LCY22" s="19"/>
      <c r="LCZ22" s="19"/>
      <c r="LDA22" s="19"/>
      <c r="LDB22" s="19"/>
      <c r="LDC22" s="19"/>
      <c r="LDD22" s="19"/>
      <c r="LDE22" s="19"/>
      <c r="LDF22" s="19"/>
      <c r="LDG22" s="19"/>
      <c r="LDH22" s="19"/>
      <c r="LDI22" s="19"/>
      <c r="LDJ22" s="19"/>
      <c r="LDK22" s="19"/>
      <c r="LDL22" s="19"/>
      <c r="LDM22" s="19"/>
      <c r="LDN22" s="19"/>
      <c r="LDO22" s="19"/>
      <c r="LDP22" s="19"/>
      <c r="LDQ22" s="19"/>
      <c r="LDR22" s="19"/>
      <c r="LDS22" s="19"/>
      <c r="LDT22" s="19"/>
      <c r="LDU22" s="19"/>
      <c r="LDV22" s="19"/>
      <c r="LDW22" s="19"/>
      <c r="LDX22" s="19"/>
      <c r="LDY22" s="19"/>
      <c r="LDZ22" s="19"/>
      <c r="LEA22" s="19"/>
      <c r="LEB22" s="19"/>
      <c r="LEC22" s="19"/>
      <c r="LED22" s="19"/>
      <c r="LEE22" s="19"/>
      <c r="LEF22" s="19"/>
      <c r="LEG22" s="19"/>
      <c r="LEH22" s="19"/>
      <c r="LEI22" s="19"/>
      <c r="LEJ22" s="19"/>
      <c r="LEK22" s="19"/>
      <c r="LEL22" s="19"/>
      <c r="LEM22" s="19"/>
      <c r="LEN22" s="19"/>
      <c r="LEO22" s="19"/>
      <c r="LEP22" s="19"/>
      <c r="LEQ22" s="19"/>
      <c r="LER22" s="19"/>
      <c r="LES22" s="19"/>
      <c r="LET22" s="19"/>
      <c r="LEU22" s="19"/>
      <c r="LEV22" s="19"/>
      <c r="LEW22" s="19"/>
      <c r="LEX22" s="19"/>
      <c r="LEY22" s="19"/>
      <c r="LEZ22" s="19"/>
      <c r="LFA22" s="19"/>
      <c r="LFB22" s="19"/>
      <c r="LFC22" s="19"/>
      <c r="LFD22" s="19"/>
      <c r="LFE22" s="19"/>
      <c r="LFF22" s="19"/>
      <c r="LFG22" s="19"/>
      <c r="LFH22" s="19"/>
      <c r="LFI22" s="19"/>
      <c r="LFJ22" s="19"/>
      <c r="LFK22" s="19"/>
      <c r="LFL22" s="19"/>
      <c r="LFM22" s="19"/>
      <c r="LFN22" s="19"/>
      <c r="LFO22" s="19"/>
      <c r="LFP22" s="19"/>
      <c r="LFQ22" s="19"/>
      <c r="LFR22" s="19"/>
      <c r="LFS22" s="19"/>
      <c r="LFT22" s="19"/>
      <c r="LFU22" s="19"/>
      <c r="LFV22" s="19"/>
      <c r="LFW22" s="19"/>
      <c r="LFX22" s="19"/>
      <c r="LFY22" s="19"/>
      <c r="LFZ22" s="19"/>
      <c r="LGA22" s="19"/>
      <c r="LGB22" s="19"/>
      <c r="LGC22" s="19"/>
      <c r="LGD22" s="19"/>
      <c r="LGE22" s="19"/>
      <c r="LGF22" s="19"/>
      <c r="LGG22" s="19"/>
      <c r="LGH22" s="19"/>
      <c r="LGI22" s="19"/>
      <c r="LGJ22" s="19"/>
      <c r="LGK22" s="19"/>
      <c r="LGL22" s="19"/>
      <c r="LGM22" s="19"/>
      <c r="LGN22" s="19"/>
      <c r="LGO22" s="19"/>
      <c r="LGP22" s="19"/>
      <c r="LGQ22" s="19"/>
      <c r="LGR22" s="19"/>
      <c r="LGS22" s="19"/>
      <c r="LGT22" s="19"/>
      <c r="LGU22" s="19"/>
      <c r="LGV22" s="19"/>
      <c r="LGW22" s="19"/>
      <c r="LGX22" s="19"/>
      <c r="LGY22" s="19"/>
      <c r="LGZ22" s="19"/>
      <c r="LHA22" s="19"/>
      <c r="LHB22" s="19"/>
      <c r="LHC22" s="19"/>
      <c r="LHD22" s="19"/>
      <c r="LHE22" s="19"/>
      <c r="LHF22" s="19"/>
      <c r="LHG22" s="19"/>
      <c r="LHH22" s="19"/>
      <c r="LHI22" s="19"/>
      <c r="LHJ22" s="19"/>
      <c r="LHK22" s="19"/>
      <c r="LHL22" s="19"/>
      <c r="LHM22" s="19"/>
      <c r="LHN22" s="19"/>
      <c r="LHO22" s="19"/>
      <c r="LHP22" s="19"/>
      <c r="LHQ22" s="19"/>
      <c r="LHR22" s="19"/>
      <c r="LHS22" s="19"/>
      <c r="LHT22" s="19"/>
      <c r="LHU22" s="19"/>
      <c r="LHV22" s="19"/>
      <c r="LHW22" s="19"/>
      <c r="LHX22" s="19"/>
      <c r="LHY22" s="19"/>
      <c r="LHZ22" s="19"/>
      <c r="LIA22" s="19"/>
      <c r="LIB22" s="19"/>
      <c r="LIC22" s="19"/>
      <c r="LID22" s="19"/>
      <c r="LIE22" s="19"/>
      <c r="LIF22" s="19"/>
      <c r="LIG22" s="19"/>
      <c r="LIH22" s="19"/>
      <c r="LII22" s="19"/>
      <c r="LIJ22" s="19"/>
      <c r="LIK22" s="19"/>
      <c r="LIL22" s="19"/>
      <c r="LIM22" s="19"/>
      <c r="LIN22" s="19"/>
      <c r="LIO22" s="19"/>
      <c r="LIP22" s="19"/>
      <c r="LIQ22" s="19"/>
      <c r="LIR22" s="19"/>
      <c r="LIS22" s="19"/>
      <c r="LIT22" s="19"/>
      <c r="LIU22" s="19"/>
      <c r="LIV22" s="19"/>
      <c r="LIW22" s="19"/>
      <c r="LIX22" s="19"/>
      <c r="LIY22" s="19"/>
      <c r="LIZ22" s="19"/>
      <c r="LJA22" s="19"/>
      <c r="LJB22" s="19"/>
      <c r="LJC22" s="19"/>
      <c r="LJD22" s="19"/>
      <c r="LJE22" s="19"/>
      <c r="LJF22" s="19"/>
      <c r="LJG22" s="19"/>
      <c r="LJH22" s="19"/>
      <c r="LJI22" s="19"/>
      <c r="LJJ22" s="19"/>
      <c r="LJK22" s="19"/>
      <c r="LJL22" s="19"/>
      <c r="LJM22" s="19"/>
      <c r="LJN22" s="19"/>
      <c r="LJO22" s="19"/>
      <c r="LJP22" s="19"/>
      <c r="LJQ22" s="19"/>
      <c r="LJR22" s="19"/>
      <c r="LJS22" s="19"/>
      <c r="LJT22" s="19"/>
      <c r="LJU22" s="19"/>
      <c r="LJV22" s="19"/>
      <c r="LJW22" s="19"/>
      <c r="LJX22" s="19"/>
      <c r="LJY22" s="19"/>
      <c r="LJZ22" s="19"/>
      <c r="LKA22" s="19"/>
      <c r="LKB22" s="19"/>
      <c r="LKC22" s="19"/>
      <c r="LKD22" s="19"/>
      <c r="LKE22" s="19"/>
      <c r="LKF22" s="19"/>
      <c r="LKG22" s="19"/>
      <c r="LKH22" s="19"/>
      <c r="LKI22" s="19"/>
      <c r="LKJ22" s="19"/>
      <c r="LKK22" s="19"/>
      <c r="LKL22" s="19"/>
      <c r="LKM22" s="19"/>
      <c r="LKN22" s="19"/>
      <c r="LKO22" s="19"/>
      <c r="LKP22" s="19"/>
      <c r="LKQ22" s="19"/>
      <c r="LKR22" s="19"/>
      <c r="LKS22" s="19"/>
      <c r="LKT22" s="19"/>
      <c r="LKU22" s="19"/>
      <c r="LKV22" s="19"/>
      <c r="LKW22" s="19"/>
      <c r="LKX22" s="19"/>
      <c r="LKY22" s="19"/>
      <c r="LKZ22" s="19"/>
      <c r="LLA22" s="19"/>
      <c r="LLB22" s="19"/>
      <c r="LLC22" s="19"/>
      <c r="LLD22" s="19"/>
      <c r="LLE22" s="19"/>
      <c r="LLF22" s="19"/>
      <c r="LLG22" s="19"/>
      <c r="LLH22" s="19"/>
      <c r="LLI22" s="19"/>
      <c r="LLJ22" s="19"/>
      <c r="LLK22" s="19"/>
      <c r="LLL22" s="19"/>
      <c r="LLM22" s="19"/>
      <c r="LLN22" s="19"/>
      <c r="LLO22" s="19"/>
      <c r="LLP22" s="19"/>
      <c r="LLQ22" s="19"/>
      <c r="LLR22" s="19"/>
      <c r="LLS22" s="19"/>
      <c r="LLT22" s="19"/>
      <c r="LLU22" s="19"/>
      <c r="LLV22" s="19"/>
      <c r="LLW22" s="19"/>
      <c r="LLX22" s="19"/>
      <c r="LLY22" s="19"/>
      <c r="LLZ22" s="19"/>
      <c r="LMA22" s="19"/>
      <c r="LMB22" s="19"/>
      <c r="LMC22" s="19"/>
      <c r="LMD22" s="19"/>
      <c r="LME22" s="19"/>
      <c r="LMF22" s="19"/>
      <c r="LMG22" s="19"/>
      <c r="LMH22" s="19"/>
      <c r="LMI22" s="19"/>
      <c r="LMJ22" s="19"/>
      <c r="LMK22" s="19"/>
      <c r="LML22" s="19"/>
      <c r="LMM22" s="19"/>
      <c r="LMN22" s="19"/>
      <c r="LMO22" s="19"/>
      <c r="LMP22" s="19"/>
      <c r="LMQ22" s="19"/>
      <c r="LMR22" s="19"/>
      <c r="LMS22" s="19"/>
      <c r="LMT22" s="19"/>
      <c r="LMU22" s="19"/>
      <c r="LMV22" s="19"/>
      <c r="LMW22" s="19"/>
      <c r="LMX22" s="19"/>
      <c r="LMY22" s="19"/>
      <c r="LMZ22" s="19"/>
      <c r="LNA22" s="19"/>
      <c r="LNB22" s="19"/>
      <c r="LNC22" s="19"/>
      <c r="LND22" s="19"/>
      <c r="LNE22" s="19"/>
      <c r="LNF22" s="19"/>
      <c r="LNG22" s="19"/>
      <c r="LNH22" s="19"/>
      <c r="LNI22" s="19"/>
      <c r="LNJ22" s="19"/>
      <c r="LNK22" s="19"/>
      <c r="LNL22" s="19"/>
      <c r="LNM22" s="19"/>
      <c r="LNN22" s="19"/>
      <c r="LNO22" s="19"/>
      <c r="LNP22" s="19"/>
      <c r="LNQ22" s="19"/>
      <c r="LNR22" s="19"/>
      <c r="LNS22" s="19"/>
      <c r="LNT22" s="19"/>
      <c r="LNU22" s="19"/>
      <c r="LNV22" s="19"/>
      <c r="LNW22" s="19"/>
      <c r="LNX22" s="19"/>
      <c r="LNY22" s="19"/>
      <c r="LNZ22" s="19"/>
      <c r="LOA22" s="19"/>
      <c r="LOB22" s="19"/>
      <c r="LOC22" s="19"/>
      <c r="LOD22" s="19"/>
      <c r="LOE22" s="19"/>
      <c r="LOF22" s="19"/>
      <c r="LOG22" s="19"/>
      <c r="LOH22" s="19"/>
      <c r="LOI22" s="19"/>
      <c r="LOJ22" s="19"/>
      <c r="LOK22" s="19"/>
      <c r="LOL22" s="19"/>
      <c r="LOM22" s="19"/>
      <c r="LON22" s="19"/>
      <c r="LOO22" s="19"/>
      <c r="LOP22" s="19"/>
      <c r="LOQ22" s="19"/>
      <c r="LOR22" s="19"/>
      <c r="LOS22" s="19"/>
      <c r="LOT22" s="19"/>
      <c r="LOU22" s="19"/>
      <c r="LOV22" s="19"/>
      <c r="LOW22" s="19"/>
      <c r="LOX22" s="19"/>
      <c r="LOY22" s="19"/>
      <c r="LOZ22" s="19"/>
      <c r="LPA22" s="19"/>
      <c r="LPB22" s="19"/>
      <c r="LPC22" s="19"/>
      <c r="LPD22" s="19"/>
      <c r="LPE22" s="19"/>
      <c r="LPF22" s="19"/>
      <c r="LPG22" s="19"/>
      <c r="LPH22" s="19"/>
      <c r="LPI22" s="19"/>
      <c r="LPJ22" s="19"/>
      <c r="LPK22" s="19"/>
      <c r="LPL22" s="19"/>
      <c r="LPM22" s="19"/>
      <c r="LPN22" s="19"/>
      <c r="LPO22" s="19"/>
      <c r="LPP22" s="19"/>
      <c r="LPQ22" s="19"/>
      <c r="LPR22" s="19"/>
      <c r="LPS22" s="19"/>
      <c r="LPT22" s="19"/>
      <c r="LPU22" s="19"/>
      <c r="LPV22" s="19"/>
      <c r="LPW22" s="19"/>
      <c r="LPX22" s="19"/>
      <c r="LPY22" s="19"/>
      <c r="LPZ22" s="19"/>
      <c r="LQA22" s="19"/>
      <c r="LQB22" s="19"/>
      <c r="LQC22" s="19"/>
      <c r="LQD22" s="19"/>
      <c r="LQE22" s="19"/>
      <c r="LQF22" s="19"/>
      <c r="LQG22" s="19"/>
      <c r="LQH22" s="19"/>
      <c r="LQI22" s="19"/>
      <c r="LQJ22" s="19"/>
      <c r="LQK22" s="19"/>
      <c r="LQL22" s="19"/>
      <c r="LQM22" s="19"/>
      <c r="LQN22" s="19"/>
      <c r="LQO22" s="19"/>
      <c r="LQP22" s="19"/>
      <c r="LQQ22" s="19"/>
      <c r="LQR22" s="19"/>
      <c r="LQS22" s="19"/>
      <c r="LQT22" s="19"/>
      <c r="LQU22" s="19"/>
      <c r="LQV22" s="19"/>
      <c r="LQW22" s="19"/>
      <c r="LQX22" s="19"/>
      <c r="LQY22" s="19"/>
      <c r="LQZ22" s="19"/>
      <c r="LRA22" s="19"/>
      <c r="LRB22" s="19"/>
      <c r="LRC22" s="19"/>
      <c r="LRD22" s="19"/>
      <c r="LRE22" s="19"/>
      <c r="LRF22" s="19"/>
      <c r="LRG22" s="19"/>
      <c r="LRH22" s="19"/>
      <c r="LRI22" s="19"/>
      <c r="LRJ22" s="19"/>
      <c r="LRK22" s="19"/>
      <c r="LRL22" s="19"/>
      <c r="LRM22" s="19"/>
      <c r="LRN22" s="19"/>
      <c r="LRO22" s="19"/>
      <c r="LRP22" s="19"/>
      <c r="LRQ22" s="19"/>
      <c r="LRR22" s="19"/>
      <c r="LRS22" s="19"/>
      <c r="LRT22" s="19"/>
      <c r="LRU22" s="19"/>
      <c r="LRV22" s="19"/>
      <c r="LRW22" s="19"/>
      <c r="LRX22" s="19"/>
      <c r="LRY22" s="19"/>
      <c r="LRZ22" s="19"/>
      <c r="LSA22" s="19"/>
      <c r="LSB22" s="19"/>
      <c r="LSC22" s="19"/>
      <c r="LSD22" s="19"/>
      <c r="LSE22" s="19"/>
      <c r="LSF22" s="19"/>
      <c r="LSG22" s="19"/>
      <c r="LSH22" s="19"/>
      <c r="LSI22" s="19"/>
      <c r="LSJ22" s="19"/>
      <c r="LSK22" s="19"/>
      <c r="LSL22" s="19"/>
      <c r="LSM22" s="19"/>
      <c r="LSN22" s="19"/>
      <c r="LSO22" s="19"/>
      <c r="LSP22" s="19"/>
      <c r="LSQ22" s="19"/>
      <c r="LSR22" s="19"/>
      <c r="LSS22" s="19"/>
      <c r="LST22" s="19"/>
      <c r="LSU22" s="19"/>
      <c r="LSV22" s="19"/>
      <c r="LSW22" s="19"/>
      <c r="LSX22" s="19"/>
      <c r="LSY22" s="19"/>
      <c r="LSZ22" s="19"/>
      <c r="LTA22" s="19"/>
      <c r="LTB22" s="19"/>
      <c r="LTC22" s="19"/>
      <c r="LTD22" s="19"/>
      <c r="LTE22" s="19"/>
      <c r="LTF22" s="19"/>
      <c r="LTG22" s="19"/>
      <c r="LTH22" s="19"/>
      <c r="LTI22" s="19"/>
      <c r="LTJ22" s="19"/>
      <c r="LTK22" s="19"/>
      <c r="LTL22" s="19"/>
      <c r="LTM22" s="19"/>
      <c r="LTN22" s="19"/>
      <c r="LTO22" s="19"/>
      <c r="LTP22" s="19"/>
      <c r="LTQ22" s="19"/>
      <c r="LTR22" s="19"/>
      <c r="LTS22" s="19"/>
      <c r="LTT22" s="19"/>
      <c r="LTU22" s="19"/>
      <c r="LTV22" s="19"/>
      <c r="LTW22" s="19"/>
      <c r="LTX22" s="19"/>
      <c r="LTY22" s="19"/>
      <c r="LTZ22" s="19"/>
      <c r="LUA22" s="19"/>
      <c r="LUB22" s="19"/>
      <c r="LUC22" s="19"/>
      <c r="LUD22" s="19"/>
      <c r="LUE22" s="19"/>
      <c r="LUF22" s="19"/>
      <c r="LUG22" s="19"/>
      <c r="LUH22" s="19"/>
      <c r="LUI22" s="19"/>
      <c r="LUJ22" s="19"/>
      <c r="LUK22" s="19"/>
      <c r="LUL22" s="19"/>
      <c r="LUM22" s="19"/>
      <c r="LUN22" s="19"/>
      <c r="LUO22" s="19"/>
      <c r="LUP22" s="19"/>
      <c r="LUQ22" s="19"/>
      <c r="LUR22" s="19"/>
      <c r="LUS22" s="19"/>
      <c r="LUT22" s="19"/>
      <c r="LUU22" s="19"/>
      <c r="LUV22" s="19"/>
      <c r="LUW22" s="19"/>
      <c r="LUX22" s="19"/>
      <c r="LUY22" s="19"/>
      <c r="LUZ22" s="19"/>
      <c r="LVA22" s="19"/>
      <c r="LVB22" s="19"/>
      <c r="LVC22" s="19"/>
      <c r="LVD22" s="19"/>
      <c r="LVE22" s="19"/>
      <c r="LVF22" s="19"/>
      <c r="LVG22" s="19"/>
      <c r="LVH22" s="19"/>
      <c r="LVI22" s="19"/>
      <c r="LVJ22" s="19"/>
      <c r="LVK22" s="19"/>
      <c r="LVL22" s="19"/>
      <c r="LVM22" s="19"/>
      <c r="LVN22" s="19"/>
      <c r="LVO22" s="19"/>
      <c r="LVP22" s="19"/>
      <c r="LVQ22" s="19"/>
      <c r="LVR22" s="19"/>
      <c r="LVS22" s="19"/>
      <c r="LVT22" s="19"/>
      <c r="LVU22" s="19"/>
      <c r="LVV22" s="19"/>
      <c r="LVW22" s="19"/>
      <c r="LVX22" s="19"/>
      <c r="LVY22" s="19"/>
      <c r="LVZ22" s="19"/>
      <c r="LWA22" s="19"/>
      <c r="LWB22" s="19"/>
      <c r="LWC22" s="19"/>
      <c r="LWD22" s="19"/>
      <c r="LWE22" s="19"/>
      <c r="LWF22" s="19"/>
      <c r="LWG22" s="19"/>
      <c r="LWH22" s="19"/>
      <c r="LWI22" s="19"/>
      <c r="LWJ22" s="19"/>
      <c r="LWK22" s="19"/>
      <c r="LWL22" s="19"/>
      <c r="LWM22" s="19"/>
      <c r="LWN22" s="19"/>
      <c r="LWO22" s="19"/>
      <c r="LWP22" s="19"/>
      <c r="LWQ22" s="19"/>
      <c r="LWR22" s="19"/>
      <c r="LWS22" s="19"/>
      <c r="LWT22" s="19"/>
      <c r="LWU22" s="19"/>
      <c r="LWV22" s="19"/>
      <c r="LWW22" s="19"/>
      <c r="LWX22" s="19"/>
      <c r="LWY22" s="19"/>
      <c r="LWZ22" s="19"/>
      <c r="LXA22" s="19"/>
      <c r="LXB22" s="19"/>
      <c r="LXC22" s="19"/>
      <c r="LXD22" s="19"/>
      <c r="LXE22" s="19"/>
      <c r="LXF22" s="19"/>
      <c r="LXG22" s="19"/>
      <c r="LXH22" s="19"/>
      <c r="LXI22" s="19"/>
      <c r="LXJ22" s="19"/>
      <c r="LXK22" s="19"/>
      <c r="LXL22" s="19"/>
      <c r="LXM22" s="19"/>
      <c r="LXN22" s="19"/>
      <c r="LXO22" s="19"/>
      <c r="LXP22" s="19"/>
      <c r="LXQ22" s="19"/>
      <c r="LXR22" s="19"/>
      <c r="LXS22" s="19"/>
      <c r="LXT22" s="19"/>
      <c r="LXU22" s="19"/>
      <c r="LXV22" s="19"/>
      <c r="LXW22" s="19"/>
      <c r="LXX22" s="19"/>
      <c r="LXY22" s="19"/>
      <c r="LXZ22" s="19"/>
      <c r="LYA22" s="19"/>
      <c r="LYB22" s="19"/>
      <c r="LYC22" s="19"/>
      <c r="LYD22" s="19"/>
      <c r="LYE22" s="19"/>
      <c r="LYF22" s="19"/>
      <c r="LYG22" s="19"/>
      <c r="LYH22" s="19"/>
      <c r="LYI22" s="19"/>
      <c r="LYJ22" s="19"/>
      <c r="LYK22" s="19"/>
      <c r="LYL22" s="19"/>
      <c r="LYM22" s="19"/>
      <c r="LYN22" s="19"/>
      <c r="LYO22" s="19"/>
      <c r="LYP22" s="19"/>
      <c r="LYQ22" s="19"/>
      <c r="LYR22" s="19"/>
      <c r="LYS22" s="19"/>
      <c r="LYT22" s="19"/>
      <c r="LYU22" s="19"/>
      <c r="LYV22" s="19"/>
      <c r="LYW22" s="19"/>
      <c r="LYX22" s="19"/>
      <c r="LYY22" s="19"/>
      <c r="LYZ22" s="19"/>
      <c r="LZA22" s="19"/>
      <c r="LZB22" s="19"/>
      <c r="LZC22" s="19"/>
      <c r="LZD22" s="19"/>
      <c r="LZE22" s="19"/>
      <c r="LZF22" s="19"/>
      <c r="LZG22" s="19"/>
      <c r="LZH22" s="19"/>
      <c r="LZI22" s="19"/>
      <c r="LZJ22" s="19"/>
      <c r="LZK22" s="19"/>
      <c r="LZL22" s="19"/>
      <c r="LZM22" s="19"/>
      <c r="LZN22" s="19"/>
      <c r="LZO22" s="19"/>
      <c r="LZP22" s="19"/>
      <c r="LZQ22" s="19"/>
      <c r="LZR22" s="19"/>
      <c r="LZS22" s="19"/>
      <c r="LZT22" s="19"/>
      <c r="LZU22" s="19"/>
      <c r="LZV22" s="19"/>
      <c r="LZW22" s="19"/>
      <c r="LZX22" s="19"/>
      <c r="LZY22" s="19"/>
      <c r="LZZ22" s="19"/>
      <c r="MAA22" s="19"/>
      <c r="MAB22" s="19"/>
      <c r="MAC22" s="19"/>
      <c r="MAD22" s="19"/>
      <c r="MAE22" s="19"/>
      <c r="MAF22" s="19"/>
      <c r="MAG22" s="19"/>
      <c r="MAH22" s="19"/>
      <c r="MAI22" s="19"/>
      <c r="MAJ22" s="19"/>
      <c r="MAK22" s="19"/>
      <c r="MAL22" s="19"/>
      <c r="MAM22" s="19"/>
      <c r="MAN22" s="19"/>
      <c r="MAO22" s="19"/>
      <c r="MAP22" s="19"/>
      <c r="MAQ22" s="19"/>
      <c r="MAR22" s="19"/>
      <c r="MAS22" s="19"/>
      <c r="MAT22" s="19"/>
      <c r="MAU22" s="19"/>
      <c r="MAV22" s="19"/>
      <c r="MAW22" s="19"/>
      <c r="MAX22" s="19"/>
      <c r="MAY22" s="19"/>
      <c r="MAZ22" s="19"/>
      <c r="MBA22" s="19"/>
      <c r="MBB22" s="19"/>
      <c r="MBC22" s="19"/>
      <c r="MBD22" s="19"/>
      <c r="MBE22" s="19"/>
      <c r="MBF22" s="19"/>
      <c r="MBG22" s="19"/>
      <c r="MBH22" s="19"/>
      <c r="MBI22" s="19"/>
      <c r="MBJ22" s="19"/>
      <c r="MBK22" s="19"/>
      <c r="MBL22" s="19"/>
      <c r="MBM22" s="19"/>
      <c r="MBN22" s="19"/>
      <c r="MBO22" s="19"/>
      <c r="MBP22" s="19"/>
      <c r="MBQ22" s="19"/>
      <c r="MBR22" s="19"/>
      <c r="MBS22" s="19"/>
      <c r="MBT22" s="19"/>
      <c r="MBU22" s="19"/>
      <c r="MBV22" s="19"/>
      <c r="MBW22" s="19"/>
      <c r="MBX22" s="19"/>
      <c r="MBY22" s="19"/>
      <c r="MBZ22" s="19"/>
      <c r="MCA22" s="19"/>
      <c r="MCB22" s="19"/>
      <c r="MCC22" s="19"/>
      <c r="MCD22" s="19"/>
      <c r="MCE22" s="19"/>
      <c r="MCF22" s="19"/>
      <c r="MCG22" s="19"/>
      <c r="MCH22" s="19"/>
      <c r="MCI22" s="19"/>
      <c r="MCJ22" s="19"/>
      <c r="MCK22" s="19"/>
      <c r="MCL22" s="19"/>
      <c r="MCM22" s="19"/>
      <c r="MCN22" s="19"/>
      <c r="MCO22" s="19"/>
      <c r="MCP22" s="19"/>
      <c r="MCQ22" s="19"/>
      <c r="MCR22" s="19"/>
      <c r="MCS22" s="19"/>
      <c r="MCT22" s="19"/>
      <c r="MCU22" s="19"/>
      <c r="MCV22" s="19"/>
      <c r="MCW22" s="19"/>
      <c r="MCX22" s="19"/>
      <c r="MCY22" s="19"/>
      <c r="MCZ22" s="19"/>
      <c r="MDA22" s="19"/>
      <c r="MDB22" s="19"/>
      <c r="MDC22" s="19"/>
      <c r="MDD22" s="19"/>
      <c r="MDE22" s="19"/>
      <c r="MDF22" s="19"/>
      <c r="MDG22" s="19"/>
      <c r="MDH22" s="19"/>
      <c r="MDI22" s="19"/>
      <c r="MDJ22" s="19"/>
      <c r="MDK22" s="19"/>
      <c r="MDL22" s="19"/>
      <c r="MDM22" s="19"/>
      <c r="MDN22" s="19"/>
      <c r="MDO22" s="19"/>
      <c r="MDP22" s="19"/>
      <c r="MDQ22" s="19"/>
      <c r="MDR22" s="19"/>
      <c r="MDS22" s="19"/>
      <c r="MDT22" s="19"/>
      <c r="MDU22" s="19"/>
      <c r="MDV22" s="19"/>
      <c r="MDW22" s="19"/>
      <c r="MDX22" s="19"/>
      <c r="MDY22" s="19"/>
      <c r="MDZ22" s="19"/>
      <c r="MEA22" s="19"/>
      <c r="MEB22" s="19"/>
      <c r="MEC22" s="19"/>
      <c r="MED22" s="19"/>
      <c r="MEE22" s="19"/>
      <c r="MEF22" s="19"/>
      <c r="MEG22" s="19"/>
      <c r="MEH22" s="19"/>
      <c r="MEI22" s="19"/>
      <c r="MEJ22" s="19"/>
      <c r="MEK22" s="19"/>
      <c r="MEL22" s="19"/>
      <c r="MEM22" s="19"/>
      <c r="MEN22" s="19"/>
      <c r="MEO22" s="19"/>
      <c r="MEP22" s="19"/>
      <c r="MEQ22" s="19"/>
      <c r="MER22" s="19"/>
      <c r="MES22" s="19"/>
      <c r="MET22" s="19"/>
      <c r="MEU22" s="19"/>
      <c r="MEV22" s="19"/>
      <c r="MEW22" s="19"/>
      <c r="MEX22" s="19"/>
      <c r="MEY22" s="19"/>
      <c r="MEZ22" s="19"/>
      <c r="MFA22" s="19"/>
      <c r="MFB22" s="19"/>
      <c r="MFC22" s="19"/>
      <c r="MFD22" s="19"/>
      <c r="MFE22" s="19"/>
      <c r="MFF22" s="19"/>
      <c r="MFG22" s="19"/>
      <c r="MFH22" s="19"/>
      <c r="MFI22" s="19"/>
      <c r="MFJ22" s="19"/>
      <c r="MFK22" s="19"/>
      <c r="MFL22" s="19"/>
      <c r="MFM22" s="19"/>
      <c r="MFN22" s="19"/>
      <c r="MFO22" s="19"/>
      <c r="MFP22" s="19"/>
      <c r="MFQ22" s="19"/>
      <c r="MFR22" s="19"/>
      <c r="MFS22" s="19"/>
      <c r="MFT22" s="19"/>
      <c r="MFU22" s="19"/>
      <c r="MFV22" s="19"/>
      <c r="MFW22" s="19"/>
      <c r="MFX22" s="19"/>
      <c r="MFY22" s="19"/>
      <c r="MFZ22" s="19"/>
      <c r="MGA22" s="19"/>
      <c r="MGB22" s="19"/>
      <c r="MGC22" s="19"/>
      <c r="MGD22" s="19"/>
      <c r="MGE22" s="19"/>
      <c r="MGF22" s="19"/>
      <c r="MGG22" s="19"/>
      <c r="MGH22" s="19"/>
      <c r="MGI22" s="19"/>
      <c r="MGJ22" s="19"/>
      <c r="MGK22" s="19"/>
      <c r="MGL22" s="19"/>
      <c r="MGM22" s="19"/>
      <c r="MGN22" s="19"/>
      <c r="MGO22" s="19"/>
      <c r="MGP22" s="19"/>
      <c r="MGQ22" s="19"/>
      <c r="MGR22" s="19"/>
      <c r="MGS22" s="19"/>
      <c r="MGT22" s="19"/>
      <c r="MGU22" s="19"/>
      <c r="MGV22" s="19"/>
      <c r="MGW22" s="19"/>
      <c r="MGX22" s="19"/>
      <c r="MGY22" s="19"/>
      <c r="MGZ22" s="19"/>
      <c r="MHA22" s="19"/>
      <c r="MHB22" s="19"/>
      <c r="MHC22" s="19"/>
      <c r="MHD22" s="19"/>
      <c r="MHE22" s="19"/>
      <c r="MHF22" s="19"/>
      <c r="MHG22" s="19"/>
      <c r="MHH22" s="19"/>
      <c r="MHI22" s="19"/>
      <c r="MHJ22" s="19"/>
      <c r="MHK22" s="19"/>
      <c r="MHL22" s="19"/>
      <c r="MHM22" s="19"/>
      <c r="MHN22" s="19"/>
      <c r="MHO22" s="19"/>
      <c r="MHP22" s="19"/>
      <c r="MHQ22" s="19"/>
      <c r="MHR22" s="19"/>
      <c r="MHS22" s="19"/>
      <c r="MHT22" s="19"/>
      <c r="MHU22" s="19"/>
      <c r="MHV22" s="19"/>
      <c r="MHW22" s="19"/>
      <c r="MHX22" s="19"/>
      <c r="MHY22" s="19"/>
      <c r="MHZ22" s="19"/>
      <c r="MIA22" s="19"/>
      <c r="MIB22" s="19"/>
      <c r="MIC22" s="19"/>
      <c r="MID22" s="19"/>
      <c r="MIE22" s="19"/>
      <c r="MIF22" s="19"/>
      <c r="MIG22" s="19"/>
      <c r="MIH22" s="19"/>
      <c r="MII22" s="19"/>
      <c r="MIJ22" s="19"/>
      <c r="MIK22" s="19"/>
      <c r="MIL22" s="19"/>
      <c r="MIM22" s="19"/>
      <c r="MIN22" s="19"/>
      <c r="MIO22" s="19"/>
      <c r="MIP22" s="19"/>
      <c r="MIQ22" s="19"/>
      <c r="MIR22" s="19"/>
      <c r="MIS22" s="19"/>
      <c r="MIT22" s="19"/>
      <c r="MIU22" s="19"/>
      <c r="MIV22" s="19"/>
      <c r="MIW22" s="19"/>
      <c r="MIX22" s="19"/>
      <c r="MIY22" s="19"/>
      <c r="MIZ22" s="19"/>
      <c r="MJA22" s="19"/>
      <c r="MJB22" s="19"/>
      <c r="MJC22" s="19"/>
      <c r="MJD22" s="19"/>
      <c r="MJE22" s="19"/>
      <c r="MJF22" s="19"/>
      <c r="MJG22" s="19"/>
      <c r="MJH22" s="19"/>
      <c r="MJI22" s="19"/>
      <c r="MJJ22" s="19"/>
      <c r="MJK22" s="19"/>
      <c r="MJL22" s="19"/>
      <c r="MJM22" s="19"/>
      <c r="MJN22" s="19"/>
      <c r="MJO22" s="19"/>
      <c r="MJP22" s="19"/>
      <c r="MJQ22" s="19"/>
      <c r="MJR22" s="19"/>
      <c r="MJS22" s="19"/>
      <c r="MJT22" s="19"/>
      <c r="MJU22" s="19"/>
      <c r="MJV22" s="19"/>
      <c r="MJW22" s="19"/>
      <c r="MJX22" s="19"/>
      <c r="MJY22" s="19"/>
      <c r="MJZ22" s="19"/>
      <c r="MKA22" s="19"/>
      <c r="MKB22" s="19"/>
      <c r="MKC22" s="19"/>
      <c r="MKD22" s="19"/>
      <c r="MKE22" s="19"/>
      <c r="MKF22" s="19"/>
      <c r="MKG22" s="19"/>
      <c r="MKH22" s="19"/>
      <c r="MKI22" s="19"/>
      <c r="MKJ22" s="19"/>
      <c r="MKK22" s="19"/>
      <c r="MKL22" s="19"/>
      <c r="MKM22" s="19"/>
      <c r="MKN22" s="19"/>
      <c r="MKO22" s="19"/>
      <c r="MKP22" s="19"/>
      <c r="MKQ22" s="19"/>
      <c r="MKR22" s="19"/>
      <c r="MKS22" s="19"/>
      <c r="MKT22" s="19"/>
      <c r="MKU22" s="19"/>
      <c r="MKV22" s="19"/>
      <c r="MKW22" s="19"/>
      <c r="MKX22" s="19"/>
      <c r="MKY22" s="19"/>
      <c r="MKZ22" s="19"/>
      <c r="MLA22" s="19"/>
      <c r="MLB22" s="19"/>
      <c r="MLC22" s="19"/>
      <c r="MLD22" s="19"/>
      <c r="MLE22" s="19"/>
      <c r="MLF22" s="19"/>
      <c r="MLG22" s="19"/>
      <c r="MLH22" s="19"/>
      <c r="MLI22" s="19"/>
      <c r="MLJ22" s="19"/>
      <c r="MLK22" s="19"/>
      <c r="MLL22" s="19"/>
      <c r="MLM22" s="19"/>
      <c r="MLN22" s="19"/>
      <c r="MLO22" s="19"/>
      <c r="MLP22" s="19"/>
      <c r="MLQ22" s="19"/>
      <c r="MLR22" s="19"/>
      <c r="MLS22" s="19"/>
      <c r="MLT22" s="19"/>
      <c r="MLU22" s="19"/>
      <c r="MLV22" s="19"/>
      <c r="MLW22" s="19"/>
      <c r="MLX22" s="19"/>
      <c r="MLY22" s="19"/>
      <c r="MLZ22" s="19"/>
      <c r="MMA22" s="19"/>
      <c r="MMB22" s="19"/>
      <c r="MMC22" s="19"/>
      <c r="MMD22" s="19"/>
      <c r="MME22" s="19"/>
      <c r="MMF22" s="19"/>
      <c r="MMG22" s="19"/>
      <c r="MMH22" s="19"/>
      <c r="MMI22" s="19"/>
      <c r="MMJ22" s="19"/>
      <c r="MMK22" s="19"/>
      <c r="MML22" s="19"/>
      <c r="MMM22" s="19"/>
      <c r="MMN22" s="19"/>
      <c r="MMO22" s="19"/>
      <c r="MMP22" s="19"/>
      <c r="MMQ22" s="19"/>
      <c r="MMR22" s="19"/>
      <c r="MMS22" s="19"/>
      <c r="MMT22" s="19"/>
      <c r="MMU22" s="19"/>
      <c r="MMV22" s="19"/>
      <c r="MMW22" s="19"/>
      <c r="MMX22" s="19"/>
      <c r="MMY22" s="19"/>
      <c r="MMZ22" s="19"/>
      <c r="MNA22" s="19"/>
      <c r="MNB22" s="19"/>
      <c r="MNC22" s="19"/>
      <c r="MND22" s="19"/>
      <c r="MNE22" s="19"/>
      <c r="MNF22" s="19"/>
      <c r="MNG22" s="19"/>
      <c r="MNH22" s="19"/>
      <c r="MNI22" s="19"/>
      <c r="MNJ22" s="19"/>
      <c r="MNK22" s="19"/>
      <c r="MNL22" s="19"/>
      <c r="MNM22" s="19"/>
      <c r="MNN22" s="19"/>
      <c r="MNO22" s="19"/>
      <c r="MNP22" s="19"/>
      <c r="MNQ22" s="19"/>
      <c r="MNR22" s="19"/>
      <c r="MNS22" s="19"/>
      <c r="MNT22" s="19"/>
      <c r="MNU22" s="19"/>
      <c r="MNV22" s="19"/>
      <c r="MNW22" s="19"/>
      <c r="MNX22" s="19"/>
      <c r="MNY22" s="19"/>
      <c r="MNZ22" s="19"/>
      <c r="MOA22" s="19"/>
      <c r="MOB22" s="19"/>
      <c r="MOC22" s="19"/>
      <c r="MOD22" s="19"/>
      <c r="MOE22" s="19"/>
      <c r="MOF22" s="19"/>
      <c r="MOG22" s="19"/>
      <c r="MOH22" s="19"/>
      <c r="MOI22" s="19"/>
      <c r="MOJ22" s="19"/>
      <c r="MOK22" s="19"/>
      <c r="MOL22" s="19"/>
      <c r="MOM22" s="19"/>
      <c r="MON22" s="19"/>
      <c r="MOO22" s="19"/>
      <c r="MOP22" s="19"/>
      <c r="MOQ22" s="19"/>
      <c r="MOR22" s="19"/>
      <c r="MOS22" s="19"/>
      <c r="MOT22" s="19"/>
      <c r="MOU22" s="19"/>
      <c r="MOV22" s="19"/>
      <c r="MOW22" s="19"/>
      <c r="MOX22" s="19"/>
      <c r="MOY22" s="19"/>
      <c r="MOZ22" s="19"/>
      <c r="MPA22" s="19"/>
      <c r="MPB22" s="19"/>
      <c r="MPC22" s="19"/>
      <c r="MPD22" s="19"/>
      <c r="MPE22" s="19"/>
      <c r="MPF22" s="19"/>
      <c r="MPG22" s="19"/>
      <c r="MPH22" s="19"/>
      <c r="MPI22" s="19"/>
      <c r="MPJ22" s="19"/>
      <c r="MPK22" s="19"/>
      <c r="MPL22" s="19"/>
      <c r="MPM22" s="19"/>
      <c r="MPN22" s="19"/>
      <c r="MPO22" s="19"/>
      <c r="MPP22" s="19"/>
      <c r="MPQ22" s="19"/>
      <c r="MPR22" s="19"/>
      <c r="MPS22" s="19"/>
      <c r="MPT22" s="19"/>
      <c r="MPU22" s="19"/>
      <c r="MPV22" s="19"/>
      <c r="MPW22" s="19"/>
      <c r="MPX22" s="19"/>
      <c r="MPY22" s="19"/>
      <c r="MPZ22" s="19"/>
      <c r="MQA22" s="19"/>
      <c r="MQB22" s="19"/>
      <c r="MQC22" s="19"/>
      <c r="MQD22" s="19"/>
      <c r="MQE22" s="19"/>
      <c r="MQF22" s="19"/>
      <c r="MQG22" s="19"/>
      <c r="MQH22" s="19"/>
      <c r="MQI22" s="19"/>
      <c r="MQJ22" s="19"/>
      <c r="MQK22" s="19"/>
      <c r="MQL22" s="19"/>
      <c r="MQM22" s="19"/>
      <c r="MQN22" s="19"/>
      <c r="MQO22" s="19"/>
      <c r="MQP22" s="19"/>
      <c r="MQQ22" s="19"/>
      <c r="MQR22" s="19"/>
      <c r="MQS22" s="19"/>
      <c r="MQT22" s="19"/>
      <c r="MQU22" s="19"/>
      <c r="MQV22" s="19"/>
      <c r="MQW22" s="19"/>
      <c r="MQX22" s="19"/>
      <c r="MQY22" s="19"/>
      <c r="MQZ22" s="19"/>
      <c r="MRA22" s="19"/>
      <c r="MRB22" s="19"/>
      <c r="MRC22" s="19"/>
      <c r="MRD22" s="19"/>
      <c r="MRE22" s="19"/>
      <c r="MRF22" s="19"/>
      <c r="MRG22" s="19"/>
      <c r="MRH22" s="19"/>
      <c r="MRI22" s="19"/>
      <c r="MRJ22" s="19"/>
      <c r="MRK22" s="19"/>
      <c r="MRL22" s="19"/>
      <c r="MRM22" s="19"/>
      <c r="MRN22" s="19"/>
      <c r="MRO22" s="19"/>
      <c r="MRP22" s="19"/>
      <c r="MRQ22" s="19"/>
      <c r="MRR22" s="19"/>
      <c r="MRS22" s="19"/>
      <c r="MRT22" s="19"/>
      <c r="MRU22" s="19"/>
      <c r="MRV22" s="19"/>
      <c r="MRW22" s="19"/>
      <c r="MRX22" s="19"/>
      <c r="MRY22" s="19"/>
      <c r="MRZ22" s="19"/>
      <c r="MSA22" s="19"/>
      <c r="MSB22" s="19"/>
      <c r="MSC22" s="19"/>
      <c r="MSD22" s="19"/>
      <c r="MSE22" s="19"/>
      <c r="MSF22" s="19"/>
      <c r="MSG22" s="19"/>
      <c r="MSH22" s="19"/>
      <c r="MSI22" s="19"/>
      <c r="MSJ22" s="19"/>
      <c r="MSK22" s="19"/>
      <c r="MSL22" s="19"/>
      <c r="MSM22" s="19"/>
      <c r="MSN22" s="19"/>
      <c r="MSO22" s="19"/>
      <c r="MSP22" s="19"/>
      <c r="MSQ22" s="19"/>
      <c r="MSR22" s="19"/>
      <c r="MSS22" s="19"/>
      <c r="MST22" s="19"/>
      <c r="MSU22" s="19"/>
      <c r="MSV22" s="19"/>
      <c r="MSW22" s="19"/>
      <c r="MSX22" s="19"/>
      <c r="MSY22" s="19"/>
      <c r="MSZ22" s="19"/>
      <c r="MTA22" s="19"/>
      <c r="MTB22" s="19"/>
      <c r="MTC22" s="19"/>
      <c r="MTD22" s="19"/>
      <c r="MTE22" s="19"/>
      <c r="MTF22" s="19"/>
      <c r="MTG22" s="19"/>
      <c r="MTH22" s="19"/>
      <c r="MTI22" s="19"/>
      <c r="MTJ22" s="19"/>
      <c r="MTK22" s="19"/>
      <c r="MTL22" s="19"/>
      <c r="MTM22" s="19"/>
      <c r="MTN22" s="19"/>
      <c r="MTO22" s="19"/>
      <c r="MTP22" s="19"/>
      <c r="MTQ22" s="19"/>
      <c r="MTR22" s="19"/>
      <c r="MTS22" s="19"/>
      <c r="MTT22" s="19"/>
      <c r="MTU22" s="19"/>
      <c r="MTV22" s="19"/>
      <c r="MTW22" s="19"/>
      <c r="MTX22" s="19"/>
      <c r="MTY22" s="19"/>
      <c r="MTZ22" s="19"/>
      <c r="MUA22" s="19"/>
      <c r="MUB22" s="19"/>
      <c r="MUC22" s="19"/>
      <c r="MUD22" s="19"/>
      <c r="MUE22" s="19"/>
      <c r="MUF22" s="19"/>
      <c r="MUG22" s="19"/>
      <c r="MUH22" s="19"/>
      <c r="MUI22" s="19"/>
      <c r="MUJ22" s="19"/>
      <c r="MUK22" s="19"/>
      <c r="MUL22" s="19"/>
      <c r="MUM22" s="19"/>
      <c r="MUN22" s="19"/>
      <c r="MUO22" s="19"/>
      <c r="MUP22" s="19"/>
      <c r="MUQ22" s="19"/>
      <c r="MUR22" s="19"/>
      <c r="MUS22" s="19"/>
      <c r="MUT22" s="19"/>
      <c r="MUU22" s="19"/>
      <c r="MUV22" s="19"/>
      <c r="MUW22" s="19"/>
      <c r="MUX22" s="19"/>
      <c r="MUY22" s="19"/>
      <c r="MUZ22" s="19"/>
      <c r="MVA22" s="19"/>
      <c r="MVB22" s="19"/>
      <c r="MVC22" s="19"/>
      <c r="MVD22" s="19"/>
      <c r="MVE22" s="19"/>
      <c r="MVF22" s="19"/>
      <c r="MVG22" s="19"/>
      <c r="MVH22" s="19"/>
      <c r="MVI22" s="19"/>
      <c r="MVJ22" s="19"/>
      <c r="MVK22" s="19"/>
      <c r="MVL22" s="19"/>
      <c r="MVM22" s="19"/>
      <c r="MVN22" s="19"/>
      <c r="MVO22" s="19"/>
      <c r="MVP22" s="19"/>
      <c r="MVQ22" s="19"/>
      <c r="MVR22" s="19"/>
      <c r="MVS22" s="19"/>
      <c r="MVT22" s="19"/>
      <c r="MVU22" s="19"/>
      <c r="MVV22" s="19"/>
      <c r="MVW22" s="19"/>
      <c r="MVX22" s="19"/>
      <c r="MVY22" s="19"/>
      <c r="MVZ22" s="19"/>
      <c r="MWA22" s="19"/>
      <c r="MWB22" s="19"/>
      <c r="MWC22" s="19"/>
      <c r="MWD22" s="19"/>
      <c r="MWE22" s="19"/>
      <c r="MWF22" s="19"/>
      <c r="MWG22" s="19"/>
      <c r="MWH22" s="19"/>
      <c r="MWI22" s="19"/>
      <c r="MWJ22" s="19"/>
      <c r="MWK22" s="19"/>
      <c r="MWL22" s="19"/>
      <c r="MWM22" s="19"/>
      <c r="MWN22" s="19"/>
      <c r="MWO22" s="19"/>
      <c r="MWP22" s="19"/>
      <c r="MWQ22" s="19"/>
      <c r="MWR22" s="19"/>
      <c r="MWS22" s="19"/>
      <c r="MWT22" s="19"/>
      <c r="MWU22" s="19"/>
      <c r="MWV22" s="19"/>
      <c r="MWW22" s="19"/>
      <c r="MWX22" s="19"/>
      <c r="MWY22" s="19"/>
      <c r="MWZ22" s="19"/>
      <c r="MXA22" s="19"/>
      <c r="MXB22" s="19"/>
      <c r="MXC22" s="19"/>
      <c r="MXD22" s="19"/>
      <c r="MXE22" s="19"/>
      <c r="MXF22" s="19"/>
      <c r="MXG22" s="19"/>
      <c r="MXH22" s="19"/>
      <c r="MXI22" s="19"/>
      <c r="MXJ22" s="19"/>
      <c r="MXK22" s="19"/>
      <c r="MXL22" s="19"/>
      <c r="MXM22" s="19"/>
      <c r="MXN22" s="19"/>
      <c r="MXO22" s="19"/>
      <c r="MXP22" s="19"/>
      <c r="MXQ22" s="19"/>
      <c r="MXR22" s="19"/>
      <c r="MXS22" s="19"/>
      <c r="MXT22" s="19"/>
      <c r="MXU22" s="19"/>
      <c r="MXV22" s="19"/>
      <c r="MXW22" s="19"/>
      <c r="MXX22" s="19"/>
      <c r="MXY22" s="19"/>
      <c r="MXZ22" s="19"/>
      <c r="MYA22" s="19"/>
      <c r="MYB22" s="19"/>
      <c r="MYC22" s="19"/>
      <c r="MYD22" s="19"/>
      <c r="MYE22" s="19"/>
      <c r="MYF22" s="19"/>
      <c r="MYG22" s="19"/>
      <c r="MYH22" s="19"/>
      <c r="MYI22" s="19"/>
      <c r="MYJ22" s="19"/>
      <c r="MYK22" s="19"/>
      <c r="MYL22" s="19"/>
      <c r="MYM22" s="19"/>
      <c r="MYN22" s="19"/>
      <c r="MYO22" s="19"/>
      <c r="MYP22" s="19"/>
      <c r="MYQ22" s="19"/>
      <c r="MYR22" s="19"/>
      <c r="MYS22" s="19"/>
      <c r="MYT22" s="19"/>
      <c r="MYU22" s="19"/>
      <c r="MYV22" s="19"/>
      <c r="MYW22" s="19"/>
      <c r="MYX22" s="19"/>
      <c r="MYY22" s="19"/>
      <c r="MYZ22" s="19"/>
      <c r="MZA22" s="19"/>
      <c r="MZB22" s="19"/>
      <c r="MZC22" s="19"/>
      <c r="MZD22" s="19"/>
      <c r="MZE22" s="19"/>
      <c r="MZF22" s="19"/>
      <c r="MZG22" s="19"/>
      <c r="MZH22" s="19"/>
      <c r="MZI22" s="19"/>
      <c r="MZJ22" s="19"/>
      <c r="MZK22" s="19"/>
      <c r="MZL22" s="19"/>
      <c r="MZM22" s="19"/>
      <c r="MZN22" s="19"/>
      <c r="MZO22" s="19"/>
      <c r="MZP22" s="19"/>
      <c r="MZQ22" s="19"/>
      <c r="MZR22" s="19"/>
      <c r="MZS22" s="19"/>
      <c r="MZT22" s="19"/>
      <c r="MZU22" s="19"/>
      <c r="MZV22" s="19"/>
      <c r="MZW22" s="19"/>
      <c r="MZX22" s="19"/>
      <c r="MZY22" s="19"/>
      <c r="MZZ22" s="19"/>
      <c r="NAA22" s="19"/>
      <c r="NAB22" s="19"/>
      <c r="NAC22" s="19"/>
      <c r="NAD22" s="19"/>
      <c r="NAE22" s="19"/>
      <c r="NAF22" s="19"/>
      <c r="NAG22" s="19"/>
      <c r="NAH22" s="19"/>
      <c r="NAI22" s="19"/>
      <c r="NAJ22" s="19"/>
      <c r="NAK22" s="19"/>
      <c r="NAL22" s="19"/>
      <c r="NAM22" s="19"/>
      <c r="NAN22" s="19"/>
      <c r="NAO22" s="19"/>
      <c r="NAP22" s="19"/>
      <c r="NAQ22" s="19"/>
      <c r="NAR22" s="19"/>
      <c r="NAS22" s="19"/>
      <c r="NAT22" s="19"/>
      <c r="NAU22" s="19"/>
      <c r="NAV22" s="19"/>
      <c r="NAW22" s="19"/>
      <c r="NAX22" s="19"/>
      <c r="NAY22" s="19"/>
      <c r="NAZ22" s="19"/>
      <c r="NBA22" s="19"/>
      <c r="NBB22" s="19"/>
      <c r="NBC22" s="19"/>
      <c r="NBD22" s="19"/>
      <c r="NBE22" s="19"/>
      <c r="NBF22" s="19"/>
      <c r="NBG22" s="19"/>
      <c r="NBH22" s="19"/>
      <c r="NBI22" s="19"/>
      <c r="NBJ22" s="19"/>
      <c r="NBK22" s="19"/>
      <c r="NBL22" s="19"/>
      <c r="NBM22" s="19"/>
      <c r="NBN22" s="19"/>
      <c r="NBO22" s="19"/>
      <c r="NBP22" s="19"/>
      <c r="NBQ22" s="19"/>
      <c r="NBR22" s="19"/>
      <c r="NBS22" s="19"/>
      <c r="NBT22" s="19"/>
      <c r="NBU22" s="19"/>
      <c r="NBV22" s="19"/>
      <c r="NBW22" s="19"/>
      <c r="NBX22" s="19"/>
      <c r="NBY22" s="19"/>
      <c r="NBZ22" s="19"/>
      <c r="NCA22" s="19"/>
      <c r="NCB22" s="19"/>
      <c r="NCC22" s="19"/>
      <c r="NCD22" s="19"/>
      <c r="NCE22" s="19"/>
      <c r="NCF22" s="19"/>
      <c r="NCG22" s="19"/>
      <c r="NCH22" s="19"/>
      <c r="NCI22" s="19"/>
      <c r="NCJ22" s="19"/>
      <c r="NCK22" s="19"/>
      <c r="NCL22" s="19"/>
      <c r="NCM22" s="19"/>
      <c r="NCN22" s="19"/>
      <c r="NCO22" s="19"/>
      <c r="NCP22" s="19"/>
      <c r="NCQ22" s="19"/>
      <c r="NCR22" s="19"/>
      <c r="NCS22" s="19"/>
      <c r="NCT22" s="19"/>
      <c r="NCU22" s="19"/>
      <c r="NCV22" s="19"/>
      <c r="NCW22" s="19"/>
      <c r="NCX22" s="19"/>
      <c r="NCY22" s="19"/>
      <c r="NCZ22" s="19"/>
      <c r="NDA22" s="19"/>
      <c r="NDB22" s="19"/>
      <c r="NDC22" s="19"/>
      <c r="NDD22" s="19"/>
      <c r="NDE22" s="19"/>
      <c r="NDF22" s="19"/>
      <c r="NDG22" s="19"/>
      <c r="NDH22" s="19"/>
      <c r="NDI22" s="19"/>
      <c r="NDJ22" s="19"/>
      <c r="NDK22" s="19"/>
      <c r="NDL22" s="19"/>
      <c r="NDM22" s="19"/>
      <c r="NDN22" s="19"/>
      <c r="NDO22" s="19"/>
      <c r="NDP22" s="19"/>
      <c r="NDQ22" s="19"/>
      <c r="NDR22" s="19"/>
      <c r="NDS22" s="19"/>
      <c r="NDT22" s="19"/>
      <c r="NDU22" s="19"/>
      <c r="NDV22" s="19"/>
      <c r="NDW22" s="19"/>
      <c r="NDX22" s="19"/>
      <c r="NDY22" s="19"/>
      <c r="NDZ22" s="19"/>
      <c r="NEA22" s="19"/>
      <c r="NEB22" s="19"/>
      <c r="NEC22" s="19"/>
      <c r="NED22" s="19"/>
      <c r="NEE22" s="19"/>
      <c r="NEF22" s="19"/>
      <c r="NEG22" s="19"/>
      <c r="NEH22" s="19"/>
      <c r="NEI22" s="19"/>
      <c r="NEJ22" s="19"/>
      <c r="NEK22" s="19"/>
      <c r="NEL22" s="19"/>
      <c r="NEM22" s="19"/>
      <c r="NEN22" s="19"/>
      <c r="NEO22" s="19"/>
      <c r="NEP22" s="19"/>
      <c r="NEQ22" s="19"/>
      <c r="NER22" s="19"/>
      <c r="NES22" s="19"/>
      <c r="NET22" s="19"/>
      <c r="NEU22" s="19"/>
      <c r="NEV22" s="19"/>
      <c r="NEW22" s="19"/>
      <c r="NEX22" s="19"/>
      <c r="NEY22" s="19"/>
      <c r="NEZ22" s="19"/>
      <c r="NFA22" s="19"/>
      <c r="NFB22" s="19"/>
      <c r="NFC22" s="19"/>
      <c r="NFD22" s="19"/>
      <c r="NFE22" s="19"/>
      <c r="NFF22" s="19"/>
      <c r="NFG22" s="19"/>
      <c r="NFH22" s="19"/>
      <c r="NFI22" s="19"/>
      <c r="NFJ22" s="19"/>
      <c r="NFK22" s="19"/>
      <c r="NFL22" s="19"/>
      <c r="NFM22" s="19"/>
      <c r="NFN22" s="19"/>
      <c r="NFO22" s="19"/>
      <c r="NFP22" s="19"/>
      <c r="NFQ22" s="19"/>
      <c r="NFR22" s="19"/>
      <c r="NFS22" s="19"/>
      <c r="NFT22" s="19"/>
      <c r="NFU22" s="19"/>
      <c r="NFV22" s="19"/>
      <c r="NFW22" s="19"/>
      <c r="NFX22" s="19"/>
      <c r="NFY22" s="19"/>
      <c r="NFZ22" s="19"/>
      <c r="NGA22" s="19"/>
      <c r="NGB22" s="19"/>
      <c r="NGC22" s="19"/>
      <c r="NGD22" s="19"/>
      <c r="NGE22" s="19"/>
      <c r="NGF22" s="19"/>
      <c r="NGG22" s="19"/>
      <c r="NGH22" s="19"/>
      <c r="NGI22" s="19"/>
      <c r="NGJ22" s="19"/>
      <c r="NGK22" s="19"/>
      <c r="NGL22" s="19"/>
      <c r="NGM22" s="19"/>
      <c r="NGN22" s="19"/>
      <c r="NGO22" s="19"/>
      <c r="NGP22" s="19"/>
      <c r="NGQ22" s="19"/>
      <c r="NGR22" s="19"/>
      <c r="NGS22" s="19"/>
      <c r="NGT22" s="19"/>
      <c r="NGU22" s="19"/>
      <c r="NGV22" s="19"/>
      <c r="NGW22" s="19"/>
      <c r="NGX22" s="19"/>
      <c r="NGY22" s="19"/>
      <c r="NGZ22" s="19"/>
      <c r="NHA22" s="19"/>
      <c r="NHB22" s="19"/>
      <c r="NHC22" s="19"/>
      <c r="NHD22" s="19"/>
      <c r="NHE22" s="19"/>
      <c r="NHF22" s="19"/>
      <c r="NHG22" s="19"/>
      <c r="NHH22" s="19"/>
      <c r="NHI22" s="19"/>
      <c r="NHJ22" s="19"/>
      <c r="NHK22" s="19"/>
      <c r="NHL22" s="19"/>
      <c r="NHM22" s="19"/>
      <c r="NHN22" s="19"/>
      <c r="NHO22" s="19"/>
      <c r="NHP22" s="19"/>
      <c r="NHQ22" s="19"/>
      <c r="NHR22" s="19"/>
      <c r="NHS22" s="19"/>
      <c r="NHT22" s="19"/>
      <c r="NHU22" s="19"/>
      <c r="NHV22" s="19"/>
      <c r="NHW22" s="19"/>
      <c r="NHX22" s="19"/>
      <c r="NHY22" s="19"/>
      <c r="NHZ22" s="19"/>
      <c r="NIA22" s="19"/>
      <c r="NIB22" s="19"/>
      <c r="NIC22" s="19"/>
      <c r="NID22" s="19"/>
      <c r="NIE22" s="19"/>
      <c r="NIF22" s="19"/>
      <c r="NIG22" s="19"/>
      <c r="NIH22" s="19"/>
      <c r="NII22" s="19"/>
      <c r="NIJ22" s="19"/>
      <c r="NIK22" s="19"/>
      <c r="NIL22" s="19"/>
      <c r="NIM22" s="19"/>
      <c r="NIN22" s="19"/>
      <c r="NIO22" s="19"/>
      <c r="NIP22" s="19"/>
      <c r="NIQ22" s="19"/>
      <c r="NIR22" s="19"/>
      <c r="NIS22" s="19"/>
      <c r="NIT22" s="19"/>
      <c r="NIU22" s="19"/>
      <c r="NIV22" s="19"/>
      <c r="NIW22" s="19"/>
      <c r="NIX22" s="19"/>
      <c r="NIY22" s="19"/>
      <c r="NIZ22" s="19"/>
      <c r="NJA22" s="19"/>
      <c r="NJB22" s="19"/>
      <c r="NJC22" s="19"/>
      <c r="NJD22" s="19"/>
      <c r="NJE22" s="19"/>
      <c r="NJF22" s="19"/>
      <c r="NJG22" s="19"/>
      <c r="NJH22" s="19"/>
      <c r="NJI22" s="19"/>
      <c r="NJJ22" s="19"/>
      <c r="NJK22" s="19"/>
      <c r="NJL22" s="19"/>
      <c r="NJM22" s="19"/>
      <c r="NJN22" s="19"/>
      <c r="NJO22" s="19"/>
      <c r="NJP22" s="19"/>
      <c r="NJQ22" s="19"/>
      <c r="NJR22" s="19"/>
      <c r="NJS22" s="19"/>
      <c r="NJT22" s="19"/>
      <c r="NJU22" s="19"/>
      <c r="NJV22" s="19"/>
      <c r="NJW22" s="19"/>
      <c r="NJX22" s="19"/>
      <c r="NJY22" s="19"/>
      <c r="NJZ22" s="19"/>
      <c r="NKA22" s="19"/>
      <c r="NKB22" s="19"/>
      <c r="NKC22" s="19"/>
      <c r="NKD22" s="19"/>
      <c r="NKE22" s="19"/>
      <c r="NKF22" s="19"/>
      <c r="NKG22" s="19"/>
      <c r="NKH22" s="19"/>
      <c r="NKI22" s="19"/>
      <c r="NKJ22" s="19"/>
      <c r="NKK22" s="19"/>
      <c r="NKL22" s="19"/>
      <c r="NKM22" s="19"/>
      <c r="NKN22" s="19"/>
      <c r="NKO22" s="19"/>
      <c r="NKP22" s="19"/>
      <c r="NKQ22" s="19"/>
      <c r="NKR22" s="19"/>
      <c r="NKS22" s="19"/>
      <c r="NKT22" s="19"/>
      <c r="NKU22" s="19"/>
      <c r="NKV22" s="19"/>
      <c r="NKW22" s="19"/>
      <c r="NKX22" s="19"/>
      <c r="NKY22" s="19"/>
      <c r="NKZ22" s="19"/>
      <c r="NLA22" s="19"/>
      <c r="NLB22" s="19"/>
      <c r="NLC22" s="19"/>
      <c r="NLD22" s="19"/>
      <c r="NLE22" s="19"/>
      <c r="NLF22" s="19"/>
      <c r="NLG22" s="19"/>
      <c r="NLH22" s="19"/>
      <c r="NLI22" s="19"/>
      <c r="NLJ22" s="19"/>
      <c r="NLK22" s="19"/>
      <c r="NLL22" s="19"/>
      <c r="NLM22" s="19"/>
      <c r="NLN22" s="19"/>
      <c r="NLO22" s="19"/>
      <c r="NLP22" s="19"/>
      <c r="NLQ22" s="19"/>
      <c r="NLR22" s="19"/>
      <c r="NLS22" s="19"/>
      <c r="NLT22" s="19"/>
      <c r="NLU22" s="19"/>
      <c r="NLV22" s="19"/>
      <c r="NLW22" s="19"/>
      <c r="NLX22" s="19"/>
      <c r="NLY22" s="19"/>
      <c r="NLZ22" s="19"/>
      <c r="NMA22" s="19"/>
      <c r="NMB22" s="19"/>
      <c r="NMC22" s="19"/>
      <c r="NMD22" s="19"/>
      <c r="NME22" s="19"/>
      <c r="NMF22" s="19"/>
      <c r="NMG22" s="19"/>
      <c r="NMH22" s="19"/>
      <c r="NMI22" s="19"/>
      <c r="NMJ22" s="19"/>
      <c r="NMK22" s="19"/>
      <c r="NML22" s="19"/>
      <c r="NMM22" s="19"/>
      <c r="NMN22" s="19"/>
      <c r="NMO22" s="19"/>
      <c r="NMP22" s="19"/>
      <c r="NMQ22" s="19"/>
      <c r="NMR22" s="19"/>
      <c r="NMS22" s="19"/>
      <c r="NMT22" s="19"/>
      <c r="NMU22" s="19"/>
      <c r="NMV22" s="19"/>
      <c r="NMW22" s="19"/>
      <c r="NMX22" s="19"/>
      <c r="NMY22" s="19"/>
      <c r="NMZ22" s="19"/>
      <c r="NNA22" s="19"/>
      <c r="NNB22" s="19"/>
      <c r="NNC22" s="19"/>
      <c r="NND22" s="19"/>
      <c r="NNE22" s="19"/>
      <c r="NNF22" s="19"/>
      <c r="NNG22" s="19"/>
      <c r="NNH22" s="19"/>
      <c r="NNI22" s="19"/>
      <c r="NNJ22" s="19"/>
      <c r="NNK22" s="19"/>
      <c r="NNL22" s="19"/>
      <c r="NNM22" s="19"/>
      <c r="NNN22" s="19"/>
      <c r="NNO22" s="19"/>
      <c r="NNP22" s="19"/>
      <c r="NNQ22" s="19"/>
      <c r="NNR22" s="19"/>
      <c r="NNS22" s="19"/>
      <c r="NNT22" s="19"/>
      <c r="NNU22" s="19"/>
      <c r="NNV22" s="19"/>
      <c r="NNW22" s="19"/>
      <c r="NNX22" s="19"/>
      <c r="NNY22" s="19"/>
      <c r="NNZ22" s="19"/>
      <c r="NOA22" s="19"/>
      <c r="NOB22" s="19"/>
      <c r="NOC22" s="19"/>
      <c r="NOD22" s="19"/>
      <c r="NOE22" s="19"/>
      <c r="NOF22" s="19"/>
      <c r="NOG22" s="19"/>
      <c r="NOH22" s="19"/>
      <c r="NOI22" s="19"/>
      <c r="NOJ22" s="19"/>
      <c r="NOK22" s="19"/>
      <c r="NOL22" s="19"/>
      <c r="NOM22" s="19"/>
      <c r="NON22" s="19"/>
      <c r="NOO22" s="19"/>
      <c r="NOP22" s="19"/>
      <c r="NOQ22" s="19"/>
      <c r="NOR22" s="19"/>
      <c r="NOS22" s="19"/>
      <c r="NOT22" s="19"/>
      <c r="NOU22" s="19"/>
      <c r="NOV22" s="19"/>
      <c r="NOW22" s="19"/>
      <c r="NOX22" s="19"/>
      <c r="NOY22" s="19"/>
      <c r="NOZ22" s="19"/>
      <c r="NPA22" s="19"/>
      <c r="NPB22" s="19"/>
      <c r="NPC22" s="19"/>
      <c r="NPD22" s="19"/>
      <c r="NPE22" s="19"/>
      <c r="NPF22" s="19"/>
      <c r="NPG22" s="19"/>
      <c r="NPH22" s="19"/>
      <c r="NPI22" s="19"/>
      <c r="NPJ22" s="19"/>
      <c r="NPK22" s="19"/>
      <c r="NPL22" s="19"/>
      <c r="NPM22" s="19"/>
      <c r="NPN22" s="19"/>
      <c r="NPO22" s="19"/>
      <c r="NPP22" s="19"/>
      <c r="NPQ22" s="19"/>
      <c r="NPR22" s="19"/>
      <c r="NPS22" s="19"/>
      <c r="NPT22" s="19"/>
      <c r="NPU22" s="19"/>
      <c r="NPV22" s="19"/>
      <c r="NPW22" s="19"/>
      <c r="NPX22" s="19"/>
      <c r="NPY22" s="19"/>
      <c r="NPZ22" s="19"/>
      <c r="NQA22" s="19"/>
      <c r="NQB22" s="19"/>
      <c r="NQC22" s="19"/>
      <c r="NQD22" s="19"/>
      <c r="NQE22" s="19"/>
      <c r="NQF22" s="19"/>
      <c r="NQG22" s="19"/>
      <c r="NQH22" s="19"/>
      <c r="NQI22" s="19"/>
      <c r="NQJ22" s="19"/>
      <c r="NQK22" s="19"/>
      <c r="NQL22" s="19"/>
      <c r="NQM22" s="19"/>
      <c r="NQN22" s="19"/>
      <c r="NQO22" s="19"/>
      <c r="NQP22" s="19"/>
      <c r="NQQ22" s="19"/>
      <c r="NQR22" s="19"/>
      <c r="NQS22" s="19"/>
      <c r="NQT22" s="19"/>
      <c r="NQU22" s="19"/>
      <c r="NQV22" s="19"/>
      <c r="NQW22" s="19"/>
      <c r="NQX22" s="19"/>
      <c r="NQY22" s="19"/>
      <c r="NQZ22" s="19"/>
      <c r="NRA22" s="19"/>
      <c r="NRB22" s="19"/>
      <c r="NRC22" s="19"/>
      <c r="NRD22" s="19"/>
      <c r="NRE22" s="19"/>
      <c r="NRF22" s="19"/>
      <c r="NRG22" s="19"/>
      <c r="NRH22" s="19"/>
      <c r="NRI22" s="19"/>
      <c r="NRJ22" s="19"/>
      <c r="NRK22" s="19"/>
      <c r="NRL22" s="19"/>
      <c r="NRM22" s="19"/>
      <c r="NRN22" s="19"/>
      <c r="NRO22" s="19"/>
      <c r="NRP22" s="19"/>
      <c r="NRQ22" s="19"/>
      <c r="NRR22" s="19"/>
      <c r="NRS22" s="19"/>
      <c r="NRT22" s="19"/>
      <c r="NRU22" s="19"/>
      <c r="NRV22" s="19"/>
      <c r="NRW22" s="19"/>
      <c r="NRX22" s="19"/>
      <c r="NRY22" s="19"/>
      <c r="NRZ22" s="19"/>
      <c r="NSA22" s="19"/>
      <c r="NSB22" s="19"/>
      <c r="NSC22" s="19"/>
      <c r="NSD22" s="19"/>
      <c r="NSE22" s="19"/>
      <c r="NSF22" s="19"/>
      <c r="NSG22" s="19"/>
      <c r="NSH22" s="19"/>
      <c r="NSI22" s="19"/>
      <c r="NSJ22" s="19"/>
      <c r="NSK22" s="19"/>
      <c r="NSL22" s="19"/>
      <c r="NSM22" s="19"/>
      <c r="NSN22" s="19"/>
      <c r="NSO22" s="19"/>
      <c r="NSP22" s="19"/>
      <c r="NSQ22" s="19"/>
      <c r="NSR22" s="19"/>
      <c r="NSS22" s="19"/>
      <c r="NST22" s="19"/>
      <c r="NSU22" s="19"/>
      <c r="NSV22" s="19"/>
      <c r="NSW22" s="19"/>
      <c r="NSX22" s="19"/>
      <c r="NSY22" s="19"/>
      <c r="NSZ22" s="19"/>
      <c r="NTA22" s="19"/>
      <c r="NTB22" s="19"/>
      <c r="NTC22" s="19"/>
      <c r="NTD22" s="19"/>
      <c r="NTE22" s="19"/>
      <c r="NTF22" s="19"/>
      <c r="NTG22" s="19"/>
      <c r="NTH22" s="19"/>
      <c r="NTI22" s="19"/>
      <c r="NTJ22" s="19"/>
      <c r="NTK22" s="19"/>
      <c r="NTL22" s="19"/>
      <c r="NTM22" s="19"/>
      <c r="NTN22" s="19"/>
      <c r="NTO22" s="19"/>
      <c r="NTP22" s="19"/>
      <c r="NTQ22" s="19"/>
      <c r="NTR22" s="19"/>
      <c r="NTS22" s="19"/>
      <c r="NTT22" s="19"/>
      <c r="NTU22" s="19"/>
      <c r="NTV22" s="19"/>
      <c r="NTW22" s="19"/>
      <c r="NTX22" s="19"/>
      <c r="NTY22" s="19"/>
      <c r="NTZ22" s="19"/>
      <c r="NUA22" s="19"/>
      <c r="NUB22" s="19"/>
      <c r="NUC22" s="19"/>
      <c r="NUD22" s="19"/>
      <c r="NUE22" s="19"/>
      <c r="NUF22" s="19"/>
      <c r="NUG22" s="19"/>
      <c r="NUH22" s="19"/>
      <c r="NUI22" s="19"/>
      <c r="NUJ22" s="19"/>
      <c r="NUK22" s="19"/>
      <c r="NUL22" s="19"/>
      <c r="NUM22" s="19"/>
      <c r="NUN22" s="19"/>
      <c r="NUO22" s="19"/>
      <c r="NUP22" s="19"/>
      <c r="NUQ22" s="19"/>
      <c r="NUR22" s="19"/>
      <c r="NUS22" s="19"/>
      <c r="NUT22" s="19"/>
      <c r="NUU22" s="19"/>
      <c r="NUV22" s="19"/>
      <c r="NUW22" s="19"/>
      <c r="NUX22" s="19"/>
      <c r="NUY22" s="19"/>
      <c r="NUZ22" s="19"/>
      <c r="NVA22" s="19"/>
      <c r="NVB22" s="19"/>
      <c r="NVC22" s="19"/>
      <c r="NVD22" s="19"/>
      <c r="NVE22" s="19"/>
      <c r="NVF22" s="19"/>
      <c r="NVG22" s="19"/>
      <c r="NVH22" s="19"/>
      <c r="NVI22" s="19"/>
      <c r="NVJ22" s="19"/>
      <c r="NVK22" s="19"/>
      <c r="NVL22" s="19"/>
      <c r="NVM22" s="19"/>
      <c r="NVN22" s="19"/>
      <c r="NVO22" s="19"/>
      <c r="NVP22" s="19"/>
      <c r="NVQ22" s="19"/>
      <c r="NVR22" s="19"/>
      <c r="NVS22" s="19"/>
      <c r="NVT22" s="19"/>
      <c r="NVU22" s="19"/>
      <c r="NVV22" s="19"/>
      <c r="NVW22" s="19"/>
      <c r="NVX22" s="19"/>
      <c r="NVY22" s="19"/>
      <c r="NVZ22" s="19"/>
      <c r="NWA22" s="19"/>
      <c r="NWB22" s="19"/>
      <c r="NWC22" s="19"/>
      <c r="NWD22" s="19"/>
      <c r="NWE22" s="19"/>
      <c r="NWF22" s="19"/>
      <c r="NWG22" s="19"/>
      <c r="NWH22" s="19"/>
      <c r="NWI22" s="19"/>
      <c r="NWJ22" s="19"/>
      <c r="NWK22" s="19"/>
      <c r="NWL22" s="19"/>
      <c r="NWM22" s="19"/>
      <c r="NWN22" s="19"/>
      <c r="NWO22" s="19"/>
      <c r="NWP22" s="19"/>
      <c r="NWQ22" s="19"/>
      <c r="NWR22" s="19"/>
      <c r="NWS22" s="19"/>
      <c r="NWT22" s="19"/>
      <c r="NWU22" s="19"/>
      <c r="NWV22" s="19"/>
      <c r="NWW22" s="19"/>
      <c r="NWX22" s="19"/>
      <c r="NWY22" s="19"/>
      <c r="NWZ22" s="19"/>
      <c r="NXA22" s="19"/>
      <c r="NXB22" s="19"/>
      <c r="NXC22" s="19"/>
      <c r="NXD22" s="19"/>
      <c r="NXE22" s="19"/>
      <c r="NXF22" s="19"/>
      <c r="NXG22" s="19"/>
      <c r="NXH22" s="19"/>
      <c r="NXI22" s="19"/>
      <c r="NXJ22" s="19"/>
      <c r="NXK22" s="19"/>
      <c r="NXL22" s="19"/>
      <c r="NXM22" s="19"/>
      <c r="NXN22" s="19"/>
      <c r="NXO22" s="19"/>
      <c r="NXP22" s="19"/>
      <c r="NXQ22" s="19"/>
      <c r="NXR22" s="19"/>
      <c r="NXS22" s="19"/>
      <c r="NXT22" s="19"/>
      <c r="NXU22" s="19"/>
      <c r="NXV22" s="19"/>
      <c r="NXW22" s="19"/>
      <c r="NXX22" s="19"/>
      <c r="NXY22" s="19"/>
      <c r="NXZ22" s="19"/>
      <c r="NYA22" s="19"/>
      <c r="NYB22" s="19"/>
      <c r="NYC22" s="19"/>
      <c r="NYD22" s="19"/>
      <c r="NYE22" s="19"/>
      <c r="NYF22" s="19"/>
      <c r="NYG22" s="19"/>
      <c r="NYH22" s="19"/>
      <c r="NYI22" s="19"/>
      <c r="NYJ22" s="19"/>
      <c r="NYK22" s="19"/>
      <c r="NYL22" s="19"/>
      <c r="NYM22" s="19"/>
      <c r="NYN22" s="19"/>
      <c r="NYO22" s="19"/>
      <c r="NYP22" s="19"/>
      <c r="NYQ22" s="19"/>
      <c r="NYR22" s="19"/>
      <c r="NYS22" s="19"/>
      <c r="NYT22" s="19"/>
      <c r="NYU22" s="19"/>
      <c r="NYV22" s="19"/>
      <c r="NYW22" s="19"/>
      <c r="NYX22" s="19"/>
      <c r="NYY22" s="19"/>
      <c r="NYZ22" s="19"/>
      <c r="NZA22" s="19"/>
      <c r="NZB22" s="19"/>
      <c r="NZC22" s="19"/>
      <c r="NZD22" s="19"/>
      <c r="NZE22" s="19"/>
      <c r="NZF22" s="19"/>
      <c r="NZG22" s="19"/>
      <c r="NZH22" s="19"/>
      <c r="NZI22" s="19"/>
      <c r="NZJ22" s="19"/>
      <c r="NZK22" s="19"/>
      <c r="NZL22" s="19"/>
      <c r="NZM22" s="19"/>
      <c r="NZN22" s="19"/>
      <c r="NZO22" s="19"/>
      <c r="NZP22" s="19"/>
      <c r="NZQ22" s="19"/>
      <c r="NZR22" s="19"/>
      <c r="NZS22" s="19"/>
      <c r="NZT22" s="19"/>
      <c r="NZU22" s="19"/>
      <c r="NZV22" s="19"/>
      <c r="NZW22" s="19"/>
      <c r="NZX22" s="19"/>
      <c r="NZY22" s="19"/>
      <c r="NZZ22" s="19"/>
      <c r="OAA22" s="19"/>
      <c r="OAB22" s="19"/>
      <c r="OAC22" s="19"/>
      <c r="OAD22" s="19"/>
      <c r="OAE22" s="19"/>
      <c r="OAF22" s="19"/>
      <c r="OAG22" s="19"/>
      <c r="OAH22" s="19"/>
      <c r="OAI22" s="19"/>
      <c r="OAJ22" s="19"/>
      <c r="OAK22" s="19"/>
      <c r="OAL22" s="19"/>
      <c r="OAM22" s="19"/>
      <c r="OAN22" s="19"/>
      <c r="OAO22" s="19"/>
      <c r="OAP22" s="19"/>
      <c r="OAQ22" s="19"/>
      <c r="OAR22" s="19"/>
      <c r="OAS22" s="19"/>
      <c r="OAT22" s="19"/>
      <c r="OAU22" s="19"/>
      <c r="OAV22" s="19"/>
      <c r="OAW22" s="19"/>
      <c r="OAX22" s="19"/>
      <c r="OAY22" s="19"/>
      <c r="OAZ22" s="19"/>
      <c r="OBA22" s="19"/>
      <c r="OBB22" s="19"/>
      <c r="OBC22" s="19"/>
      <c r="OBD22" s="19"/>
      <c r="OBE22" s="19"/>
      <c r="OBF22" s="19"/>
      <c r="OBG22" s="19"/>
      <c r="OBH22" s="19"/>
      <c r="OBI22" s="19"/>
      <c r="OBJ22" s="19"/>
      <c r="OBK22" s="19"/>
      <c r="OBL22" s="19"/>
      <c r="OBM22" s="19"/>
      <c r="OBN22" s="19"/>
      <c r="OBO22" s="19"/>
      <c r="OBP22" s="19"/>
      <c r="OBQ22" s="19"/>
      <c r="OBR22" s="19"/>
      <c r="OBS22" s="19"/>
      <c r="OBT22" s="19"/>
      <c r="OBU22" s="19"/>
      <c r="OBV22" s="19"/>
      <c r="OBW22" s="19"/>
      <c r="OBX22" s="19"/>
      <c r="OBY22" s="19"/>
      <c r="OBZ22" s="19"/>
      <c r="OCA22" s="19"/>
      <c r="OCB22" s="19"/>
      <c r="OCC22" s="19"/>
      <c r="OCD22" s="19"/>
      <c r="OCE22" s="19"/>
      <c r="OCF22" s="19"/>
      <c r="OCG22" s="19"/>
      <c r="OCH22" s="19"/>
      <c r="OCI22" s="19"/>
      <c r="OCJ22" s="19"/>
      <c r="OCK22" s="19"/>
      <c r="OCL22" s="19"/>
      <c r="OCM22" s="19"/>
      <c r="OCN22" s="19"/>
      <c r="OCO22" s="19"/>
      <c r="OCP22" s="19"/>
      <c r="OCQ22" s="19"/>
      <c r="OCR22" s="19"/>
      <c r="OCS22" s="19"/>
      <c r="OCT22" s="19"/>
      <c r="OCU22" s="19"/>
      <c r="OCV22" s="19"/>
      <c r="OCW22" s="19"/>
      <c r="OCX22" s="19"/>
      <c r="OCY22" s="19"/>
      <c r="OCZ22" s="19"/>
      <c r="ODA22" s="19"/>
      <c r="ODB22" s="19"/>
      <c r="ODC22" s="19"/>
      <c r="ODD22" s="19"/>
      <c r="ODE22" s="19"/>
      <c r="ODF22" s="19"/>
      <c r="ODG22" s="19"/>
      <c r="ODH22" s="19"/>
      <c r="ODI22" s="19"/>
      <c r="ODJ22" s="19"/>
      <c r="ODK22" s="19"/>
      <c r="ODL22" s="19"/>
      <c r="ODM22" s="19"/>
      <c r="ODN22" s="19"/>
      <c r="ODO22" s="19"/>
      <c r="ODP22" s="19"/>
      <c r="ODQ22" s="19"/>
      <c r="ODR22" s="19"/>
      <c r="ODS22" s="19"/>
      <c r="ODT22" s="19"/>
      <c r="ODU22" s="19"/>
      <c r="ODV22" s="19"/>
      <c r="ODW22" s="19"/>
      <c r="ODX22" s="19"/>
      <c r="ODY22" s="19"/>
      <c r="ODZ22" s="19"/>
      <c r="OEA22" s="19"/>
      <c r="OEB22" s="19"/>
      <c r="OEC22" s="19"/>
      <c r="OED22" s="19"/>
      <c r="OEE22" s="19"/>
      <c r="OEF22" s="19"/>
      <c r="OEG22" s="19"/>
      <c r="OEH22" s="19"/>
      <c r="OEI22" s="19"/>
      <c r="OEJ22" s="19"/>
      <c r="OEK22" s="19"/>
      <c r="OEL22" s="19"/>
      <c r="OEM22" s="19"/>
      <c r="OEN22" s="19"/>
      <c r="OEO22" s="19"/>
      <c r="OEP22" s="19"/>
      <c r="OEQ22" s="19"/>
      <c r="OER22" s="19"/>
      <c r="OES22" s="19"/>
      <c r="OET22" s="19"/>
      <c r="OEU22" s="19"/>
      <c r="OEV22" s="19"/>
      <c r="OEW22" s="19"/>
      <c r="OEX22" s="19"/>
      <c r="OEY22" s="19"/>
      <c r="OEZ22" s="19"/>
      <c r="OFA22" s="19"/>
      <c r="OFB22" s="19"/>
      <c r="OFC22" s="19"/>
      <c r="OFD22" s="19"/>
      <c r="OFE22" s="19"/>
      <c r="OFF22" s="19"/>
      <c r="OFG22" s="19"/>
      <c r="OFH22" s="19"/>
      <c r="OFI22" s="19"/>
      <c r="OFJ22" s="19"/>
      <c r="OFK22" s="19"/>
      <c r="OFL22" s="19"/>
      <c r="OFM22" s="19"/>
      <c r="OFN22" s="19"/>
      <c r="OFO22" s="19"/>
      <c r="OFP22" s="19"/>
      <c r="OFQ22" s="19"/>
      <c r="OFR22" s="19"/>
      <c r="OFS22" s="19"/>
      <c r="OFT22" s="19"/>
      <c r="OFU22" s="19"/>
      <c r="OFV22" s="19"/>
      <c r="OFW22" s="19"/>
      <c r="OFX22" s="19"/>
      <c r="OFY22" s="19"/>
      <c r="OFZ22" s="19"/>
      <c r="OGA22" s="19"/>
      <c r="OGB22" s="19"/>
      <c r="OGC22" s="19"/>
      <c r="OGD22" s="19"/>
      <c r="OGE22" s="19"/>
      <c r="OGF22" s="19"/>
      <c r="OGG22" s="19"/>
      <c r="OGH22" s="19"/>
      <c r="OGI22" s="19"/>
      <c r="OGJ22" s="19"/>
      <c r="OGK22" s="19"/>
      <c r="OGL22" s="19"/>
      <c r="OGM22" s="19"/>
      <c r="OGN22" s="19"/>
      <c r="OGO22" s="19"/>
      <c r="OGP22" s="19"/>
      <c r="OGQ22" s="19"/>
      <c r="OGR22" s="19"/>
      <c r="OGS22" s="19"/>
      <c r="OGT22" s="19"/>
      <c r="OGU22" s="19"/>
      <c r="OGV22" s="19"/>
      <c r="OGW22" s="19"/>
      <c r="OGX22" s="19"/>
      <c r="OGY22" s="19"/>
      <c r="OGZ22" s="19"/>
      <c r="OHA22" s="19"/>
      <c r="OHB22" s="19"/>
      <c r="OHC22" s="19"/>
      <c r="OHD22" s="19"/>
      <c r="OHE22" s="19"/>
      <c r="OHF22" s="19"/>
      <c r="OHG22" s="19"/>
      <c r="OHH22" s="19"/>
      <c r="OHI22" s="19"/>
      <c r="OHJ22" s="19"/>
      <c r="OHK22" s="19"/>
      <c r="OHL22" s="19"/>
      <c r="OHM22" s="19"/>
      <c r="OHN22" s="19"/>
      <c r="OHO22" s="19"/>
      <c r="OHP22" s="19"/>
      <c r="OHQ22" s="19"/>
      <c r="OHR22" s="19"/>
      <c r="OHS22" s="19"/>
      <c r="OHT22" s="19"/>
      <c r="OHU22" s="19"/>
      <c r="OHV22" s="19"/>
      <c r="OHW22" s="19"/>
      <c r="OHX22" s="19"/>
      <c r="OHY22" s="19"/>
      <c r="OHZ22" s="19"/>
      <c r="OIA22" s="19"/>
      <c r="OIB22" s="19"/>
      <c r="OIC22" s="19"/>
      <c r="OID22" s="19"/>
      <c r="OIE22" s="19"/>
      <c r="OIF22" s="19"/>
      <c r="OIG22" s="19"/>
      <c r="OIH22" s="19"/>
      <c r="OII22" s="19"/>
      <c r="OIJ22" s="19"/>
      <c r="OIK22" s="19"/>
      <c r="OIL22" s="19"/>
      <c r="OIM22" s="19"/>
      <c r="OIN22" s="19"/>
      <c r="OIO22" s="19"/>
      <c r="OIP22" s="19"/>
      <c r="OIQ22" s="19"/>
      <c r="OIR22" s="19"/>
      <c r="OIS22" s="19"/>
      <c r="OIT22" s="19"/>
      <c r="OIU22" s="19"/>
      <c r="OIV22" s="19"/>
      <c r="OIW22" s="19"/>
      <c r="OIX22" s="19"/>
      <c r="OIY22" s="19"/>
      <c r="OIZ22" s="19"/>
      <c r="OJA22" s="19"/>
      <c r="OJB22" s="19"/>
      <c r="OJC22" s="19"/>
      <c r="OJD22" s="19"/>
      <c r="OJE22" s="19"/>
      <c r="OJF22" s="19"/>
      <c r="OJG22" s="19"/>
      <c r="OJH22" s="19"/>
      <c r="OJI22" s="19"/>
      <c r="OJJ22" s="19"/>
      <c r="OJK22" s="19"/>
      <c r="OJL22" s="19"/>
      <c r="OJM22" s="19"/>
      <c r="OJN22" s="19"/>
      <c r="OJO22" s="19"/>
      <c r="OJP22" s="19"/>
      <c r="OJQ22" s="19"/>
      <c r="OJR22" s="19"/>
      <c r="OJS22" s="19"/>
      <c r="OJT22" s="19"/>
      <c r="OJU22" s="19"/>
      <c r="OJV22" s="19"/>
      <c r="OJW22" s="19"/>
      <c r="OJX22" s="19"/>
      <c r="OJY22" s="19"/>
      <c r="OJZ22" s="19"/>
      <c r="OKA22" s="19"/>
      <c r="OKB22" s="19"/>
      <c r="OKC22" s="19"/>
      <c r="OKD22" s="19"/>
      <c r="OKE22" s="19"/>
      <c r="OKF22" s="19"/>
      <c r="OKG22" s="19"/>
      <c r="OKH22" s="19"/>
      <c r="OKI22" s="19"/>
      <c r="OKJ22" s="19"/>
      <c r="OKK22" s="19"/>
      <c r="OKL22" s="19"/>
      <c r="OKM22" s="19"/>
      <c r="OKN22" s="19"/>
      <c r="OKO22" s="19"/>
      <c r="OKP22" s="19"/>
      <c r="OKQ22" s="19"/>
      <c r="OKR22" s="19"/>
      <c r="OKS22" s="19"/>
      <c r="OKT22" s="19"/>
      <c r="OKU22" s="19"/>
      <c r="OKV22" s="19"/>
      <c r="OKW22" s="19"/>
      <c r="OKX22" s="19"/>
      <c r="OKY22" s="19"/>
      <c r="OKZ22" s="19"/>
      <c r="OLA22" s="19"/>
      <c r="OLB22" s="19"/>
      <c r="OLC22" s="19"/>
      <c r="OLD22" s="19"/>
      <c r="OLE22" s="19"/>
      <c r="OLF22" s="19"/>
      <c r="OLG22" s="19"/>
      <c r="OLH22" s="19"/>
      <c r="OLI22" s="19"/>
      <c r="OLJ22" s="19"/>
      <c r="OLK22" s="19"/>
      <c r="OLL22" s="19"/>
      <c r="OLM22" s="19"/>
      <c r="OLN22" s="19"/>
      <c r="OLO22" s="19"/>
      <c r="OLP22" s="19"/>
      <c r="OLQ22" s="19"/>
      <c r="OLR22" s="19"/>
      <c r="OLS22" s="19"/>
      <c r="OLT22" s="19"/>
      <c r="OLU22" s="19"/>
      <c r="OLV22" s="19"/>
      <c r="OLW22" s="19"/>
      <c r="OLX22" s="19"/>
      <c r="OLY22" s="19"/>
      <c r="OLZ22" s="19"/>
      <c r="OMA22" s="19"/>
      <c r="OMB22" s="19"/>
      <c r="OMC22" s="19"/>
      <c r="OMD22" s="19"/>
      <c r="OME22" s="19"/>
      <c r="OMF22" s="19"/>
      <c r="OMG22" s="19"/>
      <c r="OMH22" s="19"/>
      <c r="OMI22" s="19"/>
      <c r="OMJ22" s="19"/>
      <c r="OMK22" s="19"/>
      <c r="OML22" s="19"/>
      <c r="OMM22" s="19"/>
      <c r="OMN22" s="19"/>
      <c r="OMO22" s="19"/>
      <c r="OMP22" s="19"/>
      <c r="OMQ22" s="19"/>
      <c r="OMR22" s="19"/>
      <c r="OMS22" s="19"/>
      <c r="OMT22" s="19"/>
      <c r="OMU22" s="19"/>
      <c r="OMV22" s="19"/>
      <c r="OMW22" s="19"/>
      <c r="OMX22" s="19"/>
      <c r="OMY22" s="19"/>
      <c r="OMZ22" s="19"/>
      <c r="ONA22" s="19"/>
      <c r="ONB22" s="19"/>
      <c r="ONC22" s="19"/>
      <c r="OND22" s="19"/>
      <c r="ONE22" s="19"/>
      <c r="ONF22" s="19"/>
      <c r="ONG22" s="19"/>
      <c r="ONH22" s="19"/>
      <c r="ONI22" s="19"/>
      <c r="ONJ22" s="19"/>
      <c r="ONK22" s="19"/>
      <c r="ONL22" s="19"/>
      <c r="ONM22" s="19"/>
      <c r="ONN22" s="19"/>
      <c r="ONO22" s="19"/>
      <c r="ONP22" s="19"/>
      <c r="ONQ22" s="19"/>
      <c r="ONR22" s="19"/>
      <c r="ONS22" s="19"/>
      <c r="ONT22" s="19"/>
      <c r="ONU22" s="19"/>
      <c r="ONV22" s="19"/>
      <c r="ONW22" s="19"/>
      <c r="ONX22" s="19"/>
      <c r="ONY22" s="19"/>
      <c r="ONZ22" s="19"/>
      <c r="OOA22" s="19"/>
      <c r="OOB22" s="19"/>
      <c r="OOC22" s="19"/>
      <c r="OOD22" s="19"/>
      <c r="OOE22" s="19"/>
      <c r="OOF22" s="19"/>
      <c r="OOG22" s="19"/>
      <c r="OOH22" s="19"/>
      <c r="OOI22" s="19"/>
      <c r="OOJ22" s="19"/>
      <c r="OOK22" s="19"/>
      <c r="OOL22" s="19"/>
      <c r="OOM22" s="19"/>
      <c r="OON22" s="19"/>
      <c r="OOO22" s="19"/>
      <c r="OOP22" s="19"/>
      <c r="OOQ22" s="19"/>
      <c r="OOR22" s="19"/>
      <c r="OOS22" s="19"/>
      <c r="OOT22" s="19"/>
      <c r="OOU22" s="19"/>
      <c r="OOV22" s="19"/>
      <c r="OOW22" s="19"/>
      <c r="OOX22" s="19"/>
      <c r="OOY22" s="19"/>
      <c r="OOZ22" s="19"/>
      <c r="OPA22" s="19"/>
      <c r="OPB22" s="19"/>
      <c r="OPC22" s="19"/>
      <c r="OPD22" s="19"/>
      <c r="OPE22" s="19"/>
      <c r="OPF22" s="19"/>
      <c r="OPG22" s="19"/>
      <c r="OPH22" s="19"/>
      <c r="OPI22" s="19"/>
      <c r="OPJ22" s="19"/>
      <c r="OPK22" s="19"/>
      <c r="OPL22" s="19"/>
      <c r="OPM22" s="19"/>
      <c r="OPN22" s="19"/>
      <c r="OPO22" s="19"/>
      <c r="OPP22" s="19"/>
      <c r="OPQ22" s="19"/>
      <c r="OPR22" s="19"/>
      <c r="OPS22" s="19"/>
      <c r="OPT22" s="19"/>
      <c r="OPU22" s="19"/>
      <c r="OPV22" s="19"/>
      <c r="OPW22" s="19"/>
      <c r="OPX22" s="19"/>
      <c r="OPY22" s="19"/>
      <c r="OPZ22" s="19"/>
      <c r="OQA22" s="19"/>
      <c r="OQB22" s="19"/>
      <c r="OQC22" s="19"/>
      <c r="OQD22" s="19"/>
      <c r="OQE22" s="19"/>
      <c r="OQF22" s="19"/>
      <c r="OQG22" s="19"/>
      <c r="OQH22" s="19"/>
      <c r="OQI22" s="19"/>
      <c r="OQJ22" s="19"/>
      <c r="OQK22" s="19"/>
      <c r="OQL22" s="19"/>
      <c r="OQM22" s="19"/>
      <c r="OQN22" s="19"/>
      <c r="OQO22" s="19"/>
      <c r="OQP22" s="19"/>
      <c r="OQQ22" s="19"/>
      <c r="OQR22" s="19"/>
      <c r="OQS22" s="19"/>
      <c r="OQT22" s="19"/>
      <c r="OQU22" s="19"/>
      <c r="OQV22" s="19"/>
      <c r="OQW22" s="19"/>
      <c r="OQX22" s="19"/>
      <c r="OQY22" s="19"/>
      <c r="OQZ22" s="19"/>
      <c r="ORA22" s="19"/>
      <c r="ORB22" s="19"/>
      <c r="ORC22" s="19"/>
      <c r="ORD22" s="19"/>
      <c r="ORE22" s="19"/>
      <c r="ORF22" s="19"/>
      <c r="ORG22" s="19"/>
      <c r="ORH22" s="19"/>
      <c r="ORI22" s="19"/>
      <c r="ORJ22" s="19"/>
      <c r="ORK22" s="19"/>
      <c r="ORL22" s="19"/>
      <c r="ORM22" s="19"/>
      <c r="ORN22" s="19"/>
      <c r="ORO22" s="19"/>
      <c r="ORP22" s="19"/>
      <c r="ORQ22" s="19"/>
      <c r="ORR22" s="19"/>
      <c r="ORS22" s="19"/>
      <c r="ORT22" s="19"/>
      <c r="ORU22" s="19"/>
      <c r="ORV22" s="19"/>
      <c r="ORW22" s="19"/>
      <c r="ORX22" s="19"/>
      <c r="ORY22" s="19"/>
      <c r="ORZ22" s="19"/>
      <c r="OSA22" s="19"/>
      <c r="OSB22" s="19"/>
      <c r="OSC22" s="19"/>
      <c r="OSD22" s="19"/>
      <c r="OSE22" s="19"/>
      <c r="OSF22" s="19"/>
      <c r="OSG22" s="19"/>
      <c r="OSH22" s="19"/>
      <c r="OSI22" s="19"/>
      <c r="OSJ22" s="19"/>
      <c r="OSK22" s="19"/>
      <c r="OSL22" s="19"/>
      <c r="OSM22" s="19"/>
      <c r="OSN22" s="19"/>
      <c r="OSO22" s="19"/>
      <c r="OSP22" s="19"/>
      <c r="OSQ22" s="19"/>
      <c r="OSR22" s="19"/>
      <c r="OSS22" s="19"/>
      <c r="OST22" s="19"/>
      <c r="OSU22" s="19"/>
      <c r="OSV22" s="19"/>
      <c r="OSW22" s="19"/>
      <c r="OSX22" s="19"/>
      <c r="OSY22" s="19"/>
      <c r="OSZ22" s="19"/>
      <c r="OTA22" s="19"/>
      <c r="OTB22" s="19"/>
      <c r="OTC22" s="19"/>
      <c r="OTD22" s="19"/>
      <c r="OTE22" s="19"/>
      <c r="OTF22" s="19"/>
      <c r="OTG22" s="19"/>
      <c r="OTH22" s="19"/>
      <c r="OTI22" s="19"/>
      <c r="OTJ22" s="19"/>
      <c r="OTK22" s="19"/>
      <c r="OTL22" s="19"/>
      <c r="OTM22" s="19"/>
      <c r="OTN22" s="19"/>
      <c r="OTO22" s="19"/>
      <c r="OTP22" s="19"/>
      <c r="OTQ22" s="19"/>
      <c r="OTR22" s="19"/>
      <c r="OTS22" s="19"/>
      <c r="OTT22" s="19"/>
      <c r="OTU22" s="19"/>
      <c r="OTV22" s="19"/>
      <c r="OTW22" s="19"/>
      <c r="OTX22" s="19"/>
      <c r="OTY22" s="19"/>
      <c r="OTZ22" s="19"/>
      <c r="OUA22" s="19"/>
      <c r="OUB22" s="19"/>
      <c r="OUC22" s="19"/>
      <c r="OUD22" s="19"/>
      <c r="OUE22" s="19"/>
      <c r="OUF22" s="19"/>
      <c r="OUG22" s="19"/>
      <c r="OUH22" s="19"/>
      <c r="OUI22" s="19"/>
      <c r="OUJ22" s="19"/>
      <c r="OUK22" s="19"/>
      <c r="OUL22" s="19"/>
      <c r="OUM22" s="19"/>
      <c r="OUN22" s="19"/>
      <c r="OUO22" s="19"/>
      <c r="OUP22" s="19"/>
      <c r="OUQ22" s="19"/>
      <c r="OUR22" s="19"/>
      <c r="OUS22" s="19"/>
      <c r="OUT22" s="19"/>
      <c r="OUU22" s="19"/>
      <c r="OUV22" s="19"/>
      <c r="OUW22" s="19"/>
      <c r="OUX22" s="19"/>
      <c r="OUY22" s="19"/>
      <c r="OUZ22" s="19"/>
      <c r="OVA22" s="19"/>
      <c r="OVB22" s="19"/>
      <c r="OVC22" s="19"/>
      <c r="OVD22" s="19"/>
      <c r="OVE22" s="19"/>
      <c r="OVF22" s="19"/>
      <c r="OVG22" s="19"/>
      <c r="OVH22" s="19"/>
      <c r="OVI22" s="19"/>
      <c r="OVJ22" s="19"/>
      <c r="OVK22" s="19"/>
      <c r="OVL22" s="19"/>
      <c r="OVM22" s="19"/>
      <c r="OVN22" s="19"/>
      <c r="OVO22" s="19"/>
      <c r="OVP22" s="19"/>
      <c r="OVQ22" s="19"/>
      <c r="OVR22" s="19"/>
      <c r="OVS22" s="19"/>
      <c r="OVT22" s="19"/>
      <c r="OVU22" s="19"/>
      <c r="OVV22" s="19"/>
      <c r="OVW22" s="19"/>
      <c r="OVX22" s="19"/>
      <c r="OVY22" s="19"/>
      <c r="OVZ22" s="19"/>
      <c r="OWA22" s="19"/>
      <c r="OWB22" s="19"/>
      <c r="OWC22" s="19"/>
      <c r="OWD22" s="19"/>
      <c r="OWE22" s="19"/>
      <c r="OWF22" s="19"/>
      <c r="OWG22" s="19"/>
      <c r="OWH22" s="19"/>
      <c r="OWI22" s="19"/>
      <c r="OWJ22" s="19"/>
      <c r="OWK22" s="19"/>
      <c r="OWL22" s="19"/>
      <c r="OWM22" s="19"/>
      <c r="OWN22" s="19"/>
      <c r="OWO22" s="19"/>
      <c r="OWP22" s="19"/>
      <c r="OWQ22" s="19"/>
      <c r="OWR22" s="19"/>
      <c r="OWS22" s="19"/>
      <c r="OWT22" s="19"/>
      <c r="OWU22" s="19"/>
      <c r="OWV22" s="19"/>
      <c r="OWW22" s="19"/>
      <c r="OWX22" s="19"/>
      <c r="OWY22" s="19"/>
      <c r="OWZ22" s="19"/>
      <c r="OXA22" s="19"/>
      <c r="OXB22" s="19"/>
      <c r="OXC22" s="19"/>
      <c r="OXD22" s="19"/>
      <c r="OXE22" s="19"/>
      <c r="OXF22" s="19"/>
      <c r="OXG22" s="19"/>
      <c r="OXH22" s="19"/>
      <c r="OXI22" s="19"/>
      <c r="OXJ22" s="19"/>
      <c r="OXK22" s="19"/>
      <c r="OXL22" s="19"/>
      <c r="OXM22" s="19"/>
      <c r="OXN22" s="19"/>
      <c r="OXO22" s="19"/>
      <c r="OXP22" s="19"/>
      <c r="OXQ22" s="19"/>
      <c r="OXR22" s="19"/>
      <c r="OXS22" s="19"/>
      <c r="OXT22" s="19"/>
      <c r="OXU22" s="19"/>
      <c r="OXV22" s="19"/>
      <c r="OXW22" s="19"/>
      <c r="OXX22" s="19"/>
      <c r="OXY22" s="19"/>
      <c r="OXZ22" s="19"/>
      <c r="OYA22" s="19"/>
      <c r="OYB22" s="19"/>
      <c r="OYC22" s="19"/>
      <c r="OYD22" s="19"/>
      <c r="OYE22" s="19"/>
      <c r="OYF22" s="19"/>
      <c r="OYG22" s="19"/>
      <c r="OYH22" s="19"/>
      <c r="OYI22" s="19"/>
      <c r="OYJ22" s="19"/>
      <c r="OYK22" s="19"/>
      <c r="OYL22" s="19"/>
      <c r="OYM22" s="19"/>
      <c r="OYN22" s="19"/>
      <c r="OYO22" s="19"/>
      <c r="OYP22" s="19"/>
      <c r="OYQ22" s="19"/>
      <c r="OYR22" s="19"/>
      <c r="OYS22" s="19"/>
      <c r="OYT22" s="19"/>
      <c r="OYU22" s="19"/>
      <c r="OYV22" s="19"/>
      <c r="OYW22" s="19"/>
      <c r="OYX22" s="19"/>
      <c r="OYY22" s="19"/>
      <c r="OYZ22" s="19"/>
      <c r="OZA22" s="19"/>
      <c r="OZB22" s="19"/>
      <c r="OZC22" s="19"/>
      <c r="OZD22" s="19"/>
      <c r="OZE22" s="19"/>
      <c r="OZF22" s="19"/>
      <c r="OZG22" s="19"/>
      <c r="OZH22" s="19"/>
      <c r="OZI22" s="19"/>
      <c r="OZJ22" s="19"/>
      <c r="OZK22" s="19"/>
      <c r="OZL22" s="19"/>
      <c r="OZM22" s="19"/>
      <c r="OZN22" s="19"/>
      <c r="OZO22" s="19"/>
      <c r="OZP22" s="19"/>
      <c r="OZQ22" s="19"/>
      <c r="OZR22" s="19"/>
      <c r="OZS22" s="19"/>
      <c r="OZT22" s="19"/>
      <c r="OZU22" s="19"/>
      <c r="OZV22" s="19"/>
      <c r="OZW22" s="19"/>
      <c r="OZX22" s="19"/>
      <c r="OZY22" s="19"/>
      <c r="OZZ22" s="19"/>
      <c r="PAA22" s="19"/>
      <c r="PAB22" s="19"/>
      <c r="PAC22" s="19"/>
      <c r="PAD22" s="19"/>
      <c r="PAE22" s="19"/>
      <c r="PAF22" s="19"/>
      <c r="PAG22" s="19"/>
      <c r="PAH22" s="19"/>
      <c r="PAI22" s="19"/>
      <c r="PAJ22" s="19"/>
      <c r="PAK22" s="19"/>
      <c r="PAL22" s="19"/>
      <c r="PAM22" s="19"/>
      <c r="PAN22" s="19"/>
      <c r="PAO22" s="19"/>
      <c r="PAP22" s="19"/>
      <c r="PAQ22" s="19"/>
      <c r="PAR22" s="19"/>
      <c r="PAS22" s="19"/>
      <c r="PAT22" s="19"/>
      <c r="PAU22" s="19"/>
      <c r="PAV22" s="19"/>
      <c r="PAW22" s="19"/>
      <c r="PAX22" s="19"/>
      <c r="PAY22" s="19"/>
      <c r="PAZ22" s="19"/>
      <c r="PBA22" s="19"/>
      <c r="PBB22" s="19"/>
      <c r="PBC22" s="19"/>
      <c r="PBD22" s="19"/>
      <c r="PBE22" s="19"/>
      <c r="PBF22" s="19"/>
      <c r="PBG22" s="19"/>
      <c r="PBH22" s="19"/>
      <c r="PBI22" s="19"/>
      <c r="PBJ22" s="19"/>
      <c r="PBK22" s="19"/>
      <c r="PBL22" s="19"/>
      <c r="PBM22" s="19"/>
      <c r="PBN22" s="19"/>
      <c r="PBO22" s="19"/>
      <c r="PBP22" s="19"/>
      <c r="PBQ22" s="19"/>
      <c r="PBR22" s="19"/>
      <c r="PBS22" s="19"/>
      <c r="PBT22" s="19"/>
      <c r="PBU22" s="19"/>
      <c r="PBV22" s="19"/>
      <c r="PBW22" s="19"/>
      <c r="PBX22" s="19"/>
      <c r="PBY22" s="19"/>
      <c r="PBZ22" s="19"/>
      <c r="PCA22" s="19"/>
      <c r="PCB22" s="19"/>
      <c r="PCC22" s="19"/>
      <c r="PCD22" s="19"/>
      <c r="PCE22" s="19"/>
      <c r="PCF22" s="19"/>
      <c r="PCG22" s="19"/>
      <c r="PCH22" s="19"/>
      <c r="PCI22" s="19"/>
      <c r="PCJ22" s="19"/>
      <c r="PCK22" s="19"/>
      <c r="PCL22" s="19"/>
      <c r="PCM22" s="19"/>
      <c r="PCN22" s="19"/>
      <c r="PCO22" s="19"/>
      <c r="PCP22" s="19"/>
      <c r="PCQ22" s="19"/>
      <c r="PCR22" s="19"/>
      <c r="PCS22" s="19"/>
      <c r="PCT22" s="19"/>
      <c r="PCU22" s="19"/>
      <c r="PCV22" s="19"/>
      <c r="PCW22" s="19"/>
      <c r="PCX22" s="19"/>
      <c r="PCY22" s="19"/>
      <c r="PCZ22" s="19"/>
      <c r="PDA22" s="19"/>
      <c r="PDB22" s="19"/>
      <c r="PDC22" s="19"/>
      <c r="PDD22" s="19"/>
      <c r="PDE22" s="19"/>
      <c r="PDF22" s="19"/>
      <c r="PDG22" s="19"/>
      <c r="PDH22" s="19"/>
      <c r="PDI22" s="19"/>
      <c r="PDJ22" s="19"/>
      <c r="PDK22" s="19"/>
      <c r="PDL22" s="19"/>
      <c r="PDM22" s="19"/>
      <c r="PDN22" s="19"/>
      <c r="PDO22" s="19"/>
      <c r="PDP22" s="19"/>
      <c r="PDQ22" s="19"/>
      <c r="PDR22" s="19"/>
      <c r="PDS22" s="19"/>
      <c r="PDT22" s="19"/>
      <c r="PDU22" s="19"/>
      <c r="PDV22" s="19"/>
      <c r="PDW22" s="19"/>
      <c r="PDX22" s="19"/>
      <c r="PDY22" s="19"/>
      <c r="PDZ22" s="19"/>
      <c r="PEA22" s="19"/>
      <c r="PEB22" s="19"/>
      <c r="PEC22" s="19"/>
      <c r="PED22" s="19"/>
      <c r="PEE22" s="19"/>
      <c r="PEF22" s="19"/>
      <c r="PEG22" s="19"/>
      <c r="PEH22" s="19"/>
      <c r="PEI22" s="19"/>
      <c r="PEJ22" s="19"/>
      <c r="PEK22" s="19"/>
      <c r="PEL22" s="19"/>
      <c r="PEM22" s="19"/>
      <c r="PEN22" s="19"/>
      <c r="PEO22" s="19"/>
      <c r="PEP22" s="19"/>
      <c r="PEQ22" s="19"/>
      <c r="PER22" s="19"/>
      <c r="PES22" s="19"/>
      <c r="PET22" s="19"/>
      <c r="PEU22" s="19"/>
      <c r="PEV22" s="19"/>
      <c r="PEW22" s="19"/>
      <c r="PEX22" s="19"/>
      <c r="PEY22" s="19"/>
      <c r="PEZ22" s="19"/>
      <c r="PFA22" s="19"/>
      <c r="PFB22" s="19"/>
      <c r="PFC22" s="19"/>
      <c r="PFD22" s="19"/>
      <c r="PFE22" s="19"/>
      <c r="PFF22" s="19"/>
      <c r="PFG22" s="19"/>
      <c r="PFH22" s="19"/>
      <c r="PFI22" s="19"/>
      <c r="PFJ22" s="19"/>
      <c r="PFK22" s="19"/>
      <c r="PFL22" s="19"/>
      <c r="PFM22" s="19"/>
      <c r="PFN22" s="19"/>
      <c r="PFO22" s="19"/>
      <c r="PFP22" s="19"/>
      <c r="PFQ22" s="19"/>
      <c r="PFR22" s="19"/>
      <c r="PFS22" s="19"/>
      <c r="PFT22" s="19"/>
      <c r="PFU22" s="19"/>
      <c r="PFV22" s="19"/>
      <c r="PFW22" s="19"/>
      <c r="PFX22" s="19"/>
      <c r="PFY22" s="19"/>
      <c r="PFZ22" s="19"/>
      <c r="PGA22" s="19"/>
      <c r="PGB22" s="19"/>
      <c r="PGC22" s="19"/>
      <c r="PGD22" s="19"/>
      <c r="PGE22" s="19"/>
      <c r="PGF22" s="19"/>
      <c r="PGG22" s="19"/>
      <c r="PGH22" s="19"/>
      <c r="PGI22" s="19"/>
      <c r="PGJ22" s="19"/>
      <c r="PGK22" s="19"/>
      <c r="PGL22" s="19"/>
      <c r="PGM22" s="19"/>
      <c r="PGN22" s="19"/>
      <c r="PGO22" s="19"/>
      <c r="PGP22" s="19"/>
      <c r="PGQ22" s="19"/>
      <c r="PGR22" s="19"/>
      <c r="PGS22" s="19"/>
      <c r="PGT22" s="19"/>
      <c r="PGU22" s="19"/>
      <c r="PGV22" s="19"/>
      <c r="PGW22" s="19"/>
      <c r="PGX22" s="19"/>
      <c r="PGY22" s="19"/>
      <c r="PGZ22" s="19"/>
      <c r="PHA22" s="19"/>
      <c r="PHB22" s="19"/>
      <c r="PHC22" s="19"/>
      <c r="PHD22" s="19"/>
      <c r="PHE22" s="19"/>
      <c r="PHF22" s="19"/>
      <c r="PHG22" s="19"/>
      <c r="PHH22" s="19"/>
      <c r="PHI22" s="19"/>
      <c r="PHJ22" s="19"/>
      <c r="PHK22" s="19"/>
      <c r="PHL22" s="19"/>
      <c r="PHM22" s="19"/>
      <c r="PHN22" s="19"/>
      <c r="PHO22" s="19"/>
      <c r="PHP22" s="19"/>
      <c r="PHQ22" s="19"/>
      <c r="PHR22" s="19"/>
      <c r="PHS22" s="19"/>
      <c r="PHT22" s="19"/>
      <c r="PHU22" s="19"/>
      <c r="PHV22" s="19"/>
      <c r="PHW22" s="19"/>
      <c r="PHX22" s="19"/>
      <c r="PHY22" s="19"/>
      <c r="PHZ22" s="19"/>
      <c r="PIA22" s="19"/>
      <c r="PIB22" s="19"/>
      <c r="PIC22" s="19"/>
      <c r="PID22" s="19"/>
      <c r="PIE22" s="19"/>
      <c r="PIF22" s="19"/>
      <c r="PIG22" s="19"/>
      <c r="PIH22" s="19"/>
      <c r="PII22" s="19"/>
      <c r="PIJ22" s="19"/>
      <c r="PIK22" s="19"/>
      <c r="PIL22" s="19"/>
      <c r="PIM22" s="19"/>
      <c r="PIN22" s="19"/>
      <c r="PIO22" s="19"/>
      <c r="PIP22" s="19"/>
      <c r="PIQ22" s="19"/>
      <c r="PIR22" s="19"/>
      <c r="PIS22" s="19"/>
      <c r="PIT22" s="19"/>
      <c r="PIU22" s="19"/>
      <c r="PIV22" s="19"/>
      <c r="PIW22" s="19"/>
      <c r="PIX22" s="19"/>
      <c r="PIY22" s="19"/>
      <c r="PIZ22" s="19"/>
      <c r="PJA22" s="19"/>
      <c r="PJB22" s="19"/>
      <c r="PJC22" s="19"/>
      <c r="PJD22" s="19"/>
      <c r="PJE22" s="19"/>
      <c r="PJF22" s="19"/>
      <c r="PJG22" s="19"/>
      <c r="PJH22" s="19"/>
      <c r="PJI22" s="19"/>
      <c r="PJJ22" s="19"/>
      <c r="PJK22" s="19"/>
      <c r="PJL22" s="19"/>
      <c r="PJM22" s="19"/>
      <c r="PJN22" s="19"/>
      <c r="PJO22" s="19"/>
      <c r="PJP22" s="19"/>
      <c r="PJQ22" s="19"/>
      <c r="PJR22" s="19"/>
      <c r="PJS22" s="19"/>
      <c r="PJT22" s="19"/>
      <c r="PJU22" s="19"/>
      <c r="PJV22" s="19"/>
      <c r="PJW22" s="19"/>
      <c r="PJX22" s="19"/>
      <c r="PJY22" s="19"/>
      <c r="PJZ22" s="19"/>
      <c r="PKA22" s="19"/>
      <c r="PKB22" s="19"/>
      <c r="PKC22" s="19"/>
      <c r="PKD22" s="19"/>
      <c r="PKE22" s="19"/>
      <c r="PKF22" s="19"/>
      <c r="PKG22" s="19"/>
      <c r="PKH22" s="19"/>
      <c r="PKI22" s="19"/>
      <c r="PKJ22" s="19"/>
      <c r="PKK22" s="19"/>
      <c r="PKL22" s="19"/>
      <c r="PKM22" s="19"/>
      <c r="PKN22" s="19"/>
      <c r="PKO22" s="19"/>
      <c r="PKP22" s="19"/>
      <c r="PKQ22" s="19"/>
      <c r="PKR22" s="19"/>
      <c r="PKS22" s="19"/>
      <c r="PKT22" s="19"/>
      <c r="PKU22" s="19"/>
      <c r="PKV22" s="19"/>
      <c r="PKW22" s="19"/>
      <c r="PKX22" s="19"/>
      <c r="PKY22" s="19"/>
      <c r="PKZ22" s="19"/>
      <c r="PLA22" s="19"/>
      <c r="PLB22" s="19"/>
      <c r="PLC22" s="19"/>
      <c r="PLD22" s="19"/>
      <c r="PLE22" s="19"/>
      <c r="PLF22" s="19"/>
      <c r="PLG22" s="19"/>
      <c r="PLH22" s="19"/>
      <c r="PLI22" s="19"/>
      <c r="PLJ22" s="19"/>
      <c r="PLK22" s="19"/>
      <c r="PLL22" s="19"/>
      <c r="PLM22" s="19"/>
      <c r="PLN22" s="19"/>
      <c r="PLO22" s="19"/>
      <c r="PLP22" s="19"/>
      <c r="PLQ22" s="19"/>
      <c r="PLR22" s="19"/>
      <c r="PLS22" s="19"/>
      <c r="PLT22" s="19"/>
      <c r="PLU22" s="19"/>
      <c r="PLV22" s="19"/>
      <c r="PLW22" s="19"/>
      <c r="PLX22" s="19"/>
      <c r="PLY22" s="19"/>
      <c r="PLZ22" s="19"/>
      <c r="PMA22" s="19"/>
      <c r="PMB22" s="19"/>
      <c r="PMC22" s="19"/>
      <c r="PMD22" s="19"/>
      <c r="PME22" s="19"/>
      <c r="PMF22" s="19"/>
      <c r="PMG22" s="19"/>
      <c r="PMH22" s="19"/>
      <c r="PMI22" s="19"/>
      <c r="PMJ22" s="19"/>
      <c r="PMK22" s="19"/>
      <c r="PML22" s="19"/>
      <c r="PMM22" s="19"/>
      <c r="PMN22" s="19"/>
      <c r="PMO22" s="19"/>
      <c r="PMP22" s="19"/>
      <c r="PMQ22" s="19"/>
      <c r="PMR22" s="19"/>
      <c r="PMS22" s="19"/>
      <c r="PMT22" s="19"/>
      <c r="PMU22" s="19"/>
      <c r="PMV22" s="19"/>
      <c r="PMW22" s="19"/>
      <c r="PMX22" s="19"/>
      <c r="PMY22" s="19"/>
      <c r="PMZ22" s="19"/>
      <c r="PNA22" s="19"/>
      <c r="PNB22" s="19"/>
      <c r="PNC22" s="19"/>
      <c r="PND22" s="19"/>
      <c r="PNE22" s="19"/>
      <c r="PNF22" s="19"/>
      <c r="PNG22" s="19"/>
      <c r="PNH22" s="19"/>
      <c r="PNI22" s="19"/>
      <c r="PNJ22" s="19"/>
      <c r="PNK22" s="19"/>
      <c r="PNL22" s="19"/>
      <c r="PNM22" s="19"/>
      <c r="PNN22" s="19"/>
      <c r="PNO22" s="19"/>
      <c r="PNP22" s="19"/>
      <c r="PNQ22" s="19"/>
      <c r="PNR22" s="19"/>
      <c r="PNS22" s="19"/>
      <c r="PNT22" s="19"/>
      <c r="PNU22" s="19"/>
      <c r="PNV22" s="19"/>
      <c r="PNW22" s="19"/>
      <c r="PNX22" s="19"/>
      <c r="PNY22" s="19"/>
      <c r="PNZ22" s="19"/>
      <c r="POA22" s="19"/>
      <c r="POB22" s="19"/>
      <c r="POC22" s="19"/>
      <c r="POD22" s="19"/>
      <c r="POE22" s="19"/>
      <c r="POF22" s="19"/>
      <c r="POG22" s="19"/>
      <c r="POH22" s="19"/>
      <c r="POI22" s="19"/>
      <c r="POJ22" s="19"/>
      <c r="POK22" s="19"/>
      <c r="POL22" s="19"/>
      <c r="POM22" s="19"/>
      <c r="PON22" s="19"/>
      <c r="POO22" s="19"/>
      <c r="POP22" s="19"/>
      <c r="POQ22" s="19"/>
      <c r="POR22" s="19"/>
      <c r="POS22" s="19"/>
      <c r="POT22" s="19"/>
      <c r="POU22" s="19"/>
      <c r="POV22" s="19"/>
      <c r="POW22" s="19"/>
      <c r="POX22" s="19"/>
      <c r="POY22" s="19"/>
      <c r="POZ22" s="19"/>
      <c r="PPA22" s="19"/>
      <c r="PPB22" s="19"/>
      <c r="PPC22" s="19"/>
      <c r="PPD22" s="19"/>
      <c r="PPE22" s="19"/>
      <c r="PPF22" s="19"/>
      <c r="PPG22" s="19"/>
      <c r="PPH22" s="19"/>
      <c r="PPI22" s="19"/>
      <c r="PPJ22" s="19"/>
      <c r="PPK22" s="19"/>
      <c r="PPL22" s="19"/>
      <c r="PPM22" s="19"/>
      <c r="PPN22" s="19"/>
      <c r="PPO22" s="19"/>
      <c r="PPP22" s="19"/>
      <c r="PPQ22" s="19"/>
      <c r="PPR22" s="19"/>
      <c r="PPS22" s="19"/>
      <c r="PPT22" s="19"/>
      <c r="PPU22" s="19"/>
      <c r="PPV22" s="19"/>
      <c r="PPW22" s="19"/>
      <c r="PPX22" s="19"/>
      <c r="PPY22" s="19"/>
      <c r="PPZ22" s="19"/>
      <c r="PQA22" s="19"/>
      <c r="PQB22" s="19"/>
      <c r="PQC22" s="19"/>
      <c r="PQD22" s="19"/>
      <c r="PQE22" s="19"/>
      <c r="PQF22" s="19"/>
      <c r="PQG22" s="19"/>
      <c r="PQH22" s="19"/>
      <c r="PQI22" s="19"/>
      <c r="PQJ22" s="19"/>
      <c r="PQK22" s="19"/>
      <c r="PQL22" s="19"/>
      <c r="PQM22" s="19"/>
      <c r="PQN22" s="19"/>
      <c r="PQO22" s="19"/>
      <c r="PQP22" s="19"/>
      <c r="PQQ22" s="19"/>
      <c r="PQR22" s="19"/>
      <c r="PQS22" s="19"/>
      <c r="PQT22" s="19"/>
      <c r="PQU22" s="19"/>
      <c r="PQV22" s="19"/>
      <c r="PQW22" s="19"/>
      <c r="PQX22" s="19"/>
      <c r="PQY22" s="19"/>
      <c r="PQZ22" s="19"/>
      <c r="PRA22" s="19"/>
      <c r="PRB22" s="19"/>
      <c r="PRC22" s="19"/>
      <c r="PRD22" s="19"/>
      <c r="PRE22" s="19"/>
      <c r="PRF22" s="19"/>
      <c r="PRG22" s="19"/>
      <c r="PRH22" s="19"/>
      <c r="PRI22" s="19"/>
      <c r="PRJ22" s="19"/>
      <c r="PRK22" s="19"/>
      <c r="PRL22" s="19"/>
      <c r="PRM22" s="19"/>
      <c r="PRN22" s="19"/>
      <c r="PRO22" s="19"/>
      <c r="PRP22" s="19"/>
      <c r="PRQ22" s="19"/>
      <c r="PRR22" s="19"/>
      <c r="PRS22" s="19"/>
      <c r="PRT22" s="19"/>
      <c r="PRU22" s="19"/>
      <c r="PRV22" s="19"/>
      <c r="PRW22" s="19"/>
      <c r="PRX22" s="19"/>
      <c r="PRY22" s="19"/>
      <c r="PRZ22" s="19"/>
      <c r="PSA22" s="19"/>
      <c r="PSB22" s="19"/>
      <c r="PSC22" s="19"/>
      <c r="PSD22" s="19"/>
      <c r="PSE22" s="19"/>
      <c r="PSF22" s="19"/>
      <c r="PSG22" s="19"/>
      <c r="PSH22" s="19"/>
      <c r="PSI22" s="19"/>
      <c r="PSJ22" s="19"/>
      <c r="PSK22" s="19"/>
      <c r="PSL22" s="19"/>
      <c r="PSM22" s="19"/>
      <c r="PSN22" s="19"/>
      <c r="PSO22" s="19"/>
      <c r="PSP22" s="19"/>
      <c r="PSQ22" s="19"/>
      <c r="PSR22" s="19"/>
      <c r="PSS22" s="19"/>
      <c r="PST22" s="19"/>
      <c r="PSU22" s="19"/>
      <c r="PSV22" s="19"/>
      <c r="PSW22" s="19"/>
      <c r="PSX22" s="19"/>
      <c r="PSY22" s="19"/>
      <c r="PSZ22" s="19"/>
      <c r="PTA22" s="19"/>
      <c r="PTB22" s="19"/>
      <c r="PTC22" s="19"/>
      <c r="PTD22" s="19"/>
      <c r="PTE22" s="19"/>
      <c r="PTF22" s="19"/>
      <c r="PTG22" s="19"/>
      <c r="PTH22" s="19"/>
      <c r="PTI22" s="19"/>
      <c r="PTJ22" s="19"/>
      <c r="PTK22" s="19"/>
      <c r="PTL22" s="19"/>
      <c r="PTM22" s="19"/>
      <c r="PTN22" s="19"/>
      <c r="PTO22" s="19"/>
      <c r="PTP22" s="19"/>
      <c r="PTQ22" s="19"/>
      <c r="PTR22" s="19"/>
      <c r="PTS22" s="19"/>
      <c r="PTT22" s="19"/>
      <c r="PTU22" s="19"/>
      <c r="PTV22" s="19"/>
      <c r="PTW22" s="19"/>
      <c r="PTX22" s="19"/>
      <c r="PTY22" s="19"/>
      <c r="PTZ22" s="19"/>
      <c r="PUA22" s="19"/>
      <c r="PUB22" s="19"/>
      <c r="PUC22" s="19"/>
      <c r="PUD22" s="19"/>
      <c r="PUE22" s="19"/>
      <c r="PUF22" s="19"/>
      <c r="PUG22" s="19"/>
      <c r="PUH22" s="19"/>
      <c r="PUI22" s="19"/>
      <c r="PUJ22" s="19"/>
      <c r="PUK22" s="19"/>
      <c r="PUL22" s="19"/>
      <c r="PUM22" s="19"/>
      <c r="PUN22" s="19"/>
      <c r="PUO22" s="19"/>
      <c r="PUP22" s="19"/>
      <c r="PUQ22" s="19"/>
      <c r="PUR22" s="19"/>
      <c r="PUS22" s="19"/>
      <c r="PUT22" s="19"/>
      <c r="PUU22" s="19"/>
      <c r="PUV22" s="19"/>
      <c r="PUW22" s="19"/>
      <c r="PUX22" s="19"/>
      <c r="PUY22" s="19"/>
      <c r="PUZ22" s="19"/>
      <c r="PVA22" s="19"/>
      <c r="PVB22" s="19"/>
      <c r="PVC22" s="19"/>
      <c r="PVD22" s="19"/>
      <c r="PVE22" s="19"/>
      <c r="PVF22" s="19"/>
      <c r="PVG22" s="19"/>
      <c r="PVH22" s="19"/>
      <c r="PVI22" s="19"/>
      <c r="PVJ22" s="19"/>
      <c r="PVK22" s="19"/>
      <c r="PVL22" s="19"/>
      <c r="PVM22" s="19"/>
      <c r="PVN22" s="19"/>
      <c r="PVO22" s="19"/>
      <c r="PVP22" s="19"/>
      <c r="PVQ22" s="19"/>
      <c r="PVR22" s="19"/>
      <c r="PVS22" s="19"/>
      <c r="PVT22" s="19"/>
      <c r="PVU22" s="19"/>
      <c r="PVV22" s="19"/>
      <c r="PVW22" s="19"/>
      <c r="PVX22" s="19"/>
      <c r="PVY22" s="19"/>
      <c r="PVZ22" s="19"/>
      <c r="PWA22" s="19"/>
      <c r="PWB22" s="19"/>
      <c r="PWC22" s="19"/>
      <c r="PWD22" s="19"/>
      <c r="PWE22" s="19"/>
      <c r="PWF22" s="19"/>
      <c r="PWG22" s="19"/>
      <c r="PWH22" s="19"/>
      <c r="PWI22" s="19"/>
      <c r="PWJ22" s="19"/>
      <c r="PWK22" s="19"/>
      <c r="PWL22" s="19"/>
      <c r="PWM22" s="19"/>
      <c r="PWN22" s="19"/>
      <c r="PWO22" s="19"/>
      <c r="PWP22" s="19"/>
      <c r="PWQ22" s="19"/>
      <c r="PWR22" s="19"/>
      <c r="PWS22" s="19"/>
      <c r="PWT22" s="19"/>
      <c r="PWU22" s="19"/>
      <c r="PWV22" s="19"/>
      <c r="PWW22" s="19"/>
      <c r="PWX22" s="19"/>
      <c r="PWY22" s="19"/>
      <c r="PWZ22" s="19"/>
      <c r="PXA22" s="19"/>
      <c r="PXB22" s="19"/>
      <c r="PXC22" s="19"/>
      <c r="PXD22" s="19"/>
      <c r="PXE22" s="19"/>
      <c r="PXF22" s="19"/>
      <c r="PXG22" s="19"/>
      <c r="PXH22" s="19"/>
      <c r="PXI22" s="19"/>
      <c r="PXJ22" s="19"/>
      <c r="PXK22" s="19"/>
      <c r="PXL22" s="19"/>
      <c r="PXM22" s="19"/>
      <c r="PXN22" s="19"/>
      <c r="PXO22" s="19"/>
      <c r="PXP22" s="19"/>
      <c r="PXQ22" s="19"/>
      <c r="PXR22" s="19"/>
      <c r="PXS22" s="19"/>
      <c r="PXT22" s="19"/>
      <c r="PXU22" s="19"/>
      <c r="PXV22" s="19"/>
      <c r="PXW22" s="19"/>
      <c r="PXX22" s="19"/>
      <c r="PXY22" s="19"/>
      <c r="PXZ22" s="19"/>
      <c r="PYA22" s="19"/>
      <c r="PYB22" s="19"/>
      <c r="PYC22" s="19"/>
      <c r="PYD22" s="19"/>
      <c r="PYE22" s="19"/>
      <c r="PYF22" s="19"/>
      <c r="PYG22" s="19"/>
      <c r="PYH22" s="19"/>
      <c r="PYI22" s="19"/>
      <c r="PYJ22" s="19"/>
      <c r="PYK22" s="19"/>
      <c r="PYL22" s="19"/>
      <c r="PYM22" s="19"/>
      <c r="PYN22" s="19"/>
      <c r="PYO22" s="19"/>
      <c r="PYP22" s="19"/>
      <c r="PYQ22" s="19"/>
      <c r="PYR22" s="19"/>
      <c r="PYS22" s="19"/>
      <c r="PYT22" s="19"/>
      <c r="PYU22" s="19"/>
      <c r="PYV22" s="19"/>
      <c r="PYW22" s="19"/>
      <c r="PYX22" s="19"/>
      <c r="PYY22" s="19"/>
      <c r="PYZ22" s="19"/>
      <c r="PZA22" s="19"/>
      <c r="PZB22" s="19"/>
      <c r="PZC22" s="19"/>
      <c r="PZD22" s="19"/>
      <c r="PZE22" s="19"/>
      <c r="PZF22" s="19"/>
      <c r="PZG22" s="19"/>
      <c r="PZH22" s="19"/>
      <c r="PZI22" s="19"/>
      <c r="PZJ22" s="19"/>
      <c r="PZK22" s="19"/>
      <c r="PZL22" s="19"/>
      <c r="PZM22" s="19"/>
      <c r="PZN22" s="19"/>
      <c r="PZO22" s="19"/>
      <c r="PZP22" s="19"/>
      <c r="PZQ22" s="19"/>
      <c r="PZR22" s="19"/>
      <c r="PZS22" s="19"/>
      <c r="PZT22" s="19"/>
      <c r="PZU22" s="19"/>
      <c r="PZV22" s="19"/>
      <c r="PZW22" s="19"/>
      <c r="PZX22" s="19"/>
      <c r="PZY22" s="19"/>
      <c r="PZZ22" s="19"/>
      <c r="QAA22" s="19"/>
      <c r="QAB22" s="19"/>
      <c r="QAC22" s="19"/>
      <c r="QAD22" s="19"/>
      <c r="QAE22" s="19"/>
      <c r="QAF22" s="19"/>
      <c r="QAG22" s="19"/>
      <c r="QAH22" s="19"/>
      <c r="QAI22" s="19"/>
      <c r="QAJ22" s="19"/>
      <c r="QAK22" s="19"/>
      <c r="QAL22" s="19"/>
      <c r="QAM22" s="19"/>
      <c r="QAN22" s="19"/>
      <c r="QAO22" s="19"/>
      <c r="QAP22" s="19"/>
      <c r="QAQ22" s="19"/>
      <c r="QAR22" s="19"/>
      <c r="QAS22" s="19"/>
      <c r="QAT22" s="19"/>
      <c r="QAU22" s="19"/>
      <c r="QAV22" s="19"/>
      <c r="QAW22" s="19"/>
      <c r="QAX22" s="19"/>
      <c r="QAY22" s="19"/>
      <c r="QAZ22" s="19"/>
      <c r="QBA22" s="19"/>
      <c r="QBB22" s="19"/>
      <c r="QBC22" s="19"/>
      <c r="QBD22" s="19"/>
      <c r="QBE22" s="19"/>
      <c r="QBF22" s="19"/>
      <c r="QBG22" s="19"/>
      <c r="QBH22" s="19"/>
      <c r="QBI22" s="19"/>
      <c r="QBJ22" s="19"/>
      <c r="QBK22" s="19"/>
      <c r="QBL22" s="19"/>
      <c r="QBM22" s="19"/>
      <c r="QBN22" s="19"/>
      <c r="QBO22" s="19"/>
      <c r="QBP22" s="19"/>
      <c r="QBQ22" s="19"/>
      <c r="QBR22" s="19"/>
      <c r="QBS22" s="19"/>
      <c r="QBT22" s="19"/>
      <c r="QBU22" s="19"/>
      <c r="QBV22" s="19"/>
      <c r="QBW22" s="19"/>
      <c r="QBX22" s="19"/>
      <c r="QBY22" s="19"/>
      <c r="QBZ22" s="19"/>
      <c r="QCA22" s="19"/>
      <c r="QCB22" s="19"/>
      <c r="QCC22" s="19"/>
      <c r="QCD22" s="19"/>
      <c r="QCE22" s="19"/>
      <c r="QCF22" s="19"/>
      <c r="QCG22" s="19"/>
      <c r="QCH22" s="19"/>
      <c r="QCI22" s="19"/>
      <c r="QCJ22" s="19"/>
      <c r="QCK22" s="19"/>
      <c r="QCL22" s="19"/>
      <c r="QCM22" s="19"/>
      <c r="QCN22" s="19"/>
      <c r="QCO22" s="19"/>
      <c r="QCP22" s="19"/>
      <c r="QCQ22" s="19"/>
      <c r="QCR22" s="19"/>
      <c r="QCS22" s="19"/>
      <c r="QCT22" s="19"/>
      <c r="QCU22" s="19"/>
      <c r="QCV22" s="19"/>
      <c r="QCW22" s="19"/>
      <c r="QCX22" s="19"/>
      <c r="QCY22" s="19"/>
      <c r="QCZ22" s="19"/>
      <c r="QDA22" s="19"/>
      <c r="QDB22" s="19"/>
      <c r="QDC22" s="19"/>
      <c r="QDD22" s="19"/>
      <c r="QDE22" s="19"/>
      <c r="QDF22" s="19"/>
      <c r="QDG22" s="19"/>
      <c r="QDH22" s="19"/>
      <c r="QDI22" s="19"/>
      <c r="QDJ22" s="19"/>
      <c r="QDK22" s="19"/>
      <c r="QDL22" s="19"/>
      <c r="QDM22" s="19"/>
      <c r="QDN22" s="19"/>
      <c r="QDO22" s="19"/>
      <c r="QDP22" s="19"/>
      <c r="QDQ22" s="19"/>
      <c r="QDR22" s="19"/>
      <c r="QDS22" s="19"/>
      <c r="QDT22" s="19"/>
      <c r="QDU22" s="19"/>
      <c r="QDV22" s="19"/>
      <c r="QDW22" s="19"/>
      <c r="QDX22" s="19"/>
      <c r="QDY22" s="19"/>
      <c r="QDZ22" s="19"/>
      <c r="QEA22" s="19"/>
      <c r="QEB22" s="19"/>
      <c r="QEC22" s="19"/>
      <c r="QED22" s="19"/>
      <c r="QEE22" s="19"/>
      <c r="QEF22" s="19"/>
      <c r="QEG22" s="19"/>
      <c r="QEH22" s="19"/>
      <c r="QEI22" s="19"/>
      <c r="QEJ22" s="19"/>
      <c r="QEK22" s="19"/>
      <c r="QEL22" s="19"/>
      <c r="QEM22" s="19"/>
      <c r="QEN22" s="19"/>
      <c r="QEO22" s="19"/>
      <c r="QEP22" s="19"/>
      <c r="QEQ22" s="19"/>
      <c r="QER22" s="19"/>
      <c r="QES22" s="19"/>
      <c r="QET22" s="19"/>
      <c r="QEU22" s="19"/>
      <c r="QEV22" s="19"/>
      <c r="QEW22" s="19"/>
      <c r="QEX22" s="19"/>
      <c r="QEY22" s="19"/>
      <c r="QEZ22" s="19"/>
      <c r="QFA22" s="19"/>
      <c r="QFB22" s="19"/>
      <c r="QFC22" s="19"/>
      <c r="QFD22" s="19"/>
      <c r="QFE22" s="19"/>
      <c r="QFF22" s="19"/>
      <c r="QFG22" s="19"/>
      <c r="QFH22" s="19"/>
      <c r="QFI22" s="19"/>
      <c r="QFJ22" s="19"/>
      <c r="QFK22" s="19"/>
      <c r="QFL22" s="19"/>
      <c r="QFM22" s="19"/>
      <c r="QFN22" s="19"/>
      <c r="QFO22" s="19"/>
      <c r="QFP22" s="19"/>
      <c r="QFQ22" s="19"/>
      <c r="QFR22" s="19"/>
      <c r="QFS22" s="19"/>
      <c r="QFT22" s="19"/>
      <c r="QFU22" s="19"/>
      <c r="QFV22" s="19"/>
      <c r="QFW22" s="19"/>
      <c r="QFX22" s="19"/>
      <c r="QFY22" s="19"/>
      <c r="QFZ22" s="19"/>
      <c r="QGA22" s="19"/>
      <c r="QGB22" s="19"/>
      <c r="QGC22" s="19"/>
      <c r="QGD22" s="19"/>
      <c r="QGE22" s="19"/>
      <c r="QGF22" s="19"/>
      <c r="QGG22" s="19"/>
      <c r="QGH22" s="19"/>
      <c r="QGI22" s="19"/>
      <c r="QGJ22" s="19"/>
      <c r="QGK22" s="19"/>
      <c r="QGL22" s="19"/>
      <c r="QGM22" s="19"/>
      <c r="QGN22" s="19"/>
      <c r="QGO22" s="19"/>
      <c r="QGP22" s="19"/>
      <c r="QGQ22" s="19"/>
      <c r="QGR22" s="19"/>
      <c r="QGS22" s="19"/>
      <c r="QGT22" s="19"/>
      <c r="QGU22" s="19"/>
      <c r="QGV22" s="19"/>
      <c r="QGW22" s="19"/>
      <c r="QGX22" s="19"/>
      <c r="QGY22" s="19"/>
      <c r="QGZ22" s="19"/>
      <c r="QHA22" s="19"/>
      <c r="QHB22" s="19"/>
      <c r="QHC22" s="19"/>
      <c r="QHD22" s="19"/>
      <c r="QHE22" s="19"/>
      <c r="QHF22" s="19"/>
      <c r="QHG22" s="19"/>
      <c r="QHH22" s="19"/>
      <c r="QHI22" s="19"/>
      <c r="QHJ22" s="19"/>
      <c r="QHK22" s="19"/>
      <c r="QHL22" s="19"/>
      <c r="QHM22" s="19"/>
      <c r="QHN22" s="19"/>
      <c r="QHO22" s="19"/>
      <c r="QHP22" s="19"/>
      <c r="QHQ22" s="19"/>
      <c r="QHR22" s="19"/>
      <c r="QHS22" s="19"/>
      <c r="QHT22" s="19"/>
      <c r="QHU22" s="19"/>
      <c r="QHV22" s="19"/>
      <c r="QHW22" s="19"/>
      <c r="QHX22" s="19"/>
      <c r="QHY22" s="19"/>
      <c r="QHZ22" s="19"/>
      <c r="QIA22" s="19"/>
      <c r="QIB22" s="19"/>
      <c r="QIC22" s="19"/>
      <c r="QID22" s="19"/>
      <c r="QIE22" s="19"/>
      <c r="QIF22" s="19"/>
      <c r="QIG22" s="19"/>
      <c r="QIH22" s="19"/>
      <c r="QII22" s="19"/>
      <c r="QIJ22" s="19"/>
      <c r="QIK22" s="19"/>
      <c r="QIL22" s="19"/>
      <c r="QIM22" s="19"/>
      <c r="QIN22" s="19"/>
      <c r="QIO22" s="19"/>
      <c r="QIP22" s="19"/>
      <c r="QIQ22" s="19"/>
      <c r="QIR22" s="19"/>
      <c r="QIS22" s="19"/>
      <c r="QIT22" s="19"/>
      <c r="QIU22" s="19"/>
      <c r="QIV22" s="19"/>
      <c r="QIW22" s="19"/>
      <c r="QIX22" s="19"/>
      <c r="QIY22" s="19"/>
      <c r="QIZ22" s="19"/>
      <c r="QJA22" s="19"/>
      <c r="QJB22" s="19"/>
      <c r="QJC22" s="19"/>
      <c r="QJD22" s="19"/>
      <c r="QJE22" s="19"/>
      <c r="QJF22" s="19"/>
      <c r="QJG22" s="19"/>
      <c r="QJH22" s="19"/>
      <c r="QJI22" s="19"/>
      <c r="QJJ22" s="19"/>
      <c r="QJK22" s="19"/>
      <c r="QJL22" s="19"/>
      <c r="QJM22" s="19"/>
      <c r="QJN22" s="19"/>
      <c r="QJO22" s="19"/>
      <c r="QJP22" s="19"/>
      <c r="QJQ22" s="19"/>
      <c r="QJR22" s="19"/>
      <c r="QJS22" s="19"/>
      <c r="QJT22" s="19"/>
      <c r="QJU22" s="19"/>
      <c r="QJV22" s="19"/>
      <c r="QJW22" s="19"/>
      <c r="QJX22" s="19"/>
      <c r="QJY22" s="19"/>
      <c r="QJZ22" s="19"/>
      <c r="QKA22" s="19"/>
      <c r="QKB22" s="19"/>
      <c r="QKC22" s="19"/>
      <c r="QKD22" s="19"/>
      <c r="QKE22" s="19"/>
      <c r="QKF22" s="19"/>
      <c r="QKG22" s="19"/>
      <c r="QKH22" s="19"/>
      <c r="QKI22" s="19"/>
      <c r="QKJ22" s="19"/>
      <c r="QKK22" s="19"/>
      <c r="QKL22" s="19"/>
      <c r="QKM22" s="19"/>
      <c r="QKN22" s="19"/>
      <c r="QKO22" s="19"/>
      <c r="QKP22" s="19"/>
      <c r="QKQ22" s="19"/>
      <c r="QKR22" s="19"/>
      <c r="QKS22" s="19"/>
      <c r="QKT22" s="19"/>
      <c r="QKU22" s="19"/>
      <c r="QKV22" s="19"/>
      <c r="QKW22" s="19"/>
      <c r="QKX22" s="19"/>
      <c r="QKY22" s="19"/>
      <c r="QKZ22" s="19"/>
      <c r="QLA22" s="19"/>
      <c r="QLB22" s="19"/>
      <c r="QLC22" s="19"/>
      <c r="QLD22" s="19"/>
      <c r="QLE22" s="19"/>
      <c r="QLF22" s="19"/>
      <c r="QLG22" s="19"/>
      <c r="QLH22" s="19"/>
      <c r="QLI22" s="19"/>
      <c r="QLJ22" s="19"/>
      <c r="QLK22" s="19"/>
      <c r="QLL22" s="19"/>
      <c r="QLM22" s="19"/>
      <c r="QLN22" s="19"/>
      <c r="QLO22" s="19"/>
      <c r="QLP22" s="19"/>
      <c r="QLQ22" s="19"/>
      <c r="QLR22" s="19"/>
      <c r="QLS22" s="19"/>
      <c r="QLT22" s="19"/>
      <c r="QLU22" s="19"/>
      <c r="QLV22" s="19"/>
      <c r="QLW22" s="19"/>
      <c r="QLX22" s="19"/>
      <c r="QLY22" s="19"/>
      <c r="QLZ22" s="19"/>
      <c r="QMA22" s="19"/>
      <c r="QMB22" s="19"/>
      <c r="QMC22" s="19"/>
      <c r="QMD22" s="19"/>
      <c r="QME22" s="19"/>
      <c r="QMF22" s="19"/>
      <c r="QMG22" s="19"/>
      <c r="QMH22" s="19"/>
      <c r="QMI22" s="19"/>
      <c r="QMJ22" s="19"/>
      <c r="QMK22" s="19"/>
      <c r="QML22" s="19"/>
      <c r="QMM22" s="19"/>
      <c r="QMN22" s="19"/>
      <c r="QMO22" s="19"/>
      <c r="QMP22" s="19"/>
      <c r="QMQ22" s="19"/>
      <c r="QMR22" s="19"/>
      <c r="QMS22" s="19"/>
      <c r="QMT22" s="19"/>
      <c r="QMU22" s="19"/>
      <c r="QMV22" s="19"/>
      <c r="QMW22" s="19"/>
      <c r="QMX22" s="19"/>
      <c r="QMY22" s="19"/>
      <c r="QMZ22" s="19"/>
      <c r="QNA22" s="19"/>
      <c r="QNB22" s="19"/>
      <c r="QNC22" s="19"/>
      <c r="QND22" s="19"/>
      <c r="QNE22" s="19"/>
      <c r="QNF22" s="19"/>
      <c r="QNG22" s="19"/>
      <c r="QNH22" s="19"/>
      <c r="QNI22" s="19"/>
      <c r="QNJ22" s="19"/>
      <c r="QNK22" s="19"/>
      <c r="QNL22" s="19"/>
      <c r="QNM22" s="19"/>
      <c r="QNN22" s="19"/>
      <c r="QNO22" s="19"/>
      <c r="QNP22" s="19"/>
      <c r="QNQ22" s="19"/>
      <c r="QNR22" s="19"/>
      <c r="QNS22" s="19"/>
      <c r="QNT22" s="19"/>
      <c r="QNU22" s="19"/>
      <c r="QNV22" s="19"/>
      <c r="QNW22" s="19"/>
      <c r="QNX22" s="19"/>
      <c r="QNY22" s="19"/>
      <c r="QNZ22" s="19"/>
      <c r="QOA22" s="19"/>
      <c r="QOB22" s="19"/>
      <c r="QOC22" s="19"/>
      <c r="QOD22" s="19"/>
      <c r="QOE22" s="19"/>
      <c r="QOF22" s="19"/>
      <c r="QOG22" s="19"/>
      <c r="QOH22" s="19"/>
      <c r="QOI22" s="19"/>
      <c r="QOJ22" s="19"/>
      <c r="QOK22" s="19"/>
      <c r="QOL22" s="19"/>
      <c r="QOM22" s="19"/>
      <c r="QON22" s="19"/>
      <c r="QOO22" s="19"/>
      <c r="QOP22" s="19"/>
      <c r="QOQ22" s="19"/>
      <c r="QOR22" s="19"/>
      <c r="QOS22" s="19"/>
      <c r="QOT22" s="19"/>
      <c r="QOU22" s="19"/>
      <c r="QOV22" s="19"/>
      <c r="QOW22" s="19"/>
      <c r="QOX22" s="19"/>
      <c r="QOY22" s="19"/>
      <c r="QOZ22" s="19"/>
      <c r="QPA22" s="19"/>
      <c r="QPB22" s="19"/>
      <c r="QPC22" s="19"/>
      <c r="QPD22" s="19"/>
      <c r="QPE22" s="19"/>
      <c r="QPF22" s="19"/>
      <c r="QPG22" s="19"/>
      <c r="QPH22" s="19"/>
      <c r="QPI22" s="19"/>
      <c r="QPJ22" s="19"/>
      <c r="QPK22" s="19"/>
      <c r="QPL22" s="19"/>
      <c r="QPM22" s="19"/>
      <c r="QPN22" s="19"/>
      <c r="QPO22" s="19"/>
      <c r="QPP22" s="19"/>
      <c r="QPQ22" s="19"/>
      <c r="QPR22" s="19"/>
      <c r="QPS22" s="19"/>
      <c r="QPT22" s="19"/>
      <c r="QPU22" s="19"/>
      <c r="QPV22" s="19"/>
      <c r="QPW22" s="19"/>
      <c r="QPX22" s="19"/>
      <c r="QPY22" s="19"/>
      <c r="QPZ22" s="19"/>
      <c r="QQA22" s="19"/>
      <c r="QQB22" s="19"/>
      <c r="QQC22" s="19"/>
      <c r="QQD22" s="19"/>
      <c r="QQE22" s="19"/>
      <c r="QQF22" s="19"/>
      <c r="QQG22" s="19"/>
      <c r="QQH22" s="19"/>
      <c r="QQI22" s="19"/>
      <c r="QQJ22" s="19"/>
      <c r="QQK22" s="19"/>
      <c r="QQL22" s="19"/>
      <c r="QQM22" s="19"/>
      <c r="QQN22" s="19"/>
      <c r="QQO22" s="19"/>
      <c r="QQP22" s="19"/>
      <c r="QQQ22" s="19"/>
      <c r="QQR22" s="19"/>
      <c r="QQS22" s="19"/>
      <c r="QQT22" s="19"/>
      <c r="QQU22" s="19"/>
      <c r="QQV22" s="19"/>
      <c r="QQW22" s="19"/>
      <c r="QQX22" s="19"/>
      <c r="QQY22" s="19"/>
      <c r="QQZ22" s="19"/>
      <c r="QRA22" s="19"/>
      <c r="QRB22" s="19"/>
      <c r="QRC22" s="19"/>
      <c r="QRD22" s="19"/>
      <c r="QRE22" s="19"/>
      <c r="QRF22" s="19"/>
      <c r="QRG22" s="19"/>
      <c r="QRH22" s="19"/>
      <c r="QRI22" s="19"/>
      <c r="QRJ22" s="19"/>
      <c r="QRK22" s="19"/>
      <c r="QRL22" s="19"/>
      <c r="QRM22" s="19"/>
      <c r="QRN22" s="19"/>
      <c r="QRO22" s="19"/>
      <c r="QRP22" s="19"/>
      <c r="QRQ22" s="19"/>
      <c r="QRR22" s="19"/>
      <c r="QRS22" s="19"/>
      <c r="QRT22" s="19"/>
      <c r="QRU22" s="19"/>
      <c r="QRV22" s="19"/>
      <c r="QRW22" s="19"/>
      <c r="QRX22" s="19"/>
      <c r="QRY22" s="19"/>
      <c r="QRZ22" s="19"/>
      <c r="QSA22" s="19"/>
      <c r="QSB22" s="19"/>
      <c r="QSC22" s="19"/>
      <c r="QSD22" s="19"/>
      <c r="QSE22" s="19"/>
      <c r="QSF22" s="19"/>
      <c r="QSG22" s="19"/>
      <c r="QSH22" s="19"/>
      <c r="QSI22" s="19"/>
      <c r="QSJ22" s="19"/>
      <c r="QSK22" s="19"/>
      <c r="QSL22" s="19"/>
      <c r="QSM22" s="19"/>
      <c r="QSN22" s="19"/>
      <c r="QSO22" s="19"/>
      <c r="QSP22" s="19"/>
      <c r="QSQ22" s="19"/>
      <c r="QSR22" s="19"/>
      <c r="QSS22" s="19"/>
      <c r="QST22" s="19"/>
      <c r="QSU22" s="19"/>
      <c r="QSV22" s="19"/>
      <c r="QSW22" s="19"/>
      <c r="QSX22" s="19"/>
      <c r="QSY22" s="19"/>
      <c r="QSZ22" s="19"/>
      <c r="QTA22" s="19"/>
      <c r="QTB22" s="19"/>
      <c r="QTC22" s="19"/>
      <c r="QTD22" s="19"/>
      <c r="QTE22" s="19"/>
      <c r="QTF22" s="19"/>
      <c r="QTG22" s="19"/>
      <c r="QTH22" s="19"/>
      <c r="QTI22" s="19"/>
      <c r="QTJ22" s="19"/>
      <c r="QTK22" s="19"/>
      <c r="QTL22" s="19"/>
      <c r="QTM22" s="19"/>
      <c r="QTN22" s="19"/>
      <c r="QTO22" s="19"/>
      <c r="QTP22" s="19"/>
      <c r="QTQ22" s="19"/>
      <c r="QTR22" s="19"/>
      <c r="QTS22" s="19"/>
      <c r="QTT22" s="19"/>
      <c r="QTU22" s="19"/>
      <c r="QTV22" s="19"/>
      <c r="QTW22" s="19"/>
      <c r="QTX22" s="19"/>
      <c r="QTY22" s="19"/>
      <c r="QTZ22" s="19"/>
      <c r="QUA22" s="19"/>
      <c r="QUB22" s="19"/>
      <c r="QUC22" s="19"/>
      <c r="QUD22" s="19"/>
      <c r="QUE22" s="19"/>
      <c r="QUF22" s="19"/>
      <c r="QUG22" s="19"/>
      <c r="QUH22" s="19"/>
      <c r="QUI22" s="19"/>
      <c r="QUJ22" s="19"/>
      <c r="QUK22" s="19"/>
      <c r="QUL22" s="19"/>
      <c r="QUM22" s="19"/>
      <c r="QUN22" s="19"/>
      <c r="QUO22" s="19"/>
      <c r="QUP22" s="19"/>
      <c r="QUQ22" s="19"/>
      <c r="QUR22" s="19"/>
      <c r="QUS22" s="19"/>
      <c r="QUT22" s="19"/>
      <c r="QUU22" s="19"/>
      <c r="QUV22" s="19"/>
      <c r="QUW22" s="19"/>
      <c r="QUX22" s="19"/>
      <c r="QUY22" s="19"/>
      <c r="QUZ22" s="19"/>
      <c r="QVA22" s="19"/>
      <c r="QVB22" s="19"/>
      <c r="QVC22" s="19"/>
      <c r="QVD22" s="19"/>
      <c r="QVE22" s="19"/>
      <c r="QVF22" s="19"/>
      <c r="QVG22" s="19"/>
      <c r="QVH22" s="19"/>
      <c r="QVI22" s="19"/>
      <c r="QVJ22" s="19"/>
      <c r="QVK22" s="19"/>
      <c r="QVL22" s="19"/>
      <c r="QVM22" s="19"/>
      <c r="QVN22" s="19"/>
      <c r="QVO22" s="19"/>
      <c r="QVP22" s="19"/>
      <c r="QVQ22" s="19"/>
      <c r="QVR22" s="19"/>
      <c r="QVS22" s="19"/>
      <c r="QVT22" s="19"/>
      <c r="QVU22" s="19"/>
      <c r="QVV22" s="19"/>
      <c r="QVW22" s="19"/>
      <c r="QVX22" s="19"/>
      <c r="QVY22" s="19"/>
      <c r="QVZ22" s="19"/>
      <c r="QWA22" s="19"/>
      <c r="QWB22" s="19"/>
      <c r="QWC22" s="19"/>
      <c r="QWD22" s="19"/>
      <c r="QWE22" s="19"/>
      <c r="QWF22" s="19"/>
      <c r="QWG22" s="19"/>
      <c r="QWH22" s="19"/>
      <c r="QWI22" s="19"/>
      <c r="QWJ22" s="19"/>
      <c r="QWK22" s="19"/>
      <c r="QWL22" s="19"/>
      <c r="QWM22" s="19"/>
      <c r="QWN22" s="19"/>
      <c r="QWO22" s="19"/>
      <c r="QWP22" s="19"/>
      <c r="QWQ22" s="19"/>
      <c r="QWR22" s="19"/>
      <c r="QWS22" s="19"/>
      <c r="QWT22" s="19"/>
      <c r="QWU22" s="19"/>
      <c r="QWV22" s="19"/>
      <c r="QWW22" s="19"/>
      <c r="QWX22" s="19"/>
      <c r="QWY22" s="19"/>
      <c r="QWZ22" s="19"/>
      <c r="QXA22" s="19"/>
      <c r="QXB22" s="19"/>
      <c r="QXC22" s="19"/>
      <c r="QXD22" s="19"/>
      <c r="QXE22" s="19"/>
      <c r="QXF22" s="19"/>
      <c r="QXG22" s="19"/>
      <c r="QXH22" s="19"/>
      <c r="QXI22" s="19"/>
      <c r="QXJ22" s="19"/>
      <c r="QXK22" s="19"/>
      <c r="QXL22" s="19"/>
      <c r="QXM22" s="19"/>
      <c r="QXN22" s="19"/>
      <c r="QXO22" s="19"/>
      <c r="QXP22" s="19"/>
      <c r="QXQ22" s="19"/>
      <c r="QXR22" s="19"/>
      <c r="QXS22" s="19"/>
      <c r="QXT22" s="19"/>
      <c r="QXU22" s="19"/>
      <c r="QXV22" s="19"/>
      <c r="QXW22" s="19"/>
      <c r="QXX22" s="19"/>
      <c r="QXY22" s="19"/>
      <c r="QXZ22" s="19"/>
      <c r="QYA22" s="19"/>
      <c r="QYB22" s="19"/>
      <c r="QYC22" s="19"/>
      <c r="QYD22" s="19"/>
      <c r="QYE22" s="19"/>
      <c r="QYF22" s="19"/>
      <c r="QYG22" s="19"/>
      <c r="QYH22" s="19"/>
      <c r="QYI22" s="19"/>
      <c r="QYJ22" s="19"/>
      <c r="QYK22" s="19"/>
      <c r="QYL22" s="19"/>
      <c r="QYM22" s="19"/>
      <c r="QYN22" s="19"/>
      <c r="QYO22" s="19"/>
      <c r="QYP22" s="19"/>
      <c r="QYQ22" s="19"/>
      <c r="QYR22" s="19"/>
      <c r="QYS22" s="19"/>
      <c r="QYT22" s="19"/>
      <c r="QYU22" s="19"/>
      <c r="QYV22" s="19"/>
      <c r="QYW22" s="19"/>
      <c r="QYX22" s="19"/>
      <c r="QYY22" s="19"/>
      <c r="QYZ22" s="19"/>
      <c r="QZA22" s="19"/>
      <c r="QZB22" s="19"/>
      <c r="QZC22" s="19"/>
      <c r="QZD22" s="19"/>
      <c r="QZE22" s="19"/>
      <c r="QZF22" s="19"/>
      <c r="QZG22" s="19"/>
      <c r="QZH22" s="19"/>
      <c r="QZI22" s="19"/>
      <c r="QZJ22" s="19"/>
      <c r="QZK22" s="19"/>
      <c r="QZL22" s="19"/>
      <c r="QZM22" s="19"/>
      <c r="QZN22" s="19"/>
      <c r="QZO22" s="19"/>
      <c r="QZP22" s="19"/>
      <c r="QZQ22" s="19"/>
      <c r="QZR22" s="19"/>
      <c r="QZS22" s="19"/>
      <c r="QZT22" s="19"/>
      <c r="QZU22" s="19"/>
      <c r="QZV22" s="19"/>
      <c r="QZW22" s="19"/>
      <c r="QZX22" s="19"/>
      <c r="QZY22" s="19"/>
      <c r="QZZ22" s="19"/>
      <c r="RAA22" s="19"/>
      <c r="RAB22" s="19"/>
      <c r="RAC22" s="19"/>
      <c r="RAD22" s="19"/>
      <c r="RAE22" s="19"/>
      <c r="RAF22" s="19"/>
      <c r="RAG22" s="19"/>
      <c r="RAH22" s="19"/>
      <c r="RAI22" s="19"/>
      <c r="RAJ22" s="19"/>
      <c r="RAK22" s="19"/>
      <c r="RAL22" s="19"/>
      <c r="RAM22" s="19"/>
      <c r="RAN22" s="19"/>
      <c r="RAO22" s="19"/>
      <c r="RAP22" s="19"/>
      <c r="RAQ22" s="19"/>
      <c r="RAR22" s="19"/>
      <c r="RAS22" s="19"/>
      <c r="RAT22" s="19"/>
      <c r="RAU22" s="19"/>
      <c r="RAV22" s="19"/>
      <c r="RAW22" s="19"/>
      <c r="RAX22" s="19"/>
      <c r="RAY22" s="19"/>
      <c r="RAZ22" s="19"/>
      <c r="RBA22" s="19"/>
      <c r="RBB22" s="19"/>
      <c r="RBC22" s="19"/>
      <c r="RBD22" s="19"/>
      <c r="RBE22" s="19"/>
      <c r="RBF22" s="19"/>
      <c r="RBG22" s="19"/>
      <c r="RBH22" s="19"/>
      <c r="RBI22" s="19"/>
      <c r="RBJ22" s="19"/>
      <c r="RBK22" s="19"/>
      <c r="RBL22" s="19"/>
      <c r="RBM22" s="19"/>
      <c r="RBN22" s="19"/>
      <c r="RBO22" s="19"/>
      <c r="RBP22" s="19"/>
      <c r="RBQ22" s="19"/>
      <c r="RBR22" s="19"/>
      <c r="RBS22" s="19"/>
      <c r="RBT22" s="19"/>
      <c r="RBU22" s="19"/>
      <c r="RBV22" s="19"/>
      <c r="RBW22" s="19"/>
      <c r="RBX22" s="19"/>
      <c r="RBY22" s="19"/>
      <c r="RBZ22" s="19"/>
      <c r="RCA22" s="19"/>
      <c r="RCB22" s="19"/>
      <c r="RCC22" s="19"/>
      <c r="RCD22" s="19"/>
      <c r="RCE22" s="19"/>
      <c r="RCF22" s="19"/>
      <c r="RCG22" s="19"/>
      <c r="RCH22" s="19"/>
      <c r="RCI22" s="19"/>
      <c r="RCJ22" s="19"/>
      <c r="RCK22" s="19"/>
      <c r="RCL22" s="19"/>
      <c r="RCM22" s="19"/>
      <c r="RCN22" s="19"/>
      <c r="RCO22" s="19"/>
      <c r="RCP22" s="19"/>
      <c r="RCQ22" s="19"/>
      <c r="RCR22" s="19"/>
      <c r="RCS22" s="19"/>
      <c r="RCT22" s="19"/>
      <c r="RCU22" s="19"/>
      <c r="RCV22" s="19"/>
      <c r="RCW22" s="19"/>
      <c r="RCX22" s="19"/>
      <c r="RCY22" s="19"/>
      <c r="RCZ22" s="19"/>
      <c r="RDA22" s="19"/>
      <c r="RDB22" s="19"/>
      <c r="RDC22" s="19"/>
      <c r="RDD22" s="19"/>
      <c r="RDE22" s="19"/>
      <c r="RDF22" s="19"/>
      <c r="RDG22" s="19"/>
      <c r="RDH22" s="19"/>
      <c r="RDI22" s="19"/>
      <c r="RDJ22" s="19"/>
      <c r="RDK22" s="19"/>
      <c r="RDL22" s="19"/>
      <c r="RDM22" s="19"/>
      <c r="RDN22" s="19"/>
      <c r="RDO22" s="19"/>
      <c r="RDP22" s="19"/>
      <c r="RDQ22" s="19"/>
      <c r="RDR22" s="19"/>
      <c r="RDS22" s="19"/>
      <c r="RDT22" s="19"/>
      <c r="RDU22" s="19"/>
      <c r="RDV22" s="19"/>
      <c r="RDW22" s="19"/>
      <c r="RDX22" s="19"/>
      <c r="RDY22" s="19"/>
      <c r="RDZ22" s="19"/>
      <c r="REA22" s="19"/>
      <c r="REB22" s="19"/>
      <c r="REC22" s="19"/>
      <c r="RED22" s="19"/>
      <c r="REE22" s="19"/>
      <c r="REF22" s="19"/>
      <c r="REG22" s="19"/>
      <c r="REH22" s="19"/>
      <c r="REI22" s="19"/>
      <c r="REJ22" s="19"/>
      <c r="REK22" s="19"/>
      <c r="REL22" s="19"/>
      <c r="REM22" s="19"/>
      <c r="REN22" s="19"/>
      <c r="REO22" s="19"/>
      <c r="REP22" s="19"/>
      <c r="REQ22" s="19"/>
      <c r="RER22" s="19"/>
      <c r="RES22" s="19"/>
      <c r="RET22" s="19"/>
      <c r="REU22" s="19"/>
      <c r="REV22" s="19"/>
      <c r="REW22" s="19"/>
      <c r="REX22" s="19"/>
      <c r="REY22" s="19"/>
      <c r="REZ22" s="19"/>
      <c r="RFA22" s="19"/>
      <c r="RFB22" s="19"/>
      <c r="RFC22" s="19"/>
      <c r="RFD22" s="19"/>
      <c r="RFE22" s="19"/>
      <c r="RFF22" s="19"/>
      <c r="RFG22" s="19"/>
      <c r="RFH22" s="19"/>
      <c r="RFI22" s="19"/>
      <c r="RFJ22" s="19"/>
      <c r="RFK22" s="19"/>
      <c r="RFL22" s="19"/>
      <c r="RFM22" s="19"/>
      <c r="RFN22" s="19"/>
      <c r="RFO22" s="19"/>
      <c r="RFP22" s="19"/>
      <c r="RFQ22" s="19"/>
      <c r="RFR22" s="19"/>
      <c r="RFS22" s="19"/>
      <c r="RFT22" s="19"/>
      <c r="RFU22" s="19"/>
      <c r="RFV22" s="19"/>
      <c r="RFW22" s="19"/>
      <c r="RFX22" s="19"/>
      <c r="RFY22" s="19"/>
      <c r="RFZ22" s="19"/>
      <c r="RGA22" s="19"/>
      <c r="RGB22" s="19"/>
      <c r="RGC22" s="19"/>
      <c r="RGD22" s="19"/>
      <c r="RGE22" s="19"/>
      <c r="RGF22" s="19"/>
      <c r="RGG22" s="19"/>
      <c r="RGH22" s="19"/>
      <c r="RGI22" s="19"/>
      <c r="RGJ22" s="19"/>
      <c r="RGK22" s="19"/>
      <c r="RGL22" s="19"/>
      <c r="RGM22" s="19"/>
      <c r="RGN22" s="19"/>
      <c r="RGO22" s="19"/>
      <c r="RGP22" s="19"/>
      <c r="RGQ22" s="19"/>
      <c r="RGR22" s="19"/>
      <c r="RGS22" s="19"/>
      <c r="RGT22" s="19"/>
      <c r="RGU22" s="19"/>
      <c r="RGV22" s="19"/>
      <c r="RGW22" s="19"/>
      <c r="RGX22" s="19"/>
      <c r="RGY22" s="19"/>
      <c r="RGZ22" s="19"/>
      <c r="RHA22" s="19"/>
      <c r="RHB22" s="19"/>
      <c r="RHC22" s="19"/>
      <c r="RHD22" s="19"/>
      <c r="RHE22" s="19"/>
      <c r="RHF22" s="19"/>
      <c r="RHG22" s="19"/>
      <c r="RHH22" s="19"/>
      <c r="RHI22" s="19"/>
      <c r="RHJ22" s="19"/>
      <c r="RHK22" s="19"/>
      <c r="RHL22" s="19"/>
      <c r="RHM22" s="19"/>
      <c r="RHN22" s="19"/>
      <c r="RHO22" s="19"/>
      <c r="RHP22" s="19"/>
      <c r="RHQ22" s="19"/>
      <c r="RHR22" s="19"/>
      <c r="RHS22" s="19"/>
      <c r="RHT22" s="19"/>
      <c r="RHU22" s="19"/>
      <c r="RHV22" s="19"/>
      <c r="RHW22" s="19"/>
      <c r="RHX22" s="19"/>
      <c r="RHY22" s="19"/>
      <c r="RHZ22" s="19"/>
      <c r="RIA22" s="19"/>
      <c r="RIB22" s="19"/>
      <c r="RIC22" s="19"/>
      <c r="RID22" s="19"/>
      <c r="RIE22" s="19"/>
      <c r="RIF22" s="19"/>
      <c r="RIG22" s="19"/>
      <c r="RIH22" s="19"/>
      <c r="RII22" s="19"/>
      <c r="RIJ22" s="19"/>
      <c r="RIK22" s="19"/>
      <c r="RIL22" s="19"/>
      <c r="RIM22" s="19"/>
      <c r="RIN22" s="19"/>
      <c r="RIO22" s="19"/>
      <c r="RIP22" s="19"/>
      <c r="RIQ22" s="19"/>
      <c r="RIR22" s="19"/>
      <c r="RIS22" s="19"/>
      <c r="RIT22" s="19"/>
      <c r="RIU22" s="19"/>
      <c r="RIV22" s="19"/>
      <c r="RIW22" s="19"/>
      <c r="RIX22" s="19"/>
      <c r="RIY22" s="19"/>
      <c r="RIZ22" s="19"/>
      <c r="RJA22" s="19"/>
      <c r="RJB22" s="19"/>
      <c r="RJC22" s="19"/>
      <c r="RJD22" s="19"/>
      <c r="RJE22" s="19"/>
      <c r="RJF22" s="19"/>
      <c r="RJG22" s="19"/>
      <c r="RJH22" s="19"/>
      <c r="RJI22" s="19"/>
      <c r="RJJ22" s="19"/>
      <c r="RJK22" s="19"/>
      <c r="RJL22" s="19"/>
      <c r="RJM22" s="19"/>
      <c r="RJN22" s="19"/>
      <c r="RJO22" s="19"/>
      <c r="RJP22" s="19"/>
      <c r="RJQ22" s="19"/>
      <c r="RJR22" s="19"/>
      <c r="RJS22" s="19"/>
      <c r="RJT22" s="19"/>
      <c r="RJU22" s="19"/>
      <c r="RJV22" s="19"/>
      <c r="RJW22" s="19"/>
      <c r="RJX22" s="19"/>
      <c r="RJY22" s="19"/>
      <c r="RJZ22" s="19"/>
      <c r="RKA22" s="19"/>
      <c r="RKB22" s="19"/>
      <c r="RKC22" s="19"/>
      <c r="RKD22" s="19"/>
      <c r="RKE22" s="19"/>
      <c r="RKF22" s="19"/>
      <c r="RKG22" s="19"/>
      <c r="RKH22" s="19"/>
      <c r="RKI22" s="19"/>
      <c r="RKJ22" s="19"/>
      <c r="RKK22" s="19"/>
      <c r="RKL22" s="19"/>
      <c r="RKM22" s="19"/>
      <c r="RKN22" s="19"/>
      <c r="RKO22" s="19"/>
      <c r="RKP22" s="19"/>
      <c r="RKQ22" s="19"/>
      <c r="RKR22" s="19"/>
      <c r="RKS22" s="19"/>
      <c r="RKT22" s="19"/>
      <c r="RKU22" s="19"/>
      <c r="RKV22" s="19"/>
      <c r="RKW22" s="19"/>
      <c r="RKX22" s="19"/>
      <c r="RKY22" s="19"/>
      <c r="RKZ22" s="19"/>
      <c r="RLA22" s="19"/>
      <c r="RLB22" s="19"/>
      <c r="RLC22" s="19"/>
      <c r="RLD22" s="19"/>
      <c r="RLE22" s="19"/>
      <c r="RLF22" s="19"/>
      <c r="RLG22" s="19"/>
      <c r="RLH22" s="19"/>
      <c r="RLI22" s="19"/>
      <c r="RLJ22" s="19"/>
      <c r="RLK22" s="19"/>
      <c r="RLL22" s="19"/>
      <c r="RLM22" s="19"/>
      <c r="RLN22" s="19"/>
      <c r="RLO22" s="19"/>
      <c r="RLP22" s="19"/>
      <c r="RLQ22" s="19"/>
      <c r="RLR22" s="19"/>
      <c r="RLS22" s="19"/>
      <c r="RLT22" s="19"/>
      <c r="RLU22" s="19"/>
      <c r="RLV22" s="19"/>
      <c r="RLW22" s="19"/>
      <c r="RLX22" s="19"/>
      <c r="RLY22" s="19"/>
      <c r="RLZ22" s="19"/>
      <c r="RMA22" s="19"/>
      <c r="RMB22" s="19"/>
      <c r="RMC22" s="19"/>
      <c r="RMD22" s="19"/>
      <c r="RME22" s="19"/>
      <c r="RMF22" s="19"/>
      <c r="RMG22" s="19"/>
      <c r="RMH22" s="19"/>
      <c r="RMI22" s="19"/>
      <c r="RMJ22" s="19"/>
      <c r="RMK22" s="19"/>
      <c r="RML22" s="19"/>
      <c r="RMM22" s="19"/>
      <c r="RMN22" s="19"/>
      <c r="RMO22" s="19"/>
      <c r="RMP22" s="19"/>
      <c r="RMQ22" s="19"/>
      <c r="RMR22" s="19"/>
      <c r="RMS22" s="19"/>
      <c r="RMT22" s="19"/>
      <c r="RMU22" s="19"/>
      <c r="RMV22" s="19"/>
      <c r="RMW22" s="19"/>
      <c r="RMX22" s="19"/>
      <c r="RMY22" s="19"/>
      <c r="RMZ22" s="19"/>
      <c r="RNA22" s="19"/>
      <c r="RNB22" s="19"/>
      <c r="RNC22" s="19"/>
      <c r="RND22" s="19"/>
      <c r="RNE22" s="19"/>
      <c r="RNF22" s="19"/>
      <c r="RNG22" s="19"/>
      <c r="RNH22" s="19"/>
      <c r="RNI22" s="19"/>
      <c r="RNJ22" s="19"/>
      <c r="RNK22" s="19"/>
      <c r="RNL22" s="19"/>
      <c r="RNM22" s="19"/>
      <c r="RNN22" s="19"/>
      <c r="RNO22" s="19"/>
      <c r="RNP22" s="19"/>
      <c r="RNQ22" s="19"/>
      <c r="RNR22" s="19"/>
      <c r="RNS22" s="19"/>
      <c r="RNT22" s="19"/>
      <c r="RNU22" s="19"/>
      <c r="RNV22" s="19"/>
      <c r="RNW22" s="19"/>
      <c r="RNX22" s="19"/>
      <c r="RNY22" s="19"/>
      <c r="RNZ22" s="19"/>
      <c r="ROA22" s="19"/>
      <c r="ROB22" s="19"/>
      <c r="ROC22" s="19"/>
      <c r="ROD22" s="19"/>
      <c r="ROE22" s="19"/>
      <c r="ROF22" s="19"/>
      <c r="ROG22" s="19"/>
      <c r="ROH22" s="19"/>
      <c r="ROI22" s="19"/>
      <c r="ROJ22" s="19"/>
      <c r="ROK22" s="19"/>
      <c r="ROL22" s="19"/>
      <c r="ROM22" s="19"/>
      <c r="RON22" s="19"/>
      <c r="ROO22" s="19"/>
      <c r="ROP22" s="19"/>
      <c r="ROQ22" s="19"/>
      <c r="ROR22" s="19"/>
      <c r="ROS22" s="19"/>
      <c r="ROT22" s="19"/>
      <c r="ROU22" s="19"/>
      <c r="ROV22" s="19"/>
      <c r="ROW22" s="19"/>
      <c r="ROX22" s="19"/>
      <c r="ROY22" s="19"/>
      <c r="ROZ22" s="19"/>
      <c r="RPA22" s="19"/>
      <c r="RPB22" s="19"/>
      <c r="RPC22" s="19"/>
      <c r="RPD22" s="19"/>
      <c r="RPE22" s="19"/>
      <c r="RPF22" s="19"/>
      <c r="RPG22" s="19"/>
      <c r="RPH22" s="19"/>
      <c r="RPI22" s="19"/>
      <c r="RPJ22" s="19"/>
      <c r="RPK22" s="19"/>
      <c r="RPL22" s="19"/>
      <c r="RPM22" s="19"/>
      <c r="RPN22" s="19"/>
      <c r="RPO22" s="19"/>
      <c r="RPP22" s="19"/>
      <c r="RPQ22" s="19"/>
      <c r="RPR22" s="19"/>
      <c r="RPS22" s="19"/>
      <c r="RPT22" s="19"/>
      <c r="RPU22" s="19"/>
      <c r="RPV22" s="19"/>
      <c r="RPW22" s="19"/>
      <c r="RPX22" s="19"/>
      <c r="RPY22" s="19"/>
      <c r="RPZ22" s="19"/>
      <c r="RQA22" s="19"/>
      <c r="RQB22" s="19"/>
      <c r="RQC22" s="19"/>
      <c r="RQD22" s="19"/>
      <c r="RQE22" s="19"/>
      <c r="RQF22" s="19"/>
      <c r="RQG22" s="19"/>
      <c r="RQH22" s="19"/>
      <c r="RQI22" s="19"/>
      <c r="RQJ22" s="19"/>
      <c r="RQK22" s="19"/>
      <c r="RQL22" s="19"/>
      <c r="RQM22" s="19"/>
      <c r="RQN22" s="19"/>
      <c r="RQO22" s="19"/>
      <c r="RQP22" s="19"/>
      <c r="RQQ22" s="19"/>
      <c r="RQR22" s="19"/>
      <c r="RQS22" s="19"/>
      <c r="RQT22" s="19"/>
      <c r="RQU22" s="19"/>
      <c r="RQV22" s="19"/>
      <c r="RQW22" s="19"/>
      <c r="RQX22" s="19"/>
      <c r="RQY22" s="19"/>
      <c r="RQZ22" s="19"/>
      <c r="RRA22" s="19"/>
      <c r="RRB22" s="19"/>
      <c r="RRC22" s="19"/>
      <c r="RRD22" s="19"/>
      <c r="RRE22" s="19"/>
      <c r="RRF22" s="19"/>
      <c r="RRG22" s="19"/>
      <c r="RRH22" s="19"/>
      <c r="RRI22" s="19"/>
      <c r="RRJ22" s="19"/>
      <c r="RRK22" s="19"/>
      <c r="RRL22" s="19"/>
      <c r="RRM22" s="19"/>
      <c r="RRN22" s="19"/>
      <c r="RRO22" s="19"/>
      <c r="RRP22" s="19"/>
      <c r="RRQ22" s="19"/>
      <c r="RRR22" s="19"/>
      <c r="RRS22" s="19"/>
      <c r="RRT22" s="19"/>
      <c r="RRU22" s="19"/>
      <c r="RRV22" s="19"/>
      <c r="RRW22" s="19"/>
      <c r="RRX22" s="19"/>
      <c r="RRY22" s="19"/>
      <c r="RRZ22" s="19"/>
      <c r="RSA22" s="19"/>
      <c r="RSB22" s="19"/>
      <c r="RSC22" s="19"/>
      <c r="RSD22" s="19"/>
      <c r="RSE22" s="19"/>
      <c r="RSF22" s="19"/>
      <c r="RSG22" s="19"/>
      <c r="RSH22" s="19"/>
      <c r="RSI22" s="19"/>
      <c r="RSJ22" s="19"/>
      <c r="RSK22" s="19"/>
      <c r="RSL22" s="19"/>
      <c r="RSM22" s="19"/>
      <c r="RSN22" s="19"/>
      <c r="RSO22" s="19"/>
      <c r="RSP22" s="19"/>
      <c r="RSQ22" s="19"/>
      <c r="RSR22" s="19"/>
      <c r="RSS22" s="19"/>
      <c r="RST22" s="19"/>
      <c r="RSU22" s="19"/>
      <c r="RSV22" s="19"/>
      <c r="RSW22" s="19"/>
      <c r="RSX22" s="19"/>
      <c r="RSY22" s="19"/>
      <c r="RSZ22" s="19"/>
      <c r="RTA22" s="19"/>
      <c r="RTB22" s="19"/>
      <c r="RTC22" s="19"/>
      <c r="RTD22" s="19"/>
      <c r="RTE22" s="19"/>
      <c r="RTF22" s="19"/>
      <c r="RTG22" s="19"/>
      <c r="RTH22" s="19"/>
      <c r="RTI22" s="19"/>
      <c r="RTJ22" s="19"/>
      <c r="RTK22" s="19"/>
      <c r="RTL22" s="19"/>
      <c r="RTM22" s="19"/>
      <c r="RTN22" s="19"/>
      <c r="RTO22" s="19"/>
      <c r="RTP22" s="19"/>
      <c r="RTQ22" s="19"/>
      <c r="RTR22" s="19"/>
      <c r="RTS22" s="19"/>
      <c r="RTT22" s="19"/>
      <c r="RTU22" s="19"/>
      <c r="RTV22" s="19"/>
      <c r="RTW22" s="19"/>
      <c r="RTX22" s="19"/>
      <c r="RTY22" s="19"/>
      <c r="RTZ22" s="19"/>
      <c r="RUA22" s="19"/>
      <c r="RUB22" s="19"/>
      <c r="RUC22" s="19"/>
      <c r="RUD22" s="19"/>
      <c r="RUE22" s="19"/>
      <c r="RUF22" s="19"/>
      <c r="RUG22" s="19"/>
      <c r="RUH22" s="19"/>
      <c r="RUI22" s="19"/>
      <c r="RUJ22" s="19"/>
      <c r="RUK22" s="19"/>
      <c r="RUL22" s="19"/>
      <c r="RUM22" s="19"/>
      <c r="RUN22" s="19"/>
      <c r="RUO22" s="19"/>
      <c r="RUP22" s="19"/>
      <c r="RUQ22" s="19"/>
      <c r="RUR22" s="19"/>
      <c r="RUS22" s="19"/>
      <c r="RUT22" s="19"/>
      <c r="RUU22" s="19"/>
      <c r="RUV22" s="19"/>
      <c r="RUW22" s="19"/>
      <c r="RUX22" s="19"/>
      <c r="RUY22" s="19"/>
      <c r="RUZ22" s="19"/>
      <c r="RVA22" s="19"/>
      <c r="RVB22" s="19"/>
      <c r="RVC22" s="19"/>
      <c r="RVD22" s="19"/>
      <c r="RVE22" s="19"/>
      <c r="RVF22" s="19"/>
      <c r="RVG22" s="19"/>
      <c r="RVH22" s="19"/>
      <c r="RVI22" s="19"/>
      <c r="RVJ22" s="19"/>
      <c r="RVK22" s="19"/>
      <c r="RVL22" s="19"/>
      <c r="RVM22" s="19"/>
      <c r="RVN22" s="19"/>
      <c r="RVO22" s="19"/>
      <c r="RVP22" s="19"/>
      <c r="RVQ22" s="19"/>
      <c r="RVR22" s="19"/>
      <c r="RVS22" s="19"/>
      <c r="RVT22" s="19"/>
      <c r="RVU22" s="19"/>
      <c r="RVV22" s="19"/>
      <c r="RVW22" s="19"/>
      <c r="RVX22" s="19"/>
      <c r="RVY22" s="19"/>
      <c r="RVZ22" s="19"/>
      <c r="RWA22" s="19"/>
      <c r="RWB22" s="19"/>
      <c r="RWC22" s="19"/>
      <c r="RWD22" s="19"/>
      <c r="RWE22" s="19"/>
      <c r="RWF22" s="19"/>
      <c r="RWG22" s="19"/>
      <c r="RWH22" s="19"/>
      <c r="RWI22" s="19"/>
      <c r="RWJ22" s="19"/>
      <c r="RWK22" s="19"/>
      <c r="RWL22" s="19"/>
      <c r="RWM22" s="19"/>
      <c r="RWN22" s="19"/>
      <c r="RWO22" s="19"/>
      <c r="RWP22" s="19"/>
      <c r="RWQ22" s="19"/>
      <c r="RWR22" s="19"/>
      <c r="RWS22" s="19"/>
      <c r="RWT22" s="19"/>
      <c r="RWU22" s="19"/>
      <c r="RWV22" s="19"/>
      <c r="RWW22" s="19"/>
      <c r="RWX22" s="19"/>
      <c r="RWY22" s="19"/>
      <c r="RWZ22" s="19"/>
      <c r="RXA22" s="19"/>
      <c r="RXB22" s="19"/>
      <c r="RXC22" s="19"/>
      <c r="RXD22" s="19"/>
      <c r="RXE22" s="19"/>
      <c r="RXF22" s="19"/>
      <c r="RXG22" s="19"/>
      <c r="RXH22" s="19"/>
      <c r="RXI22" s="19"/>
      <c r="RXJ22" s="19"/>
      <c r="RXK22" s="19"/>
      <c r="RXL22" s="19"/>
      <c r="RXM22" s="19"/>
      <c r="RXN22" s="19"/>
      <c r="RXO22" s="19"/>
      <c r="RXP22" s="19"/>
      <c r="RXQ22" s="19"/>
      <c r="RXR22" s="19"/>
      <c r="RXS22" s="19"/>
      <c r="RXT22" s="19"/>
      <c r="RXU22" s="19"/>
      <c r="RXV22" s="19"/>
      <c r="RXW22" s="19"/>
      <c r="RXX22" s="19"/>
      <c r="RXY22" s="19"/>
      <c r="RXZ22" s="19"/>
      <c r="RYA22" s="19"/>
      <c r="RYB22" s="19"/>
      <c r="RYC22" s="19"/>
      <c r="RYD22" s="19"/>
      <c r="RYE22" s="19"/>
      <c r="RYF22" s="19"/>
      <c r="RYG22" s="19"/>
      <c r="RYH22" s="19"/>
      <c r="RYI22" s="19"/>
      <c r="RYJ22" s="19"/>
      <c r="RYK22" s="19"/>
      <c r="RYL22" s="19"/>
      <c r="RYM22" s="19"/>
      <c r="RYN22" s="19"/>
      <c r="RYO22" s="19"/>
      <c r="RYP22" s="19"/>
      <c r="RYQ22" s="19"/>
      <c r="RYR22" s="19"/>
      <c r="RYS22" s="19"/>
      <c r="RYT22" s="19"/>
      <c r="RYU22" s="19"/>
      <c r="RYV22" s="19"/>
      <c r="RYW22" s="19"/>
      <c r="RYX22" s="19"/>
      <c r="RYY22" s="19"/>
      <c r="RYZ22" s="19"/>
      <c r="RZA22" s="19"/>
      <c r="RZB22" s="19"/>
      <c r="RZC22" s="19"/>
      <c r="RZD22" s="19"/>
      <c r="RZE22" s="19"/>
      <c r="RZF22" s="19"/>
      <c r="RZG22" s="19"/>
      <c r="RZH22" s="19"/>
      <c r="RZI22" s="19"/>
      <c r="RZJ22" s="19"/>
      <c r="RZK22" s="19"/>
      <c r="RZL22" s="19"/>
      <c r="RZM22" s="19"/>
      <c r="RZN22" s="19"/>
      <c r="RZO22" s="19"/>
      <c r="RZP22" s="19"/>
      <c r="RZQ22" s="19"/>
      <c r="RZR22" s="19"/>
      <c r="RZS22" s="19"/>
      <c r="RZT22" s="19"/>
      <c r="RZU22" s="19"/>
      <c r="RZV22" s="19"/>
      <c r="RZW22" s="19"/>
      <c r="RZX22" s="19"/>
      <c r="RZY22" s="19"/>
      <c r="RZZ22" s="19"/>
      <c r="SAA22" s="19"/>
      <c r="SAB22" s="19"/>
      <c r="SAC22" s="19"/>
      <c r="SAD22" s="19"/>
      <c r="SAE22" s="19"/>
      <c r="SAF22" s="19"/>
      <c r="SAG22" s="19"/>
      <c r="SAH22" s="19"/>
      <c r="SAI22" s="19"/>
      <c r="SAJ22" s="19"/>
      <c r="SAK22" s="19"/>
      <c r="SAL22" s="19"/>
      <c r="SAM22" s="19"/>
      <c r="SAN22" s="19"/>
      <c r="SAO22" s="19"/>
      <c r="SAP22" s="19"/>
      <c r="SAQ22" s="19"/>
      <c r="SAR22" s="19"/>
      <c r="SAS22" s="19"/>
      <c r="SAT22" s="19"/>
      <c r="SAU22" s="19"/>
      <c r="SAV22" s="19"/>
      <c r="SAW22" s="19"/>
      <c r="SAX22" s="19"/>
      <c r="SAY22" s="19"/>
      <c r="SAZ22" s="19"/>
      <c r="SBA22" s="19"/>
      <c r="SBB22" s="19"/>
      <c r="SBC22" s="19"/>
      <c r="SBD22" s="19"/>
      <c r="SBE22" s="19"/>
      <c r="SBF22" s="19"/>
      <c r="SBG22" s="19"/>
      <c r="SBH22" s="19"/>
      <c r="SBI22" s="19"/>
      <c r="SBJ22" s="19"/>
      <c r="SBK22" s="19"/>
      <c r="SBL22" s="19"/>
      <c r="SBM22" s="19"/>
      <c r="SBN22" s="19"/>
      <c r="SBO22" s="19"/>
      <c r="SBP22" s="19"/>
      <c r="SBQ22" s="19"/>
      <c r="SBR22" s="19"/>
      <c r="SBS22" s="19"/>
      <c r="SBT22" s="19"/>
      <c r="SBU22" s="19"/>
      <c r="SBV22" s="19"/>
      <c r="SBW22" s="19"/>
      <c r="SBX22" s="19"/>
      <c r="SBY22" s="19"/>
      <c r="SBZ22" s="19"/>
      <c r="SCA22" s="19"/>
      <c r="SCB22" s="19"/>
      <c r="SCC22" s="19"/>
      <c r="SCD22" s="19"/>
      <c r="SCE22" s="19"/>
      <c r="SCF22" s="19"/>
      <c r="SCG22" s="19"/>
      <c r="SCH22" s="19"/>
      <c r="SCI22" s="19"/>
      <c r="SCJ22" s="19"/>
      <c r="SCK22" s="19"/>
      <c r="SCL22" s="19"/>
      <c r="SCM22" s="19"/>
      <c r="SCN22" s="19"/>
      <c r="SCO22" s="19"/>
      <c r="SCP22" s="19"/>
      <c r="SCQ22" s="19"/>
      <c r="SCR22" s="19"/>
      <c r="SCS22" s="19"/>
      <c r="SCT22" s="19"/>
      <c r="SCU22" s="19"/>
      <c r="SCV22" s="19"/>
      <c r="SCW22" s="19"/>
      <c r="SCX22" s="19"/>
      <c r="SCY22" s="19"/>
      <c r="SCZ22" s="19"/>
      <c r="SDA22" s="19"/>
      <c r="SDB22" s="19"/>
      <c r="SDC22" s="19"/>
      <c r="SDD22" s="19"/>
      <c r="SDE22" s="19"/>
      <c r="SDF22" s="19"/>
      <c r="SDG22" s="19"/>
      <c r="SDH22" s="19"/>
      <c r="SDI22" s="19"/>
      <c r="SDJ22" s="19"/>
      <c r="SDK22" s="19"/>
      <c r="SDL22" s="19"/>
      <c r="SDM22" s="19"/>
      <c r="SDN22" s="19"/>
      <c r="SDO22" s="19"/>
      <c r="SDP22" s="19"/>
      <c r="SDQ22" s="19"/>
      <c r="SDR22" s="19"/>
      <c r="SDS22" s="19"/>
      <c r="SDT22" s="19"/>
      <c r="SDU22" s="19"/>
      <c r="SDV22" s="19"/>
      <c r="SDW22" s="19"/>
      <c r="SDX22" s="19"/>
      <c r="SDY22" s="19"/>
      <c r="SDZ22" s="19"/>
      <c r="SEA22" s="19"/>
      <c r="SEB22" s="19"/>
      <c r="SEC22" s="19"/>
      <c r="SED22" s="19"/>
      <c r="SEE22" s="19"/>
      <c r="SEF22" s="19"/>
      <c r="SEG22" s="19"/>
      <c r="SEH22" s="19"/>
      <c r="SEI22" s="19"/>
      <c r="SEJ22" s="19"/>
      <c r="SEK22" s="19"/>
      <c r="SEL22" s="19"/>
      <c r="SEM22" s="19"/>
      <c r="SEN22" s="19"/>
      <c r="SEO22" s="19"/>
      <c r="SEP22" s="19"/>
      <c r="SEQ22" s="19"/>
      <c r="SER22" s="19"/>
      <c r="SES22" s="19"/>
      <c r="SET22" s="19"/>
      <c r="SEU22" s="19"/>
      <c r="SEV22" s="19"/>
      <c r="SEW22" s="19"/>
      <c r="SEX22" s="19"/>
      <c r="SEY22" s="19"/>
      <c r="SEZ22" s="19"/>
      <c r="SFA22" s="19"/>
      <c r="SFB22" s="19"/>
      <c r="SFC22" s="19"/>
      <c r="SFD22" s="19"/>
      <c r="SFE22" s="19"/>
      <c r="SFF22" s="19"/>
      <c r="SFG22" s="19"/>
      <c r="SFH22" s="19"/>
      <c r="SFI22" s="19"/>
      <c r="SFJ22" s="19"/>
      <c r="SFK22" s="19"/>
      <c r="SFL22" s="19"/>
      <c r="SFM22" s="19"/>
      <c r="SFN22" s="19"/>
      <c r="SFO22" s="19"/>
      <c r="SFP22" s="19"/>
      <c r="SFQ22" s="19"/>
      <c r="SFR22" s="19"/>
      <c r="SFS22" s="19"/>
      <c r="SFT22" s="19"/>
      <c r="SFU22" s="19"/>
      <c r="SFV22" s="19"/>
      <c r="SFW22" s="19"/>
      <c r="SFX22" s="19"/>
      <c r="SFY22" s="19"/>
      <c r="SFZ22" s="19"/>
      <c r="SGA22" s="19"/>
      <c r="SGB22" s="19"/>
      <c r="SGC22" s="19"/>
      <c r="SGD22" s="19"/>
      <c r="SGE22" s="19"/>
      <c r="SGF22" s="19"/>
      <c r="SGG22" s="19"/>
      <c r="SGH22" s="19"/>
      <c r="SGI22" s="19"/>
      <c r="SGJ22" s="19"/>
      <c r="SGK22" s="19"/>
      <c r="SGL22" s="19"/>
      <c r="SGM22" s="19"/>
      <c r="SGN22" s="19"/>
      <c r="SGO22" s="19"/>
      <c r="SGP22" s="19"/>
      <c r="SGQ22" s="19"/>
      <c r="SGR22" s="19"/>
      <c r="SGS22" s="19"/>
      <c r="SGT22" s="19"/>
      <c r="SGU22" s="19"/>
      <c r="SGV22" s="19"/>
      <c r="SGW22" s="19"/>
      <c r="SGX22" s="19"/>
      <c r="SGY22" s="19"/>
      <c r="SGZ22" s="19"/>
      <c r="SHA22" s="19"/>
      <c r="SHB22" s="19"/>
      <c r="SHC22" s="19"/>
      <c r="SHD22" s="19"/>
      <c r="SHE22" s="19"/>
      <c r="SHF22" s="19"/>
      <c r="SHG22" s="19"/>
      <c r="SHH22" s="19"/>
      <c r="SHI22" s="19"/>
      <c r="SHJ22" s="19"/>
      <c r="SHK22" s="19"/>
      <c r="SHL22" s="19"/>
      <c r="SHM22" s="19"/>
      <c r="SHN22" s="19"/>
      <c r="SHO22" s="19"/>
      <c r="SHP22" s="19"/>
      <c r="SHQ22" s="19"/>
      <c r="SHR22" s="19"/>
      <c r="SHS22" s="19"/>
      <c r="SHT22" s="19"/>
      <c r="SHU22" s="19"/>
      <c r="SHV22" s="19"/>
      <c r="SHW22" s="19"/>
      <c r="SHX22" s="19"/>
      <c r="SHY22" s="19"/>
      <c r="SHZ22" s="19"/>
      <c r="SIA22" s="19"/>
      <c r="SIB22" s="19"/>
      <c r="SIC22" s="19"/>
      <c r="SID22" s="19"/>
      <c r="SIE22" s="19"/>
      <c r="SIF22" s="19"/>
      <c r="SIG22" s="19"/>
      <c r="SIH22" s="19"/>
      <c r="SII22" s="19"/>
      <c r="SIJ22" s="19"/>
      <c r="SIK22" s="19"/>
      <c r="SIL22" s="19"/>
      <c r="SIM22" s="19"/>
      <c r="SIN22" s="19"/>
      <c r="SIO22" s="19"/>
      <c r="SIP22" s="19"/>
      <c r="SIQ22" s="19"/>
      <c r="SIR22" s="19"/>
      <c r="SIS22" s="19"/>
      <c r="SIT22" s="19"/>
      <c r="SIU22" s="19"/>
      <c r="SIV22" s="19"/>
      <c r="SIW22" s="19"/>
      <c r="SIX22" s="19"/>
      <c r="SIY22" s="19"/>
      <c r="SIZ22" s="19"/>
      <c r="SJA22" s="19"/>
      <c r="SJB22" s="19"/>
      <c r="SJC22" s="19"/>
      <c r="SJD22" s="19"/>
      <c r="SJE22" s="19"/>
      <c r="SJF22" s="19"/>
      <c r="SJG22" s="19"/>
      <c r="SJH22" s="19"/>
      <c r="SJI22" s="19"/>
      <c r="SJJ22" s="19"/>
      <c r="SJK22" s="19"/>
      <c r="SJL22" s="19"/>
      <c r="SJM22" s="19"/>
      <c r="SJN22" s="19"/>
      <c r="SJO22" s="19"/>
      <c r="SJP22" s="19"/>
      <c r="SJQ22" s="19"/>
      <c r="SJR22" s="19"/>
      <c r="SJS22" s="19"/>
      <c r="SJT22" s="19"/>
      <c r="SJU22" s="19"/>
      <c r="SJV22" s="19"/>
      <c r="SJW22" s="19"/>
      <c r="SJX22" s="19"/>
      <c r="SJY22" s="19"/>
      <c r="SJZ22" s="19"/>
      <c r="SKA22" s="19"/>
      <c r="SKB22" s="19"/>
      <c r="SKC22" s="19"/>
      <c r="SKD22" s="19"/>
      <c r="SKE22" s="19"/>
      <c r="SKF22" s="19"/>
      <c r="SKG22" s="19"/>
      <c r="SKH22" s="19"/>
      <c r="SKI22" s="19"/>
      <c r="SKJ22" s="19"/>
      <c r="SKK22" s="19"/>
      <c r="SKL22" s="19"/>
      <c r="SKM22" s="19"/>
      <c r="SKN22" s="19"/>
      <c r="SKO22" s="19"/>
      <c r="SKP22" s="19"/>
      <c r="SKQ22" s="19"/>
      <c r="SKR22" s="19"/>
      <c r="SKS22" s="19"/>
      <c r="SKT22" s="19"/>
      <c r="SKU22" s="19"/>
      <c r="SKV22" s="19"/>
      <c r="SKW22" s="19"/>
      <c r="SKX22" s="19"/>
      <c r="SKY22" s="19"/>
      <c r="SKZ22" s="19"/>
      <c r="SLA22" s="19"/>
      <c r="SLB22" s="19"/>
      <c r="SLC22" s="19"/>
      <c r="SLD22" s="19"/>
      <c r="SLE22" s="19"/>
      <c r="SLF22" s="19"/>
      <c r="SLG22" s="19"/>
      <c r="SLH22" s="19"/>
      <c r="SLI22" s="19"/>
      <c r="SLJ22" s="19"/>
      <c r="SLK22" s="19"/>
      <c r="SLL22" s="19"/>
      <c r="SLM22" s="19"/>
      <c r="SLN22" s="19"/>
      <c r="SLO22" s="19"/>
      <c r="SLP22" s="19"/>
      <c r="SLQ22" s="19"/>
      <c r="SLR22" s="19"/>
      <c r="SLS22" s="19"/>
      <c r="SLT22" s="19"/>
      <c r="SLU22" s="19"/>
      <c r="SLV22" s="19"/>
      <c r="SLW22" s="19"/>
      <c r="SLX22" s="19"/>
      <c r="SLY22" s="19"/>
      <c r="SLZ22" s="19"/>
      <c r="SMA22" s="19"/>
      <c r="SMB22" s="19"/>
      <c r="SMC22" s="19"/>
      <c r="SMD22" s="19"/>
      <c r="SME22" s="19"/>
      <c r="SMF22" s="19"/>
      <c r="SMG22" s="19"/>
      <c r="SMH22" s="19"/>
      <c r="SMI22" s="19"/>
      <c r="SMJ22" s="19"/>
      <c r="SMK22" s="19"/>
      <c r="SML22" s="19"/>
      <c r="SMM22" s="19"/>
      <c r="SMN22" s="19"/>
      <c r="SMO22" s="19"/>
      <c r="SMP22" s="19"/>
      <c r="SMQ22" s="19"/>
      <c r="SMR22" s="19"/>
      <c r="SMS22" s="19"/>
      <c r="SMT22" s="19"/>
      <c r="SMU22" s="19"/>
      <c r="SMV22" s="19"/>
      <c r="SMW22" s="19"/>
      <c r="SMX22" s="19"/>
      <c r="SMY22" s="19"/>
      <c r="SMZ22" s="19"/>
      <c r="SNA22" s="19"/>
      <c r="SNB22" s="19"/>
      <c r="SNC22" s="19"/>
      <c r="SND22" s="19"/>
      <c r="SNE22" s="19"/>
      <c r="SNF22" s="19"/>
      <c r="SNG22" s="19"/>
      <c r="SNH22" s="19"/>
      <c r="SNI22" s="19"/>
      <c r="SNJ22" s="19"/>
      <c r="SNK22" s="19"/>
      <c r="SNL22" s="19"/>
      <c r="SNM22" s="19"/>
      <c r="SNN22" s="19"/>
      <c r="SNO22" s="19"/>
      <c r="SNP22" s="19"/>
      <c r="SNQ22" s="19"/>
      <c r="SNR22" s="19"/>
      <c r="SNS22" s="19"/>
      <c r="SNT22" s="19"/>
      <c r="SNU22" s="19"/>
      <c r="SNV22" s="19"/>
      <c r="SNW22" s="19"/>
      <c r="SNX22" s="19"/>
      <c r="SNY22" s="19"/>
      <c r="SNZ22" s="19"/>
      <c r="SOA22" s="19"/>
      <c r="SOB22" s="19"/>
      <c r="SOC22" s="19"/>
      <c r="SOD22" s="19"/>
      <c r="SOE22" s="19"/>
      <c r="SOF22" s="19"/>
      <c r="SOG22" s="19"/>
      <c r="SOH22" s="19"/>
      <c r="SOI22" s="19"/>
      <c r="SOJ22" s="19"/>
      <c r="SOK22" s="19"/>
      <c r="SOL22" s="19"/>
      <c r="SOM22" s="19"/>
      <c r="SON22" s="19"/>
      <c r="SOO22" s="19"/>
      <c r="SOP22" s="19"/>
      <c r="SOQ22" s="19"/>
      <c r="SOR22" s="19"/>
      <c r="SOS22" s="19"/>
      <c r="SOT22" s="19"/>
      <c r="SOU22" s="19"/>
      <c r="SOV22" s="19"/>
      <c r="SOW22" s="19"/>
      <c r="SOX22" s="19"/>
      <c r="SOY22" s="19"/>
      <c r="SOZ22" s="19"/>
      <c r="SPA22" s="19"/>
      <c r="SPB22" s="19"/>
      <c r="SPC22" s="19"/>
      <c r="SPD22" s="19"/>
      <c r="SPE22" s="19"/>
      <c r="SPF22" s="19"/>
      <c r="SPG22" s="19"/>
      <c r="SPH22" s="19"/>
      <c r="SPI22" s="19"/>
      <c r="SPJ22" s="19"/>
      <c r="SPK22" s="19"/>
      <c r="SPL22" s="19"/>
      <c r="SPM22" s="19"/>
      <c r="SPN22" s="19"/>
      <c r="SPO22" s="19"/>
      <c r="SPP22" s="19"/>
      <c r="SPQ22" s="19"/>
      <c r="SPR22" s="19"/>
      <c r="SPS22" s="19"/>
      <c r="SPT22" s="19"/>
      <c r="SPU22" s="19"/>
      <c r="SPV22" s="19"/>
      <c r="SPW22" s="19"/>
      <c r="SPX22" s="19"/>
      <c r="SPY22" s="19"/>
      <c r="SPZ22" s="19"/>
      <c r="SQA22" s="19"/>
      <c r="SQB22" s="19"/>
      <c r="SQC22" s="19"/>
      <c r="SQD22" s="19"/>
      <c r="SQE22" s="19"/>
      <c r="SQF22" s="19"/>
      <c r="SQG22" s="19"/>
      <c r="SQH22" s="19"/>
      <c r="SQI22" s="19"/>
      <c r="SQJ22" s="19"/>
      <c r="SQK22" s="19"/>
      <c r="SQL22" s="19"/>
      <c r="SQM22" s="19"/>
      <c r="SQN22" s="19"/>
      <c r="SQO22" s="19"/>
      <c r="SQP22" s="19"/>
      <c r="SQQ22" s="19"/>
      <c r="SQR22" s="19"/>
      <c r="SQS22" s="19"/>
      <c r="SQT22" s="19"/>
      <c r="SQU22" s="19"/>
      <c r="SQV22" s="19"/>
      <c r="SQW22" s="19"/>
      <c r="SQX22" s="19"/>
      <c r="SQY22" s="19"/>
      <c r="SQZ22" s="19"/>
      <c r="SRA22" s="19"/>
      <c r="SRB22" s="19"/>
      <c r="SRC22" s="19"/>
      <c r="SRD22" s="19"/>
      <c r="SRE22" s="19"/>
      <c r="SRF22" s="19"/>
      <c r="SRG22" s="19"/>
      <c r="SRH22" s="19"/>
      <c r="SRI22" s="19"/>
      <c r="SRJ22" s="19"/>
      <c r="SRK22" s="19"/>
      <c r="SRL22" s="19"/>
      <c r="SRM22" s="19"/>
      <c r="SRN22" s="19"/>
      <c r="SRO22" s="19"/>
      <c r="SRP22" s="19"/>
      <c r="SRQ22" s="19"/>
      <c r="SRR22" s="19"/>
      <c r="SRS22" s="19"/>
      <c r="SRT22" s="19"/>
      <c r="SRU22" s="19"/>
      <c r="SRV22" s="19"/>
      <c r="SRW22" s="19"/>
      <c r="SRX22" s="19"/>
      <c r="SRY22" s="19"/>
      <c r="SRZ22" s="19"/>
      <c r="SSA22" s="19"/>
      <c r="SSB22" s="19"/>
      <c r="SSC22" s="19"/>
      <c r="SSD22" s="19"/>
      <c r="SSE22" s="19"/>
      <c r="SSF22" s="19"/>
      <c r="SSG22" s="19"/>
      <c r="SSH22" s="19"/>
      <c r="SSI22" s="19"/>
      <c r="SSJ22" s="19"/>
      <c r="SSK22" s="19"/>
      <c r="SSL22" s="19"/>
      <c r="SSM22" s="19"/>
      <c r="SSN22" s="19"/>
      <c r="SSO22" s="19"/>
      <c r="SSP22" s="19"/>
      <c r="SSQ22" s="19"/>
      <c r="SSR22" s="19"/>
      <c r="SSS22" s="19"/>
      <c r="SST22" s="19"/>
      <c r="SSU22" s="19"/>
      <c r="SSV22" s="19"/>
      <c r="SSW22" s="19"/>
      <c r="SSX22" s="19"/>
      <c r="SSY22" s="19"/>
      <c r="SSZ22" s="19"/>
      <c r="STA22" s="19"/>
      <c r="STB22" s="19"/>
      <c r="STC22" s="19"/>
      <c r="STD22" s="19"/>
      <c r="STE22" s="19"/>
      <c r="STF22" s="19"/>
      <c r="STG22" s="19"/>
      <c r="STH22" s="19"/>
      <c r="STI22" s="19"/>
      <c r="STJ22" s="19"/>
      <c r="STK22" s="19"/>
      <c r="STL22" s="19"/>
      <c r="STM22" s="19"/>
      <c r="STN22" s="19"/>
      <c r="STO22" s="19"/>
      <c r="STP22" s="19"/>
      <c r="STQ22" s="19"/>
      <c r="STR22" s="19"/>
      <c r="STS22" s="19"/>
      <c r="STT22" s="19"/>
      <c r="STU22" s="19"/>
      <c r="STV22" s="19"/>
      <c r="STW22" s="19"/>
      <c r="STX22" s="19"/>
      <c r="STY22" s="19"/>
      <c r="STZ22" s="19"/>
      <c r="SUA22" s="19"/>
      <c r="SUB22" s="19"/>
      <c r="SUC22" s="19"/>
      <c r="SUD22" s="19"/>
      <c r="SUE22" s="19"/>
      <c r="SUF22" s="19"/>
      <c r="SUG22" s="19"/>
      <c r="SUH22" s="19"/>
      <c r="SUI22" s="19"/>
      <c r="SUJ22" s="19"/>
      <c r="SUK22" s="19"/>
      <c r="SUL22" s="19"/>
      <c r="SUM22" s="19"/>
      <c r="SUN22" s="19"/>
      <c r="SUO22" s="19"/>
      <c r="SUP22" s="19"/>
      <c r="SUQ22" s="19"/>
      <c r="SUR22" s="19"/>
      <c r="SUS22" s="19"/>
      <c r="SUT22" s="19"/>
      <c r="SUU22" s="19"/>
      <c r="SUV22" s="19"/>
      <c r="SUW22" s="19"/>
      <c r="SUX22" s="19"/>
      <c r="SUY22" s="19"/>
      <c r="SUZ22" s="19"/>
      <c r="SVA22" s="19"/>
      <c r="SVB22" s="19"/>
      <c r="SVC22" s="19"/>
      <c r="SVD22" s="19"/>
      <c r="SVE22" s="19"/>
      <c r="SVF22" s="19"/>
      <c r="SVG22" s="19"/>
      <c r="SVH22" s="19"/>
      <c r="SVI22" s="19"/>
      <c r="SVJ22" s="19"/>
      <c r="SVK22" s="19"/>
      <c r="SVL22" s="19"/>
      <c r="SVM22" s="19"/>
      <c r="SVN22" s="19"/>
      <c r="SVO22" s="19"/>
      <c r="SVP22" s="19"/>
      <c r="SVQ22" s="19"/>
      <c r="SVR22" s="19"/>
      <c r="SVS22" s="19"/>
      <c r="SVT22" s="19"/>
      <c r="SVU22" s="19"/>
      <c r="SVV22" s="19"/>
      <c r="SVW22" s="19"/>
      <c r="SVX22" s="19"/>
      <c r="SVY22" s="19"/>
      <c r="SVZ22" s="19"/>
      <c r="SWA22" s="19"/>
      <c r="SWB22" s="19"/>
      <c r="SWC22" s="19"/>
      <c r="SWD22" s="19"/>
      <c r="SWE22" s="19"/>
      <c r="SWF22" s="19"/>
      <c r="SWG22" s="19"/>
      <c r="SWH22" s="19"/>
      <c r="SWI22" s="19"/>
      <c r="SWJ22" s="19"/>
      <c r="SWK22" s="19"/>
      <c r="SWL22" s="19"/>
      <c r="SWM22" s="19"/>
      <c r="SWN22" s="19"/>
      <c r="SWO22" s="19"/>
      <c r="SWP22" s="19"/>
      <c r="SWQ22" s="19"/>
      <c r="SWR22" s="19"/>
      <c r="SWS22" s="19"/>
      <c r="SWT22" s="19"/>
      <c r="SWU22" s="19"/>
      <c r="SWV22" s="19"/>
      <c r="SWW22" s="19"/>
      <c r="SWX22" s="19"/>
      <c r="SWY22" s="19"/>
      <c r="SWZ22" s="19"/>
      <c r="SXA22" s="19"/>
      <c r="SXB22" s="19"/>
      <c r="SXC22" s="19"/>
      <c r="SXD22" s="19"/>
      <c r="SXE22" s="19"/>
      <c r="SXF22" s="19"/>
      <c r="SXG22" s="19"/>
      <c r="SXH22" s="19"/>
      <c r="SXI22" s="19"/>
      <c r="SXJ22" s="19"/>
      <c r="SXK22" s="19"/>
      <c r="SXL22" s="19"/>
      <c r="SXM22" s="19"/>
      <c r="SXN22" s="19"/>
      <c r="SXO22" s="19"/>
      <c r="SXP22" s="19"/>
      <c r="SXQ22" s="19"/>
      <c r="SXR22" s="19"/>
      <c r="SXS22" s="19"/>
      <c r="SXT22" s="19"/>
      <c r="SXU22" s="19"/>
      <c r="SXV22" s="19"/>
      <c r="SXW22" s="19"/>
      <c r="SXX22" s="19"/>
      <c r="SXY22" s="19"/>
      <c r="SXZ22" s="19"/>
      <c r="SYA22" s="19"/>
      <c r="SYB22" s="19"/>
      <c r="SYC22" s="19"/>
      <c r="SYD22" s="19"/>
      <c r="SYE22" s="19"/>
      <c r="SYF22" s="19"/>
      <c r="SYG22" s="19"/>
      <c r="SYH22" s="19"/>
      <c r="SYI22" s="19"/>
      <c r="SYJ22" s="19"/>
      <c r="SYK22" s="19"/>
      <c r="SYL22" s="19"/>
      <c r="SYM22" s="19"/>
      <c r="SYN22" s="19"/>
      <c r="SYO22" s="19"/>
      <c r="SYP22" s="19"/>
      <c r="SYQ22" s="19"/>
      <c r="SYR22" s="19"/>
      <c r="SYS22" s="19"/>
      <c r="SYT22" s="19"/>
      <c r="SYU22" s="19"/>
      <c r="SYV22" s="19"/>
      <c r="SYW22" s="19"/>
      <c r="SYX22" s="19"/>
      <c r="SYY22" s="19"/>
      <c r="SYZ22" s="19"/>
      <c r="SZA22" s="19"/>
      <c r="SZB22" s="19"/>
      <c r="SZC22" s="19"/>
      <c r="SZD22" s="19"/>
      <c r="SZE22" s="19"/>
      <c r="SZF22" s="19"/>
      <c r="SZG22" s="19"/>
      <c r="SZH22" s="19"/>
      <c r="SZI22" s="19"/>
      <c r="SZJ22" s="19"/>
      <c r="SZK22" s="19"/>
      <c r="SZL22" s="19"/>
      <c r="SZM22" s="19"/>
      <c r="SZN22" s="19"/>
      <c r="SZO22" s="19"/>
      <c r="SZP22" s="19"/>
      <c r="SZQ22" s="19"/>
      <c r="SZR22" s="19"/>
      <c r="SZS22" s="19"/>
      <c r="SZT22" s="19"/>
      <c r="SZU22" s="19"/>
      <c r="SZV22" s="19"/>
      <c r="SZW22" s="19"/>
      <c r="SZX22" s="19"/>
      <c r="SZY22" s="19"/>
      <c r="SZZ22" s="19"/>
      <c r="TAA22" s="19"/>
      <c r="TAB22" s="19"/>
      <c r="TAC22" s="19"/>
      <c r="TAD22" s="19"/>
      <c r="TAE22" s="19"/>
      <c r="TAF22" s="19"/>
      <c r="TAG22" s="19"/>
      <c r="TAH22" s="19"/>
      <c r="TAI22" s="19"/>
      <c r="TAJ22" s="19"/>
      <c r="TAK22" s="19"/>
      <c r="TAL22" s="19"/>
      <c r="TAM22" s="19"/>
      <c r="TAN22" s="19"/>
      <c r="TAO22" s="19"/>
      <c r="TAP22" s="19"/>
      <c r="TAQ22" s="19"/>
      <c r="TAR22" s="19"/>
      <c r="TAS22" s="19"/>
      <c r="TAT22" s="19"/>
      <c r="TAU22" s="19"/>
      <c r="TAV22" s="19"/>
      <c r="TAW22" s="19"/>
      <c r="TAX22" s="19"/>
      <c r="TAY22" s="19"/>
      <c r="TAZ22" s="19"/>
      <c r="TBA22" s="19"/>
      <c r="TBB22" s="19"/>
      <c r="TBC22" s="19"/>
      <c r="TBD22" s="19"/>
      <c r="TBE22" s="19"/>
      <c r="TBF22" s="19"/>
      <c r="TBG22" s="19"/>
      <c r="TBH22" s="19"/>
      <c r="TBI22" s="19"/>
      <c r="TBJ22" s="19"/>
      <c r="TBK22" s="19"/>
      <c r="TBL22" s="19"/>
      <c r="TBM22" s="19"/>
      <c r="TBN22" s="19"/>
      <c r="TBO22" s="19"/>
      <c r="TBP22" s="19"/>
      <c r="TBQ22" s="19"/>
      <c r="TBR22" s="19"/>
      <c r="TBS22" s="19"/>
      <c r="TBT22" s="19"/>
      <c r="TBU22" s="19"/>
      <c r="TBV22" s="19"/>
      <c r="TBW22" s="19"/>
      <c r="TBX22" s="19"/>
      <c r="TBY22" s="19"/>
      <c r="TBZ22" s="19"/>
      <c r="TCA22" s="19"/>
      <c r="TCB22" s="19"/>
      <c r="TCC22" s="19"/>
      <c r="TCD22" s="19"/>
      <c r="TCE22" s="19"/>
      <c r="TCF22" s="19"/>
      <c r="TCG22" s="19"/>
      <c r="TCH22" s="19"/>
      <c r="TCI22" s="19"/>
      <c r="TCJ22" s="19"/>
      <c r="TCK22" s="19"/>
      <c r="TCL22" s="19"/>
      <c r="TCM22" s="19"/>
      <c r="TCN22" s="19"/>
      <c r="TCO22" s="19"/>
      <c r="TCP22" s="19"/>
      <c r="TCQ22" s="19"/>
      <c r="TCR22" s="19"/>
      <c r="TCS22" s="19"/>
      <c r="TCT22" s="19"/>
      <c r="TCU22" s="19"/>
      <c r="TCV22" s="19"/>
      <c r="TCW22" s="19"/>
      <c r="TCX22" s="19"/>
      <c r="TCY22" s="19"/>
      <c r="TCZ22" s="19"/>
      <c r="TDA22" s="19"/>
      <c r="TDB22" s="19"/>
      <c r="TDC22" s="19"/>
      <c r="TDD22" s="19"/>
      <c r="TDE22" s="19"/>
      <c r="TDF22" s="19"/>
      <c r="TDG22" s="19"/>
      <c r="TDH22" s="19"/>
      <c r="TDI22" s="19"/>
      <c r="TDJ22" s="19"/>
      <c r="TDK22" s="19"/>
      <c r="TDL22" s="19"/>
      <c r="TDM22" s="19"/>
      <c r="TDN22" s="19"/>
      <c r="TDO22" s="19"/>
      <c r="TDP22" s="19"/>
      <c r="TDQ22" s="19"/>
      <c r="TDR22" s="19"/>
      <c r="TDS22" s="19"/>
      <c r="TDT22" s="19"/>
      <c r="TDU22" s="19"/>
      <c r="TDV22" s="19"/>
      <c r="TDW22" s="19"/>
      <c r="TDX22" s="19"/>
      <c r="TDY22" s="19"/>
      <c r="TDZ22" s="19"/>
      <c r="TEA22" s="19"/>
      <c r="TEB22" s="19"/>
      <c r="TEC22" s="19"/>
      <c r="TED22" s="19"/>
      <c r="TEE22" s="19"/>
      <c r="TEF22" s="19"/>
      <c r="TEG22" s="19"/>
      <c r="TEH22" s="19"/>
      <c r="TEI22" s="19"/>
      <c r="TEJ22" s="19"/>
      <c r="TEK22" s="19"/>
      <c r="TEL22" s="19"/>
      <c r="TEM22" s="19"/>
      <c r="TEN22" s="19"/>
      <c r="TEO22" s="19"/>
      <c r="TEP22" s="19"/>
      <c r="TEQ22" s="19"/>
      <c r="TER22" s="19"/>
      <c r="TES22" s="19"/>
      <c r="TET22" s="19"/>
      <c r="TEU22" s="19"/>
      <c r="TEV22" s="19"/>
      <c r="TEW22" s="19"/>
      <c r="TEX22" s="19"/>
      <c r="TEY22" s="19"/>
      <c r="TEZ22" s="19"/>
      <c r="TFA22" s="19"/>
      <c r="TFB22" s="19"/>
      <c r="TFC22" s="19"/>
      <c r="TFD22" s="19"/>
      <c r="TFE22" s="19"/>
      <c r="TFF22" s="19"/>
      <c r="TFG22" s="19"/>
      <c r="TFH22" s="19"/>
      <c r="TFI22" s="19"/>
      <c r="TFJ22" s="19"/>
      <c r="TFK22" s="19"/>
      <c r="TFL22" s="19"/>
      <c r="TFM22" s="19"/>
      <c r="TFN22" s="19"/>
      <c r="TFO22" s="19"/>
      <c r="TFP22" s="19"/>
      <c r="TFQ22" s="19"/>
      <c r="TFR22" s="19"/>
      <c r="TFS22" s="19"/>
      <c r="TFT22" s="19"/>
      <c r="TFU22" s="19"/>
      <c r="TFV22" s="19"/>
      <c r="TFW22" s="19"/>
      <c r="TFX22" s="19"/>
      <c r="TFY22" s="19"/>
      <c r="TFZ22" s="19"/>
      <c r="TGA22" s="19"/>
      <c r="TGB22" s="19"/>
      <c r="TGC22" s="19"/>
      <c r="TGD22" s="19"/>
      <c r="TGE22" s="19"/>
      <c r="TGF22" s="19"/>
      <c r="TGG22" s="19"/>
      <c r="TGH22" s="19"/>
      <c r="TGI22" s="19"/>
      <c r="TGJ22" s="19"/>
      <c r="TGK22" s="19"/>
      <c r="TGL22" s="19"/>
      <c r="TGM22" s="19"/>
      <c r="TGN22" s="19"/>
      <c r="TGO22" s="19"/>
      <c r="TGP22" s="19"/>
      <c r="TGQ22" s="19"/>
      <c r="TGR22" s="19"/>
      <c r="TGS22" s="19"/>
      <c r="TGT22" s="19"/>
      <c r="TGU22" s="19"/>
      <c r="TGV22" s="19"/>
      <c r="TGW22" s="19"/>
      <c r="TGX22" s="19"/>
      <c r="TGY22" s="19"/>
      <c r="TGZ22" s="19"/>
      <c r="THA22" s="19"/>
      <c r="THB22" s="19"/>
      <c r="THC22" s="19"/>
      <c r="THD22" s="19"/>
      <c r="THE22" s="19"/>
      <c r="THF22" s="19"/>
      <c r="THG22" s="19"/>
      <c r="THH22" s="19"/>
      <c r="THI22" s="19"/>
      <c r="THJ22" s="19"/>
      <c r="THK22" s="19"/>
      <c r="THL22" s="19"/>
      <c r="THM22" s="19"/>
      <c r="THN22" s="19"/>
      <c r="THO22" s="19"/>
      <c r="THP22" s="19"/>
      <c r="THQ22" s="19"/>
      <c r="THR22" s="19"/>
      <c r="THS22" s="19"/>
      <c r="THT22" s="19"/>
      <c r="THU22" s="19"/>
      <c r="THV22" s="19"/>
      <c r="THW22" s="19"/>
      <c r="THX22" s="19"/>
      <c r="THY22" s="19"/>
      <c r="THZ22" s="19"/>
      <c r="TIA22" s="19"/>
      <c r="TIB22" s="19"/>
      <c r="TIC22" s="19"/>
      <c r="TID22" s="19"/>
      <c r="TIE22" s="19"/>
      <c r="TIF22" s="19"/>
      <c r="TIG22" s="19"/>
      <c r="TIH22" s="19"/>
      <c r="TII22" s="19"/>
      <c r="TIJ22" s="19"/>
      <c r="TIK22" s="19"/>
      <c r="TIL22" s="19"/>
      <c r="TIM22" s="19"/>
      <c r="TIN22" s="19"/>
      <c r="TIO22" s="19"/>
      <c r="TIP22" s="19"/>
      <c r="TIQ22" s="19"/>
      <c r="TIR22" s="19"/>
      <c r="TIS22" s="19"/>
      <c r="TIT22" s="19"/>
      <c r="TIU22" s="19"/>
      <c r="TIV22" s="19"/>
      <c r="TIW22" s="19"/>
      <c r="TIX22" s="19"/>
      <c r="TIY22" s="19"/>
      <c r="TIZ22" s="19"/>
      <c r="TJA22" s="19"/>
      <c r="TJB22" s="19"/>
      <c r="TJC22" s="19"/>
      <c r="TJD22" s="19"/>
      <c r="TJE22" s="19"/>
      <c r="TJF22" s="19"/>
      <c r="TJG22" s="19"/>
      <c r="TJH22" s="19"/>
      <c r="TJI22" s="19"/>
      <c r="TJJ22" s="19"/>
      <c r="TJK22" s="19"/>
      <c r="TJL22" s="19"/>
      <c r="TJM22" s="19"/>
      <c r="TJN22" s="19"/>
      <c r="TJO22" s="19"/>
      <c r="TJP22" s="19"/>
      <c r="TJQ22" s="19"/>
      <c r="TJR22" s="19"/>
      <c r="TJS22" s="19"/>
      <c r="TJT22" s="19"/>
      <c r="TJU22" s="19"/>
      <c r="TJV22" s="19"/>
      <c r="TJW22" s="19"/>
      <c r="TJX22" s="19"/>
      <c r="TJY22" s="19"/>
      <c r="TJZ22" s="19"/>
      <c r="TKA22" s="19"/>
      <c r="TKB22" s="19"/>
      <c r="TKC22" s="19"/>
      <c r="TKD22" s="19"/>
      <c r="TKE22" s="19"/>
      <c r="TKF22" s="19"/>
      <c r="TKG22" s="19"/>
      <c r="TKH22" s="19"/>
      <c r="TKI22" s="19"/>
      <c r="TKJ22" s="19"/>
      <c r="TKK22" s="19"/>
      <c r="TKL22" s="19"/>
      <c r="TKM22" s="19"/>
      <c r="TKN22" s="19"/>
      <c r="TKO22" s="19"/>
      <c r="TKP22" s="19"/>
      <c r="TKQ22" s="19"/>
      <c r="TKR22" s="19"/>
      <c r="TKS22" s="19"/>
      <c r="TKT22" s="19"/>
      <c r="TKU22" s="19"/>
      <c r="TKV22" s="19"/>
      <c r="TKW22" s="19"/>
      <c r="TKX22" s="19"/>
      <c r="TKY22" s="19"/>
      <c r="TKZ22" s="19"/>
      <c r="TLA22" s="19"/>
      <c r="TLB22" s="19"/>
      <c r="TLC22" s="19"/>
      <c r="TLD22" s="19"/>
      <c r="TLE22" s="19"/>
      <c r="TLF22" s="19"/>
      <c r="TLG22" s="19"/>
      <c r="TLH22" s="19"/>
      <c r="TLI22" s="19"/>
      <c r="TLJ22" s="19"/>
      <c r="TLK22" s="19"/>
      <c r="TLL22" s="19"/>
      <c r="TLM22" s="19"/>
      <c r="TLN22" s="19"/>
      <c r="TLO22" s="19"/>
      <c r="TLP22" s="19"/>
      <c r="TLQ22" s="19"/>
      <c r="TLR22" s="19"/>
      <c r="TLS22" s="19"/>
      <c r="TLT22" s="19"/>
      <c r="TLU22" s="19"/>
      <c r="TLV22" s="19"/>
      <c r="TLW22" s="19"/>
      <c r="TLX22" s="19"/>
      <c r="TLY22" s="19"/>
      <c r="TLZ22" s="19"/>
      <c r="TMA22" s="19"/>
      <c r="TMB22" s="19"/>
      <c r="TMC22" s="19"/>
      <c r="TMD22" s="19"/>
      <c r="TME22" s="19"/>
      <c r="TMF22" s="19"/>
      <c r="TMG22" s="19"/>
      <c r="TMH22" s="19"/>
      <c r="TMI22" s="19"/>
      <c r="TMJ22" s="19"/>
      <c r="TMK22" s="19"/>
      <c r="TML22" s="19"/>
      <c r="TMM22" s="19"/>
      <c r="TMN22" s="19"/>
      <c r="TMO22" s="19"/>
      <c r="TMP22" s="19"/>
      <c r="TMQ22" s="19"/>
      <c r="TMR22" s="19"/>
      <c r="TMS22" s="19"/>
      <c r="TMT22" s="19"/>
      <c r="TMU22" s="19"/>
      <c r="TMV22" s="19"/>
      <c r="TMW22" s="19"/>
      <c r="TMX22" s="19"/>
      <c r="TMY22" s="19"/>
      <c r="TMZ22" s="19"/>
      <c r="TNA22" s="19"/>
      <c r="TNB22" s="19"/>
      <c r="TNC22" s="19"/>
      <c r="TND22" s="19"/>
      <c r="TNE22" s="19"/>
      <c r="TNF22" s="19"/>
      <c r="TNG22" s="19"/>
      <c r="TNH22" s="19"/>
      <c r="TNI22" s="19"/>
      <c r="TNJ22" s="19"/>
      <c r="TNK22" s="19"/>
      <c r="TNL22" s="19"/>
      <c r="TNM22" s="19"/>
      <c r="TNN22" s="19"/>
      <c r="TNO22" s="19"/>
      <c r="TNP22" s="19"/>
      <c r="TNQ22" s="19"/>
      <c r="TNR22" s="19"/>
      <c r="TNS22" s="19"/>
      <c r="TNT22" s="19"/>
      <c r="TNU22" s="19"/>
      <c r="TNV22" s="19"/>
      <c r="TNW22" s="19"/>
      <c r="TNX22" s="19"/>
      <c r="TNY22" s="19"/>
      <c r="TNZ22" s="19"/>
      <c r="TOA22" s="19"/>
      <c r="TOB22" s="19"/>
      <c r="TOC22" s="19"/>
      <c r="TOD22" s="19"/>
      <c r="TOE22" s="19"/>
      <c r="TOF22" s="19"/>
      <c r="TOG22" s="19"/>
      <c r="TOH22" s="19"/>
      <c r="TOI22" s="19"/>
      <c r="TOJ22" s="19"/>
      <c r="TOK22" s="19"/>
      <c r="TOL22" s="19"/>
      <c r="TOM22" s="19"/>
      <c r="TON22" s="19"/>
      <c r="TOO22" s="19"/>
      <c r="TOP22" s="19"/>
      <c r="TOQ22" s="19"/>
      <c r="TOR22" s="19"/>
      <c r="TOS22" s="19"/>
      <c r="TOT22" s="19"/>
      <c r="TOU22" s="19"/>
      <c r="TOV22" s="19"/>
      <c r="TOW22" s="19"/>
      <c r="TOX22" s="19"/>
      <c r="TOY22" s="19"/>
      <c r="TOZ22" s="19"/>
      <c r="TPA22" s="19"/>
      <c r="TPB22" s="19"/>
      <c r="TPC22" s="19"/>
      <c r="TPD22" s="19"/>
      <c r="TPE22" s="19"/>
      <c r="TPF22" s="19"/>
      <c r="TPG22" s="19"/>
      <c r="TPH22" s="19"/>
      <c r="TPI22" s="19"/>
      <c r="TPJ22" s="19"/>
      <c r="TPK22" s="19"/>
      <c r="TPL22" s="19"/>
      <c r="TPM22" s="19"/>
      <c r="TPN22" s="19"/>
      <c r="TPO22" s="19"/>
      <c r="TPP22" s="19"/>
      <c r="TPQ22" s="19"/>
      <c r="TPR22" s="19"/>
      <c r="TPS22" s="19"/>
      <c r="TPT22" s="19"/>
      <c r="TPU22" s="19"/>
      <c r="TPV22" s="19"/>
      <c r="TPW22" s="19"/>
      <c r="TPX22" s="19"/>
      <c r="TPY22" s="19"/>
      <c r="TPZ22" s="19"/>
      <c r="TQA22" s="19"/>
      <c r="TQB22" s="19"/>
      <c r="TQC22" s="19"/>
      <c r="TQD22" s="19"/>
      <c r="TQE22" s="19"/>
      <c r="TQF22" s="19"/>
      <c r="TQG22" s="19"/>
      <c r="TQH22" s="19"/>
      <c r="TQI22" s="19"/>
      <c r="TQJ22" s="19"/>
      <c r="TQK22" s="19"/>
      <c r="TQL22" s="19"/>
      <c r="TQM22" s="19"/>
      <c r="TQN22" s="19"/>
      <c r="TQO22" s="19"/>
      <c r="TQP22" s="19"/>
      <c r="TQQ22" s="19"/>
      <c r="TQR22" s="19"/>
      <c r="TQS22" s="19"/>
      <c r="TQT22" s="19"/>
      <c r="TQU22" s="19"/>
      <c r="TQV22" s="19"/>
      <c r="TQW22" s="19"/>
      <c r="TQX22" s="19"/>
      <c r="TQY22" s="19"/>
      <c r="TQZ22" s="19"/>
      <c r="TRA22" s="19"/>
      <c r="TRB22" s="19"/>
      <c r="TRC22" s="19"/>
      <c r="TRD22" s="19"/>
      <c r="TRE22" s="19"/>
      <c r="TRF22" s="19"/>
      <c r="TRG22" s="19"/>
      <c r="TRH22" s="19"/>
      <c r="TRI22" s="19"/>
      <c r="TRJ22" s="19"/>
      <c r="TRK22" s="19"/>
      <c r="TRL22" s="19"/>
      <c r="TRM22" s="19"/>
      <c r="TRN22" s="19"/>
      <c r="TRO22" s="19"/>
      <c r="TRP22" s="19"/>
      <c r="TRQ22" s="19"/>
      <c r="TRR22" s="19"/>
      <c r="TRS22" s="19"/>
      <c r="TRT22" s="19"/>
      <c r="TRU22" s="19"/>
      <c r="TRV22" s="19"/>
      <c r="TRW22" s="19"/>
      <c r="TRX22" s="19"/>
      <c r="TRY22" s="19"/>
      <c r="TRZ22" s="19"/>
      <c r="TSA22" s="19"/>
      <c r="TSB22" s="19"/>
      <c r="TSC22" s="19"/>
      <c r="TSD22" s="19"/>
      <c r="TSE22" s="19"/>
      <c r="TSF22" s="19"/>
      <c r="TSG22" s="19"/>
      <c r="TSH22" s="19"/>
      <c r="TSI22" s="19"/>
      <c r="TSJ22" s="19"/>
      <c r="TSK22" s="19"/>
      <c r="TSL22" s="19"/>
      <c r="TSM22" s="19"/>
      <c r="TSN22" s="19"/>
      <c r="TSO22" s="19"/>
      <c r="TSP22" s="19"/>
      <c r="TSQ22" s="19"/>
      <c r="TSR22" s="19"/>
      <c r="TSS22" s="19"/>
      <c r="TST22" s="19"/>
      <c r="TSU22" s="19"/>
      <c r="TSV22" s="19"/>
      <c r="TSW22" s="19"/>
      <c r="TSX22" s="19"/>
      <c r="TSY22" s="19"/>
      <c r="TSZ22" s="19"/>
      <c r="TTA22" s="19"/>
      <c r="TTB22" s="19"/>
      <c r="TTC22" s="19"/>
      <c r="TTD22" s="19"/>
      <c r="TTE22" s="19"/>
      <c r="TTF22" s="19"/>
      <c r="TTG22" s="19"/>
      <c r="TTH22" s="19"/>
      <c r="TTI22" s="19"/>
      <c r="TTJ22" s="19"/>
      <c r="TTK22" s="19"/>
      <c r="TTL22" s="19"/>
      <c r="TTM22" s="19"/>
      <c r="TTN22" s="19"/>
      <c r="TTO22" s="19"/>
      <c r="TTP22" s="19"/>
      <c r="TTQ22" s="19"/>
      <c r="TTR22" s="19"/>
      <c r="TTS22" s="19"/>
      <c r="TTT22" s="19"/>
      <c r="TTU22" s="19"/>
      <c r="TTV22" s="19"/>
      <c r="TTW22" s="19"/>
      <c r="TTX22" s="19"/>
      <c r="TTY22" s="19"/>
      <c r="TTZ22" s="19"/>
      <c r="TUA22" s="19"/>
      <c r="TUB22" s="19"/>
      <c r="TUC22" s="19"/>
      <c r="TUD22" s="19"/>
      <c r="TUE22" s="19"/>
      <c r="TUF22" s="19"/>
      <c r="TUG22" s="19"/>
      <c r="TUH22" s="19"/>
      <c r="TUI22" s="19"/>
      <c r="TUJ22" s="19"/>
      <c r="TUK22" s="19"/>
      <c r="TUL22" s="19"/>
      <c r="TUM22" s="19"/>
      <c r="TUN22" s="19"/>
      <c r="TUO22" s="19"/>
      <c r="TUP22" s="19"/>
      <c r="TUQ22" s="19"/>
      <c r="TUR22" s="19"/>
      <c r="TUS22" s="19"/>
      <c r="TUT22" s="19"/>
      <c r="TUU22" s="19"/>
      <c r="TUV22" s="19"/>
      <c r="TUW22" s="19"/>
      <c r="TUX22" s="19"/>
      <c r="TUY22" s="19"/>
      <c r="TUZ22" s="19"/>
      <c r="TVA22" s="19"/>
      <c r="TVB22" s="19"/>
      <c r="TVC22" s="19"/>
      <c r="TVD22" s="19"/>
      <c r="TVE22" s="19"/>
      <c r="TVF22" s="19"/>
      <c r="TVG22" s="19"/>
      <c r="TVH22" s="19"/>
      <c r="TVI22" s="19"/>
      <c r="TVJ22" s="19"/>
      <c r="TVK22" s="19"/>
      <c r="TVL22" s="19"/>
      <c r="TVM22" s="19"/>
      <c r="TVN22" s="19"/>
      <c r="TVO22" s="19"/>
      <c r="TVP22" s="19"/>
      <c r="TVQ22" s="19"/>
      <c r="TVR22" s="19"/>
      <c r="TVS22" s="19"/>
      <c r="TVT22" s="19"/>
      <c r="TVU22" s="19"/>
      <c r="TVV22" s="19"/>
      <c r="TVW22" s="19"/>
      <c r="TVX22" s="19"/>
      <c r="TVY22" s="19"/>
      <c r="TVZ22" s="19"/>
      <c r="TWA22" s="19"/>
      <c r="TWB22" s="19"/>
      <c r="TWC22" s="19"/>
      <c r="TWD22" s="19"/>
      <c r="TWE22" s="19"/>
      <c r="TWF22" s="19"/>
      <c r="TWG22" s="19"/>
      <c r="TWH22" s="19"/>
      <c r="TWI22" s="19"/>
      <c r="TWJ22" s="19"/>
      <c r="TWK22" s="19"/>
      <c r="TWL22" s="19"/>
      <c r="TWM22" s="19"/>
      <c r="TWN22" s="19"/>
      <c r="TWO22" s="19"/>
      <c r="TWP22" s="19"/>
      <c r="TWQ22" s="19"/>
      <c r="TWR22" s="19"/>
      <c r="TWS22" s="19"/>
      <c r="TWT22" s="19"/>
      <c r="TWU22" s="19"/>
      <c r="TWV22" s="19"/>
      <c r="TWW22" s="19"/>
      <c r="TWX22" s="19"/>
      <c r="TWY22" s="19"/>
      <c r="TWZ22" s="19"/>
      <c r="TXA22" s="19"/>
      <c r="TXB22" s="19"/>
      <c r="TXC22" s="19"/>
      <c r="TXD22" s="19"/>
      <c r="TXE22" s="19"/>
      <c r="TXF22" s="19"/>
      <c r="TXG22" s="19"/>
      <c r="TXH22" s="19"/>
      <c r="TXI22" s="19"/>
      <c r="TXJ22" s="19"/>
      <c r="TXK22" s="19"/>
      <c r="TXL22" s="19"/>
      <c r="TXM22" s="19"/>
      <c r="TXN22" s="19"/>
      <c r="TXO22" s="19"/>
      <c r="TXP22" s="19"/>
      <c r="TXQ22" s="19"/>
      <c r="TXR22" s="19"/>
      <c r="TXS22" s="19"/>
      <c r="TXT22" s="19"/>
      <c r="TXU22" s="19"/>
      <c r="TXV22" s="19"/>
      <c r="TXW22" s="19"/>
      <c r="TXX22" s="19"/>
      <c r="TXY22" s="19"/>
      <c r="TXZ22" s="19"/>
      <c r="TYA22" s="19"/>
      <c r="TYB22" s="19"/>
      <c r="TYC22" s="19"/>
      <c r="TYD22" s="19"/>
      <c r="TYE22" s="19"/>
      <c r="TYF22" s="19"/>
      <c r="TYG22" s="19"/>
      <c r="TYH22" s="19"/>
      <c r="TYI22" s="19"/>
      <c r="TYJ22" s="19"/>
      <c r="TYK22" s="19"/>
      <c r="TYL22" s="19"/>
      <c r="TYM22" s="19"/>
      <c r="TYN22" s="19"/>
      <c r="TYO22" s="19"/>
      <c r="TYP22" s="19"/>
      <c r="TYQ22" s="19"/>
      <c r="TYR22" s="19"/>
      <c r="TYS22" s="19"/>
      <c r="TYT22" s="19"/>
      <c r="TYU22" s="19"/>
      <c r="TYV22" s="19"/>
      <c r="TYW22" s="19"/>
      <c r="TYX22" s="19"/>
      <c r="TYY22" s="19"/>
      <c r="TYZ22" s="19"/>
      <c r="TZA22" s="19"/>
      <c r="TZB22" s="19"/>
      <c r="TZC22" s="19"/>
      <c r="TZD22" s="19"/>
      <c r="TZE22" s="19"/>
      <c r="TZF22" s="19"/>
      <c r="TZG22" s="19"/>
      <c r="TZH22" s="19"/>
      <c r="TZI22" s="19"/>
      <c r="TZJ22" s="19"/>
      <c r="TZK22" s="19"/>
      <c r="TZL22" s="19"/>
      <c r="TZM22" s="19"/>
      <c r="TZN22" s="19"/>
      <c r="TZO22" s="19"/>
      <c r="TZP22" s="19"/>
      <c r="TZQ22" s="19"/>
      <c r="TZR22" s="19"/>
      <c r="TZS22" s="19"/>
      <c r="TZT22" s="19"/>
      <c r="TZU22" s="19"/>
      <c r="TZV22" s="19"/>
      <c r="TZW22" s="19"/>
      <c r="TZX22" s="19"/>
      <c r="TZY22" s="19"/>
      <c r="TZZ22" s="19"/>
      <c r="UAA22" s="19"/>
      <c r="UAB22" s="19"/>
      <c r="UAC22" s="19"/>
      <c r="UAD22" s="19"/>
      <c r="UAE22" s="19"/>
      <c r="UAF22" s="19"/>
      <c r="UAG22" s="19"/>
      <c r="UAH22" s="19"/>
      <c r="UAI22" s="19"/>
      <c r="UAJ22" s="19"/>
      <c r="UAK22" s="19"/>
      <c r="UAL22" s="19"/>
      <c r="UAM22" s="19"/>
      <c r="UAN22" s="19"/>
      <c r="UAO22" s="19"/>
      <c r="UAP22" s="19"/>
      <c r="UAQ22" s="19"/>
      <c r="UAR22" s="19"/>
      <c r="UAS22" s="19"/>
      <c r="UAT22" s="19"/>
      <c r="UAU22" s="19"/>
      <c r="UAV22" s="19"/>
      <c r="UAW22" s="19"/>
      <c r="UAX22" s="19"/>
      <c r="UAY22" s="19"/>
      <c r="UAZ22" s="19"/>
      <c r="UBA22" s="19"/>
      <c r="UBB22" s="19"/>
      <c r="UBC22" s="19"/>
      <c r="UBD22" s="19"/>
      <c r="UBE22" s="19"/>
      <c r="UBF22" s="19"/>
      <c r="UBG22" s="19"/>
      <c r="UBH22" s="19"/>
      <c r="UBI22" s="19"/>
      <c r="UBJ22" s="19"/>
      <c r="UBK22" s="19"/>
      <c r="UBL22" s="19"/>
      <c r="UBM22" s="19"/>
      <c r="UBN22" s="19"/>
      <c r="UBO22" s="19"/>
      <c r="UBP22" s="19"/>
      <c r="UBQ22" s="19"/>
      <c r="UBR22" s="19"/>
      <c r="UBS22" s="19"/>
      <c r="UBT22" s="19"/>
      <c r="UBU22" s="19"/>
      <c r="UBV22" s="19"/>
      <c r="UBW22" s="19"/>
      <c r="UBX22" s="19"/>
      <c r="UBY22" s="19"/>
      <c r="UBZ22" s="19"/>
      <c r="UCA22" s="19"/>
      <c r="UCB22" s="19"/>
      <c r="UCC22" s="19"/>
      <c r="UCD22" s="19"/>
      <c r="UCE22" s="19"/>
      <c r="UCF22" s="19"/>
      <c r="UCG22" s="19"/>
      <c r="UCH22" s="19"/>
      <c r="UCI22" s="19"/>
      <c r="UCJ22" s="19"/>
      <c r="UCK22" s="19"/>
      <c r="UCL22" s="19"/>
      <c r="UCM22" s="19"/>
      <c r="UCN22" s="19"/>
      <c r="UCO22" s="19"/>
      <c r="UCP22" s="19"/>
      <c r="UCQ22" s="19"/>
      <c r="UCR22" s="19"/>
      <c r="UCS22" s="19"/>
      <c r="UCT22" s="19"/>
      <c r="UCU22" s="19"/>
      <c r="UCV22" s="19"/>
      <c r="UCW22" s="19"/>
      <c r="UCX22" s="19"/>
      <c r="UCY22" s="19"/>
      <c r="UCZ22" s="19"/>
      <c r="UDA22" s="19"/>
      <c r="UDB22" s="19"/>
      <c r="UDC22" s="19"/>
      <c r="UDD22" s="19"/>
      <c r="UDE22" s="19"/>
      <c r="UDF22" s="19"/>
      <c r="UDG22" s="19"/>
      <c r="UDH22" s="19"/>
      <c r="UDI22" s="19"/>
      <c r="UDJ22" s="19"/>
      <c r="UDK22" s="19"/>
      <c r="UDL22" s="19"/>
      <c r="UDM22" s="19"/>
      <c r="UDN22" s="19"/>
      <c r="UDO22" s="19"/>
      <c r="UDP22" s="19"/>
      <c r="UDQ22" s="19"/>
      <c r="UDR22" s="19"/>
      <c r="UDS22" s="19"/>
      <c r="UDT22" s="19"/>
      <c r="UDU22" s="19"/>
      <c r="UDV22" s="19"/>
      <c r="UDW22" s="19"/>
      <c r="UDX22" s="19"/>
      <c r="UDY22" s="19"/>
      <c r="UDZ22" s="19"/>
      <c r="UEA22" s="19"/>
      <c r="UEB22" s="19"/>
      <c r="UEC22" s="19"/>
      <c r="UED22" s="19"/>
      <c r="UEE22" s="19"/>
      <c r="UEF22" s="19"/>
      <c r="UEG22" s="19"/>
      <c r="UEH22" s="19"/>
      <c r="UEI22" s="19"/>
      <c r="UEJ22" s="19"/>
      <c r="UEK22" s="19"/>
      <c r="UEL22" s="19"/>
      <c r="UEM22" s="19"/>
      <c r="UEN22" s="19"/>
      <c r="UEO22" s="19"/>
      <c r="UEP22" s="19"/>
      <c r="UEQ22" s="19"/>
      <c r="UER22" s="19"/>
      <c r="UES22" s="19"/>
      <c r="UET22" s="19"/>
      <c r="UEU22" s="19"/>
      <c r="UEV22" s="19"/>
      <c r="UEW22" s="19"/>
      <c r="UEX22" s="19"/>
      <c r="UEY22" s="19"/>
      <c r="UEZ22" s="19"/>
      <c r="UFA22" s="19"/>
      <c r="UFB22" s="19"/>
      <c r="UFC22" s="19"/>
      <c r="UFD22" s="19"/>
      <c r="UFE22" s="19"/>
      <c r="UFF22" s="19"/>
      <c r="UFG22" s="19"/>
      <c r="UFH22" s="19"/>
      <c r="UFI22" s="19"/>
      <c r="UFJ22" s="19"/>
      <c r="UFK22" s="19"/>
      <c r="UFL22" s="19"/>
      <c r="UFM22" s="19"/>
      <c r="UFN22" s="19"/>
      <c r="UFO22" s="19"/>
      <c r="UFP22" s="19"/>
      <c r="UFQ22" s="19"/>
      <c r="UFR22" s="19"/>
      <c r="UFS22" s="19"/>
      <c r="UFT22" s="19"/>
      <c r="UFU22" s="19"/>
      <c r="UFV22" s="19"/>
      <c r="UFW22" s="19"/>
      <c r="UFX22" s="19"/>
      <c r="UFY22" s="19"/>
      <c r="UFZ22" s="19"/>
      <c r="UGA22" s="19"/>
      <c r="UGB22" s="19"/>
      <c r="UGC22" s="19"/>
      <c r="UGD22" s="19"/>
      <c r="UGE22" s="19"/>
      <c r="UGF22" s="19"/>
      <c r="UGG22" s="19"/>
      <c r="UGH22" s="19"/>
      <c r="UGI22" s="19"/>
      <c r="UGJ22" s="19"/>
      <c r="UGK22" s="19"/>
      <c r="UGL22" s="19"/>
      <c r="UGM22" s="19"/>
      <c r="UGN22" s="19"/>
      <c r="UGO22" s="19"/>
      <c r="UGP22" s="19"/>
      <c r="UGQ22" s="19"/>
      <c r="UGR22" s="19"/>
      <c r="UGS22" s="19"/>
      <c r="UGT22" s="19"/>
      <c r="UGU22" s="19"/>
      <c r="UGV22" s="19"/>
      <c r="UGW22" s="19"/>
      <c r="UGX22" s="19"/>
      <c r="UGY22" s="19"/>
      <c r="UGZ22" s="19"/>
      <c r="UHA22" s="19"/>
      <c r="UHB22" s="19"/>
      <c r="UHC22" s="19"/>
      <c r="UHD22" s="19"/>
      <c r="UHE22" s="19"/>
      <c r="UHF22" s="19"/>
      <c r="UHG22" s="19"/>
      <c r="UHH22" s="19"/>
      <c r="UHI22" s="19"/>
      <c r="UHJ22" s="19"/>
      <c r="UHK22" s="19"/>
      <c r="UHL22" s="19"/>
      <c r="UHM22" s="19"/>
      <c r="UHN22" s="19"/>
      <c r="UHO22" s="19"/>
      <c r="UHP22" s="19"/>
      <c r="UHQ22" s="19"/>
      <c r="UHR22" s="19"/>
      <c r="UHS22" s="19"/>
      <c r="UHT22" s="19"/>
      <c r="UHU22" s="19"/>
      <c r="UHV22" s="19"/>
      <c r="UHW22" s="19"/>
      <c r="UHX22" s="19"/>
      <c r="UHY22" s="19"/>
      <c r="UHZ22" s="19"/>
      <c r="UIA22" s="19"/>
      <c r="UIB22" s="19"/>
      <c r="UIC22" s="19"/>
      <c r="UID22" s="19"/>
      <c r="UIE22" s="19"/>
      <c r="UIF22" s="19"/>
      <c r="UIG22" s="19"/>
      <c r="UIH22" s="19"/>
      <c r="UII22" s="19"/>
      <c r="UIJ22" s="19"/>
      <c r="UIK22" s="19"/>
      <c r="UIL22" s="19"/>
      <c r="UIM22" s="19"/>
      <c r="UIN22" s="19"/>
      <c r="UIO22" s="19"/>
      <c r="UIP22" s="19"/>
      <c r="UIQ22" s="19"/>
      <c r="UIR22" s="19"/>
      <c r="UIS22" s="19"/>
      <c r="UIT22" s="19"/>
      <c r="UIU22" s="19"/>
      <c r="UIV22" s="19"/>
      <c r="UIW22" s="19"/>
      <c r="UIX22" s="19"/>
      <c r="UIY22" s="19"/>
      <c r="UIZ22" s="19"/>
      <c r="UJA22" s="19"/>
      <c r="UJB22" s="19"/>
      <c r="UJC22" s="19"/>
      <c r="UJD22" s="19"/>
      <c r="UJE22" s="19"/>
      <c r="UJF22" s="19"/>
      <c r="UJG22" s="19"/>
      <c r="UJH22" s="19"/>
      <c r="UJI22" s="19"/>
      <c r="UJJ22" s="19"/>
      <c r="UJK22" s="19"/>
      <c r="UJL22" s="19"/>
      <c r="UJM22" s="19"/>
      <c r="UJN22" s="19"/>
      <c r="UJO22" s="19"/>
      <c r="UJP22" s="19"/>
      <c r="UJQ22" s="19"/>
      <c r="UJR22" s="19"/>
      <c r="UJS22" s="19"/>
      <c r="UJT22" s="19"/>
      <c r="UJU22" s="19"/>
      <c r="UJV22" s="19"/>
      <c r="UJW22" s="19"/>
      <c r="UJX22" s="19"/>
      <c r="UJY22" s="19"/>
      <c r="UJZ22" s="19"/>
      <c r="UKA22" s="19"/>
      <c r="UKB22" s="19"/>
      <c r="UKC22" s="19"/>
      <c r="UKD22" s="19"/>
      <c r="UKE22" s="19"/>
      <c r="UKF22" s="19"/>
      <c r="UKG22" s="19"/>
      <c r="UKH22" s="19"/>
      <c r="UKI22" s="19"/>
      <c r="UKJ22" s="19"/>
      <c r="UKK22" s="19"/>
      <c r="UKL22" s="19"/>
      <c r="UKM22" s="19"/>
      <c r="UKN22" s="19"/>
      <c r="UKO22" s="19"/>
      <c r="UKP22" s="19"/>
      <c r="UKQ22" s="19"/>
      <c r="UKR22" s="19"/>
      <c r="UKS22" s="19"/>
      <c r="UKT22" s="19"/>
      <c r="UKU22" s="19"/>
      <c r="UKV22" s="19"/>
      <c r="UKW22" s="19"/>
      <c r="UKX22" s="19"/>
      <c r="UKY22" s="19"/>
      <c r="UKZ22" s="19"/>
      <c r="ULA22" s="19"/>
      <c r="ULB22" s="19"/>
      <c r="ULC22" s="19"/>
      <c r="ULD22" s="19"/>
      <c r="ULE22" s="19"/>
      <c r="ULF22" s="19"/>
      <c r="ULG22" s="19"/>
      <c r="ULH22" s="19"/>
      <c r="ULI22" s="19"/>
      <c r="ULJ22" s="19"/>
      <c r="ULK22" s="19"/>
      <c r="ULL22" s="19"/>
      <c r="ULM22" s="19"/>
      <c r="ULN22" s="19"/>
      <c r="ULO22" s="19"/>
      <c r="ULP22" s="19"/>
      <c r="ULQ22" s="19"/>
      <c r="ULR22" s="19"/>
      <c r="ULS22" s="19"/>
      <c r="ULT22" s="19"/>
      <c r="ULU22" s="19"/>
      <c r="ULV22" s="19"/>
      <c r="ULW22" s="19"/>
      <c r="ULX22" s="19"/>
      <c r="ULY22" s="19"/>
      <c r="ULZ22" s="19"/>
      <c r="UMA22" s="19"/>
      <c r="UMB22" s="19"/>
      <c r="UMC22" s="19"/>
      <c r="UMD22" s="19"/>
      <c r="UME22" s="19"/>
      <c r="UMF22" s="19"/>
      <c r="UMG22" s="19"/>
      <c r="UMH22" s="19"/>
      <c r="UMI22" s="19"/>
      <c r="UMJ22" s="19"/>
      <c r="UMK22" s="19"/>
      <c r="UML22" s="19"/>
      <c r="UMM22" s="19"/>
      <c r="UMN22" s="19"/>
      <c r="UMO22" s="19"/>
      <c r="UMP22" s="19"/>
      <c r="UMQ22" s="19"/>
      <c r="UMR22" s="19"/>
      <c r="UMS22" s="19"/>
      <c r="UMT22" s="19"/>
      <c r="UMU22" s="19"/>
      <c r="UMV22" s="19"/>
      <c r="UMW22" s="19"/>
      <c r="UMX22" s="19"/>
      <c r="UMY22" s="19"/>
      <c r="UMZ22" s="19"/>
      <c r="UNA22" s="19"/>
      <c r="UNB22" s="19"/>
      <c r="UNC22" s="19"/>
      <c r="UND22" s="19"/>
      <c r="UNE22" s="19"/>
      <c r="UNF22" s="19"/>
      <c r="UNG22" s="19"/>
      <c r="UNH22" s="19"/>
      <c r="UNI22" s="19"/>
      <c r="UNJ22" s="19"/>
      <c r="UNK22" s="19"/>
      <c r="UNL22" s="19"/>
      <c r="UNM22" s="19"/>
      <c r="UNN22" s="19"/>
      <c r="UNO22" s="19"/>
      <c r="UNP22" s="19"/>
      <c r="UNQ22" s="19"/>
      <c r="UNR22" s="19"/>
      <c r="UNS22" s="19"/>
      <c r="UNT22" s="19"/>
      <c r="UNU22" s="19"/>
      <c r="UNV22" s="19"/>
      <c r="UNW22" s="19"/>
      <c r="UNX22" s="19"/>
      <c r="UNY22" s="19"/>
      <c r="UNZ22" s="19"/>
      <c r="UOA22" s="19"/>
      <c r="UOB22" s="19"/>
      <c r="UOC22" s="19"/>
      <c r="UOD22" s="19"/>
      <c r="UOE22" s="19"/>
      <c r="UOF22" s="19"/>
      <c r="UOG22" s="19"/>
      <c r="UOH22" s="19"/>
      <c r="UOI22" s="19"/>
      <c r="UOJ22" s="19"/>
      <c r="UOK22" s="19"/>
      <c r="UOL22" s="19"/>
      <c r="UOM22" s="19"/>
      <c r="UON22" s="19"/>
      <c r="UOO22" s="19"/>
      <c r="UOP22" s="19"/>
      <c r="UOQ22" s="19"/>
      <c r="UOR22" s="19"/>
      <c r="UOS22" s="19"/>
      <c r="UOT22" s="19"/>
      <c r="UOU22" s="19"/>
      <c r="UOV22" s="19"/>
      <c r="UOW22" s="19"/>
      <c r="UOX22" s="19"/>
      <c r="UOY22" s="19"/>
      <c r="UOZ22" s="19"/>
      <c r="UPA22" s="19"/>
      <c r="UPB22" s="19"/>
      <c r="UPC22" s="19"/>
      <c r="UPD22" s="19"/>
      <c r="UPE22" s="19"/>
      <c r="UPF22" s="19"/>
      <c r="UPG22" s="19"/>
      <c r="UPH22" s="19"/>
      <c r="UPI22" s="19"/>
      <c r="UPJ22" s="19"/>
      <c r="UPK22" s="19"/>
      <c r="UPL22" s="19"/>
      <c r="UPM22" s="19"/>
      <c r="UPN22" s="19"/>
      <c r="UPO22" s="19"/>
      <c r="UPP22" s="19"/>
      <c r="UPQ22" s="19"/>
      <c r="UPR22" s="19"/>
      <c r="UPS22" s="19"/>
      <c r="UPT22" s="19"/>
      <c r="UPU22" s="19"/>
      <c r="UPV22" s="19"/>
      <c r="UPW22" s="19"/>
      <c r="UPX22" s="19"/>
      <c r="UPY22" s="19"/>
      <c r="UPZ22" s="19"/>
      <c r="UQA22" s="19"/>
      <c r="UQB22" s="19"/>
      <c r="UQC22" s="19"/>
      <c r="UQD22" s="19"/>
      <c r="UQE22" s="19"/>
      <c r="UQF22" s="19"/>
      <c r="UQG22" s="19"/>
      <c r="UQH22" s="19"/>
      <c r="UQI22" s="19"/>
      <c r="UQJ22" s="19"/>
      <c r="UQK22" s="19"/>
      <c r="UQL22" s="19"/>
      <c r="UQM22" s="19"/>
      <c r="UQN22" s="19"/>
      <c r="UQO22" s="19"/>
      <c r="UQP22" s="19"/>
      <c r="UQQ22" s="19"/>
      <c r="UQR22" s="19"/>
      <c r="UQS22" s="19"/>
      <c r="UQT22" s="19"/>
      <c r="UQU22" s="19"/>
      <c r="UQV22" s="19"/>
      <c r="UQW22" s="19"/>
      <c r="UQX22" s="19"/>
      <c r="UQY22" s="19"/>
      <c r="UQZ22" s="19"/>
      <c r="URA22" s="19"/>
      <c r="URB22" s="19"/>
      <c r="URC22" s="19"/>
      <c r="URD22" s="19"/>
      <c r="URE22" s="19"/>
      <c r="URF22" s="19"/>
      <c r="URG22" s="19"/>
      <c r="URH22" s="19"/>
      <c r="URI22" s="19"/>
      <c r="URJ22" s="19"/>
      <c r="URK22" s="19"/>
      <c r="URL22" s="19"/>
      <c r="URM22" s="19"/>
      <c r="URN22" s="19"/>
      <c r="URO22" s="19"/>
      <c r="URP22" s="19"/>
      <c r="URQ22" s="19"/>
      <c r="URR22" s="19"/>
      <c r="URS22" s="19"/>
      <c r="URT22" s="19"/>
      <c r="URU22" s="19"/>
      <c r="URV22" s="19"/>
      <c r="URW22" s="19"/>
      <c r="URX22" s="19"/>
      <c r="URY22" s="19"/>
      <c r="URZ22" s="19"/>
      <c r="USA22" s="19"/>
      <c r="USB22" s="19"/>
      <c r="USC22" s="19"/>
      <c r="USD22" s="19"/>
      <c r="USE22" s="19"/>
      <c r="USF22" s="19"/>
      <c r="USG22" s="19"/>
      <c r="USH22" s="19"/>
      <c r="USI22" s="19"/>
      <c r="USJ22" s="19"/>
      <c r="USK22" s="19"/>
      <c r="USL22" s="19"/>
      <c r="USM22" s="19"/>
      <c r="USN22" s="19"/>
      <c r="USO22" s="19"/>
      <c r="USP22" s="19"/>
      <c r="USQ22" s="19"/>
      <c r="USR22" s="19"/>
      <c r="USS22" s="19"/>
      <c r="UST22" s="19"/>
      <c r="USU22" s="19"/>
      <c r="USV22" s="19"/>
      <c r="USW22" s="19"/>
      <c r="USX22" s="19"/>
      <c r="USY22" s="19"/>
      <c r="USZ22" s="19"/>
      <c r="UTA22" s="19"/>
      <c r="UTB22" s="19"/>
      <c r="UTC22" s="19"/>
      <c r="UTD22" s="19"/>
      <c r="UTE22" s="19"/>
      <c r="UTF22" s="19"/>
      <c r="UTG22" s="19"/>
      <c r="UTH22" s="19"/>
      <c r="UTI22" s="19"/>
      <c r="UTJ22" s="19"/>
      <c r="UTK22" s="19"/>
      <c r="UTL22" s="19"/>
      <c r="UTM22" s="19"/>
      <c r="UTN22" s="19"/>
      <c r="UTO22" s="19"/>
      <c r="UTP22" s="19"/>
      <c r="UTQ22" s="19"/>
      <c r="UTR22" s="19"/>
      <c r="UTS22" s="19"/>
      <c r="UTT22" s="19"/>
      <c r="UTU22" s="19"/>
      <c r="UTV22" s="19"/>
      <c r="UTW22" s="19"/>
      <c r="UTX22" s="19"/>
      <c r="UTY22" s="19"/>
      <c r="UTZ22" s="19"/>
      <c r="UUA22" s="19"/>
      <c r="UUB22" s="19"/>
      <c r="UUC22" s="19"/>
      <c r="UUD22" s="19"/>
      <c r="UUE22" s="19"/>
      <c r="UUF22" s="19"/>
      <c r="UUG22" s="19"/>
      <c r="UUH22" s="19"/>
      <c r="UUI22" s="19"/>
      <c r="UUJ22" s="19"/>
      <c r="UUK22" s="19"/>
      <c r="UUL22" s="19"/>
      <c r="UUM22" s="19"/>
      <c r="UUN22" s="19"/>
      <c r="UUO22" s="19"/>
      <c r="UUP22" s="19"/>
      <c r="UUQ22" s="19"/>
      <c r="UUR22" s="19"/>
      <c r="UUS22" s="19"/>
      <c r="UUT22" s="19"/>
      <c r="UUU22" s="19"/>
      <c r="UUV22" s="19"/>
      <c r="UUW22" s="19"/>
      <c r="UUX22" s="19"/>
      <c r="UUY22" s="19"/>
      <c r="UUZ22" s="19"/>
      <c r="UVA22" s="19"/>
      <c r="UVB22" s="19"/>
      <c r="UVC22" s="19"/>
      <c r="UVD22" s="19"/>
      <c r="UVE22" s="19"/>
      <c r="UVF22" s="19"/>
      <c r="UVG22" s="19"/>
      <c r="UVH22" s="19"/>
      <c r="UVI22" s="19"/>
      <c r="UVJ22" s="19"/>
      <c r="UVK22" s="19"/>
      <c r="UVL22" s="19"/>
      <c r="UVM22" s="19"/>
      <c r="UVN22" s="19"/>
      <c r="UVO22" s="19"/>
      <c r="UVP22" s="19"/>
      <c r="UVQ22" s="19"/>
      <c r="UVR22" s="19"/>
      <c r="UVS22" s="19"/>
      <c r="UVT22" s="19"/>
      <c r="UVU22" s="19"/>
      <c r="UVV22" s="19"/>
      <c r="UVW22" s="19"/>
      <c r="UVX22" s="19"/>
      <c r="UVY22" s="19"/>
      <c r="UVZ22" s="19"/>
      <c r="UWA22" s="19"/>
      <c r="UWB22" s="19"/>
      <c r="UWC22" s="19"/>
      <c r="UWD22" s="19"/>
      <c r="UWE22" s="19"/>
      <c r="UWF22" s="19"/>
      <c r="UWG22" s="19"/>
      <c r="UWH22" s="19"/>
      <c r="UWI22" s="19"/>
      <c r="UWJ22" s="19"/>
      <c r="UWK22" s="19"/>
      <c r="UWL22" s="19"/>
      <c r="UWM22" s="19"/>
      <c r="UWN22" s="19"/>
      <c r="UWO22" s="19"/>
      <c r="UWP22" s="19"/>
      <c r="UWQ22" s="19"/>
      <c r="UWR22" s="19"/>
      <c r="UWS22" s="19"/>
      <c r="UWT22" s="19"/>
      <c r="UWU22" s="19"/>
      <c r="UWV22" s="19"/>
      <c r="UWW22" s="19"/>
      <c r="UWX22" s="19"/>
      <c r="UWY22" s="19"/>
      <c r="UWZ22" s="19"/>
      <c r="UXA22" s="19"/>
      <c r="UXB22" s="19"/>
      <c r="UXC22" s="19"/>
      <c r="UXD22" s="19"/>
      <c r="UXE22" s="19"/>
      <c r="UXF22" s="19"/>
      <c r="UXG22" s="19"/>
      <c r="UXH22" s="19"/>
      <c r="UXI22" s="19"/>
      <c r="UXJ22" s="19"/>
      <c r="UXK22" s="19"/>
      <c r="UXL22" s="19"/>
      <c r="UXM22" s="19"/>
      <c r="UXN22" s="19"/>
      <c r="UXO22" s="19"/>
      <c r="UXP22" s="19"/>
      <c r="UXQ22" s="19"/>
      <c r="UXR22" s="19"/>
      <c r="UXS22" s="19"/>
      <c r="UXT22" s="19"/>
      <c r="UXU22" s="19"/>
      <c r="UXV22" s="19"/>
      <c r="UXW22" s="19"/>
      <c r="UXX22" s="19"/>
      <c r="UXY22" s="19"/>
      <c r="UXZ22" s="19"/>
      <c r="UYA22" s="19"/>
      <c r="UYB22" s="19"/>
      <c r="UYC22" s="19"/>
      <c r="UYD22" s="19"/>
      <c r="UYE22" s="19"/>
      <c r="UYF22" s="19"/>
      <c r="UYG22" s="19"/>
      <c r="UYH22" s="19"/>
      <c r="UYI22" s="19"/>
      <c r="UYJ22" s="19"/>
      <c r="UYK22" s="19"/>
      <c r="UYL22" s="19"/>
      <c r="UYM22" s="19"/>
      <c r="UYN22" s="19"/>
      <c r="UYO22" s="19"/>
      <c r="UYP22" s="19"/>
      <c r="UYQ22" s="19"/>
      <c r="UYR22" s="19"/>
      <c r="UYS22" s="19"/>
      <c r="UYT22" s="19"/>
      <c r="UYU22" s="19"/>
      <c r="UYV22" s="19"/>
      <c r="UYW22" s="19"/>
      <c r="UYX22" s="19"/>
      <c r="UYY22" s="19"/>
      <c r="UYZ22" s="19"/>
      <c r="UZA22" s="19"/>
      <c r="UZB22" s="19"/>
      <c r="UZC22" s="19"/>
      <c r="UZD22" s="19"/>
      <c r="UZE22" s="19"/>
      <c r="UZF22" s="19"/>
      <c r="UZG22" s="19"/>
      <c r="UZH22" s="19"/>
      <c r="UZI22" s="19"/>
      <c r="UZJ22" s="19"/>
      <c r="UZK22" s="19"/>
      <c r="UZL22" s="19"/>
      <c r="UZM22" s="19"/>
      <c r="UZN22" s="19"/>
      <c r="UZO22" s="19"/>
      <c r="UZP22" s="19"/>
      <c r="UZQ22" s="19"/>
      <c r="UZR22" s="19"/>
      <c r="UZS22" s="19"/>
      <c r="UZT22" s="19"/>
      <c r="UZU22" s="19"/>
      <c r="UZV22" s="19"/>
      <c r="UZW22" s="19"/>
      <c r="UZX22" s="19"/>
      <c r="UZY22" s="19"/>
      <c r="UZZ22" s="19"/>
      <c r="VAA22" s="19"/>
      <c r="VAB22" s="19"/>
      <c r="VAC22" s="19"/>
      <c r="VAD22" s="19"/>
      <c r="VAE22" s="19"/>
      <c r="VAF22" s="19"/>
      <c r="VAG22" s="19"/>
      <c r="VAH22" s="19"/>
      <c r="VAI22" s="19"/>
      <c r="VAJ22" s="19"/>
      <c r="VAK22" s="19"/>
      <c r="VAL22" s="19"/>
      <c r="VAM22" s="19"/>
      <c r="VAN22" s="19"/>
      <c r="VAO22" s="19"/>
      <c r="VAP22" s="19"/>
      <c r="VAQ22" s="19"/>
      <c r="VAR22" s="19"/>
      <c r="VAS22" s="19"/>
      <c r="VAT22" s="19"/>
      <c r="VAU22" s="19"/>
      <c r="VAV22" s="19"/>
      <c r="VAW22" s="19"/>
      <c r="VAX22" s="19"/>
      <c r="VAY22" s="19"/>
      <c r="VAZ22" s="19"/>
      <c r="VBA22" s="19"/>
      <c r="VBB22" s="19"/>
      <c r="VBC22" s="19"/>
      <c r="VBD22" s="19"/>
      <c r="VBE22" s="19"/>
      <c r="VBF22" s="19"/>
      <c r="VBG22" s="19"/>
      <c r="VBH22" s="19"/>
      <c r="VBI22" s="19"/>
      <c r="VBJ22" s="19"/>
      <c r="VBK22" s="19"/>
      <c r="VBL22" s="19"/>
      <c r="VBM22" s="19"/>
      <c r="VBN22" s="19"/>
      <c r="VBO22" s="19"/>
      <c r="VBP22" s="19"/>
      <c r="VBQ22" s="19"/>
      <c r="VBR22" s="19"/>
      <c r="VBS22" s="19"/>
      <c r="VBT22" s="19"/>
      <c r="VBU22" s="19"/>
      <c r="VBV22" s="19"/>
      <c r="VBW22" s="19"/>
      <c r="VBX22" s="19"/>
      <c r="VBY22" s="19"/>
      <c r="VBZ22" s="19"/>
      <c r="VCA22" s="19"/>
      <c r="VCB22" s="19"/>
      <c r="VCC22" s="19"/>
      <c r="VCD22" s="19"/>
      <c r="VCE22" s="19"/>
      <c r="VCF22" s="19"/>
      <c r="VCG22" s="19"/>
      <c r="VCH22" s="19"/>
      <c r="VCI22" s="19"/>
      <c r="VCJ22" s="19"/>
      <c r="VCK22" s="19"/>
      <c r="VCL22" s="19"/>
      <c r="VCM22" s="19"/>
      <c r="VCN22" s="19"/>
      <c r="VCO22" s="19"/>
      <c r="VCP22" s="19"/>
      <c r="VCQ22" s="19"/>
      <c r="VCR22" s="19"/>
      <c r="VCS22" s="19"/>
      <c r="VCT22" s="19"/>
      <c r="VCU22" s="19"/>
      <c r="VCV22" s="19"/>
      <c r="VCW22" s="19"/>
      <c r="VCX22" s="19"/>
      <c r="VCY22" s="19"/>
      <c r="VCZ22" s="19"/>
      <c r="VDA22" s="19"/>
      <c r="VDB22" s="19"/>
      <c r="VDC22" s="19"/>
      <c r="VDD22" s="19"/>
      <c r="VDE22" s="19"/>
      <c r="VDF22" s="19"/>
      <c r="VDG22" s="19"/>
      <c r="VDH22" s="19"/>
      <c r="VDI22" s="19"/>
      <c r="VDJ22" s="19"/>
      <c r="VDK22" s="19"/>
      <c r="VDL22" s="19"/>
      <c r="VDM22" s="19"/>
      <c r="VDN22" s="19"/>
      <c r="VDO22" s="19"/>
      <c r="VDP22" s="19"/>
      <c r="VDQ22" s="19"/>
      <c r="VDR22" s="19"/>
      <c r="VDS22" s="19"/>
      <c r="VDT22" s="19"/>
      <c r="VDU22" s="19"/>
      <c r="VDV22" s="19"/>
      <c r="VDW22" s="19"/>
      <c r="VDX22" s="19"/>
      <c r="VDY22" s="19"/>
      <c r="VDZ22" s="19"/>
      <c r="VEA22" s="19"/>
      <c r="VEB22" s="19"/>
      <c r="VEC22" s="19"/>
      <c r="VED22" s="19"/>
      <c r="VEE22" s="19"/>
      <c r="VEF22" s="19"/>
      <c r="VEG22" s="19"/>
      <c r="VEH22" s="19"/>
      <c r="VEI22" s="19"/>
      <c r="VEJ22" s="19"/>
      <c r="VEK22" s="19"/>
      <c r="VEL22" s="19"/>
      <c r="VEM22" s="19"/>
      <c r="VEN22" s="19"/>
      <c r="VEO22" s="19"/>
      <c r="VEP22" s="19"/>
      <c r="VEQ22" s="19"/>
      <c r="VER22" s="19"/>
      <c r="VES22" s="19"/>
      <c r="VET22" s="19"/>
      <c r="VEU22" s="19"/>
      <c r="VEV22" s="19"/>
      <c r="VEW22" s="19"/>
      <c r="VEX22" s="19"/>
      <c r="VEY22" s="19"/>
      <c r="VEZ22" s="19"/>
      <c r="VFA22" s="19"/>
      <c r="VFB22" s="19"/>
      <c r="VFC22" s="19"/>
      <c r="VFD22" s="19"/>
      <c r="VFE22" s="19"/>
      <c r="VFF22" s="19"/>
      <c r="VFG22" s="19"/>
      <c r="VFH22" s="19"/>
      <c r="VFI22" s="19"/>
      <c r="VFJ22" s="19"/>
      <c r="VFK22" s="19"/>
      <c r="VFL22" s="19"/>
      <c r="VFM22" s="19"/>
      <c r="VFN22" s="19"/>
      <c r="VFO22" s="19"/>
      <c r="VFP22" s="19"/>
      <c r="VFQ22" s="19"/>
      <c r="VFR22" s="19"/>
      <c r="VFS22" s="19"/>
      <c r="VFT22" s="19"/>
      <c r="VFU22" s="19"/>
      <c r="VFV22" s="19"/>
      <c r="VFW22" s="19"/>
      <c r="VFX22" s="19"/>
      <c r="VFY22" s="19"/>
      <c r="VFZ22" s="19"/>
      <c r="VGA22" s="19"/>
      <c r="VGB22" s="19"/>
      <c r="VGC22" s="19"/>
      <c r="VGD22" s="19"/>
      <c r="VGE22" s="19"/>
      <c r="VGF22" s="19"/>
      <c r="VGG22" s="19"/>
      <c r="VGH22" s="19"/>
      <c r="VGI22" s="19"/>
      <c r="VGJ22" s="19"/>
      <c r="VGK22" s="19"/>
      <c r="VGL22" s="19"/>
      <c r="VGM22" s="19"/>
      <c r="VGN22" s="19"/>
      <c r="VGO22" s="19"/>
      <c r="VGP22" s="19"/>
      <c r="VGQ22" s="19"/>
      <c r="VGR22" s="19"/>
      <c r="VGS22" s="19"/>
      <c r="VGT22" s="19"/>
      <c r="VGU22" s="19"/>
      <c r="VGV22" s="19"/>
      <c r="VGW22" s="19"/>
      <c r="VGX22" s="19"/>
      <c r="VGY22" s="19"/>
      <c r="VGZ22" s="19"/>
      <c r="VHA22" s="19"/>
      <c r="VHB22" s="19"/>
      <c r="VHC22" s="19"/>
      <c r="VHD22" s="19"/>
      <c r="VHE22" s="19"/>
      <c r="VHF22" s="19"/>
      <c r="VHG22" s="19"/>
      <c r="VHH22" s="19"/>
      <c r="VHI22" s="19"/>
      <c r="VHJ22" s="19"/>
      <c r="VHK22" s="19"/>
      <c r="VHL22" s="19"/>
      <c r="VHM22" s="19"/>
      <c r="VHN22" s="19"/>
      <c r="VHO22" s="19"/>
      <c r="VHP22" s="19"/>
      <c r="VHQ22" s="19"/>
      <c r="VHR22" s="19"/>
      <c r="VHS22" s="19"/>
      <c r="VHT22" s="19"/>
      <c r="VHU22" s="19"/>
      <c r="VHV22" s="19"/>
      <c r="VHW22" s="19"/>
      <c r="VHX22" s="19"/>
      <c r="VHY22" s="19"/>
      <c r="VHZ22" s="19"/>
      <c r="VIA22" s="19"/>
      <c r="VIB22" s="19"/>
      <c r="VIC22" s="19"/>
      <c r="VID22" s="19"/>
      <c r="VIE22" s="19"/>
      <c r="VIF22" s="19"/>
      <c r="VIG22" s="19"/>
      <c r="VIH22" s="19"/>
      <c r="VII22" s="19"/>
      <c r="VIJ22" s="19"/>
      <c r="VIK22" s="19"/>
      <c r="VIL22" s="19"/>
      <c r="VIM22" s="19"/>
      <c r="VIN22" s="19"/>
      <c r="VIO22" s="19"/>
      <c r="VIP22" s="19"/>
      <c r="VIQ22" s="19"/>
      <c r="VIR22" s="19"/>
      <c r="VIS22" s="19"/>
      <c r="VIT22" s="19"/>
      <c r="VIU22" s="19"/>
      <c r="VIV22" s="19"/>
      <c r="VIW22" s="19"/>
      <c r="VIX22" s="19"/>
      <c r="VIY22" s="19"/>
      <c r="VIZ22" s="19"/>
      <c r="VJA22" s="19"/>
      <c r="VJB22" s="19"/>
      <c r="VJC22" s="19"/>
      <c r="VJD22" s="19"/>
      <c r="VJE22" s="19"/>
      <c r="VJF22" s="19"/>
      <c r="VJG22" s="19"/>
      <c r="VJH22" s="19"/>
      <c r="VJI22" s="19"/>
      <c r="VJJ22" s="19"/>
      <c r="VJK22" s="19"/>
      <c r="VJL22" s="19"/>
      <c r="VJM22" s="19"/>
      <c r="VJN22" s="19"/>
      <c r="VJO22" s="19"/>
      <c r="VJP22" s="19"/>
      <c r="VJQ22" s="19"/>
      <c r="VJR22" s="19"/>
      <c r="VJS22" s="19"/>
      <c r="VJT22" s="19"/>
      <c r="VJU22" s="19"/>
      <c r="VJV22" s="19"/>
      <c r="VJW22" s="19"/>
      <c r="VJX22" s="19"/>
      <c r="VJY22" s="19"/>
      <c r="VJZ22" s="19"/>
      <c r="VKA22" s="19"/>
      <c r="VKB22" s="19"/>
      <c r="VKC22" s="19"/>
      <c r="VKD22" s="19"/>
      <c r="VKE22" s="19"/>
      <c r="VKF22" s="19"/>
      <c r="VKG22" s="19"/>
      <c r="VKH22" s="19"/>
      <c r="VKI22" s="19"/>
      <c r="VKJ22" s="19"/>
      <c r="VKK22" s="19"/>
      <c r="VKL22" s="19"/>
      <c r="VKM22" s="19"/>
      <c r="VKN22" s="19"/>
      <c r="VKO22" s="19"/>
      <c r="VKP22" s="19"/>
      <c r="VKQ22" s="19"/>
      <c r="VKR22" s="19"/>
      <c r="VKS22" s="19"/>
      <c r="VKT22" s="19"/>
      <c r="VKU22" s="19"/>
      <c r="VKV22" s="19"/>
      <c r="VKW22" s="19"/>
      <c r="VKX22" s="19"/>
      <c r="VKY22" s="19"/>
      <c r="VKZ22" s="19"/>
      <c r="VLA22" s="19"/>
      <c r="VLB22" s="19"/>
      <c r="VLC22" s="19"/>
      <c r="VLD22" s="19"/>
      <c r="VLE22" s="19"/>
      <c r="VLF22" s="19"/>
      <c r="VLG22" s="19"/>
      <c r="VLH22" s="19"/>
      <c r="VLI22" s="19"/>
      <c r="VLJ22" s="19"/>
      <c r="VLK22" s="19"/>
      <c r="VLL22" s="19"/>
      <c r="VLM22" s="19"/>
      <c r="VLN22" s="19"/>
      <c r="VLO22" s="19"/>
      <c r="VLP22" s="19"/>
      <c r="VLQ22" s="19"/>
      <c r="VLR22" s="19"/>
      <c r="VLS22" s="19"/>
      <c r="VLT22" s="19"/>
      <c r="VLU22" s="19"/>
      <c r="VLV22" s="19"/>
      <c r="VLW22" s="19"/>
      <c r="VLX22" s="19"/>
      <c r="VLY22" s="19"/>
      <c r="VLZ22" s="19"/>
      <c r="VMA22" s="19"/>
      <c r="VMB22" s="19"/>
      <c r="VMC22" s="19"/>
      <c r="VMD22" s="19"/>
      <c r="VME22" s="19"/>
      <c r="VMF22" s="19"/>
      <c r="VMG22" s="19"/>
      <c r="VMH22" s="19"/>
      <c r="VMI22" s="19"/>
      <c r="VMJ22" s="19"/>
      <c r="VMK22" s="19"/>
      <c r="VML22" s="19"/>
      <c r="VMM22" s="19"/>
      <c r="VMN22" s="19"/>
      <c r="VMO22" s="19"/>
      <c r="VMP22" s="19"/>
      <c r="VMQ22" s="19"/>
      <c r="VMR22" s="19"/>
      <c r="VMS22" s="19"/>
      <c r="VMT22" s="19"/>
      <c r="VMU22" s="19"/>
      <c r="VMV22" s="19"/>
      <c r="VMW22" s="19"/>
      <c r="VMX22" s="19"/>
      <c r="VMY22" s="19"/>
      <c r="VMZ22" s="19"/>
      <c r="VNA22" s="19"/>
      <c r="VNB22" s="19"/>
      <c r="VNC22" s="19"/>
      <c r="VND22" s="19"/>
      <c r="VNE22" s="19"/>
      <c r="VNF22" s="19"/>
      <c r="VNG22" s="19"/>
      <c r="VNH22" s="19"/>
      <c r="VNI22" s="19"/>
      <c r="VNJ22" s="19"/>
      <c r="VNK22" s="19"/>
      <c r="VNL22" s="19"/>
      <c r="VNM22" s="19"/>
      <c r="VNN22" s="19"/>
      <c r="VNO22" s="19"/>
      <c r="VNP22" s="19"/>
      <c r="VNQ22" s="19"/>
      <c r="VNR22" s="19"/>
      <c r="VNS22" s="19"/>
      <c r="VNT22" s="19"/>
      <c r="VNU22" s="19"/>
      <c r="VNV22" s="19"/>
      <c r="VNW22" s="19"/>
      <c r="VNX22" s="19"/>
      <c r="VNY22" s="19"/>
      <c r="VNZ22" s="19"/>
      <c r="VOA22" s="19"/>
      <c r="VOB22" s="19"/>
      <c r="VOC22" s="19"/>
      <c r="VOD22" s="19"/>
      <c r="VOE22" s="19"/>
      <c r="VOF22" s="19"/>
      <c r="VOG22" s="19"/>
      <c r="VOH22" s="19"/>
      <c r="VOI22" s="19"/>
      <c r="VOJ22" s="19"/>
      <c r="VOK22" s="19"/>
      <c r="VOL22" s="19"/>
      <c r="VOM22" s="19"/>
      <c r="VON22" s="19"/>
      <c r="VOO22" s="19"/>
      <c r="VOP22" s="19"/>
      <c r="VOQ22" s="19"/>
      <c r="VOR22" s="19"/>
      <c r="VOS22" s="19"/>
      <c r="VOT22" s="19"/>
      <c r="VOU22" s="19"/>
      <c r="VOV22" s="19"/>
      <c r="VOW22" s="19"/>
      <c r="VOX22" s="19"/>
      <c r="VOY22" s="19"/>
      <c r="VOZ22" s="19"/>
      <c r="VPA22" s="19"/>
      <c r="VPB22" s="19"/>
      <c r="VPC22" s="19"/>
      <c r="VPD22" s="19"/>
      <c r="VPE22" s="19"/>
      <c r="VPF22" s="19"/>
      <c r="VPG22" s="19"/>
      <c r="VPH22" s="19"/>
      <c r="VPI22" s="19"/>
      <c r="VPJ22" s="19"/>
      <c r="VPK22" s="19"/>
      <c r="VPL22" s="19"/>
      <c r="VPM22" s="19"/>
      <c r="VPN22" s="19"/>
      <c r="VPO22" s="19"/>
      <c r="VPP22" s="19"/>
      <c r="VPQ22" s="19"/>
      <c r="VPR22" s="19"/>
      <c r="VPS22" s="19"/>
      <c r="VPT22" s="19"/>
      <c r="VPU22" s="19"/>
      <c r="VPV22" s="19"/>
      <c r="VPW22" s="19"/>
      <c r="VPX22" s="19"/>
      <c r="VPY22" s="19"/>
      <c r="VPZ22" s="19"/>
      <c r="VQA22" s="19"/>
      <c r="VQB22" s="19"/>
      <c r="VQC22" s="19"/>
      <c r="VQD22" s="19"/>
      <c r="VQE22" s="19"/>
      <c r="VQF22" s="19"/>
      <c r="VQG22" s="19"/>
      <c r="VQH22" s="19"/>
      <c r="VQI22" s="19"/>
      <c r="VQJ22" s="19"/>
      <c r="VQK22" s="19"/>
      <c r="VQL22" s="19"/>
      <c r="VQM22" s="19"/>
      <c r="VQN22" s="19"/>
      <c r="VQO22" s="19"/>
      <c r="VQP22" s="19"/>
      <c r="VQQ22" s="19"/>
      <c r="VQR22" s="19"/>
      <c r="VQS22" s="19"/>
      <c r="VQT22" s="19"/>
      <c r="VQU22" s="19"/>
      <c r="VQV22" s="19"/>
      <c r="VQW22" s="19"/>
      <c r="VQX22" s="19"/>
      <c r="VQY22" s="19"/>
      <c r="VQZ22" s="19"/>
      <c r="VRA22" s="19"/>
      <c r="VRB22" s="19"/>
      <c r="VRC22" s="19"/>
      <c r="VRD22" s="19"/>
      <c r="VRE22" s="19"/>
      <c r="VRF22" s="19"/>
      <c r="VRG22" s="19"/>
      <c r="VRH22" s="19"/>
      <c r="VRI22" s="19"/>
      <c r="VRJ22" s="19"/>
      <c r="VRK22" s="19"/>
      <c r="VRL22" s="19"/>
      <c r="VRM22" s="19"/>
      <c r="VRN22" s="19"/>
      <c r="VRO22" s="19"/>
      <c r="VRP22" s="19"/>
      <c r="VRQ22" s="19"/>
      <c r="VRR22" s="19"/>
      <c r="VRS22" s="19"/>
      <c r="VRT22" s="19"/>
      <c r="VRU22" s="19"/>
      <c r="VRV22" s="19"/>
      <c r="VRW22" s="19"/>
      <c r="VRX22" s="19"/>
      <c r="VRY22" s="19"/>
      <c r="VRZ22" s="19"/>
      <c r="VSA22" s="19"/>
      <c r="VSB22" s="19"/>
      <c r="VSC22" s="19"/>
      <c r="VSD22" s="19"/>
      <c r="VSE22" s="19"/>
      <c r="VSF22" s="19"/>
      <c r="VSG22" s="19"/>
      <c r="VSH22" s="19"/>
      <c r="VSI22" s="19"/>
      <c r="VSJ22" s="19"/>
      <c r="VSK22" s="19"/>
      <c r="VSL22" s="19"/>
      <c r="VSM22" s="19"/>
      <c r="VSN22" s="19"/>
      <c r="VSO22" s="19"/>
      <c r="VSP22" s="19"/>
      <c r="VSQ22" s="19"/>
      <c r="VSR22" s="19"/>
      <c r="VSS22" s="19"/>
      <c r="VST22" s="19"/>
      <c r="VSU22" s="19"/>
      <c r="VSV22" s="19"/>
      <c r="VSW22" s="19"/>
      <c r="VSX22" s="19"/>
      <c r="VSY22" s="19"/>
      <c r="VSZ22" s="19"/>
      <c r="VTA22" s="19"/>
      <c r="VTB22" s="19"/>
      <c r="VTC22" s="19"/>
      <c r="VTD22" s="19"/>
      <c r="VTE22" s="19"/>
      <c r="VTF22" s="19"/>
      <c r="VTG22" s="19"/>
      <c r="VTH22" s="19"/>
      <c r="VTI22" s="19"/>
      <c r="VTJ22" s="19"/>
      <c r="VTK22" s="19"/>
      <c r="VTL22" s="19"/>
      <c r="VTM22" s="19"/>
      <c r="VTN22" s="19"/>
      <c r="VTO22" s="19"/>
      <c r="VTP22" s="19"/>
      <c r="VTQ22" s="19"/>
      <c r="VTR22" s="19"/>
      <c r="VTS22" s="19"/>
      <c r="VTT22" s="19"/>
      <c r="VTU22" s="19"/>
      <c r="VTV22" s="19"/>
      <c r="VTW22" s="19"/>
      <c r="VTX22" s="19"/>
      <c r="VTY22" s="19"/>
      <c r="VTZ22" s="19"/>
      <c r="VUA22" s="19"/>
      <c r="VUB22" s="19"/>
      <c r="VUC22" s="19"/>
      <c r="VUD22" s="19"/>
      <c r="VUE22" s="19"/>
      <c r="VUF22" s="19"/>
      <c r="VUG22" s="19"/>
      <c r="VUH22" s="19"/>
      <c r="VUI22" s="19"/>
      <c r="VUJ22" s="19"/>
      <c r="VUK22" s="19"/>
      <c r="VUL22" s="19"/>
      <c r="VUM22" s="19"/>
      <c r="VUN22" s="19"/>
      <c r="VUO22" s="19"/>
      <c r="VUP22" s="19"/>
      <c r="VUQ22" s="19"/>
      <c r="VUR22" s="19"/>
      <c r="VUS22" s="19"/>
      <c r="VUT22" s="19"/>
      <c r="VUU22" s="19"/>
      <c r="VUV22" s="19"/>
      <c r="VUW22" s="19"/>
      <c r="VUX22" s="19"/>
      <c r="VUY22" s="19"/>
      <c r="VUZ22" s="19"/>
      <c r="VVA22" s="19"/>
      <c r="VVB22" s="19"/>
      <c r="VVC22" s="19"/>
      <c r="VVD22" s="19"/>
      <c r="VVE22" s="19"/>
      <c r="VVF22" s="19"/>
      <c r="VVG22" s="19"/>
      <c r="VVH22" s="19"/>
      <c r="VVI22" s="19"/>
      <c r="VVJ22" s="19"/>
      <c r="VVK22" s="19"/>
      <c r="VVL22" s="19"/>
      <c r="VVM22" s="19"/>
      <c r="VVN22" s="19"/>
      <c r="VVO22" s="19"/>
      <c r="VVP22" s="19"/>
      <c r="VVQ22" s="19"/>
      <c r="VVR22" s="19"/>
      <c r="VVS22" s="19"/>
      <c r="VVT22" s="19"/>
      <c r="VVU22" s="19"/>
      <c r="VVV22" s="19"/>
      <c r="VVW22" s="19"/>
      <c r="VVX22" s="19"/>
      <c r="VVY22" s="19"/>
      <c r="VVZ22" s="19"/>
      <c r="VWA22" s="19"/>
      <c r="VWB22" s="19"/>
      <c r="VWC22" s="19"/>
      <c r="VWD22" s="19"/>
      <c r="VWE22" s="19"/>
      <c r="VWF22" s="19"/>
      <c r="VWG22" s="19"/>
      <c r="VWH22" s="19"/>
      <c r="VWI22" s="19"/>
      <c r="VWJ22" s="19"/>
      <c r="VWK22" s="19"/>
      <c r="VWL22" s="19"/>
      <c r="VWM22" s="19"/>
      <c r="VWN22" s="19"/>
      <c r="VWO22" s="19"/>
      <c r="VWP22" s="19"/>
      <c r="VWQ22" s="19"/>
      <c r="VWR22" s="19"/>
      <c r="VWS22" s="19"/>
      <c r="VWT22" s="19"/>
      <c r="VWU22" s="19"/>
      <c r="VWV22" s="19"/>
      <c r="VWW22" s="19"/>
      <c r="VWX22" s="19"/>
      <c r="VWY22" s="19"/>
      <c r="VWZ22" s="19"/>
      <c r="VXA22" s="19"/>
      <c r="VXB22" s="19"/>
      <c r="VXC22" s="19"/>
      <c r="VXD22" s="19"/>
      <c r="VXE22" s="19"/>
      <c r="VXF22" s="19"/>
      <c r="VXG22" s="19"/>
      <c r="VXH22" s="19"/>
      <c r="VXI22" s="19"/>
      <c r="VXJ22" s="19"/>
      <c r="VXK22" s="19"/>
      <c r="VXL22" s="19"/>
      <c r="VXM22" s="19"/>
      <c r="VXN22" s="19"/>
      <c r="VXO22" s="19"/>
      <c r="VXP22" s="19"/>
      <c r="VXQ22" s="19"/>
      <c r="VXR22" s="19"/>
      <c r="VXS22" s="19"/>
      <c r="VXT22" s="19"/>
      <c r="VXU22" s="19"/>
      <c r="VXV22" s="19"/>
      <c r="VXW22" s="19"/>
      <c r="VXX22" s="19"/>
      <c r="VXY22" s="19"/>
      <c r="VXZ22" s="19"/>
      <c r="VYA22" s="19"/>
      <c r="VYB22" s="19"/>
      <c r="VYC22" s="19"/>
      <c r="VYD22" s="19"/>
      <c r="VYE22" s="19"/>
      <c r="VYF22" s="19"/>
      <c r="VYG22" s="19"/>
      <c r="VYH22" s="19"/>
      <c r="VYI22" s="19"/>
      <c r="VYJ22" s="19"/>
      <c r="VYK22" s="19"/>
      <c r="VYL22" s="19"/>
      <c r="VYM22" s="19"/>
      <c r="VYN22" s="19"/>
      <c r="VYO22" s="19"/>
      <c r="VYP22" s="19"/>
      <c r="VYQ22" s="19"/>
      <c r="VYR22" s="19"/>
      <c r="VYS22" s="19"/>
      <c r="VYT22" s="19"/>
      <c r="VYU22" s="19"/>
      <c r="VYV22" s="19"/>
      <c r="VYW22" s="19"/>
      <c r="VYX22" s="19"/>
      <c r="VYY22" s="19"/>
      <c r="VYZ22" s="19"/>
      <c r="VZA22" s="19"/>
      <c r="VZB22" s="19"/>
      <c r="VZC22" s="19"/>
      <c r="VZD22" s="19"/>
      <c r="VZE22" s="19"/>
      <c r="VZF22" s="19"/>
      <c r="VZG22" s="19"/>
      <c r="VZH22" s="19"/>
      <c r="VZI22" s="19"/>
      <c r="VZJ22" s="19"/>
      <c r="VZK22" s="19"/>
      <c r="VZL22" s="19"/>
      <c r="VZM22" s="19"/>
      <c r="VZN22" s="19"/>
      <c r="VZO22" s="19"/>
      <c r="VZP22" s="19"/>
      <c r="VZQ22" s="19"/>
      <c r="VZR22" s="19"/>
      <c r="VZS22" s="19"/>
      <c r="VZT22" s="19"/>
      <c r="VZU22" s="19"/>
      <c r="VZV22" s="19"/>
      <c r="VZW22" s="19"/>
      <c r="VZX22" s="19"/>
      <c r="VZY22" s="19"/>
      <c r="VZZ22" s="19"/>
      <c r="WAA22" s="19"/>
      <c r="WAB22" s="19"/>
      <c r="WAC22" s="19"/>
      <c r="WAD22" s="19"/>
      <c r="WAE22" s="19"/>
      <c r="WAF22" s="19"/>
      <c r="WAG22" s="19"/>
      <c r="WAH22" s="19"/>
      <c r="WAI22" s="19"/>
      <c r="WAJ22" s="19"/>
      <c r="WAK22" s="19"/>
      <c r="WAL22" s="19"/>
      <c r="WAM22" s="19"/>
      <c r="WAN22" s="19"/>
      <c r="WAO22" s="19"/>
      <c r="WAP22" s="19"/>
      <c r="WAQ22" s="19"/>
      <c r="WAR22" s="19"/>
      <c r="WAS22" s="19"/>
      <c r="WAT22" s="19"/>
      <c r="WAU22" s="19"/>
      <c r="WAV22" s="19"/>
      <c r="WAW22" s="19"/>
      <c r="WAX22" s="19"/>
      <c r="WAY22" s="19"/>
      <c r="WAZ22" s="19"/>
      <c r="WBA22" s="19"/>
      <c r="WBB22" s="19"/>
      <c r="WBC22" s="19"/>
      <c r="WBD22" s="19"/>
      <c r="WBE22" s="19"/>
      <c r="WBF22" s="19"/>
      <c r="WBG22" s="19"/>
      <c r="WBH22" s="19"/>
      <c r="WBI22" s="19"/>
      <c r="WBJ22" s="19"/>
      <c r="WBK22" s="19"/>
      <c r="WBL22" s="19"/>
      <c r="WBM22" s="19"/>
      <c r="WBN22" s="19"/>
      <c r="WBO22" s="19"/>
      <c r="WBP22" s="19"/>
      <c r="WBQ22" s="19"/>
      <c r="WBR22" s="19"/>
      <c r="WBS22" s="19"/>
      <c r="WBT22" s="19"/>
      <c r="WBU22" s="19"/>
      <c r="WBV22" s="19"/>
      <c r="WBW22" s="19"/>
      <c r="WBX22" s="19"/>
      <c r="WBY22" s="19"/>
      <c r="WBZ22" s="19"/>
      <c r="WCA22" s="19"/>
      <c r="WCB22" s="19"/>
      <c r="WCC22" s="19"/>
      <c r="WCD22" s="19"/>
      <c r="WCE22" s="19"/>
      <c r="WCF22" s="19"/>
      <c r="WCG22" s="19"/>
      <c r="WCH22" s="19"/>
      <c r="WCI22" s="19"/>
      <c r="WCJ22" s="19"/>
      <c r="WCK22" s="19"/>
      <c r="WCL22" s="19"/>
      <c r="WCM22" s="19"/>
      <c r="WCN22" s="19"/>
      <c r="WCO22" s="19"/>
      <c r="WCP22" s="19"/>
      <c r="WCQ22" s="19"/>
      <c r="WCR22" s="19"/>
      <c r="WCS22" s="19"/>
      <c r="WCT22" s="19"/>
      <c r="WCU22" s="19"/>
      <c r="WCV22" s="19"/>
      <c r="WCW22" s="19"/>
      <c r="WCX22" s="19"/>
      <c r="WCY22" s="19"/>
      <c r="WCZ22" s="19"/>
      <c r="WDA22" s="19"/>
      <c r="WDB22" s="19"/>
      <c r="WDC22" s="19"/>
      <c r="WDD22" s="19"/>
      <c r="WDE22" s="19"/>
      <c r="WDF22" s="19"/>
      <c r="WDG22" s="19"/>
      <c r="WDH22" s="19"/>
      <c r="WDI22" s="19"/>
      <c r="WDJ22" s="19"/>
      <c r="WDK22" s="19"/>
      <c r="WDL22" s="19"/>
      <c r="WDM22" s="19"/>
      <c r="WDN22" s="19"/>
      <c r="WDO22" s="19"/>
      <c r="WDP22" s="19"/>
      <c r="WDQ22" s="19"/>
      <c r="WDR22" s="19"/>
      <c r="WDS22" s="19"/>
      <c r="WDT22" s="19"/>
      <c r="WDU22" s="19"/>
      <c r="WDV22" s="19"/>
      <c r="WDW22" s="19"/>
      <c r="WDX22" s="19"/>
      <c r="WDY22" s="19"/>
      <c r="WDZ22" s="19"/>
      <c r="WEA22" s="19"/>
      <c r="WEB22" s="19"/>
      <c r="WEC22" s="19"/>
      <c r="WED22" s="19"/>
      <c r="WEE22" s="19"/>
      <c r="WEF22" s="19"/>
      <c r="WEG22" s="19"/>
      <c r="WEH22" s="19"/>
      <c r="WEI22" s="19"/>
      <c r="WEJ22" s="19"/>
      <c r="WEK22" s="19"/>
      <c r="WEL22" s="19"/>
      <c r="WEM22" s="19"/>
      <c r="WEN22" s="19"/>
      <c r="WEO22" s="19"/>
      <c r="WEP22" s="19"/>
      <c r="WEQ22" s="19"/>
      <c r="WER22" s="19"/>
      <c r="WES22" s="19"/>
      <c r="WET22" s="19"/>
      <c r="WEU22" s="19"/>
      <c r="WEV22" s="19"/>
      <c r="WEW22" s="19"/>
      <c r="WEX22" s="19"/>
      <c r="WEY22" s="19"/>
      <c r="WEZ22" s="19"/>
      <c r="WFA22" s="19"/>
      <c r="WFB22" s="19"/>
      <c r="WFC22" s="19"/>
      <c r="WFD22" s="19"/>
      <c r="WFE22" s="19"/>
      <c r="WFF22" s="19"/>
      <c r="WFG22" s="19"/>
      <c r="WFH22" s="19"/>
      <c r="WFI22" s="19"/>
      <c r="WFJ22" s="19"/>
      <c r="WFK22" s="19"/>
      <c r="WFL22" s="19"/>
      <c r="WFM22" s="19"/>
      <c r="WFN22" s="19"/>
      <c r="WFO22" s="19"/>
      <c r="WFP22" s="19"/>
      <c r="WFQ22" s="19"/>
      <c r="WFR22" s="19"/>
      <c r="WFS22" s="19"/>
      <c r="WFT22" s="19"/>
      <c r="WFU22" s="19"/>
      <c r="WFV22" s="19"/>
      <c r="WFW22" s="19"/>
      <c r="WFX22" s="19"/>
      <c r="WFY22" s="19"/>
      <c r="WFZ22" s="19"/>
      <c r="WGA22" s="19"/>
      <c r="WGB22" s="19"/>
      <c r="WGC22" s="19"/>
      <c r="WGD22" s="19"/>
      <c r="WGE22" s="19"/>
      <c r="WGF22" s="19"/>
      <c r="WGG22" s="19"/>
      <c r="WGH22" s="19"/>
      <c r="WGI22" s="19"/>
      <c r="WGJ22" s="19"/>
      <c r="WGK22" s="19"/>
      <c r="WGL22" s="19"/>
      <c r="WGM22" s="19"/>
      <c r="WGN22" s="19"/>
      <c r="WGO22" s="19"/>
      <c r="WGP22" s="19"/>
      <c r="WGQ22" s="19"/>
      <c r="WGR22" s="19"/>
      <c r="WGS22" s="19"/>
      <c r="WGT22" s="19"/>
      <c r="WGU22" s="19"/>
      <c r="WGV22" s="19"/>
      <c r="WGW22" s="19"/>
      <c r="WGX22" s="19"/>
      <c r="WGY22" s="19"/>
      <c r="WGZ22" s="19"/>
      <c r="WHA22" s="19"/>
      <c r="WHB22" s="19"/>
      <c r="WHC22" s="19"/>
      <c r="WHD22" s="19"/>
      <c r="WHE22" s="19"/>
      <c r="WHF22" s="19"/>
      <c r="WHG22" s="19"/>
      <c r="WHH22" s="19"/>
      <c r="WHI22" s="19"/>
      <c r="WHJ22" s="19"/>
      <c r="WHK22" s="19"/>
      <c r="WHL22" s="19"/>
      <c r="WHM22" s="19"/>
      <c r="WHN22" s="19"/>
      <c r="WHO22" s="19"/>
      <c r="WHP22" s="19"/>
      <c r="WHQ22" s="19"/>
      <c r="WHR22" s="19"/>
      <c r="WHS22" s="19"/>
      <c r="WHT22" s="19"/>
      <c r="WHU22" s="19"/>
      <c r="WHV22" s="19"/>
      <c r="WHW22" s="19"/>
      <c r="WHX22" s="19"/>
      <c r="WHY22" s="19"/>
      <c r="WHZ22" s="19"/>
      <c r="WIA22" s="19"/>
      <c r="WIB22" s="19"/>
      <c r="WIC22" s="19"/>
      <c r="WID22" s="19"/>
      <c r="WIE22" s="19"/>
      <c r="WIF22" s="19"/>
      <c r="WIG22" s="19"/>
      <c r="WIH22" s="19"/>
      <c r="WII22" s="19"/>
      <c r="WIJ22" s="19"/>
      <c r="WIK22" s="19"/>
      <c r="WIL22" s="19"/>
      <c r="WIM22" s="19"/>
      <c r="WIN22" s="19"/>
      <c r="WIO22" s="19"/>
      <c r="WIP22" s="19"/>
      <c r="WIQ22" s="19"/>
      <c r="WIR22" s="19"/>
      <c r="WIS22" s="19"/>
      <c r="WIT22" s="19"/>
      <c r="WIU22" s="19"/>
      <c r="WIV22" s="19"/>
      <c r="WIW22" s="19"/>
      <c r="WIX22" s="19"/>
      <c r="WIY22" s="19"/>
      <c r="WIZ22" s="19"/>
      <c r="WJA22" s="19"/>
      <c r="WJB22" s="19"/>
      <c r="WJC22" s="19"/>
      <c r="WJD22" s="19"/>
      <c r="WJE22" s="19"/>
      <c r="WJF22" s="19"/>
      <c r="WJG22" s="19"/>
      <c r="WJH22" s="19"/>
      <c r="WJI22" s="19"/>
      <c r="WJJ22" s="19"/>
      <c r="WJK22" s="19"/>
      <c r="WJL22" s="19"/>
      <c r="WJM22" s="19"/>
      <c r="WJN22" s="19"/>
      <c r="WJO22" s="19"/>
      <c r="WJP22" s="19"/>
      <c r="WJQ22" s="19"/>
      <c r="WJR22" s="19"/>
      <c r="WJS22" s="19"/>
      <c r="WJT22" s="19"/>
      <c r="WJU22" s="19"/>
      <c r="WJV22" s="19"/>
      <c r="WJW22" s="19"/>
      <c r="WJX22" s="19"/>
      <c r="WJY22" s="19"/>
      <c r="WJZ22" s="19"/>
      <c r="WKA22" s="19"/>
      <c r="WKB22" s="19"/>
      <c r="WKC22" s="19"/>
      <c r="WKD22" s="19"/>
      <c r="WKE22" s="19"/>
      <c r="WKF22" s="19"/>
      <c r="WKG22" s="19"/>
      <c r="WKH22" s="19"/>
      <c r="WKI22" s="19"/>
      <c r="WKJ22" s="19"/>
      <c r="WKK22" s="19"/>
      <c r="WKL22" s="19"/>
      <c r="WKM22" s="19"/>
      <c r="WKN22" s="19"/>
      <c r="WKO22" s="19"/>
      <c r="WKP22" s="19"/>
      <c r="WKQ22" s="19"/>
      <c r="WKR22" s="19"/>
      <c r="WKS22" s="19"/>
      <c r="WKT22" s="19"/>
      <c r="WKU22" s="19"/>
      <c r="WKV22" s="19"/>
      <c r="WKW22" s="19"/>
      <c r="WKX22" s="19"/>
      <c r="WKY22" s="19"/>
      <c r="WKZ22" s="19"/>
      <c r="WLA22" s="19"/>
      <c r="WLB22" s="19"/>
      <c r="WLC22" s="19"/>
      <c r="WLD22" s="19"/>
      <c r="WLE22" s="19"/>
      <c r="WLF22" s="19"/>
      <c r="WLG22" s="19"/>
      <c r="WLH22" s="19"/>
      <c r="WLI22" s="19"/>
      <c r="WLJ22" s="19"/>
      <c r="WLK22" s="19"/>
      <c r="WLL22" s="19"/>
      <c r="WLM22" s="19"/>
      <c r="WLN22" s="19"/>
      <c r="WLO22" s="19"/>
      <c r="WLP22" s="19"/>
      <c r="WLQ22" s="19"/>
      <c r="WLR22" s="19"/>
      <c r="WLS22" s="19"/>
      <c r="WLT22" s="19"/>
      <c r="WLU22" s="19"/>
      <c r="WLV22" s="19"/>
      <c r="WLW22" s="19"/>
      <c r="WLX22" s="19"/>
      <c r="WLY22" s="19"/>
      <c r="WLZ22" s="19"/>
      <c r="WMA22" s="19"/>
      <c r="WMB22" s="19"/>
      <c r="WMC22" s="19"/>
      <c r="WMD22" s="19"/>
      <c r="WME22" s="19"/>
      <c r="WMF22" s="19"/>
      <c r="WMG22" s="19"/>
      <c r="WMH22" s="19"/>
      <c r="WMI22" s="19"/>
      <c r="WMJ22" s="19"/>
      <c r="WMK22" s="19"/>
      <c r="WML22" s="19"/>
      <c r="WMM22" s="19"/>
      <c r="WMN22" s="19"/>
      <c r="WMO22" s="19"/>
      <c r="WMP22" s="19"/>
      <c r="WMQ22" s="19"/>
      <c r="WMR22" s="19"/>
      <c r="WMS22" s="19"/>
      <c r="WMT22" s="19"/>
      <c r="WMU22" s="19"/>
      <c r="WMV22" s="19"/>
      <c r="WMW22" s="19"/>
      <c r="WMX22" s="19"/>
      <c r="WMY22" s="19"/>
      <c r="WMZ22" s="19"/>
      <c r="WNA22" s="19"/>
      <c r="WNB22" s="19"/>
      <c r="WNC22" s="19"/>
      <c r="WND22" s="19"/>
      <c r="WNE22" s="19"/>
      <c r="WNF22" s="19"/>
      <c r="WNG22" s="19"/>
      <c r="WNH22" s="19"/>
      <c r="WNI22" s="19"/>
      <c r="WNJ22" s="19"/>
      <c r="WNK22" s="19"/>
      <c r="WNL22" s="19"/>
      <c r="WNM22" s="19"/>
      <c r="WNN22" s="19"/>
      <c r="WNO22" s="19"/>
      <c r="WNP22" s="19"/>
      <c r="WNQ22" s="19"/>
      <c r="WNR22" s="19"/>
      <c r="WNS22" s="19"/>
      <c r="WNT22" s="19"/>
      <c r="WNU22" s="19"/>
      <c r="WNV22" s="19"/>
      <c r="WNW22" s="19"/>
      <c r="WNX22" s="19"/>
      <c r="WNY22" s="19"/>
      <c r="WNZ22" s="19"/>
      <c r="WOA22" s="19"/>
      <c r="WOB22" s="19"/>
      <c r="WOC22" s="19"/>
      <c r="WOD22" s="19"/>
      <c r="WOE22" s="19"/>
      <c r="WOF22" s="19"/>
      <c r="WOG22" s="19"/>
      <c r="WOH22" s="19"/>
      <c r="WOI22" s="19"/>
      <c r="WOJ22" s="19"/>
      <c r="WOK22" s="19"/>
      <c r="WOL22" s="19"/>
      <c r="WOM22" s="19"/>
      <c r="WON22" s="19"/>
      <c r="WOO22" s="19"/>
      <c r="WOP22" s="19"/>
      <c r="WOQ22" s="19"/>
      <c r="WOR22" s="19"/>
      <c r="WOS22" s="19"/>
      <c r="WOT22" s="19"/>
      <c r="WOU22" s="19"/>
      <c r="WOV22" s="19"/>
      <c r="WOW22" s="19"/>
      <c r="WOX22" s="19"/>
      <c r="WOY22" s="19"/>
      <c r="WOZ22" s="19"/>
      <c r="WPA22" s="19"/>
      <c r="WPB22" s="19"/>
      <c r="WPC22" s="19"/>
      <c r="WPD22" s="19"/>
      <c r="WPE22" s="19"/>
      <c r="WPF22" s="19"/>
      <c r="WPG22" s="19"/>
      <c r="WPH22" s="19"/>
      <c r="WPI22" s="19"/>
      <c r="WPJ22" s="19"/>
      <c r="WPK22" s="19"/>
      <c r="WPL22" s="19"/>
      <c r="WPM22" s="19"/>
      <c r="WPN22" s="19"/>
      <c r="WPO22" s="19"/>
      <c r="WPP22" s="19"/>
      <c r="WPQ22" s="19"/>
      <c r="WPR22" s="19"/>
      <c r="WPS22" s="19"/>
      <c r="WPT22" s="19"/>
      <c r="WPU22" s="19"/>
      <c r="WPV22" s="19"/>
      <c r="WPW22" s="19"/>
      <c r="WPX22" s="19"/>
      <c r="WPY22" s="19"/>
      <c r="WPZ22" s="19"/>
      <c r="WQA22" s="19"/>
      <c r="WQB22" s="19"/>
      <c r="WQC22" s="19"/>
      <c r="WQD22" s="19"/>
      <c r="WQE22" s="19"/>
      <c r="WQF22" s="19"/>
      <c r="WQG22" s="19"/>
      <c r="WQH22" s="19"/>
      <c r="WQI22" s="19"/>
      <c r="WQJ22" s="19"/>
      <c r="WQK22" s="19"/>
      <c r="WQL22" s="19"/>
      <c r="WQM22" s="19"/>
      <c r="WQN22" s="19"/>
      <c r="WQO22" s="19"/>
      <c r="WQP22" s="19"/>
      <c r="WQQ22" s="19"/>
      <c r="WQR22" s="19"/>
      <c r="WQS22" s="19"/>
      <c r="WQT22" s="19"/>
      <c r="WQU22" s="19"/>
      <c r="WQV22" s="19"/>
      <c r="WQW22" s="19"/>
      <c r="WQX22" s="19"/>
      <c r="WQY22" s="19"/>
      <c r="WQZ22" s="19"/>
      <c r="WRA22" s="19"/>
      <c r="WRB22" s="19"/>
      <c r="WRC22" s="19"/>
      <c r="WRD22" s="19"/>
      <c r="WRE22" s="19"/>
      <c r="WRF22" s="19"/>
      <c r="WRG22" s="19"/>
      <c r="WRH22" s="19"/>
      <c r="WRI22" s="19"/>
      <c r="WRJ22" s="19"/>
      <c r="WRK22" s="19"/>
      <c r="WRL22" s="19"/>
      <c r="WRM22" s="19"/>
      <c r="WRN22" s="19"/>
      <c r="WRO22" s="19"/>
      <c r="WRP22" s="19"/>
      <c r="WRQ22" s="19"/>
      <c r="WRR22" s="19"/>
      <c r="WRS22" s="19"/>
      <c r="WRT22" s="19"/>
      <c r="WRU22" s="19"/>
      <c r="WRV22" s="19"/>
      <c r="WRW22" s="19"/>
      <c r="WRX22" s="19"/>
      <c r="WRY22" s="19"/>
      <c r="WRZ22" s="19"/>
      <c r="WSA22" s="19"/>
      <c r="WSB22" s="19"/>
      <c r="WSC22" s="19"/>
      <c r="WSD22" s="19"/>
      <c r="WSE22" s="19"/>
      <c r="WSF22" s="19"/>
      <c r="WSG22" s="19"/>
      <c r="WSH22" s="19"/>
      <c r="WSI22" s="19"/>
      <c r="WSJ22" s="19"/>
      <c r="WSK22" s="19"/>
      <c r="WSL22" s="19"/>
      <c r="WSM22" s="19"/>
      <c r="WSN22" s="19"/>
      <c r="WSO22" s="19"/>
      <c r="WSP22" s="19"/>
      <c r="WSQ22" s="19"/>
      <c r="WSR22" s="19"/>
      <c r="WSS22" s="19"/>
      <c r="WST22" s="19"/>
      <c r="WSU22" s="19"/>
      <c r="WSV22" s="19"/>
      <c r="WSW22" s="19"/>
      <c r="WSX22" s="19"/>
      <c r="WSY22" s="19"/>
      <c r="WSZ22" s="19"/>
      <c r="WTA22" s="19"/>
      <c r="WTB22" s="19"/>
      <c r="WTC22" s="19"/>
      <c r="WTD22" s="19"/>
      <c r="WTE22" s="19"/>
      <c r="WTF22" s="19"/>
      <c r="WTG22" s="19"/>
      <c r="WTH22" s="19"/>
      <c r="WTI22" s="19"/>
      <c r="WTJ22" s="19"/>
      <c r="WTK22" s="19"/>
      <c r="WTL22" s="19"/>
      <c r="WTM22" s="19"/>
      <c r="WTN22" s="19"/>
      <c r="WTO22" s="19"/>
      <c r="WTP22" s="19"/>
      <c r="WTQ22" s="19"/>
      <c r="WTR22" s="19"/>
      <c r="WTS22" s="19"/>
      <c r="WTT22" s="19"/>
      <c r="WTU22" s="19"/>
      <c r="WTV22" s="19"/>
      <c r="WTW22" s="19"/>
      <c r="WTX22" s="19"/>
      <c r="WTY22" s="19"/>
      <c r="WTZ22" s="19"/>
      <c r="WUA22" s="19"/>
      <c r="WUB22" s="19"/>
      <c r="WUC22" s="19"/>
      <c r="WUD22" s="19"/>
      <c r="WUE22" s="19"/>
      <c r="WUF22" s="19"/>
      <c r="WUG22" s="19"/>
      <c r="WUH22" s="19"/>
      <c r="WUI22" s="19"/>
      <c r="WUJ22" s="19"/>
      <c r="WUK22" s="19"/>
      <c r="WUL22" s="19"/>
      <c r="WUM22" s="19"/>
      <c r="WUN22" s="19"/>
      <c r="WUO22" s="19"/>
      <c r="WUP22" s="19"/>
      <c r="WUQ22" s="19"/>
      <c r="WUR22" s="19"/>
      <c r="WUS22" s="19"/>
      <c r="WUT22" s="19"/>
      <c r="WUU22" s="19"/>
      <c r="WUV22" s="19"/>
      <c r="WUW22" s="19"/>
      <c r="WUX22" s="19"/>
      <c r="WUY22" s="19"/>
      <c r="WUZ22" s="19"/>
      <c r="WVA22" s="19"/>
      <c r="WVB22" s="19"/>
      <c r="WVC22" s="19"/>
      <c r="WVD22" s="19"/>
      <c r="WVE22" s="19"/>
      <c r="WVF22" s="19"/>
      <c r="WVG22" s="19"/>
      <c r="WVH22" s="19"/>
      <c r="WVI22" s="19"/>
      <c r="WVJ22" s="19"/>
      <c r="WVK22" s="19"/>
      <c r="WVL22" s="19"/>
      <c r="WVM22" s="19"/>
      <c r="WVN22" s="19"/>
      <c r="WVO22" s="19"/>
      <c r="WVP22" s="19"/>
      <c r="WVQ22" s="19"/>
      <c r="WVR22" s="19"/>
      <c r="WVS22" s="19"/>
      <c r="WVT22" s="19"/>
      <c r="WVU22" s="19"/>
      <c r="WVV22" s="19"/>
      <c r="WVW22" s="19"/>
      <c r="WVX22" s="19"/>
      <c r="WVY22" s="19"/>
      <c r="WVZ22" s="19"/>
      <c r="WWA22" s="19"/>
      <c r="WWB22" s="19"/>
      <c r="WWC22" s="19"/>
      <c r="WWD22" s="19"/>
      <c r="WWE22" s="19"/>
      <c r="WWF22" s="19"/>
      <c r="WWG22" s="19"/>
      <c r="WWH22" s="19"/>
      <c r="WWI22" s="19"/>
      <c r="WWJ22" s="19"/>
      <c r="WWK22" s="19"/>
      <c r="WWL22" s="19"/>
      <c r="WWM22" s="19"/>
      <c r="WWN22" s="19"/>
      <c r="WWO22" s="19"/>
      <c r="WWP22" s="19"/>
      <c r="WWQ22" s="19"/>
      <c r="WWR22" s="19"/>
      <c r="WWS22" s="19"/>
      <c r="WWT22" s="19"/>
      <c r="WWU22" s="19"/>
      <c r="WWV22" s="19"/>
      <c r="WWW22" s="19"/>
      <c r="WWX22" s="19"/>
      <c r="WWY22" s="19"/>
      <c r="WWZ22" s="19"/>
      <c r="WXA22" s="19"/>
      <c r="WXB22" s="19"/>
      <c r="WXC22" s="19"/>
      <c r="WXD22" s="19"/>
      <c r="WXE22" s="19"/>
      <c r="WXF22" s="19"/>
      <c r="WXG22" s="19"/>
      <c r="WXH22" s="19"/>
      <c r="WXI22" s="19"/>
      <c r="WXJ22" s="19"/>
      <c r="WXK22" s="19"/>
      <c r="WXL22" s="19"/>
      <c r="WXM22" s="19"/>
      <c r="WXN22" s="19"/>
      <c r="WXO22" s="19"/>
      <c r="WXP22" s="19"/>
      <c r="WXQ22" s="19"/>
      <c r="WXR22" s="19"/>
      <c r="WXS22" s="19"/>
      <c r="WXT22" s="19"/>
      <c r="WXU22" s="19"/>
      <c r="WXV22" s="19"/>
      <c r="WXW22" s="19"/>
      <c r="WXX22" s="19"/>
      <c r="WXY22" s="19"/>
      <c r="WXZ22" s="19"/>
      <c r="WYA22" s="19"/>
      <c r="WYB22" s="19"/>
      <c r="WYC22" s="19"/>
      <c r="WYD22" s="19"/>
      <c r="WYE22" s="19"/>
      <c r="WYF22" s="19"/>
      <c r="WYG22" s="19"/>
      <c r="WYH22" s="19"/>
      <c r="WYI22" s="19"/>
      <c r="WYJ22" s="19"/>
      <c r="WYK22" s="19"/>
      <c r="WYL22" s="19"/>
      <c r="WYM22" s="19"/>
      <c r="WYN22" s="19"/>
      <c r="WYO22" s="19"/>
      <c r="WYP22" s="19"/>
      <c r="WYQ22" s="19"/>
      <c r="WYR22" s="19"/>
      <c r="WYS22" s="19"/>
      <c r="WYT22" s="19"/>
      <c r="WYU22" s="19"/>
      <c r="WYV22" s="19"/>
      <c r="WYW22" s="19"/>
      <c r="WYX22" s="19"/>
      <c r="WYY22" s="19"/>
      <c r="WYZ22" s="19"/>
      <c r="WZA22" s="19"/>
      <c r="WZB22" s="19"/>
      <c r="WZC22" s="19"/>
      <c r="WZD22" s="19"/>
      <c r="WZE22" s="19"/>
      <c r="WZF22" s="19"/>
      <c r="WZG22" s="19"/>
      <c r="WZH22" s="19"/>
      <c r="WZI22" s="19"/>
      <c r="WZJ22" s="19"/>
      <c r="WZK22" s="19"/>
      <c r="WZL22" s="19"/>
      <c r="WZM22" s="19"/>
      <c r="WZN22" s="19"/>
      <c r="WZO22" s="19"/>
      <c r="WZP22" s="19"/>
      <c r="WZQ22" s="19"/>
      <c r="WZR22" s="19"/>
      <c r="WZS22" s="19"/>
      <c r="WZT22" s="19"/>
      <c r="WZU22" s="19"/>
      <c r="WZV22" s="19"/>
      <c r="WZW22" s="19"/>
      <c r="WZX22" s="19"/>
      <c r="WZY22" s="19"/>
      <c r="WZZ22" s="19"/>
      <c r="XAA22" s="19"/>
      <c r="XAB22" s="19"/>
      <c r="XAC22" s="19"/>
      <c r="XAD22" s="19"/>
      <c r="XAE22" s="19"/>
      <c r="XAF22" s="19"/>
      <c r="XAG22" s="19"/>
      <c r="XAH22" s="19"/>
      <c r="XAI22" s="19"/>
      <c r="XAJ22" s="19"/>
      <c r="XAK22" s="19"/>
      <c r="XAL22" s="19"/>
      <c r="XAM22" s="19"/>
      <c r="XAN22" s="19"/>
      <c r="XAO22" s="19"/>
      <c r="XAP22" s="19"/>
      <c r="XAQ22" s="19"/>
      <c r="XAR22" s="19"/>
      <c r="XAS22" s="19"/>
      <c r="XAT22" s="19"/>
      <c r="XAU22" s="19"/>
      <c r="XAV22" s="19"/>
      <c r="XAW22" s="19"/>
      <c r="XAX22" s="19"/>
      <c r="XAY22" s="19"/>
      <c r="XAZ22" s="19"/>
      <c r="XBA22" s="19"/>
      <c r="XBB22" s="19"/>
      <c r="XBC22" s="19"/>
      <c r="XBD22" s="19"/>
      <c r="XBE22" s="19"/>
      <c r="XBF22" s="19"/>
      <c r="XBG22" s="19"/>
      <c r="XBH22" s="19"/>
      <c r="XBI22" s="19"/>
      <c r="XBJ22" s="19"/>
      <c r="XBK22" s="19"/>
      <c r="XBL22" s="19"/>
      <c r="XBM22" s="19"/>
      <c r="XBN22" s="19"/>
      <c r="XBO22" s="19"/>
      <c r="XBP22" s="19"/>
      <c r="XBQ22" s="19"/>
      <c r="XBR22" s="19"/>
      <c r="XBS22" s="19"/>
      <c r="XBT22" s="19"/>
      <c r="XBU22" s="19"/>
      <c r="XBV22" s="19"/>
      <c r="XBW22" s="19"/>
      <c r="XBX22" s="19"/>
      <c r="XBY22" s="19"/>
      <c r="XBZ22" s="19"/>
      <c r="XCA22" s="19"/>
      <c r="XCB22" s="19"/>
      <c r="XCC22" s="19"/>
      <c r="XCD22" s="19"/>
      <c r="XCE22" s="19"/>
      <c r="XCF22" s="19"/>
      <c r="XCG22" s="19"/>
      <c r="XCH22" s="19"/>
      <c r="XCI22" s="19"/>
      <c r="XCJ22" s="19"/>
      <c r="XCK22" s="19"/>
      <c r="XCL22" s="19"/>
      <c r="XCM22" s="19"/>
      <c r="XCN22" s="19"/>
      <c r="XCO22" s="19"/>
      <c r="XCP22" s="19"/>
      <c r="XCQ22" s="19"/>
      <c r="XCR22" s="19"/>
      <c r="XCS22" s="19"/>
      <c r="XCT22" s="19"/>
      <c r="XCU22" s="19"/>
      <c r="XCV22" s="19"/>
      <c r="XCW22" s="19"/>
      <c r="XCX22" s="19"/>
      <c r="XCY22" s="19"/>
      <c r="XCZ22" s="19"/>
      <c r="XDA22" s="19"/>
      <c r="XDB22" s="19"/>
      <c r="XDC22" s="19"/>
      <c r="XDD22" s="19"/>
      <c r="XDE22" s="19"/>
      <c r="XDF22" s="19"/>
      <c r="XDG22" s="19"/>
      <c r="XDH22" s="19"/>
      <c r="XDI22" s="19"/>
      <c r="XDJ22" s="19"/>
      <c r="XDK22" s="19"/>
      <c r="XDL22" s="19"/>
      <c r="XDM22" s="19"/>
      <c r="XDN22" s="19"/>
      <c r="XDO22" s="19"/>
      <c r="XDP22" s="19"/>
      <c r="XDQ22" s="19"/>
      <c r="XDR22" s="19"/>
      <c r="XDS22" s="19"/>
      <c r="XDT22" s="19"/>
      <c r="XDU22" s="19"/>
      <c r="XDV22" s="19"/>
      <c r="XDW22" s="19"/>
      <c r="XDX22" s="19"/>
      <c r="XDY22" s="19"/>
      <c r="XDZ22" s="19"/>
      <c r="XEA22" s="19"/>
      <c r="XEB22" s="19"/>
      <c r="XEC22" s="19"/>
      <c r="XED22" s="19"/>
      <c r="XEE22" s="19"/>
      <c r="XEF22" s="19"/>
      <c r="XEG22" s="19"/>
      <c r="XEH22" s="19"/>
      <c r="XEI22" s="19"/>
      <c r="XEJ22" s="19"/>
      <c r="XEK22" s="19"/>
      <c r="XEL22" s="19"/>
      <c r="XEM22" s="19"/>
      <c r="XEN22" s="19"/>
      <c r="XEO22" s="19"/>
      <c r="XEP22" s="19"/>
      <c r="XEQ22" s="19"/>
      <c r="XER22" s="19"/>
      <c r="XES22" s="19"/>
      <c r="XET22" s="19"/>
      <c r="XEU22" s="19"/>
      <c r="XEV22" s="19"/>
      <c r="XEW22" s="19"/>
      <c r="XEX22" s="19"/>
      <c r="XEY22" s="19"/>
      <c r="XEZ22" s="19"/>
      <c r="XFA22" s="19"/>
      <c r="XFB22" s="19"/>
    </row>
    <row r="23" spans="1:16382" s="18" customFormat="1" ht="15" customHeight="1" x14ac:dyDescent="0.25"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  <c r="AAB23" s="19"/>
      <c r="AAC23" s="19"/>
      <c r="AAD23" s="19"/>
      <c r="AAE23" s="19"/>
      <c r="AAF23" s="19"/>
      <c r="AAG23" s="19"/>
      <c r="AAH23" s="19"/>
      <c r="AAI23" s="19"/>
      <c r="AAJ23" s="19"/>
      <c r="AAK23" s="19"/>
      <c r="AAL23" s="19"/>
      <c r="AAM23" s="19"/>
      <c r="AAN23" s="19"/>
      <c r="AAO23" s="19"/>
      <c r="AAP23" s="19"/>
      <c r="AAQ23" s="19"/>
      <c r="AAR23" s="19"/>
      <c r="AAS23" s="19"/>
      <c r="AAT23" s="19"/>
      <c r="AAU23" s="19"/>
      <c r="AAV23" s="19"/>
      <c r="AAW23" s="19"/>
      <c r="AAX23" s="19"/>
      <c r="AAY23" s="19"/>
      <c r="AAZ23" s="19"/>
      <c r="ABA23" s="19"/>
      <c r="ABB23" s="19"/>
      <c r="ABC23" s="19"/>
      <c r="ABD23" s="19"/>
      <c r="ABE23" s="19"/>
      <c r="ABF23" s="19"/>
      <c r="ABG23" s="19"/>
      <c r="ABH23" s="19"/>
      <c r="ABI23" s="19"/>
      <c r="ABJ23" s="19"/>
      <c r="ABK23" s="19"/>
      <c r="ABL23" s="19"/>
      <c r="ABM23" s="19"/>
      <c r="ABN23" s="19"/>
      <c r="ABO23" s="19"/>
      <c r="ABP23" s="19"/>
      <c r="ABQ23" s="19"/>
      <c r="ABR23" s="19"/>
      <c r="ABS23" s="19"/>
      <c r="ABT23" s="19"/>
      <c r="ABU23" s="19"/>
      <c r="ABV23" s="19"/>
      <c r="ABW23" s="19"/>
      <c r="ABX23" s="19"/>
      <c r="ABY23" s="19"/>
      <c r="ABZ23" s="19"/>
      <c r="ACA23" s="19"/>
      <c r="ACB23" s="19"/>
      <c r="ACC23" s="19"/>
      <c r="ACD23" s="19"/>
      <c r="ACE23" s="19"/>
      <c r="ACF23" s="19"/>
      <c r="ACG23" s="19"/>
      <c r="ACH23" s="19"/>
      <c r="ACI23" s="19"/>
      <c r="ACJ23" s="19"/>
      <c r="ACK23" s="19"/>
      <c r="ACL23" s="19"/>
      <c r="ACM23" s="19"/>
      <c r="ACN23" s="19"/>
      <c r="ACO23" s="19"/>
      <c r="ACP23" s="19"/>
      <c r="ACQ23" s="19"/>
      <c r="ACR23" s="19"/>
      <c r="ACS23" s="19"/>
      <c r="ACT23" s="19"/>
      <c r="ACU23" s="19"/>
      <c r="ACV23" s="19"/>
      <c r="ACW23" s="19"/>
      <c r="ACX23" s="19"/>
      <c r="ACY23" s="19"/>
      <c r="ACZ23" s="19"/>
      <c r="ADA23" s="19"/>
      <c r="ADB23" s="19"/>
      <c r="ADC23" s="19"/>
      <c r="ADD23" s="19"/>
      <c r="ADE23" s="19"/>
      <c r="ADF23" s="19"/>
      <c r="ADG23" s="19"/>
      <c r="ADH23" s="19"/>
      <c r="ADI23" s="19"/>
      <c r="ADJ23" s="19"/>
      <c r="ADK23" s="19"/>
      <c r="ADL23" s="19"/>
      <c r="ADM23" s="19"/>
      <c r="ADN23" s="19"/>
      <c r="ADO23" s="19"/>
      <c r="ADP23" s="19"/>
      <c r="ADQ23" s="19"/>
      <c r="ADR23" s="19"/>
      <c r="ADS23" s="19"/>
      <c r="ADT23" s="19"/>
      <c r="ADU23" s="19"/>
      <c r="ADV23" s="19"/>
      <c r="ADW23" s="19"/>
      <c r="ADX23" s="19"/>
      <c r="ADY23" s="19"/>
      <c r="ADZ23" s="19"/>
      <c r="AEA23" s="19"/>
      <c r="AEB23" s="19"/>
      <c r="AEC23" s="19"/>
      <c r="AED23" s="19"/>
      <c r="AEE23" s="19"/>
      <c r="AEF23" s="19"/>
      <c r="AEG23" s="19"/>
      <c r="AEH23" s="19"/>
      <c r="AEI23" s="19"/>
      <c r="AEJ23" s="19"/>
      <c r="AEK23" s="19"/>
      <c r="AEL23" s="19"/>
      <c r="AEM23" s="19"/>
      <c r="AEN23" s="19"/>
      <c r="AEO23" s="19"/>
      <c r="AEP23" s="19"/>
      <c r="AEQ23" s="19"/>
      <c r="AER23" s="19"/>
      <c r="AES23" s="19"/>
      <c r="AET23" s="19"/>
      <c r="AEU23" s="19"/>
      <c r="AEV23" s="19"/>
      <c r="AEW23" s="19"/>
      <c r="AEX23" s="19"/>
      <c r="AEY23" s="19"/>
      <c r="AEZ23" s="19"/>
      <c r="AFA23" s="19"/>
      <c r="AFB23" s="19"/>
      <c r="AFC23" s="19"/>
      <c r="AFD23" s="19"/>
      <c r="AFE23" s="19"/>
      <c r="AFF23" s="19"/>
      <c r="AFG23" s="19"/>
      <c r="AFH23" s="19"/>
      <c r="AFI23" s="19"/>
      <c r="AFJ23" s="19"/>
      <c r="AFK23" s="19"/>
      <c r="AFL23" s="19"/>
      <c r="AFM23" s="19"/>
      <c r="AFN23" s="19"/>
      <c r="AFO23" s="19"/>
      <c r="AFP23" s="19"/>
      <c r="AFQ23" s="19"/>
      <c r="AFR23" s="19"/>
      <c r="AFS23" s="19"/>
      <c r="AFT23" s="19"/>
      <c r="AFU23" s="19"/>
      <c r="AFV23" s="19"/>
      <c r="AFW23" s="19"/>
      <c r="AFX23" s="19"/>
      <c r="AFY23" s="19"/>
      <c r="AFZ23" s="19"/>
      <c r="AGA23" s="19"/>
      <c r="AGB23" s="19"/>
      <c r="AGC23" s="19"/>
      <c r="AGD23" s="19"/>
      <c r="AGE23" s="19"/>
      <c r="AGF23" s="19"/>
      <c r="AGG23" s="19"/>
      <c r="AGH23" s="19"/>
      <c r="AGI23" s="19"/>
      <c r="AGJ23" s="19"/>
      <c r="AGK23" s="19"/>
      <c r="AGL23" s="19"/>
      <c r="AGM23" s="19"/>
      <c r="AGN23" s="19"/>
      <c r="AGO23" s="19"/>
      <c r="AGP23" s="19"/>
      <c r="AGQ23" s="19"/>
      <c r="AGR23" s="19"/>
      <c r="AGS23" s="19"/>
      <c r="AGT23" s="19"/>
      <c r="AGU23" s="19"/>
      <c r="AGV23" s="19"/>
      <c r="AGW23" s="19"/>
      <c r="AGX23" s="19"/>
      <c r="AGY23" s="19"/>
      <c r="AGZ23" s="19"/>
      <c r="AHA23" s="19"/>
      <c r="AHB23" s="19"/>
      <c r="AHC23" s="19"/>
      <c r="AHD23" s="19"/>
      <c r="AHE23" s="19"/>
      <c r="AHF23" s="19"/>
      <c r="AHG23" s="19"/>
      <c r="AHH23" s="19"/>
      <c r="AHI23" s="19"/>
      <c r="AHJ23" s="19"/>
      <c r="AHK23" s="19"/>
      <c r="AHL23" s="19"/>
      <c r="AHM23" s="19"/>
      <c r="AHN23" s="19"/>
      <c r="AHO23" s="19"/>
      <c r="AHP23" s="19"/>
      <c r="AHQ23" s="19"/>
      <c r="AHR23" s="19"/>
      <c r="AHS23" s="19"/>
      <c r="AHT23" s="19"/>
      <c r="AHU23" s="19"/>
      <c r="AHV23" s="19"/>
      <c r="AHW23" s="19"/>
      <c r="AHX23" s="19"/>
      <c r="AHY23" s="19"/>
      <c r="AHZ23" s="19"/>
      <c r="AIA23" s="19"/>
      <c r="AIB23" s="19"/>
      <c r="AIC23" s="19"/>
      <c r="AID23" s="19"/>
      <c r="AIE23" s="19"/>
      <c r="AIF23" s="19"/>
      <c r="AIG23" s="19"/>
      <c r="AIH23" s="19"/>
      <c r="AII23" s="19"/>
      <c r="AIJ23" s="19"/>
      <c r="AIK23" s="19"/>
      <c r="AIL23" s="19"/>
      <c r="AIM23" s="19"/>
      <c r="AIN23" s="19"/>
      <c r="AIO23" s="19"/>
      <c r="AIP23" s="19"/>
      <c r="AIQ23" s="19"/>
      <c r="AIR23" s="19"/>
      <c r="AIS23" s="19"/>
      <c r="AIT23" s="19"/>
      <c r="AIU23" s="19"/>
      <c r="AIV23" s="19"/>
      <c r="AIW23" s="19"/>
      <c r="AIX23" s="19"/>
      <c r="AIY23" s="19"/>
      <c r="AIZ23" s="19"/>
      <c r="AJA23" s="19"/>
      <c r="AJB23" s="19"/>
      <c r="AJC23" s="19"/>
      <c r="AJD23" s="19"/>
      <c r="AJE23" s="19"/>
      <c r="AJF23" s="19"/>
      <c r="AJG23" s="19"/>
      <c r="AJH23" s="19"/>
      <c r="AJI23" s="19"/>
      <c r="AJJ23" s="19"/>
      <c r="AJK23" s="19"/>
      <c r="AJL23" s="19"/>
      <c r="AJM23" s="19"/>
      <c r="AJN23" s="19"/>
      <c r="AJO23" s="19"/>
      <c r="AJP23" s="19"/>
      <c r="AJQ23" s="19"/>
      <c r="AJR23" s="19"/>
      <c r="AJS23" s="19"/>
      <c r="AJT23" s="19"/>
      <c r="AJU23" s="19"/>
      <c r="AJV23" s="19"/>
      <c r="AJW23" s="19"/>
      <c r="AJX23" s="19"/>
      <c r="AJY23" s="19"/>
      <c r="AJZ23" s="19"/>
      <c r="AKA23" s="19"/>
      <c r="AKB23" s="19"/>
      <c r="AKC23" s="19"/>
      <c r="AKD23" s="19"/>
      <c r="AKE23" s="19"/>
      <c r="AKF23" s="19"/>
      <c r="AKG23" s="19"/>
      <c r="AKH23" s="19"/>
      <c r="AKI23" s="19"/>
      <c r="AKJ23" s="19"/>
      <c r="AKK23" s="19"/>
      <c r="AKL23" s="19"/>
      <c r="AKM23" s="19"/>
      <c r="AKN23" s="19"/>
      <c r="AKO23" s="19"/>
      <c r="AKP23" s="19"/>
      <c r="AKQ23" s="19"/>
      <c r="AKR23" s="19"/>
      <c r="AKS23" s="19"/>
      <c r="AKT23" s="19"/>
      <c r="AKU23" s="19"/>
      <c r="AKV23" s="19"/>
      <c r="AKW23" s="19"/>
      <c r="AKX23" s="19"/>
      <c r="AKY23" s="19"/>
      <c r="AKZ23" s="19"/>
      <c r="ALA23" s="19"/>
      <c r="ALB23" s="19"/>
      <c r="ALC23" s="19"/>
      <c r="ALD23" s="19"/>
      <c r="ALE23" s="19"/>
      <c r="ALF23" s="19"/>
      <c r="ALG23" s="19"/>
      <c r="ALH23" s="19"/>
      <c r="ALI23" s="19"/>
      <c r="ALJ23" s="19"/>
      <c r="ALK23" s="19"/>
      <c r="ALL23" s="19"/>
      <c r="ALM23" s="19"/>
      <c r="ALN23" s="19"/>
      <c r="ALO23" s="19"/>
      <c r="ALP23" s="19"/>
      <c r="ALQ23" s="19"/>
      <c r="ALR23" s="19"/>
      <c r="ALS23" s="19"/>
      <c r="ALT23" s="19"/>
      <c r="ALU23" s="19"/>
      <c r="ALV23" s="19"/>
      <c r="ALW23" s="19"/>
      <c r="ALX23" s="19"/>
      <c r="ALY23" s="19"/>
      <c r="ALZ23" s="19"/>
      <c r="AMA23" s="19"/>
      <c r="AMB23" s="19"/>
      <c r="AMC23" s="19"/>
      <c r="AMD23" s="19"/>
      <c r="AME23" s="19"/>
      <c r="AMF23" s="19"/>
      <c r="AMG23" s="19"/>
      <c r="AMH23" s="19"/>
      <c r="AMI23" s="19"/>
      <c r="AMJ23" s="19"/>
      <c r="AMK23" s="19"/>
      <c r="AML23" s="19"/>
      <c r="AMM23" s="19"/>
      <c r="AMN23" s="19"/>
      <c r="AMO23" s="19"/>
      <c r="AMP23" s="19"/>
      <c r="AMQ23" s="19"/>
      <c r="AMR23" s="19"/>
      <c r="AMS23" s="19"/>
      <c r="AMT23" s="19"/>
      <c r="AMU23" s="19"/>
      <c r="AMV23" s="19"/>
      <c r="AMW23" s="19"/>
      <c r="AMX23" s="19"/>
      <c r="AMY23" s="19"/>
      <c r="AMZ23" s="19"/>
      <c r="ANA23" s="19"/>
      <c r="ANB23" s="19"/>
      <c r="ANC23" s="19"/>
      <c r="AND23" s="19"/>
      <c r="ANE23" s="19"/>
      <c r="ANF23" s="19"/>
      <c r="ANG23" s="19"/>
      <c r="ANH23" s="19"/>
      <c r="ANI23" s="19"/>
      <c r="ANJ23" s="19"/>
      <c r="ANK23" s="19"/>
      <c r="ANL23" s="19"/>
      <c r="ANM23" s="19"/>
      <c r="ANN23" s="19"/>
      <c r="ANO23" s="19"/>
      <c r="ANP23" s="19"/>
      <c r="ANQ23" s="19"/>
      <c r="ANR23" s="19"/>
      <c r="ANS23" s="19"/>
      <c r="ANT23" s="19"/>
      <c r="ANU23" s="19"/>
      <c r="ANV23" s="19"/>
      <c r="ANW23" s="19"/>
      <c r="ANX23" s="19"/>
      <c r="ANY23" s="19"/>
      <c r="ANZ23" s="19"/>
      <c r="AOA23" s="19"/>
      <c r="AOB23" s="19"/>
      <c r="AOC23" s="19"/>
      <c r="AOD23" s="19"/>
      <c r="AOE23" s="19"/>
      <c r="AOF23" s="19"/>
      <c r="AOG23" s="19"/>
      <c r="AOH23" s="19"/>
      <c r="AOI23" s="19"/>
      <c r="AOJ23" s="19"/>
      <c r="AOK23" s="19"/>
      <c r="AOL23" s="19"/>
      <c r="AOM23" s="19"/>
      <c r="AON23" s="19"/>
      <c r="AOO23" s="19"/>
      <c r="AOP23" s="19"/>
      <c r="AOQ23" s="19"/>
      <c r="AOR23" s="19"/>
      <c r="AOS23" s="19"/>
      <c r="AOT23" s="19"/>
      <c r="AOU23" s="19"/>
      <c r="AOV23" s="19"/>
      <c r="AOW23" s="19"/>
      <c r="AOX23" s="19"/>
      <c r="AOY23" s="19"/>
      <c r="AOZ23" s="19"/>
      <c r="APA23" s="19"/>
      <c r="APB23" s="19"/>
      <c r="APC23" s="19"/>
      <c r="APD23" s="19"/>
      <c r="APE23" s="19"/>
      <c r="APF23" s="19"/>
      <c r="APG23" s="19"/>
      <c r="APH23" s="19"/>
      <c r="API23" s="19"/>
      <c r="APJ23" s="19"/>
      <c r="APK23" s="19"/>
      <c r="APL23" s="19"/>
      <c r="APM23" s="19"/>
      <c r="APN23" s="19"/>
      <c r="APO23" s="19"/>
      <c r="APP23" s="19"/>
      <c r="APQ23" s="19"/>
      <c r="APR23" s="19"/>
      <c r="APS23" s="19"/>
      <c r="APT23" s="19"/>
      <c r="APU23" s="19"/>
      <c r="APV23" s="19"/>
      <c r="APW23" s="19"/>
      <c r="APX23" s="19"/>
      <c r="APY23" s="19"/>
      <c r="APZ23" s="19"/>
      <c r="AQA23" s="19"/>
      <c r="AQB23" s="19"/>
      <c r="AQC23" s="19"/>
      <c r="AQD23" s="19"/>
      <c r="AQE23" s="19"/>
      <c r="AQF23" s="19"/>
      <c r="AQG23" s="19"/>
      <c r="AQH23" s="19"/>
      <c r="AQI23" s="19"/>
      <c r="AQJ23" s="19"/>
      <c r="AQK23" s="19"/>
      <c r="AQL23" s="19"/>
      <c r="AQM23" s="19"/>
      <c r="AQN23" s="19"/>
      <c r="AQO23" s="19"/>
      <c r="AQP23" s="19"/>
      <c r="AQQ23" s="19"/>
      <c r="AQR23" s="19"/>
      <c r="AQS23" s="19"/>
      <c r="AQT23" s="19"/>
      <c r="AQU23" s="19"/>
      <c r="AQV23" s="19"/>
      <c r="AQW23" s="19"/>
      <c r="AQX23" s="19"/>
      <c r="AQY23" s="19"/>
      <c r="AQZ23" s="19"/>
      <c r="ARA23" s="19"/>
      <c r="ARB23" s="19"/>
      <c r="ARC23" s="19"/>
      <c r="ARD23" s="19"/>
      <c r="ARE23" s="19"/>
      <c r="ARF23" s="19"/>
      <c r="ARG23" s="19"/>
      <c r="ARH23" s="19"/>
      <c r="ARI23" s="19"/>
      <c r="ARJ23" s="19"/>
      <c r="ARK23" s="19"/>
      <c r="ARL23" s="19"/>
      <c r="ARM23" s="19"/>
      <c r="ARN23" s="19"/>
      <c r="ARO23" s="19"/>
      <c r="ARP23" s="19"/>
      <c r="ARQ23" s="19"/>
      <c r="ARR23" s="19"/>
      <c r="ARS23" s="19"/>
      <c r="ART23" s="19"/>
      <c r="ARU23" s="19"/>
      <c r="ARV23" s="19"/>
      <c r="ARW23" s="19"/>
      <c r="ARX23" s="19"/>
      <c r="ARY23" s="19"/>
      <c r="ARZ23" s="19"/>
      <c r="ASA23" s="19"/>
      <c r="ASB23" s="19"/>
      <c r="ASC23" s="19"/>
      <c r="ASD23" s="19"/>
      <c r="ASE23" s="19"/>
      <c r="ASF23" s="19"/>
      <c r="ASG23" s="19"/>
      <c r="ASH23" s="19"/>
      <c r="ASI23" s="19"/>
      <c r="ASJ23" s="19"/>
      <c r="ASK23" s="19"/>
      <c r="ASL23" s="19"/>
      <c r="ASM23" s="19"/>
      <c r="ASN23" s="19"/>
      <c r="ASO23" s="19"/>
      <c r="ASP23" s="19"/>
      <c r="ASQ23" s="19"/>
      <c r="ASR23" s="19"/>
      <c r="ASS23" s="19"/>
      <c r="AST23" s="19"/>
      <c r="ASU23" s="19"/>
      <c r="ASV23" s="19"/>
      <c r="ASW23" s="19"/>
      <c r="ASX23" s="19"/>
      <c r="ASY23" s="19"/>
      <c r="ASZ23" s="19"/>
      <c r="ATA23" s="19"/>
      <c r="ATB23" s="19"/>
      <c r="ATC23" s="19"/>
      <c r="ATD23" s="19"/>
      <c r="ATE23" s="19"/>
      <c r="ATF23" s="19"/>
      <c r="ATG23" s="19"/>
      <c r="ATH23" s="19"/>
      <c r="ATI23" s="19"/>
      <c r="ATJ23" s="19"/>
      <c r="ATK23" s="19"/>
      <c r="ATL23" s="19"/>
      <c r="ATM23" s="19"/>
      <c r="ATN23" s="19"/>
      <c r="ATO23" s="19"/>
      <c r="ATP23" s="19"/>
      <c r="ATQ23" s="19"/>
      <c r="ATR23" s="19"/>
      <c r="ATS23" s="19"/>
      <c r="ATT23" s="19"/>
      <c r="ATU23" s="19"/>
      <c r="ATV23" s="19"/>
      <c r="ATW23" s="19"/>
      <c r="ATX23" s="19"/>
      <c r="ATY23" s="19"/>
      <c r="ATZ23" s="19"/>
      <c r="AUA23" s="19"/>
      <c r="AUB23" s="19"/>
      <c r="AUC23" s="19"/>
      <c r="AUD23" s="19"/>
      <c r="AUE23" s="19"/>
      <c r="AUF23" s="19"/>
      <c r="AUG23" s="19"/>
      <c r="AUH23" s="19"/>
      <c r="AUI23" s="19"/>
      <c r="AUJ23" s="19"/>
      <c r="AUK23" s="19"/>
      <c r="AUL23" s="19"/>
      <c r="AUM23" s="19"/>
      <c r="AUN23" s="19"/>
      <c r="AUO23" s="19"/>
      <c r="AUP23" s="19"/>
      <c r="AUQ23" s="19"/>
      <c r="AUR23" s="19"/>
      <c r="AUS23" s="19"/>
      <c r="AUT23" s="19"/>
      <c r="AUU23" s="19"/>
      <c r="AUV23" s="19"/>
      <c r="AUW23" s="19"/>
      <c r="AUX23" s="19"/>
      <c r="AUY23" s="19"/>
      <c r="AUZ23" s="19"/>
      <c r="AVA23" s="19"/>
      <c r="AVB23" s="19"/>
      <c r="AVC23" s="19"/>
      <c r="AVD23" s="19"/>
      <c r="AVE23" s="19"/>
      <c r="AVF23" s="19"/>
      <c r="AVG23" s="19"/>
      <c r="AVH23" s="19"/>
      <c r="AVI23" s="19"/>
      <c r="AVJ23" s="19"/>
      <c r="AVK23" s="19"/>
      <c r="AVL23" s="19"/>
      <c r="AVM23" s="19"/>
      <c r="AVN23" s="19"/>
      <c r="AVO23" s="19"/>
      <c r="AVP23" s="19"/>
      <c r="AVQ23" s="19"/>
      <c r="AVR23" s="19"/>
      <c r="AVS23" s="19"/>
      <c r="AVT23" s="19"/>
      <c r="AVU23" s="19"/>
      <c r="AVV23" s="19"/>
      <c r="AVW23" s="19"/>
      <c r="AVX23" s="19"/>
      <c r="AVY23" s="19"/>
      <c r="AVZ23" s="19"/>
      <c r="AWA23" s="19"/>
      <c r="AWB23" s="19"/>
      <c r="AWC23" s="19"/>
      <c r="AWD23" s="19"/>
      <c r="AWE23" s="19"/>
      <c r="AWF23" s="19"/>
      <c r="AWG23" s="19"/>
      <c r="AWH23" s="19"/>
      <c r="AWI23" s="19"/>
      <c r="AWJ23" s="19"/>
      <c r="AWK23" s="19"/>
      <c r="AWL23" s="19"/>
      <c r="AWM23" s="19"/>
      <c r="AWN23" s="19"/>
      <c r="AWO23" s="19"/>
      <c r="AWP23" s="19"/>
      <c r="AWQ23" s="19"/>
      <c r="AWR23" s="19"/>
      <c r="AWS23" s="19"/>
      <c r="AWT23" s="19"/>
      <c r="AWU23" s="19"/>
      <c r="AWV23" s="19"/>
      <c r="AWW23" s="19"/>
      <c r="AWX23" s="19"/>
      <c r="AWY23" s="19"/>
      <c r="AWZ23" s="19"/>
      <c r="AXA23" s="19"/>
      <c r="AXB23" s="19"/>
      <c r="AXC23" s="19"/>
      <c r="AXD23" s="19"/>
      <c r="AXE23" s="19"/>
      <c r="AXF23" s="19"/>
      <c r="AXG23" s="19"/>
      <c r="AXH23" s="19"/>
      <c r="AXI23" s="19"/>
      <c r="AXJ23" s="19"/>
      <c r="AXK23" s="19"/>
      <c r="AXL23" s="19"/>
      <c r="AXM23" s="19"/>
      <c r="AXN23" s="19"/>
      <c r="AXO23" s="19"/>
      <c r="AXP23" s="19"/>
      <c r="AXQ23" s="19"/>
      <c r="AXR23" s="19"/>
      <c r="AXS23" s="19"/>
      <c r="AXT23" s="19"/>
      <c r="AXU23" s="19"/>
      <c r="AXV23" s="19"/>
      <c r="AXW23" s="19"/>
      <c r="AXX23" s="19"/>
      <c r="AXY23" s="19"/>
      <c r="AXZ23" s="19"/>
      <c r="AYA23" s="19"/>
      <c r="AYB23" s="19"/>
      <c r="AYC23" s="19"/>
      <c r="AYD23" s="19"/>
      <c r="AYE23" s="19"/>
      <c r="AYF23" s="19"/>
      <c r="AYG23" s="19"/>
      <c r="AYH23" s="19"/>
      <c r="AYI23" s="19"/>
      <c r="AYJ23" s="19"/>
      <c r="AYK23" s="19"/>
      <c r="AYL23" s="19"/>
      <c r="AYM23" s="19"/>
      <c r="AYN23" s="19"/>
      <c r="AYO23" s="19"/>
      <c r="AYP23" s="19"/>
      <c r="AYQ23" s="19"/>
      <c r="AYR23" s="19"/>
      <c r="AYS23" s="19"/>
      <c r="AYT23" s="19"/>
      <c r="AYU23" s="19"/>
      <c r="AYV23" s="19"/>
      <c r="AYW23" s="19"/>
      <c r="AYX23" s="19"/>
      <c r="AYY23" s="19"/>
      <c r="AYZ23" s="19"/>
      <c r="AZA23" s="19"/>
      <c r="AZB23" s="19"/>
      <c r="AZC23" s="19"/>
      <c r="AZD23" s="19"/>
      <c r="AZE23" s="19"/>
      <c r="AZF23" s="19"/>
      <c r="AZG23" s="19"/>
      <c r="AZH23" s="19"/>
      <c r="AZI23" s="19"/>
      <c r="AZJ23" s="19"/>
      <c r="AZK23" s="19"/>
      <c r="AZL23" s="19"/>
      <c r="AZM23" s="19"/>
      <c r="AZN23" s="19"/>
      <c r="AZO23" s="19"/>
      <c r="AZP23" s="19"/>
      <c r="AZQ23" s="19"/>
      <c r="AZR23" s="19"/>
      <c r="AZS23" s="19"/>
      <c r="AZT23" s="19"/>
      <c r="AZU23" s="19"/>
      <c r="AZV23" s="19"/>
      <c r="AZW23" s="19"/>
      <c r="AZX23" s="19"/>
      <c r="AZY23" s="19"/>
      <c r="AZZ23" s="19"/>
      <c r="BAA23" s="19"/>
      <c r="BAB23" s="19"/>
      <c r="BAC23" s="19"/>
      <c r="BAD23" s="19"/>
      <c r="BAE23" s="19"/>
      <c r="BAF23" s="19"/>
      <c r="BAG23" s="19"/>
      <c r="BAH23" s="19"/>
      <c r="BAI23" s="19"/>
      <c r="BAJ23" s="19"/>
      <c r="BAK23" s="19"/>
      <c r="BAL23" s="19"/>
      <c r="BAM23" s="19"/>
      <c r="BAN23" s="19"/>
      <c r="BAO23" s="19"/>
      <c r="BAP23" s="19"/>
      <c r="BAQ23" s="19"/>
      <c r="BAR23" s="19"/>
      <c r="BAS23" s="19"/>
      <c r="BAT23" s="19"/>
      <c r="BAU23" s="19"/>
      <c r="BAV23" s="19"/>
      <c r="BAW23" s="19"/>
      <c r="BAX23" s="19"/>
      <c r="BAY23" s="19"/>
      <c r="BAZ23" s="19"/>
      <c r="BBA23" s="19"/>
      <c r="BBB23" s="19"/>
      <c r="BBC23" s="19"/>
      <c r="BBD23" s="19"/>
      <c r="BBE23" s="19"/>
      <c r="BBF23" s="19"/>
      <c r="BBG23" s="19"/>
      <c r="BBH23" s="19"/>
      <c r="BBI23" s="19"/>
      <c r="BBJ23" s="19"/>
      <c r="BBK23" s="19"/>
      <c r="BBL23" s="19"/>
      <c r="BBM23" s="19"/>
      <c r="BBN23" s="19"/>
      <c r="BBO23" s="19"/>
      <c r="BBP23" s="19"/>
      <c r="BBQ23" s="19"/>
      <c r="BBR23" s="19"/>
      <c r="BBS23" s="19"/>
      <c r="BBT23" s="19"/>
      <c r="BBU23" s="19"/>
      <c r="BBV23" s="19"/>
      <c r="BBW23" s="19"/>
      <c r="BBX23" s="19"/>
      <c r="BBY23" s="19"/>
      <c r="BBZ23" s="19"/>
      <c r="BCA23" s="19"/>
      <c r="BCB23" s="19"/>
      <c r="BCC23" s="19"/>
      <c r="BCD23" s="19"/>
      <c r="BCE23" s="19"/>
      <c r="BCF23" s="19"/>
      <c r="BCG23" s="19"/>
      <c r="BCH23" s="19"/>
      <c r="BCI23" s="19"/>
      <c r="BCJ23" s="19"/>
      <c r="BCK23" s="19"/>
      <c r="BCL23" s="19"/>
      <c r="BCM23" s="19"/>
      <c r="BCN23" s="19"/>
      <c r="BCO23" s="19"/>
      <c r="BCP23" s="19"/>
      <c r="BCQ23" s="19"/>
      <c r="BCR23" s="19"/>
      <c r="BCS23" s="19"/>
      <c r="BCT23" s="19"/>
      <c r="BCU23" s="19"/>
      <c r="BCV23" s="19"/>
      <c r="BCW23" s="19"/>
      <c r="BCX23" s="19"/>
      <c r="BCY23" s="19"/>
      <c r="BCZ23" s="19"/>
      <c r="BDA23" s="19"/>
      <c r="BDB23" s="19"/>
      <c r="BDC23" s="19"/>
      <c r="BDD23" s="19"/>
      <c r="BDE23" s="19"/>
      <c r="BDF23" s="19"/>
      <c r="BDG23" s="19"/>
      <c r="BDH23" s="19"/>
      <c r="BDI23" s="19"/>
      <c r="BDJ23" s="19"/>
      <c r="BDK23" s="19"/>
      <c r="BDL23" s="19"/>
      <c r="BDM23" s="19"/>
      <c r="BDN23" s="19"/>
      <c r="BDO23" s="19"/>
      <c r="BDP23" s="19"/>
      <c r="BDQ23" s="19"/>
      <c r="BDR23" s="19"/>
      <c r="BDS23" s="19"/>
      <c r="BDT23" s="19"/>
      <c r="BDU23" s="19"/>
      <c r="BDV23" s="19"/>
      <c r="BDW23" s="19"/>
      <c r="BDX23" s="19"/>
      <c r="BDY23" s="19"/>
      <c r="BDZ23" s="19"/>
      <c r="BEA23" s="19"/>
      <c r="BEB23" s="19"/>
      <c r="BEC23" s="19"/>
      <c r="BED23" s="19"/>
      <c r="BEE23" s="19"/>
      <c r="BEF23" s="19"/>
      <c r="BEG23" s="19"/>
      <c r="BEH23" s="19"/>
      <c r="BEI23" s="19"/>
      <c r="BEJ23" s="19"/>
      <c r="BEK23" s="19"/>
      <c r="BEL23" s="19"/>
      <c r="BEM23" s="19"/>
      <c r="BEN23" s="19"/>
      <c r="BEO23" s="19"/>
      <c r="BEP23" s="19"/>
      <c r="BEQ23" s="19"/>
      <c r="BER23" s="19"/>
      <c r="BES23" s="19"/>
      <c r="BET23" s="19"/>
      <c r="BEU23" s="19"/>
      <c r="BEV23" s="19"/>
      <c r="BEW23" s="19"/>
      <c r="BEX23" s="19"/>
      <c r="BEY23" s="19"/>
      <c r="BEZ23" s="19"/>
      <c r="BFA23" s="19"/>
      <c r="BFB23" s="19"/>
      <c r="BFC23" s="19"/>
      <c r="BFD23" s="19"/>
      <c r="BFE23" s="19"/>
      <c r="BFF23" s="19"/>
      <c r="BFG23" s="19"/>
      <c r="BFH23" s="19"/>
      <c r="BFI23" s="19"/>
      <c r="BFJ23" s="19"/>
      <c r="BFK23" s="19"/>
      <c r="BFL23" s="19"/>
      <c r="BFM23" s="19"/>
      <c r="BFN23" s="19"/>
      <c r="BFO23" s="19"/>
      <c r="BFP23" s="19"/>
      <c r="BFQ23" s="19"/>
      <c r="BFR23" s="19"/>
      <c r="BFS23" s="19"/>
      <c r="BFT23" s="19"/>
      <c r="BFU23" s="19"/>
      <c r="BFV23" s="19"/>
      <c r="BFW23" s="19"/>
      <c r="BFX23" s="19"/>
      <c r="BFY23" s="19"/>
      <c r="BFZ23" s="19"/>
      <c r="BGA23" s="19"/>
      <c r="BGB23" s="19"/>
      <c r="BGC23" s="19"/>
      <c r="BGD23" s="19"/>
      <c r="BGE23" s="19"/>
      <c r="BGF23" s="19"/>
      <c r="BGG23" s="19"/>
      <c r="BGH23" s="19"/>
      <c r="BGI23" s="19"/>
      <c r="BGJ23" s="19"/>
      <c r="BGK23" s="19"/>
      <c r="BGL23" s="19"/>
      <c r="BGM23" s="19"/>
      <c r="BGN23" s="19"/>
      <c r="BGO23" s="19"/>
      <c r="BGP23" s="19"/>
      <c r="BGQ23" s="19"/>
      <c r="BGR23" s="19"/>
      <c r="BGS23" s="19"/>
      <c r="BGT23" s="19"/>
      <c r="BGU23" s="19"/>
      <c r="BGV23" s="19"/>
      <c r="BGW23" s="19"/>
      <c r="BGX23" s="19"/>
      <c r="BGY23" s="19"/>
      <c r="BGZ23" s="19"/>
      <c r="BHA23" s="19"/>
      <c r="BHB23" s="19"/>
      <c r="BHC23" s="19"/>
      <c r="BHD23" s="19"/>
      <c r="BHE23" s="19"/>
      <c r="BHF23" s="19"/>
      <c r="BHG23" s="19"/>
      <c r="BHH23" s="19"/>
      <c r="BHI23" s="19"/>
      <c r="BHJ23" s="19"/>
      <c r="BHK23" s="19"/>
      <c r="BHL23" s="19"/>
      <c r="BHM23" s="19"/>
      <c r="BHN23" s="19"/>
      <c r="BHO23" s="19"/>
      <c r="BHP23" s="19"/>
      <c r="BHQ23" s="19"/>
      <c r="BHR23" s="19"/>
      <c r="BHS23" s="19"/>
      <c r="BHT23" s="19"/>
      <c r="BHU23" s="19"/>
      <c r="BHV23" s="19"/>
      <c r="BHW23" s="19"/>
      <c r="BHX23" s="19"/>
      <c r="BHY23" s="19"/>
      <c r="BHZ23" s="19"/>
      <c r="BIA23" s="19"/>
      <c r="BIB23" s="19"/>
      <c r="BIC23" s="19"/>
      <c r="BID23" s="19"/>
      <c r="BIE23" s="19"/>
      <c r="BIF23" s="19"/>
      <c r="BIG23" s="19"/>
      <c r="BIH23" s="19"/>
      <c r="BII23" s="19"/>
      <c r="BIJ23" s="19"/>
      <c r="BIK23" s="19"/>
      <c r="BIL23" s="19"/>
      <c r="BIM23" s="19"/>
      <c r="BIN23" s="19"/>
      <c r="BIO23" s="19"/>
      <c r="BIP23" s="19"/>
      <c r="BIQ23" s="19"/>
      <c r="BIR23" s="19"/>
      <c r="BIS23" s="19"/>
      <c r="BIT23" s="19"/>
      <c r="BIU23" s="19"/>
      <c r="BIV23" s="19"/>
      <c r="BIW23" s="19"/>
      <c r="BIX23" s="19"/>
      <c r="BIY23" s="19"/>
      <c r="BIZ23" s="19"/>
      <c r="BJA23" s="19"/>
      <c r="BJB23" s="19"/>
      <c r="BJC23" s="19"/>
      <c r="BJD23" s="19"/>
      <c r="BJE23" s="19"/>
      <c r="BJF23" s="19"/>
      <c r="BJG23" s="19"/>
      <c r="BJH23" s="19"/>
      <c r="BJI23" s="19"/>
      <c r="BJJ23" s="19"/>
      <c r="BJK23" s="19"/>
      <c r="BJL23" s="19"/>
      <c r="BJM23" s="19"/>
      <c r="BJN23" s="19"/>
      <c r="BJO23" s="19"/>
      <c r="BJP23" s="19"/>
      <c r="BJQ23" s="19"/>
      <c r="BJR23" s="19"/>
      <c r="BJS23" s="19"/>
      <c r="BJT23" s="19"/>
      <c r="BJU23" s="19"/>
      <c r="BJV23" s="19"/>
      <c r="BJW23" s="19"/>
      <c r="BJX23" s="19"/>
      <c r="BJY23" s="19"/>
      <c r="BJZ23" s="19"/>
      <c r="BKA23" s="19"/>
      <c r="BKB23" s="19"/>
      <c r="BKC23" s="19"/>
      <c r="BKD23" s="19"/>
      <c r="BKE23" s="19"/>
      <c r="BKF23" s="19"/>
      <c r="BKG23" s="19"/>
      <c r="BKH23" s="19"/>
      <c r="BKI23" s="19"/>
      <c r="BKJ23" s="19"/>
      <c r="BKK23" s="19"/>
      <c r="BKL23" s="19"/>
      <c r="BKM23" s="19"/>
      <c r="BKN23" s="19"/>
      <c r="BKO23" s="19"/>
      <c r="BKP23" s="19"/>
      <c r="BKQ23" s="19"/>
      <c r="BKR23" s="19"/>
      <c r="BKS23" s="19"/>
      <c r="BKT23" s="19"/>
      <c r="BKU23" s="19"/>
      <c r="BKV23" s="19"/>
      <c r="BKW23" s="19"/>
      <c r="BKX23" s="19"/>
      <c r="BKY23" s="19"/>
      <c r="BKZ23" s="19"/>
      <c r="BLA23" s="19"/>
      <c r="BLB23" s="19"/>
      <c r="BLC23" s="19"/>
      <c r="BLD23" s="19"/>
      <c r="BLE23" s="19"/>
      <c r="BLF23" s="19"/>
      <c r="BLG23" s="19"/>
      <c r="BLH23" s="19"/>
      <c r="BLI23" s="19"/>
      <c r="BLJ23" s="19"/>
      <c r="BLK23" s="19"/>
      <c r="BLL23" s="19"/>
      <c r="BLM23" s="19"/>
      <c r="BLN23" s="19"/>
      <c r="BLO23" s="19"/>
      <c r="BLP23" s="19"/>
      <c r="BLQ23" s="19"/>
      <c r="BLR23" s="19"/>
      <c r="BLS23" s="19"/>
      <c r="BLT23" s="19"/>
      <c r="BLU23" s="19"/>
      <c r="BLV23" s="19"/>
      <c r="BLW23" s="19"/>
      <c r="BLX23" s="19"/>
      <c r="BLY23" s="19"/>
      <c r="BLZ23" s="19"/>
      <c r="BMA23" s="19"/>
      <c r="BMB23" s="19"/>
      <c r="BMC23" s="19"/>
      <c r="BMD23" s="19"/>
      <c r="BME23" s="19"/>
      <c r="BMF23" s="19"/>
      <c r="BMG23" s="19"/>
      <c r="BMH23" s="19"/>
      <c r="BMI23" s="19"/>
      <c r="BMJ23" s="19"/>
      <c r="BMK23" s="19"/>
      <c r="BML23" s="19"/>
      <c r="BMM23" s="19"/>
      <c r="BMN23" s="19"/>
      <c r="BMO23" s="19"/>
      <c r="BMP23" s="19"/>
      <c r="BMQ23" s="19"/>
      <c r="BMR23" s="19"/>
      <c r="BMS23" s="19"/>
      <c r="BMT23" s="19"/>
      <c r="BMU23" s="19"/>
      <c r="BMV23" s="19"/>
      <c r="BMW23" s="19"/>
      <c r="BMX23" s="19"/>
      <c r="BMY23" s="19"/>
      <c r="BMZ23" s="19"/>
      <c r="BNA23" s="19"/>
      <c r="BNB23" s="19"/>
      <c r="BNC23" s="19"/>
      <c r="BND23" s="19"/>
      <c r="BNE23" s="19"/>
      <c r="BNF23" s="19"/>
      <c r="BNG23" s="19"/>
      <c r="BNH23" s="19"/>
      <c r="BNI23" s="19"/>
      <c r="BNJ23" s="19"/>
      <c r="BNK23" s="19"/>
      <c r="BNL23" s="19"/>
      <c r="BNM23" s="19"/>
      <c r="BNN23" s="19"/>
      <c r="BNO23" s="19"/>
      <c r="BNP23" s="19"/>
      <c r="BNQ23" s="19"/>
      <c r="BNR23" s="19"/>
      <c r="BNS23" s="19"/>
      <c r="BNT23" s="19"/>
      <c r="BNU23" s="19"/>
      <c r="BNV23" s="19"/>
      <c r="BNW23" s="19"/>
      <c r="BNX23" s="19"/>
      <c r="BNY23" s="19"/>
      <c r="BNZ23" s="19"/>
      <c r="BOA23" s="19"/>
      <c r="BOB23" s="19"/>
      <c r="BOC23" s="19"/>
      <c r="BOD23" s="19"/>
      <c r="BOE23" s="19"/>
      <c r="BOF23" s="19"/>
      <c r="BOG23" s="19"/>
      <c r="BOH23" s="19"/>
      <c r="BOI23" s="19"/>
      <c r="BOJ23" s="19"/>
      <c r="BOK23" s="19"/>
      <c r="BOL23" s="19"/>
      <c r="BOM23" s="19"/>
      <c r="BON23" s="19"/>
      <c r="BOO23" s="19"/>
      <c r="BOP23" s="19"/>
      <c r="BOQ23" s="19"/>
      <c r="BOR23" s="19"/>
      <c r="BOS23" s="19"/>
      <c r="BOT23" s="19"/>
      <c r="BOU23" s="19"/>
      <c r="BOV23" s="19"/>
      <c r="BOW23" s="19"/>
      <c r="BOX23" s="19"/>
      <c r="BOY23" s="19"/>
      <c r="BOZ23" s="19"/>
      <c r="BPA23" s="19"/>
      <c r="BPB23" s="19"/>
      <c r="BPC23" s="19"/>
      <c r="BPD23" s="19"/>
      <c r="BPE23" s="19"/>
      <c r="BPF23" s="19"/>
      <c r="BPG23" s="19"/>
      <c r="BPH23" s="19"/>
      <c r="BPI23" s="19"/>
      <c r="BPJ23" s="19"/>
      <c r="BPK23" s="19"/>
      <c r="BPL23" s="19"/>
      <c r="BPM23" s="19"/>
      <c r="BPN23" s="19"/>
      <c r="BPO23" s="19"/>
      <c r="BPP23" s="19"/>
      <c r="BPQ23" s="19"/>
      <c r="BPR23" s="19"/>
      <c r="BPS23" s="19"/>
      <c r="BPT23" s="19"/>
      <c r="BPU23" s="19"/>
      <c r="BPV23" s="19"/>
      <c r="BPW23" s="19"/>
      <c r="BPX23" s="19"/>
      <c r="BPY23" s="19"/>
      <c r="BPZ23" s="19"/>
      <c r="BQA23" s="19"/>
      <c r="BQB23" s="19"/>
      <c r="BQC23" s="19"/>
      <c r="BQD23" s="19"/>
      <c r="BQE23" s="19"/>
      <c r="BQF23" s="19"/>
      <c r="BQG23" s="19"/>
      <c r="BQH23" s="19"/>
      <c r="BQI23" s="19"/>
      <c r="BQJ23" s="19"/>
      <c r="BQK23" s="19"/>
      <c r="BQL23" s="19"/>
      <c r="BQM23" s="19"/>
      <c r="BQN23" s="19"/>
      <c r="BQO23" s="19"/>
      <c r="BQP23" s="19"/>
      <c r="BQQ23" s="19"/>
      <c r="BQR23" s="19"/>
      <c r="BQS23" s="19"/>
      <c r="BQT23" s="19"/>
      <c r="BQU23" s="19"/>
      <c r="BQV23" s="19"/>
      <c r="BQW23" s="19"/>
      <c r="BQX23" s="19"/>
      <c r="BQY23" s="19"/>
      <c r="BQZ23" s="19"/>
      <c r="BRA23" s="19"/>
      <c r="BRB23" s="19"/>
      <c r="BRC23" s="19"/>
      <c r="BRD23" s="19"/>
      <c r="BRE23" s="19"/>
      <c r="BRF23" s="19"/>
      <c r="BRG23" s="19"/>
      <c r="BRH23" s="19"/>
      <c r="BRI23" s="19"/>
      <c r="BRJ23" s="19"/>
      <c r="BRK23" s="19"/>
      <c r="BRL23" s="19"/>
      <c r="BRM23" s="19"/>
      <c r="BRN23" s="19"/>
      <c r="BRO23" s="19"/>
      <c r="BRP23" s="19"/>
      <c r="BRQ23" s="19"/>
      <c r="BRR23" s="19"/>
      <c r="BRS23" s="19"/>
      <c r="BRT23" s="19"/>
      <c r="BRU23" s="19"/>
      <c r="BRV23" s="19"/>
      <c r="BRW23" s="19"/>
      <c r="BRX23" s="19"/>
      <c r="BRY23" s="19"/>
      <c r="BRZ23" s="19"/>
      <c r="BSA23" s="19"/>
      <c r="BSB23" s="19"/>
      <c r="BSC23" s="19"/>
      <c r="BSD23" s="19"/>
      <c r="BSE23" s="19"/>
      <c r="BSF23" s="19"/>
      <c r="BSG23" s="19"/>
      <c r="BSH23" s="19"/>
      <c r="BSI23" s="19"/>
      <c r="BSJ23" s="19"/>
      <c r="BSK23" s="19"/>
      <c r="BSL23" s="19"/>
      <c r="BSM23" s="19"/>
      <c r="BSN23" s="19"/>
      <c r="BSO23" s="19"/>
      <c r="BSP23" s="19"/>
      <c r="BSQ23" s="19"/>
      <c r="BSR23" s="19"/>
      <c r="BSS23" s="19"/>
      <c r="BST23" s="19"/>
      <c r="BSU23" s="19"/>
      <c r="BSV23" s="19"/>
      <c r="BSW23" s="19"/>
      <c r="BSX23" s="19"/>
      <c r="BSY23" s="19"/>
      <c r="BSZ23" s="19"/>
      <c r="BTA23" s="19"/>
      <c r="BTB23" s="19"/>
      <c r="BTC23" s="19"/>
      <c r="BTD23" s="19"/>
      <c r="BTE23" s="19"/>
      <c r="BTF23" s="19"/>
      <c r="BTG23" s="19"/>
      <c r="BTH23" s="19"/>
      <c r="BTI23" s="19"/>
      <c r="BTJ23" s="19"/>
      <c r="BTK23" s="19"/>
      <c r="BTL23" s="19"/>
      <c r="BTM23" s="19"/>
      <c r="BTN23" s="19"/>
      <c r="BTO23" s="19"/>
      <c r="BTP23" s="19"/>
      <c r="BTQ23" s="19"/>
      <c r="BTR23" s="19"/>
      <c r="BTS23" s="19"/>
      <c r="BTT23" s="19"/>
      <c r="BTU23" s="19"/>
      <c r="BTV23" s="19"/>
      <c r="BTW23" s="19"/>
      <c r="BTX23" s="19"/>
      <c r="BTY23" s="19"/>
      <c r="BTZ23" s="19"/>
      <c r="BUA23" s="19"/>
      <c r="BUB23" s="19"/>
      <c r="BUC23" s="19"/>
      <c r="BUD23" s="19"/>
      <c r="BUE23" s="19"/>
      <c r="BUF23" s="19"/>
      <c r="BUG23" s="19"/>
      <c r="BUH23" s="19"/>
      <c r="BUI23" s="19"/>
      <c r="BUJ23" s="19"/>
      <c r="BUK23" s="19"/>
      <c r="BUL23" s="19"/>
      <c r="BUM23" s="19"/>
      <c r="BUN23" s="19"/>
      <c r="BUO23" s="19"/>
      <c r="BUP23" s="19"/>
      <c r="BUQ23" s="19"/>
      <c r="BUR23" s="19"/>
      <c r="BUS23" s="19"/>
      <c r="BUT23" s="19"/>
      <c r="BUU23" s="19"/>
      <c r="BUV23" s="19"/>
      <c r="BUW23" s="19"/>
      <c r="BUX23" s="19"/>
      <c r="BUY23" s="19"/>
      <c r="BUZ23" s="19"/>
      <c r="BVA23" s="19"/>
      <c r="BVB23" s="19"/>
      <c r="BVC23" s="19"/>
      <c r="BVD23" s="19"/>
      <c r="BVE23" s="19"/>
      <c r="BVF23" s="19"/>
      <c r="BVG23" s="19"/>
      <c r="BVH23" s="19"/>
      <c r="BVI23" s="19"/>
      <c r="BVJ23" s="19"/>
      <c r="BVK23" s="19"/>
      <c r="BVL23" s="19"/>
      <c r="BVM23" s="19"/>
      <c r="BVN23" s="19"/>
      <c r="BVO23" s="19"/>
      <c r="BVP23" s="19"/>
      <c r="BVQ23" s="19"/>
      <c r="BVR23" s="19"/>
      <c r="BVS23" s="19"/>
      <c r="BVT23" s="19"/>
      <c r="BVU23" s="19"/>
      <c r="BVV23" s="19"/>
      <c r="BVW23" s="19"/>
      <c r="BVX23" s="19"/>
      <c r="BVY23" s="19"/>
      <c r="BVZ23" s="19"/>
      <c r="BWA23" s="19"/>
      <c r="BWB23" s="19"/>
      <c r="BWC23" s="19"/>
      <c r="BWD23" s="19"/>
      <c r="BWE23" s="19"/>
      <c r="BWF23" s="19"/>
      <c r="BWG23" s="19"/>
      <c r="BWH23" s="19"/>
      <c r="BWI23" s="19"/>
      <c r="BWJ23" s="19"/>
      <c r="BWK23" s="19"/>
      <c r="BWL23" s="19"/>
      <c r="BWM23" s="19"/>
      <c r="BWN23" s="19"/>
      <c r="BWO23" s="19"/>
      <c r="BWP23" s="19"/>
      <c r="BWQ23" s="19"/>
      <c r="BWR23" s="19"/>
      <c r="BWS23" s="19"/>
      <c r="BWT23" s="19"/>
      <c r="BWU23" s="19"/>
      <c r="BWV23" s="19"/>
      <c r="BWW23" s="19"/>
      <c r="BWX23" s="19"/>
      <c r="BWY23" s="19"/>
      <c r="BWZ23" s="19"/>
      <c r="BXA23" s="19"/>
      <c r="BXB23" s="19"/>
      <c r="BXC23" s="19"/>
      <c r="BXD23" s="19"/>
      <c r="BXE23" s="19"/>
      <c r="BXF23" s="19"/>
      <c r="BXG23" s="19"/>
      <c r="BXH23" s="19"/>
      <c r="BXI23" s="19"/>
      <c r="BXJ23" s="19"/>
      <c r="BXK23" s="19"/>
      <c r="BXL23" s="19"/>
      <c r="BXM23" s="19"/>
      <c r="BXN23" s="19"/>
      <c r="BXO23" s="19"/>
      <c r="BXP23" s="19"/>
      <c r="BXQ23" s="19"/>
      <c r="BXR23" s="19"/>
      <c r="BXS23" s="19"/>
      <c r="BXT23" s="19"/>
      <c r="BXU23" s="19"/>
      <c r="BXV23" s="19"/>
      <c r="BXW23" s="19"/>
      <c r="BXX23" s="19"/>
      <c r="BXY23" s="19"/>
      <c r="BXZ23" s="19"/>
      <c r="BYA23" s="19"/>
      <c r="BYB23" s="19"/>
      <c r="BYC23" s="19"/>
      <c r="BYD23" s="19"/>
      <c r="BYE23" s="19"/>
      <c r="BYF23" s="19"/>
      <c r="BYG23" s="19"/>
      <c r="BYH23" s="19"/>
      <c r="BYI23" s="19"/>
      <c r="BYJ23" s="19"/>
      <c r="BYK23" s="19"/>
      <c r="BYL23" s="19"/>
      <c r="BYM23" s="19"/>
      <c r="BYN23" s="19"/>
      <c r="BYO23" s="19"/>
      <c r="BYP23" s="19"/>
      <c r="BYQ23" s="19"/>
      <c r="BYR23" s="19"/>
      <c r="BYS23" s="19"/>
      <c r="BYT23" s="19"/>
      <c r="BYU23" s="19"/>
      <c r="BYV23" s="19"/>
      <c r="BYW23" s="19"/>
      <c r="BYX23" s="19"/>
      <c r="BYY23" s="19"/>
      <c r="BYZ23" s="19"/>
      <c r="BZA23" s="19"/>
      <c r="BZB23" s="19"/>
      <c r="BZC23" s="19"/>
      <c r="BZD23" s="19"/>
      <c r="BZE23" s="19"/>
      <c r="BZF23" s="19"/>
      <c r="BZG23" s="19"/>
      <c r="BZH23" s="19"/>
      <c r="BZI23" s="19"/>
      <c r="BZJ23" s="19"/>
      <c r="BZK23" s="19"/>
      <c r="BZL23" s="19"/>
      <c r="BZM23" s="19"/>
      <c r="BZN23" s="19"/>
      <c r="BZO23" s="19"/>
      <c r="BZP23" s="19"/>
      <c r="BZQ23" s="19"/>
      <c r="BZR23" s="19"/>
      <c r="BZS23" s="19"/>
      <c r="BZT23" s="19"/>
      <c r="BZU23" s="19"/>
      <c r="BZV23" s="19"/>
      <c r="BZW23" s="19"/>
      <c r="BZX23" s="19"/>
      <c r="BZY23" s="19"/>
      <c r="BZZ23" s="19"/>
      <c r="CAA23" s="19"/>
      <c r="CAB23" s="19"/>
      <c r="CAC23" s="19"/>
      <c r="CAD23" s="19"/>
      <c r="CAE23" s="19"/>
      <c r="CAF23" s="19"/>
      <c r="CAG23" s="19"/>
      <c r="CAH23" s="19"/>
      <c r="CAI23" s="19"/>
      <c r="CAJ23" s="19"/>
      <c r="CAK23" s="19"/>
      <c r="CAL23" s="19"/>
      <c r="CAM23" s="19"/>
      <c r="CAN23" s="19"/>
      <c r="CAO23" s="19"/>
      <c r="CAP23" s="19"/>
      <c r="CAQ23" s="19"/>
      <c r="CAR23" s="19"/>
      <c r="CAS23" s="19"/>
      <c r="CAT23" s="19"/>
      <c r="CAU23" s="19"/>
      <c r="CAV23" s="19"/>
      <c r="CAW23" s="19"/>
      <c r="CAX23" s="19"/>
      <c r="CAY23" s="19"/>
      <c r="CAZ23" s="19"/>
      <c r="CBA23" s="19"/>
      <c r="CBB23" s="19"/>
      <c r="CBC23" s="19"/>
      <c r="CBD23" s="19"/>
      <c r="CBE23" s="19"/>
      <c r="CBF23" s="19"/>
      <c r="CBG23" s="19"/>
      <c r="CBH23" s="19"/>
      <c r="CBI23" s="19"/>
      <c r="CBJ23" s="19"/>
      <c r="CBK23" s="19"/>
      <c r="CBL23" s="19"/>
      <c r="CBM23" s="19"/>
      <c r="CBN23" s="19"/>
      <c r="CBO23" s="19"/>
      <c r="CBP23" s="19"/>
      <c r="CBQ23" s="19"/>
      <c r="CBR23" s="19"/>
      <c r="CBS23" s="19"/>
      <c r="CBT23" s="19"/>
      <c r="CBU23" s="19"/>
      <c r="CBV23" s="19"/>
      <c r="CBW23" s="19"/>
      <c r="CBX23" s="19"/>
      <c r="CBY23" s="19"/>
      <c r="CBZ23" s="19"/>
      <c r="CCA23" s="19"/>
      <c r="CCB23" s="19"/>
      <c r="CCC23" s="19"/>
      <c r="CCD23" s="19"/>
      <c r="CCE23" s="19"/>
      <c r="CCF23" s="19"/>
      <c r="CCG23" s="19"/>
      <c r="CCH23" s="19"/>
      <c r="CCI23" s="19"/>
      <c r="CCJ23" s="19"/>
      <c r="CCK23" s="19"/>
      <c r="CCL23" s="19"/>
      <c r="CCM23" s="19"/>
      <c r="CCN23" s="19"/>
      <c r="CCO23" s="19"/>
      <c r="CCP23" s="19"/>
      <c r="CCQ23" s="19"/>
      <c r="CCR23" s="19"/>
      <c r="CCS23" s="19"/>
      <c r="CCT23" s="19"/>
      <c r="CCU23" s="19"/>
      <c r="CCV23" s="19"/>
      <c r="CCW23" s="19"/>
      <c r="CCX23" s="19"/>
      <c r="CCY23" s="19"/>
      <c r="CCZ23" s="19"/>
      <c r="CDA23" s="19"/>
      <c r="CDB23" s="19"/>
      <c r="CDC23" s="19"/>
      <c r="CDD23" s="19"/>
      <c r="CDE23" s="19"/>
      <c r="CDF23" s="19"/>
      <c r="CDG23" s="19"/>
      <c r="CDH23" s="19"/>
      <c r="CDI23" s="19"/>
      <c r="CDJ23" s="19"/>
      <c r="CDK23" s="19"/>
      <c r="CDL23" s="19"/>
      <c r="CDM23" s="19"/>
      <c r="CDN23" s="19"/>
      <c r="CDO23" s="19"/>
      <c r="CDP23" s="19"/>
      <c r="CDQ23" s="19"/>
      <c r="CDR23" s="19"/>
      <c r="CDS23" s="19"/>
      <c r="CDT23" s="19"/>
      <c r="CDU23" s="19"/>
      <c r="CDV23" s="19"/>
      <c r="CDW23" s="19"/>
      <c r="CDX23" s="19"/>
      <c r="CDY23" s="19"/>
      <c r="CDZ23" s="19"/>
      <c r="CEA23" s="19"/>
      <c r="CEB23" s="19"/>
      <c r="CEC23" s="19"/>
      <c r="CED23" s="19"/>
      <c r="CEE23" s="19"/>
      <c r="CEF23" s="19"/>
      <c r="CEG23" s="19"/>
      <c r="CEH23" s="19"/>
      <c r="CEI23" s="19"/>
      <c r="CEJ23" s="19"/>
      <c r="CEK23" s="19"/>
      <c r="CEL23" s="19"/>
      <c r="CEM23" s="19"/>
      <c r="CEN23" s="19"/>
      <c r="CEO23" s="19"/>
      <c r="CEP23" s="19"/>
      <c r="CEQ23" s="19"/>
      <c r="CER23" s="19"/>
      <c r="CES23" s="19"/>
      <c r="CET23" s="19"/>
      <c r="CEU23" s="19"/>
      <c r="CEV23" s="19"/>
      <c r="CEW23" s="19"/>
      <c r="CEX23" s="19"/>
      <c r="CEY23" s="19"/>
      <c r="CEZ23" s="19"/>
      <c r="CFA23" s="19"/>
      <c r="CFB23" s="19"/>
      <c r="CFC23" s="19"/>
      <c r="CFD23" s="19"/>
      <c r="CFE23" s="19"/>
      <c r="CFF23" s="19"/>
      <c r="CFG23" s="19"/>
      <c r="CFH23" s="19"/>
      <c r="CFI23" s="19"/>
      <c r="CFJ23" s="19"/>
      <c r="CFK23" s="19"/>
      <c r="CFL23" s="19"/>
      <c r="CFM23" s="19"/>
      <c r="CFN23" s="19"/>
      <c r="CFO23" s="19"/>
      <c r="CFP23" s="19"/>
      <c r="CFQ23" s="19"/>
      <c r="CFR23" s="19"/>
      <c r="CFS23" s="19"/>
      <c r="CFT23" s="19"/>
      <c r="CFU23" s="19"/>
      <c r="CFV23" s="19"/>
      <c r="CFW23" s="19"/>
      <c r="CFX23" s="19"/>
      <c r="CFY23" s="19"/>
      <c r="CFZ23" s="19"/>
      <c r="CGA23" s="19"/>
      <c r="CGB23" s="19"/>
      <c r="CGC23" s="19"/>
      <c r="CGD23" s="19"/>
      <c r="CGE23" s="19"/>
      <c r="CGF23" s="19"/>
      <c r="CGG23" s="19"/>
      <c r="CGH23" s="19"/>
      <c r="CGI23" s="19"/>
      <c r="CGJ23" s="19"/>
      <c r="CGK23" s="19"/>
      <c r="CGL23" s="19"/>
      <c r="CGM23" s="19"/>
      <c r="CGN23" s="19"/>
      <c r="CGO23" s="19"/>
      <c r="CGP23" s="19"/>
      <c r="CGQ23" s="19"/>
      <c r="CGR23" s="19"/>
      <c r="CGS23" s="19"/>
      <c r="CGT23" s="19"/>
      <c r="CGU23" s="19"/>
      <c r="CGV23" s="19"/>
      <c r="CGW23" s="19"/>
      <c r="CGX23" s="19"/>
      <c r="CGY23" s="19"/>
      <c r="CGZ23" s="19"/>
      <c r="CHA23" s="19"/>
      <c r="CHB23" s="19"/>
      <c r="CHC23" s="19"/>
      <c r="CHD23" s="19"/>
      <c r="CHE23" s="19"/>
      <c r="CHF23" s="19"/>
      <c r="CHG23" s="19"/>
      <c r="CHH23" s="19"/>
      <c r="CHI23" s="19"/>
      <c r="CHJ23" s="19"/>
      <c r="CHK23" s="19"/>
      <c r="CHL23" s="19"/>
      <c r="CHM23" s="19"/>
      <c r="CHN23" s="19"/>
      <c r="CHO23" s="19"/>
      <c r="CHP23" s="19"/>
      <c r="CHQ23" s="19"/>
      <c r="CHR23" s="19"/>
      <c r="CHS23" s="19"/>
      <c r="CHT23" s="19"/>
      <c r="CHU23" s="19"/>
      <c r="CHV23" s="19"/>
      <c r="CHW23" s="19"/>
      <c r="CHX23" s="19"/>
      <c r="CHY23" s="19"/>
      <c r="CHZ23" s="19"/>
      <c r="CIA23" s="19"/>
      <c r="CIB23" s="19"/>
      <c r="CIC23" s="19"/>
      <c r="CID23" s="19"/>
      <c r="CIE23" s="19"/>
      <c r="CIF23" s="19"/>
      <c r="CIG23" s="19"/>
      <c r="CIH23" s="19"/>
      <c r="CII23" s="19"/>
      <c r="CIJ23" s="19"/>
      <c r="CIK23" s="19"/>
      <c r="CIL23" s="19"/>
      <c r="CIM23" s="19"/>
      <c r="CIN23" s="19"/>
      <c r="CIO23" s="19"/>
      <c r="CIP23" s="19"/>
      <c r="CIQ23" s="19"/>
      <c r="CIR23" s="19"/>
      <c r="CIS23" s="19"/>
      <c r="CIT23" s="19"/>
      <c r="CIU23" s="19"/>
      <c r="CIV23" s="19"/>
      <c r="CIW23" s="19"/>
      <c r="CIX23" s="19"/>
      <c r="CIY23" s="19"/>
      <c r="CIZ23" s="19"/>
      <c r="CJA23" s="19"/>
      <c r="CJB23" s="19"/>
      <c r="CJC23" s="19"/>
      <c r="CJD23" s="19"/>
      <c r="CJE23" s="19"/>
      <c r="CJF23" s="19"/>
      <c r="CJG23" s="19"/>
      <c r="CJH23" s="19"/>
      <c r="CJI23" s="19"/>
      <c r="CJJ23" s="19"/>
      <c r="CJK23" s="19"/>
      <c r="CJL23" s="19"/>
      <c r="CJM23" s="19"/>
      <c r="CJN23" s="19"/>
      <c r="CJO23" s="19"/>
      <c r="CJP23" s="19"/>
      <c r="CJQ23" s="19"/>
      <c r="CJR23" s="19"/>
      <c r="CJS23" s="19"/>
      <c r="CJT23" s="19"/>
      <c r="CJU23" s="19"/>
      <c r="CJV23" s="19"/>
      <c r="CJW23" s="19"/>
      <c r="CJX23" s="19"/>
      <c r="CJY23" s="19"/>
      <c r="CJZ23" s="19"/>
      <c r="CKA23" s="19"/>
      <c r="CKB23" s="19"/>
      <c r="CKC23" s="19"/>
      <c r="CKD23" s="19"/>
      <c r="CKE23" s="19"/>
      <c r="CKF23" s="19"/>
      <c r="CKG23" s="19"/>
      <c r="CKH23" s="19"/>
      <c r="CKI23" s="19"/>
      <c r="CKJ23" s="19"/>
      <c r="CKK23" s="19"/>
      <c r="CKL23" s="19"/>
      <c r="CKM23" s="19"/>
      <c r="CKN23" s="19"/>
      <c r="CKO23" s="19"/>
      <c r="CKP23" s="19"/>
      <c r="CKQ23" s="19"/>
      <c r="CKR23" s="19"/>
      <c r="CKS23" s="19"/>
      <c r="CKT23" s="19"/>
      <c r="CKU23" s="19"/>
      <c r="CKV23" s="19"/>
      <c r="CKW23" s="19"/>
      <c r="CKX23" s="19"/>
      <c r="CKY23" s="19"/>
      <c r="CKZ23" s="19"/>
      <c r="CLA23" s="19"/>
      <c r="CLB23" s="19"/>
      <c r="CLC23" s="19"/>
      <c r="CLD23" s="19"/>
      <c r="CLE23" s="19"/>
      <c r="CLF23" s="19"/>
      <c r="CLG23" s="19"/>
      <c r="CLH23" s="19"/>
      <c r="CLI23" s="19"/>
      <c r="CLJ23" s="19"/>
      <c r="CLK23" s="19"/>
      <c r="CLL23" s="19"/>
      <c r="CLM23" s="19"/>
      <c r="CLN23" s="19"/>
      <c r="CLO23" s="19"/>
      <c r="CLP23" s="19"/>
      <c r="CLQ23" s="19"/>
      <c r="CLR23" s="19"/>
      <c r="CLS23" s="19"/>
      <c r="CLT23" s="19"/>
      <c r="CLU23" s="19"/>
      <c r="CLV23" s="19"/>
      <c r="CLW23" s="19"/>
      <c r="CLX23" s="19"/>
      <c r="CLY23" s="19"/>
      <c r="CLZ23" s="19"/>
      <c r="CMA23" s="19"/>
      <c r="CMB23" s="19"/>
      <c r="CMC23" s="19"/>
      <c r="CMD23" s="19"/>
      <c r="CME23" s="19"/>
      <c r="CMF23" s="19"/>
      <c r="CMG23" s="19"/>
      <c r="CMH23" s="19"/>
      <c r="CMI23" s="19"/>
      <c r="CMJ23" s="19"/>
      <c r="CMK23" s="19"/>
      <c r="CML23" s="19"/>
      <c r="CMM23" s="19"/>
      <c r="CMN23" s="19"/>
      <c r="CMO23" s="19"/>
      <c r="CMP23" s="19"/>
      <c r="CMQ23" s="19"/>
      <c r="CMR23" s="19"/>
      <c r="CMS23" s="19"/>
      <c r="CMT23" s="19"/>
      <c r="CMU23" s="19"/>
      <c r="CMV23" s="19"/>
      <c r="CMW23" s="19"/>
      <c r="CMX23" s="19"/>
      <c r="CMY23" s="19"/>
      <c r="CMZ23" s="19"/>
      <c r="CNA23" s="19"/>
      <c r="CNB23" s="19"/>
      <c r="CNC23" s="19"/>
      <c r="CND23" s="19"/>
      <c r="CNE23" s="19"/>
      <c r="CNF23" s="19"/>
      <c r="CNG23" s="19"/>
      <c r="CNH23" s="19"/>
      <c r="CNI23" s="19"/>
      <c r="CNJ23" s="19"/>
      <c r="CNK23" s="19"/>
      <c r="CNL23" s="19"/>
      <c r="CNM23" s="19"/>
      <c r="CNN23" s="19"/>
      <c r="CNO23" s="19"/>
      <c r="CNP23" s="19"/>
      <c r="CNQ23" s="19"/>
      <c r="CNR23" s="19"/>
      <c r="CNS23" s="19"/>
      <c r="CNT23" s="19"/>
      <c r="CNU23" s="19"/>
      <c r="CNV23" s="19"/>
      <c r="CNW23" s="19"/>
      <c r="CNX23" s="19"/>
      <c r="CNY23" s="19"/>
      <c r="CNZ23" s="19"/>
      <c r="COA23" s="19"/>
      <c r="COB23" s="19"/>
      <c r="COC23" s="19"/>
      <c r="COD23" s="19"/>
      <c r="COE23" s="19"/>
      <c r="COF23" s="19"/>
      <c r="COG23" s="19"/>
      <c r="COH23" s="19"/>
      <c r="COI23" s="19"/>
      <c r="COJ23" s="19"/>
      <c r="COK23" s="19"/>
      <c r="COL23" s="19"/>
      <c r="COM23" s="19"/>
      <c r="CON23" s="19"/>
      <c r="COO23" s="19"/>
      <c r="COP23" s="19"/>
      <c r="COQ23" s="19"/>
      <c r="COR23" s="19"/>
      <c r="COS23" s="19"/>
      <c r="COT23" s="19"/>
      <c r="COU23" s="19"/>
      <c r="COV23" s="19"/>
      <c r="COW23" s="19"/>
      <c r="COX23" s="19"/>
      <c r="COY23" s="19"/>
      <c r="COZ23" s="19"/>
      <c r="CPA23" s="19"/>
      <c r="CPB23" s="19"/>
      <c r="CPC23" s="19"/>
      <c r="CPD23" s="19"/>
      <c r="CPE23" s="19"/>
      <c r="CPF23" s="19"/>
      <c r="CPG23" s="19"/>
      <c r="CPH23" s="19"/>
      <c r="CPI23" s="19"/>
      <c r="CPJ23" s="19"/>
      <c r="CPK23" s="19"/>
      <c r="CPL23" s="19"/>
      <c r="CPM23" s="19"/>
      <c r="CPN23" s="19"/>
      <c r="CPO23" s="19"/>
      <c r="CPP23" s="19"/>
      <c r="CPQ23" s="19"/>
      <c r="CPR23" s="19"/>
      <c r="CPS23" s="19"/>
      <c r="CPT23" s="19"/>
      <c r="CPU23" s="19"/>
      <c r="CPV23" s="19"/>
      <c r="CPW23" s="19"/>
      <c r="CPX23" s="19"/>
      <c r="CPY23" s="19"/>
      <c r="CPZ23" s="19"/>
      <c r="CQA23" s="19"/>
      <c r="CQB23" s="19"/>
      <c r="CQC23" s="19"/>
      <c r="CQD23" s="19"/>
      <c r="CQE23" s="19"/>
      <c r="CQF23" s="19"/>
      <c r="CQG23" s="19"/>
      <c r="CQH23" s="19"/>
      <c r="CQI23" s="19"/>
      <c r="CQJ23" s="19"/>
      <c r="CQK23" s="19"/>
      <c r="CQL23" s="19"/>
      <c r="CQM23" s="19"/>
      <c r="CQN23" s="19"/>
      <c r="CQO23" s="19"/>
      <c r="CQP23" s="19"/>
      <c r="CQQ23" s="19"/>
      <c r="CQR23" s="19"/>
      <c r="CQS23" s="19"/>
      <c r="CQT23" s="19"/>
      <c r="CQU23" s="19"/>
      <c r="CQV23" s="19"/>
      <c r="CQW23" s="19"/>
      <c r="CQX23" s="19"/>
      <c r="CQY23" s="19"/>
      <c r="CQZ23" s="19"/>
      <c r="CRA23" s="19"/>
      <c r="CRB23" s="19"/>
      <c r="CRC23" s="19"/>
      <c r="CRD23" s="19"/>
      <c r="CRE23" s="19"/>
      <c r="CRF23" s="19"/>
      <c r="CRG23" s="19"/>
      <c r="CRH23" s="19"/>
      <c r="CRI23" s="19"/>
      <c r="CRJ23" s="19"/>
      <c r="CRK23" s="19"/>
      <c r="CRL23" s="19"/>
      <c r="CRM23" s="19"/>
      <c r="CRN23" s="19"/>
      <c r="CRO23" s="19"/>
      <c r="CRP23" s="19"/>
      <c r="CRQ23" s="19"/>
      <c r="CRR23" s="19"/>
      <c r="CRS23" s="19"/>
      <c r="CRT23" s="19"/>
      <c r="CRU23" s="19"/>
      <c r="CRV23" s="19"/>
      <c r="CRW23" s="19"/>
      <c r="CRX23" s="19"/>
      <c r="CRY23" s="19"/>
      <c r="CRZ23" s="19"/>
      <c r="CSA23" s="19"/>
      <c r="CSB23" s="19"/>
      <c r="CSC23" s="19"/>
      <c r="CSD23" s="19"/>
      <c r="CSE23" s="19"/>
      <c r="CSF23" s="19"/>
      <c r="CSG23" s="19"/>
      <c r="CSH23" s="19"/>
      <c r="CSI23" s="19"/>
      <c r="CSJ23" s="19"/>
      <c r="CSK23" s="19"/>
      <c r="CSL23" s="19"/>
      <c r="CSM23" s="19"/>
      <c r="CSN23" s="19"/>
      <c r="CSO23" s="19"/>
      <c r="CSP23" s="19"/>
      <c r="CSQ23" s="19"/>
      <c r="CSR23" s="19"/>
      <c r="CSS23" s="19"/>
      <c r="CST23" s="19"/>
      <c r="CSU23" s="19"/>
      <c r="CSV23" s="19"/>
      <c r="CSW23" s="19"/>
      <c r="CSX23" s="19"/>
      <c r="CSY23" s="19"/>
      <c r="CSZ23" s="19"/>
      <c r="CTA23" s="19"/>
      <c r="CTB23" s="19"/>
      <c r="CTC23" s="19"/>
      <c r="CTD23" s="19"/>
      <c r="CTE23" s="19"/>
      <c r="CTF23" s="19"/>
      <c r="CTG23" s="19"/>
      <c r="CTH23" s="19"/>
      <c r="CTI23" s="19"/>
      <c r="CTJ23" s="19"/>
      <c r="CTK23" s="19"/>
      <c r="CTL23" s="19"/>
      <c r="CTM23" s="19"/>
      <c r="CTN23" s="19"/>
      <c r="CTO23" s="19"/>
      <c r="CTP23" s="19"/>
      <c r="CTQ23" s="19"/>
      <c r="CTR23" s="19"/>
      <c r="CTS23" s="19"/>
      <c r="CTT23" s="19"/>
      <c r="CTU23" s="19"/>
      <c r="CTV23" s="19"/>
      <c r="CTW23" s="19"/>
      <c r="CTX23" s="19"/>
      <c r="CTY23" s="19"/>
      <c r="CTZ23" s="19"/>
      <c r="CUA23" s="19"/>
      <c r="CUB23" s="19"/>
      <c r="CUC23" s="19"/>
      <c r="CUD23" s="19"/>
      <c r="CUE23" s="19"/>
      <c r="CUF23" s="19"/>
      <c r="CUG23" s="19"/>
      <c r="CUH23" s="19"/>
      <c r="CUI23" s="19"/>
      <c r="CUJ23" s="19"/>
      <c r="CUK23" s="19"/>
      <c r="CUL23" s="19"/>
      <c r="CUM23" s="19"/>
      <c r="CUN23" s="19"/>
      <c r="CUO23" s="19"/>
      <c r="CUP23" s="19"/>
      <c r="CUQ23" s="19"/>
      <c r="CUR23" s="19"/>
      <c r="CUS23" s="19"/>
      <c r="CUT23" s="19"/>
      <c r="CUU23" s="19"/>
      <c r="CUV23" s="19"/>
      <c r="CUW23" s="19"/>
      <c r="CUX23" s="19"/>
      <c r="CUY23" s="19"/>
      <c r="CUZ23" s="19"/>
      <c r="CVA23" s="19"/>
      <c r="CVB23" s="19"/>
      <c r="CVC23" s="19"/>
      <c r="CVD23" s="19"/>
      <c r="CVE23" s="19"/>
      <c r="CVF23" s="19"/>
      <c r="CVG23" s="19"/>
      <c r="CVH23" s="19"/>
      <c r="CVI23" s="19"/>
      <c r="CVJ23" s="19"/>
      <c r="CVK23" s="19"/>
      <c r="CVL23" s="19"/>
      <c r="CVM23" s="19"/>
      <c r="CVN23" s="19"/>
      <c r="CVO23" s="19"/>
      <c r="CVP23" s="19"/>
      <c r="CVQ23" s="19"/>
      <c r="CVR23" s="19"/>
      <c r="CVS23" s="19"/>
      <c r="CVT23" s="19"/>
      <c r="CVU23" s="19"/>
      <c r="CVV23" s="19"/>
      <c r="CVW23" s="19"/>
      <c r="CVX23" s="19"/>
      <c r="CVY23" s="19"/>
      <c r="CVZ23" s="19"/>
      <c r="CWA23" s="19"/>
      <c r="CWB23" s="19"/>
      <c r="CWC23" s="19"/>
      <c r="CWD23" s="19"/>
      <c r="CWE23" s="19"/>
      <c r="CWF23" s="19"/>
      <c r="CWG23" s="19"/>
      <c r="CWH23" s="19"/>
      <c r="CWI23" s="19"/>
      <c r="CWJ23" s="19"/>
      <c r="CWK23" s="19"/>
      <c r="CWL23" s="19"/>
      <c r="CWM23" s="19"/>
      <c r="CWN23" s="19"/>
      <c r="CWO23" s="19"/>
      <c r="CWP23" s="19"/>
      <c r="CWQ23" s="19"/>
      <c r="CWR23" s="19"/>
      <c r="CWS23" s="19"/>
      <c r="CWT23" s="19"/>
      <c r="CWU23" s="19"/>
      <c r="CWV23" s="19"/>
      <c r="CWW23" s="19"/>
      <c r="CWX23" s="19"/>
      <c r="CWY23" s="19"/>
      <c r="CWZ23" s="19"/>
      <c r="CXA23" s="19"/>
      <c r="CXB23" s="19"/>
      <c r="CXC23" s="19"/>
      <c r="CXD23" s="19"/>
      <c r="CXE23" s="19"/>
      <c r="CXF23" s="19"/>
      <c r="CXG23" s="19"/>
      <c r="CXH23" s="19"/>
      <c r="CXI23" s="19"/>
      <c r="CXJ23" s="19"/>
      <c r="CXK23" s="19"/>
      <c r="CXL23" s="19"/>
      <c r="CXM23" s="19"/>
      <c r="CXN23" s="19"/>
      <c r="CXO23" s="19"/>
      <c r="CXP23" s="19"/>
      <c r="CXQ23" s="19"/>
      <c r="CXR23" s="19"/>
      <c r="CXS23" s="19"/>
      <c r="CXT23" s="19"/>
      <c r="CXU23" s="19"/>
      <c r="CXV23" s="19"/>
      <c r="CXW23" s="19"/>
      <c r="CXX23" s="19"/>
      <c r="CXY23" s="19"/>
      <c r="CXZ23" s="19"/>
      <c r="CYA23" s="19"/>
      <c r="CYB23" s="19"/>
      <c r="CYC23" s="19"/>
      <c r="CYD23" s="19"/>
      <c r="CYE23" s="19"/>
      <c r="CYF23" s="19"/>
      <c r="CYG23" s="19"/>
      <c r="CYH23" s="19"/>
      <c r="CYI23" s="19"/>
      <c r="CYJ23" s="19"/>
      <c r="CYK23" s="19"/>
      <c r="CYL23" s="19"/>
      <c r="CYM23" s="19"/>
      <c r="CYN23" s="19"/>
      <c r="CYO23" s="19"/>
      <c r="CYP23" s="19"/>
      <c r="CYQ23" s="19"/>
      <c r="CYR23" s="19"/>
      <c r="CYS23" s="19"/>
      <c r="CYT23" s="19"/>
      <c r="CYU23" s="19"/>
      <c r="CYV23" s="19"/>
      <c r="CYW23" s="19"/>
      <c r="CYX23" s="19"/>
      <c r="CYY23" s="19"/>
      <c r="CYZ23" s="19"/>
      <c r="CZA23" s="19"/>
      <c r="CZB23" s="19"/>
      <c r="CZC23" s="19"/>
      <c r="CZD23" s="19"/>
      <c r="CZE23" s="19"/>
      <c r="CZF23" s="19"/>
      <c r="CZG23" s="19"/>
      <c r="CZH23" s="19"/>
      <c r="CZI23" s="19"/>
      <c r="CZJ23" s="19"/>
      <c r="CZK23" s="19"/>
      <c r="CZL23" s="19"/>
      <c r="CZM23" s="19"/>
      <c r="CZN23" s="19"/>
      <c r="CZO23" s="19"/>
      <c r="CZP23" s="19"/>
      <c r="CZQ23" s="19"/>
      <c r="CZR23" s="19"/>
      <c r="CZS23" s="19"/>
      <c r="CZT23" s="19"/>
      <c r="CZU23" s="19"/>
      <c r="CZV23" s="19"/>
      <c r="CZW23" s="19"/>
      <c r="CZX23" s="19"/>
      <c r="CZY23" s="19"/>
      <c r="CZZ23" s="19"/>
      <c r="DAA23" s="19"/>
      <c r="DAB23" s="19"/>
      <c r="DAC23" s="19"/>
      <c r="DAD23" s="19"/>
      <c r="DAE23" s="19"/>
      <c r="DAF23" s="19"/>
      <c r="DAG23" s="19"/>
      <c r="DAH23" s="19"/>
      <c r="DAI23" s="19"/>
      <c r="DAJ23" s="19"/>
      <c r="DAK23" s="19"/>
      <c r="DAL23" s="19"/>
      <c r="DAM23" s="19"/>
      <c r="DAN23" s="19"/>
      <c r="DAO23" s="19"/>
      <c r="DAP23" s="19"/>
      <c r="DAQ23" s="19"/>
      <c r="DAR23" s="19"/>
      <c r="DAS23" s="19"/>
      <c r="DAT23" s="19"/>
      <c r="DAU23" s="19"/>
      <c r="DAV23" s="19"/>
      <c r="DAW23" s="19"/>
      <c r="DAX23" s="19"/>
      <c r="DAY23" s="19"/>
      <c r="DAZ23" s="19"/>
      <c r="DBA23" s="19"/>
      <c r="DBB23" s="19"/>
      <c r="DBC23" s="19"/>
      <c r="DBD23" s="19"/>
      <c r="DBE23" s="19"/>
      <c r="DBF23" s="19"/>
      <c r="DBG23" s="19"/>
      <c r="DBH23" s="19"/>
      <c r="DBI23" s="19"/>
      <c r="DBJ23" s="19"/>
      <c r="DBK23" s="19"/>
      <c r="DBL23" s="19"/>
      <c r="DBM23" s="19"/>
      <c r="DBN23" s="19"/>
      <c r="DBO23" s="19"/>
      <c r="DBP23" s="19"/>
      <c r="DBQ23" s="19"/>
      <c r="DBR23" s="19"/>
      <c r="DBS23" s="19"/>
      <c r="DBT23" s="19"/>
      <c r="DBU23" s="19"/>
      <c r="DBV23" s="19"/>
      <c r="DBW23" s="19"/>
      <c r="DBX23" s="19"/>
      <c r="DBY23" s="19"/>
      <c r="DBZ23" s="19"/>
      <c r="DCA23" s="19"/>
      <c r="DCB23" s="19"/>
      <c r="DCC23" s="19"/>
      <c r="DCD23" s="19"/>
      <c r="DCE23" s="19"/>
      <c r="DCF23" s="19"/>
      <c r="DCG23" s="19"/>
      <c r="DCH23" s="19"/>
      <c r="DCI23" s="19"/>
      <c r="DCJ23" s="19"/>
      <c r="DCK23" s="19"/>
      <c r="DCL23" s="19"/>
      <c r="DCM23" s="19"/>
      <c r="DCN23" s="19"/>
      <c r="DCO23" s="19"/>
      <c r="DCP23" s="19"/>
      <c r="DCQ23" s="19"/>
      <c r="DCR23" s="19"/>
      <c r="DCS23" s="19"/>
      <c r="DCT23" s="19"/>
      <c r="DCU23" s="19"/>
      <c r="DCV23" s="19"/>
      <c r="DCW23" s="19"/>
      <c r="DCX23" s="19"/>
      <c r="DCY23" s="19"/>
      <c r="DCZ23" s="19"/>
      <c r="DDA23" s="19"/>
      <c r="DDB23" s="19"/>
      <c r="DDC23" s="19"/>
      <c r="DDD23" s="19"/>
      <c r="DDE23" s="19"/>
      <c r="DDF23" s="19"/>
      <c r="DDG23" s="19"/>
      <c r="DDH23" s="19"/>
      <c r="DDI23" s="19"/>
      <c r="DDJ23" s="19"/>
      <c r="DDK23" s="19"/>
      <c r="DDL23" s="19"/>
      <c r="DDM23" s="19"/>
      <c r="DDN23" s="19"/>
      <c r="DDO23" s="19"/>
      <c r="DDP23" s="19"/>
      <c r="DDQ23" s="19"/>
      <c r="DDR23" s="19"/>
      <c r="DDS23" s="19"/>
      <c r="DDT23" s="19"/>
      <c r="DDU23" s="19"/>
      <c r="DDV23" s="19"/>
      <c r="DDW23" s="19"/>
      <c r="DDX23" s="19"/>
      <c r="DDY23" s="19"/>
      <c r="DDZ23" s="19"/>
      <c r="DEA23" s="19"/>
      <c r="DEB23" s="19"/>
      <c r="DEC23" s="19"/>
      <c r="DED23" s="19"/>
      <c r="DEE23" s="19"/>
      <c r="DEF23" s="19"/>
      <c r="DEG23" s="19"/>
      <c r="DEH23" s="19"/>
      <c r="DEI23" s="19"/>
      <c r="DEJ23" s="19"/>
      <c r="DEK23" s="19"/>
      <c r="DEL23" s="19"/>
      <c r="DEM23" s="19"/>
      <c r="DEN23" s="19"/>
      <c r="DEO23" s="19"/>
      <c r="DEP23" s="19"/>
      <c r="DEQ23" s="19"/>
      <c r="DER23" s="19"/>
      <c r="DES23" s="19"/>
      <c r="DET23" s="19"/>
      <c r="DEU23" s="19"/>
      <c r="DEV23" s="19"/>
      <c r="DEW23" s="19"/>
      <c r="DEX23" s="19"/>
      <c r="DEY23" s="19"/>
      <c r="DEZ23" s="19"/>
      <c r="DFA23" s="19"/>
      <c r="DFB23" s="19"/>
      <c r="DFC23" s="19"/>
      <c r="DFD23" s="19"/>
      <c r="DFE23" s="19"/>
      <c r="DFF23" s="19"/>
      <c r="DFG23" s="19"/>
      <c r="DFH23" s="19"/>
      <c r="DFI23" s="19"/>
      <c r="DFJ23" s="19"/>
      <c r="DFK23" s="19"/>
      <c r="DFL23" s="19"/>
      <c r="DFM23" s="19"/>
      <c r="DFN23" s="19"/>
      <c r="DFO23" s="19"/>
      <c r="DFP23" s="19"/>
      <c r="DFQ23" s="19"/>
      <c r="DFR23" s="19"/>
      <c r="DFS23" s="19"/>
      <c r="DFT23" s="19"/>
      <c r="DFU23" s="19"/>
      <c r="DFV23" s="19"/>
      <c r="DFW23" s="19"/>
      <c r="DFX23" s="19"/>
      <c r="DFY23" s="19"/>
      <c r="DFZ23" s="19"/>
      <c r="DGA23" s="19"/>
      <c r="DGB23" s="19"/>
      <c r="DGC23" s="19"/>
      <c r="DGD23" s="19"/>
      <c r="DGE23" s="19"/>
      <c r="DGF23" s="19"/>
      <c r="DGG23" s="19"/>
      <c r="DGH23" s="19"/>
      <c r="DGI23" s="19"/>
      <c r="DGJ23" s="19"/>
      <c r="DGK23" s="19"/>
      <c r="DGL23" s="19"/>
      <c r="DGM23" s="19"/>
      <c r="DGN23" s="19"/>
      <c r="DGO23" s="19"/>
      <c r="DGP23" s="19"/>
      <c r="DGQ23" s="19"/>
      <c r="DGR23" s="19"/>
      <c r="DGS23" s="19"/>
      <c r="DGT23" s="19"/>
      <c r="DGU23" s="19"/>
      <c r="DGV23" s="19"/>
      <c r="DGW23" s="19"/>
      <c r="DGX23" s="19"/>
      <c r="DGY23" s="19"/>
      <c r="DGZ23" s="19"/>
      <c r="DHA23" s="19"/>
      <c r="DHB23" s="19"/>
      <c r="DHC23" s="19"/>
      <c r="DHD23" s="19"/>
      <c r="DHE23" s="19"/>
      <c r="DHF23" s="19"/>
      <c r="DHG23" s="19"/>
      <c r="DHH23" s="19"/>
      <c r="DHI23" s="19"/>
      <c r="DHJ23" s="19"/>
      <c r="DHK23" s="19"/>
      <c r="DHL23" s="19"/>
      <c r="DHM23" s="19"/>
      <c r="DHN23" s="19"/>
      <c r="DHO23" s="19"/>
      <c r="DHP23" s="19"/>
      <c r="DHQ23" s="19"/>
      <c r="DHR23" s="19"/>
      <c r="DHS23" s="19"/>
      <c r="DHT23" s="19"/>
      <c r="DHU23" s="19"/>
      <c r="DHV23" s="19"/>
      <c r="DHW23" s="19"/>
      <c r="DHX23" s="19"/>
      <c r="DHY23" s="19"/>
      <c r="DHZ23" s="19"/>
      <c r="DIA23" s="19"/>
      <c r="DIB23" s="19"/>
      <c r="DIC23" s="19"/>
      <c r="DID23" s="19"/>
      <c r="DIE23" s="19"/>
      <c r="DIF23" s="19"/>
      <c r="DIG23" s="19"/>
      <c r="DIH23" s="19"/>
      <c r="DII23" s="19"/>
      <c r="DIJ23" s="19"/>
      <c r="DIK23" s="19"/>
      <c r="DIL23" s="19"/>
      <c r="DIM23" s="19"/>
      <c r="DIN23" s="19"/>
      <c r="DIO23" s="19"/>
      <c r="DIP23" s="19"/>
      <c r="DIQ23" s="19"/>
      <c r="DIR23" s="19"/>
      <c r="DIS23" s="19"/>
      <c r="DIT23" s="19"/>
      <c r="DIU23" s="19"/>
      <c r="DIV23" s="19"/>
      <c r="DIW23" s="19"/>
      <c r="DIX23" s="19"/>
      <c r="DIY23" s="19"/>
      <c r="DIZ23" s="19"/>
      <c r="DJA23" s="19"/>
      <c r="DJB23" s="19"/>
      <c r="DJC23" s="19"/>
      <c r="DJD23" s="19"/>
      <c r="DJE23" s="19"/>
      <c r="DJF23" s="19"/>
      <c r="DJG23" s="19"/>
      <c r="DJH23" s="19"/>
      <c r="DJI23" s="19"/>
      <c r="DJJ23" s="19"/>
      <c r="DJK23" s="19"/>
      <c r="DJL23" s="19"/>
      <c r="DJM23" s="19"/>
      <c r="DJN23" s="19"/>
      <c r="DJO23" s="19"/>
      <c r="DJP23" s="19"/>
      <c r="DJQ23" s="19"/>
      <c r="DJR23" s="19"/>
      <c r="DJS23" s="19"/>
      <c r="DJT23" s="19"/>
      <c r="DJU23" s="19"/>
      <c r="DJV23" s="19"/>
      <c r="DJW23" s="19"/>
      <c r="DJX23" s="19"/>
      <c r="DJY23" s="19"/>
      <c r="DJZ23" s="19"/>
      <c r="DKA23" s="19"/>
      <c r="DKB23" s="19"/>
      <c r="DKC23" s="19"/>
      <c r="DKD23" s="19"/>
      <c r="DKE23" s="19"/>
      <c r="DKF23" s="19"/>
      <c r="DKG23" s="19"/>
      <c r="DKH23" s="19"/>
      <c r="DKI23" s="19"/>
      <c r="DKJ23" s="19"/>
      <c r="DKK23" s="19"/>
      <c r="DKL23" s="19"/>
      <c r="DKM23" s="19"/>
      <c r="DKN23" s="19"/>
      <c r="DKO23" s="19"/>
      <c r="DKP23" s="19"/>
      <c r="DKQ23" s="19"/>
      <c r="DKR23" s="19"/>
      <c r="DKS23" s="19"/>
      <c r="DKT23" s="19"/>
      <c r="DKU23" s="19"/>
      <c r="DKV23" s="19"/>
      <c r="DKW23" s="19"/>
      <c r="DKX23" s="19"/>
      <c r="DKY23" s="19"/>
      <c r="DKZ23" s="19"/>
      <c r="DLA23" s="19"/>
      <c r="DLB23" s="19"/>
      <c r="DLC23" s="19"/>
      <c r="DLD23" s="19"/>
      <c r="DLE23" s="19"/>
      <c r="DLF23" s="19"/>
      <c r="DLG23" s="19"/>
      <c r="DLH23" s="19"/>
      <c r="DLI23" s="19"/>
      <c r="DLJ23" s="19"/>
      <c r="DLK23" s="19"/>
      <c r="DLL23" s="19"/>
      <c r="DLM23" s="19"/>
      <c r="DLN23" s="19"/>
      <c r="DLO23" s="19"/>
      <c r="DLP23" s="19"/>
      <c r="DLQ23" s="19"/>
      <c r="DLR23" s="19"/>
      <c r="DLS23" s="19"/>
      <c r="DLT23" s="19"/>
      <c r="DLU23" s="19"/>
      <c r="DLV23" s="19"/>
      <c r="DLW23" s="19"/>
      <c r="DLX23" s="19"/>
      <c r="DLY23" s="19"/>
      <c r="DLZ23" s="19"/>
      <c r="DMA23" s="19"/>
      <c r="DMB23" s="19"/>
      <c r="DMC23" s="19"/>
      <c r="DMD23" s="19"/>
      <c r="DME23" s="19"/>
      <c r="DMF23" s="19"/>
      <c r="DMG23" s="19"/>
      <c r="DMH23" s="19"/>
      <c r="DMI23" s="19"/>
      <c r="DMJ23" s="19"/>
      <c r="DMK23" s="19"/>
      <c r="DML23" s="19"/>
      <c r="DMM23" s="19"/>
      <c r="DMN23" s="19"/>
      <c r="DMO23" s="19"/>
      <c r="DMP23" s="19"/>
      <c r="DMQ23" s="19"/>
      <c r="DMR23" s="19"/>
      <c r="DMS23" s="19"/>
      <c r="DMT23" s="19"/>
      <c r="DMU23" s="19"/>
      <c r="DMV23" s="19"/>
      <c r="DMW23" s="19"/>
      <c r="DMX23" s="19"/>
      <c r="DMY23" s="19"/>
      <c r="DMZ23" s="19"/>
      <c r="DNA23" s="19"/>
      <c r="DNB23" s="19"/>
      <c r="DNC23" s="19"/>
      <c r="DND23" s="19"/>
      <c r="DNE23" s="19"/>
      <c r="DNF23" s="19"/>
      <c r="DNG23" s="19"/>
      <c r="DNH23" s="19"/>
      <c r="DNI23" s="19"/>
      <c r="DNJ23" s="19"/>
      <c r="DNK23" s="19"/>
      <c r="DNL23" s="19"/>
      <c r="DNM23" s="19"/>
      <c r="DNN23" s="19"/>
      <c r="DNO23" s="19"/>
      <c r="DNP23" s="19"/>
      <c r="DNQ23" s="19"/>
      <c r="DNR23" s="19"/>
      <c r="DNS23" s="19"/>
      <c r="DNT23" s="19"/>
      <c r="DNU23" s="19"/>
      <c r="DNV23" s="19"/>
      <c r="DNW23" s="19"/>
      <c r="DNX23" s="19"/>
      <c r="DNY23" s="19"/>
      <c r="DNZ23" s="19"/>
      <c r="DOA23" s="19"/>
      <c r="DOB23" s="19"/>
      <c r="DOC23" s="19"/>
      <c r="DOD23" s="19"/>
      <c r="DOE23" s="19"/>
      <c r="DOF23" s="19"/>
      <c r="DOG23" s="19"/>
      <c r="DOH23" s="19"/>
      <c r="DOI23" s="19"/>
      <c r="DOJ23" s="19"/>
      <c r="DOK23" s="19"/>
      <c r="DOL23" s="19"/>
      <c r="DOM23" s="19"/>
      <c r="DON23" s="19"/>
      <c r="DOO23" s="19"/>
      <c r="DOP23" s="19"/>
      <c r="DOQ23" s="19"/>
      <c r="DOR23" s="19"/>
      <c r="DOS23" s="19"/>
      <c r="DOT23" s="19"/>
      <c r="DOU23" s="19"/>
      <c r="DOV23" s="19"/>
      <c r="DOW23" s="19"/>
      <c r="DOX23" s="19"/>
      <c r="DOY23" s="19"/>
      <c r="DOZ23" s="19"/>
      <c r="DPA23" s="19"/>
      <c r="DPB23" s="19"/>
      <c r="DPC23" s="19"/>
      <c r="DPD23" s="19"/>
      <c r="DPE23" s="19"/>
      <c r="DPF23" s="19"/>
      <c r="DPG23" s="19"/>
      <c r="DPH23" s="19"/>
      <c r="DPI23" s="19"/>
      <c r="DPJ23" s="19"/>
      <c r="DPK23" s="19"/>
      <c r="DPL23" s="19"/>
      <c r="DPM23" s="19"/>
      <c r="DPN23" s="19"/>
      <c r="DPO23" s="19"/>
      <c r="DPP23" s="19"/>
      <c r="DPQ23" s="19"/>
      <c r="DPR23" s="19"/>
      <c r="DPS23" s="19"/>
      <c r="DPT23" s="19"/>
      <c r="DPU23" s="19"/>
      <c r="DPV23" s="19"/>
      <c r="DPW23" s="19"/>
      <c r="DPX23" s="19"/>
      <c r="DPY23" s="19"/>
      <c r="DPZ23" s="19"/>
      <c r="DQA23" s="19"/>
      <c r="DQB23" s="19"/>
      <c r="DQC23" s="19"/>
      <c r="DQD23" s="19"/>
      <c r="DQE23" s="19"/>
      <c r="DQF23" s="19"/>
      <c r="DQG23" s="19"/>
      <c r="DQH23" s="19"/>
      <c r="DQI23" s="19"/>
      <c r="DQJ23" s="19"/>
      <c r="DQK23" s="19"/>
      <c r="DQL23" s="19"/>
      <c r="DQM23" s="19"/>
      <c r="DQN23" s="19"/>
      <c r="DQO23" s="19"/>
      <c r="DQP23" s="19"/>
      <c r="DQQ23" s="19"/>
      <c r="DQR23" s="19"/>
      <c r="DQS23" s="19"/>
      <c r="DQT23" s="19"/>
      <c r="DQU23" s="19"/>
      <c r="DQV23" s="19"/>
      <c r="DQW23" s="19"/>
      <c r="DQX23" s="19"/>
      <c r="DQY23" s="19"/>
      <c r="DQZ23" s="19"/>
      <c r="DRA23" s="19"/>
      <c r="DRB23" s="19"/>
      <c r="DRC23" s="19"/>
      <c r="DRD23" s="19"/>
      <c r="DRE23" s="19"/>
      <c r="DRF23" s="19"/>
      <c r="DRG23" s="19"/>
      <c r="DRH23" s="19"/>
      <c r="DRI23" s="19"/>
      <c r="DRJ23" s="19"/>
      <c r="DRK23" s="19"/>
      <c r="DRL23" s="19"/>
      <c r="DRM23" s="19"/>
      <c r="DRN23" s="19"/>
      <c r="DRO23" s="19"/>
      <c r="DRP23" s="19"/>
      <c r="DRQ23" s="19"/>
      <c r="DRR23" s="19"/>
      <c r="DRS23" s="19"/>
      <c r="DRT23" s="19"/>
      <c r="DRU23" s="19"/>
      <c r="DRV23" s="19"/>
      <c r="DRW23" s="19"/>
      <c r="DRX23" s="19"/>
      <c r="DRY23" s="19"/>
      <c r="DRZ23" s="19"/>
      <c r="DSA23" s="19"/>
      <c r="DSB23" s="19"/>
      <c r="DSC23" s="19"/>
      <c r="DSD23" s="19"/>
      <c r="DSE23" s="19"/>
      <c r="DSF23" s="19"/>
      <c r="DSG23" s="19"/>
      <c r="DSH23" s="19"/>
      <c r="DSI23" s="19"/>
      <c r="DSJ23" s="19"/>
      <c r="DSK23" s="19"/>
      <c r="DSL23" s="19"/>
      <c r="DSM23" s="19"/>
      <c r="DSN23" s="19"/>
      <c r="DSO23" s="19"/>
      <c r="DSP23" s="19"/>
      <c r="DSQ23" s="19"/>
      <c r="DSR23" s="19"/>
      <c r="DSS23" s="19"/>
      <c r="DST23" s="19"/>
      <c r="DSU23" s="19"/>
      <c r="DSV23" s="19"/>
      <c r="DSW23" s="19"/>
      <c r="DSX23" s="19"/>
      <c r="DSY23" s="19"/>
      <c r="DSZ23" s="19"/>
      <c r="DTA23" s="19"/>
      <c r="DTB23" s="19"/>
      <c r="DTC23" s="19"/>
      <c r="DTD23" s="19"/>
      <c r="DTE23" s="19"/>
      <c r="DTF23" s="19"/>
      <c r="DTG23" s="19"/>
      <c r="DTH23" s="19"/>
      <c r="DTI23" s="19"/>
      <c r="DTJ23" s="19"/>
      <c r="DTK23" s="19"/>
      <c r="DTL23" s="19"/>
      <c r="DTM23" s="19"/>
      <c r="DTN23" s="19"/>
      <c r="DTO23" s="19"/>
      <c r="DTP23" s="19"/>
      <c r="DTQ23" s="19"/>
      <c r="DTR23" s="19"/>
      <c r="DTS23" s="19"/>
      <c r="DTT23" s="19"/>
      <c r="DTU23" s="19"/>
      <c r="DTV23" s="19"/>
      <c r="DTW23" s="19"/>
      <c r="DTX23" s="19"/>
      <c r="DTY23" s="19"/>
      <c r="DTZ23" s="19"/>
      <c r="DUA23" s="19"/>
      <c r="DUB23" s="19"/>
      <c r="DUC23" s="19"/>
      <c r="DUD23" s="19"/>
      <c r="DUE23" s="19"/>
      <c r="DUF23" s="19"/>
      <c r="DUG23" s="19"/>
      <c r="DUH23" s="19"/>
      <c r="DUI23" s="19"/>
      <c r="DUJ23" s="19"/>
      <c r="DUK23" s="19"/>
      <c r="DUL23" s="19"/>
      <c r="DUM23" s="19"/>
      <c r="DUN23" s="19"/>
      <c r="DUO23" s="19"/>
      <c r="DUP23" s="19"/>
      <c r="DUQ23" s="19"/>
      <c r="DUR23" s="19"/>
      <c r="DUS23" s="19"/>
      <c r="DUT23" s="19"/>
      <c r="DUU23" s="19"/>
      <c r="DUV23" s="19"/>
      <c r="DUW23" s="19"/>
      <c r="DUX23" s="19"/>
      <c r="DUY23" s="19"/>
      <c r="DUZ23" s="19"/>
      <c r="DVA23" s="19"/>
      <c r="DVB23" s="19"/>
      <c r="DVC23" s="19"/>
      <c r="DVD23" s="19"/>
      <c r="DVE23" s="19"/>
      <c r="DVF23" s="19"/>
      <c r="DVG23" s="19"/>
      <c r="DVH23" s="19"/>
      <c r="DVI23" s="19"/>
      <c r="DVJ23" s="19"/>
      <c r="DVK23" s="19"/>
      <c r="DVL23" s="19"/>
      <c r="DVM23" s="19"/>
      <c r="DVN23" s="19"/>
      <c r="DVO23" s="19"/>
      <c r="DVP23" s="19"/>
      <c r="DVQ23" s="19"/>
      <c r="DVR23" s="19"/>
      <c r="DVS23" s="19"/>
      <c r="DVT23" s="19"/>
      <c r="DVU23" s="19"/>
      <c r="DVV23" s="19"/>
      <c r="DVW23" s="19"/>
      <c r="DVX23" s="19"/>
      <c r="DVY23" s="19"/>
      <c r="DVZ23" s="19"/>
      <c r="DWA23" s="19"/>
      <c r="DWB23" s="19"/>
      <c r="DWC23" s="19"/>
      <c r="DWD23" s="19"/>
      <c r="DWE23" s="19"/>
      <c r="DWF23" s="19"/>
      <c r="DWG23" s="19"/>
      <c r="DWH23" s="19"/>
      <c r="DWI23" s="19"/>
      <c r="DWJ23" s="19"/>
      <c r="DWK23" s="19"/>
      <c r="DWL23" s="19"/>
      <c r="DWM23" s="19"/>
      <c r="DWN23" s="19"/>
      <c r="DWO23" s="19"/>
      <c r="DWP23" s="19"/>
      <c r="DWQ23" s="19"/>
      <c r="DWR23" s="19"/>
      <c r="DWS23" s="19"/>
      <c r="DWT23" s="19"/>
      <c r="DWU23" s="19"/>
      <c r="DWV23" s="19"/>
      <c r="DWW23" s="19"/>
      <c r="DWX23" s="19"/>
      <c r="DWY23" s="19"/>
      <c r="DWZ23" s="19"/>
      <c r="DXA23" s="19"/>
      <c r="DXB23" s="19"/>
      <c r="DXC23" s="19"/>
      <c r="DXD23" s="19"/>
      <c r="DXE23" s="19"/>
      <c r="DXF23" s="19"/>
      <c r="DXG23" s="19"/>
      <c r="DXH23" s="19"/>
      <c r="DXI23" s="19"/>
      <c r="DXJ23" s="19"/>
      <c r="DXK23" s="19"/>
      <c r="DXL23" s="19"/>
      <c r="DXM23" s="19"/>
      <c r="DXN23" s="19"/>
      <c r="DXO23" s="19"/>
      <c r="DXP23" s="19"/>
      <c r="DXQ23" s="19"/>
      <c r="DXR23" s="19"/>
      <c r="DXS23" s="19"/>
      <c r="DXT23" s="19"/>
      <c r="DXU23" s="19"/>
      <c r="DXV23" s="19"/>
      <c r="DXW23" s="19"/>
      <c r="DXX23" s="19"/>
      <c r="DXY23" s="19"/>
      <c r="DXZ23" s="19"/>
      <c r="DYA23" s="19"/>
      <c r="DYB23" s="19"/>
      <c r="DYC23" s="19"/>
      <c r="DYD23" s="19"/>
      <c r="DYE23" s="19"/>
      <c r="DYF23" s="19"/>
      <c r="DYG23" s="19"/>
      <c r="DYH23" s="19"/>
      <c r="DYI23" s="19"/>
      <c r="DYJ23" s="19"/>
      <c r="DYK23" s="19"/>
      <c r="DYL23" s="19"/>
      <c r="DYM23" s="19"/>
      <c r="DYN23" s="19"/>
      <c r="DYO23" s="19"/>
      <c r="DYP23" s="19"/>
      <c r="DYQ23" s="19"/>
      <c r="DYR23" s="19"/>
      <c r="DYS23" s="19"/>
      <c r="DYT23" s="19"/>
      <c r="DYU23" s="19"/>
      <c r="DYV23" s="19"/>
      <c r="DYW23" s="19"/>
      <c r="DYX23" s="19"/>
      <c r="DYY23" s="19"/>
      <c r="DYZ23" s="19"/>
      <c r="DZA23" s="19"/>
      <c r="DZB23" s="19"/>
      <c r="DZC23" s="19"/>
      <c r="DZD23" s="19"/>
      <c r="DZE23" s="19"/>
      <c r="DZF23" s="19"/>
      <c r="DZG23" s="19"/>
      <c r="DZH23" s="19"/>
      <c r="DZI23" s="19"/>
      <c r="DZJ23" s="19"/>
      <c r="DZK23" s="19"/>
      <c r="DZL23" s="19"/>
      <c r="DZM23" s="19"/>
      <c r="DZN23" s="19"/>
      <c r="DZO23" s="19"/>
      <c r="DZP23" s="19"/>
      <c r="DZQ23" s="19"/>
      <c r="DZR23" s="19"/>
      <c r="DZS23" s="19"/>
      <c r="DZT23" s="19"/>
      <c r="DZU23" s="19"/>
      <c r="DZV23" s="19"/>
      <c r="DZW23" s="19"/>
      <c r="DZX23" s="19"/>
      <c r="DZY23" s="19"/>
      <c r="DZZ23" s="19"/>
      <c r="EAA23" s="19"/>
      <c r="EAB23" s="19"/>
      <c r="EAC23" s="19"/>
      <c r="EAD23" s="19"/>
      <c r="EAE23" s="19"/>
      <c r="EAF23" s="19"/>
      <c r="EAG23" s="19"/>
      <c r="EAH23" s="19"/>
      <c r="EAI23" s="19"/>
      <c r="EAJ23" s="19"/>
      <c r="EAK23" s="19"/>
      <c r="EAL23" s="19"/>
      <c r="EAM23" s="19"/>
      <c r="EAN23" s="19"/>
      <c r="EAO23" s="19"/>
      <c r="EAP23" s="19"/>
      <c r="EAQ23" s="19"/>
      <c r="EAR23" s="19"/>
      <c r="EAS23" s="19"/>
      <c r="EAT23" s="19"/>
      <c r="EAU23" s="19"/>
      <c r="EAV23" s="19"/>
      <c r="EAW23" s="19"/>
      <c r="EAX23" s="19"/>
      <c r="EAY23" s="19"/>
      <c r="EAZ23" s="19"/>
      <c r="EBA23" s="19"/>
      <c r="EBB23" s="19"/>
      <c r="EBC23" s="19"/>
      <c r="EBD23" s="19"/>
      <c r="EBE23" s="19"/>
      <c r="EBF23" s="19"/>
      <c r="EBG23" s="19"/>
      <c r="EBH23" s="19"/>
      <c r="EBI23" s="19"/>
      <c r="EBJ23" s="19"/>
      <c r="EBK23" s="19"/>
      <c r="EBL23" s="19"/>
      <c r="EBM23" s="19"/>
      <c r="EBN23" s="19"/>
      <c r="EBO23" s="19"/>
      <c r="EBP23" s="19"/>
      <c r="EBQ23" s="19"/>
      <c r="EBR23" s="19"/>
      <c r="EBS23" s="19"/>
      <c r="EBT23" s="19"/>
      <c r="EBU23" s="19"/>
      <c r="EBV23" s="19"/>
      <c r="EBW23" s="19"/>
      <c r="EBX23" s="19"/>
      <c r="EBY23" s="19"/>
      <c r="EBZ23" s="19"/>
      <c r="ECA23" s="19"/>
      <c r="ECB23" s="19"/>
      <c r="ECC23" s="19"/>
      <c r="ECD23" s="19"/>
      <c r="ECE23" s="19"/>
      <c r="ECF23" s="19"/>
      <c r="ECG23" s="19"/>
      <c r="ECH23" s="19"/>
      <c r="ECI23" s="19"/>
      <c r="ECJ23" s="19"/>
      <c r="ECK23" s="19"/>
      <c r="ECL23" s="19"/>
      <c r="ECM23" s="19"/>
      <c r="ECN23" s="19"/>
      <c r="ECO23" s="19"/>
      <c r="ECP23" s="19"/>
      <c r="ECQ23" s="19"/>
      <c r="ECR23" s="19"/>
      <c r="ECS23" s="19"/>
      <c r="ECT23" s="19"/>
      <c r="ECU23" s="19"/>
      <c r="ECV23" s="19"/>
      <c r="ECW23" s="19"/>
      <c r="ECX23" s="19"/>
      <c r="ECY23" s="19"/>
      <c r="ECZ23" s="19"/>
      <c r="EDA23" s="19"/>
      <c r="EDB23" s="19"/>
      <c r="EDC23" s="19"/>
      <c r="EDD23" s="19"/>
      <c r="EDE23" s="19"/>
      <c r="EDF23" s="19"/>
      <c r="EDG23" s="19"/>
      <c r="EDH23" s="19"/>
      <c r="EDI23" s="19"/>
      <c r="EDJ23" s="19"/>
      <c r="EDK23" s="19"/>
      <c r="EDL23" s="19"/>
      <c r="EDM23" s="19"/>
      <c r="EDN23" s="19"/>
      <c r="EDO23" s="19"/>
      <c r="EDP23" s="19"/>
      <c r="EDQ23" s="19"/>
      <c r="EDR23" s="19"/>
      <c r="EDS23" s="19"/>
      <c r="EDT23" s="19"/>
      <c r="EDU23" s="19"/>
      <c r="EDV23" s="19"/>
      <c r="EDW23" s="19"/>
      <c r="EDX23" s="19"/>
      <c r="EDY23" s="19"/>
      <c r="EDZ23" s="19"/>
      <c r="EEA23" s="19"/>
      <c r="EEB23" s="19"/>
      <c r="EEC23" s="19"/>
      <c r="EED23" s="19"/>
      <c r="EEE23" s="19"/>
      <c r="EEF23" s="19"/>
      <c r="EEG23" s="19"/>
      <c r="EEH23" s="19"/>
      <c r="EEI23" s="19"/>
      <c r="EEJ23" s="19"/>
      <c r="EEK23" s="19"/>
      <c r="EEL23" s="19"/>
      <c r="EEM23" s="19"/>
      <c r="EEN23" s="19"/>
      <c r="EEO23" s="19"/>
      <c r="EEP23" s="19"/>
      <c r="EEQ23" s="19"/>
      <c r="EER23" s="19"/>
      <c r="EES23" s="19"/>
      <c r="EET23" s="19"/>
      <c r="EEU23" s="19"/>
      <c r="EEV23" s="19"/>
      <c r="EEW23" s="19"/>
      <c r="EEX23" s="19"/>
      <c r="EEY23" s="19"/>
      <c r="EEZ23" s="19"/>
      <c r="EFA23" s="19"/>
      <c r="EFB23" s="19"/>
      <c r="EFC23" s="19"/>
      <c r="EFD23" s="19"/>
      <c r="EFE23" s="19"/>
      <c r="EFF23" s="19"/>
      <c r="EFG23" s="19"/>
      <c r="EFH23" s="19"/>
      <c r="EFI23" s="19"/>
      <c r="EFJ23" s="19"/>
      <c r="EFK23" s="19"/>
      <c r="EFL23" s="19"/>
      <c r="EFM23" s="19"/>
      <c r="EFN23" s="19"/>
      <c r="EFO23" s="19"/>
      <c r="EFP23" s="19"/>
      <c r="EFQ23" s="19"/>
      <c r="EFR23" s="19"/>
      <c r="EFS23" s="19"/>
      <c r="EFT23" s="19"/>
      <c r="EFU23" s="19"/>
      <c r="EFV23" s="19"/>
      <c r="EFW23" s="19"/>
      <c r="EFX23" s="19"/>
      <c r="EFY23" s="19"/>
      <c r="EFZ23" s="19"/>
      <c r="EGA23" s="19"/>
      <c r="EGB23" s="19"/>
      <c r="EGC23" s="19"/>
      <c r="EGD23" s="19"/>
      <c r="EGE23" s="19"/>
      <c r="EGF23" s="19"/>
      <c r="EGG23" s="19"/>
      <c r="EGH23" s="19"/>
      <c r="EGI23" s="19"/>
      <c r="EGJ23" s="19"/>
      <c r="EGK23" s="19"/>
      <c r="EGL23" s="19"/>
      <c r="EGM23" s="19"/>
      <c r="EGN23" s="19"/>
      <c r="EGO23" s="19"/>
      <c r="EGP23" s="19"/>
      <c r="EGQ23" s="19"/>
      <c r="EGR23" s="19"/>
      <c r="EGS23" s="19"/>
      <c r="EGT23" s="19"/>
      <c r="EGU23" s="19"/>
      <c r="EGV23" s="19"/>
      <c r="EGW23" s="19"/>
      <c r="EGX23" s="19"/>
      <c r="EGY23" s="19"/>
      <c r="EGZ23" s="19"/>
      <c r="EHA23" s="19"/>
      <c r="EHB23" s="19"/>
      <c r="EHC23" s="19"/>
      <c r="EHD23" s="19"/>
      <c r="EHE23" s="19"/>
      <c r="EHF23" s="19"/>
      <c r="EHG23" s="19"/>
      <c r="EHH23" s="19"/>
      <c r="EHI23" s="19"/>
      <c r="EHJ23" s="19"/>
      <c r="EHK23" s="19"/>
      <c r="EHL23" s="19"/>
      <c r="EHM23" s="19"/>
      <c r="EHN23" s="19"/>
      <c r="EHO23" s="19"/>
      <c r="EHP23" s="19"/>
      <c r="EHQ23" s="19"/>
      <c r="EHR23" s="19"/>
      <c r="EHS23" s="19"/>
      <c r="EHT23" s="19"/>
      <c r="EHU23" s="19"/>
      <c r="EHV23" s="19"/>
      <c r="EHW23" s="19"/>
      <c r="EHX23" s="19"/>
      <c r="EHY23" s="19"/>
      <c r="EHZ23" s="19"/>
      <c r="EIA23" s="19"/>
      <c r="EIB23" s="19"/>
      <c r="EIC23" s="19"/>
      <c r="EID23" s="19"/>
      <c r="EIE23" s="19"/>
      <c r="EIF23" s="19"/>
      <c r="EIG23" s="19"/>
      <c r="EIH23" s="19"/>
      <c r="EII23" s="19"/>
      <c r="EIJ23" s="19"/>
      <c r="EIK23" s="19"/>
      <c r="EIL23" s="19"/>
      <c r="EIM23" s="19"/>
      <c r="EIN23" s="19"/>
      <c r="EIO23" s="19"/>
      <c r="EIP23" s="19"/>
      <c r="EIQ23" s="19"/>
      <c r="EIR23" s="19"/>
      <c r="EIS23" s="19"/>
      <c r="EIT23" s="19"/>
      <c r="EIU23" s="19"/>
      <c r="EIV23" s="19"/>
      <c r="EIW23" s="19"/>
      <c r="EIX23" s="19"/>
      <c r="EIY23" s="19"/>
      <c r="EIZ23" s="19"/>
      <c r="EJA23" s="19"/>
      <c r="EJB23" s="19"/>
      <c r="EJC23" s="19"/>
      <c r="EJD23" s="19"/>
      <c r="EJE23" s="19"/>
      <c r="EJF23" s="19"/>
      <c r="EJG23" s="19"/>
      <c r="EJH23" s="19"/>
      <c r="EJI23" s="19"/>
      <c r="EJJ23" s="19"/>
      <c r="EJK23" s="19"/>
      <c r="EJL23" s="19"/>
      <c r="EJM23" s="19"/>
      <c r="EJN23" s="19"/>
      <c r="EJO23" s="19"/>
      <c r="EJP23" s="19"/>
      <c r="EJQ23" s="19"/>
      <c r="EJR23" s="19"/>
      <c r="EJS23" s="19"/>
      <c r="EJT23" s="19"/>
      <c r="EJU23" s="19"/>
      <c r="EJV23" s="19"/>
      <c r="EJW23" s="19"/>
      <c r="EJX23" s="19"/>
      <c r="EJY23" s="19"/>
      <c r="EJZ23" s="19"/>
      <c r="EKA23" s="19"/>
      <c r="EKB23" s="19"/>
      <c r="EKC23" s="19"/>
      <c r="EKD23" s="19"/>
      <c r="EKE23" s="19"/>
      <c r="EKF23" s="19"/>
      <c r="EKG23" s="19"/>
      <c r="EKH23" s="19"/>
      <c r="EKI23" s="19"/>
      <c r="EKJ23" s="19"/>
      <c r="EKK23" s="19"/>
      <c r="EKL23" s="19"/>
      <c r="EKM23" s="19"/>
      <c r="EKN23" s="19"/>
      <c r="EKO23" s="19"/>
      <c r="EKP23" s="19"/>
      <c r="EKQ23" s="19"/>
      <c r="EKR23" s="19"/>
      <c r="EKS23" s="19"/>
      <c r="EKT23" s="19"/>
      <c r="EKU23" s="19"/>
      <c r="EKV23" s="19"/>
      <c r="EKW23" s="19"/>
      <c r="EKX23" s="19"/>
      <c r="EKY23" s="19"/>
      <c r="EKZ23" s="19"/>
      <c r="ELA23" s="19"/>
      <c r="ELB23" s="19"/>
      <c r="ELC23" s="19"/>
      <c r="ELD23" s="19"/>
      <c r="ELE23" s="19"/>
      <c r="ELF23" s="19"/>
      <c r="ELG23" s="19"/>
      <c r="ELH23" s="19"/>
      <c r="ELI23" s="19"/>
      <c r="ELJ23" s="19"/>
      <c r="ELK23" s="19"/>
      <c r="ELL23" s="19"/>
      <c r="ELM23" s="19"/>
      <c r="ELN23" s="19"/>
      <c r="ELO23" s="19"/>
      <c r="ELP23" s="19"/>
      <c r="ELQ23" s="19"/>
      <c r="ELR23" s="19"/>
      <c r="ELS23" s="19"/>
      <c r="ELT23" s="19"/>
      <c r="ELU23" s="19"/>
      <c r="ELV23" s="19"/>
      <c r="ELW23" s="19"/>
      <c r="ELX23" s="19"/>
      <c r="ELY23" s="19"/>
      <c r="ELZ23" s="19"/>
      <c r="EMA23" s="19"/>
      <c r="EMB23" s="19"/>
      <c r="EMC23" s="19"/>
      <c r="EMD23" s="19"/>
      <c r="EME23" s="19"/>
      <c r="EMF23" s="19"/>
      <c r="EMG23" s="19"/>
      <c r="EMH23" s="19"/>
      <c r="EMI23" s="19"/>
      <c r="EMJ23" s="19"/>
      <c r="EMK23" s="19"/>
      <c r="EML23" s="19"/>
      <c r="EMM23" s="19"/>
      <c r="EMN23" s="19"/>
      <c r="EMO23" s="19"/>
      <c r="EMP23" s="19"/>
      <c r="EMQ23" s="19"/>
      <c r="EMR23" s="19"/>
      <c r="EMS23" s="19"/>
      <c r="EMT23" s="19"/>
      <c r="EMU23" s="19"/>
      <c r="EMV23" s="19"/>
      <c r="EMW23" s="19"/>
      <c r="EMX23" s="19"/>
      <c r="EMY23" s="19"/>
      <c r="EMZ23" s="19"/>
      <c r="ENA23" s="19"/>
      <c r="ENB23" s="19"/>
      <c r="ENC23" s="19"/>
      <c r="END23" s="19"/>
      <c r="ENE23" s="19"/>
      <c r="ENF23" s="19"/>
      <c r="ENG23" s="19"/>
      <c r="ENH23" s="19"/>
      <c r="ENI23" s="19"/>
      <c r="ENJ23" s="19"/>
      <c r="ENK23" s="19"/>
      <c r="ENL23" s="19"/>
      <c r="ENM23" s="19"/>
      <c r="ENN23" s="19"/>
      <c r="ENO23" s="19"/>
      <c r="ENP23" s="19"/>
      <c r="ENQ23" s="19"/>
      <c r="ENR23" s="19"/>
      <c r="ENS23" s="19"/>
      <c r="ENT23" s="19"/>
      <c r="ENU23" s="19"/>
      <c r="ENV23" s="19"/>
      <c r="ENW23" s="19"/>
      <c r="ENX23" s="19"/>
      <c r="ENY23" s="19"/>
      <c r="ENZ23" s="19"/>
      <c r="EOA23" s="19"/>
      <c r="EOB23" s="19"/>
      <c r="EOC23" s="19"/>
      <c r="EOD23" s="19"/>
      <c r="EOE23" s="19"/>
      <c r="EOF23" s="19"/>
      <c r="EOG23" s="19"/>
      <c r="EOH23" s="19"/>
      <c r="EOI23" s="19"/>
      <c r="EOJ23" s="19"/>
      <c r="EOK23" s="19"/>
      <c r="EOL23" s="19"/>
      <c r="EOM23" s="19"/>
      <c r="EON23" s="19"/>
      <c r="EOO23" s="19"/>
      <c r="EOP23" s="19"/>
      <c r="EOQ23" s="19"/>
      <c r="EOR23" s="19"/>
      <c r="EOS23" s="19"/>
      <c r="EOT23" s="19"/>
      <c r="EOU23" s="19"/>
      <c r="EOV23" s="19"/>
      <c r="EOW23" s="19"/>
      <c r="EOX23" s="19"/>
      <c r="EOY23" s="19"/>
      <c r="EOZ23" s="19"/>
      <c r="EPA23" s="19"/>
      <c r="EPB23" s="19"/>
      <c r="EPC23" s="19"/>
      <c r="EPD23" s="19"/>
      <c r="EPE23" s="19"/>
      <c r="EPF23" s="19"/>
      <c r="EPG23" s="19"/>
      <c r="EPH23" s="19"/>
      <c r="EPI23" s="19"/>
      <c r="EPJ23" s="19"/>
      <c r="EPK23" s="19"/>
      <c r="EPL23" s="19"/>
      <c r="EPM23" s="19"/>
      <c r="EPN23" s="19"/>
      <c r="EPO23" s="19"/>
      <c r="EPP23" s="19"/>
      <c r="EPQ23" s="19"/>
      <c r="EPR23" s="19"/>
      <c r="EPS23" s="19"/>
      <c r="EPT23" s="19"/>
      <c r="EPU23" s="19"/>
      <c r="EPV23" s="19"/>
      <c r="EPW23" s="19"/>
      <c r="EPX23" s="19"/>
      <c r="EPY23" s="19"/>
      <c r="EPZ23" s="19"/>
      <c r="EQA23" s="19"/>
      <c r="EQB23" s="19"/>
      <c r="EQC23" s="19"/>
      <c r="EQD23" s="19"/>
      <c r="EQE23" s="19"/>
      <c r="EQF23" s="19"/>
      <c r="EQG23" s="19"/>
      <c r="EQH23" s="19"/>
      <c r="EQI23" s="19"/>
      <c r="EQJ23" s="19"/>
      <c r="EQK23" s="19"/>
      <c r="EQL23" s="19"/>
      <c r="EQM23" s="19"/>
      <c r="EQN23" s="19"/>
      <c r="EQO23" s="19"/>
      <c r="EQP23" s="19"/>
      <c r="EQQ23" s="19"/>
      <c r="EQR23" s="19"/>
      <c r="EQS23" s="19"/>
      <c r="EQT23" s="19"/>
      <c r="EQU23" s="19"/>
      <c r="EQV23" s="19"/>
      <c r="EQW23" s="19"/>
      <c r="EQX23" s="19"/>
      <c r="EQY23" s="19"/>
      <c r="EQZ23" s="19"/>
      <c r="ERA23" s="19"/>
      <c r="ERB23" s="19"/>
      <c r="ERC23" s="19"/>
      <c r="ERD23" s="19"/>
      <c r="ERE23" s="19"/>
      <c r="ERF23" s="19"/>
      <c r="ERG23" s="19"/>
      <c r="ERH23" s="19"/>
      <c r="ERI23" s="19"/>
      <c r="ERJ23" s="19"/>
      <c r="ERK23" s="19"/>
      <c r="ERL23" s="19"/>
      <c r="ERM23" s="19"/>
      <c r="ERN23" s="19"/>
      <c r="ERO23" s="19"/>
      <c r="ERP23" s="19"/>
      <c r="ERQ23" s="19"/>
      <c r="ERR23" s="19"/>
      <c r="ERS23" s="19"/>
      <c r="ERT23" s="19"/>
      <c r="ERU23" s="19"/>
      <c r="ERV23" s="19"/>
      <c r="ERW23" s="19"/>
      <c r="ERX23" s="19"/>
      <c r="ERY23" s="19"/>
      <c r="ERZ23" s="19"/>
      <c r="ESA23" s="19"/>
      <c r="ESB23" s="19"/>
      <c r="ESC23" s="19"/>
      <c r="ESD23" s="19"/>
      <c r="ESE23" s="19"/>
      <c r="ESF23" s="19"/>
      <c r="ESG23" s="19"/>
      <c r="ESH23" s="19"/>
      <c r="ESI23" s="19"/>
      <c r="ESJ23" s="19"/>
      <c r="ESK23" s="19"/>
      <c r="ESL23" s="19"/>
      <c r="ESM23" s="19"/>
      <c r="ESN23" s="19"/>
      <c r="ESO23" s="19"/>
      <c r="ESP23" s="19"/>
      <c r="ESQ23" s="19"/>
      <c r="ESR23" s="19"/>
      <c r="ESS23" s="19"/>
      <c r="EST23" s="19"/>
      <c r="ESU23" s="19"/>
      <c r="ESV23" s="19"/>
      <c r="ESW23" s="19"/>
      <c r="ESX23" s="19"/>
      <c r="ESY23" s="19"/>
      <c r="ESZ23" s="19"/>
      <c r="ETA23" s="19"/>
      <c r="ETB23" s="19"/>
      <c r="ETC23" s="19"/>
      <c r="ETD23" s="19"/>
      <c r="ETE23" s="19"/>
      <c r="ETF23" s="19"/>
      <c r="ETG23" s="19"/>
      <c r="ETH23" s="19"/>
      <c r="ETI23" s="19"/>
      <c r="ETJ23" s="19"/>
      <c r="ETK23" s="19"/>
      <c r="ETL23" s="19"/>
      <c r="ETM23" s="19"/>
      <c r="ETN23" s="19"/>
      <c r="ETO23" s="19"/>
      <c r="ETP23" s="19"/>
      <c r="ETQ23" s="19"/>
      <c r="ETR23" s="19"/>
      <c r="ETS23" s="19"/>
      <c r="ETT23" s="19"/>
      <c r="ETU23" s="19"/>
      <c r="ETV23" s="19"/>
      <c r="ETW23" s="19"/>
      <c r="ETX23" s="19"/>
      <c r="ETY23" s="19"/>
      <c r="ETZ23" s="19"/>
      <c r="EUA23" s="19"/>
      <c r="EUB23" s="19"/>
      <c r="EUC23" s="19"/>
      <c r="EUD23" s="19"/>
      <c r="EUE23" s="19"/>
      <c r="EUF23" s="19"/>
      <c r="EUG23" s="19"/>
      <c r="EUH23" s="19"/>
      <c r="EUI23" s="19"/>
      <c r="EUJ23" s="19"/>
      <c r="EUK23" s="19"/>
      <c r="EUL23" s="19"/>
      <c r="EUM23" s="19"/>
      <c r="EUN23" s="19"/>
      <c r="EUO23" s="19"/>
      <c r="EUP23" s="19"/>
      <c r="EUQ23" s="19"/>
      <c r="EUR23" s="19"/>
      <c r="EUS23" s="19"/>
      <c r="EUT23" s="19"/>
      <c r="EUU23" s="19"/>
      <c r="EUV23" s="19"/>
      <c r="EUW23" s="19"/>
      <c r="EUX23" s="19"/>
      <c r="EUY23" s="19"/>
      <c r="EUZ23" s="19"/>
      <c r="EVA23" s="19"/>
      <c r="EVB23" s="19"/>
      <c r="EVC23" s="19"/>
      <c r="EVD23" s="19"/>
      <c r="EVE23" s="19"/>
      <c r="EVF23" s="19"/>
      <c r="EVG23" s="19"/>
      <c r="EVH23" s="19"/>
      <c r="EVI23" s="19"/>
      <c r="EVJ23" s="19"/>
      <c r="EVK23" s="19"/>
      <c r="EVL23" s="19"/>
      <c r="EVM23" s="19"/>
      <c r="EVN23" s="19"/>
      <c r="EVO23" s="19"/>
      <c r="EVP23" s="19"/>
      <c r="EVQ23" s="19"/>
      <c r="EVR23" s="19"/>
      <c r="EVS23" s="19"/>
      <c r="EVT23" s="19"/>
      <c r="EVU23" s="19"/>
      <c r="EVV23" s="19"/>
      <c r="EVW23" s="19"/>
      <c r="EVX23" s="19"/>
      <c r="EVY23" s="19"/>
      <c r="EVZ23" s="19"/>
      <c r="EWA23" s="19"/>
      <c r="EWB23" s="19"/>
      <c r="EWC23" s="19"/>
      <c r="EWD23" s="19"/>
      <c r="EWE23" s="19"/>
      <c r="EWF23" s="19"/>
      <c r="EWG23" s="19"/>
      <c r="EWH23" s="19"/>
      <c r="EWI23" s="19"/>
      <c r="EWJ23" s="19"/>
      <c r="EWK23" s="19"/>
      <c r="EWL23" s="19"/>
      <c r="EWM23" s="19"/>
      <c r="EWN23" s="19"/>
      <c r="EWO23" s="19"/>
      <c r="EWP23" s="19"/>
      <c r="EWQ23" s="19"/>
      <c r="EWR23" s="19"/>
      <c r="EWS23" s="19"/>
      <c r="EWT23" s="19"/>
      <c r="EWU23" s="19"/>
      <c r="EWV23" s="19"/>
      <c r="EWW23" s="19"/>
      <c r="EWX23" s="19"/>
      <c r="EWY23" s="19"/>
      <c r="EWZ23" s="19"/>
      <c r="EXA23" s="19"/>
      <c r="EXB23" s="19"/>
      <c r="EXC23" s="19"/>
      <c r="EXD23" s="19"/>
      <c r="EXE23" s="19"/>
      <c r="EXF23" s="19"/>
      <c r="EXG23" s="19"/>
      <c r="EXH23" s="19"/>
      <c r="EXI23" s="19"/>
      <c r="EXJ23" s="19"/>
      <c r="EXK23" s="19"/>
      <c r="EXL23" s="19"/>
      <c r="EXM23" s="19"/>
      <c r="EXN23" s="19"/>
      <c r="EXO23" s="19"/>
      <c r="EXP23" s="19"/>
      <c r="EXQ23" s="19"/>
      <c r="EXR23" s="19"/>
      <c r="EXS23" s="19"/>
      <c r="EXT23" s="19"/>
      <c r="EXU23" s="19"/>
      <c r="EXV23" s="19"/>
      <c r="EXW23" s="19"/>
      <c r="EXX23" s="19"/>
      <c r="EXY23" s="19"/>
      <c r="EXZ23" s="19"/>
      <c r="EYA23" s="19"/>
      <c r="EYB23" s="19"/>
      <c r="EYC23" s="19"/>
      <c r="EYD23" s="19"/>
      <c r="EYE23" s="19"/>
      <c r="EYF23" s="19"/>
      <c r="EYG23" s="19"/>
      <c r="EYH23" s="19"/>
      <c r="EYI23" s="19"/>
      <c r="EYJ23" s="19"/>
      <c r="EYK23" s="19"/>
      <c r="EYL23" s="19"/>
      <c r="EYM23" s="19"/>
      <c r="EYN23" s="19"/>
      <c r="EYO23" s="19"/>
      <c r="EYP23" s="19"/>
      <c r="EYQ23" s="19"/>
      <c r="EYR23" s="19"/>
      <c r="EYS23" s="19"/>
      <c r="EYT23" s="19"/>
      <c r="EYU23" s="19"/>
      <c r="EYV23" s="19"/>
      <c r="EYW23" s="19"/>
      <c r="EYX23" s="19"/>
      <c r="EYY23" s="19"/>
      <c r="EYZ23" s="19"/>
      <c r="EZA23" s="19"/>
      <c r="EZB23" s="19"/>
      <c r="EZC23" s="19"/>
      <c r="EZD23" s="19"/>
      <c r="EZE23" s="19"/>
      <c r="EZF23" s="19"/>
      <c r="EZG23" s="19"/>
      <c r="EZH23" s="19"/>
      <c r="EZI23" s="19"/>
      <c r="EZJ23" s="19"/>
      <c r="EZK23" s="19"/>
      <c r="EZL23" s="19"/>
      <c r="EZM23" s="19"/>
      <c r="EZN23" s="19"/>
      <c r="EZO23" s="19"/>
      <c r="EZP23" s="19"/>
      <c r="EZQ23" s="19"/>
      <c r="EZR23" s="19"/>
      <c r="EZS23" s="19"/>
      <c r="EZT23" s="19"/>
      <c r="EZU23" s="19"/>
      <c r="EZV23" s="19"/>
      <c r="EZW23" s="19"/>
      <c r="EZX23" s="19"/>
      <c r="EZY23" s="19"/>
      <c r="EZZ23" s="19"/>
      <c r="FAA23" s="19"/>
      <c r="FAB23" s="19"/>
      <c r="FAC23" s="19"/>
      <c r="FAD23" s="19"/>
      <c r="FAE23" s="19"/>
      <c r="FAF23" s="19"/>
      <c r="FAG23" s="19"/>
      <c r="FAH23" s="19"/>
      <c r="FAI23" s="19"/>
      <c r="FAJ23" s="19"/>
      <c r="FAK23" s="19"/>
      <c r="FAL23" s="19"/>
      <c r="FAM23" s="19"/>
      <c r="FAN23" s="19"/>
      <c r="FAO23" s="19"/>
      <c r="FAP23" s="19"/>
      <c r="FAQ23" s="19"/>
      <c r="FAR23" s="19"/>
      <c r="FAS23" s="19"/>
      <c r="FAT23" s="19"/>
      <c r="FAU23" s="19"/>
      <c r="FAV23" s="19"/>
      <c r="FAW23" s="19"/>
      <c r="FAX23" s="19"/>
      <c r="FAY23" s="19"/>
      <c r="FAZ23" s="19"/>
      <c r="FBA23" s="19"/>
      <c r="FBB23" s="19"/>
      <c r="FBC23" s="19"/>
      <c r="FBD23" s="19"/>
      <c r="FBE23" s="19"/>
      <c r="FBF23" s="19"/>
      <c r="FBG23" s="19"/>
      <c r="FBH23" s="19"/>
      <c r="FBI23" s="19"/>
      <c r="FBJ23" s="19"/>
      <c r="FBK23" s="19"/>
      <c r="FBL23" s="19"/>
      <c r="FBM23" s="19"/>
      <c r="FBN23" s="19"/>
      <c r="FBO23" s="19"/>
      <c r="FBP23" s="19"/>
      <c r="FBQ23" s="19"/>
      <c r="FBR23" s="19"/>
      <c r="FBS23" s="19"/>
      <c r="FBT23" s="19"/>
      <c r="FBU23" s="19"/>
      <c r="FBV23" s="19"/>
      <c r="FBW23" s="19"/>
      <c r="FBX23" s="19"/>
      <c r="FBY23" s="19"/>
      <c r="FBZ23" s="19"/>
      <c r="FCA23" s="19"/>
      <c r="FCB23" s="19"/>
      <c r="FCC23" s="19"/>
      <c r="FCD23" s="19"/>
      <c r="FCE23" s="19"/>
      <c r="FCF23" s="19"/>
      <c r="FCG23" s="19"/>
      <c r="FCH23" s="19"/>
      <c r="FCI23" s="19"/>
      <c r="FCJ23" s="19"/>
      <c r="FCK23" s="19"/>
      <c r="FCL23" s="19"/>
      <c r="FCM23" s="19"/>
      <c r="FCN23" s="19"/>
      <c r="FCO23" s="19"/>
      <c r="FCP23" s="19"/>
      <c r="FCQ23" s="19"/>
      <c r="FCR23" s="19"/>
      <c r="FCS23" s="19"/>
      <c r="FCT23" s="19"/>
      <c r="FCU23" s="19"/>
      <c r="FCV23" s="19"/>
      <c r="FCW23" s="19"/>
      <c r="FCX23" s="19"/>
      <c r="FCY23" s="19"/>
      <c r="FCZ23" s="19"/>
      <c r="FDA23" s="19"/>
      <c r="FDB23" s="19"/>
      <c r="FDC23" s="19"/>
      <c r="FDD23" s="19"/>
      <c r="FDE23" s="19"/>
      <c r="FDF23" s="19"/>
      <c r="FDG23" s="19"/>
      <c r="FDH23" s="19"/>
      <c r="FDI23" s="19"/>
      <c r="FDJ23" s="19"/>
      <c r="FDK23" s="19"/>
      <c r="FDL23" s="19"/>
      <c r="FDM23" s="19"/>
      <c r="FDN23" s="19"/>
      <c r="FDO23" s="19"/>
      <c r="FDP23" s="19"/>
      <c r="FDQ23" s="19"/>
      <c r="FDR23" s="19"/>
      <c r="FDS23" s="19"/>
      <c r="FDT23" s="19"/>
      <c r="FDU23" s="19"/>
      <c r="FDV23" s="19"/>
      <c r="FDW23" s="19"/>
      <c r="FDX23" s="19"/>
      <c r="FDY23" s="19"/>
      <c r="FDZ23" s="19"/>
      <c r="FEA23" s="19"/>
      <c r="FEB23" s="19"/>
      <c r="FEC23" s="19"/>
      <c r="FED23" s="19"/>
      <c r="FEE23" s="19"/>
      <c r="FEF23" s="19"/>
      <c r="FEG23" s="19"/>
      <c r="FEH23" s="19"/>
      <c r="FEI23" s="19"/>
      <c r="FEJ23" s="19"/>
      <c r="FEK23" s="19"/>
      <c r="FEL23" s="19"/>
      <c r="FEM23" s="19"/>
      <c r="FEN23" s="19"/>
      <c r="FEO23" s="19"/>
      <c r="FEP23" s="19"/>
      <c r="FEQ23" s="19"/>
      <c r="FER23" s="19"/>
      <c r="FES23" s="19"/>
      <c r="FET23" s="19"/>
      <c r="FEU23" s="19"/>
      <c r="FEV23" s="19"/>
      <c r="FEW23" s="19"/>
      <c r="FEX23" s="19"/>
      <c r="FEY23" s="19"/>
      <c r="FEZ23" s="19"/>
      <c r="FFA23" s="19"/>
      <c r="FFB23" s="19"/>
      <c r="FFC23" s="19"/>
      <c r="FFD23" s="19"/>
      <c r="FFE23" s="19"/>
      <c r="FFF23" s="19"/>
      <c r="FFG23" s="19"/>
      <c r="FFH23" s="19"/>
      <c r="FFI23" s="19"/>
      <c r="FFJ23" s="19"/>
      <c r="FFK23" s="19"/>
      <c r="FFL23" s="19"/>
      <c r="FFM23" s="19"/>
      <c r="FFN23" s="19"/>
      <c r="FFO23" s="19"/>
      <c r="FFP23" s="19"/>
      <c r="FFQ23" s="19"/>
      <c r="FFR23" s="19"/>
      <c r="FFS23" s="19"/>
      <c r="FFT23" s="19"/>
      <c r="FFU23" s="19"/>
      <c r="FFV23" s="19"/>
      <c r="FFW23" s="19"/>
      <c r="FFX23" s="19"/>
      <c r="FFY23" s="19"/>
      <c r="FFZ23" s="19"/>
      <c r="FGA23" s="19"/>
      <c r="FGB23" s="19"/>
      <c r="FGC23" s="19"/>
      <c r="FGD23" s="19"/>
      <c r="FGE23" s="19"/>
      <c r="FGF23" s="19"/>
      <c r="FGG23" s="19"/>
      <c r="FGH23" s="19"/>
      <c r="FGI23" s="19"/>
      <c r="FGJ23" s="19"/>
      <c r="FGK23" s="19"/>
      <c r="FGL23" s="19"/>
      <c r="FGM23" s="19"/>
      <c r="FGN23" s="19"/>
      <c r="FGO23" s="19"/>
      <c r="FGP23" s="19"/>
      <c r="FGQ23" s="19"/>
      <c r="FGR23" s="19"/>
      <c r="FGS23" s="19"/>
      <c r="FGT23" s="19"/>
      <c r="FGU23" s="19"/>
      <c r="FGV23" s="19"/>
      <c r="FGW23" s="19"/>
      <c r="FGX23" s="19"/>
      <c r="FGY23" s="19"/>
      <c r="FGZ23" s="19"/>
      <c r="FHA23" s="19"/>
      <c r="FHB23" s="19"/>
      <c r="FHC23" s="19"/>
      <c r="FHD23" s="19"/>
      <c r="FHE23" s="19"/>
      <c r="FHF23" s="19"/>
      <c r="FHG23" s="19"/>
      <c r="FHH23" s="19"/>
      <c r="FHI23" s="19"/>
      <c r="FHJ23" s="19"/>
      <c r="FHK23" s="19"/>
      <c r="FHL23" s="19"/>
      <c r="FHM23" s="19"/>
      <c r="FHN23" s="19"/>
      <c r="FHO23" s="19"/>
      <c r="FHP23" s="19"/>
      <c r="FHQ23" s="19"/>
      <c r="FHR23" s="19"/>
      <c r="FHS23" s="19"/>
      <c r="FHT23" s="19"/>
      <c r="FHU23" s="19"/>
      <c r="FHV23" s="19"/>
      <c r="FHW23" s="19"/>
      <c r="FHX23" s="19"/>
      <c r="FHY23" s="19"/>
      <c r="FHZ23" s="19"/>
      <c r="FIA23" s="19"/>
      <c r="FIB23" s="19"/>
      <c r="FIC23" s="19"/>
      <c r="FID23" s="19"/>
      <c r="FIE23" s="19"/>
      <c r="FIF23" s="19"/>
      <c r="FIG23" s="19"/>
      <c r="FIH23" s="19"/>
      <c r="FII23" s="19"/>
      <c r="FIJ23" s="19"/>
      <c r="FIK23" s="19"/>
      <c r="FIL23" s="19"/>
      <c r="FIM23" s="19"/>
      <c r="FIN23" s="19"/>
      <c r="FIO23" s="19"/>
      <c r="FIP23" s="19"/>
      <c r="FIQ23" s="19"/>
      <c r="FIR23" s="19"/>
      <c r="FIS23" s="19"/>
      <c r="FIT23" s="19"/>
      <c r="FIU23" s="19"/>
      <c r="FIV23" s="19"/>
      <c r="FIW23" s="19"/>
      <c r="FIX23" s="19"/>
      <c r="FIY23" s="19"/>
      <c r="FIZ23" s="19"/>
      <c r="FJA23" s="19"/>
      <c r="FJB23" s="19"/>
      <c r="FJC23" s="19"/>
      <c r="FJD23" s="19"/>
      <c r="FJE23" s="19"/>
      <c r="FJF23" s="19"/>
      <c r="FJG23" s="19"/>
      <c r="FJH23" s="19"/>
      <c r="FJI23" s="19"/>
      <c r="FJJ23" s="19"/>
      <c r="FJK23" s="19"/>
      <c r="FJL23" s="19"/>
      <c r="FJM23" s="19"/>
      <c r="FJN23" s="19"/>
      <c r="FJO23" s="19"/>
      <c r="FJP23" s="19"/>
      <c r="FJQ23" s="19"/>
      <c r="FJR23" s="19"/>
      <c r="FJS23" s="19"/>
      <c r="FJT23" s="19"/>
      <c r="FJU23" s="19"/>
      <c r="FJV23" s="19"/>
      <c r="FJW23" s="19"/>
      <c r="FJX23" s="19"/>
      <c r="FJY23" s="19"/>
      <c r="FJZ23" s="19"/>
      <c r="FKA23" s="19"/>
      <c r="FKB23" s="19"/>
      <c r="FKC23" s="19"/>
      <c r="FKD23" s="19"/>
      <c r="FKE23" s="19"/>
      <c r="FKF23" s="19"/>
      <c r="FKG23" s="19"/>
      <c r="FKH23" s="19"/>
      <c r="FKI23" s="19"/>
      <c r="FKJ23" s="19"/>
      <c r="FKK23" s="19"/>
      <c r="FKL23" s="19"/>
      <c r="FKM23" s="19"/>
      <c r="FKN23" s="19"/>
      <c r="FKO23" s="19"/>
      <c r="FKP23" s="19"/>
      <c r="FKQ23" s="19"/>
      <c r="FKR23" s="19"/>
      <c r="FKS23" s="19"/>
      <c r="FKT23" s="19"/>
      <c r="FKU23" s="19"/>
      <c r="FKV23" s="19"/>
      <c r="FKW23" s="19"/>
      <c r="FKX23" s="19"/>
      <c r="FKY23" s="19"/>
      <c r="FKZ23" s="19"/>
      <c r="FLA23" s="19"/>
      <c r="FLB23" s="19"/>
      <c r="FLC23" s="19"/>
      <c r="FLD23" s="19"/>
      <c r="FLE23" s="19"/>
      <c r="FLF23" s="19"/>
      <c r="FLG23" s="19"/>
      <c r="FLH23" s="19"/>
      <c r="FLI23" s="19"/>
      <c r="FLJ23" s="19"/>
      <c r="FLK23" s="19"/>
      <c r="FLL23" s="19"/>
      <c r="FLM23" s="19"/>
      <c r="FLN23" s="19"/>
      <c r="FLO23" s="19"/>
      <c r="FLP23" s="19"/>
      <c r="FLQ23" s="19"/>
      <c r="FLR23" s="19"/>
      <c r="FLS23" s="19"/>
      <c r="FLT23" s="19"/>
      <c r="FLU23" s="19"/>
      <c r="FLV23" s="19"/>
      <c r="FLW23" s="19"/>
      <c r="FLX23" s="19"/>
      <c r="FLY23" s="19"/>
      <c r="FLZ23" s="19"/>
      <c r="FMA23" s="19"/>
      <c r="FMB23" s="19"/>
      <c r="FMC23" s="19"/>
      <c r="FMD23" s="19"/>
      <c r="FME23" s="19"/>
      <c r="FMF23" s="19"/>
      <c r="FMG23" s="19"/>
      <c r="FMH23" s="19"/>
      <c r="FMI23" s="19"/>
      <c r="FMJ23" s="19"/>
      <c r="FMK23" s="19"/>
      <c r="FML23" s="19"/>
      <c r="FMM23" s="19"/>
      <c r="FMN23" s="19"/>
      <c r="FMO23" s="19"/>
      <c r="FMP23" s="19"/>
      <c r="FMQ23" s="19"/>
      <c r="FMR23" s="19"/>
      <c r="FMS23" s="19"/>
      <c r="FMT23" s="19"/>
      <c r="FMU23" s="19"/>
      <c r="FMV23" s="19"/>
      <c r="FMW23" s="19"/>
      <c r="FMX23" s="19"/>
      <c r="FMY23" s="19"/>
      <c r="FMZ23" s="19"/>
      <c r="FNA23" s="19"/>
      <c r="FNB23" s="19"/>
      <c r="FNC23" s="19"/>
      <c r="FND23" s="19"/>
      <c r="FNE23" s="19"/>
      <c r="FNF23" s="19"/>
      <c r="FNG23" s="19"/>
      <c r="FNH23" s="19"/>
      <c r="FNI23" s="19"/>
      <c r="FNJ23" s="19"/>
      <c r="FNK23" s="19"/>
      <c r="FNL23" s="19"/>
      <c r="FNM23" s="19"/>
      <c r="FNN23" s="19"/>
      <c r="FNO23" s="19"/>
      <c r="FNP23" s="19"/>
      <c r="FNQ23" s="19"/>
      <c r="FNR23" s="19"/>
      <c r="FNS23" s="19"/>
      <c r="FNT23" s="19"/>
      <c r="FNU23" s="19"/>
      <c r="FNV23" s="19"/>
      <c r="FNW23" s="19"/>
      <c r="FNX23" s="19"/>
      <c r="FNY23" s="19"/>
      <c r="FNZ23" s="19"/>
      <c r="FOA23" s="19"/>
      <c r="FOB23" s="19"/>
      <c r="FOC23" s="19"/>
      <c r="FOD23" s="19"/>
      <c r="FOE23" s="19"/>
      <c r="FOF23" s="19"/>
      <c r="FOG23" s="19"/>
      <c r="FOH23" s="19"/>
      <c r="FOI23" s="19"/>
      <c r="FOJ23" s="19"/>
      <c r="FOK23" s="19"/>
      <c r="FOL23" s="19"/>
      <c r="FOM23" s="19"/>
      <c r="FON23" s="19"/>
      <c r="FOO23" s="19"/>
      <c r="FOP23" s="19"/>
      <c r="FOQ23" s="19"/>
      <c r="FOR23" s="19"/>
      <c r="FOS23" s="19"/>
      <c r="FOT23" s="19"/>
      <c r="FOU23" s="19"/>
      <c r="FOV23" s="19"/>
      <c r="FOW23" s="19"/>
      <c r="FOX23" s="19"/>
      <c r="FOY23" s="19"/>
      <c r="FOZ23" s="19"/>
      <c r="FPA23" s="19"/>
      <c r="FPB23" s="19"/>
      <c r="FPC23" s="19"/>
      <c r="FPD23" s="19"/>
      <c r="FPE23" s="19"/>
      <c r="FPF23" s="19"/>
      <c r="FPG23" s="19"/>
      <c r="FPH23" s="19"/>
      <c r="FPI23" s="19"/>
      <c r="FPJ23" s="19"/>
      <c r="FPK23" s="19"/>
      <c r="FPL23" s="19"/>
      <c r="FPM23" s="19"/>
      <c r="FPN23" s="19"/>
      <c r="FPO23" s="19"/>
      <c r="FPP23" s="19"/>
      <c r="FPQ23" s="19"/>
      <c r="FPR23" s="19"/>
      <c r="FPS23" s="19"/>
      <c r="FPT23" s="19"/>
      <c r="FPU23" s="19"/>
      <c r="FPV23" s="19"/>
      <c r="FPW23" s="19"/>
      <c r="FPX23" s="19"/>
      <c r="FPY23" s="19"/>
      <c r="FPZ23" s="19"/>
      <c r="FQA23" s="19"/>
      <c r="FQB23" s="19"/>
      <c r="FQC23" s="19"/>
      <c r="FQD23" s="19"/>
      <c r="FQE23" s="19"/>
      <c r="FQF23" s="19"/>
      <c r="FQG23" s="19"/>
      <c r="FQH23" s="19"/>
      <c r="FQI23" s="19"/>
      <c r="FQJ23" s="19"/>
      <c r="FQK23" s="19"/>
      <c r="FQL23" s="19"/>
      <c r="FQM23" s="19"/>
      <c r="FQN23" s="19"/>
      <c r="FQO23" s="19"/>
      <c r="FQP23" s="19"/>
      <c r="FQQ23" s="19"/>
      <c r="FQR23" s="19"/>
      <c r="FQS23" s="19"/>
      <c r="FQT23" s="19"/>
      <c r="FQU23" s="19"/>
      <c r="FQV23" s="19"/>
      <c r="FQW23" s="19"/>
      <c r="FQX23" s="19"/>
      <c r="FQY23" s="19"/>
      <c r="FQZ23" s="19"/>
      <c r="FRA23" s="19"/>
      <c r="FRB23" s="19"/>
      <c r="FRC23" s="19"/>
      <c r="FRD23" s="19"/>
      <c r="FRE23" s="19"/>
      <c r="FRF23" s="19"/>
      <c r="FRG23" s="19"/>
      <c r="FRH23" s="19"/>
      <c r="FRI23" s="19"/>
      <c r="FRJ23" s="19"/>
      <c r="FRK23" s="19"/>
      <c r="FRL23" s="19"/>
      <c r="FRM23" s="19"/>
      <c r="FRN23" s="19"/>
      <c r="FRO23" s="19"/>
      <c r="FRP23" s="19"/>
      <c r="FRQ23" s="19"/>
      <c r="FRR23" s="19"/>
      <c r="FRS23" s="19"/>
      <c r="FRT23" s="19"/>
      <c r="FRU23" s="19"/>
      <c r="FRV23" s="19"/>
      <c r="FRW23" s="19"/>
      <c r="FRX23" s="19"/>
      <c r="FRY23" s="19"/>
      <c r="FRZ23" s="19"/>
      <c r="FSA23" s="19"/>
      <c r="FSB23" s="19"/>
      <c r="FSC23" s="19"/>
      <c r="FSD23" s="19"/>
      <c r="FSE23" s="19"/>
      <c r="FSF23" s="19"/>
      <c r="FSG23" s="19"/>
      <c r="FSH23" s="19"/>
      <c r="FSI23" s="19"/>
      <c r="FSJ23" s="19"/>
      <c r="FSK23" s="19"/>
      <c r="FSL23" s="19"/>
      <c r="FSM23" s="19"/>
      <c r="FSN23" s="19"/>
      <c r="FSO23" s="19"/>
      <c r="FSP23" s="19"/>
      <c r="FSQ23" s="19"/>
      <c r="FSR23" s="19"/>
      <c r="FSS23" s="19"/>
      <c r="FST23" s="19"/>
      <c r="FSU23" s="19"/>
      <c r="FSV23" s="19"/>
      <c r="FSW23" s="19"/>
      <c r="FSX23" s="19"/>
      <c r="FSY23" s="19"/>
      <c r="FSZ23" s="19"/>
      <c r="FTA23" s="19"/>
      <c r="FTB23" s="19"/>
      <c r="FTC23" s="19"/>
      <c r="FTD23" s="19"/>
      <c r="FTE23" s="19"/>
      <c r="FTF23" s="19"/>
      <c r="FTG23" s="19"/>
      <c r="FTH23" s="19"/>
      <c r="FTI23" s="19"/>
      <c r="FTJ23" s="19"/>
      <c r="FTK23" s="19"/>
      <c r="FTL23" s="19"/>
      <c r="FTM23" s="19"/>
      <c r="FTN23" s="19"/>
      <c r="FTO23" s="19"/>
      <c r="FTP23" s="19"/>
      <c r="FTQ23" s="19"/>
      <c r="FTR23" s="19"/>
      <c r="FTS23" s="19"/>
      <c r="FTT23" s="19"/>
      <c r="FTU23" s="19"/>
      <c r="FTV23" s="19"/>
      <c r="FTW23" s="19"/>
      <c r="FTX23" s="19"/>
      <c r="FTY23" s="19"/>
      <c r="FTZ23" s="19"/>
      <c r="FUA23" s="19"/>
      <c r="FUB23" s="19"/>
      <c r="FUC23" s="19"/>
      <c r="FUD23" s="19"/>
      <c r="FUE23" s="19"/>
      <c r="FUF23" s="19"/>
      <c r="FUG23" s="19"/>
      <c r="FUH23" s="19"/>
      <c r="FUI23" s="19"/>
      <c r="FUJ23" s="19"/>
      <c r="FUK23" s="19"/>
      <c r="FUL23" s="19"/>
      <c r="FUM23" s="19"/>
      <c r="FUN23" s="19"/>
      <c r="FUO23" s="19"/>
      <c r="FUP23" s="19"/>
      <c r="FUQ23" s="19"/>
      <c r="FUR23" s="19"/>
      <c r="FUS23" s="19"/>
      <c r="FUT23" s="19"/>
      <c r="FUU23" s="19"/>
      <c r="FUV23" s="19"/>
      <c r="FUW23" s="19"/>
      <c r="FUX23" s="19"/>
      <c r="FUY23" s="19"/>
      <c r="FUZ23" s="19"/>
      <c r="FVA23" s="19"/>
      <c r="FVB23" s="19"/>
      <c r="FVC23" s="19"/>
      <c r="FVD23" s="19"/>
      <c r="FVE23" s="19"/>
      <c r="FVF23" s="19"/>
      <c r="FVG23" s="19"/>
      <c r="FVH23" s="19"/>
      <c r="FVI23" s="19"/>
      <c r="FVJ23" s="19"/>
      <c r="FVK23" s="19"/>
      <c r="FVL23" s="19"/>
      <c r="FVM23" s="19"/>
      <c r="FVN23" s="19"/>
      <c r="FVO23" s="19"/>
      <c r="FVP23" s="19"/>
      <c r="FVQ23" s="19"/>
      <c r="FVR23" s="19"/>
      <c r="FVS23" s="19"/>
      <c r="FVT23" s="19"/>
      <c r="FVU23" s="19"/>
      <c r="FVV23" s="19"/>
      <c r="FVW23" s="19"/>
      <c r="FVX23" s="19"/>
      <c r="FVY23" s="19"/>
      <c r="FVZ23" s="19"/>
      <c r="FWA23" s="19"/>
      <c r="FWB23" s="19"/>
      <c r="FWC23" s="19"/>
      <c r="FWD23" s="19"/>
      <c r="FWE23" s="19"/>
      <c r="FWF23" s="19"/>
      <c r="FWG23" s="19"/>
      <c r="FWH23" s="19"/>
      <c r="FWI23" s="19"/>
      <c r="FWJ23" s="19"/>
      <c r="FWK23" s="19"/>
      <c r="FWL23" s="19"/>
      <c r="FWM23" s="19"/>
      <c r="FWN23" s="19"/>
      <c r="FWO23" s="19"/>
      <c r="FWP23" s="19"/>
      <c r="FWQ23" s="19"/>
      <c r="FWR23" s="19"/>
      <c r="FWS23" s="19"/>
      <c r="FWT23" s="19"/>
      <c r="FWU23" s="19"/>
      <c r="FWV23" s="19"/>
      <c r="FWW23" s="19"/>
      <c r="FWX23" s="19"/>
      <c r="FWY23" s="19"/>
      <c r="FWZ23" s="19"/>
      <c r="FXA23" s="19"/>
      <c r="FXB23" s="19"/>
      <c r="FXC23" s="19"/>
      <c r="FXD23" s="19"/>
      <c r="FXE23" s="19"/>
      <c r="FXF23" s="19"/>
      <c r="FXG23" s="19"/>
      <c r="FXH23" s="19"/>
      <c r="FXI23" s="19"/>
      <c r="FXJ23" s="19"/>
      <c r="FXK23" s="19"/>
      <c r="FXL23" s="19"/>
      <c r="FXM23" s="19"/>
      <c r="FXN23" s="19"/>
      <c r="FXO23" s="19"/>
      <c r="FXP23" s="19"/>
      <c r="FXQ23" s="19"/>
      <c r="FXR23" s="19"/>
      <c r="FXS23" s="19"/>
      <c r="FXT23" s="19"/>
      <c r="FXU23" s="19"/>
      <c r="FXV23" s="19"/>
      <c r="FXW23" s="19"/>
      <c r="FXX23" s="19"/>
      <c r="FXY23" s="19"/>
      <c r="FXZ23" s="19"/>
      <c r="FYA23" s="19"/>
      <c r="FYB23" s="19"/>
      <c r="FYC23" s="19"/>
      <c r="FYD23" s="19"/>
      <c r="FYE23" s="19"/>
      <c r="FYF23" s="19"/>
      <c r="FYG23" s="19"/>
      <c r="FYH23" s="19"/>
      <c r="FYI23" s="19"/>
      <c r="FYJ23" s="19"/>
      <c r="FYK23" s="19"/>
      <c r="FYL23" s="19"/>
      <c r="FYM23" s="19"/>
      <c r="FYN23" s="19"/>
      <c r="FYO23" s="19"/>
      <c r="FYP23" s="19"/>
      <c r="FYQ23" s="19"/>
      <c r="FYR23" s="19"/>
      <c r="FYS23" s="19"/>
      <c r="FYT23" s="19"/>
      <c r="FYU23" s="19"/>
      <c r="FYV23" s="19"/>
      <c r="FYW23" s="19"/>
      <c r="FYX23" s="19"/>
      <c r="FYY23" s="19"/>
      <c r="FYZ23" s="19"/>
      <c r="FZA23" s="19"/>
      <c r="FZB23" s="19"/>
      <c r="FZC23" s="19"/>
      <c r="FZD23" s="19"/>
      <c r="FZE23" s="19"/>
      <c r="FZF23" s="19"/>
      <c r="FZG23" s="19"/>
      <c r="FZH23" s="19"/>
      <c r="FZI23" s="19"/>
      <c r="FZJ23" s="19"/>
      <c r="FZK23" s="19"/>
      <c r="FZL23" s="19"/>
      <c r="FZM23" s="19"/>
      <c r="FZN23" s="19"/>
      <c r="FZO23" s="19"/>
      <c r="FZP23" s="19"/>
      <c r="FZQ23" s="19"/>
      <c r="FZR23" s="19"/>
      <c r="FZS23" s="19"/>
      <c r="FZT23" s="19"/>
      <c r="FZU23" s="19"/>
      <c r="FZV23" s="19"/>
      <c r="FZW23" s="19"/>
      <c r="FZX23" s="19"/>
      <c r="FZY23" s="19"/>
      <c r="FZZ23" s="19"/>
      <c r="GAA23" s="19"/>
      <c r="GAB23" s="19"/>
      <c r="GAC23" s="19"/>
      <c r="GAD23" s="19"/>
      <c r="GAE23" s="19"/>
      <c r="GAF23" s="19"/>
      <c r="GAG23" s="19"/>
      <c r="GAH23" s="19"/>
      <c r="GAI23" s="19"/>
      <c r="GAJ23" s="19"/>
      <c r="GAK23" s="19"/>
      <c r="GAL23" s="19"/>
      <c r="GAM23" s="19"/>
      <c r="GAN23" s="19"/>
      <c r="GAO23" s="19"/>
      <c r="GAP23" s="19"/>
      <c r="GAQ23" s="19"/>
      <c r="GAR23" s="19"/>
      <c r="GAS23" s="19"/>
      <c r="GAT23" s="19"/>
      <c r="GAU23" s="19"/>
      <c r="GAV23" s="19"/>
      <c r="GAW23" s="19"/>
      <c r="GAX23" s="19"/>
      <c r="GAY23" s="19"/>
      <c r="GAZ23" s="19"/>
      <c r="GBA23" s="19"/>
      <c r="GBB23" s="19"/>
      <c r="GBC23" s="19"/>
      <c r="GBD23" s="19"/>
      <c r="GBE23" s="19"/>
      <c r="GBF23" s="19"/>
      <c r="GBG23" s="19"/>
      <c r="GBH23" s="19"/>
      <c r="GBI23" s="19"/>
      <c r="GBJ23" s="19"/>
      <c r="GBK23" s="19"/>
      <c r="GBL23" s="19"/>
      <c r="GBM23" s="19"/>
      <c r="GBN23" s="19"/>
      <c r="GBO23" s="19"/>
      <c r="GBP23" s="19"/>
      <c r="GBQ23" s="19"/>
      <c r="GBR23" s="19"/>
      <c r="GBS23" s="19"/>
      <c r="GBT23" s="19"/>
      <c r="GBU23" s="19"/>
      <c r="GBV23" s="19"/>
      <c r="GBW23" s="19"/>
      <c r="GBX23" s="19"/>
      <c r="GBY23" s="19"/>
      <c r="GBZ23" s="19"/>
      <c r="GCA23" s="19"/>
      <c r="GCB23" s="19"/>
      <c r="GCC23" s="19"/>
      <c r="GCD23" s="19"/>
      <c r="GCE23" s="19"/>
      <c r="GCF23" s="19"/>
      <c r="GCG23" s="19"/>
      <c r="GCH23" s="19"/>
      <c r="GCI23" s="19"/>
      <c r="GCJ23" s="19"/>
      <c r="GCK23" s="19"/>
      <c r="GCL23" s="19"/>
      <c r="GCM23" s="19"/>
      <c r="GCN23" s="19"/>
      <c r="GCO23" s="19"/>
      <c r="GCP23" s="19"/>
      <c r="GCQ23" s="19"/>
      <c r="GCR23" s="19"/>
      <c r="GCS23" s="19"/>
      <c r="GCT23" s="19"/>
      <c r="GCU23" s="19"/>
      <c r="GCV23" s="19"/>
      <c r="GCW23" s="19"/>
      <c r="GCX23" s="19"/>
      <c r="GCY23" s="19"/>
      <c r="GCZ23" s="19"/>
      <c r="GDA23" s="19"/>
      <c r="GDB23" s="19"/>
      <c r="GDC23" s="19"/>
      <c r="GDD23" s="19"/>
      <c r="GDE23" s="19"/>
      <c r="GDF23" s="19"/>
      <c r="GDG23" s="19"/>
      <c r="GDH23" s="19"/>
      <c r="GDI23" s="19"/>
      <c r="GDJ23" s="19"/>
      <c r="GDK23" s="19"/>
      <c r="GDL23" s="19"/>
      <c r="GDM23" s="19"/>
      <c r="GDN23" s="19"/>
      <c r="GDO23" s="19"/>
      <c r="GDP23" s="19"/>
      <c r="GDQ23" s="19"/>
      <c r="GDR23" s="19"/>
      <c r="GDS23" s="19"/>
      <c r="GDT23" s="19"/>
      <c r="GDU23" s="19"/>
      <c r="GDV23" s="19"/>
      <c r="GDW23" s="19"/>
      <c r="GDX23" s="19"/>
      <c r="GDY23" s="19"/>
      <c r="GDZ23" s="19"/>
      <c r="GEA23" s="19"/>
      <c r="GEB23" s="19"/>
      <c r="GEC23" s="19"/>
      <c r="GED23" s="19"/>
      <c r="GEE23" s="19"/>
      <c r="GEF23" s="19"/>
      <c r="GEG23" s="19"/>
      <c r="GEH23" s="19"/>
      <c r="GEI23" s="19"/>
      <c r="GEJ23" s="19"/>
      <c r="GEK23" s="19"/>
      <c r="GEL23" s="19"/>
      <c r="GEM23" s="19"/>
      <c r="GEN23" s="19"/>
      <c r="GEO23" s="19"/>
      <c r="GEP23" s="19"/>
      <c r="GEQ23" s="19"/>
      <c r="GER23" s="19"/>
      <c r="GES23" s="19"/>
      <c r="GET23" s="19"/>
      <c r="GEU23" s="19"/>
      <c r="GEV23" s="19"/>
      <c r="GEW23" s="19"/>
      <c r="GEX23" s="19"/>
      <c r="GEY23" s="19"/>
      <c r="GEZ23" s="19"/>
      <c r="GFA23" s="19"/>
      <c r="GFB23" s="19"/>
      <c r="GFC23" s="19"/>
      <c r="GFD23" s="19"/>
      <c r="GFE23" s="19"/>
      <c r="GFF23" s="19"/>
      <c r="GFG23" s="19"/>
      <c r="GFH23" s="19"/>
      <c r="GFI23" s="19"/>
      <c r="GFJ23" s="19"/>
      <c r="GFK23" s="19"/>
      <c r="GFL23" s="19"/>
      <c r="GFM23" s="19"/>
      <c r="GFN23" s="19"/>
      <c r="GFO23" s="19"/>
      <c r="GFP23" s="19"/>
      <c r="GFQ23" s="19"/>
      <c r="GFR23" s="19"/>
      <c r="GFS23" s="19"/>
      <c r="GFT23" s="19"/>
      <c r="GFU23" s="19"/>
      <c r="GFV23" s="19"/>
      <c r="GFW23" s="19"/>
      <c r="GFX23" s="19"/>
      <c r="GFY23" s="19"/>
      <c r="GFZ23" s="19"/>
      <c r="GGA23" s="19"/>
      <c r="GGB23" s="19"/>
      <c r="GGC23" s="19"/>
      <c r="GGD23" s="19"/>
      <c r="GGE23" s="19"/>
      <c r="GGF23" s="19"/>
      <c r="GGG23" s="19"/>
      <c r="GGH23" s="19"/>
      <c r="GGI23" s="19"/>
      <c r="GGJ23" s="19"/>
      <c r="GGK23" s="19"/>
      <c r="GGL23" s="19"/>
      <c r="GGM23" s="19"/>
      <c r="GGN23" s="19"/>
      <c r="GGO23" s="19"/>
      <c r="GGP23" s="19"/>
      <c r="GGQ23" s="19"/>
      <c r="GGR23" s="19"/>
      <c r="GGS23" s="19"/>
      <c r="GGT23" s="19"/>
      <c r="GGU23" s="19"/>
      <c r="GGV23" s="19"/>
      <c r="GGW23" s="19"/>
      <c r="GGX23" s="19"/>
      <c r="GGY23" s="19"/>
      <c r="GGZ23" s="19"/>
      <c r="GHA23" s="19"/>
      <c r="GHB23" s="19"/>
      <c r="GHC23" s="19"/>
      <c r="GHD23" s="19"/>
      <c r="GHE23" s="19"/>
      <c r="GHF23" s="19"/>
      <c r="GHG23" s="19"/>
      <c r="GHH23" s="19"/>
      <c r="GHI23" s="19"/>
      <c r="GHJ23" s="19"/>
      <c r="GHK23" s="19"/>
      <c r="GHL23" s="19"/>
      <c r="GHM23" s="19"/>
      <c r="GHN23" s="19"/>
      <c r="GHO23" s="19"/>
      <c r="GHP23" s="19"/>
      <c r="GHQ23" s="19"/>
      <c r="GHR23" s="19"/>
      <c r="GHS23" s="19"/>
      <c r="GHT23" s="19"/>
      <c r="GHU23" s="19"/>
      <c r="GHV23" s="19"/>
      <c r="GHW23" s="19"/>
      <c r="GHX23" s="19"/>
      <c r="GHY23" s="19"/>
      <c r="GHZ23" s="19"/>
      <c r="GIA23" s="19"/>
      <c r="GIB23" s="19"/>
      <c r="GIC23" s="19"/>
      <c r="GID23" s="19"/>
      <c r="GIE23" s="19"/>
      <c r="GIF23" s="19"/>
      <c r="GIG23" s="19"/>
      <c r="GIH23" s="19"/>
      <c r="GII23" s="19"/>
      <c r="GIJ23" s="19"/>
      <c r="GIK23" s="19"/>
      <c r="GIL23" s="19"/>
      <c r="GIM23" s="19"/>
      <c r="GIN23" s="19"/>
      <c r="GIO23" s="19"/>
      <c r="GIP23" s="19"/>
      <c r="GIQ23" s="19"/>
      <c r="GIR23" s="19"/>
      <c r="GIS23" s="19"/>
      <c r="GIT23" s="19"/>
      <c r="GIU23" s="19"/>
      <c r="GIV23" s="19"/>
      <c r="GIW23" s="19"/>
      <c r="GIX23" s="19"/>
      <c r="GIY23" s="19"/>
      <c r="GIZ23" s="19"/>
      <c r="GJA23" s="19"/>
      <c r="GJB23" s="19"/>
      <c r="GJC23" s="19"/>
      <c r="GJD23" s="19"/>
      <c r="GJE23" s="19"/>
      <c r="GJF23" s="19"/>
      <c r="GJG23" s="19"/>
      <c r="GJH23" s="19"/>
      <c r="GJI23" s="19"/>
      <c r="GJJ23" s="19"/>
      <c r="GJK23" s="19"/>
      <c r="GJL23" s="19"/>
      <c r="GJM23" s="19"/>
      <c r="GJN23" s="19"/>
      <c r="GJO23" s="19"/>
      <c r="GJP23" s="19"/>
      <c r="GJQ23" s="19"/>
      <c r="GJR23" s="19"/>
      <c r="GJS23" s="19"/>
      <c r="GJT23" s="19"/>
      <c r="GJU23" s="19"/>
      <c r="GJV23" s="19"/>
      <c r="GJW23" s="19"/>
      <c r="GJX23" s="19"/>
      <c r="GJY23" s="19"/>
      <c r="GJZ23" s="19"/>
      <c r="GKA23" s="19"/>
      <c r="GKB23" s="19"/>
      <c r="GKC23" s="19"/>
      <c r="GKD23" s="19"/>
      <c r="GKE23" s="19"/>
      <c r="GKF23" s="19"/>
      <c r="GKG23" s="19"/>
      <c r="GKH23" s="19"/>
      <c r="GKI23" s="19"/>
      <c r="GKJ23" s="19"/>
      <c r="GKK23" s="19"/>
      <c r="GKL23" s="19"/>
      <c r="GKM23" s="19"/>
      <c r="GKN23" s="19"/>
      <c r="GKO23" s="19"/>
      <c r="GKP23" s="19"/>
      <c r="GKQ23" s="19"/>
      <c r="GKR23" s="19"/>
      <c r="GKS23" s="19"/>
      <c r="GKT23" s="19"/>
      <c r="GKU23" s="19"/>
      <c r="GKV23" s="19"/>
      <c r="GKW23" s="19"/>
      <c r="GKX23" s="19"/>
      <c r="GKY23" s="19"/>
      <c r="GKZ23" s="19"/>
      <c r="GLA23" s="19"/>
      <c r="GLB23" s="19"/>
      <c r="GLC23" s="19"/>
      <c r="GLD23" s="19"/>
      <c r="GLE23" s="19"/>
      <c r="GLF23" s="19"/>
      <c r="GLG23" s="19"/>
      <c r="GLH23" s="19"/>
      <c r="GLI23" s="19"/>
      <c r="GLJ23" s="19"/>
      <c r="GLK23" s="19"/>
      <c r="GLL23" s="19"/>
      <c r="GLM23" s="19"/>
      <c r="GLN23" s="19"/>
      <c r="GLO23" s="19"/>
      <c r="GLP23" s="19"/>
      <c r="GLQ23" s="19"/>
      <c r="GLR23" s="19"/>
      <c r="GLS23" s="19"/>
      <c r="GLT23" s="19"/>
      <c r="GLU23" s="19"/>
      <c r="GLV23" s="19"/>
      <c r="GLW23" s="19"/>
      <c r="GLX23" s="19"/>
      <c r="GLY23" s="19"/>
      <c r="GLZ23" s="19"/>
      <c r="GMA23" s="19"/>
      <c r="GMB23" s="19"/>
      <c r="GMC23" s="19"/>
      <c r="GMD23" s="19"/>
      <c r="GME23" s="19"/>
      <c r="GMF23" s="19"/>
      <c r="GMG23" s="19"/>
      <c r="GMH23" s="19"/>
      <c r="GMI23" s="19"/>
      <c r="GMJ23" s="19"/>
      <c r="GMK23" s="19"/>
      <c r="GML23" s="19"/>
      <c r="GMM23" s="19"/>
      <c r="GMN23" s="19"/>
      <c r="GMO23" s="19"/>
      <c r="GMP23" s="19"/>
      <c r="GMQ23" s="19"/>
      <c r="GMR23" s="19"/>
      <c r="GMS23" s="19"/>
      <c r="GMT23" s="19"/>
      <c r="GMU23" s="19"/>
      <c r="GMV23" s="19"/>
      <c r="GMW23" s="19"/>
      <c r="GMX23" s="19"/>
      <c r="GMY23" s="19"/>
      <c r="GMZ23" s="19"/>
      <c r="GNA23" s="19"/>
      <c r="GNB23" s="19"/>
      <c r="GNC23" s="19"/>
      <c r="GND23" s="19"/>
      <c r="GNE23" s="19"/>
      <c r="GNF23" s="19"/>
      <c r="GNG23" s="19"/>
      <c r="GNH23" s="19"/>
      <c r="GNI23" s="19"/>
      <c r="GNJ23" s="19"/>
      <c r="GNK23" s="19"/>
      <c r="GNL23" s="19"/>
      <c r="GNM23" s="19"/>
      <c r="GNN23" s="19"/>
      <c r="GNO23" s="19"/>
      <c r="GNP23" s="19"/>
      <c r="GNQ23" s="19"/>
      <c r="GNR23" s="19"/>
      <c r="GNS23" s="19"/>
      <c r="GNT23" s="19"/>
      <c r="GNU23" s="19"/>
      <c r="GNV23" s="19"/>
      <c r="GNW23" s="19"/>
      <c r="GNX23" s="19"/>
      <c r="GNY23" s="19"/>
      <c r="GNZ23" s="19"/>
      <c r="GOA23" s="19"/>
      <c r="GOB23" s="19"/>
      <c r="GOC23" s="19"/>
      <c r="GOD23" s="19"/>
      <c r="GOE23" s="19"/>
      <c r="GOF23" s="19"/>
      <c r="GOG23" s="19"/>
      <c r="GOH23" s="19"/>
      <c r="GOI23" s="19"/>
      <c r="GOJ23" s="19"/>
      <c r="GOK23" s="19"/>
      <c r="GOL23" s="19"/>
      <c r="GOM23" s="19"/>
      <c r="GON23" s="19"/>
      <c r="GOO23" s="19"/>
      <c r="GOP23" s="19"/>
      <c r="GOQ23" s="19"/>
      <c r="GOR23" s="19"/>
      <c r="GOS23" s="19"/>
      <c r="GOT23" s="19"/>
      <c r="GOU23" s="19"/>
      <c r="GOV23" s="19"/>
      <c r="GOW23" s="19"/>
      <c r="GOX23" s="19"/>
      <c r="GOY23" s="19"/>
      <c r="GOZ23" s="19"/>
      <c r="GPA23" s="19"/>
      <c r="GPB23" s="19"/>
      <c r="GPC23" s="19"/>
      <c r="GPD23" s="19"/>
      <c r="GPE23" s="19"/>
      <c r="GPF23" s="19"/>
      <c r="GPG23" s="19"/>
      <c r="GPH23" s="19"/>
      <c r="GPI23" s="19"/>
      <c r="GPJ23" s="19"/>
      <c r="GPK23" s="19"/>
      <c r="GPL23" s="19"/>
      <c r="GPM23" s="19"/>
      <c r="GPN23" s="19"/>
      <c r="GPO23" s="19"/>
      <c r="GPP23" s="19"/>
      <c r="GPQ23" s="19"/>
      <c r="GPR23" s="19"/>
      <c r="GPS23" s="19"/>
      <c r="GPT23" s="19"/>
      <c r="GPU23" s="19"/>
      <c r="GPV23" s="19"/>
      <c r="GPW23" s="19"/>
      <c r="GPX23" s="19"/>
      <c r="GPY23" s="19"/>
      <c r="GPZ23" s="19"/>
      <c r="GQA23" s="19"/>
      <c r="GQB23" s="19"/>
      <c r="GQC23" s="19"/>
      <c r="GQD23" s="19"/>
      <c r="GQE23" s="19"/>
      <c r="GQF23" s="19"/>
      <c r="GQG23" s="19"/>
      <c r="GQH23" s="19"/>
      <c r="GQI23" s="19"/>
      <c r="GQJ23" s="19"/>
      <c r="GQK23" s="19"/>
      <c r="GQL23" s="19"/>
      <c r="GQM23" s="19"/>
      <c r="GQN23" s="19"/>
      <c r="GQO23" s="19"/>
      <c r="GQP23" s="19"/>
      <c r="GQQ23" s="19"/>
      <c r="GQR23" s="19"/>
      <c r="GQS23" s="19"/>
      <c r="GQT23" s="19"/>
      <c r="GQU23" s="19"/>
      <c r="GQV23" s="19"/>
      <c r="GQW23" s="19"/>
      <c r="GQX23" s="19"/>
      <c r="GQY23" s="19"/>
      <c r="GQZ23" s="19"/>
      <c r="GRA23" s="19"/>
      <c r="GRB23" s="19"/>
      <c r="GRC23" s="19"/>
      <c r="GRD23" s="19"/>
      <c r="GRE23" s="19"/>
      <c r="GRF23" s="19"/>
      <c r="GRG23" s="19"/>
      <c r="GRH23" s="19"/>
      <c r="GRI23" s="19"/>
      <c r="GRJ23" s="19"/>
      <c r="GRK23" s="19"/>
      <c r="GRL23" s="19"/>
      <c r="GRM23" s="19"/>
      <c r="GRN23" s="19"/>
      <c r="GRO23" s="19"/>
      <c r="GRP23" s="19"/>
      <c r="GRQ23" s="19"/>
      <c r="GRR23" s="19"/>
      <c r="GRS23" s="19"/>
      <c r="GRT23" s="19"/>
      <c r="GRU23" s="19"/>
      <c r="GRV23" s="19"/>
      <c r="GRW23" s="19"/>
      <c r="GRX23" s="19"/>
      <c r="GRY23" s="19"/>
      <c r="GRZ23" s="19"/>
      <c r="GSA23" s="19"/>
      <c r="GSB23" s="19"/>
      <c r="GSC23" s="19"/>
      <c r="GSD23" s="19"/>
      <c r="GSE23" s="19"/>
      <c r="GSF23" s="19"/>
      <c r="GSG23" s="19"/>
      <c r="GSH23" s="19"/>
      <c r="GSI23" s="19"/>
      <c r="GSJ23" s="19"/>
      <c r="GSK23" s="19"/>
      <c r="GSL23" s="19"/>
      <c r="GSM23" s="19"/>
      <c r="GSN23" s="19"/>
      <c r="GSO23" s="19"/>
      <c r="GSP23" s="19"/>
      <c r="GSQ23" s="19"/>
      <c r="GSR23" s="19"/>
      <c r="GSS23" s="19"/>
      <c r="GST23" s="19"/>
      <c r="GSU23" s="19"/>
      <c r="GSV23" s="19"/>
      <c r="GSW23" s="19"/>
      <c r="GSX23" s="19"/>
      <c r="GSY23" s="19"/>
      <c r="GSZ23" s="19"/>
      <c r="GTA23" s="19"/>
      <c r="GTB23" s="19"/>
      <c r="GTC23" s="19"/>
      <c r="GTD23" s="19"/>
      <c r="GTE23" s="19"/>
      <c r="GTF23" s="19"/>
      <c r="GTG23" s="19"/>
      <c r="GTH23" s="19"/>
      <c r="GTI23" s="19"/>
      <c r="GTJ23" s="19"/>
      <c r="GTK23" s="19"/>
      <c r="GTL23" s="19"/>
      <c r="GTM23" s="19"/>
      <c r="GTN23" s="19"/>
      <c r="GTO23" s="19"/>
      <c r="GTP23" s="19"/>
      <c r="GTQ23" s="19"/>
      <c r="GTR23" s="19"/>
      <c r="GTS23" s="19"/>
      <c r="GTT23" s="19"/>
      <c r="GTU23" s="19"/>
      <c r="GTV23" s="19"/>
      <c r="GTW23" s="19"/>
      <c r="GTX23" s="19"/>
      <c r="GTY23" s="19"/>
      <c r="GTZ23" s="19"/>
      <c r="GUA23" s="19"/>
      <c r="GUB23" s="19"/>
      <c r="GUC23" s="19"/>
      <c r="GUD23" s="19"/>
      <c r="GUE23" s="19"/>
      <c r="GUF23" s="19"/>
      <c r="GUG23" s="19"/>
      <c r="GUH23" s="19"/>
      <c r="GUI23" s="19"/>
      <c r="GUJ23" s="19"/>
      <c r="GUK23" s="19"/>
      <c r="GUL23" s="19"/>
      <c r="GUM23" s="19"/>
      <c r="GUN23" s="19"/>
      <c r="GUO23" s="19"/>
      <c r="GUP23" s="19"/>
      <c r="GUQ23" s="19"/>
      <c r="GUR23" s="19"/>
      <c r="GUS23" s="19"/>
      <c r="GUT23" s="19"/>
      <c r="GUU23" s="19"/>
      <c r="GUV23" s="19"/>
      <c r="GUW23" s="19"/>
      <c r="GUX23" s="19"/>
      <c r="GUY23" s="19"/>
      <c r="GUZ23" s="19"/>
      <c r="GVA23" s="19"/>
      <c r="GVB23" s="19"/>
      <c r="GVC23" s="19"/>
      <c r="GVD23" s="19"/>
      <c r="GVE23" s="19"/>
      <c r="GVF23" s="19"/>
      <c r="GVG23" s="19"/>
      <c r="GVH23" s="19"/>
      <c r="GVI23" s="19"/>
      <c r="GVJ23" s="19"/>
      <c r="GVK23" s="19"/>
      <c r="GVL23" s="19"/>
      <c r="GVM23" s="19"/>
      <c r="GVN23" s="19"/>
      <c r="GVO23" s="19"/>
      <c r="GVP23" s="19"/>
      <c r="GVQ23" s="19"/>
      <c r="GVR23" s="19"/>
      <c r="GVS23" s="19"/>
      <c r="GVT23" s="19"/>
      <c r="GVU23" s="19"/>
      <c r="GVV23" s="19"/>
      <c r="GVW23" s="19"/>
      <c r="GVX23" s="19"/>
      <c r="GVY23" s="19"/>
      <c r="GVZ23" s="19"/>
      <c r="GWA23" s="19"/>
      <c r="GWB23" s="19"/>
      <c r="GWC23" s="19"/>
      <c r="GWD23" s="19"/>
      <c r="GWE23" s="19"/>
      <c r="GWF23" s="19"/>
      <c r="GWG23" s="19"/>
      <c r="GWH23" s="19"/>
      <c r="GWI23" s="19"/>
      <c r="GWJ23" s="19"/>
      <c r="GWK23" s="19"/>
      <c r="GWL23" s="19"/>
      <c r="GWM23" s="19"/>
      <c r="GWN23" s="19"/>
      <c r="GWO23" s="19"/>
      <c r="GWP23" s="19"/>
      <c r="GWQ23" s="19"/>
      <c r="GWR23" s="19"/>
      <c r="GWS23" s="19"/>
      <c r="GWT23" s="19"/>
      <c r="GWU23" s="19"/>
      <c r="GWV23" s="19"/>
      <c r="GWW23" s="19"/>
      <c r="GWX23" s="19"/>
      <c r="GWY23" s="19"/>
      <c r="GWZ23" s="19"/>
      <c r="GXA23" s="19"/>
      <c r="GXB23" s="19"/>
      <c r="GXC23" s="19"/>
      <c r="GXD23" s="19"/>
      <c r="GXE23" s="19"/>
      <c r="GXF23" s="19"/>
      <c r="GXG23" s="19"/>
      <c r="GXH23" s="19"/>
      <c r="GXI23" s="19"/>
      <c r="GXJ23" s="19"/>
      <c r="GXK23" s="19"/>
      <c r="GXL23" s="19"/>
      <c r="GXM23" s="19"/>
      <c r="GXN23" s="19"/>
      <c r="GXO23" s="19"/>
      <c r="GXP23" s="19"/>
      <c r="GXQ23" s="19"/>
      <c r="GXR23" s="19"/>
      <c r="GXS23" s="19"/>
      <c r="GXT23" s="19"/>
      <c r="GXU23" s="19"/>
      <c r="GXV23" s="19"/>
      <c r="GXW23" s="19"/>
      <c r="GXX23" s="19"/>
      <c r="GXY23" s="19"/>
      <c r="GXZ23" s="19"/>
      <c r="GYA23" s="19"/>
      <c r="GYB23" s="19"/>
      <c r="GYC23" s="19"/>
      <c r="GYD23" s="19"/>
      <c r="GYE23" s="19"/>
      <c r="GYF23" s="19"/>
      <c r="GYG23" s="19"/>
      <c r="GYH23" s="19"/>
      <c r="GYI23" s="19"/>
      <c r="GYJ23" s="19"/>
      <c r="GYK23" s="19"/>
      <c r="GYL23" s="19"/>
      <c r="GYM23" s="19"/>
      <c r="GYN23" s="19"/>
      <c r="GYO23" s="19"/>
      <c r="GYP23" s="19"/>
      <c r="GYQ23" s="19"/>
      <c r="GYR23" s="19"/>
      <c r="GYS23" s="19"/>
      <c r="GYT23" s="19"/>
      <c r="GYU23" s="19"/>
      <c r="GYV23" s="19"/>
      <c r="GYW23" s="19"/>
      <c r="GYX23" s="19"/>
      <c r="GYY23" s="19"/>
      <c r="GYZ23" s="19"/>
      <c r="GZA23" s="19"/>
      <c r="GZB23" s="19"/>
      <c r="GZC23" s="19"/>
      <c r="GZD23" s="19"/>
      <c r="GZE23" s="19"/>
      <c r="GZF23" s="19"/>
      <c r="GZG23" s="19"/>
      <c r="GZH23" s="19"/>
      <c r="GZI23" s="19"/>
      <c r="GZJ23" s="19"/>
      <c r="GZK23" s="19"/>
      <c r="GZL23" s="19"/>
      <c r="GZM23" s="19"/>
      <c r="GZN23" s="19"/>
      <c r="GZO23" s="19"/>
      <c r="GZP23" s="19"/>
      <c r="GZQ23" s="19"/>
      <c r="GZR23" s="19"/>
      <c r="GZS23" s="19"/>
      <c r="GZT23" s="19"/>
      <c r="GZU23" s="19"/>
      <c r="GZV23" s="19"/>
      <c r="GZW23" s="19"/>
      <c r="GZX23" s="19"/>
      <c r="GZY23" s="19"/>
      <c r="GZZ23" s="19"/>
      <c r="HAA23" s="19"/>
      <c r="HAB23" s="19"/>
      <c r="HAC23" s="19"/>
      <c r="HAD23" s="19"/>
      <c r="HAE23" s="19"/>
      <c r="HAF23" s="19"/>
      <c r="HAG23" s="19"/>
      <c r="HAH23" s="19"/>
      <c r="HAI23" s="19"/>
      <c r="HAJ23" s="19"/>
      <c r="HAK23" s="19"/>
      <c r="HAL23" s="19"/>
      <c r="HAM23" s="19"/>
      <c r="HAN23" s="19"/>
      <c r="HAO23" s="19"/>
      <c r="HAP23" s="19"/>
      <c r="HAQ23" s="19"/>
      <c r="HAR23" s="19"/>
      <c r="HAS23" s="19"/>
      <c r="HAT23" s="19"/>
      <c r="HAU23" s="19"/>
      <c r="HAV23" s="19"/>
      <c r="HAW23" s="19"/>
      <c r="HAX23" s="19"/>
      <c r="HAY23" s="19"/>
      <c r="HAZ23" s="19"/>
      <c r="HBA23" s="19"/>
      <c r="HBB23" s="19"/>
      <c r="HBC23" s="19"/>
      <c r="HBD23" s="19"/>
      <c r="HBE23" s="19"/>
      <c r="HBF23" s="19"/>
      <c r="HBG23" s="19"/>
      <c r="HBH23" s="19"/>
      <c r="HBI23" s="19"/>
      <c r="HBJ23" s="19"/>
      <c r="HBK23" s="19"/>
      <c r="HBL23" s="19"/>
      <c r="HBM23" s="19"/>
      <c r="HBN23" s="19"/>
      <c r="HBO23" s="19"/>
      <c r="HBP23" s="19"/>
      <c r="HBQ23" s="19"/>
      <c r="HBR23" s="19"/>
      <c r="HBS23" s="19"/>
      <c r="HBT23" s="19"/>
      <c r="HBU23" s="19"/>
      <c r="HBV23" s="19"/>
      <c r="HBW23" s="19"/>
      <c r="HBX23" s="19"/>
      <c r="HBY23" s="19"/>
      <c r="HBZ23" s="19"/>
      <c r="HCA23" s="19"/>
      <c r="HCB23" s="19"/>
      <c r="HCC23" s="19"/>
      <c r="HCD23" s="19"/>
      <c r="HCE23" s="19"/>
      <c r="HCF23" s="19"/>
      <c r="HCG23" s="19"/>
      <c r="HCH23" s="19"/>
      <c r="HCI23" s="19"/>
      <c r="HCJ23" s="19"/>
      <c r="HCK23" s="19"/>
      <c r="HCL23" s="19"/>
      <c r="HCM23" s="19"/>
      <c r="HCN23" s="19"/>
      <c r="HCO23" s="19"/>
      <c r="HCP23" s="19"/>
      <c r="HCQ23" s="19"/>
      <c r="HCR23" s="19"/>
      <c r="HCS23" s="19"/>
      <c r="HCT23" s="19"/>
      <c r="HCU23" s="19"/>
      <c r="HCV23" s="19"/>
      <c r="HCW23" s="19"/>
      <c r="HCX23" s="19"/>
      <c r="HCY23" s="19"/>
      <c r="HCZ23" s="19"/>
      <c r="HDA23" s="19"/>
      <c r="HDB23" s="19"/>
      <c r="HDC23" s="19"/>
      <c r="HDD23" s="19"/>
      <c r="HDE23" s="19"/>
      <c r="HDF23" s="19"/>
      <c r="HDG23" s="19"/>
      <c r="HDH23" s="19"/>
      <c r="HDI23" s="19"/>
      <c r="HDJ23" s="19"/>
      <c r="HDK23" s="19"/>
      <c r="HDL23" s="19"/>
      <c r="HDM23" s="19"/>
      <c r="HDN23" s="19"/>
      <c r="HDO23" s="19"/>
      <c r="HDP23" s="19"/>
      <c r="HDQ23" s="19"/>
      <c r="HDR23" s="19"/>
      <c r="HDS23" s="19"/>
      <c r="HDT23" s="19"/>
      <c r="HDU23" s="19"/>
      <c r="HDV23" s="19"/>
      <c r="HDW23" s="19"/>
      <c r="HDX23" s="19"/>
      <c r="HDY23" s="19"/>
      <c r="HDZ23" s="19"/>
      <c r="HEA23" s="19"/>
      <c r="HEB23" s="19"/>
      <c r="HEC23" s="19"/>
      <c r="HED23" s="19"/>
      <c r="HEE23" s="19"/>
      <c r="HEF23" s="19"/>
      <c r="HEG23" s="19"/>
      <c r="HEH23" s="19"/>
      <c r="HEI23" s="19"/>
      <c r="HEJ23" s="19"/>
      <c r="HEK23" s="19"/>
      <c r="HEL23" s="19"/>
      <c r="HEM23" s="19"/>
      <c r="HEN23" s="19"/>
      <c r="HEO23" s="19"/>
      <c r="HEP23" s="19"/>
      <c r="HEQ23" s="19"/>
      <c r="HER23" s="19"/>
      <c r="HES23" s="19"/>
      <c r="HET23" s="19"/>
      <c r="HEU23" s="19"/>
      <c r="HEV23" s="19"/>
      <c r="HEW23" s="19"/>
      <c r="HEX23" s="19"/>
      <c r="HEY23" s="19"/>
      <c r="HEZ23" s="19"/>
      <c r="HFA23" s="19"/>
      <c r="HFB23" s="19"/>
      <c r="HFC23" s="19"/>
      <c r="HFD23" s="19"/>
      <c r="HFE23" s="19"/>
      <c r="HFF23" s="19"/>
      <c r="HFG23" s="19"/>
      <c r="HFH23" s="19"/>
      <c r="HFI23" s="19"/>
      <c r="HFJ23" s="19"/>
      <c r="HFK23" s="19"/>
      <c r="HFL23" s="19"/>
      <c r="HFM23" s="19"/>
      <c r="HFN23" s="19"/>
      <c r="HFO23" s="19"/>
      <c r="HFP23" s="19"/>
      <c r="HFQ23" s="19"/>
      <c r="HFR23" s="19"/>
      <c r="HFS23" s="19"/>
      <c r="HFT23" s="19"/>
      <c r="HFU23" s="19"/>
      <c r="HFV23" s="19"/>
      <c r="HFW23" s="19"/>
      <c r="HFX23" s="19"/>
      <c r="HFY23" s="19"/>
      <c r="HFZ23" s="19"/>
      <c r="HGA23" s="19"/>
      <c r="HGB23" s="19"/>
      <c r="HGC23" s="19"/>
      <c r="HGD23" s="19"/>
      <c r="HGE23" s="19"/>
      <c r="HGF23" s="19"/>
      <c r="HGG23" s="19"/>
      <c r="HGH23" s="19"/>
      <c r="HGI23" s="19"/>
      <c r="HGJ23" s="19"/>
      <c r="HGK23" s="19"/>
      <c r="HGL23" s="19"/>
      <c r="HGM23" s="19"/>
      <c r="HGN23" s="19"/>
      <c r="HGO23" s="19"/>
      <c r="HGP23" s="19"/>
      <c r="HGQ23" s="19"/>
      <c r="HGR23" s="19"/>
      <c r="HGS23" s="19"/>
      <c r="HGT23" s="19"/>
      <c r="HGU23" s="19"/>
      <c r="HGV23" s="19"/>
      <c r="HGW23" s="19"/>
      <c r="HGX23" s="19"/>
      <c r="HGY23" s="19"/>
      <c r="HGZ23" s="19"/>
      <c r="HHA23" s="19"/>
      <c r="HHB23" s="19"/>
      <c r="HHC23" s="19"/>
      <c r="HHD23" s="19"/>
      <c r="HHE23" s="19"/>
      <c r="HHF23" s="19"/>
      <c r="HHG23" s="19"/>
      <c r="HHH23" s="19"/>
      <c r="HHI23" s="19"/>
      <c r="HHJ23" s="19"/>
      <c r="HHK23" s="19"/>
      <c r="HHL23" s="19"/>
      <c r="HHM23" s="19"/>
      <c r="HHN23" s="19"/>
      <c r="HHO23" s="19"/>
      <c r="HHP23" s="19"/>
      <c r="HHQ23" s="19"/>
      <c r="HHR23" s="19"/>
      <c r="HHS23" s="19"/>
      <c r="HHT23" s="19"/>
      <c r="HHU23" s="19"/>
      <c r="HHV23" s="19"/>
      <c r="HHW23" s="19"/>
      <c r="HHX23" s="19"/>
      <c r="HHY23" s="19"/>
      <c r="HHZ23" s="19"/>
      <c r="HIA23" s="19"/>
      <c r="HIB23" s="19"/>
      <c r="HIC23" s="19"/>
      <c r="HID23" s="19"/>
      <c r="HIE23" s="19"/>
      <c r="HIF23" s="19"/>
      <c r="HIG23" s="19"/>
      <c r="HIH23" s="19"/>
      <c r="HII23" s="19"/>
      <c r="HIJ23" s="19"/>
      <c r="HIK23" s="19"/>
      <c r="HIL23" s="19"/>
      <c r="HIM23" s="19"/>
      <c r="HIN23" s="19"/>
      <c r="HIO23" s="19"/>
      <c r="HIP23" s="19"/>
      <c r="HIQ23" s="19"/>
      <c r="HIR23" s="19"/>
      <c r="HIS23" s="19"/>
      <c r="HIT23" s="19"/>
      <c r="HIU23" s="19"/>
      <c r="HIV23" s="19"/>
      <c r="HIW23" s="19"/>
      <c r="HIX23" s="19"/>
      <c r="HIY23" s="19"/>
      <c r="HIZ23" s="19"/>
      <c r="HJA23" s="19"/>
      <c r="HJB23" s="19"/>
      <c r="HJC23" s="19"/>
      <c r="HJD23" s="19"/>
      <c r="HJE23" s="19"/>
      <c r="HJF23" s="19"/>
      <c r="HJG23" s="19"/>
      <c r="HJH23" s="19"/>
      <c r="HJI23" s="19"/>
      <c r="HJJ23" s="19"/>
      <c r="HJK23" s="19"/>
      <c r="HJL23" s="19"/>
      <c r="HJM23" s="19"/>
      <c r="HJN23" s="19"/>
      <c r="HJO23" s="19"/>
      <c r="HJP23" s="19"/>
      <c r="HJQ23" s="19"/>
      <c r="HJR23" s="19"/>
      <c r="HJS23" s="19"/>
      <c r="HJT23" s="19"/>
      <c r="HJU23" s="19"/>
      <c r="HJV23" s="19"/>
      <c r="HJW23" s="19"/>
      <c r="HJX23" s="19"/>
      <c r="HJY23" s="19"/>
      <c r="HJZ23" s="19"/>
      <c r="HKA23" s="19"/>
      <c r="HKB23" s="19"/>
      <c r="HKC23" s="19"/>
      <c r="HKD23" s="19"/>
      <c r="HKE23" s="19"/>
      <c r="HKF23" s="19"/>
      <c r="HKG23" s="19"/>
      <c r="HKH23" s="19"/>
      <c r="HKI23" s="19"/>
      <c r="HKJ23" s="19"/>
      <c r="HKK23" s="19"/>
      <c r="HKL23" s="19"/>
      <c r="HKM23" s="19"/>
      <c r="HKN23" s="19"/>
      <c r="HKO23" s="19"/>
      <c r="HKP23" s="19"/>
      <c r="HKQ23" s="19"/>
      <c r="HKR23" s="19"/>
      <c r="HKS23" s="19"/>
      <c r="HKT23" s="19"/>
      <c r="HKU23" s="19"/>
      <c r="HKV23" s="19"/>
      <c r="HKW23" s="19"/>
      <c r="HKX23" s="19"/>
      <c r="HKY23" s="19"/>
      <c r="HKZ23" s="19"/>
      <c r="HLA23" s="19"/>
      <c r="HLB23" s="19"/>
      <c r="HLC23" s="19"/>
      <c r="HLD23" s="19"/>
      <c r="HLE23" s="19"/>
      <c r="HLF23" s="19"/>
      <c r="HLG23" s="19"/>
      <c r="HLH23" s="19"/>
      <c r="HLI23" s="19"/>
      <c r="HLJ23" s="19"/>
      <c r="HLK23" s="19"/>
      <c r="HLL23" s="19"/>
      <c r="HLM23" s="19"/>
      <c r="HLN23" s="19"/>
      <c r="HLO23" s="19"/>
      <c r="HLP23" s="19"/>
      <c r="HLQ23" s="19"/>
      <c r="HLR23" s="19"/>
      <c r="HLS23" s="19"/>
      <c r="HLT23" s="19"/>
      <c r="HLU23" s="19"/>
      <c r="HLV23" s="19"/>
      <c r="HLW23" s="19"/>
      <c r="HLX23" s="19"/>
      <c r="HLY23" s="19"/>
      <c r="HLZ23" s="19"/>
      <c r="HMA23" s="19"/>
      <c r="HMB23" s="19"/>
      <c r="HMC23" s="19"/>
      <c r="HMD23" s="19"/>
      <c r="HME23" s="19"/>
      <c r="HMF23" s="19"/>
      <c r="HMG23" s="19"/>
      <c r="HMH23" s="19"/>
      <c r="HMI23" s="19"/>
      <c r="HMJ23" s="19"/>
      <c r="HMK23" s="19"/>
      <c r="HML23" s="19"/>
      <c r="HMM23" s="19"/>
      <c r="HMN23" s="19"/>
      <c r="HMO23" s="19"/>
      <c r="HMP23" s="19"/>
      <c r="HMQ23" s="19"/>
      <c r="HMR23" s="19"/>
      <c r="HMS23" s="19"/>
      <c r="HMT23" s="19"/>
      <c r="HMU23" s="19"/>
      <c r="HMV23" s="19"/>
      <c r="HMW23" s="19"/>
      <c r="HMX23" s="19"/>
      <c r="HMY23" s="19"/>
      <c r="HMZ23" s="19"/>
      <c r="HNA23" s="19"/>
      <c r="HNB23" s="19"/>
      <c r="HNC23" s="19"/>
      <c r="HND23" s="19"/>
      <c r="HNE23" s="19"/>
      <c r="HNF23" s="19"/>
      <c r="HNG23" s="19"/>
      <c r="HNH23" s="19"/>
      <c r="HNI23" s="19"/>
      <c r="HNJ23" s="19"/>
      <c r="HNK23" s="19"/>
      <c r="HNL23" s="19"/>
      <c r="HNM23" s="19"/>
      <c r="HNN23" s="19"/>
      <c r="HNO23" s="19"/>
      <c r="HNP23" s="19"/>
      <c r="HNQ23" s="19"/>
      <c r="HNR23" s="19"/>
      <c r="HNS23" s="19"/>
      <c r="HNT23" s="19"/>
      <c r="HNU23" s="19"/>
      <c r="HNV23" s="19"/>
      <c r="HNW23" s="19"/>
      <c r="HNX23" s="19"/>
      <c r="HNY23" s="19"/>
      <c r="HNZ23" s="19"/>
      <c r="HOA23" s="19"/>
      <c r="HOB23" s="19"/>
      <c r="HOC23" s="19"/>
      <c r="HOD23" s="19"/>
      <c r="HOE23" s="19"/>
      <c r="HOF23" s="19"/>
      <c r="HOG23" s="19"/>
      <c r="HOH23" s="19"/>
      <c r="HOI23" s="19"/>
      <c r="HOJ23" s="19"/>
      <c r="HOK23" s="19"/>
      <c r="HOL23" s="19"/>
      <c r="HOM23" s="19"/>
      <c r="HON23" s="19"/>
      <c r="HOO23" s="19"/>
      <c r="HOP23" s="19"/>
      <c r="HOQ23" s="19"/>
      <c r="HOR23" s="19"/>
      <c r="HOS23" s="19"/>
      <c r="HOT23" s="19"/>
      <c r="HOU23" s="19"/>
      <c r="HOV23" s="19"/>
      <c r="HOW23" s="19"/>
      <c r="HOX23" s="19"/>
      <c r="HOY23" s="19"/>
      <c r="HOZ23" s="19"/>
      <c r="HPA23" s="19"/>
      <c r="HPB23" s="19"/>
      <c r="HPC23" s="19"/>
      <c r="HPD23" s="19"/>
      <c r="HPE23" s="19"/>
      <c r="HPF23" s="19"/>
      <c r="HPG23" s="19"/>
      <c r="HPH23" s="19"/>
      <c r="HPI23" s="19"/>
      <c r="HPJ23" s="19"/>
      <c r="HPK23" s="19"/>
      <c r="HPL23" s="19"/>
      <c r="HPM23" s="19"/>
      <c r="HPN23" s="19"/>
      <c r="HPO23" s="19"/>
      <c r="HPP23" s="19"/>
      <c r="HPQ23" s="19"/>
      <c r="HPR23" s="19"/>
      <c r="HPS23" s="19"/>
      <c r="HPT23" s="19"/>
      <c r="HPU23" s="19"/>
      <c r="HPV23" s="19"/>
      <c r="HPW23" s="19"/>
      <c r="HPX23" s="19"/>
      <c r="HPY23" s="19"/>
      <c r="HPZ23" s="19"/>
      <c r="HQA23" s="19"/>
      <c r="HQB23" s="19"/>
      <c r="HQC23" s="19"/>
      <c r="HQD23" s="19"/>
      <c r="HQE23" s="19"/>
      <c r="HQF23" s="19"/>
      <c r="HQG23" s="19"/>
      <c r="HQH23" s="19"/>
      <c r="HQI23" s="19"/>
      <c r="HQJ23" s="19"/>
      <c r="HQK23" s="19"/>
      <c r="HQL23" s="19"/>
      <c r="HQM23" s="19"/>
      <c r="HQN23" s="19"/>
      <c r="HQO23" s="19"/>
      <c r="HQP23" s="19"/>
      <c r="HQQ23" s="19"/>
      <c r="HQR23" s="19"/>
      <c r="HQS23" s="19"/>
      <c r="HQT23" s="19"/>
      <c r="HQU23" s="19"/>
      <c r="HQV23" s="19"/>
      <c r="HQW23" s="19"/>
      <c r="HQX23" s="19"/>
      <c r="HQY23" s="19"/>
      <c r="HQZ23" s="19"/>
      <c r="HRA23" s="19"/>
      <c r="HRB23" s="19"/>
      <c r="HRC23" s="19"/>
      <c r="HRD23" s="19"/>
      <c r="HRE23" s="19"/>
      <c r="HRF23" s="19"/>
      <c r="HRG23" s="19"/>
      <c r="HRH23" s="19"/>
      <c r="HRI23" s="19"/>
      <c r="HRJ23" s="19"/>
      <c r="HRK23" s="19"/>
      <c r="HRL23" s="19"/>
      <c r="HRM23" s="19"/>
      <c r="HRN23" s="19"/>
      <c r="HRO23" s="19"/>
      <c r="HRP23" s="19"/>
      <c r="HRQ23" s="19"/>
      <c r="HRR23" s="19"/>
      <c r="HRS23" s="19"/>
      <c r="HRT23" s="19"/>
      <c r="HRU23" s="19"/>
      <c r="HRV23" s="19"/>
      <c r="HRW23" s="19"/>
      <c r="HRX23" s="19"/>
      <c r="HRY23" s="19"/>
      <c r="HRZ23" s="19"/>
      <c r="HSA23" s="19"/>
      <c r="HSB23" s="19"/>
      <c r="HSC23" s="19"/>
      <c r="HSD23" s="19"/>
      <c r="HSE23" s="19"/>
      <c r="HSF23" s="19"/>
      <c r="HSG23" s="19"/>
      <c r="HSH23" s="19"/>
      <c r="HSI23" s="19"/>
      <c r="HSJ23" s="19"/>
      <c r="HSK23" s="19"/>
      <c r="HSL23" s="19"/>
      <c r="HSM23" s="19"/>
      <c r="HSN23" s="19"/>
      <c r="HSO23" s="19"/>
      <c r="HSP23" s="19"/>
      <c r="HSQ23" s="19"/>
      <c r="HSR23" s="19"/>
      <c r="HSS23" s="19"/>
      <c r="HST23" s="19"/>
      <c r="HSU23" s="19"/>
      <c r="HSV23" s="19"/>
      <c r="HSW23" s="19"/>
      <c r="HSX23" s="19"/>
      <c r="HSY23" s="19"/>
      <c r="HSZ23" s="19"/>
      <c r="HTA23" s="19"/>
      <c r="HTB23" s="19"/>
      <c r="HTC23" s="19"/>
      <c r="HTD23" s="19"/>
      <c r="HTE23" s="19"/>
      <c r="HTF23" s="19"/>
      <c r="HTG23" s="19"/>
      <c r="HTH23" s="19"/>
      <c r="HTI23" s="19"/>
      <c r="HTJ23" s="19"/>
      <c r="HTK23" s="19"/>
      <c r="HTL23" s="19"/>
      <c r="HTM23" s="19"/>
      <c r="HTN23" s="19"/>
      <c r="HTO23" s="19"/>
      <c r="HTP23" s="19"/>
      <c r="HTQ23" s="19"/>
      <c r="HTR23" s="19"/>
      <c r="HTS23" s="19"/>
      <c r="HTT23" s="19"/>
      <c r="HTU23" s="19"/>
      <c r="HTV23" s="19"/>
      <c r="HTW23" s="19"/>
      <c r="HTX23" s="19"/>
      <c r="HTY23" s="19"/>
      <c r="HTZ23" s="19"/>
      <c r="HUA23" s="19"/>
      <c r="HUB23" s="19"/>
      <c r="HUC23" s="19"/>
      <c r="HUD23" s="19"/>
      <c r="HUE23" s="19"/>
      <c r="HUF23" s="19"/>
      <c r="HUG23" s="19"/>
      <c r="HUH23" s="19"/>
      <c r="HUI23" s="19"/>
      <c r="HUJ23" s="19"/>
      <c r="HUK23" s="19"/>
      <c r="HUL23" s="19"/>
      <c r="HUM23" s="19"/>
      <c r="HUN23" s="19"/>
      <c r="HUO23" s="19"/>
      <c r="HUP23" s="19"/>
      <c r="HUQ23" s="19"/>
      <c r="HUR23" s="19"/>
      <c r="HUS23" s="19"/>
      <c r="HUT23" s="19"/>
      <c r="HUU23" s="19"/>
      <c r="HUV23" s="19"/>
      <c r="HUW23" s="19"/>
      <c r="HUX23" s="19"/>
      <c r="HUY23" s="19"/>
      <c r="HUZ23" s="19"/>
      <c r="HVA23" s="19"/>
      <c r="HVB23" s="19"/>
      <c r="HVC23" s="19"/>
      <c r="HVD23" s="19"/>
      <c r="HVE23" s="19"/>
      <c r="HVF23" s="19"/>
      <c r="HVG23" s="19"/>
      <c r="HVH23" s="19"/>
      <c r="HVI23" s="19"/>
      <c r="HVJ23" s="19"/>
      <c r="HVK23" s="19"/>
      <c r="HVL23" s="19"/>
      <c r="HVM23" s="19"/>
      <c r="HVN23" s="19"/>
      <c r="HVO23" s="19"/>
      <c r="HVP23" s="19"/>
      <c r="HVQ23" s="19"/>
      <c r="HVR23" s="19"/>
      <c r="HVS23" s="19"/>
      <c r="HVT23" s="19"/>
      <c r="HVU23" s="19"/>
      <c r="HVV23" s="19"/>
      <c r="HVW23" s="19"/>
      <c r="HVX23" s="19"/>
      <c r="HVY23" s="19"/>
      <c r="HVZ23" s="19"/>
      <c r="HWA23" s="19"/>
      <c r="HWB23" s="19"/>
      <c r="HWC23" s="19"/>
      <c r="HWD23" s="19"/>
      <c r="HWE23" s="19"/>
      <c r="HWF23" s="19"/>
      <c r="HWG23" s="19"/>
      <c r="HWH23" s="19"/>
      <c r="HWI23" s="19"/>
      <c r="HWJ23" s="19"/>
      <c r="HWK23" s="19"/>
      <c r="HWL23" s="19"/>
      <c r="HWM23" s="19"/>
      <c r="HWN23" s="19"/>
      <c r="HWO23" s="19"/>
      <c r="HWP23" s="19"/>
      <c r="HWQ23" s="19"/>
      <c r="HWR23" s="19"/>
      <c r="HWS23" s="19"/>
      <c r="HWT23" s="19"/>
      <c r="HWU23" s="19"/>
      <c r="HWV23" s="19"/>
      <c r="HWW23" s="19"/>
      <c r="HWX23" s="19"/>
      <c r="HWY23" s="19"/>
      <c r="HWZ23" s="19"/>
      <c r="HXA23" s="19"/>
      <c r="HXB23" s="19"/>
      <c r="HXC23" s="19"/>
      <c r="HXD23" s="19"/>
      <c r="HXE23" s="19"/>
      <c r="HXF23" s="19"/>
      <c r="HXG23" s="19"/>
      <c r="HXH23" s="19"/>
      <c r="HXI23" s="19"/>
      <c r="HXJ23" s="19"/>
      <c r="HXK23" s="19"/>
      <c r="HXL23" s="19"/>
      <c r="HXM23" s="19"/>
      <c r="HXN23" s="19"/>
      <c r="HXO23" s="19"/>
      <c r="HXP23" s="19"/>
      <c r="HXQ23" s="19"/>
      <c r="HXR23" s="19"/>
      <c r="HXS23" s="19"/>
      <c r="HXT23" s="19"/>
      <c r="HXU23" s="19"/>
      <c r="HXV23" s="19"/>
      <c r="HXW23" s="19"/>
      <c r="HXX23" s="19"/>
      <c r="HXY23" s="19"/>
      <c r="HXZ23" s="19"/>
      <c r="HYA23" s="19"/>
      <c r="HYB23" s="19"/>
      <c r="HYC23" s="19"/>
      <c r="HYD23" s="19"/>
      <c r="HYE23" s="19"/>
      <c r="HYF23" s="19"/>
      <c r="HYG23" s="19"/>
      <c r="HYH23" s="19"/>
      <c r="HYI23" s="19"/>
      <c r="HYJ23" s="19"/>
      <c r="HYK23" s="19"/>
      <c r="HYL23" s="19"/>
      <c r="HYM23" s="19"/>
      <c r="HYN23" s="19"/>
      <c r="HYO23" s="19"/>
      <c r="HYP23" s="19"/>
      <c r="HYQ23" s="19"/>
      <c r="HYR23" s="19"/>
      <c r="HYS23" s="19"/>
      <c r="HYT23" s="19"/>
      <c r="HYU23" s="19"/>
      <c r="HYV23" s="19"/>
      <c r="HYW23" s="19"/>
      <c r="HYX23" s="19"/>
      <c r="HYY23" s="19"/>
      <c r="HYZ23" s="19"/>
      <c r="HZA23" s="19"/>
      <c r="HZB23" s="19"/>
      <c r="HZC23" s="19"/>
      <c r="HZD23" s="19"/>
      <c r="HZE23" s="19"/>
      <c r="HZF23" s="19"/>
      <c r="HZG23" s="19"/>
      <c r="HZH23" s="19"/>
      <c r="HZI23" s="19"/>
      <c r="HZJ23" s="19"/>
      <c r="HZK23" s="19"/>
      <c r="HZL23" s="19"/>
      <c r="HZM23" s="19"/>
      <c r="HZN23" s="19"/>
      <c r="HZO23" s="19"/>
      <c r="HZP23" s="19"/>
      <c r="HZQ23" s="19"/>
      <c r="HZR23" s="19"/>
      <c r="HZS23" s="19"/>
      <c r="HZT23" s="19"/>
      <c r="HZU23" s="19"/>
      <c r="HZV23" s="19"/>
      <c r="HZW23" s="19"/>
      <c r="HZX23" s="19"/>
      <c r="HZY23" s="19"/>
      <c r="HZZ23" s="19"/>
      <c r="IAA23" s="19"/>
      <c r="IAB23" s="19"/>
      <c r="IAC23" s="19"/>
      <c r="IAD23" s="19"/>
      <c r="IAE23" s="19"/>
      <c r="IAF23" s="19"/>
      <c r="IAG23" s="19"/>
      <c r="IAH23" s="19"/>
      <c r="IAI23" s="19"/>
      <c r="IAJ23" s="19"/>
      <c r="IAK23" s="19"/>
      <c r="IAL23" s="19"/>
      <c r="IAM23" s="19"/>
      <c r="IAN23" s="19"/>
      <c r="IAO23" s="19"/>
      <c r="IAP23" s="19"/>
      <c r="IAQ23" s="19"/>
      <c r="IAR23" s="19"/>
      <c r="IAS23" s="19"/>
      <c r="IAT23" s="19"/>
      <c r="IAU23" s="19"/>
      <c r="IAV23" s="19"/>
      <c r="IAW23" s="19"/>
      <c r="IAX23" s="19"/>
      <c r="IAY23" s="19"/>
      <c r="IAZ23" s="19"/>
      <c r="IBA23" s="19"/>
      <c r="IBB23" s="19"/>
      <c r="IBC23" s="19"/>
      <c r="IBD23" s="19"/>
      <c r="IBE23" s="19"/>
      <c r="IBF23" s="19"/>
      <c r="IBG23" s="19"/>
      <c r="IBH23" s="19"/>
      <c r="IBI23" s="19"/>
      <c r="IBJ23" s="19"/>
      <c r="IBK23" s="19"/>
      <c r="IBL23" s="19"/>
      <c r="IBM23" s="19"/>
      <c r="IBN23" s="19"/>
      <c r="IBO23" s="19"/>
      <c r="IBP23" s="19"/>
      <c r="IBQ23" s="19"/>
      <c r="IBR23" s="19"/>
      <c r="IBS23" s="19"/>
      <c r="IBT23" s="19"/>
      <c r="IBU23" s="19"/>
      <c r="IBV23" s="19"/>
      <c r="IBW23" s="19"/>
      <c r="IBX23" s="19"/>
      <c r="IBY23" s="19"/>
      <c r="IBZ23" s="19"/>
      <c r="ICA23" s="19"/>
      <c r="ICB23" s="19"/>
      <c r="ICC23" s="19"/>
      <c r="ICD23" s="19"/>
      <c r="ICE23" s="19"/>
      <c r="ICF23" s="19"/>
      <c r="ICG23" s="19"/>
      <c r="ICH23" s="19"/>
      <c r="ICI23" s="19"/>
      <c r="ICJ23" s="19"/>
      <c r="ICK23" s="19"/>
      <c r="ICL23" s="19"/>
      <c r="ICM23" s="19"/>
      <c r="ICN23" s="19"/>
      <c r="ICO23" s="19"/>
      <c r="ICP23" s="19"/>
      <c r="ICQ23" s="19"/>
      <c r="ICR23" s="19"/>
      <c r="ICS23" s="19"/>
      <c r="ICT23" s="19"/>
      <c r="ICU23" s="19"/>
      <c r="ICV23" s="19"/>
      <c r="ICW23" s="19"/>
      <c r="ICX23" s="19"/>
      <c r="ICY23" s="19"/>
      <c r="ICZ23" s="19"/>
      <c r="IDA23" s="19"/>
      <c r="IDB23" s="19"/>
      <c r="IDC23" s="19"/>
      <c r="IDD23" s="19"/>
      <c r="IDE23" s="19"/>
      <c r="IDF23" s="19"/>
      <c r="IDG23" s="19"/>
      <c r="IDH23" s="19"/>
      <c r="IDI23" s="19"/>
      <c r="IDJ23" s="19"/>
      <c r="IDK23" s="19"/>
      <c r="IDL23" s="19"/>
      <c r="IDM23" s="19"/>
      <c r="IDN23" s="19"/>
      <c r="IDO23" s="19"/>
      <c r="IDP23" s="19"/>
      <c r="IDQ23" s="19"/>
      <c r="IDR23" s="19"/>
      <c r="IDS23" s="19"/>
      <c r="IDT23" s="19"/>
      <c r="IDU23" s="19"/>
      <c r="IDV23" s="19"/>
      <c r="IDW23" s="19"/>
      <c r="IDX23" s="19"/>
      <c r="IDY23" s="19"/>
      <c r="IDZ23" s="19"/>
      <c r="IEA23" s="19"/>
      <c r="IEB23" s="19"/>
      <c r="IEC23" s="19"/>
      <c r="IED23" s="19"/>
      <c r="IEE23" s="19"/>
      <c r="IEF23" s="19"/>
      <c r="IEG23" s="19"/>
      <c r="IEH23" s="19"/>
      <c r="IEI23" s="19"/>
      <c r="IEJ23" s="19"/>
      <c r="IEK23" s="19"/>
      <c r="IEL23" s="19"/>
      <c r="IEM23" s="19"/>
      <c r="IEN23" s="19"/>
      <c r="IEO23" s="19"/>
      <c r="IEP23" s="19"/>
      <c r="IEQ23" s="19"/>
      <c r="IER23" s="19"/>
      <c r="IES23" s="19"/>
      <c r="IET23" s="19"/>
      <c r="IEU23" s="19"/>
      <c r="IEV23" s="19"/>
      <c r="IEW23" s="19"/>
      <c r="IEX23" s="19"/>
      <c r="IEY23" s="19"/>
      <c r="IEZ23" s="19"/>
      <c r="IFA23" s="19"/>
      <c r="IFB23" s="19"/>
      <c r="IFC23" s="19"/>
      <c r="IFD23" s="19"/>
      <c r="IFE23" s="19"/>
      <c r="IFF23" s="19"/>
      <c r="IFG23" s="19"/>
      <c r="IFH23" s="19"/>
      <c r="IFI23" s="19"/>
      <c r="IFJ23" s="19"/>
      <c r="IFK23" s="19"/>
      <c r="IFL23" s="19"/>
      <c r="IFM23" s="19"/>
      <c r="IFN23" s="19"/>
      <c r="IFO23" s="19"/>
      <c r="IFP23" s="19"/>
      <c r="IFQ23" s="19"/>
      <c r="IFR23" s="19"/>
      <c r="IFS23" s="19"/>
      <c r="IFT23" s="19"/>
      <c r="IFU23" s="19"/>
      <c r="IFV23" s="19"/>
      <c r="IFW23" s="19"/>
      <c r="IFX23" s="19"/>
      <c r="IFY23" s="19"/>
      <c r="IFZ23" s="19"/>
      <c r="IGA23" s="19"/>
      <c r="IGB23" s="19"/>
      <c r="IGC23" s="19"/>
      <c r="IGD23" s="19"/>
      <c r="IGE23" s="19"/>
      <c r="IGF23" s="19"/>
      <c r="IGG23" s="19"/>
      <c r="IGH23" s="19"/>
      <c r="IGI23" s="19"/>
      <c r="IGJ23" s="19"/>
      <c r="IGK23" s="19"/>
      <c r="IGL23" s="19"/>
      <c r="IGM23" s="19"/>
      <c r="IGN23" s="19"/>
      <c r="IGO23" s="19"/>
      <c r="IGP23" s="19"/>
      <c r="IGQ23" s="19"/>
      <c r="IGR23" s="19"/>
      <c r="IGS23" s="19"/>
      <c r="IGT23" s="19"/>
      <c r="IGU23" s="19"/>
      <c r="IGV23" s="19"/>
      <c r="IGW23" s="19"/>
      <c r="IGX23" s="19"/>
      <c r="IGY23" s="19"/>
      <c r="IGZ23" s="19"/>
      <c r="IHA23" s="19"/>
      <c r="IHB23" s="19"/>
      <c r="IHC23" s="19"/>
      <c r="IHD23" s="19"/>
      <c r="IHE23" s="19"/>
      <c r="IHF23" s="19"/>
      <c r="IHG23" s="19"/>
      <c r="IHH23" s="19"/>
      <c r="IHI23" s="19"/>
      <c r="IHJ23" s="19"/>
      <c r="IHK23" s="19"/>
      <c r="IHL23" s="19"/>
      <c r="IHM23" s="19"/>
      <c r="IHN23" s="19"/>
      <c r="IHO23" s="19"/>
      <c r="IHP23" s="19"/>
      <c r="IHQ23" s="19"/>
      <c r="IHR23" s="19"/>
      <c r="IHS23" s="19"/>
      <c r="IHT23" s="19"/>
      <c r="IHU23" s="19"/>
      <c r="IHV23" s="19"/>
      <c r="IHW23" s="19"/>
      <c r="IHX23" s="19"/>
      <c r="IHY23" s="19"/>
      <c r="IHZ23" s="19"/>
      <c r="IIA23" s="19"/>
      <c r="IIB23" s="19"/>
      <c r="IIC23" s="19"/>
      <c r="IID23" s="19"/>
      <c r="IIE23" s="19"/>
      <c r="IIF23" s="19"/>
      <c r="IIG23" s="19"/>
      <c r="IIH23" s="19"/>
      <c r="III23" s="19"/>
      <c r="IIJ23" s="19"/>
      <c r="IIK23" s="19"/>
      <c r="IIL23" s="19"/>
      <c r="IIM23" s="19"/>
      <c r="IIN23" s="19"/>
      <c r="IIO23" s="19"/>
      <c r="IIP23" s="19"/>
      <c r="IIQ23" s="19"/>
      <c r="IIR23" s="19"/>
      <c r="IIS23" s="19"/>
      <c r="IIT23" s="19"/>
      <c r="IIU23" s="19"/>
      <c r="IIV23" s="19"/>
      <c r="IIW23" s="19"/>
      <c r="IIX23" s="19"/>
      <c r="IIY23" s="19"/>
      <c r="IIZ23" s="19"/>
      <c r="IJA23" s="19"/>
      <c r="IJB23" s="19"/>
      <c r="IJC23" s="19"/>
      <c r="IJD23" s="19"/>
      <c r="IJE23" s="19"/>
      <c r="IJF23" s="19"/>
      <c r="IJG23" s="19"/>
      <c r="IJH23" s="19"/>
      <c r="IJI23" s="19"/>
      <c r="IJJ23" s="19"/>
      <c r="IJK23" s="19"/>
      <c r="IJL23" s="19"/>
      <c r="IJM23" s="19"/>
      <c r="IJN23" s="19"/>
      <c r="IJO23" s="19"/>
      <c r="IJP23" s="19"/>
      <c r="IJQ23" s="19"/>
      <c r="IJR23" s="19"/>
      <c r="IJS23" s="19"/>
      <c r="IJT23" s="19"/>
      <c r="IJU23" s="19"/>
      <c r="IJV23" s="19"/>
      <c r="IJW23" s="19"/>
      <c r="IJX23" s="19"/>
      <c r="IJY23" s="19"/>
      <c r="IJZ23" s="19"/>
      <c r="IKA23" s="19"/>
      <c r="IKB23" s="19"/>
      <c r="IKC23" s="19"/>
      <c r="IKD23" s="19"/>
      <c r="IKE23" s="19"/>
      <c r="IKF23" s="19"/>
      <c r="IKG23" s="19"/>
      <c r="IKH23" s="19"/>
      <c r="IKI23" s="19"/>
      <c r="IKJ23" s="19"/>
      <c r="IKK23" s="19"/>
      <c r="IKL23" s="19"/>
      <c r="IKM23" s="19"/>
      <c r="IKN23" s="19"/>
      <c r="IKO23" s="19"/>
      <c r="IKP23" s="19"/>
      <c r="IKQ23" s="19"/>
      <c r="IKR23" s="19"/>
      <c r="IKS23" s="19"/>
      <c r="IKT23" s="19"/>
      <c r="IKU23" s="19"/>
      <c r="IKV23" s="19"/>
      <c r="IKW23" s="19"/>
      <c r="IKX23" s="19"/>
      <c r="IKY23" s="19"/>
      <c r="IKZ23" s="19"/>
      <c r="ILA23" s="19"/>
      <c r="ILB23" s="19"/>
      <c r="ILC23" s="19"/>
      <c r="ILD23" s="19"/>
      <c r="ILE23" s="19"/>
      <c r="ILF23" s="19"/>
      <c r="ILG23" s="19"/>
      <c r="ILH23" s="19"/>
      <c r="ILI23" s="19"/>
      <c r="ILJ23" s="19"/>
      <c r="ILK23" s="19"/>
      <c r="ILL23" s="19"/>
      <c r="ILM23" s="19"/>
      <c r="ILN23" s="19"/>
      <c r="ILO23" s="19"/>
      <c r="ILP23" s="19"/>
      <c r="ILQ23" s="19"/>
      <c r="ILR23" s="19"/>
      <c r="ILS23" s="19"/>
      <c r="ILT23" s="19"/>
      <c r="ILU23" s="19"/>
      <c r="ILV23" s="19"/>
      <c r="ILW23" s="19"/>
      <c r="ILX23" s="19"/>
      <c r="ILY23" s="19"/>
      <c r="ILZ23" s="19"/>
      <c r="IMA23" s="19"/>
      <c r="IMB23" s="19"/>
      <c r="IMC23" s="19"/>
      <c r="IMD23" s="19"/>
      <c r="IME23" s="19"/>
      <c r="IMF23" s="19"/>
      <c r="IMG23" s="19"/>
      <c r="IMH23" s="19"/>
      <c r="IMI23" s="19"/>
      <c r="IMJ23" s="19"/>
      <c r="IMK23" s="19"/>
      <c r="IML23" s="19"/>
      <c r="IMM23" s="19"/>
      <c r="IMN23" s="19"/>
      <c r="IMO23" s="19"/>
      <c r="IMP23" s="19"/>
      <c r="IMQ23" s="19"/>
      <c r="IMR23" s="19"/>
      <c r="IMS23" s="19"/>
      <c r="IMT23" s="19"/>
      <c r="IMU23" s="19"/>
      <c r="IMV23" s="19"/>
      <c r="IMW23" s="19"/>
      <c r="IMX23" s="19"/>
      <c r="IMY23" s="19"/>
      <c r="IMZ23" s="19"/>
      <c r="INA23" s="19"/>
      <c r="INB23" s="19"/>
      <c r="INC23" s="19"/>
      <c r="IND23" s="19"/>
      <c r="INE23" s="19"/>
      <c r="INF23" s="19"/>
      <c r="ING23" s="19"/>
      <c r="INH23" s="19"/>
      <c r="INI23" s="19"/>
      <c r="INJ23" s="19"/>
      <c r="INK23" s="19"/>
      <c r="INL23" s="19"/>
      <c r="INM23" s="19"/>
      <c r="INN23" s="19"/>
      <c r="INO23" s="19"/>
      <c r="INP23" s="19"/>
      <c r="INQ23" s="19"/>
      <c r="INR23" s="19"/>
      <c r="INS23" s="19"/>
      <c r="INT23" s="19"/>
      <c r="INU23" s="19"/>
      <c r="INV23" s="19"/>
      <c r="INW23" s="19"/>
      <c r="INX23" s="19"/>
      <c r="INY23" s="19"/>
      <c r="INZ23" s="19"/>
      <c r="IOA23" s="19"/>
      <c r="IOB23" s="19"/>
      <c r="IOC23" s="19"/>
      <c r="IOD23" s="19"/>
      <c r="IOE23" s="19"/>
      <c r="IOF23" s="19"/>
      <c r="IOG23" s="19"/>
      <c r="IOH23" s="19"/>
      <c r="IOI23" s="19"/>
      <c r="IOJ23" s="19"/>
      <c r="IOK23" s="19"/>
      <c r="IOL23" s="19"/>
      <c r="IOM23" s="19"/>
      <c r="ION23" s="19"/>
      <c r="IOO23" s="19"/>
      <c r="IOP23" s="19"/>
      <c r="IOQ23" s="19"/>
      <c r="IOR23" s="19"/>
      <c r="IOS23" s="19"/>
      <c r="IOT23" s="19"/>
      <c r="IOU23" s="19"/>
      <c r="IOV23" s="19"/>
      <c r="IOW23" s="19"/>
      <c r="IOX23" s="19"/>
      <c r="IOY23" s="19"/>
      <c r="IOZ23" s="19"/>
      <c r="IPA23" s="19"/>
      <c r="IPB23" s="19"/>
      <c r="IPC23" s="19"/>
      <c r="IPD23" s="19"/>
      <c r="IPE23" s="19"/>
      <c r="IPF23" s="19"/>
      <c r="IPG23" s="19"/>
      <c r="IPH23" s="19"/>
      <c r="IPI23" s="19"/>
      <c r="IPJ23" s="19"/>
      <c r="IPK23" s="19"/>
      <c r="IPL23" s="19"/>
      <c r="IPM23" s="19"/>
      <c r="IPN23" s="19"/>
      <c r="IPO23" s="19"/>
      <c r="IPP23" s="19"/>
      <c r="IPQ23" s="19"/>
      <c r="IPR23" s="19"/>
      <c r="IPS23" s="19"/>
      <c r="IPT23" s="19"/>
      <c r="IPU23" s="19"/>
      <c r="IPV23" s="19"/>
      <c r="IPW23" s="19"/>
      <c r="IPX23" s="19"/>
      <c r="IPY23" s="19"/>
      <c r="IPZ23" s="19"/>
      <c r="IQA23" s="19"/>
      <c r="IQB23" s="19"/>
      <c r="IQC23" s="19"/>
      <c r="IQD23" s="19"/>
      <c r="IQE23" s="19"/>
      <c r="IQF23" s="19"/>
      <c r="IQG23" s="19"/>
      <c r="IQH23" s="19"/>
      <c r="IQI23" s="19"/>
      <c r="IQJ23" s="19"/>
      <c r="IQK23" s="19"/>
      <c r="IQL23" s="19"/>
      <c r="IQM23" s="19"/>
      <c r="IQN23" s="19"/>
      <c r="IQO23" s="19"/>
      <c r="IQP23" s="19"/>
      <c r="IQQ23" s="19"/>
      <c r="IQR23" s="19"/>
      <c r="IQS23" s="19"/>
      <c r="IQT23" s="19"/>
      <c r="IQU23" s="19"/>
      <c r="IQV23" s="19"/>
      <c r="IQW23" s="19"/>
      <c r="IQX23" s="19"/>
      <c r="IQY23" s="19"/>
      <c r="IQZ23" s="19"/>
      <c r="IRA23" s="19"/>
      <c r="IRB23" s="19"/>
      <c r="IRC23" s="19"/>
      <c r="IRD23" s="19"/>
      <c r="IRE23" s="19"/>
      <c r="IRF23" s="19"/>
      <c r="IRG23" s="19"/>
      <c r="IRH23" s="19"/>
      <c r="IRI23" s="19"/>
      <c r="IRJ23" s="19"/>
      <c r="IRK23" s="19"/>
      <c r="IRL23" s="19"/>
      <c r="IRM23" s="19"/>
      <c r="IRN23" s="19"/>
      <c r="IRO23" s="19"/>
      <c r="IRP23" s="19"/>
      <c r="IRQ23" s="19"/>
      <c r="IRR23" s="19"/>
      <c r="IRS23" s="19"/>
      <c r="IRT23" s="19"/>
      <c r="IRU23" s="19"/>
      <c r="IRV23" s="19"/>
      <c r="IRW23" s="19"/>
      <c r="IRX23" s="19"/>
      <c r="IRY23" s="19"/>
      <c r="IRZ23" s="19"/>
      <c r="ISA23" s="19"/>
      <c r="ISB23" s="19"/>
      <c r="ISC23" s="19"/>
      <c r="ISD23" s="19"/>
      <c r="ISE23" s="19"/>
      <c r="ISF23" s="19"/>
      <c r="ISG23" s="19"/>
      <c r="ISH23" s="19"/>
      <c r="ISI23" s="19"/>
      <c r="ISJ23" s="19"/>
      <c r="ISK23" s="19"/>
      <c r="ISL23" s="19"/>
      <c r="ISM23" s="19"/>
      <c r="ISN23" s="19"/>
      <c r="ISO23" s="19"/>
      <c r="ISP23" s="19"/>
      <c r="ISQ23" s="19"/>
      <c r="ISR23" s="19"/>
      <c r="ISS23" s="19"/>
      <c r="IST23" s="19"/>
      <c r="ISU23" s="19"/>
      <c r="ISV23" s="19"/>
      <c r="ISW23" s="19"/>
      <c r="ISX23" s="19"/>
      <c r="ISY23" s="19"/>
      <c r="ISZ23" s="19"/>
      <c r="ITA23" s="19"/>
      <c r="ITB23" s="19"/>
      <c r="ITC23" s="19"/>
      <c r="ITD23" s="19"/>
      <c r="ITE23" s="19"/>
      <c r="ITF23" s="19"/>
      <c r="ITG23" s="19"/>
      <c r="ITH23" s="19"/>
      <c r="ITI23" s="19"/>
      <c r="ITJ23" s="19"/>
      <c r="ITK23" s="19"/>
      <c r="ITL23" s="19"/>
      <c r="ITM23" s="19"/>
      <c r="ITN23" s="19"/>
      <c r="ITO23" s="19"/>
      <c r="ITP23" s="19"/>
      <c r="ITQ23" s="19"/>
      <c r="ITR23" s="19"/>
      <c r="ITS23" s="19"/>
      <c r="ITT23" s="19"/>
      <c r="ITU23" s="19"/>
      <c r="ITV23" s="19"/>
      <c r="ITW23" s="19"/>
      <c r="ITX23" s="19"/>
      <c r="ITY23" s="19"/>
      <c r="ITZ23" s="19"/>
      <c r="IUA23" s="19"/>
      <c r="IUB23" s="19"/>
      <c r="IUC23" s="19"/>
      <c r="IUD23" s="19"/>
      <c r="IUE23" s="19"/>
      <c r="IUF23" s="19"/>
      <c r="IUG23" s="19"/>
      <c r="IUH23" s="19"/>
      <c r="IUI23" s="19"/>
      <c r="IUJ23" s="19"/>
      <c r="IUK23" s="19"/>
      <c r="IUL23" s="19"/>
      <c r="IUM23" s="19"/>
      <c r="IUN23" s="19"/>
      <c r="IUO23" s="19"/>
      <c r="IUP23" s="19"/>
      <c r="IUQ23" s="19"/>
      <c r="IUR23" s="19"/>
      <c r="IUS23" s="19"/>
      <c r="IUT23" s="19"/>
      <c r="IUU23" s="19"/>
      <c r="IUV23" s="19"/>
      <c r="IUW23" s="19"/>
      <c r="IUX23" s="19"/>
      <c r="IUY23" s="19"/>
      <c r="IUZ23" s="19"/>
      <c r="IVA23" s="19"/>
      <c r="IVB23" s="19"/>
      <c r="IVC23" s="19"/>
      <c r="IVD23" s="19"/>
      <c r="IVE23" s="19"/>
      <c r="IVF23" s="19"/>
      <c r="IVG23" s="19"/>
      <c r="IVH23" s="19"/>
      <c r="IVI23" s="19"/>
      <c r="IVJ23" s="19"/>
      <c r="IVK23" s="19"/>
      <c r="IVL23" s="19"/>
      <c r="IVM23" s="19"/>
      <c r="IVN23" s="19"/>
      <c r="IVO23" s="19"/>
      <c r="IVP23" s="19"/>
      <c r="IVQ23" s="19"/>
      <c r="IVR23" s="19"/>
      <c r="IVS23" s="19"/>
      <c r="IVT23" s="19"/>
      <c r="IVU23" s="19"/>
      <c r="IVV23" s="19"/>
      <c r="IVW23" s="19"/>
      <c r="IVX23" s="19"/>
      <c r="IVY23" s="19"/>
      <c r="IVZ23" s="19"/>
      <c r="IWA23" s="19"/>
      <c r="IWB23" s="19"/>
      <c r="IWC23" s="19"/>
      <c r="IWD23" s="19"/>
      <c r="IWE23" s="19"/>
      <c r="IWF23" s="19"/>
      <c r="IWG23" s="19"/>
      <c r="IWH23" s="19"/>
      <c r="IWI23" s="19"/>
      <c r="IWJ23" s="19"/>
      <c r="IWK23" s="19"/>
      <c r="IWL23" s="19"/>
      <c r="IWM23" s="19"/>
      <c r="IWN23" s="19"/>
      <c r="IWO23" s="19"/>
      <c r="IWP23" s="19"/>
      <c r="IWQ23" s="19"/>
      <c r="IWR23" s="19"/>
      <c r="IWS23" s="19"/>
      <c r="IWT23" s="19"/>
      <c r="IWU23" s="19"/>
      <c r="IWV23" s="19"/>
      <c r="IWW23" s="19"/>
      <c r="IWX23" s="19"/>
      <c r="IWY23" s="19"/>
      <c r="IWZ23" s="19"/>
      <c r="IXA23" s="19"/>
      <c r="IXB23" s="19"/>
      <c r="IXC23" s="19"/>
      <c r="IXD23" s="19"/>
      <c r="IXE23" s="19"/>
      <c r="IXF23" s="19"/>
      <c r="IXG23" s="19"/>
      <c r="IXH23" s="19"/>
      <c r="IXI23" s="19"/>
      <c r="IXJ23" s="19"/>
      <c r="IXK23" s="19"/>
      <c r="IXL23" s="19"/>
      <c r="IXM23" s="19"/>
      <c r="IXN23" s="19"/>
      <c r="IXO23" s="19"/>
      <c r="IXP23" s="19"/>
      <c r="IXQ23" s="19"/>
      <c r="IXR23" s="19"/>
      <c r="IXS23" s="19"/>
      <c r="IXT23" s="19"/>
      <c r="IXU23" s="19"/>
      <c r="IXV23" s="19"/>
      <c r="IXW23" s="19"/>
      <c r="IXX23" s="19"/>
      <c r="IXY23" s="19"/>
      <c r="IXZ23" s="19"/>
      <c r="IYA23" s="19"/>
      <c r="IYB23" s="19"/>
      <c r="IYC23" s="19"/>
      <c r="IYD23" s="19"/>
      <c r="IYE23" s="19"/>
      <c r="IYF23" s="19"/>
      <c r="IYG23" s="19"/>
      <c r="IYH23" s="19"/>
      <c r="IYI23" s="19"/>
      <c r="IYJ23" s="19"/>
      <c r="IYK23" s="19"/>
      <c r="IYL23" s="19"/>
      <c r="IYM23" s="19"/>
      <c r="IYN23" s="19"/>
      <c r="IYO23" s="19"/>
      <c r="IYP23" s="19"/>
      <c r="IYQ23" s="19"/>
      <c r="IYR23" s="19"/>
      <c r="IYS23" s="19"/>
      <c r="IYT23" s="19"/>
      <c r="IYU23" s="19"/>
      <c r="IYV23" s="19"/>
      <c r="IYW23" s="19"/>
      <c r="IYX23" s="19"/>
      <c r="IYY23" s="19"/>
      <c r="IYZ23" s="19"/>
      <c r="IZA23" s="19"/>
      <c r="IZB23" s="19"/>
      <c r="IZC23" s="19"/>
      <c r="IZD23" s="19"/>
      <c r="IZE23" s="19"/>
      <c r="IZF23" s="19"/>
      <c r="IZG23" s="19"/>
      <c r="IZH23" s="19"/>
      <c r="IZI23" s="19"/>
      <c r="IZJ23" s="19"/>
      <c r="IZK23" s="19"/>
      <c r="IZL23" s="19"/>
      <c r="IZM23" s="19"/>
      <c r="IZN23" s="19"/>
      <c r="IZO23" s="19"/>
      <c r="IZP23" s="19"/>
      <c r="IZQ23" s="19"/>
      <c r="IZR23" s="19"/>
      <c r="IZS23" s="19"/>
      <c r="IZT23" s="19"/>
      <c r="IZU23" s="19"/>
      <c r="IZV23" s="19"/>
      <c r="IZW23" s="19"/>
      <c r="IZX23" s="19"/>
      <c r="IZY23" s="19"/>
      <c r="IZZ23" s="19"/>
      <c r="JAA23" s="19"/>
      <c r="JAB23" s="19"/>
      <c r="JAC23" s="19"/>
      <c r="JAD23" s="19"/>
      <c r="JAE23" s="19"/>
      <c r="JAF23" s="19"/>
      <c r="JAG23" s="19"/>
      <c r="JAH23" s="19"/>
      <c r="JAI23" s="19"/>
      <c r="JAJ23" s="19"/>
      <c r="JAK23" s="19"/>
      <c r="JAL23" s="19"/>
      <c r="JAM23" s="19"/>
      <c r="JAN23" s="19"/>
      <c r="JAO23" s="19"/>
      <c r="JAP23" s="19"/>
      <c r="JAQ23" s="19"/>
      <c r="JAR23" s="19"/>
      <c r="JAS23" s="19"/>
      <c r="JAT23" s="19"/>
      <c r="JAU23" s="19"/>
      <c r="JAV23" s="19"/>
      <c r="JAW23" s="19"/>
      <c r="JAX23" s="19"/>
      <c r="JAY23" s="19"/>
      <c r="JAZ23" s="19"/>
      <c r="JBA23" s="19"/>
      <c r="JBB23" s="19"/>
      <c r="JBC23" s="19"/>
      <c r="JBD23" s="19"/>
      <c r="JBE23" s="19"/>
      <c r="JBF23" s="19"/>
      <c r="JBG23" s="19"/>
      <c r="JBH23" s="19"/>
      <c r="JBI23" s="19"/>
      <c r="JBJ23" s="19"/>
      <c r="JBK23" s="19"/>
      <c r="JBL23" s="19"/>
      <c r="JBM23" s="19"/>
      <c r="JBN23" s="19"/>
      <c r="JBO23" s="19"/>
      <c r="JBP23" s="19"/>
      <c r="JBQ23" s="19"/>
      <c r="JBR23" s="19"/>
      <c r="JBS23" s="19"/>
      <c r="JBT23" s="19"/>
      <c r="JBU23" s="19"/>
      <c r="JBV23" s="19"/>
      <c r="JBW23" s="19"/>
      <c r="JBX23" s="19"/>
      <c r="JBY23" s="19"/>
      <c r="JBZ23" s="19"/>
      <c r="JCA23" s="19"/>
      <c r="JCB23" s="19"/>
      <c r="JCC23" s="19"/>
      <c r="JCD23" s="19"/>
      <c r="JCE23" s="19"/>
      <c r="JCF23" s="19"/>
      <c r="JCG23" s="19"/>
      <c r="JCH23" s="19"/>
      <c r="JCI23" s="19"/>
      <c r="JCJ23" s="19"/>
      <c r="JCK23" s="19"/>
      <c r="JCL23" s="19"/>
      <c r="JCM23" s="19"/>
      <c r="JCN23" s="19"/>
      <c r="JCO23" s="19"/>
      <c r="JCP23" s="19"/>
      <c r="JCQ23" s="19"/>
      <c r="JCR23" s="19"/>
      <c r="JCS23" s="19"/>
      <c r="JCT23" s="19"/>
      <c r="JCU23" s="19"/>
      <c r="JCV23" s="19"/>
      <c r="JCW23" s="19"/>
      <c r="JCX23" s="19"/>
      <c r="JCY23" s="19"/>
      <c r="JCZ23" s="19"/>
      <c r="JDA23" s="19"/>
      <c r="JDB23" s="19"/>
      <c r="JDC23" s="19"/>
      <c r="JDD23" s="19"/>
      <c r="JDE23" s="19"/>
      <c r="JDF23" s="19"/>
      <c r="JDG23" s="19"/>
      <c r="JDH23" s="19"/>
      <c r="JDI23" s="19"/>
      <c r="JDJ23" s="19"/>
      <c r="JDK23" s="19"/>
      <c r="JDL23" s="19"/>
      <c r="JDM23" s="19"/>
      <c r="JDN23" s="19"/>
      <c r="JDO23" s="19"/>
      <c r="JDP23" s="19"/>
      <c r="JDQ23" s="19"/>
      <c r="JDR23" s="19"/>
      <c r="JDS23" s="19"/>
      <c r="JDT23" s="19"/>
      <c r="JDU23" s="19"/>
      <c r="JDV23" s="19"/>
      <c r="JDW23" s="19"/>
      <c r="JDX23" s="19"/>
      <c r="JDY23" s="19"/>
      <c r="JDZ23" s="19"/>
      <c r="JEA23" s="19"/>
      <c r="JEB23" s="19"/>
      <c r="JEC23" s="19"/>
      <c r="JED23" s="19"/>
      <c r="JEE23" s="19"/>
      <c r="JEF23" s="19"/>
      <c r="JEG23" s="19"/>
      <c r="JEH23" s="19"/>
      <c r="JEI23" s="19"/>
      <c r="JEJ23" s="19"/>
      <c r="JEK23" s="19"/>
      <c r="JEL23" s="19"/>
      <c r="JEM23" s="19"/>
      <c r="JEN23" s="19"/>
      <c r="JEO23" s="19"/>
      <c r="JEP23" s="19"/>
      <c r="JEQ23" s="19"/>
      <c r="JER23" s="19"/>
      <c r="JES23" s="19"/>
      <c r="JET23" s="19"/>
      <c r="JEU23" s="19"/>
      <c r="JEV23" s="19"/>
      <c r="JEW23" s="19"/>
      <c r="JEX23" s="19"/>
      <c r="JEY23" s="19"/>
      <c r="JEZ23" s="19"/>
      <c r="JFA23" s="19"/>
      <c r="JFB23" s="19"/>
      <c r="JFC23" s="19"/>
      <c r="JFD23" s="19"/>
      <c r="JFE23" s="19"/>
      <c r="JFF23" s="19"/>
      <c r="JFG23" s="19"/>
      <c r="JFH23" s="19"/>
      <c r="JFI23" s="19"/>
      <c r="JFJ23" s="19"/>
      <c r="JFK23" s="19"/>
      <c r="JFL23" s="19"/>
      <c r="JFM23" s="19"/>
      <c r="JFN23" s="19"/>
      <c r="JFO23" s="19"/>
      <c r="JFP23" s="19"/>
      <c r="JFQ23" s="19"/>
      <c r="JFR23" s="19"/>
      <c r="JFS23" s="19"/>
      <c r="JFT23" s="19"/>
      <c r="JFU23" s="19"/>
      <c r="JFV23" s="19"/>
      <c r="JFW23" s="19"/>
      <c r="JFX23" s="19"/>
      <c r="JFY23" s="19"/>
      <c r="JFZ23" s="19"/>
      <c r="JGA23" s="19"/>
      <c r="JGB23" s="19"/>
      <c r="JGC23" s="19"/>
      <c r="JGD23" s="19"/>
      <c r="JGE23" s="19"/>
      <c r="JGF23" s="19"/>
      <c r="JGG23" s="19"/>
      <c r="JGH23" s="19"/>
      <c r="JGI23" s="19"/>
      <c r="JGJ23" s="19"/>
      <c r="JGK23" s="19"/>
      <c r="JGL23" s="19"/>
      <c r="JGM23" s="19"/>
      <c r="JGN23" s="19"/>
      <c r="JGO23" s="19"/>
      <c r="JGP23" s="19"/>
      <c r="JGQ23" s="19"/>
      <c r="JGR23" s="19"/>
      <c r="JGS23" s="19"/>
      <c r="JGT23" s="19"/>
      <c r="JGU23" s="19"/>
      <c r="JGV23" s="19"/>
      <c r="JGW23" s="19"/>
      <c r="JGX23" s="19"/>
      <c r="JGY23" s="19"/>
      <c r="JGZ23" s="19"/>
      <c r="JHA23" s="19"/>
      <c r="JHB23" s="19"/>
      <c r="JHC23" s="19"/>
      <c r="JHD23" s="19"/>
      <c r="JHE23" s="19"/>
      <c r="JHF23" s="19"/>
      <c r="JHG23" s="19"/>
      <c r="JHH23" s="19"/>
      <c r="JHI23" s="19"/>
      <c r="JHJ23" s="19"/>
      <c r="JHK23" s="19"/>
      <c r="JHL23" s="19"/>
      <c r="JHM23" s="19"/>
      <c r="JHN23" s="19"/>
      <c r="JHO23" s="19"/>
      <c r="JHP23" s="19"/>
      <c r="JHQ23" s="19"/>
      <c r="JHR23" s="19"/>
      <c r="JHS23" s="19"/>
      <c r="JHT23" s="19"/>
      <c r="JHU23" s="19"/>
      <c r="JHV23" s="19"/>
      <c r="JHW23" s="19"/>
      <c r="JHX23" s="19"/>
      <c r="JHY23" s="19"/>
      <c r="JHZ23" s="19"/>
      <c r="JIA23" s="19"/>
      <c r="JIB23" s="19"/>
      <c r="JIC23" s="19"/>
      <c r="JID23" s="19"/>
      <c r="JIE23" s="19"/>
      <c r="JIF23" s="19"/>
      <c r="JIG23" s="19"/>
      <c r="JIH23" s="19"/>
      <c r="JII23" s="19"/>
      <c r="JIJ23" s="19"/>
      <c r="JIK23" s="19"/>
      <c r="JIL23" s="19"/>
      <c r="JIM23" s="19"/>
      <c r="JIN23" s="19"/>
      <c r="JIO23" s="19"/>
      <c r="JIP23" s="19"/>
      <c r="JIQ23" s="19"/>
      <c r="JIR23" s="19"/>
      <c r="JIS23" s="19"/>
      <c r="JIT23" s="19"/>
      <c r="JIU23" s="19"/>
      <c r="JIV23" s="19"/>
      <c r="JIW23" s="19"/>
      <c r="JIX23" s="19"/>
      <c r="JIY23" s="19"/>
      <c r="JIZ23" s="19"/>
      <c r="JJA23" s="19"/>
      <c r="JJB23" s="19"/>
      <c r="JJC23" s="19"/>
      <c r="JJD23" s="19"/>
      <c r="JJE23" s="19"/>
      <c r="JJF23" s="19"/>
      <c r="JJG23" s="19"/>
      <c r="JJH23" s="19"/>
      <c r="JJI23" s="19"/>
      <c r="JJJ23" s="19"/>
      <c r="JJK23" s="19"/>
      <c r="JJL23" s="19"/>
      <c r="JJM23" s="19"/>
      <c r="JJN23" s="19"/>
      <c r="JJO23" s="19"/>
      <c r="JJP23" s="19"/>
      <c r="JJQ23" s="19"/>
      <c r="JJR23" s="19"/>
      <c r="JJS23" s="19"/>
      <c r="JJT23" s="19"/>
      <c r="JJU23" s="19"/>
      <c r="JJV23" s="19"/>
      <c r="JJW23" s="19"/>
      <c r="JJX23" s="19"/>
      <c r="JJY23" s="19"/>
      <c r="JJZ23" s="19"/>
      <c r="JKA23" s="19"/>
      <c r="JKB23" s="19"/>
      <c r="JKC23" s="19"/>
      <c r="JKD23" s="19"/>
      <c r="JKE23" s="19"/>
      <c r="JKF23" s="19"/>
      <c r="JKG23" s="19"/>
      <c r="JKH23" s="19"/>
      <c r="JKI23" s="19"/>
      <c r="JKJ23" s="19"/>
      <c r="JKK23" s="19"/>
      <c r="JKL23" s="19"/>
      <c r="JKM23" s="19"/>
      <c r="JKN23" s="19"/>
      <c r="JKO23" s="19"/>
      <c r="JKP23" s="19"/>
      <c r="JKQ23" s="19"/>
      <c r="JKR23" s="19"/>
      <c r="JKS23" s="19"/>
      <c r="JKT23" s="19"/>
      <c r="JKU23" s="19"/>
      <c r="JKV23" s="19"/>
      <c r="JKW23" s="19"/>
      <c r="JKX23" s="19"/>
      <c r="JKY23" s="19"/>
      <c r="JKZ23" s="19"/>
      <c r="JLA23" s="19"/>
      <c r="JLB23" s="19"/>
      <c r="JLC23" s="19"/>
      <c r="JLD23" s="19"/>
      <c r="JLE23" s="19"/>
      <c r="JLF23" s="19"/>
      <c r="JLG23" s="19"/>
      <c r="JLH23" s="19"/>
      <c r="JLI23" s="19"/>
      <c r="JLJ23" s="19"/>
      <c r="JLK23" s="19"/>
      <c r="JLL23" s="19"/>
      <c r="JLM23" s="19"/>
      <c r="JLN23" s="19"/>
      <c r="JLO23" s="19"/>
      <c r="JLP23" s="19"/>
      <c r="JLQ23" s="19"/>
      <c r="JLR23" s="19"/>
      <c r="JLS23" s="19"/>
      <c r="JLT23" s="19"/>
      <c r="JLU23" s="19"/>
      <c r="JLV23" s="19"/>
      <c r="JLW23" s="19"/>
      <c r="JLX23" s="19"/>
      <c r="JLY23" s="19"/>
      <c r="JLZ23" s="19"/>
      <c r="JMA23" s="19"/>
      <c r="JMB23" s="19"/>
      <c r="JMC23" s="19"/>
      <c r="JMD23" s="19"/>
      <c r="JME23" s="19"/>
      <c r="JMF23" s="19"/>
      <c r="JMG23" s="19"/>
      <c r="JMH23" s="19"/>
      <c r="JMI23" s="19"/>
      <c r="JMJ23" s="19"/>
      <c r="JMK23" s="19"/>
      <c r="JML23" s="19"/>
      <c r="JMM23" s="19"/>
      <c r="JMN23" s="19"/>
      <c r="JMO23" s="19"/>
      <c r="JMP23" s="19"/>
      <c r="JMQ23" s="19"/>
      <c r="JMR23" s="19"/>
      <c r="JMS23" s="19"/>
      <c r="JMT23" s="19"/>
      <c r="JMU23" s="19"/>
      <c r="JMV23" s="19"/>
      <c r="JMW23" s="19"/>
      <c r="JMX23" s="19"/>
      <c r="JMY23" s="19"/>
      <c r="JMZ23" s="19"/>
      <c r="JNA23" s="19"/>
      <c r="JNB23" s="19"/>
      <c r="JNC23" s="19"/>
      <c r="JND23" s="19"/>
      <c r="JNE23" s="19"/>
      <c r="JNF23" s="19"/>
      <c r="JNG23" s="19"/>
      <c r="JNH23" s="19"/>
      <c r="JNI23" s="19"/>
      <c r="JNJ23" s="19"/>
      <c r="JNK23" s="19"/>
      <c r="JNL23" s="19"/>
      <c r="JNM23" s="19"/>
      <c r="JNN23" s="19"/>
      <c r="JNO23" s="19"/>
      <c r="JNP23" s="19"/>
      <c r="JNQ23" s="19"/>
      <c r="JNR23" s="19"/>
      <c r="JNS23" s="19"/>
      <c r="JNT23" s="19"/>
      <c r="JNU23" s="19"/>
      <c r="JNV23" s="19"/>
      <c r="JNW23" s="19"/>
      <c r="JNX23" s="19"/>
      <c r="JNY23" s="19"/>
      <c r="JNZ23" s="19"/>
      <c r="JOA23" s="19"/>
      <c r="JOB23" s="19"/>
      <c r="JOC23" s="19"/>
      <c r="JOD23" s="19"/>
      <c r="JOE23" s="19"/>
      <c r="JOF23" s="19"/>
      <c r="JOG23" s="19"/>
      <c r="JOH23" s="19"/>
      <c r="JOI23" s="19"/>
      <c r="JOJ23" s="19"/>
      <c r="JOK23" s="19"/>
      <c r="JOL23" s="19"/>
      <c r="JOM23" s="19"/>
      <c r="JON23" s="19"/>
      <c r="JOO23" s="19"/>
      <c r="JOP23" s="19"/>
      <c r="JOQ23" s="19"/>
      <c r="JOR23" s="19"/>
      <c r="JOS23" s="19"/>
      <c r="JOT23" s="19"/>
      <c r="JOU23" s="19"/>
      <c r="JOV23" s="19"/>
      <c r="JOW23" s="19"/>
      <c r="JOX23" s="19"/>
      <c r="JOY23" s="19"/>
      <c r="JOZ23" s="19"/>
      <c r="JPA23" s="19"/>
      <c r="JPB23" s="19"/>
      <c r="JPC23" s="19"/>
      <c r="JPD23" s="19"/>
      <c r="JPE23" s="19"/>
      <c r="JPF23" s="19"/>
      <c r="JPG23" s="19"/>
      <c r="JPH23" s="19"/>
      <c r="JPI23" s="19"/>
      <c r="JPJ23" s="19"/>
      <c r="JPK23" s="19"/>
      <c r="JPL23" s="19"/>
      <c r="JPM23" s="19"/>
      <c r="JPN23" s="19"/>
      <c r="JPO23" s="19"/>
      <c r="JPP23" s="19"/>
      <c r="JPQ23" s="19"/>
      <c r="JPR23" s="19"/>
      <c r="JPS23" s="19"/>
      <c r="JPT23" s="19"/>
      <c r="JPU23" s="19"/>
      <c r="JPV23" s="19"/>
      <c r="JPW23" s="19"/>
      <c r="JPX23" s="19"/>
      <c r="JPY23" s="19"/>
      <c r="JPZ23" s="19"/>
      <c r="JQA23" s="19"/>
      <c r="JQB23" s="19"/>
      <c r="JQC23" s="19"/>
      <c r="JQD23" s="19"/>
      <c r="JQE23" s="19"/>
      <c r="JQF23" s="19"/>
      <c r="JQG23" s="19"/>
      <c r="JQH23" s="19"/>
      <c r="JQI23" s="19"/>
      <c r="JQJ23" s="19"/>
      <c r="JQK23" s="19"/>
      <c r="JQL23" s="19"/>
      <c r="JQM23" s="19"/>
      <c r="JQN23" s="19"/>
      <c r="JQO23" s="19"/>
      <c r="JQP23" s="19"/>
      <c r="JQQ23" s="19"/>
      <c r="JQR23" s="19"/>
      <c r="JQS23" s="19"/>
      <c r="JQT23" s="19"/>
      <c r="JQU23" s="19"/>
      <c r="JQV23" s="19"/>
      <c r="JQW23" s="19"/>
      <c r="JQX23" s="19"/>
      <c r="JQY23" s="19"/>
      <c r="JQZ23" s="19"/>
      <c r="JRA23" s="19"/>
      <c r="JRB23" s="19"/>
      <c r="JRC23" s="19"/>
      <c r="JRD23" s="19"/>
      <c r="JRE23" s="19"/>
      <c r="JRF23" s="19"/>
      <c r="JRG23" s="19"/>
      <c r="JRH23" s="19"/>
      <c r="JRI23" s="19"/>
      <c r="JRJ23" s="19"/>
      <c r="JRK23" s="19"/>
      <c r="JRL23" s="19"/>
      <c r="JRM23" s="19"/>
      <c r="JRN23" s="19"/>
      <c r="JRO23" s="19"/>
      <c r="JRP23" s="19"/>
      <c r="JRQ23" s="19"/>
      <c r="JRR23" s="19"/>
      <c r="JRS23" s="19"/>
      <c r="JRT23" s="19"/>
      <c r="JRU23" s="19"/>
      <c r="JRV23" s="19"/>
      <c r="JRW23" s="19"/>
      <c r="JRX23" s="19"/>
      <c r="JRY23" s="19"/>
      <c r="JRZ23" s="19"/>
      <c r="JSA23" s="19"/>
      <c r="JSB23" s="19"/>
      <c r="JSC23" s="19"/>
      <c r="JSD23" s="19"/>
      <c r="JSE23" s="19"/>
      <c r="JSF23" s="19"/>
      <c r="JSG23" s="19"/>
      <c r="JSH23" s="19"/>
      <c r="JSI23" s="19"/>
      <c r="JSJ23" s="19"/>
      <c r="JSK23" s="19"/>
      <c r="JSL23" s="19"/>
      <c r="JSM23" s="19"/>
      <c r="JSN23" s="19"/>
      <c r="JSO23" s="19"/>
      <c r="JSP23" s="19"/>
      <c r="JSQ23" s="19"/>
      <c r="JSR23" s="19"/>
      <c r="JSS23" s="19"/>
      <c r="JST23" s="19"/>
      <c r="JSU23" s="19"/>
      <c r="JSV23" s="19"/>
      <c r="JSW23" s="19"/>
      <c r="JSX23" s="19"/>
      <c r="JSY23" s="19"/>
      <c r="JSZ23" s="19"/>
      <c r="JTA23" s="19"/>
      <c r="JTB23" s="19"/>
      <c r="JTC23" s="19"/>
      <c r="JTD23" s="19"/>
      <c r="JTE23" s="19"/>
      <c r="JTF23" s="19"/>
      <c r="JTG23" s="19"/>
      <c r="JTH23" s="19"/>
      <c r="JTI23" s="19"/>
      <c r="JTJ23" s="19"/>
      <c r="JTK23" s="19"/>
      <c r="JTL23" s="19"/>
      <c r="JTM23" s="19"/>
      <c r="JTN23" s="19"/>
      <c r="JTO23" s="19"/>
      <c r="JTP23" s="19"/>
      <c r="JTQ23" s="19"/>
      <c r="JTR23" s="19"/>
      <c r="JTS23" s="19"/>
      <c r="JTT23" s="19"/>
      <c r="JTU23" s="19"/>
      <c r="JTV23" s="19"/>
      <c r="JTW23" s="19"/>
      <c r="JTX23" s="19"/>
      <c r="JTY23" s="19"/>
      <c r="JTZ23" s="19"/>
      <c r="JUA23" s="19"/>
      <c r="JUB23" s="19"/>
      <c r="JUC23" s="19"/>
      <c r="JUD23" s="19"/>
      <c r="JUE23" s="19"/>
      <c r="JUF23" s="19"/>
      <c r="JUG23" s="19"/>
      <c r="JUH23" s="19"/>
      <c r="JUI23" s="19"/>
      <c r="JUJ23" s="19"/>
      <c r="JUK23" s="19"/>
      <c r="JUL23" s="19"/>
      <c r="JUM23" s="19"/>
      <c r="JUN23" s="19"/>
      <c r="JUO23" s="19"/>
      <c r="JUP23" s="19"/>
      <c r="JUQ23" s="19"/>
      <c r="JUR23" s="19"/>
      <c r="JUS23" s="19"/>
      <c r="JUT23" s="19"/>
      <c r="JUU23" s="19"/>
      <c r="JUV23" s="19"/>
      <c r="JUW23" s="19"/>
      <c r="JUX23" s="19"/>
      <c r="JUY23" s="19"/>
      <c r="JUZ23" s="19"/>
      <c r="JVA23" s="19"/>
      <c r="JVB23" s="19"/>
      <c r="JVC23" s="19"/>
      <c r="JVD23" s="19"/>
      <c r="JVE23" s="19"/>
      <c r="JVF23" s="19"/>
      <c r="JVG23" s="19"/>
      <c r="JVH23" s="19"/>
      <c r="JVI23" s="19"/>
      <c r="JVJ23" s="19"/>
      <c r="JVK23" s="19"/>
      <c r="JVL23" s="19"/>
      <c r="JVM23" s="19"/>
      <c r="JVN23" s="19"/>
      <c r="JVO23" s="19"/>
      <c r="JVP23" s="19"/>
      <c r="JVQ23" s="19"/>
      <c r="JVR23" s="19"/>
      <c r="JVS23" s="19"/>
      <c r="JVT23" s="19"/>
      <c r="JVU23" s="19"/>
      <c r="JVV23" s="19"/>
      <c r="JVW23" s="19"/>
      <c r="JVX23" s="19"/>
      <c r="JVY23" s="19"/>
      <c r="JVZ23" s="19"/>
      <c r="JWA23" s="19"/>
      <c r="JWB23" s="19"/>
      <c r="JWC23" s="19"/>
      <c r="JWD23" s="19"/>
      <c r="JWE23" s="19"/>
      <c r="JWF23" s="19"/>
      <c r="JWG23" s="19"/>
      <c r="JWH23" s="19"/>
      <c r="JWI23" s="19"/>
      <c r="JWJ23" s="19"/>
      <c r="JWK23" s="19"/>
      <c r="JWL23" s="19"/>
      <c r="JWM23" s="19"/>
      <c r="JWN23" s="19"/>
      <c r="JWO23" s="19"/>
      <c r="JWP23" s="19"/>
      <c r="JWQ23" s="19"/>
      <c r="JWR23" s="19"/>
      <c r="JWS23" s="19"/>
      <c r="JWT23" s="19"/>
      <c r="JWU23" s="19"/>
      <c r="JWV23" s="19"/>
      <c r="JWW23" s="19"/>
      <c r="JWX23" s="19"/>
      <c r="JWY23" s="19"/>
      <c r="JWZ23" s="19"/>
      <c r="JXA23" s="19"/>
      <c r="JXB23" s="19"/>
      <c r="JXC23" s="19"/>
      <c r="JXD23" s="19"/>
      <c r="JXE23" s="19"/>
      <c r="JXF23" s="19"/>
      <c r="JXG23" s="19"/>
      <c r="JXH23" s="19"/>
      <c r="JXI23" s="19"/>
      <c r="JXJ23" s="19"/>
      <c r="JXK23" s="19"/>
      <c r="JXL23" s="19"/>
      <c r="JXM23" s="19"/>
      <c r="JXN23" s="19"/>
      <c r="JXO23" s="19"/>
      <c r="JXP23" s="19"/>
      <c r="JXQ23" s="19"/>
      <c r="JXR23" s="19"/>
      <c r="JXS23" s="19"/>
      <c r="JXT23" s="19"/>
      <c r="JXU23" s="19"/>
      <c r="JXV23" s="19"/>
      <c r="JXW23" s="19"/>
      <c r="JXX23" s="19"/>
      <c r="JXY23" s="19"/>
      <c r="JXZ23" s="19"/>
      <c r="JYA23" s="19"/>
      <c r="JYB23" s="19"/>
      <c r="JYC23" s="19"/>
      <c r="JYD23" s="19"/>
      <c r="JYE23" s="19"/>
      <c r="JYF23" s="19"/>
      <c r="JYG23" s="19"/>
      <c r="JYH23" s="19"/>
      <c r="JYI23" s="19"/>
      <c r="JYJ23" s="19"/>
      <c r="JYK23" s="19"/>
      <c r="JYL23" s="19"/>
      <c r="JYM23" s="19"/>
      <c r="JYN23" s="19"/>
      <c r="JYO23" s="19"/>
      <c r="JYP23" s="19"/>
      <c r="JYQ23" s="19"/>
      <c r="JYR23" s="19"/>
      <c r="JYS23" s="19"/>
      <c r="JYT23" s="19"/>
      <c r="JYU23" s="19"/>
      <c r="JYV23" s="19"/>
      <c r="JYW23" s="19"/>
      <c r="JYX23" s="19"/>
      <c r="JYY23" s="19"/>
      <c r="JYZ23" s="19"/>
      <c r="JZA23" s="19"/>
      <c r="JZB23" s="19"/>
      <c r="JZC23" s="19"/>
      <c r="JZD23" s="19"/>
      <c r="JZE23" s="19"/>
      <c r="JZF23" s="19"/>
      <c r="JZG23" s="19"/>
      <c r="JZH23" s="19"/>
      <c r="JZI23" s="19"/>
      <c r="JZJ23" s="19"/>
      <c r="JZK23" s="19"/>
      <c r="JZL23" s="19"/>
      <c r="JZM23" s="19"/>
      <c r="JZN23" s="19"/>
      <c r="JZO23" s="19"/>
      <c r="JZP23" s="19"/>
      <c r="JZQ23" s="19"/>
      <c r="JZR23" s="19"/>
      <c r="JZS23" s="19"/>
      <c r="JZT23" s="19"/>
      <c r="JZU23" s="19"/>
      <c r="JZV23" s="19"/>
      <c r="JZW23" s="19"/>
      <c r="JZX23" s="19"/>
      <c r="JZY23" s="19"/>
      <c r="JZZ23" s="19"/>
      <c r="KAA23" s="19"/>
      <c r="KAB23" s="19"/>
      <c r="KAC23" s="19"/>
      <c r="KAD23" s="19"/>
      <c r="KAE23" s="19"/>
      <c r="KAF23" s="19"/>
      <c r="KAG23" s="19"/>
      <c r="KAH23" s="19"/>
      <c r="KAI23" s="19"/>
      <c r="KAJ23" s="19"/>
      <c r="KAK23" s="19"/>
      <c r="KAL23" s="19"/>
      <c r="KAM23" s="19"/>
      <c r="KAN23" s="19"/>
      <c r="KAO23" s="19"/>
      <c r="KAP23" s="19"/>
      <c r="KAQ23" s="19"/>
      <c r="KAR23" s="19"/>
      <c r="KAS23" s="19"/>
      <c r="KAT23" s="19"/>
      <c r="KAU23" s="19"/>
      <c r="KAV23" s="19"/>
      <c r="KAW23" s="19"/>
      <c r="KAX23" s="19"/>
      <c r="KAY23" s="19"/>
      <c r="KAZ23" s="19"/>
      <c r="KBA23" s="19"/>
      <c r="KBB23" s="19"/>
      <c r="KBC23" s="19"/>
      <c r="KBD23" s="19"/>
      <c r="KBE23" s="19"/>
      <c r="KBF23" s="19"/>
      <c r="KBG23" s="19"/>
      <c r="KBH23" s="19"/>
      <c r="KBI23" s="19"/>
      <c r="KBJ23" s="19"/>
      <c r="KBK23" s="19"/>
      <c r="KBL23" s="19"/>
      <c r="KBM23" s="19"/>
      <c r="KBN23" s="19"/>
      <c r="KBO23" s="19"/>
      <c r="KBP23" s="19"/>
      <c r="KBQ23" s="19"/>
      <c r="KBR23" s="19"/>
      <c r="KBS23" s="19"/>
      <c r="KBT23" s="19"/>
      <c r="KBU23" s="19"/>
      <c r="KBV23" s="19"/>
      <c r="KBW23" s="19"/>
      <c r="KBX23" s="19"/>
      <c r="KBY23" s="19"/>
      <c r="KBZ23" s="19"/>
      <c r="KCA23" s="19"/>
      <c r="KCB23" s="19"/>
      <c r="KCC23" s="19"/>
      <c r="KCD23" s="19"/>
      <c r="KCE23" s="19"/>
      <c r="KCF23" s="19"/>
      <c r="KCG23" s="19"/>
      <c r="KCH23" s="19"/>
      <c r="KCI23" s="19"/>
      <c r="KCJ23" s="19"/>
      <c r="KCK23" s="19"/>
      <c r="KCL23" s="19"/>
      <c r="KCM23" s="19"/>
      <c r="KCN23" s="19"/>
      <c r="KCO23" s="19"/>
      <c r="KCP23" s="19"/>
      <c r="KCQ23" s="19"/>
      <c r="KCR23" s="19"/>
      <c r="KCS23" s="19"/>
      <c r="KCT23" s="19"/>
      <c r="KCU23" s="19"/>
      <c r="KCV23" s="19"/>
      <c r="KCW23" s="19"/>
      <c r="KCX23" s="19"/>
      <c r="KCY23" s="19"/>
      <c r="KCZ23" s="19"/>
      <c r="KDA23" s="19"/>
      <c r="KDB23" s="19"/>
      <c r="KDC23" s="19"/>
      <c r="KDD23" s="19"/>
      <c r="KDE23" s="19"/>
      <c r="KDF23" s="19"/>
      <c r="KDG23" s="19"/>
      <c r="KDH23" s="19"/>
      <c r="KDI23" s="19"/>
      <c r="KDJ23" s="19"/>
      <c r="KDK23" s="19"/>
      <c r="KDL23" s="19"/>
      <c r="KDM23" s="19"/>
      <c r="KDN23" s="19"/>
      <c r="KDO23" s="19"/>
      <c r="KDP23" s="19"/>
      <c r="KDQ23" s="19"/>
      <c r="KDR23" s="19"/>
      <c r="KDS23" s="19"/>
      <c r="KDT23" s="19"/>
      <c r="KDU23" s="19"/>
      <c r="KDV23" s="19"/>
      <c r="KDW23" s="19"/>
      <c r="KDX23" s="19"/>
      <c r="KDY23" s="19"/>
      <c r="KDZ23" s="19"/>
      <c r="KEA23" s="19"/>
      <c r="KEB23" s="19"/>
      <c r="KEC23" s="19"/>
      <c r="KED23" s="19"/>
      <c r="KEE23" s="19"/>
      <c r="KEF23" s="19"/>
      <c r="KEG23" s="19"/>
      <c r="KEH23" s="19"/>
      <c r="KEI23" s="19"/>
      <c r="KEJ23" s="19"/>
      <c r="KEK23" s="19"/>
      <c r="KEL23" s="19"/>
      <c r="KEM23" s="19"/>
      <c r="KEN23" s="19"/>
      <c r="KEO23" s="19"/>
      <c r="KEP23" s="19"/>
      <c r="KEQ23" s="19"/>
      <c r="KER23" s="19"/>
      <c r="KES23" s="19"/>
      <c r="KET23" s="19"/>
      <c r="KEU23" s="19"/>
      <c r="KEV23" s="19"/>
      <c r="KEW23" s="19"/>
      <c r="KEX23" s="19"/>
      <c r="KEY23" s="19"/>
      <c r="KEZ23" s="19"/>
      <c r="KFA23" s="19"/>
      <c r="KFB23" s="19"/>
      <c r="KFC23" s="19"/>
      <c r="KFD23" s="19"/>
      <c r="KFE23" s="19"/>
      <c r="KFF23" s="19"/>
      <c r="KFG23" s="19"/>
      <c r="KFH23" s="19"/>
      <c r="KFI23" s="19"/>
      <c r="KFJ23" s="19"/>
      <c r="KFK23" s="19"/>
      <c r="KFL23" s="19"/>
      <c r="KFM23" s="19"/>
      <c r="KFN23" s="19"/>
      <c r="KFO23" s="19"/>
      <c r="KFP23" s="19"/>
      <c r="KFQ23" s="19"/>
      <c r="KFR23" s="19"/>
      <c r="KFS23" s="19"/>
      <c r="KFT23" s="19"/>
      <c r="KFU23" s="19"/>
      <c r="KFV23" s="19"/>
      <c r="KFW23" s="19"/>
      <c r="KFX23" s="19"/>
      <c r="KFY23" s="19"/>
      <c r="KFZ23" s="19"/>
      <c r="KGA23" s="19"/>
      <c r="KGB23" s="19"/>
      <c r="KGC23" s="19"/>
      <c r="KGD23" s="19"/>
      <c r="KGE23" s="19"/>
      <c r="KGF23" s="19"/>
      <c r="KGG23" s="19"/>
      <c r="KGH23" s="19"/>
      <c r="KGI23" s="19"/>
      <c r="KGJ23" s="19"/>
      <c r="KGK23" s="19"/>
      <c r="KGL23" s="19"/>
      <c r="KGM23" s="19"/>
      <c r="KGN23" s="19"/>
      <c r="KGO23" s="19"/>
      <c r="KGP23" s="19"/>
      <c r="KGQ23" s="19"/>
      <c r="KGR23" s="19"/>
      <c r="KGS23" s="19"/>
      <c r="KGT23" s="19"/>
      <c r="KGU23" s="19"/>
      <c r="KGV23" s="19"/>
      <c r="KGW23" s="19"/>
      <c r="KGX23" s="19"/>
      <c r="KGY23" s="19"/>
      <c r="KGZ23" s="19"/>
      <c r="KHA23" s="19"/>
      <c r="KHB23" s="19"/>
      <c r="KHC23" s="19"/>
      <c r="KHD23" s="19"/>
      <c r="KHE23" s="19"/>
      <c r="KHF23" s="19"/>
      <c r="KHG23" s="19"/>
      <c r="KHH23" s="19"/>
      <c r="KHI23" s="19"/>
      <c r="KHJ23" s="19"/>
      <c r="KHK23" s="19"/>
      <c r="KHL23" s="19"/>
      <c r="KHM23" s="19"/>
      <c r="KHN23" s="19"/>
      <c r="KHO23" s="19"/>
      <c r="KHP23" s="19"/>
      <c r="KHQ23" s="19"/>
      <c r="KHR23" s="19"/>
      <c r="KHS23" s="19"/>
      <c r="KHT23" s="19"/>
      <c r="KHU23" s="19"/>
      <c r="KHV23" s="19"/>
      <c r="KHW23" s="19"/>
      <c r="KHX23" s="19"/>
      <c r="KHY23" s="19"/>
      <c r="KHZ23" s="19"/>
      <c r="KIA23" s="19"/>
      <c r="KIB23" s="19"/>
      <c r="KIC23" s="19"/>
      <c r="KID23" s="19"/>
      <c r="KIE23" s="19"/>
      <c r="KIF23" s="19"/>
      <c r="KIG23" s="19"/>
      <c r="KIH23" s="19"/>
      <c r="KII23" s="19"/>
      <c r="KIJ23" s="19"/>
      <c r="KIK23" s="19"/>
      <c r="KIL23" s="19"/>
      <c r="KIM23" s="19"/>
      <c r="KIN23" s="19"/>
      <c r="KIO23" s="19"/>
      <c r="KIP23" s="19"/>
      <c r="KIQ23" s="19"/>
      <c r="KIR23" s="19"/>
      <c r="KIS23" s="19"/>
      <c r="KIT23" s="19"/>
      <c r="KIU23" s="19"/>
      <c r="KIV23" s="19"/>
      <c r="KIW23" s="19"/>
      <c r="KIX23" s="19"/>
      <c r="KIY23" s="19"/>
      <c r="KIZ23" s="19"/>
      <c r="KJA23" s="19"/>
      <c r="KJB23" s="19"/>
      <c r="KJC23" s="19"/>
      <c r="KJD23" s="19"/>
      <c r="KJE23" s="19"/>
      <c r="KJF23" s="19"/>
      <c r="KJG23" s="19"/>
      <c r="KJH23" s="19"/>
      <c r="KJI23" s="19"/>
      <c r="KJJ23" s="19"/>
      <c r="KJK23" s="19"/>
      <c r="KJL23" s="19"/>
      <c r="KJM23" s="19"/>
      <c r="KJN23" s="19"/>
      <c r="KJO23" s="19"/>
      <c r="KJP23" s="19"/>
      <c r="KJQ23" s="19"/>
      <c r="KJR23" s="19"/>
      <c r="KJS23" s="19"/>
      <c r="KJT23" s="19"/>
      <c r="KJU23" s="19"/>
      <c r="KJV23" s="19"/>
      <c r="KJW23" s="19"/>
      <c r="KJX23" s="19"/>
      <c r="KJY23" s="19"/>
      <c r="KJZ23" s="19"/>
      <c r="KKA23" s="19"/>
      <c r="KKB23" s="19"/>
      <c r="KKC23" s="19"/>
      <c r="KKD23" s="19"/>
      <c r="KKE23" s="19"/>
      <c r="KKF23" s="19"/>
      <c r="KKG23" s="19"/>
      <c r="KKH23" s="19"/>
      <c r="KKI23" s="19"/>
      <c r="KKJ23" s="19"/>
      <c r="KKK23" s="19"/>
      <c r="KKL23" s="19"/>
      <c r="KKM23" s="19"/>
      <c r="KKN23" s="19"/>
      <c r="KKO23" s="19"/>
      <c r="KKP23" s="19"/>
      <c r="KKQ23" s="19"/>
      <c r="KKR23" s="19"/>
      <c r="KKS23" s="19"/>
      <c r="KKT23" s="19"/>
      <c r="KKU23" s="19"/>
      <c r="KKV23" s="19"/>
      <c r="KKW23" s="19"/>
      <c r="KKX23" s="19"/>
      <c r="KKY23" s="19"/>
      <c r="KKZ23" s="19"/>
      <c r="KLA23" s="19"/>
      <c r="KLB23" s="19"/>
      <c r="KLC23" s="19"/>
      <c r="KLD23" s="19"/>
      <c r="KLE23" s="19"/>
      <c r="KLF23" s="19"/>
      <c r="KLG23" s="19"/>
      <c r="KLH23" s="19"/>
      <c r="KLI23" s="19"/>
      <c r="KLJ23" s="19"/>
      <c r="KLK23" s="19"/>
      <c r="KLL23" s="19"/>
      <c r="KLM23" s="19"/>
      <c r="KLN23" s="19"/>
      <c r="KLO23" s="19"/>
      <c r="KLP23" s="19"/>
      <c r="KLQ23" s="19"/>
      <c r="KLR23" s="19"/>
      <c r="KLS23" s="19"/>
      <c r="KLT23" s="19"/>
      <c r="KLU23" s="19"/>
      <c r="KLV23" s="19"/>
      <c r="KLW23" s="19"/>
      <c r="KLX23" s="19"/>
      <c r="KLY23" s="19"/>
      <c r="KLZ23" s="19"/>
      <c r="KMA23" s="19"/>
      <c r="KMB23" s="19"/>
      <c r="KMC23" s="19"/>
      <c r="KMD23" s="19"/>
      <c r="KME23" s="19"/>
      <c r="KMF23" s="19"/>
      <c r="KMG23" s="19"/>
      <c r="KMH23" s="19"/>
      <c r="KMI23" s="19"/>
      <c r="KMJ23" s="19"/>
      <c r="KMK23" s="19"/>
      <c r="KML23" s="19"/>
      <c r="KMM23" s="19"/>
      <c r="KMN23" s="19"/>
      <c r="KMO23" s="19"/>
      <c r="KMP23" s="19"/>
      <c r="KMQ23" s="19"/>
      <c r="KMR23" s="19"/>
      <c r="KMS23" s="19"/>
      <c r="KMT23" s="19"/>
      <c r="KMU23" s="19"/>
      <c r="KMV23" s="19"/>
      <c r="KMW23" s="19"/>
      <c r="KMX23" s="19"/>
      <c r="KMY23" s="19"/>
      <c r="KMZ23" s="19"/>
      <c r="KNA23" s="19"/>
      <c r="KNB23" s="19"/>
      <c r="KNC23" s="19"/>
      <c r="KND23" s="19"/>
      <c r="KNE23" s="19"/>
      <c r="KNF23" s="19"/>
      <c r="KNG23" s="19"/>
      <c r="KNH23" s="19"/>
      <c r="KNI23" s="19"/>
      <c r="KNJ23" s="19"/>
      <c r="KNK23" s="19"/>
      <c r="KNL23" s="19"/>
      <c r="KNM23" s="19"/>
      <c r="KNN23" s="19"/>
      <c r="KNO23" s="19"/>
      <c r="KNP23" s="19"/>
      <c r="KNQ23" s="19"/>
      <c r="KNR23" s="19"/>
      <c r="KNS23" s="19"/>
      <c r="KNT23" s="19"/>
      <c r="KNU23" s="19"/>
      <c r="KNV23" s="19"/>
      <c r="KNW23" s="19"/>
      <c r="KNX23" s="19"/>
      <c r="KNY23" s="19"/>
      <c r="KNZ23" s="19"/>
      <c r="KOA23" s="19"/>
      <c r="KOB23" s="19"/>
      <c r="KOC23" s="19"/>
      <c r="KOD23" s="19"/>
      <c r="KOE23" s="19"/>
      <c r="KOF23" s="19"/>
      <c r="KOG23" s="19"/>
      <c r="KOH23" s="19"/>
      <c r="KOI23" s="19"/>
      <c r="KOJ23" s="19"/>
      <c r="KOK23" s="19"/>
      <c r="KOL23" s="19"/>
      <c r="KOM23" s="19"/>
      <c r="KON23" s="19"/>
      <c r="KOO23" s="19"/>
      <c r="KOP23" s="19"/>
      <c r="KOQ23" s="19"/>
      <c r="KOR23" s="19"/>
      <c r="KOS23" s="19"/>
      <c r="KOT23" s="19"/>
      <c r="KOU23" s="19"/>
      <c r="KOV23" s="19"/>
      <c r="KOW23" s="19"/>
      <c r="KOX23" s="19"/>
      <c r="KOY23" s="19"/>
      <c r="KOZ23" s="19"/>
      <c r="KPA23" s="19"/>
      <c r="KPB23" s="19"/>
      <c r="KPC23" s="19"/>
      <c r="KPD23" s="19"/>
      <c r="KPE23" s="19"/>
      <c r="KPF23" s="19"/>
      <c r="KPG23" s="19"/>
      <c r="KPH23" s="19"/>
      <c r="KPI23" s="19"/>
      <c r="KPJ23" s="19"/>
      <c r="KPK23" s="19"/>
      <c r="KPL23" s="19"/>
      <c r="KPM23" s="19"/>
      <c r="KPN23" s="19"/>
      <c r="KPO23" s="19"/>
      <c r="KPP23" s="19"/>
      <c r="KPQ23" s="19"/>
      <c r="KPR23" s="19"/>
      <c r="KPS23" s="19"/>
      <c r="KPT23" s="19"/>
      <c r="KPU23" s="19"/>
      <c r="KPV23" s="19"/>
      <c r="KPW23" s="19"/>
      <c r="KPX23" s="19"/>
      <c r="KPY23" s="19"/>
      <c r="KPZ23" s="19"/>
      <c r="KQA23" s="19"/>
      <c r="KQB23" s="19"/>
      <c r="KQC23" s="19"/>
      <c r="KQD23" s="19"/>
      <c r="KQE23" s="19"/>
      <c r="KQF23" s="19"/>
      <c r="KQG23" s="19"/>
      <c r="KQH23" s="19"/>
      <c r="KQI23" s="19"/>
      <c r="KQJ23" s="19"/>
      <c r="KQK23" s="19"/>
      <c r="KQL23" s="19"/>
      <c r="KQM23" s="19"/>
      <c r="KQN23" s="19"/>
      <c r="KQO23" s="19"/>
      <c r="KQP23" s="19"/>
      <c r="KQQ23" s="19"/>
      <c r="KQR23" s="19"/>
      <c r="KQS23" s="19"/>
      <c r="KQT23" s="19"/>
      <c r="KQU23" s="19"/>
      <c r="KQV23" s="19"/>
      <c r="KQW23" s="19"/>
      <c r="KQX23" s="19"/>
      <c r="KQY23" s="19"/>
      <c r="KQZ23" s="19"/>
      <c r="KRA23" s="19"/>
      <c r="KRB23" s="19"/>
      <c r="KRC23" s="19"/>
      <c r="KRD23" s="19"/>
      <c r="KRE23" s="19"/>
      <c r="KRF23" s="19"/>
      <c r="KRG23" s="19"/>
      <c r="KRH23" s="19"/>
      <c r="KRI23" s="19"/>
      <c r="KRJ23" s="19"/>
      <c r="KRK23" s="19"/>
      <c r="KRL23" s="19"/>
      <c r="KRM23" s="19"/>
      <c r="KRN23" s="19"/>
      <c r="KRO23" s="19"/>
      <c r="KRP23" s="19"/>
      <c r="KRQ23" s="19"/>
      <c r="KRR23" s="19"/>
      <c r="KRS23" s="19"/>
      <c r="KRT23" s="19"/>
      <c r="KRU23" s="19"/>
      <c r="KRV23" s="19"/>
      <c r="KRW23" s="19"/>
      <c r="KRX23" s="19"/>
      <c r="KRY23" s="19"/>
      <c r="KRZ23" s="19"/>
      <c r="KSA23" s="19"/>
      <c r="KSB23" s="19"/>
      <c r="KSC23" s="19"/>
      <c r="KSD23" s="19"/>
      <c r="KSE23" s="19"/>
      <c r="KSF23" s="19"/>
      <c r="KSG23" s="19"/>
      <c r="KSH23" s="19"/>
      <c r="KSI23" s="19"/>
      <c r="KSJ23" s="19"/>
      <c r="KSK23" s="19"/>
      <c r="KSL23" s="19"/>
      <c r="KSM23" s="19"/>
      <c r="KSN23" s="19"/>
      <c r="KSO23" s="19"/>
      <c r="KSP23" s="19"/>
      <c r="KSQ23" s="19"/>
      <c r="KSR23" s="19"/>
      <c r="KSS23" s="19"/>
      <c r="KST23" s="19"/>
      <c r="KSU23" s="19"/>
      <c r="KSV23" s="19"/>
      <c r="KSW23" s="19"/>
      <c r="KSX23" s="19"/>
      <c r="KSY23" s="19"/>
      <c r="KSZ23" s="19"/>
      <c r="KTA23" s="19"/>
      <c r="KTB23" s="19"/>
      <c r="KTC23" s="19"/>
      <c r="KTD23" s="19"/>
      <c r="KTE23" s="19"/>
      <c r="KTF23" s="19"/>
      <c r="KTG23" s="19"/>
      <c r="KTH23" s="19"/>
      <c r="KTI23" s="19"/>
      <c r="KTJ23" s="19"/>
      <c r="KTK23" s="19"/>
      <c r="KTL23" s="19"/>
      <c r="KTM23" s="19"/>
      <c r="KTN23" s="19"/>
      <c r="KTO23" s="19"/>
      <c r="KTP23" s="19"/>
      <c r="KTQ23" s="19"/>
      <c r="KTR23" s="19"/>
      <c r="KTS23" s="19"/>
      <c r="KTT23" s="19"/>
      <c r="KTU23" s="19"/>
      <c r="KTV23" s="19"/>
      <c r="KTW23" s="19"/>
      <c r="KTX23" s="19"/>
      <c r="KTY23" s="19"/>
      <c r="KTZ23" s="19"/>
      <c r="KUA23" s="19"/>
      <c r="KUB23" s="19"/>
      <c r="KUC23" s="19"/>
      <c r="KUD23" s="19"/>
      <c r="KUE23" s="19"/>
      <c r="KUF23" s="19"/>
      <c r="KUG23" s="19"/>
      <c r="KUH23" s="19"/>
      <c r="KUI23" s="19"/>
      <c r="KUJ23" s="19"/>
      <c r="KUK23" s="19"/>
      <c r="KUL23" s="19"/>
      <c r="KUM23" s="19"/>
      <c r="KUN23" s="19"/>
      <c r="KUO23" s="19"/>
      <c r="KUP23" s="19"/>
      <c r="KUQ23" s="19"/>
      <c r="KUR23" s="19"/>
      <c r="KUS23" s="19"/>
      <c r="KUT23" s="19"/>
      <c r="KUU23" s="19"/>
      <c r="KUV23" s="19"/>
      <c r="KUW23" s="19"/>
      <c r="KUX23" s="19"/>
      <c r="KUY23" s="19"/>
      <c r="KUZ23" s="19"/>
      <c r="KVA23" s="19"/>
      <c r="KVB23" s="19"/>
      <c r="KVC23" s="19"/>
      <c r="KVD23" s="19"/>
      <c r="KVE23" s="19"/>
      <c r="KVF23" s="19"/>
      <c r="KVG23" s="19"/>
      <c r="KVH23" s="19"/>
      <c r="KVI23" s="19"/>
      <c r="KVJ23" s="19"/>
      <c r="KVK23" s="19"/>
      <c r="KVL23" s="19"/>
      <c r="KVM23" s="19"/>
      <c r="KVN23" s="19"/>
      <c r="KVO23" s="19"/>
      <c r="KVP23" s="19"/>
      <c r="KVQ23" s="19"/>
      <c r="KVR23" s="19"/>
      <c r="KVS23" s="19"/>
      <c r="KVT23" s="19"/>
      <c r="KVU23" s="19"/>
      <c r="KVV23" s="19"/>
      <c r="KVW23" s="19"/>
      <c r="KVX23" s="19"/>
      <c r="KVY23" s="19"/>
      <c r="KVZ23" s="19"/>
      <c r="KWA23" s="19"/>
      <c r="KWB23" s="19"/>
      <c r="KWC23" s="19"/>
      <c r="KWD23" s="19"/>
      <c r="KWE23" s="19"/>
      <c r="KWF23" s="19"/>
      <c r="KWG23" s="19"/>
      <c r="KWH23" s="19"/>
      <c r="KWI23" s="19"/>
      <c r="KWJ23" s="19"/>
      <c r="KWK23" s="19"/>
      <c r="KWL23" s="19"/>
      <c r="KWM23" s="19"/>
      <c r="KWN23" s="19"/>
      <c r="KWO23" s="19"/>
      <c r="KWP23" s="19"/>
      <c r="KWQ23" s="19"/>
      <c r="KWR23" s="19"/>
      <c r="KWS23" s="19"/>
      <c r="KWT23" s="19"/>
      <c r="KWU23" s="19"/>
      <c r="KWV23" s="19"/>
      <c r="KWW23" s="19"/>
      <c r="KWX23" s="19"/>
      <c r="KWY23" s="19"/>
      <c r="KWZ23" s="19"/>
      <c r="KXA23" s="19"/>
      <c r="KXB23" s="19"/>
      <c r="KXC23" s="19"/>
      <c r="KXD23" s="19"/>
      <c r="KXE23" s="19"/>
      <c r="KXF23" s="19"/>
      <c r="KXG23" s="19"/>
      <c r="KXH23" s="19"/>
      <c r="KXI23" s="19"/>
      <c r="KXJ23" s="19"/>
      <c r="KXK23" s="19"/>
      <c r="KXL23" s="19"/>
      <c r="KXM23" s="19"/>
      <c r="KXN23" s="19"/>
      <c r="KXO23" s="19"/>
      <c r="KXP23" s="19"/>
      <c r="KXQ23" s="19"/>
      <c r="KXR23" s="19"/>
      <c r="KXS23" s="19"/>
      <c r="KXT23" s="19"/>
      <c r="KXU23" s="19"/>
      <c r="KXV23" s="19"/>
      <c r="KXW23" s="19"/>
      <c r="KXX23" s="19"/>
      <c r="KXY23" s="19"/>
      <c r="KXZ23" s="19"/>
      <c r="KYA23" s="19"/>
      <c r="KYB23" s="19"/>
      <c r="KYC23" s="19"/>
      <c r="KYD23" s="19"/>
      <c r="KYE23" s="19"/>
      <c r="KYF23" s="19"/>
      <c r="KYG23" s="19"/>
      <c r="KYH23" s="19"/>
      <c r="KYI23" s="19"/>
      <c r="KYJ23" s="19"/>
      <c r="KYK23" s="19"/>
      <c r="KYL23" s="19"/>
      <c r="KYM23" s="19"/>
      <c r="KYN23" s="19"/>
      <c r="KYO23" s="19"/>
      <c r="KYP23" s="19"/>
      <c r="KYQ23" s="19"/>
      <c r="KYR23" s="19"/>
      <c r="KYS23" s="19"/>
      <c r="KYT23" s="19"/>
      <c r="KYU23" s="19"/>
      <c r="KYV23" s="19"/>
      <c r="KYW23" s="19"/>
      <c r="KYX23" s="19"/>
      <c r="KYY23" s="19"/>
      <c r="KYZ23" s="19"/>
      <c r="KZA23" s="19"/>
      <c r="KZB23" s="19"/>
      <c r="KZC23" s="19"/>
      <c r="KZD23" s="19"/>
      <c r="KZE23" s="19"/>
      <c r="KZF23" s="19"/>
      <c r="KZG23" s="19"/>
      <c r="KZH23" s="19"/>
      <c r="KZI23" s="19"/>
      <c r="KZJ23" s="19"/>
      <c r="KZK23" s="19"/>
      <c r="KZL23" s="19"/>
      <c r="KZM23" s="19"/>
      <c r="KZN23" s="19"/>
      <c r="KZO23" s="19"/>
      <c r="KZP23" s="19"/>
      <c r="KZQ23" s="19"/>
      <c r="KZR23" s="19"/>
      <c r="KZS23" s="19"/>
      <c r="KZT23" s="19"/>
      <c r="KZU23" s="19"/>
      <c r="KZV23" s="19"/>
      <c r="KZW23" s="19"/>
      <c r="KZX23" s="19"/>
      <c r="KZY23" s="19"/>
      <c r="KZZ23" s="19"/>
      <c r="LAA23" s="19"/>
      <c r="LAB23" s="19"/>
      <c r="LAC23" s="19"/>
      <c r="LAD23" s="19"/>
      <c r="LAE23" s="19"/>
      <c r="LAF23" s="19"/>
      <c r="LAG23" s="19"/>
      <c r="LAH23" s="19"/>
      <c r="LAI23" s="19"/>
      <c r="LAJ23" s="19"/>
      <c r="LAK23" s="19"/>
      <c r="LAL23" s="19"/>
      <c r="LAM23" s="19"/>
      <c r="LAN23" s="19"/>
      <c r="LAO23" s="19"/>
      <c r="LAP23" s="19"/>
      <c r="LAQ23" s="19"/>
      <c r="LAR23" s="19"/>
      <c r="LAS23" s="19"/>
      <c r="LAT23" s="19"/>
      <c r="LAU23" s="19"/>
      <c r="LAV23" s="19"/>
      <c r="LAW23" s="19"/>
      <c r="LAX23" s="19"/>
      <c r="LAY23" s="19"/>
      <c r="LAZ23" s="19"/>
      <c r="LBA23" s="19"/>
      <c r="LBB23" s="19"/>
      <c r="LBC23" s="19"/>
      <c r="LBD23" s="19"/>
      <c r="LBE23" s="19"/>
      <c r="LBF23" s="19"/>
      <c r="LBG23" s="19"/>
      <c r="LBH23" s="19"/>
      <c r="LBI23" s="19"/>
      <c r="LBJ23" s="19"/>
      <c r="LBK23" s="19"/>
      <c r="LBL23" s="19"/>
      <c r="LBM23" s="19"/>
      <c r="LBN23" s="19"/>
      <c r="LBO23" s="19"/>
      <c r="LBP23" s="19"/>
      <c r="LBQ23" s="19"/>
      <c r="LBR23" s="19"/>
      <c r="LBS23" s="19"/>
      <c r="LBT23" s="19"/>
      <c r="LBU23" s="19"/>
      <c r="LBV23" s="19"/>
      <c r="LBW23" s="19"/>
      <c r="LBX23" s="19"/>
      <c r="LBY23" s="19"/>
      <c r="LBZ23" s="19"/>
      <c r="LCA23" s="19"/>
      <c r="LCB23" s="19"/>
      <c r="LCC23" s="19"/>
      <c r="LCD23" s="19"/>
      <c r="LCE23" s="19"/>
      <c r="LCF23" s="19"/>
      <c r="LCG23" s="19"/>
      <c r="LCH23" s="19"/>
      <c r="LCI23" s="19"/>
      <c r="LCJ23" s="19"/>
      <c r="LCK23" s="19"/>
      <c r="LCL23" s="19"/>
      <c r="LCM23" s="19"/>
      <c r="LCN23" s="19"/>
      <c r="LCO23" s="19"/>
      <c r="LCP23" s="19"/>
      <c r="LCQ23" s="19"/>
      <c r="LCR23" s="19"/>
      <c r="LCS23" s="19"/>
      <c r="LCT23" s="19"/>
      <c r="LCU23" s="19"/>
      <c r="LCV23" s="19"/>
      <c r="LCW23" s="19"/>
      <c r="LCX23" s="19"/>
      <c r="LCY23" s="19"/>
      <c r="LCZ23" s="19"/>
      <c r="LDA23" s="19"/>
      <c r="LDB23" s="19"/>
      <c r="LDC23" s="19"/>
      <c r="LDD23" s="19"/>
      <c r="LDE23" s="19"/>
      <c r="LDF23" s="19"/>
      <c r="LDG23" s="19"/>
      <c r="LDH23" s="19"/>
      <c r="LDI23" s="19"/>
      <c r="LDJ23" s="19"/>
      <c r="LDK23" s="19"/>
      <c r="LDL23" s="19"/>
      <c r="LDM23" s="19"/>
      <c r="LDN23" s="19"/>
      <c r="LDO23" s="19"/>
      <c r="LDP23" s="19"/>
      <c r="LDQ23" s="19"/>
      <c r="LDR23" s="19"/>
      <c r="LDS23" s="19"/>
      <c r="LDT23" s="19"/>
      <c r="LDU23" s="19"/>
      <c r="LDV23" s="19"/>
      <c r="LDW23" s="19"/>
      <c r="LDX23" s="19"/>
      <c r="LDY23" s="19"/>
      <c r="LDZ23" s="19"/>
      <c r="LEA23" s="19"/>
      <c r="LEB23" s="19"/>
      <c r="LEC23" s="19"/>
      <c r="LED23" s="19"/>
      <c r="LEE23" s="19"/>
      <c r="LEF23" s="19"/>
      <c r="LEG23" s="19"/>
      <c r="LEH23" s="19"/>
      <c r="LEI23" s="19"/>
      <c r="LEJ23" s="19"/>
      <c r="LEK23" s="19"/>
      <c r="LEL23" s="19"/>
      <c r="LEM23" s="19"/>
      <c r="LEN23" s="19"/>
      <c r="LEO23" s="19"/>
      <c r="LEP23" s="19"/>
      <c r="LEQ23" s="19"/>
      <c r="LER23" s="19"/>
      <c r="LES23" s="19"/>
      <c r="LET23" s="19"/>
      <c r="LEU23" s="19"/>
      <c r="LEV23" s="19"/>
      <c r="LEW23" s="19"/>
      <c r="LEX23" s="19"/>
      <c r="LEY23" s="19"/>
      <c r="LEZ23" s="19"/>
      <c r="LFA23" s="19"/>
      <c r="LFB23" s="19"/>
      <c r="LFC23" s="19"/>
      <c r="LFD23" s="19"/>
      <c r="LFE23" s="19"/>
      <c r="LFF23" s="19"/>
      <c r="LFG23" s="19"/>
      <c r="LFH23" s="19"/>
      <c r="LFI23" s="19"/>
      <c r="LFJ23" s="19"/>
      <c r="LFK23" s="19"/>
      <c r="LFL23" s="19"/>
      <c r="LFM23" s="19"/>
      <c r="LFN23" s="19"/>
      <c r="LFO23" s="19"/>
      <c r="LFP23" s="19"/>
      <c r="LFQ23" s="19"/>
      <c r="LFR23" s="19"/>
      <c r="LFS23" s="19"/>
      <c r="LFT23" s="19"/>
      <c r="LFU23" s="19"/>
      <c r="LFV23" s="19"/>
      <c r="LFW23" s="19"/>
      <c r="LFX23" s="19"/>
      <c r="LFY23" s="19"/>
      <c r="LFZ23" s="19"/>
      <c r="LGA23" s="19"/>
      <c r="LGB23" s="19"/>
      <c r="LGC23" s="19"/>
      <c r="LGD23" s="19"/>
      <c r="LGE23" s="19"/>
      <c r="LGF23" s="19"/>
      <c r="LGG23" s="19"/>
      <c r="LGH23" s="19"/>
      <c r="LGI23" s="19"/>
      <c r="LGJ23" s="19"/>
      <c r="LGK23" s="19"/>
      <c r="LGL23" s="19"/>
      <c r="LGM23" s="19"/>
      <c r="LGN23" s="19"/>
      <c r="LGO23" s="19"/>
      <c r="LGP23" s="19"/>
      <c r="LGQ23" s="19"/>
      <c r="LGR23" s="19"/>
      <c r="LGS23" s="19"/>
      <c r="LGT23" s="19"/>
      <c r="LGU23" s="19"/>
      <c r="LGV23" s="19"/>
      <c r="LGW23" s="19"/>
      <c r="LGX23" s="19"/>
      <c r="LGY23" s="19"/>
      <c r="LGZ23" s="19"/>
      <c r="LHA23" s="19"/>
      <c r="LHB23" s="19"/>
      <c r="LHC23" s="19"/>
      <c r="LHD23" s="19"/>
      <c r="LHE23" s="19"/>
      <c r="LHF23" s="19"/>
      <c r="LHG23" s="19"/>
      <c r="LHH23" s="19"/>
      <c r="LHI23" s="19"/>
      <c r="LHJ23" s="19"/>
      <c r="LHK23" s="19"/>
      <c r="LHL23" s="19"/>
      <c r="LHM23" s="19"/>
      <c r="LHN23" s="19"/>
      <c r="LHO23" s="19"/>
      <c r="LHP23" s="19"/>
      <c r="LHQ23" s="19"/>
      <c r="LHR23" s="19"/>
      <c r="LHS23" s="19"/>
      <c r="LHT23" s="19"/>
      <c r="LHU23" s="19"/>
      <c r="LHV23" s="19"/>
      <c r="LHW23" s="19"/>
      <c r="LHX23" s="19"/>
      <c r="LHY23" s="19"/>
      <c r="LHZ23" s="19"/>
      <c r="LIA23" s="19"/>
      <c r="LIB23" s="19"/>
      <c r="LIC23" s="19"/>
      <c r="LID23" s="19"/>
      <c r="LIE23" s="19"/>
      <c r="LIF23" s="19"/>
      <c r="LIG23" s="19"/>
      <c r="LIH23" s="19"/>
      <c r="LII23" s="19"/>
      <c r="LIJ23" s="19"/>
      <c r="LIK23" s="19"/>
      <c r="LIL23" s="19"/>
      <c r="LIM23" s="19"/>
      <c r="LIN23" s="19"/>
      <c r="LIO23" s="19"/>
      <c r="LIP23" s="19"/>
      <c r="LIQ23" s="19"/>
      <c r="LIR23" s="19"/>
      <c r="LIS23" s="19"/>
      <c r="LIT23" s="19"/>
      <c r="LIU23" s="19"/>
      <c r="LIV23" s="19"/>
      <c r="LIW23" s="19"/>
      <c r="LIX23" s="19"/>
      <c r="LIY23" s="19"/>
      <c r="LIZ23" s="19"/>
      <c r="LJA23" s="19"/>
      <c r="LJB23" s="19"/>
      <c r="LJC23" s="19"/>
      <c r="LJD23" s="19"/>
      <c r="LJE23" s="19"/>
      <c r="LJF23" s="19"/>
      <c r="LJG23" s="19"/>
      <c r="LJH23" s="19"/>
      <c r="LJI23" s="19"/>
      <c r="LJJ23" s="19"/>
      <c r="LJK23" s="19"/>
      <c r="LJL23" s="19"/>
      <c r="LJM23" s="19"/>
      <c r="LJN23" s="19"/>
      <c r="LJO23" s="19"/>
      <c r="LJP23" s="19"/>
      <c r="LJQ23" s="19"/>
      <c r="LJR23" s="19"/>
      <c r="LJS23" s="19"/>
      <c r="LJT23" s="19"/>
      <c r="LJU23" s="19"/>
      <c r="LJV23" s="19"/>
      <c r="LJW23" s="19"/>
      <c r="LJX23" s="19"/>
      <c r="LJY23" s="19"/>
      <c r="LJZ23" s="19"/>
      <c r="LKA23" s="19"/>
      <c r="LKB23" s="19"/>
      <c r="LKC23" s="19"/>
      <c r="LKD23" s="19"/>
      <c r="LKE23" s="19"/>
      <c r="LKF23" s="19"/>
      <c r="LKG23" s="19"/>
      <c r="LKH23" s="19"/>
      <c r="LKI23" s="19"/>
      <c r="LKJ23" s="19"/>
      <c r="LKK23" s="19"/>
      <c r="LKL23" s="19"/>
      <c r="LKM23" s="19"/>
      <c r="LKN23" s="19"/>
      <c r="LKO23" s="19"/>
      <c r="LKP23" s="19"/>
      <c r="LKQ23" s="19"/>
      <c r="LKR23" s="19"/>
      <c r="LKS23" s="19"/>
      <c r="LKT23" s="19"/>
      <c r="LKU23" s="19"/>
      <c r="LKV23" s="19"/>
      <c r="LKW23" s="19"/>
      <c r="LKX23" s="19"/>
      <c r="LKY23" s="19"/>
      <c r="LKZ23" s="19"/>
      <c r="LLA23" s="19"/>
      <c r="LLB23" s="19"/>
      <c r="LLC23" s="19"/>
      <c r="LLD23" s="19"/>
      <c r="LLE23" s="19"/>
      <c r="LLF23" s="19"/>
      <c r="LLG23" s="19"/>
      <c r="LLH23" s="19"/>
      <c r="LLI23" s="19"/>
      <c r="LLJ23" s="19"/>
      <c r="LLK23" s="19"/>
      <c r="LLL23" s="19"/>
      <c r="LLM23" s="19"/>
      <c r="LLN23" s="19"/>
      <c r="LLO23" s="19"/>
      <c r="LLP23" s="19"/>
      <c r="LLQ23" s="19"/>
      <c r="LLR23" s="19"/>
      <c r="LLS23" s="19"/>
      <c r="LLT23" s="19"/>
      <c r="LLU23" s="19"/>
      <c r="LLV23" s="19"/>
      <c r="LLW23" s="19"/>
      <c r="LLX23" s="19"/>
      <c r="LLY23" s="19"/>
      <c r="LLZ23" s="19"/>
      <c r="LMA23" s="19"/>
      <c r="LMB23" s="19"/>
      <c r="LMC23" s="19"/>
      <c r="LMD23" s="19"/>
      <c r="LME23" s="19"/>
      <c r="LMF23" s="19"/>
      <c r="LMG23" s="19"/>
      <c r="LMH23" s="19"/>
      <c r="LMI23" s="19"/>
      <c r="LMJ23" s="19"/>
      <c r="LMK23" s="19"/>
      <c r="LML23" s="19"/>
      <c r="LMM23" s="19"/>
      <c r="LMN23" s="19"/>
      <c r="LMO23" s="19"/>
      <c r="LMP23" s="19"/>
      <c r="LMQ23" s="19"/>
      <c r="LMR23" s="19"/>
      <c r="LMS23" s="19"/>
      <c r="LMT23" s="19"/>
      <c r="LMU23" s="19"/>
      <c r="LMV23" s="19"/>
      <c r="LMW23" s="19"/>
      <c r="LMX23" s="19"/>
      <c r="LMY23" s="19"/>
      <c r="LMZ23" s="19"/>
      <c r="LNA23" s="19"/>
      <c r="LNB23" s="19"/>
      <c r="LNC23" s="19"/>
      <c r="LND23" s="19"/>
      <c r="LNE23" s="19"/>
      <c r="LNF23" s="19"/>
      <c r="LNG23" s="19"/>
      <c r="LNH23" s="19"/>
      <c r="LNI23" s="19"/>
      <c r="LNJ23" s="19"/>
      <c r="LNK23" s="19"/>
      <c r="LNL23" s="19"/>
      <c r="LNM23" s="19"/>
      <c r="LNN23" s="19"/>
      <c r="LNO23" s="19"/>
      <c r="LNP23" s="19"/>
      <c r="LNQ23" s="19"/>
      <c r="LNR23" s="19"/>
      <c r="LNS23" s="19"/>
      <c r="LNT23" s="19"/>
      <c r="LNU23" s="19"/>
      <c r="LNV23" s="19"/>
      <c r="LNW23" s="19"/>
      <c r="LNX23" s="19"/>
      <c r="LNY23" s="19"/>
      <c r="LNZ23" s="19"/>
      <c r="LOA23" s="19"/>
      <c r="LOB23" s="19"/>
      <c r="LOC23" s="19"/>
      <c r="LOD23" s="19"/>
      <c r="LOE23" s="19"/>
      <c r="LOF23" s="19"/>
      <c r="LOG23" s="19"/>
      <c r="LOH23" s="19"/>
      <c r="LOI23" s="19"/>
      <c r="LOJ23" s="19"/>
      <c r="LOK23" s="19"/>
      <c r="LOL23" s="19"/>
      <c r="LOM23" s="19"/>
      <c r="LON23" s="19"/>
      <c r="LOO23" s="19"/>
      <c r="LOP23" s="19"/>
      <c r="LOQ23" s="19"/>
      <c r="LOR23" s="19"/>
      <c r="LOS23" s="19"/>
      <c r="LOT23" s="19"/>
      <c r="LOU23" s="19"/>
      <c r="LOV23" s="19"/>
      <c r="LOW23" s="19"/>
      <c r="LOX23" s="19"/>
      <c r="LOY23" s="19"/>
      <c r="LOZ23" s="19"/>
      <c r="LPA23" s="19"/>
      <c r="LPB23" s="19"/>
      <c r="LPC23" s="19"/>
      <c r="LPD23" s="19"/>
      <c r="LPE23" s="19"/>
      <c r="LPF23" s="19"/>
      <c r="LPG23" s="19"/>
      <c r="LPH23" s="19"/>
      <c r="LPI23" s="19"/>
      <c r="LPJ23" s="19"/>
      <c r="LPK23" s="19"/>
      <c r="LPL23" s="19"/>
      <c r="LPM23" s="19"/>
      <c r="LPN23" s="19"/>
      <c r="LPO23" s="19"/>
      <c r="LPP23" s="19"/>
      <c r="LPQ23" s="19"/>
      <c r="LPR23" s="19"/>
      <c r="LPS23" s="19"/>
      <c r="LPT23" s="19"/>
      <c r="LPU23" s="19"/>
      <c r="LPV23" s="19"/>
      <c r="LPW23" s="19"/>
      <c r="LPX23" s="19"/>
      <c r="LPY23" s="19"/>
      <c r="LPZ23" s="19"/>
      <c r="LQA23" s="19"/>
      <c r="LQB23" s="19"/>
      <c r="LQC23" s="19"/>
      <c r="LQD23" s="19"/>
      <c r="LQE23" s="19"/>
      <c r="LQF23" s="19"/>
      <c r="LQG23" s="19"/>
      <c r="LQH23" s="19"/>
      <c r="LQI23" s="19"/>
      <c r="LQJ23" s="19"/>
      <c r="LQK23" s="19"/>
      <c r="LQL23" s="19"/>
      <c r="LQM23" s="19"/>
      <c r="LQN23" s="19"/>
      <c r="LQO23" s="19"/>
      <c r="LQP23" s="19"/>
      <c r="LQQ23" s="19"/>
      <c r="LQR23" s="19"/>
      <c r="LQS23" s="19"/>
      <c r="LQT23" s="19"/>
      <c r="LQU23" s="19"/>
      <c r="LQV23" s="19"/>
      <c r="LQW23" s="19"/>
      <c r="LQX23" s="19"/>
      <c r="LQY23" s="19"/>
      <c r="LQZ23" s="19"/>
      <c r="LRA23" s="19"/>
      <c r="LRB23" s="19"/>
      <c r="LRC23" s="19"/>
      <c r="LRD23" s="19"/>
      <c r="LRE23" s="19"/>
      <c r="LRF23" s="19"/>
      <c r="LRG23" s="19"/>
      <c r="LRH23" s="19"/>
      <c r="LRI23" s="19"/>
      <c r="LRJ23" s="19"/>
      <c r="LRK23" s="19"/>
      <c r="LRL23" s="19"/>
      <c r="LRM23" s="19"/>
      <c r="LRN23" s="19"/>
      <c r="LRO23" s="19"/>
      <c r="LRP23" s="19"/>
      <c r="LRQ23" s="19"/>
      <c r="LRR23" s="19"/>
      <c r="LRS23" s="19"/>
      <c r="LRT23" s="19"/>
      <c r="LRU23" s="19"/>
      <c r="LRV23" s="19"/>
      <c r="LRW23" s="19"/>
      <c r="LRX23" s="19"/>
      <c r="LRY23" s="19"/>
      <c r="LRZ23" s="19"/>
      <c r="LSA23" s="19"/>
      <c r="LSB23" s="19"/>
      <c r="LSC23" s="19"/>
      <c r="LSD23" s="19"/>
      <c r="LSE23" s="19"/>
      <c r="LSF23" s="19"/>
      <c r="LSG23" s="19"/>
      <c r="LSH23" s="19"/>
      <c r="LSI23" s="19"/>
      <c r="LSJ23" s="19"/>
      <c r="LSK23" s="19"/>
      <c r="LSL23" s="19"/>
      <c r="LSM23" s="19"/>
      <c r="LSN23" s="19"/>
      <c r="LSO23" s="19"/>
      <c r="LSP23" s="19"/>
      <c r="LSQ23" s="19"/>
      <c r="LSR23" s="19"/>
      <c r="LSS23" s="19"/>
      <c r="LST23" s="19"/>
      <c r="LSU23" s="19"/>
      <c r="LSV23" s="19"/>
      <c r="LSW23" s="19"/>
      <c r="LSX23" s="19"/>
      <c r="LSY23" s="19"/>
      <c r="LSZ23" s="19"/>
      <c r="LTA23" s="19"/>
      <c r="LTB23" s="19"/>
      <c r="LTC23" s="19"/>
      <c r="LTD23" s="19"/>
      <c r="LTE23" s="19"/>
      <c r="LTF23" s="19"/>
      <c r="LTG23" s="19"/>
      <c r="LTH23" s="19"/>
      <c r="LTI23" s="19"/>
      <c r="LTJ23" s="19"/>
      <c r="LTK23" s="19"/>
      <c r="LTL23" s="19"/>
      <c r="LTM23" s="19"/>
      <c r="LTN23" s="19"/>
      <c r="LTO23" s="19"/>
      <c r="LTP23" s="19"/>
      <c r="LTQ23" s="19"/>
      <c r="LTR23" s="19"/>
      <c r="LTS23" s="19"/>
      <c r="LTT23" s="19"/>
      <c r="LTU23" s="19"/>
      <c r="LTV23" s="19"/>
      <c r="LTW23" s="19"/>
      <c r="LTX23" s="19"/>
      <c r="LTY23" s="19"/>
      <c r="LTZ23" s="19"/>
      <c r="LUA23" s="19"/>
      <c r="LUB23" s="19"/>
      <c r="LUC23" s="19"/>
      <c r="LUD23" s="19"/>
      <c r="LUE23" s="19"/>
      <c r="LUF23" s="19"/>
      <c r="LUG23" s="19"/>
      <c r="LUH23" s="19"/>
      <c r="LUI23" s="19"/>
      <c r="LUJ23" s="19"/>
      <c r="LUK23" s="19"/>
      <c r="LUL23" s="19"/>
      <c r="LUM23" s="19"/>
      <c r="LUN23" s="19"/>
      <c r="LUO23" s="19"/>
      <c r="LUP23" s="19"/>
      <c r="LUQ23" s="19"/>
      <c r="LUR23" s="19"/>
      <c r="LUS23" s="19"/>
      <c r="LUT23" s="19"/>
      <c r="LUU23" s="19"/>
      <c r="LUV23" s="19"/>
      <c r="LUW23" s="19"/>
      <c r="LUX23" s="19"/>
      <c r="LUY23" s="19"/>
      <c r="LUZ23" s="19"/>
      <c r="LVA23" s="19"/>
      <c r="LVB23" s="19"/>
      <c r="LVC23" s="19"/>
      <c r="LVD23" s="19"/>
      <c r="LVE23" s="19"/>
      <c r="LVF23" s="19"/>
      <c r="LVG23" s="19"/>
      <c r="LVH23" s="19"/>
      <c r="LVI23" s="19"/>
      <c r="LVJ23" s="19"/>
      <c r="LVK23" s="19"/>
      <c r="LVL23" s="19"/>
      <c r="LVM23" s="19"/>
      <c r="LVN23" s="19"/>
      <c r="LVO23" s="19"/>
      <c r="LVP23" s="19"/>
      <c r="LVQ23" s="19"/>
      <c r="LVR23" s="19"/>
      <c r="LVS23" s="19"/>
      <c r="LVT23" s="19"/>
      <c r="LVU23" s="19"/>
      <c r="LVV23" s="19"/>
      <c r="LVW23" s="19"/>
      <c r="LVX23" s="19"/>
      <c r="LVY23" s="19"/>
      <c r="LVZ23" s="19"/>
      <c r="LWA23" s="19"/>
      <c r="LWB23" s="19"/>
      <c r="LWC23" s="19"/>
      <c r="LWD23" s="19"/>
      <c r="LWE23" s="19"/>
      <c r="LWF23" s="19"/>
      <c r="LWG23" s="19"/>
      <c r="LWH23" s="19"/>
      <c r="LWI23" s="19"/>
      <c r="LWJ23" s="19"/>
      <c r="LWK23" s="19"/>
      <c r="LWL23" s="19"/>
      <c r="LWM23" s="19"/>
      <c r="LWN23" s="19"/>
      <c r="LWO23" s="19"/>
      <c r="LWP23" s="19"/>
      <c r="LWQ23" s="19"/>
      <c r="LWR23" s="19"/>
      <c r="LWS23" s="19"/>
      <c r="LWT23" s="19"/>
      <c r="LWU23" s="19"/>
      <c r="LWV23" s="19"/>
      <c r="LWW23" s="19"/>
      <c r="LWX23" s="19"/>
      <c r="LWY23" s="19"/>
      <c r="LWZ23" s="19"/>
      <c r="LXA23" s="19"/>
      <c r="LXB23" s="19"/>
      <c r="LXC23" s="19"/>
      <c r="LXD23" s="19"/>
      <c r="LXE23" s="19"/>
      <c r="LXF23" s="19"/>
      <c r="LXG23" s="19"/>
      <c r="LXH23" s="19"/>
      <c r="LXI23" s="19"/>
      <c r="LXJ23" s="19"/>
      <c r="LXK23" s="19"/>
      <c r="LXL23" s="19"/>
      <c r="LXM23" s="19"/>
      <c r="LXN23" s="19"/>
      <c r="LXO23" s="19"/>
      <c r="LXP23" s="19"/>
      <c r="LXQ23" s="19"/>
      <c r="LXR23" s="19"/>
      <c r="LXS23" s="19"/>
      <c r="LXT23" s="19"/>
      <c r="LXU23" s="19"/>
      <c r="LXV23" s="19"/>
      <c r="LXW23" s="19"/>
      <c r="LXX23" s="19"/>
      <c r="LXY23" s="19"/>
      <c r="LXZ23" s="19"/>
      <c r="LYA23" s="19"/>
      <c r="LYB23" s="19"/>
      <c r="LYC23" s="19"/>
      <c r="LYD23" s="19"/>
      <c r="LYE23" s="19"/>
      <c r="LYF23" s="19"/>
      <c r="LYG23" s="19"/>
      <c r="LYH23" s="19"/>
      <c r="LYI23" s="19"/>
      <c r="LYJ23" s="19"/>
      <c r="LYK23" s="19"/>
      <c r="LYL23" s="19"/>
      <c r="LYM23" s="19"/>
      <c r="LYN23" s="19"/>
      <c r="LYO23" s="19"/>
      <c r="LYP23" s="19"/>
      <c r="LYQ23" s="19"/>
      <c r="LYR23" s="19"/>
      <c r="LYS23" s="19"/>
      <c r="LYT23" s="19"/>
      <c r="LYU23" s="19"/>
      <c r="LYV23" s="19"/>
      <c r="LYW23" s="19"/>
      <c r="LYX23" s="19"/>
      <c r="LYY23" s="19"/>
      <c r="LYZ23" s="19"/>
      <c r="LZA23" s="19"/>
      <c r="LZB23" s="19"/>
      <c r="LZC23" s="19"/>
      <c r="LZD23" s="19"/>
      <c r="LZE23" s="19"/>
      <c r="LZF23" s="19"/>
      <c r="LZG23" s="19"/>
      <c r="LZH23" s="19"/>
      <c r="LZI23" s="19"/>
      <c r="LZJ23" s="19"/>
      <c r="LZK23" s="19"/>
      <c r="LZL23" s="19"/>
      <c r="LZM23" s="19"/>
      <c r="LZN23" s="19"/>
      <c r="LZO23" s="19"/>
      <c r="LZP23" s="19"/>
      <c r="LZQ23" s="19"/>
      <c r="LZR23" s="19"/>
      <c r="LZS23" s="19"/>
      <c r="LZT23" s="19"/>
      <c r="LZU23" s="19"/>
      <c r="LZV23" s="19"/>
      <c r="LZW23" s="19"/>
      <c r="LZX23" s="19"/>
      <c r="LZY23" s="19"/>
      <c r="LZZ23" s="19"/>
      <c r="MAA23" s="19"/>
      <c r="MAB23" s="19"/>
      <c r="MAC23" s="19"/>
      <c r="MAD23" s="19"/>
      <c r="MAE23" s="19"/>
      <c r="MAF23" s="19"/>
      <c r="MAG23" s="19"/>
      <c r="MAH23" s="19"/>
      <c r="MAI23" s="19"/>
      <c r="MAJ23" s="19"/>
      <c r="MAK23" s="19"/>
      <c r="MAL23" s="19"/>
      <c r="MAM23" s="19"/>
      <c r="MAN23" s="19"/>
      <c r="MAO23" s="19"/>
      <c r="MAP23" s="19"/>
      <c r="MAQ23" s="19"/>
      <c r="MAR23" s="19"/>
      <c r="MAS23" s="19"/>
      <c r="MAT23" s="19"/>
      <c r="MAU23" s="19"/>
      <c r="MAV23" s="19"/>
      <c r="MAW23" s="19"/>
      <c r="MAX23" s="19"/>
      <c r="MAY23" s="19"/>
      <c r="MAZ23" s="19"/>
      <c r="MBA23" s="19"/>
      <c r="MBB23" s="19"/>
      <c r="MBC23" s="19"/>
      <c r="MBD23" s="19"/>
      <c r="MBE23" s="19"/>
      <c r="MBF23" s="19"/>
      <c r="MBG23" s="19"/>
      <c r="MBH23" s="19"/>
      <c r="MBI23" s="19"/>
      <c r="MBJ23" s="19"/>
      <c r="MBK23" s="19"/>
      <c r="MBL23" s="19"/>
      <c r="MBM23" s="19"/>
      <c r="MBN23" s="19"/>
      <c r="MBO23" s="19"/>
      <c r="MBP23" s="19"/>
      <c r="MBQ23" s="19"/>
      <c r="MBR23" s="19"/>
      <c r="MBS23" s="19"/>
      <c r="MBT23" s="19"/>
      <c r="MBU23" s="19"/>
      <c r="MBV23" s="19"/>
      <c r="MBW23" s="19"/>
      <c r="MBX23" s="19"/>
      <c r="MBY23" s="19"/>
      <c r="MBZ23" s="19"/>
      <c r="MCA23" s="19"/>
      <c r="MCB23" s="19"/>
      <c r="MCC23" s="19"/>
      <c r="MCD23" s="19"/>
      <c r="MCE23" s="19"/>
      <c r="MCF23" s="19"/>
      <c r="MCG23" s="19"/>
      <c r="MCH23" s="19"/>
      <c r="MCI23" s="19"/>
      <c r="MCJ23" s="19"/>
      <c r="MCK23" s="19"/>
      <c r="MCL23" s="19"/>
      <c r="MCM23" s="19"/>
      <c r="MCN23" s="19"/>
      <c r="MCO23" s="19"/>
      <c r="MCP23" s="19"/>
      <c r="MCQ23" s="19"/>
      <c r="MCR23" s="19"/>
      <c r="MCS23" s="19"/>
      <c r="MCT23" s="19"/>
      <c r="MCU23" s="19"/>
      <c r="MCV23" s="19"/>
      <c r="MCW23" s="19"/>
      <c r="MCX23" s="19"/>
      <c r="MCY23" s="19"/>
      <c r="MCZ23" s="19"/>
      <c r="MDA23" s="19"/>
      <c r="MDB23" s="19"/>
      <c r="MDC23" s="19"/>
      <c r="MDD23" s="19"/>
      <c r="MDE23" s="19"/>
      <c r="MDF23" s="19"/>
      <c r="MDG23" s="19"/>
      <c r="MDH23" s="19"/>
      <c r="MDI23" s="19"/>
      <c r="MDJ23" s="19"/>
      <c r="MDK23" s="19"/>
      <c r="MDL23" s="19"/>
      <c r="MDM23" s="19"/>
      <c r="MDN23" s="19"/>
      <c r="MDO23" s="19"/>
      <c r="MDP23" s="19"/>
      <c r="MDQ23" s="19"/>
      <c r="MDR23" s="19"/>
      <c r="MDS23" s="19"/>
      <c r="MDT23" s="19"/>
      <c r="MDU23" s="19"/>
      <c r="MDV23" s="19"/>
      <c r="MDW23" s="19"/>
      <c r="MDX23" s="19"/>
      <c r="MDY23" s="19"/>
      <c r="MDZ23" s="19"/>
      <c r="MEA23" s="19"/>
      <c r="MEB23" s="19"/>
      <c r="MEC23" s="19"/>
      <c r="MED23" s="19"/>
      <c r="MEE23" s="19"/>
      <c r="MEF23" s="19"/>
      <c r="MEG23" s="19"/>
      <c r="MEH23" s="19"/>
      <c r="MEI23" s="19"/>
      <c r="MEJ23" s="19"/>
      <c r="MEK23" s="19"/>
      <c r="MEL23" s="19"/>
      <c r="MEM23" s="19"/>
      <c r="MEN23" s="19"/>
      <c r="MEO23" s="19"/>
      <c r="MEP23" s="19"/>
      <c r="MEQ23" s="19"/>
      <c r="MER23" s="19"/>
      <c r="MES23" s="19"/>
      <c r="MET23" s="19"/>
      <c r="MEU23" s="19"/>
      <c r="MEV23" s="19"/>
      <c r="MEW23" s="19"/>
      <c r="MEX23" s="19"/>
      <c r="MEY23" s="19"/>
      <c r="MEZ23" s="19"/>
      <c r="MFA23" s="19"/>
      <c r="MFB23" s="19"/>
      <c r="MFC23" s="19"/>
      <c r="MFD23" s="19"/>
      <c r="MFE23" s="19"/>
      <c r="MFF23" s="19"/>
      <c r="MFG23" s="19"/>
      <c r="MFH23" s="19"/>
      <c r="MFI23" s="19"/>
      <c r="MFJ23" s="19"/>
      <c r="MFK23" s="19"/>
      <c r="MFL23" s="19"/>
      <c r="MFM23" s="19"/>
      <c r="MFN23" s="19"/>
      <c r="MFO23" s="19"/>
      <c r="MFP23" s="19"/>
      <c r="MFQ23" s="19"/>
      <c r="MFR23" s="19"/>
      <c r="MFS23" s="19"/>
      <c r="MFT23" s="19"/>
      <c r="MFU23" s="19"/>
      <c r="MFV23" s="19"/>
      <c r="MFW23" s="19"/>
      <c r="MFX23" s="19"/>
      <c r="MFY23" s="19"/>
      <c r="MFZ23" s="19"/>
      <c r="MGA23" s="19"/>
      <c r="MGB23" s="19"/>
      <c r="MGC23" s="19"/>
      <c r="MGD23" s="19"/>
      <c r="MGE23" s="19"/>
      <c r="MGF23" s="19"/>
      <c r="MGG23" s="19"/>
      <c r="MGH23" s="19"/>
      <c r="MGI23" s="19"/>
      <c r="MGJ23" s="19"/>
      <c r="MGK23" s="19"/>
      <c r="MGL23" s="19"/>
      <c r="MGM23" s="19"/>
      <c r="MGN23" s="19"/>
      <c r="MGO23" s="19"/>
      <c r="MGP23" s="19"/>
      <c r="MGQ23" s="19"/>
      <c r="MGR23" s="19"/>
      <c r="MGS23" s="19"/>
      <c r="MGT23" s="19"/>
      <c r="MGU23" s="19"/>
      <c r="MGV23" s="19"/>
      <c r="MGW23" s="19"/>
      <c r="MGX23" s="19"/>
      <c r="MGY23" s="19"/>
      <c r="MGZ23" s="19"/>
      <c r="MHA23" s="19"/>
      <c r="MHB23" s="19"/>
      <c r="MHC23" s="19"/>
      <c r="MHD23" s="19"/>
      <c r="MHE23" s="19"/>
      <c r="MHF23" s="19"/>
      <c r="MHG23" s="19"/>
      <c r="MHH23" s="19"/>
      <c r="MHI23" s="19"/>
      <c r="MHJ23" s="19"/>
      <c r="MHK23" s="19"/>
      <c r="MHL23" s="19"/>
      <c r="MHM23" s="19"/>
      <c r="MHN23" s="19"/>
      <c r="MHO23" s="19"/>
      <c r="MHP23" s="19"/>
      <c r="MHQ23" s="19"/>
      <c r="MHR23" s="19"/>
      <c r="MHS23" s="19"/>
      <c r="MHT23" s="19"/>
      <c r="MHU23" s="19"/>
      <c r="MHV23" s="19"/>
      <c r="MHW23" s="19"/>
      <c r="MHX23" s="19"/>
      <c r="MHY23" s="19"/>
      <c r="MHZ23" s="19"/>
      <c r="MIA23" s="19"/>
      <c r="MIB23" s="19"/>
      <c r="MIC23" s="19"/>
      <c r="MID23" s="19"/>
      <c r="MIE23" s="19"/>
      <c r="MIF23" s="19"/>
      <c r="MIG23" s="19"/>
      <c r="MIH23" s="19"/>
      <c r="MII23" s="19"/>
      <c r="MIJ23" s="19"/>
      <c r="MIK23" s="19"/>
      <c r="MIL23" s="19"/>
      <c r="MIM23" s="19"/>
      <c r="MIN23" s="19"/>
      <c r="MIO23" s="19"/>
      <c r="MIP23" s="19"/>
      <c r="MIQ23" s="19"/>
      <c r="MIR23" s="19"/>
      <c r="MIS23" s="19"/>
      <c r="MIT23" s="19"/>
      <c r="MIU23" s="19"/>
      <c r="MIV23" s="19"/>
      <c r="MIW23" s="19"/>
      <c r="MIX23" s="19"/>
      <c r="MIY23" s="19"/>
      <c r="MIZ23" s="19"/>
      <c r="MJA23" s="19"/>
      <c r="MJB23" s="19"/>
      <c r="MJC23" s="19"/>
      <c r="MJD23" s="19"/>
      <c r="MJE23" s="19"/>
      <c r="MJF23" s="19"/>
      <c r="MJG23" s="19"/>
      <c r="MJH23" s="19"/>
      <c r="MJI23" s="19"/>
      <c r="MJJ23" s="19"/>
      <c r="MJK23" s="19"/>
      <c r="MJL23" s="19"/>
      <c r="MJM23" s="19"/>
      <c r="MJN23" s="19"/>
      <c r="MJO23" s="19"/>
      <c r="MJP23" s="19"/>
      <c r="MJQ23" s="19"/>
      <c r="MJR23" s="19"/>
      <c r="MJS23" s="19"/>
      <c r="MJT23" s="19"/>
      <c r="MJU23" s="19"/>
      <c r="MJV23" s="19"/>
      <c r="MJW23" s="19"/>
      <c r="MJX23" s="19"/>
      <c r="MJY23" s="19"/>
      <c r="MJZ23" s="19"/>
      <c r="MKA23" s="19"/>
      <c r="MKB23" s="19"/>
      <c r="MKC23" s="19"/>
      <c r="MKD23" s="19"/>
      <c r="MKE23" s="19"/>
      <c r="MKF23" s="19"/>
      <c r="MKG23" s="19"/>
      <c r="MKH23" s="19"/>
      <c r="MKI23" s="19"/>
      <c r="MKJ23" s="19"/>
      <c r="MKK23" s="19"/>
      <c r="MKL23" s="19"/>
      <c r="MKM23" s="19"/>
      <c r="MKN23" s="19"/>
      <c r="MKO23" s="19"/>
      <c r="MKP23" s="19"/>
      <c r="MKQ23" s="19"/>
      <c r="MKR23" s="19"/>
      <c r="MKS23" s="19"/>
      <c r="MKT23" s="19"/>
      <c r="MKU23" s="19"/>
      <c r="MKV23" s="19"/>
      <c r="MKW23" s="19"/>
      <c r="MKX23" s="19"/>
      <c r="MKY23" s="19"/>
      <c r="MKZ23" s="19"/>
      <c r="MLA23" s="19"/>
      <c r="MLB23" s="19"/>
      <c r="MLC23" s="19"/>
      <c r="MLD23" s="19"/>
      <c r="MLE23" s="19"/>
      <c r="MLF23" s="19"/>
      <c r="MLG23" s="19"/>
      <c r="MLH23" s="19"/>
      <c r="MLI23" s="19"/>
      <c r="MLJ23" s="19"/>
      <c r="MLK23" s="19"/>
      <c r="MLL23" s="19"/>
      <c r="MLM23" s="19"/>
      <c r="MLN23" s="19"/>
      <c r="MLO23" s="19"/>
      <c r="MLP23" s="19"/>
      <c r="MLQ23" s="19"/>
      <c r="MLR23" s="19"/>
      <c r="MLS23" s="19"/>
      <c r="MLT23" s="19"/>
      <c r="MLU23" s="19"/>
      <c r="MLV23" s="19"/>
      <c r="MLW23" s="19"/>
      <c r="MLX23" s="19"/>
      <c r="MLY23" s="19"/>
      <c r="MLZ23" s="19"/>
      <c r="MMA23" s="19"/>
      <c r="MMB23" s="19"/>
      <c r="MMC23" s="19"/>
      <c r="MMD23" s="19"/>
      <c r="MME23" s="19"/>
      <c r="MMF23" s="19"/>
      <c r="MMG23" s="19"/>
      <c r="MMH23" s="19"/>
      <c r="MMI23" s="19"/>
      <c r="MMJ23" s="19"/>
      <c r="MMK23" s="19"/>
      <c r="MML23" s="19"/>
      <c r="MMM23" s="19"/>
      <c r="MMN23" s="19"/>
      <c r="MMO23" s="19"/>
      <c r="MMP23" s="19"/>
      <c r="MMQ23" s="19"/>
      <c r="MMR23" s="19"/>
      <c r="MMS23" s="19"/>
      <c r="MMT23" s="19"/>
      <c r="MMU23" s="19"/>
      <c r="MMV23" s="19"/>
      <c r="MMW23" s="19"/>
      <c r="MMX23" s="19"/>
      <c r="MMY23" s="19"/>
      <c r="MMZ23" s="19"/>
      <c r="MNA23" s="19"/>
      <c r="MNB23" s="19"/>
      <c r="MNC23" s="19"/>
      <c r="MND23" s="19"/>
      <c r="MNE23" s="19"/>
      <c r="MNF23" s="19"/>
      <c r="MNG23" s="19"/>
      <c r="MNH23" s="19"/>
      <c r="MNI23" s="19"/>
      <c r="MNJ23" s="19"/>
      <c r="MNK23" s="19"/>
      <c r="MNL23" s="19"/>
      <c r="MNM23" s="19"/>
      <c r="MNN23" s="19"/>
      <c r="MNO23" s="19"/>
      <c r="MNP23" s="19"/>
      <c r="MNQ23" s="19"/>
      <c r="MNR23" s="19"/>
      <c r="MNS23" s="19"/>
      <c r="MNT23" s="19"/>
      <c r="MNU23" s="19"/>
      <c r="MNV23" s="19"/>
      <c r="MNW23" s="19"/>
      <c r="MNX23" s="19"/>
      <c r="MNY23" s="19"/>
      <c r="MNZ23" s="19"/>
      <c r="MOA23" s="19"/>
      <c r="MOB23" s="19"/>
      <c r="MOC23" s="19"/>
      <c r="MOD23" s="19"/>
      <c r="MOE23" s="19"/>
      <c r="MOF23" s="19"/>
      <c r="MOG23" s="19"/>
      <c r="MOH23" s="19"/>
      <c r="MOI23" s="19"/>
      <c r="MOJ23" s="19"/>
      <c r="MOK23" s="19"/>
      <c r="MOL23" s="19"/>
      <c r="MOM23" s="19"/>
      <c r="MON23" s="19"/>
      <c r="MOO23" s="19"/>
      <c r="MOP23" s="19"/>
      <c r="MOQ23" s="19"/>
      <c r="MOR23" s="19"/>
      <c r="MOS23" s="19"/>
      <c r="MOT23" s="19"/>
      <c r="MOU23" s="19"/>
      <c r="MOV23" s="19"/>
      <c r="MOW23" s="19"/>
      <c r="MOX23" s="19"/>
      <c r="MOY23" s="19"/>
      <c r="MOZ23" s="19"/>
      <c r="MPA23" s="19"/>
      <c r="MPB23" s="19"/>
      <c r="MPC23" s="19"/>
      <c r="MPD23" s="19"/>
      <c r="MPE23" s="19"/>
      <c r="MPF23" s="19"/>
      <c r="MPG23" s="19"/>
      <c r="MPH23" s="19"/>
      <c r="MPI23" s="19"/>
      <c r="MPJ23" s="19"/>
      <c r="MPK23" s="19"/>
      <c r="MPL23" s="19"/>
      <c r="MPM23" s="19"/>
      <c r="MPN23" s="19"/>
      <c r="MPO23" s="19"/>
      <c r="MPP23" s="19"/>
      <c r="MPQ23" s="19"/>
      <c r="MPR23" s="19"/>
      <c r="MPS23" s="19"/>
      <c r="MPT23" s="19"/>
      <c r="MPU23" s="19"/>
      <c r="MPV23" s="19"/>
      <c r="MPW23" s="19"/>
      <c r="MPX23" s="19"/>
      <c r="MPY23" s="19"/>
      <c r="MPZ23" s="19"/>
      <c r="MQA23" s="19"/>
      <c r="MQB23" s="19"/>
      <c r="MQC23" s="19"/>
      <c r="MQD23" s="19"/>
      <c r="MQE23" s="19"/>
      <c r="MQF23" s="19"/>
      <c r="MQG23" s="19"/>
      <c r="MQH23" s="19"/>
      <c r="MQI23" s="19"/>
      <c r="MQJ23" s="19"/>
      <c r="MQK23" s="19"/>
      <c r="MQL23" s="19"/>
      <c r="MQM23" s="19"/>
      <c r="MQN23" s="19"/>
      <c r="MQO23" s="19"/>
      <c r="MQP23" s="19"/>
      <c r="MQQ23" s="19"/>
      <c r="MQR23" s="19"/>
      <c r="MQS23" s="19"/>
      <c r="MQT23" s="19"/>
      <c r="MQU23" s="19"/>
      <c r="MQV23" s="19"/>
      <c r="MQW23" s="19"/>
      <c r="MQX23" s="19"/>
      <c r="MQY23" s="19"/>
      <c r="MQZ23" s="19"/>
      <c r="MRA23" s="19"/>
      <c r="MRB23" s="19"/>
      <c r="MRC23" s="19"/>
      <c r="MRD23" s="19"/>
      <c r="MRE23" s="19"/>
      <c r="MRF23" s="19"/>
      <c r="MRG23" s="19"/>
      <c r="MRH23" s="19"/>
      <c r="MRI23" s="19"/>
      <c r="MRJ23" s="19"/>
      <c r="MRK23" s="19"/>
      <c r="MRL23" s="19"/>
      <c r="MRM23" s="19"/>
      <c r="MRN23" s="19"/>
      <c r="MRO23" s="19"/>
      <c r="MRP23" s="19"/>
      <c r="MRQ23" s="19"/>
      <c r="MRR23" s="19"/>
      <c r="MRS23" s="19"/>
      <c r="MRT23" s="19"/>
      <c r="MRU23" s="19"/>
      <c r="MRV23" s="19"/>
      <c r="MRW23" s="19"/>
      <c r="MRX23" s="19"/>
      <c r="MRY23" s="19"/>
      <c r="MRZ23" s="19"/>
      <c r="MSA23" s="19"/>
      <c r="MSB23" s="19"/>
      <c r="MSC23" s="19"/>
      <c r="MSD23" s="19"/>
      <c r="MSE23" s="19"/>
      <c r="MSF23" s="19"/>
      <c r="MSG23" s="19"/>
      <c r="MSH23" s="19"/>
      <c r="MSI23" s="19"/>
      <c r="MSJ23" s="19"/>
      <c r="MSK23" s="19"/>
      <c r="MSL23" s="19"/>
      <c r="MSM23" s="19"/>
      <c r="MSN23" s="19"/>
      <c r="MSO23" s="19"/>
      <c r="MSP23" s="19"/>
      <c r="MSQ23" s="19"/>
      <c r="MSR23" s="19"/>
      <c r="MSS23" s="19"/>
      <c r="MST23" s="19"/>
      <c r="MSU23" s="19"/>
      <c r="MSV23" s="19"/>
      <c r="MSW23" s="19"/>
      <c r="MSX23" s="19"/>
      <c r="MSY23" s="19"/>
      <c r="MSZ23" s="19"/>
      <c r="MTA23" s="19"/>
      <c r="MTB23" s="19"/>
      <c r="MTC23" s="19"/>
      <c r="MTD23" s="19"/>
      <c r="MTE23" s="19"/>
      <c r="MTF23" s="19"/>
      <c r="MTG23" s="19"/>
      <c r="MTH23" s="19"/>
      <c r="MTI23" s="19"/>
      <c r="MTJ23" s="19"/>
      <c r="MTK23" s="19"/>
      <c r="MTL23" s="19"/>
      <c r="MTM23" s="19"/>
      <c r="MTN23" s="19"/>
      <c r="MTO23" s="19"/>
      <c r="MTP23" s="19"/>
      <c r="MTQ23" s="19"/>
      <c r="MTR23" s="19"/>
      <c r="MTS23" s="19"/>
      <c r="MTT23" s="19"/>
      <c r="MTU23" s="19"/>
      <c r="MTV23" s="19"/>
      <c r="MTW23" s="19"/>
      <c r="MTX23" s="19"/>
      <c r="MTY23" s="19"/>
      <c r="MTZ23" s="19"/>
      <c r="MUA23" s="19"/>
      <c r="MUB23" s="19"/>
      <c r="MUC23" s="19"/>
      <c r="MUD23" s="19"/>
      <c r="MUE23" s="19"/>
      <c r="MUF23" s="19"/>
      <c r="MUG23" s="19"/>
      <c r="MUH23" s="19"/>
      <c r="MUI23" s="19"/>
      <c r="MUJ23" s="19"/>
      <c r="MUK23" s="19"/>
      <c r="MUL23" s="19"/>
      <c r="MUM23" s="19"/>
      <c r="MUN23" s="19"/>
      <c r="MUO23" s="19"/>
      <c r="MUP23" s="19"/>
      <c r="MUQ23" s="19"/>
      <c r="MUR23" s="19"/>
      <c r="MUS23" s="19"/>
      <c r="MUT23" s="19"/>
      <c r="MUU23" s="19"/>
      <c r="MUV23" s="19"/>
      <c r="MUW23" s="19"/>
      <c r="MUX23" s="19"/>
      <c r="MUY23" s="19"/>
      <c r="MUZ23" s="19"/>
      <c r="MVA23" s="19"/>
      <c r="MVB23" s="19"/>
      <c r="MVC23" s="19"/>
      <c r="MVD23" s="19"/>
      <c r="MVE23" s="19"/>
      <c r="MVF23" s="19"/>
      <c r="MVG23" s="19"/>
      <c r="MVH23" s="19"/>
      <c r="MVI23" s="19"/>
      <c r="MVJ23" s="19"/>
      <c r="MVK23" s="19"/>
      <c r="MVL23" s="19"/>
      <c r="MVM23" s="19"/>
      <c r="MVN23" s="19"/>
      <c r="MVO23" s="19"/>
      <c r="MVP23" s="19"/>
      <c r="MVQ23" s="19"/>
      <c r="MVR23" s="19"/>
      <c r="MVS23" s="19"/>
      <c r="MVT23" s="19"/>
      <c r="MVU23" s="19"/>
      <c r="MVV23" s="19"/>
      <c r="MVW23" s="19"/>
      <c r="MVX23" s="19"/>
      <c r="MVY23" s="19"/>
      <c r="MVZ23" s="19"/>
      <c r="MWA23" s="19"/>
      <c r="MWB23" s="19"/>
      <c r="MWC23" s="19"/>
      <c r="MWD23" s="19"/>
      <c r="MWE23" s="19"/>
      <c r="MWF23" s="19"/>
      <c r="MWG23" s="19"/>
      <c r="MWH23" s="19"/>
      <c r="MWI23" s="19"/>
      <c r="MWJ23" s="19"/>
      <c r="MWK23" s="19"/>
      <c r="MWL23" s="19"/>
      <c r="MWM23" s="19"/>
      <c r="MWN23" s="19"/>
      <c r="MWO23" s="19"/>
      <c r="MWP23" s="19"/>
      <c r="MWQ23" s="19"/>
      <c r="MWR23" s="19"/>
      <c r="MWS23" s="19"/>
      <c r="MWT23" s="19"/>
      <c r="MWU23" s="19"/>
      <c r="MWV23" s="19"/>
      <c r="MWW23" s="19"/>
      <c r="MWX23" s="19"/>
      <c r="MWY23" s="19"/>
      <c r="MWZ23" s="19"/>
      <c r="MXA23" s="19"/>
      <c r="MXB23" s="19"/>
      <c r="MXC23" s="19"/>
      <c r="MXD23" s="19"/>
      <c r="MXE23" s="19"/>
      <c r="MXF23" s="19"/>
      <c r="MXG23" s="19"/>
      <c r="MXH23" s="19"/>
      <c r="MXI23" s="19"/>
      <c r="MXJ23" s="19"/>
      <c r="MXK23" s="19"/>
      <c r="MXL23" s="19"/>
      <c r="MXM23" s="19"/>
      <c r="MXN23" s="19"/>
      <c r="MXO23" s="19"/>
      <c r="MXP23" s="19"/>
      <c r="MXQ23" s="19"/>
      <c r="MXR23" s="19"/>
      <c r="MXS23" s="19"/>
      <c r="MXT23" s="19"/>
      <c r="MXU23" s="19"/>
      <c r="MXV23" s="19"/>
      <c r="MXW23" s="19"/>
      <c r="MXX23" s="19"/>
      <c r="MXY23" s="19"/>
      <c r="MXZ23" s="19"/>
      <c r="MYA23" s="19"/>
      <c r="MYB23" s="19"/>
      <c r="MYC23" s="19"/>
      <c r="MYD23" s="19"/>
      <c r="MYE23" s="19"/>
      <c r="MYF23" s="19"/>
      <c r="MYG23" s="19"/>
      <c r="MYH23" s="19"/>
      <c r="MYI23" s="19"/>
      <c r="MYJ23" s="19"/>
      <c r="MYK23" s="19"/>
      <c r="MYL23" s="19"/>
      <c r="MYM23" s="19"/>
      <c r="MYN23" s="19"/>
      <c r="MYO23" s="19"/>
      <c r="MYP23" s="19"/>
      <c r="MYQ23" s="19"/>
      <c r="MYR23" s="19"/>
      <c r="MYS23" s="19"/>
      <c r="MYT23" s="19"/>
      <c r="MYU23" s="19"/>
      <c r="MYV23" s="19"/>
      <c r="MYW23" s="19"/>
      <c r="MYX23" s="19"/>
      <c r="MYY23" s="19"/>
      <c r="MYZ23" s="19"/>
      <c r="MZA23" s="19"/>
      <c r="MZB23" s="19"/>
      <c r="MZC23" s="19"/>
      <c r="MZD23" s="19"/>
      <c r="MZE23" s="19"/>
      <c r="MZF23" s="19"/>
      <c r="MZG23" s="19"/>
      <c r="MZH23" s="19"/>
      <c r="MZI23" s="19"/>
      <c r="MZJ23" s="19"/>
      <c r="MZK23" s="19"/>
      <c r="MZL23" s="19"/>
      <c r="MZM23" s="19"/>
      <c r="MZN23" s="19"/>
      <c r="MZO23" s="19"/>
      <c r="MZP23" s="19"/>
      <c r="MZQ23" s="19"/>
      <c r="MZR23" s="19"/>
      <c r="MZS23" s="19"/>
      <c r="MZT23" s="19"/>
      <c r="MZU23" s="19"/>
      <c r="MZV23" s="19"/>
      <c r="MZW23" s="19"/>
      <c r="MZX23" s="19"/>
      <c r="MZY23" s="19"/>
      <c r="MZZ23" s="19"/>
      <c r="NAA23" s="19"/>
      <c r="NAB23" s="19"/>
      <c r="NAC23" s="19"/>
      <c r="NAD23" s="19"/>
      <c r="NAE23" s="19"/>
      <c r="NAF23" s="19"/>
      <c r="NAG23" s="19"/>
      <c r="NAH23" s="19"/>
      <c r="NAI23" s="19"/>
      <c r="NAJ23" s="19"/>
      <c r="NAK23" s="19"/>
      <c r="NAL23" s="19"/>
      <c r="NAM23" s="19"/>
      <c r="NAN23" s="19"/>
      <c r="NAO23" s="19"/>
      <c r="NAP23" s="19"/>
      <c r="NAQ23" s="19"/>
      <c r="NAR23" s="19"/>
      <c r="NAS23" s="19"/>
      <c r="NAT23" s="19"/>
      <c r="NAU23" s="19"/>
      <c r="NAV23" s="19"/>
      <c r="NAW23" s="19"/>
      <c r="NAX23" s="19"/>
      <c r="NAY23" s="19"/>
      <c r="NAZ23" s="19"/>
      <c r="NBA23" s="19"/>
      <c r="NBB23" s="19"/>
      <c r="NBC23" s="19"/>
      <c r="NBD23" s="19"/>
      <c r="NBE23" s="19"/>
      <c r="NBF23" s="19"/>
      <c r="NBG23" s="19"/>
      <c r="NBH23" s="19"/>
      <c r="NBI23" s="19"/>
      <c r="NBJ23" s="19"/>
      <c r="NBK23" s="19"/>
      <c r="NBL23" s="19"/>
      <c r="NBM23" s="19"/>
      <c r="NBN23" s="19"/>
      <c r="NBO23" s="19"/>
      <c r="NBP23" s="19"/>
      <c r="NBQ23" s="19"/>
      <c r="NBR23" s="19"/>
      <c r="NBS23" s="19"/>
      <c r="NBT23" s="19"/>
      <c r="NBU23" s="19"/>
      <c r="NBV23" s="19"/>
      <c r="NBW23" s="19"/>
      <c r="NBX23" s="19"/>
      <c r="NBY23" s="19"/>
      <c r="NBZ23" s="19"/>
      <c r="NCA23" s="19"/>
      <c r="NCB23" s="19"/>
      <c r="NCC23" s="19"/>
      <c r="NCD23" s="19"/>
      <c r="NCE23" s="19"/>
      <c r="NCF23" s="19"/>
      <c r="NCG23" s="19"/>
      <c r="NCH23" s="19"/>
      <c r="NCI23" s="19"/>
      <c r="NCJ23" s="19"/>
      <c r="NCK23" s="19"/>
      <c r="NCL23" s="19"/>
      <c r="NCM23" s="19"/>
      <c r="NCN23" s="19"/>
      <c r="NCO23" s="19"/>
      <c r="NCP23" s="19"/>
      <c r="NCQ23" s="19"/>
      <c r="NCR23" s="19"/>
      <c r="NCS23" s="19"/>
      <c r="NCT23" s="19"/>
      <c r="NCU23" s="19"/>
      <c r="NCV23" s="19"/>
      <c r="NCW23" s="19"/>
      <c r="NCX23" s="19"/>
      <c r="NCY23" s="19"/>
      <c r="NCZ23" s="19"/>
      <c r="NDA23" s="19"/>
      <c r="NDB23" s="19"/>
      <c r="NDC23" s="19"/>
      <c r="NDD23" s="19"/>
      <c r="NDE23" s="19"/>
      <c r="NDF23" s="19"/>
      <c r="NDG23" s="19"/>
      <c r="NDH23" s="19"/>
      <c r="NDI23" s="19"/>
      <c r="NDJ23" s="19"/>
      <c r="NDK23" s="19"/>
      <c r="NDL23" s="19"/>
      <c r="NDM23" s="19"/>
      <c r="NDN23" s="19"/>
      <c r="NDO23" s="19"/>
      <c r="NDP23" s="19"/>
      <c r="NDQ23" s="19"/>
      <c r="NDR23" s="19"/>
      <c r="NDS23" s="19"/>
      <c r="NDT23" s="19"/>
      <c r="NDU23" s="19"/>
      <c r="NDV23" s="19"/>
      <c r="NDW23" s="19"/>
      <c r="NDX23" s="19"/>
      <c r="NDY23" s="19"/>
      <c r="NDZ23" s="19"/>
      <c r="NEA23" s="19"/>
      <c r="NEB23" s="19"/>
      <c r="NEC23" s="19"/>
      <c r="NED23" s="19"/>
      <c r="NEE23" s="19"/>
      <c r="NEF23" s="19"/>
      <c r="NEG23" s="19"/>
      <c r="NEH23" s="19"/>
      <c r="NEI23" s="19"/>
      <c r="NEJ23" s="19"/>
      <c r="NEK23" s="19"/>
      <c r="NEL23" s="19"/>
      <c r="NEM23" s="19"/>
      <c r="NEN23" s="19"/>
      <c r="NEO23" s="19"/>
      <c r="NEP23" s="19"/>
      <c r="NEQ23" s="19"/>
      <c r="NER23" s="19"/>
      <c r="NES23" s="19"/>
      <c r="NET23" s="19"/>
      <c r="NEU23" s="19"/>
      <c r="NEV23" s="19"/>
      <c r="NEW23" s="19"/>
      <c r="NEX23" s="19"/>
      <c r="NEY23" s="19"/>
      <c r="NEZ23" s="19"/>
      <c r="NFA23" s="19"/>
      <c r="NFB23" s="19"/>
      <c r="NFC23" s="19"/>
      <c r="NFD23" s="19"/>
      <c r="NFE23" s="19"/>
      <c r="NFF23" s="19"/>
      <c r="NFG23" s="19"/>
      <c r="NFH23" s="19"/>
      <c r="NFI23" s="19"/>
      <c r="NFJ23" s="19"/>
      <c r="NFK23" s="19"/>
      <c r="NFL23" s="19"/>
      <c r="NFM23" s="19"/>
      <c r="NFN23" s="19"/>
      <c r="NFO23" s="19"/>
      <c r="NFP23" s="19"/>
      <c r="NFQ23" s="19"/>
      <c r="NFR23" s="19"/>
      <c r="NFS23" s="19"/>
      <c r="NFT23" s="19"/>
      <c r="NFU23" s="19"/>
      <c r="NFV23" s="19"/>
      <c r="NFW23" s="19"/>
      <c r="NFX23" s="19"/>
      <c r="NFY23" s="19"/>
      <c r="NFZ23" s="19"/>
      <c r="NGA23" s="19"/>
      <c r="NGB23" s="19"/>
      <c r="NGC23" s="19"/>
      <c r="NGD23" s="19"/>
      <c r="NGE23" s="19"/>
      <c r="NGF23" s="19"/>
      <c r="NGG23" s="19"/>
      <c r="NGH23" s="19"/>
      <c r="NGI23" s="19"/>
      <c r="NGJ23" s="19"/>
      <c r="NGK23" s="19"/>
      <c r="NGL23" s="19"/>
      <c r="NGM23" s="19"/>
      <c r="NGN23" s="19"/>
      <c r="NGO23" s="19"/>
      <c r="NGP23" s="19"/>
      <c r="NGQ23" s="19"/>
      <c r="NGR23" s="19"/>
      <c r="NGS23" s="19"/>
      <c r="NGT23" s="19"/>
      <c r="NGU23" s="19"/>
      <c r="NGV23" s="19"/>
      <c r="NGW23" s="19"/>
      <c r="NGX23" s="19"/>
      <c r="NGY23" s="19"/>
      <c r="NGZ23" s="19"/>
      <c r="NHA23" s="19"/>
      <c r="NHB23" s="19"/>
      <c r="NHC23" s="19"/>
      <c r="NHD23" s="19"/>
      <c r="NHE23" s="19"/>
      <c r="NHF23" s="19"/>
      <c r="NHG23" s="19"/>
      <c r="NHH23" s="19"/>
      <c r="NHI23" s="19"/>
      <c r="NHJ23" s="19"/>
      <c r="NHK23" s="19"/>
      <c r="NHL23" s="19"/>
      <c r="NHM23" s="19"/>
      <c r="NHN23" s="19"/>
      <c r="NHO23" s="19"/>
      <c r="NHP23" s="19"/>
      <c r="NHQ23" s="19"/>
      <c r="NHR23" s="19"/>
      <c r="NHS23" s="19"/>
      <c r="NHT23" s="19"/>
      <c r="NHU23" s="19"/>
      <c r="NHV23" s="19"/>
      <c r="NHW23" s="19"/>
      <c r="NHX23" s="19"/>
      <c r="NHY23" s="19"/>
      <c r="NHZ23" s="19"/>
      <c r="NIA23" s="19"/>
      <c r="NIB23" s="19"/>
      <c r="NIC23" s="19"/>
      <c r="NID23" s="19"/>
      <c r="NIE23" s="19"/>
      <c r="NIF23" s="19"/>
      <c r="NIG23" s="19"/>
      <c r="NIH23" s="19"/>
      <c r="NII23" s="19"/>
      <c r="NIJ23" s="19"/>
      <c r="NIK23" s="19"/>
      <c r="NIL23" s="19"/>
      <c r="NIM23" s="19"/>
      <c r="NIN23" s="19"/>
      <c r="NIO23" s="19"/>
      <c r="NIP23" s="19"/>
      <c r="NIQ23" s="19"/>
      <c r="NIR23" s="19"/>
      <c r="NIS23" s="19"/>
      <c r="NIT23" s="19"/>
      <c r="NIU23" s="19"/>
      <c r="NIV23" s="19"/>
      <c r="NIW23" s="19"/>
      <c r="NIX23" s="19"/>
      <c r="NIY23" s="19"/>
      <c r="NIZ23" s="19"/>
      <c r="NJA23" s="19"/>
      <c r="NJB23" s="19"/>
      <c r="NJC23" s="19"/>
      <c r="NJD23" s="19"/>
      <c r="NJE23" s="19"/>
      <c r="NJF23" s="19"/>
      <c r="NJG23" s="19"/>
      <c r="NJH23" s="19"/>
      <c r="NJI23" s="19"/>
      <c r="NJJ23" s="19"/>
      <c r="NJK23" s="19"/>
      <c r="NJL23" s="19"/>
      <c r="NJM23" s="19"/>
      <c r="NJN23" s="19"/>
      <c r="NJO23" s="19"/>
      <c r="NJP23" s="19"/>
      <c r="NJQ23" s="19"/>
      <c r="NJR23" s="19"/>
      <c r="NJS23" s="19"/>
      <c r="NJT23" s="19"/>
      <c r="NJU23" s="19"/>
      <c r="NJV23" s="19"/>
      <c r="NJW23" s="19"/>
      <c r="NJX23" s="19"/>
      <c r="NJY23" s="19"/>
      <c r="NJZ23" s="19"/>
      <c r="NKA23" s="19"/>
      <c r="NKB23" s="19"/>
      <c r="NKC23" s="19"/>
      <c r="NKD23" s="19"/>
      <c r="NKE23" s="19"/>
      <c r="NKF23" s="19"/>
      <c r="NKG23" s="19"/>
      <c r="NKH23" s="19"/>
      <c r="NKI23" s="19"/>
      <c r="NKJ23" s="19"/>
      <c r="NKK23" s="19"/>
      <c r="NKL23" s="19"/>
      <c r="NKM23" s="19"/>
      <c r="NKN23" s="19"/>
      <c r="NKO23" s="19"/>
      <c r="NKP23" s="19"/>
      <c r="NKQ23" s="19"/>
      <c r="NKR23" s="19"/>
      <c r="NKS23" s="19"/>
      <c r="NKT23" s="19"/>
      <c r="NKU23" s="19"/>
      <c r="NKV23" s="19"/>
      <c r="NKW23" s="19"/>
      <c r="NKX23" s="19"/>
      <c r="NKY23" s="19"/>
      <c r="NKZ23" s="19"/>
      <c r="NLA23" s="19"/>
      <c r="NLB23" s="19"/>
      <c r="NLC23" s="19"/>
      <c r="NLD23" s="19"/>
      <c r="NLE23" s="19"/>
      <c r="NLF23" s="19"/>
      <c r="NLG23" s="19"/>
      <c r="NLH23" s="19"/>
      <c r="NLI23" s="19"/>
      <c r="NLJ23" s="19"/>
      <c r="NLK23" s="19"/>
      <c r="NLL23" s="19"/>
      <c r="NLM23" s="19"/>
      <c r="NLN23" s="19"/>
      <c r="NLO23" s="19"/>
      <c r="NLP23" s="19"/>
      <c r="NLQ23" s="19"/>
      <c r="NLR23" s="19"/>
      <c r="NLS23" s="19"/>
      <c r="NLT23" s="19"/>
      <c r="NLU23" s="19"/>
      <c r="NLV23" s="19"/>
      <c r="NLW23" s="19"/>
      <c r="NLX23" s="19"/>
      <c r="NLY23" s="19"/>
      <c r="NLZ23" s="19"/>
      <c r="NMA23" s="19"/>
      <c r="NMB23" s="19"/>
      <c r="NMC23" s="19"/>
      <c r="NMD23" s="19"/>
      <c r="NME23" s="19"/>
      <c r="NMF23" s="19"/>
      <c r="NMG23" s="19"/>
      <c r="NMH23" s="19"/>
      <c r="NMI23" s="19"/>
      <c r="NMJ23" s="19"/>
      <c r="NMK23" s="19"/>
      <c r="NML23" s="19"/>
      <c r="NMM23" s="19"/>
      <c r="NMN23" s="19"/>
      <c r="NMO23" s="19"/>
      <c r="NMP23" s="19"/>
      <c r="NMQ23" s="19"/>
      <c r="NMR23" s="19"/>
      <c r="NMS23" s="19"/>
      <c r="NMT23" s="19"/>
      <c r="NMU23" s="19"/>
      <c r="NMV23" s="19"/>
      <c r="NMW23" s="19"/>
      <c r="NMX23" s="19"/>
      <c r="NMY23" s="19"/>
      <c r="NMZ23" s="19"/>
      <c r="NNA23" s="19"/>
      <c r="NNB23" s="19"/>
      <c r="NNC23" s="19"/>
      <c r="NND23" s="19"/>
      <c r="NNE23" s="19"/>
      <c r="NNF23" s="19"/>
      <c r="NNG23" s="19"/>
      <c r="NNH23" s="19"/>
      <c r="NNI23" s="19"/>
      <c r="NNJ23" s="19"/>
      <c r="NNK23" s="19"/>
      <c r="NNL23" s="19"/>
      <c r="NNM23" s="19"/>
      <c r="NNN23" s="19"/>
      <c r="NNO23" s="19"/>
      <c r="NNP23" s="19"/>
      <c r="NNQ23" s="19"/>
      <c r="NNR23" s="19"/>
      <c r="NNS23" s="19"/>
      <c r="NNT23" s="19"/>
      <c r="NNU23" s="19"/>
      <c r="NNV23" s="19"/>
      <c r="NNW23" s="19"/>
      <c r="NNX23" s="19"/>
      <c r="NNY23" s="19"/>
      <c r="NNZ23" s="19"/>
      <c r="NOA23" s="19"/>
      <c r="NOB23" s="19"/>
      <c r="NOC23" s="19"/>
      <c r="NOD23" s="19"/>
      <c r="NOE23" s="19"/>
      <c r="NOF23" s="19"/>
      <c r="NOG23" s="19"/>
      <c r="NOH23" s="19"/>
      <c r="NOI23" s="19"/>
      <c r="NOJ23" s="19"/>
      <c r="NOK23" s="19"/>
      <c r="NOL23" s="19"/>
      <c r="NOM23" s="19"/>
      <c r="NON23" s="19"/>
      <c r="NOO23" s="19"/>
      <c r="NOP23" s="19"/>
      <c r="NOQ23" s="19"/>
      <c r="NOR23" s="19"/>
      <c r="NOS23" s="19"/>
      <c r="NOT23" s="19"/>
      <c r="NOU23" s="19"/>
      <c r="NOV23" s="19"/>
      <c r="NOW23" s="19"/>
      <c r="NOX23" s="19"/>
      <c r="NOY23" s="19"/>
      <c r="NOZ23" s="19"/>
      <c r="NPA23" s="19"/>
      <c r="NPB23" s="19"/>
      <c r="NPC23" s="19"/>
      <c r="NPD23" s="19"/>
      <c r="NPE23" s="19"/>
      <c r="NPF23" s="19"/>
      <c r="NPG23" s="19"/>
      <c r="NPH23" s="19"/>
      <c r="NPI23" s="19"/>
      <c r="NPJ23" s="19"/>
      <c r="NPK23" s="19"/>
      <c r="NPL23" s="19"/>
      <c r="NPM23" s="19"/>
      <c r="NPN23" s="19"/>
      <c r="NPO23" s="19"/>
      <c r="NPP23" s="19"/>
      <c r="NPQ23" s="19"/>
      <c r="NPR23" s="19"/>
      <c r="NPS23" s="19"/>
      <c r="NPT23" s="19"/>
      <c r="NPU23" s="19"/>
      <c r="NPV23" s="19"/>
      <c r="NPW23" s="19"/>
      <c r="NPX23" s="19"/>
      <c r="NPY23" s="19"/>
      <c r="NPZ23" s="19"/>
      <c r="NQA23" s="19"/>
      <c r="NQB23" s="19"/>
      <c r="NQC23" s="19"/>
      <c r="NQD23" s="19"/>
      <c r="NQE23" s="19"/>
      <c r="NQF23" s="19"/>
      <c r="NQG23" s="19"/>
      <c r="NQH23" s="19"/>
      <c r="NQI23" s="19"/>
      <c r="NQJ23" s="19"/>
      <c r="NQK23" s="19"/>
      <c r="NQL23" s="19"/>
      <c r="NQM23" s="19"/>
      <c r="NQN23" s="19"/>
      <c r="NQO23" s="19"/>
      <c r="NQP23" s="19"/>
      <c r="NQQ23" s="19"/>
      <c r="NQR23" s="19"/>
      <c r="NQS23" s="19"/>
      <c r="NQT23" s="19"/>
      <c r="NQU23" s="19"/>
      <c r="NQV23" s="19"/>
      <c r="NQW23" s="19"/>
      <c r="NQX23" s="19"/>
      <c r="NQY23" s="19"/>
      <c r="NQZ23" s="19"/>
      <c r="NRA23" s="19"/>
      <c r="NRB23" s="19"/>
      <c r="NRC23" s="19"/>
      <c r="NRD23" s="19"/>
      <c r="NRE23" s="19"/>
      <c r="NRF23" s="19"/>
      <c r="NRG23" s="19"/>
      <c r="NRH23" s="19"/>
      <c r="NRI23" s="19"/>
      <c r="NRJ23" s="19"/>
      <c r="NRK23" s="19"/>
      <c r="NRL23" s="19"/>
      <c r="NRM23" s="19"/>
      <c r="NRN23" s="19"/>
      <c r="NRO23" s="19"/>
      <c r="NRP23" s="19"/>
      <c r="NRQ23" s="19"/>
      <c r="NRR23" s="19"/>
      <c r="NRS23" s="19"/>
      <c r="NRT23" s="19"/>
      <c r="NRU23" s="19"/>
      <c r="NRV23" s="19"/>
      <c r="NRW23" s="19"/>
      <c r="NRX23" s="19"/>
      <c r="NRY23" s="19"/>
      <c r="NRZ23" s="19"/>
      <c r="NSA23" s="19"/>
      <c r="NSB23" s="19"/>
      <c r="NSC23" s="19"/>
      <c r="NSD23" s="19"/>
      <c r="NSE23" s="19"/>
      <c r="NSF23" s="19"/>
      <c r="NSG23" s="19"/>
      <c r="NSH23" s="19"/>
      <c r="NSI23" s="19"/>
      <c r="NSJ23" s="19"/>
      <c r="NSK23" s="19"/>
      <c r="NSL23" s="19"/>
      <c r="NSM23" s="19"/>
      <c r="NSN23" s="19"/>
      <c r="NSO23" s="19"/>
      <c r="NSP23" s="19"/>
      <c r="NSQ23" s="19"/>
      <c r="NSR23" s="19"/>
      <c r="NSS23" s="19"/>
      <c r="NST23" s="19"/>
      <c r="NSU23" s="19"/>
      <c r="NSV23" s="19"/>
      <c r="NSW23" s="19"/>
      <c r="NSX23" s="19"/>
      <c r="NSY23" s="19"/>
      <c r="NSZ23" s="19"/>
      <c r="NTA23" s="19"/>
      <c r="NTB23" s="19"/>
      <c r="NTC23" s="19"/>
      <c r="NTD23" s="19"/>
      <c r="NTE23" s="19"/>
      <c r="NTF23" s="19"/>
      <c r="NTG23" s="19"/>
      <c r="NTH23" s="19"/>
      <c r="NTI23" s="19"/>
      <c r="NTJ23" s="19"/>
      <c r="NTK23" s="19"/>
      <c r="NTL23" s="19"/>
      <c r="NTM23" s="19"/>
      <c r="NTN23" s="19"/>
      <c r="NTO23" s="19"/>
      <c r="NTP23" s="19"/>
      <c r="NTQ23" s="19"/>
      <c r="NTR23" s="19"/>
      <c r="NTS23" s="19"/>
      <c r="NTT23" s="19"/>
      <c r="NTU23" s="19"/>
      <c r="NTV23" s="19"/>
      <c r="NTW23" s="19"/>
      <c r="NTX23" s="19"/>
      <c r="NTY23" s="19"/>
      <c r="NTZ23" s="19"/>
      <c r="NUA23" s="19"/>
      <c r="NUB23" s="19"/>
      <c r="NUC23" s="19"/>
      <c r="NUD23" s="19"/>
      <c r="NUE23" s="19"/>
      <c r="NUF23" s="19"/>
      <c r="NUG23" s="19"/>
      <c r="NUH23" s="19"/>
      <c r="NUI23" s="19"/>
      <c r="NUJ23" s="19"/>
      <c r="NUK23" s="19"/>
      <c r="NUL23" s="19"/>
      <c r="NUM23" s="19"/>
      <c r="NUN23" s="19"/>
      <c r="NUO23" s="19"/>
      <c r="NUP23" s="19"/>
      <c r="NUQ23" s="19"/>
      <c r="NUR23" s="19"/>
      <c r="NUS23" s="19"/>
      <c r="NUT23" s="19"/>
      <c r="NUU23" s="19"/>
      <c r="NUV23" s="19"/>
      <c r="NUW23" s="19"/>
      <c r="NUX23" s="19"/>
      <c r="NUY23" s="19"/>
      <c r="NUZ23" s="19"/>
      <c r="NVA23" s="19"/>
      <c r="NVB23" s="19"/>
      <c r="NVC23" s="19"/>
      <c r="NVD23" s="19"/>
      <c r="NVE23" s="19"/>
      <c r="NVF23" s="19"/>
      <c r="NVG23" s="19"/>
      <c r="NVH23" s="19"/>
      <c r="NVI23" s="19"/>
      <c r="NVJ23" s="19"/>
      <c r="NVK23" s="19"/>
      <c r="NVL23" s="19"/>
      <c r="NVM23" s="19"/>
      <c r="NVN23" s="19"/>
      <c r="NVO23" s="19"/>
      <c r="NVP23" s="19"/>
      <c r="NVQ23" s="19"/>
      <c r="NVR23" s="19"/>
      <c r="NVS23" s="19"/>
      <c r="NVT23" s="19"/>
      <c r="NVU23" s="19"/>
      <c r="NVV23" s="19"/>
      <c r="NVW23" s="19"/>
      <c r="NVX23" s="19"/>
      <c r="NVY23" s="19"/>
      <c r="NVZ23" s="19"/>
      <c r="NWA23" s="19"/>
      <c r="NWB23" s="19"/>
      <c r="NWC23" s="19"/>
      <c r="NWD23" s="19"/>
      <c r="NWE23" s="19"/>
      <c r="NWF23" s="19"/>
      <c r="NWG23" s="19"/>
      <c r="NWH23" s="19"/>
      <c r="NWI23" s="19"/>
      <c r="NWJ23" s="19"/>
      <c r="NWK23" s="19"/>
      <c r="NWL23" s="19"/>
      <c r="NWM23" s="19"/>
      <c r="NWN23" s="19"/>
      <c r="NWO23" s="19"/>
      <c r="NWP23" s="19"/>
      <c r="NWQ23" s="19"/>
      <c r="NWR23" s="19"/>
      <c r="NWS23" s="19"/>
      <c r="NWT23" s="19"/>
      <c r="NWU23" s="19"/>
      <c r="NWV23" s="19"/>
      <c r="NWW23" s="19"/>
      <c r="NWX23" s="19"/>
      <c r="NWY23" s="19"/>
      <c r="NWZ23" s="19"/>
      <c r="NXA23" s="19"/>
      <c r="NXB23" s="19"/>
      <c r="NXC23" s="19"/>
      <c r="NXD23" s="19"/>
      <c r="NXE23" s="19"/>
      <c r="NXF23" s="19"/>
      <c r="NXG23" s="19"/>
      <c r="NXH23" s="19"/>
      <c r="NXI23" s="19"/>
      <c r="NXJ23" s="19"/>
      <c r="NXK23" s="19"/>
      <c r="NXL23" s="19"/>
      <c r="NXM23" s="19"/>
      <c r="NXN23" s="19"/>
      <c r="NXO23" s="19"/>
      <c r="NXP23" s="19"/>
      <c r="NXQ23" s="19"/>
      <c r="NXR23" s="19"/>
      <c r="NXS23" s="19"/>
      <c r="NXT23" s="19"/>
      <c r="NXU23" s="19"/>
      <c r="NXV23" s="19"/>
      <c r="NXW23" s="19"/>
      <c r="NXX23" s="19"/>
      <c r="NXY23" s="19"/>
      <c r="NXZ23" s="19"/>
      <c r="NYA23" s="19"/>
      <c r="NYB23" s="19"/>
      <c r="NYC23" s="19"/>
      <c r="NYD23" s="19"/>
      <c r="NYE23" s="19"/>
      <c r="NYF23" s="19"/>
      <c r="NYG23" s="19"/>
      <c r="NYH23" s="19"/>
      <c r="NYI23" s="19"/>
      <c r="NYJ23" s="19"/>
      <c r="NYK23" s="19"/>
      <c r="NYL23" s="19"/>
      <c r="NYM23" s="19"/>
      <c r="NYN23" s="19"/>
      <c r="NYO23" s="19"/>
      <c r="NYP23" s="19"/>
      <c r="NYQ23" s="19"/>
      <c r="NYR23" s="19"/>
      <c r="NYS23" s="19"/>
      <c r="NYT23" s="19"/>
      <c r="NYU23" s="19"/>
      <c r="NYV23" s="19"/>
      <c r="NYW23" s="19"/>
      <c r="NYX23" s="19"/>
      <c r="NYY23" s="19"/>
      <c r="NYZ23" s="19"/>
      <c r="NZA23" s="19"/>
      <c r="NZB23" s="19"/>
      <c r="NZC23" s="19"/>
      <c r="NZD23" s="19"/>
      <c r="NZE23" s="19"/>
      <c r="NZF23" s="19"/>
      <c r="NZG23" s="19"/>
      <c r="NZH23" s="19"/>
      <c r="NZI23" s="19"/>
      <c r="NZJ23" s="19"/>
      <c r="NZK23" s="19"/>
      <c r="NZL23" s="19"/>
      <c r="NZM23" s="19"/>
      <c r="NZN23" s="19"/>
      <c r="NZO23" s="19"/>
      <c r="NZP23" s="19"/>
      <c r="NZQ23" s="19"/>
      <c r="NZR23" s="19"/>
      <c r="NZS23" s="19"/>
      <c r="NZT23" s="19"/>
      <c r="NZU23" s="19"/>
      <c r="NZV23" s="19"/>
      <c r="NZW23" s="19"/>
      <c r="NZX23" s="19"/>
      <c r="NZY23" s="19"/>
      <c r="NZZ23" s="19"/>
      <c r="OAA23" s="19"/>
      <c r="OAB23" s="19"/>
      <c r="OAC23" s="19"/>
      <c r="OAD23" s="19"/>
      <c r="OAE23" s="19"/>
      <c r="OAF23" s="19"/>
      <c r="OAG23" s="19"/>
      <c r="OAH23" s="19"/>
      <c r="OAI23" s="19"/>
      <c r="OAJ23" s="19"/>
      <c r="OAK23" s="19"/>
      <c r="OAL23" s="19"/>
      <c r="OAM23" s="19"/>
      <c r="OAN23" s="19"/>
      <c r="OAO23" s="19"/>
      <c r="OAP23" s="19"/>
      <c r="OAQ23" s="19"/>
      <c r="OAR23" s="19"/>
      <c r="OAS23" s="19"/>
      <c r="OAT23" s="19"/>
      <c r="OAU23" s="19"/>
      <c r="OAV23" s="19"/>
      <c r="OAW23" s="19"/>
      <c r="OAX23" s="19"/>
      <c r="OAY23" s="19"/>
      <c r="OAZ23" s="19"/>
      <c r="OBA23" s="19"/>
      <c r="OBB23" s="19"/>
      <c r="OBC23" s="19"/>
      <c r="OBD23" s="19"/>
      <c r="OBE23" s="19"/>
      <c r="OBF23" s="19"/>
      <c r="OBG23" s="19"/>
      <c r="OBH23" s="19"/>
      <c r="OBI23" s="19"/>
      <c r="OBJ23" s="19"/>
      <c r="OBK23" s="19"/>
      <c r="OBL23" s="19"/>
      <c r="OBM23" s="19"/>
      <c r="OBN23" s="19"/>
      <c r="OBO23" s="19"/>
      <c r="OBP23" s="19"/>
      <c r="OBQ23" s="19"/>
      <c r="OBR23" s="19"/>
      <c r="OBS23" s="19"/>
      <c r="OBT23" s="19"/>
      <c r="OBU23" s="19"/>
      <c r="OBV23" s="19"/>
      <c r="OBW23" s="19"/>
      <c r="OBX23" s="19"/>
      <c r="OBY23" s="19"/>
      <c r="OBZ23" s="19"/>
      <c r="OCA23" s="19"/>
      <c r="OCB23" s="19"/>
      <c r="OCC23" s="19"/>
      <c r="OCD23" s="19"/>
      <c r="OCE23" s="19"/>
      <c r="OCF23" s="19"/>
      <c r="OCG23" s="19"/>
      <c r="OCH23" s="19"/>
      <c r="OCI23" s="19"/>
      <c r="OCJ23" s="19"/>
      <c r="OCK23" s="19"/>
      <c r="OCL23" s="19"/>
      <c r="OCM23" s="19"/>
      <c r="OCN23" s="19"/>
      <c r="OCO23" s="19"/>
      <c r="OCP23" s="19"/>
      <c r="OCQ23" s="19"/>
      <c r="OCR23" s="19"/>
      <c r="OCS23" s="19"/>
      <c r="OCT23" s="19"/>
      <c r="OCU23" s="19"/>
      <c r="OCV23" s="19"/>
      <c r="OCW23" s="19"/>
      <c r="OCX23" s="19"/>
      <c r="OCY23" s="19"/>
      <c r="OCZ23" s="19"/>
      <c r="ODA23" s="19"/>
      <c r="ODB23" s="19"/>
      <c r="ODC23" s="19"/>
      <c r="ODD23" s="19"/>
      <c r="ODE23" s="19"/>
      <c r="ODF23" s="19"/>
      <c r="ODG23" s="19"/>
      <c r="ODH23" s="19"/>
      <c r="ODI23" s="19"/>
      <c r="ODJ23" s="19"/>
      <c r="ODK23" s="19"/>
      <c r="ODL23" s="19"/>
      <c r="ODM23" s="19"/>
      <c r="ODN23" s="19"/>
      <c r="ODO23" s="19"/>
      <c r="ODP23" s="19"/>
      <c r="ODQ23" s="19"/>
      <c r="ODR23" s="19"/>
      <c r="ODS23" s="19"/>
      <c r="ODT23" s="19"/>
      <c r="ODU23" s="19"/>
      <c r="ODV23" s="19"/>
      <c r="ODW23" s="19"/>
      <c r="ODX23" s="19"/>
      <c r="ODY23" s="19"/>
      <c r="ODZ23" s="19"/>
      <c r="OEA23" s="19"/>
      <c r="OEB23" s="19"/>
      <c r="OEC23" s="19"/>
      <c r="OED23" s="19"/>
      <c r="OEE23" s="19"/>
      <c r="OEF23" s="19"/>
      <c r="OEG23" s="19"/>
      <c r="OEH23" s="19"/>
      <c r="OEI23" s="19"/>
      <c r="OEJ23" s="19"/>
      <c r="OEK23" s="19"/>
      <c r="OEL23" s="19"/>
      <c r="OEM23" s="19"/>
      <c r="OEN23" s="19"/>
      <c r="OEO23" s="19"/>
      <c r="OEP23" s="19"/>
      <c r="OEQ23" s="19"/>
      <c r="OER23" s="19"/>
      <c r="OES23" s="19"/>
      <c r="OET23" s="19"/>
      <c r="OEU23" s="19"/>
      <c r="OEV23" s="19"/>
      <c r="OEW23" s="19"/>
      <c r="OEX23" s="19"/>
      <c r="OEY23" s="19"/>
      <c r="OEZ23" s="19"/>
      <c r="OFA23" s="19"/>
      <c r="OFB23" s="19"/>
      <c r="OFC23" s="19"/>
      <c r="OFD23" s="19"/>
      <c r="OFE23" s="19"/>
      <c r="OFF23" s="19"/>
      <c r="OFG23" s="19"/>
      <c r="OFH23" s="19"/>
      <c r="OFI23" s="19"/>
      <c r="OFJ23" s="19"/>
      <c r="OFK23" s="19"/>
      <c r="OFL23" s="19"/>
      <c r="OFM23" s="19"/>
      <c r="OFN23" s="19"/>
      <c r="OFO23" s="19"/>
      <c r="OFP23" s="19"/>
      <c r="OFQ23" s="19"/>
      <c r="OFR23" s="19"/>
      <c r="OFS23" s="19"/>
      <c r="OFT23" s="19"/>
      <c r="OFU23" s="19"/>
      <c r="OFV23" s="19"/>
      <c r="OFW23" s="19"/>
      <c r="OFX23" s="19"/>
      <c r="OFY23" s="19"/>
      <c r="OFZ23" s="19"/>
      <c r="OGA23" s="19"/>
      <c r="OGB23" s="19"/>
      <c r="OGC23" s="19"/>
      <c r="OGD23" s="19"/>
      <c r="OGE23" s="19"/>
      <c r="OGF23" s="19"/>
      <c r="OGG23" s="19"/>
      <c r="OGH23" s="19"/>
      <c r="OGI23" s="19"/>
      <c r="OGJ23" s="19"/>
      <c r="OGK23" s="19"/>
      <c r="OGL23" s="19"/>
      <c r="OGM23" s="19"/>
      <c r="OGN23" s="19"/>
      <c r="OGO23" s="19"/>
      <c r="OGP23" s="19"/>
      <c r="OGQ23" s="19"/>
      <c r="OGR23" s="19"/>
      <c r="OGS23" s="19"/>
      <c r="OGT23" s="19"/>
      <c r="OGU23" s="19"/>
      <c r="OGV23" s="19"/>
      <c r="OGW23" s="19"/>
      <c r="OGX23" s="19"/>
      <c r="OGY23" s="19"/>
      <c r="OGZ23" s="19"/>
      <c r="OHA23" s="19"/>
      <c r="OHB23" s="19"/>
      <c r="OHC23" s="19"/>
      <c r="OHD23" s="19"/>
      <c r="OHE23" s="19"/>
      <c r="OHF23" s="19"/>
      <c r="OHG23" s="19"/>
      <c r="OHH23" s="19"/>
      <c r="OHI23" s="19"/>
      <c r="OHJ23" s="19"/>
      <c r="OHK23" s="19"/>
      <c r="OHL23" s="19"/>
      <c r="OHM23" s="19"/>
      <c r="OHN23" s="19"/>
      <c r="OHO23" s="19"/>
      <c r="OHP23" s="19"/>
      <c r="OHQ23" s="19"/>
      <c r="OHR23" s="19"/>
      <c r="OHS23" s="19"/>
      <c r="OHT23" s="19"/>
      <c r="OHU23" s="19"/>
      <c r="OHV23" s="19"/>
      <c r="OHW23" s="19"/>
      <c r="OHX23" s="19"/>
      <c r="OHY23" s="19"/>
      <c r="OHZ23" s="19"/>
      <c r="OIA23" s="19"/>
      <c r="OIB23" s="19"/>
      <c r="OIC23" s="19"/>
      <c r="OID23" s="19"/>
      <c r="OIE23" s="19"/>
      <c r="OIF23" s="19"/>
      <c r="OIG23" s="19"/>
      <c r="OIH23" s="19"/>
      <c r="OII23" s="19"/>
      <c r="OIJ23" s="19"/>
      <c r="OIK23" s="19"/>
      <c r="OIL23" s="19"/>
      <c r="OIM23" s="19"/>
      <c r="OIN23" s="19"/>
      <c r="OIO23" s="19"/>
      <c r="OIP23" s="19"/>
      <c r="OIQ23" s="19"/>
      <c r="OIR23" s="19"/>
      <c r="OIS23" s="19"/>
      <c r="OIT23" s="19"/>
      <c r="OIU23" s="19"/>
      <c r="OIV23" s="19"/>
      <c r="OIW23" s="19"/>
      <c r="OIX23" s="19"/>
      <c r="OIY23" s="19"/>
      <c r="OIZ23" s="19"/>
      <c r="OJA23" s="19"/>
      <c r="OJB23" s="19"/>
      <c r="OJC23" s="19"/>
      <c r="OJD23" s="19"/>
      <c r="OJE23" s="19"/>
      <c r="OJF23" s="19"/>
      <c r="OJG23" s="19"/>
      <c r="OJH23" s="19"/>
      <c r="OJI23" s="19"/>
      <c r="OJJ23" s="19"/>
      <c r="OJK23" s="19"/>
      <c r="OJL23" s="19"/>
      <c r="OJM23" s="19"/>
      <c r="OJN23" s="19"/>
      <c r="OJO23" s="19"/>
      <c r="OJP23" s="19"/>
      <c r="OJQ23" s="19"/>
      <c r="OJR23" s="19"/>
      <c r="OJS23" s="19"/>
      <c r="OJT23" s="19"/>
      <c r="OJU23" s="19"/>
      <c r="OJV23" s="19"/>
      <c r="OJW23" s="19"/>
      <c r="OJX23" s="19"/>
      <c r="OJY23" s="19"/>
      <c r="OJZ23" s="19"/>
      <c r="OKA23" s="19"/>
      <c r="OKB23" s="19"/>
      <c r="OKC23" s="19"/>
      <c r="OKD23" s="19"/>
      <c r="OKE23" s="19"/>
      <c r="OKF23" s="19"/>
      <c r="OKG23" s="19"/>
      <c r="OKH23" s="19"/>
      <c r="OKI23" s="19"/>
      <c r="OKJ23" s="19"/>
      <c r="OKK23" s="19"/>
      <c r="OKL23" s="19"/>
      <c r="OKM23" s="19"/>
      <c r="OKN23" s="19"/>
      <c r="OKO23" s="19"/>
      <c r="OKP23" s="19"/>
      <c r="OKQ23" s="19"/>
      <c r="OKR23" s="19"/>
      <c r="OKS23" s="19"/>
      <c r="OKT23" s="19"/>
      <c r="OKU23" s="19"/>
      <c r="OKV23" s="19"/>
      <c r="OKW23" s="19"/>
      <c r="OKX23" s="19"/>
      <c r="OKY23" s="19"/>
      <c r="OKZ23" s="19"/>
      <c r="OLA23" s="19"/>
      <c r="OLB23" s="19"/>
      <c r="OLC23" s="19"/>
      <c r="OLD23" s="19"/>
      <c r="OLE23" s="19"/>
      <c r="OLF23" s="19"/>
      <c r="OLG23" s="19"/>
      <c r="OLH23" s="19"/>
      <c r="OLI23" s="19"/>
      <c r="OLJ23" s="19"/>
      <c r="OLK23" s="19"/>
      <c r="OLL23" s="19"/>
      <c r="OLM23" s="19"/>
      <c r="OLN23" s="19"/>
      <c r="OLO23" s="19"/>
      <c r="OLP23" s="19"/>
      <c r="OLQ23" s="19"/>
      <c r="OLR23" s="19"/>
      <c r="OLS23" s="19"/>
      <c r="OLT23" s="19"/>
      <c r="OLU23" s="19"/>
      <c r="OLV23" s="19"/>
      <c r="OLW23" s="19"/>
      <c r="OLX23" s="19"/>
      <c r="OLY23" s="19"/>
      <c r="OLZ23" s="19"/>
      <c r="OMA23" s="19"/>
      <c r="OMB23" s="19"/>
      <c r="OMC23" s="19"/>
      <c r="OMD23" s="19"/>
      <c r="OME23" s="19"/>
      <c r="OMF23" s="19"/>
      <c r="OMG23" s="19"/>
      <c r="OMH23" s="19"/>
      <c r="OMI23" s="19"/>
      <c r="OMJ23" s="19"/>
      <c r="OMK23" s="19"/>
      <c r="OML23" s="19"/>
      <c r="OMM23" s="19"/>
      <c r="OMN23" s="19"/>
      <c r="OMO23" s="19"/>
      <c r="OMP23" s="19"/>
      <c r="OMQ23" s="19"/>
      <c r="OMR23" s="19"/>
      <c r="OMS23" s="19"/>
      <c r="OMT23" s="19"/>
      <c r="OMU23" s="19"/>
      <c r="OMV23" s="19"/>
      <c r="OMW23" s="19"/>
      <c r="OMX23" s="19"/>
      <c r="OMY23" s="19"/>
      <c r="OMZ23" s="19"/>
      <c r="ONA23" s="19"/>
      <c r="ONB23" s="19"/>
      <c r="ONC23" s="19"/>
      <c r="OND23" s="19"/>
      <c r="ONE23" s="19"/>
      <c r="ONF23" s="19"/>
      <c r="ONG23" s="19"/>
      <c r="ONH23" s="19"/>
      <c r="ONI23" s="19"/>
      <c r="ONJ23" s="19"/>
      <c r="ONK23" s="19"/>
      <c r="ONL23" s="19"/>
      <c r="ONM23" s="19"/>
      <c r="ONN23" s="19"/>
      <c r="ONO23" s="19"/>
      <c r="ONP23" s="19"/>
      <c r="ONQ23" s="19"/>
      <c r="ONR23" s="19"/>
      <c r="ONS23" s="19"/>
      <c r="ONT23" s="19"/>
      <c r="ONU23" s="19"/>
      <c r="ONV23" s="19"/>
      <c r="ONW23" s="19"/>
      <c r="ONX23" s="19"/>
      <c r="ONY23" s="19"/>
      <c r="ONZ23" s="19"/>
      <c r="OOA23" s="19"/>
      <c r="OOB23" s="19"/>
      <c r="OOC23" s="19"/>
      <c r="OOD23" s="19"/>
      <c r="OOE23" s="19"/>
      <c r="OOF23" s="19"/>
      <c r="OOG23" s="19"/>
      <c r="OOH23" s="19"/>
      <c r="OOI23" s="19"/>
      <c r="OOJ23" s="19"/>
      <c r="OOK23" s="19"/>
      <c r="OOL23" s="19"/>
      <c r="OOM23" s="19"/>
      <c r="OON23" s="19"/>
      <c r="OOO23" s="19"/>
      <c r="OOP23" s="19"/>
      <c r="OOQ23" s="19"/>
      <c r="OOR23" s="19"/>
      <c r="OOS23" s="19"/>
      <c r="OOT23" s="19"/>
      <c r="OOU23" s="19"/>
      <c r="OOV23" s="19"/>
      <c r="OOW23" s="19"/>
      <c r="OOX23" s="19"/>
      <c r="OOY23" s="19"/>
      <c r="OOZ23" s="19"/>
      <c r="OPA23" s="19"/>
      <c r="OPB23" s="19"/>
      <c r="OPC23" s="19"/>
      <c r="OPD23" s="19"/>
      <c r="OPE23" s="19"/>
      <c r="OPF23" s="19"/>
      <c r="OPG23" s="19"/>
      <c r="OPH23" s="19"/>
      <c r="OPI23" s="19"/>
      <c r="OPJ23" s="19"/>
      <c r="OPK23" s="19"/>
      <c r="OPL23" s="19"/>
      <c r="OPM23" s="19"/>
      <c r="OPN23" s="19"/>
      <c r="OPO23" s="19"/>
      <c r="OPP23" s="19"/>
      <c r="OPQ23" s="19"/>
      <c r="OPR23" s="19"/>
      <c r="OPS23" s="19"/>
      <c r="OPT23" s="19"/>
      <c r="OPU23" s="19"/>
      <c r="OPV23" s="19"/>
      <c r="OPW23" s="19"/>
      <c r="OPX23" s="19"/>
      <c r="OPY23" s="19"/>
      <c r="OPZ23" s="19"/>
      <c r="OQA23" s="19"/>
      <c r="OQB23" s="19"/>
      <c r="OQC23" s="19"/>
      <c r="OQD23" s="19"/>
      <c r="OQE23" s="19"/>
      <c r="OQF23" s="19"/>
      <c r="OQG23" s="19"/>
      <c r="OQH23" s="19"/>
      <c r="OQI23" s="19"/>
      <c r="OQJ23" s="19"/>
      <c r="OQK23" s="19"/>
      <c r="OQL23" s="19"/>
      <c r="OQM23" s="19"/>
      <c r="OQN23" s="19"/>
      <c r="OQO23" s="19"/>
      <c r="OQP23" s="19"/>
      <c r="OQQ23" s="19"/>
      <c r="OQR23" s="19"/>
      <c r="OQS23" s="19"/>
      <c r="OQT23" s="19"/>
      <c r="OQU23" s="19"/>
      <c r="OQV23" s="19"/>
      <c r="OQW23" s="19"/>
      <c r="OQX23" s="19"/>
      <c r="OQY23" s="19"/>
      <c r="OQZ23" s="19"/>
      <c r="ORA23" s="19"/>
      <c r="ORB23" s="19"/>
      <c r="ORC23" s="19"/>
      <c r="ORD23" s="19"/>
      <c r="ORE23" s="19"/>
      <c r="ORF23" s="19"/>
      <c r="ORG23" s="19"/>
      <c r="ORH23" s="19"/>
      <c r="ORI23" s="19"/>
      <c r="ORJ23" s="19"/>
      <c r="ORK23" s="19"/>
      <c r="ORL23" s="19"/>
      <c r="ORM23" s="19"/>
      <c r="ORN23" s="19"/>
      <c r="ORO23" s="19"/>
      <c r="ORP23" s="19"/>
      <c r="ORQ23" s="19"/>
      <c r="ORR23" s="19"/>
      <c r="ORS23" s="19"/>
      <c r="ORT23" s="19"/>
      <c r="ORU23" s="19"/>
      <c r="ORV23" s="19"/>
      <c r="ORW23" s="19"/>
      <c r="ORX23" s="19"/>
      <c r="ORY23" s="19"/>
      <c r="ORZ23" s="19"/>
      <c r="OSA23" s="19"/>
      <c r="OSB23" s="19"/>
      <c r="OSC23" s="19"/>
      <c r="OSD23" s="19"/>
      <c r="OSE23" s="19"/>
      <c r="OSF23" s="19"/>
      <c r="OSG23" s="19"/>
      <c r="OSH23" s="19"/>
      <c r="OSI23" s="19"/>
      <c r="OSJ23" s="19"/>
      <c r="OSK23" s="19"/>
      <c r="OSL23" s="19"/>
      <c r="OSM23" s="19"/>
      <c r="OSN23" s="19"/>
      <c r="OSO23" s="19"/>
      <c r="OSP23" s="19"/>
      <c r="OSQ23" s="19"/>
      <c r="OSR23" s="19"/>
      <c r="OSS23" s="19"/>
      <c r="OST23" s="19"/>
      <c r="OSU23" s="19"/>
      <c r="OSV23" s="19"/>
      <c r="OSW23" s="19"/>
      <c r="OSX23" s="19"/>
      <c r="OSY23" s="19"/>
      <c r="OSZ23" s="19"/>
      <c r="OTA23" s="19"/>
      <c r="OTB23" s="19"/>
      <c r="OTC23" s="19"/>
      <c r="OTD23" s="19"/>
      <c r="OTE23" s="19"/>
      <c r="OTF23" s="19"/>
      <c r="OTG23" s="19"/>
      <c r="OTH23" s="19"/>
      <c r="OTI23" s="19"/>
      <c r="OTJ23" s="19"/>
      <c r="OTK23" s="19"/>
      <c r="OTL23" s="19"/>
      <c r="OTM23" s="19"/>
      <c r="OTN23" s="19"/>
      <c r="OTO23" s="19"/>
      <c r="OTP23" s="19"/>
      <c r="OTQ23" s="19"/>
      <c r="OTR23" s="19"/>
      <c r="OTS23" s="19"/>
      <c r="OTT23" s="19"/>
      <c r="OTU23" s="19"/>
      <c r="OTV23" s="19"/>
      <c r="OTW23" s="19"/>
      <c r="OTX23" s="19"/>
      <c r="OTY23" s="19"/>
      <c r="OTZ23" s="19"/>
      <c r="OUA23" s="19"/>
      <c r="OUB23" s="19"/>
      <c r="OUC23" s="19"/>
      <c r="OUD23" s="19"/>
      <c r="OUE23" s="19"/>
      <c r="OUF23" s="19"/>
      <c r="OUG23" s="19"/>
      <c r="OUH23" s="19"/>
      <c r="OUI23" s="19"/>
      <c r="OUJ23" s="19"/>
      <c r="OUK23" s="19"/>
      <c r="OUL23" s="19"/>
      <c r="OUM23" s="19"/>
      <c r="OUN23" s="19"/>
      <c r="OUO23" s="19"/>
      <c r="OUP23" s="19"/>
      <c r="OUQ23" s="19"/>
      <c r="OUR23" s="19"/>
      <c r="OUS23" s="19"/>
      <c r="OUT23" s="19"/>
      <c r="OUU23" s="19"/>
      <c r="OUV23" s="19"/>
      <c r="OUW23" s="19"/>
      <c r="OUX23" s="19"/>
      <c r="OUY23" s="19"/>
      <c r="OUZ23" s="19"/>
      <c r="OVA23" s="19"/>
      <c r="OVB23" s="19"/>
      <c r="OVC23" s="19"/>
      <c r="OVD23" s="19"/>
      <c r="OVE23" s="19"/>
      <c r="OVF23" s="19"/>
      <c r="OVG23" s="19"/>
      <c r="OVH23" s="19"/>
      <c r="OVI23" s="19"/>
      <c r="OVJ23" s="19"/>
      <c r="OVK23" s="19"/>
      <c r="OVL23" s="19"/>
      <c r="OVM23" s="19"/>
      <c r="OVN23" s="19"/>
      <c r="OVO23" s="19"/>
      <c r="OVP23" s="19"/>
      <c r="OVQ23" s="19"/>
      <c r="OVR23" s="19"/>
      <c r="OVS23" s="19"/>
      <c r="OVT23" s="19"/>
      <c r="OVU23" s="19"/>
      <c r="OVV23" s="19"/>
      <c r="OVW23" s="19"/>
      <c r="OVX23" s="19"/>
      <c r="OVY23" s="19"/>
      <c r="OVZ23" s="19"/>
      <c r="OWA23" s="19"/>
      <c r="OWB23" s="19"/>
      <c r="OWC23" s="19"/>
      <c r="OWD23" s="19"/>
      <c r="OWE23" s="19"/>
      <c r="OWF23" s="19"/>
      <c r="OWG23" s="19"/>
      <c r="OWH23" s="19"/>
      <c r="OWI23" s="19"/>
      <c r="OWJ23" s="19"/>
      <c r="OWK23" s="19"/>
      <c r="OWL23" s="19"/>
      <c r="OWM23" s="19"/>
      <c r="OWN23" s="19"/>
      <c r="OWO23" s="19"/>
      <c r="OWP23" s="19"/>
      <c r="OWQ23" s="19"/>
      <c r="OWR23" s="19"/>
      <c r="OWS23" s="19"/>
      <c r="OWT23" s="19"/>
      <c r="OWU23" s="19"/>
      <c r="OWV23" s="19"/>
      <c r="OWW23" s="19"/>
      <c r="OWX23" s="19"/>
      <c r="OWY23" s="19"/>
      <c r="OWZ23" s="19"/>
      <c r="OXA23" s="19"/>
      <c r="OXB23" s="19"/>
      <c r="OXC23" s="19"/>
      <c r="OXD23" s="19"/>
      <c r="OXE23" s="19"/>
      <c r="OXF23" s="19"/>
      <c r="OXG23" s="19"/>
      <c r="OXH23" s="19"/>
      <c r="OXI23" s="19"/>
      <c r="OXJ23" s="19"/>
      <c r="OXK23" s="19"/>
      <c r="OXL23" s="19"/>
      <c r="OXM23" s="19"/>
      <c r="OXN23" s="19"/>
      <c r="OXO23" s="19"/>
      <c r="OXP23" s="19"/>
      <c r="OXQ23" s="19"/>
      <c r="OXR23" s="19"/>
      <c r="OXS23" s="19"/>
      <c r="OXT23" s="19"/>
      <c r="OXU23" s="19"/>
      <c r="OXV23" s="19"/>
      <c r="OXW23" s="19"/>
      <c r="OXX23" s="19"/>
      <c r="OXY23" s="19"/>
      <c r="OXZ23" s="19"/>
      <c r="OYA23" s="19"/>
      <c r="OYB23" s="19"/>
      <c r="OYC23" s="19"/>
      <c r="OYD23" s="19"/>
      <c r="OYE23" s="19"/>
      <c r="OYF23" s="19"/>
      <c r="OYG23" s="19"/>
      <c r="OYH23" s="19"/>
      <c r="OYI23" s="19"/>
      <c r="OYJ23" s="19"/>
      <c r="OYK23" s="19"/>
      <c r="OYL23" s="19"/>
      <c r="OYM23" s="19"/>
      <c r="OYN23" s="19"/>
      <c r="OYO23" s="19"/>
      <c r="OYP23" s="19"/>
      <c r="OYQ23" s="19"/>
      <c r="OYR23" s="19"/>
      <c r="OYS23" s="19"/>
      <c r="OYT23" s="19"/>
      <c r="OYU23" s="19"/>
      <c r="OYV23" s="19"/>
      <c r="OYW23" s="19"/>
      <c r="OYX23" s="19"/>
      <c r="OYY23" s="19"/>
      <c r="OYZ23" s="19"/>
      <c r="OZA23" s="19"/>
      <c r="OZB23" s="19"/>
      <c r="OZC23" s="19"/>
      <c r="OZD23" s="19"/>
      <c r="OZE23" s="19"/>
      <c r="OZF23" s="19"/>
      <c r="OZG23" s="19"/>
      <c r="OZH23" s="19"/>
      <c r="OZI23" s="19"/>
      <c r="OZJ23" s="19"/>
      <c r="OZK23" s="19"/>
      <c r="OZL23" s="19"/>
      <c r="OZM23" s="19"/>
      <c r="OZN23" s="19"/>
      <c r="OZO23" s="19"/>
      <c r="OZP23" s="19"/>
      <c r="OZQ23" s="19"/>
      <c r="OZR23" s="19"/>
      <c r="OZS23" s="19"/>
      <c r="OZT23" s="19"/>
      <c r="OZU23" s="19"/>
      <c r="OZV23" s="19"/>
      <c r="OZW23" s="19"/>
      <c r="OZX23" s="19"/>
      <c r="OZY23" s="19"/>
      <c r="OZZ23" s="19"/>
      <c r="PAA23" s="19"/>
      <c r="PAB23" s="19"/>
      <c r="PAC23" s="19"/>
      <c r="PAD23" s="19"/>
      <c r="PAE23" s="19"/>
      <c r="PAF23" s="19"/>
      <c r="PAG23" s="19"/>
      <c r="PAH23" s="19"/>
      <c r="PAI23" s="19"/>
      <c r="PAJ23" s="19"/>
      <c r="PAK23" s="19"/>
      <c r="PAL23" s="19"/>
      <c r="PAM23" s="19"/>
      <c r="PAN23" s="19"/>
      <c r="PAO23" s="19"/>
      <c r="PAP23" s="19"/>
      <c r="PAQ23" s="19"/>
      <c r="PAR23" s="19"/>
      <c r="PAS23" s="19"/>
      <c r="PAT23" s="19"/>
      <c r="PAU23" s="19"/>
      <c r="PAV23" s="19"/>
      <c r="PAW23" s="19"/>
      <c r="PAX23" s="19"/>
      <c r="PAY23" s="19"/>
      <c r="PAZ23" s="19"/>
      <c r="PBA23" s="19"/>
      <c r="PBB23" s="19"/>
      <c r="PBC23" s="19"/>
      <c r="PBD23" s="19"/>
      <c r="PBE23" s="19"/>
      <c r="PBF23" s="19"/>
      <c r="PBG23" s="19"/>
      <c r="PBH23" s="19"/>
      <c r="PBI23" s="19"/>
      <c r="PBJ23" s="19"/>
      <c r="PBK23" s="19"/>
      <c r="PBL23" s="19"/>
      <c r="PBM23" s="19"/>
      <c r="PBN23" s="19"/>
      <c r="PBO23" s="19"/>
      <c r="PBP23" s="19"/>
      <c r="PBQ23" s="19"/>
      <c r="PBR23" s="19"/>
      <c r="PBS23" s="19"/>
      <c r="PBT23" s="19"/>
      <c r="PBU23" s="19"/>
      <c r="PBV23" s="19"/>
      <c r="PBW23" s="19"/>
      <c r="PBX23" s="19"/>
      <c r="PBY23" s="19"/>
      <c r="PBZ23" s="19"/>
      <c r="PCA23" s="19"/>
      <c r="PCB23" s="19"/>
      <c r="PCC23" s="19"/>
      <c r="PCD23" s="19"/>
      <c r="PCE23" s="19"/>
      <c r="PCF23" s="19"/>
      <c r="PCG23" s="19"/>
      <c r="PCH23" s="19"/>
      <c r="PCI23" s="19"/>
      <c r="PCJ23" s="19"/>
      <c r="PCK23" s="19"/>
      <c r="PCL23" s="19"/>
      <c r="PCM23" s="19"/>
      <c r="PCN23" s="19"/>
      <c r="PCO23" s="19"/>
      <c r="PCP23" s="19"/>
      <c r="PCQ23" s="19"/>
      <c r="PCR23" s="19"/>
      <c r="PCS23" s="19"/>
      <c r="PCT23" s="19"/>
      <c r="PCU23" s="19"/>
      <c r="PCV23" s="19"/>
      <c r="PCW23" s="19"/>
      <c r="PCX23" s="19"/>
      <c r="PCY23" s="19"/>
      <c r="PCZ23" s="19"/>
      <c r="PDA23" s="19"/>
      <c r="PDB23" s="19"/>
      <c r="PDC23" s="19"/>
      <c r="PDD23" s="19"/>
      <c r="PDE23" s="19"/>
      <c r="PDF23" s="19"/>
      <c r="PDG23" s="19"/>
      <c r="PDH23" s="19"/>
      <c r="PDI23" s="19"/>
      <c r="PDJ23" s="19"/>
      <c r="PDK23" s="19"/>
      <c r="PDL23" s="19"/>
      <c r="PDM23" s="19"/>
      <c r="PDN23" s="19"/>
      <c r="PDO23" s="19"/>
      <c r="PDP23" s="19"/>
      <c r="PDQ23" s="19"/>
      <c r="PDR23" s="19"/>
      <c r="PDS23" s="19"/>
      <c r="PDT23" s="19"/>
      <c r="PDU23" s="19"/>
      <c r="PDV23" s="19"/>
      <c r="PDW23" s="19"/>
      <c r="PDX23" s="19"/>
      <c r="PDY23" s="19"/>
      <c r="PDZ23" s="19"/>
      <c r="PEA23" s="19"/>
      <c r="PEB23" s="19"/>
      <c r="PEC23" s="19"/>
      <c r="PED23" s="19"/>
      <c r="PEE23" s="19"/>
      <c r="PEF23" s="19"/>
      <c r="PEG23" s="19"/>
      <c r="PEH23" s="19"/>
      <c r="PEI23" s="19"/>
      <c r="PEJ23" s="19"/>
      <c r="PEK23" s="19"/>
      <c r="PEL23" s="19"/>
      <c r="PEM23" s="19"/>
      <c r="PEN23" s="19"/>
      <c r="PEO23" s="19"/>
      <c r="PEP23" s="19"/>
      <c r="PEQ23" s="19"/>
      <c r="PER23" s="19"/>
      <c r="PES23" s="19"/>
      <c r="PET23" s="19"/>
      <c r="PEU23" s="19"/>
      <c r="PEV23" s="19"/>
      <c r="PEW23" s="19"/>
      <c r="PEX23" s="19"/>
      <c r="PEY23" s="19"/>
      <c r="PEZ23" s="19"/>
      <c r="PFA23" s="19"/>
      <c r="PFB23" s="19"/>
      <c r="PFC23" s="19"/>
      <c r="PFD23" s="19"/>
      <c r="PFE23" s="19"/>
      <c r="PFF23" s="19"/>
      <c r="PFG23" s="19"/>
      <c r="PFH23" s="19"/>
      <c r="PFI23" s="19"/>
      <c r="PFJ23" s="19"/>
      <c r="PFK23" s="19"/>
      <c r="PFL23" s="19"/>
      <c r="PFM23" s="19"/>
      <c r="PFN23" s="19"/>
      <c r="PFO23" s="19"/>
      <c r="PFP23" s="19"/>
      <c r="PFQ23" s="19"/>
      <c r="PFR23" s="19"/>
      <c r="PFS23" s="19"/>
      <c r="PFT23" s="19"/>
      <c r="PFU23" s="19"/>
      <c r="PFV23" s="19"/>
      <c r="PFW23" s="19"/>
      <c r="PFX23" s="19"/>
      <c r="PFY23" s="19"/>
      <c r="PFZ23" s="19"/>
      <c r="PGA23" s="19"/>
      <c r="PGB23" s="19"/>
      <c r="PGC23" s="19"/>
      <c r="PGD23" s="19"/>
      <c r="PGE23" s="19"/>
      <c r="PGF23" s="19"/>
      <c r="PGG23" s="19"/>
      <c r="PGH23" s="19"/>
      <c r="PGI23" s="19"/>
      <c r="PGJ23" s="19"/>
      <c r="PGK23" s="19"/>
      <c r="PGL23" s="19"/>
      <c r="PGM23" s="19"/>
      <c r="PGN23" s="19"/>
      <c r="PGO23" s="19"/>
      <c r="PGP23" s="19"/>
      <c r="PGQ23" s="19"/>
      <c r="PGR23" s="19"/>
      <c r="PGS23" s="19"/>
      <c r="PGT23" s="19"/>
      <c r="PGU23" s="19"/>
      <c r="PGV23" s="19"/>
      <c r="PGW23" s="19"/>
      <c r="PGX23" s="19"/>
      <c r="PGY23" s="19"/>
      <c r="PGZ23" s="19"/>
      <c r="PHA23" s="19"/>
      <c r="PHB23" s="19"/>
      <c r="PHC23" s="19"/>
      <c r="PHD23" s="19"/>
      <c r="PHE23" s="19"/>
      <c r="PHF23" s="19"/>
      <c r="PHG23" s="19"/>
      <c r="PHH23" s="19"/>
      <c r="PHI23" s="19"/>
      <c r="PHJ23" s="19"/>
      <c r="PHK23" s="19"/>
      <c r="PHL23" s="19"/>
      <c r="PHM23" s="19"/>
      <c r="PHN23" s="19"/>
      <c r="PHO23" s="19"/>
      <c r="PHP23" s="19"/>
      <c r="PHQ23" s="19"/>
      <c r="PHR23" s="19"/>
      <c r="PHS23" s="19"/>
      <c r="PHT23" s="19"/>
      <c r="PHU23" s="19"/>
      <c r="PHV23" s="19"/>
      <c r="PHW23" s="19"/>
      <c r="PHX23" s="19"/>
      <c r="PHY23" s="19"/>
      <c r="PHZ23" s="19"/>
      <c r="PIA23" s="19"/>
      <c r="PIB23" s="19"/>
      <c r="PIC23" s="19"/>
      <c r="PID23" s="19"/>
      <c r="PIE23" s="19"/>
      <c r="PIF23" s="19"/>
      <c r="PIG23" s="19"/>
      <c r="PIH23" s="19"/>
      <c r="PII23" s="19"/>
      <c r="PIJ23" s="19"/>
      <c r="PIK23" s="19"/>
      <c r="PIL23" s="19"/>
      <c r="PIM23" s="19"/>
      <c r="PIN23" s="19"/>
      <c r="PIO23" s="19"/>
      <c r="PIP23" s="19"/>
      <c r="PIQ23" s="19"/>
      <c r="PIR23" s="19"/>
      <c r="PIS23" s="19"/>
      <c r="PIT23" s="19"/>
      <c r="PIU23" s="19"/>
      <c r="PIV23" s="19"/>
      <c r="PIW23" s="19"/>
      <c r="PIX23" s="19"/>
      <c r="PIY23" s="19"/>
      <c r="PIZ23" s="19"/>
      <c r="PJA23" s="19"/>
      <c r="PJB23" s="19"/>
      <c r="PJC23" s="19"/>
      <c r="PJD23" s="19"/>
      <c r="PJE23" s="19"/>
      <c r="PJF23" s="19"/>
      <c r="PJG23" s="19"/>
      <c r="PJH23" s="19"/>
      <c r="PJI23" s="19"/>
      <c r="PJJ23" s="19"/>
      <c r="PJK23" s="19"/>
      <c r="PJL23" s="19"/>
      <c r="PJM23" s="19"/>
      <c r="PJN23" s="19"/>
      <c r="PJO23" s="19"/>
      <c r="PJP23" s="19"/>
      <c r="PJQ23" s="19"/>
      <c r="PJR23" s="19"/>
      <c r="PJS23" s="19"/>
      <c r="PJT23" s="19"/>
      <c r="PJU23" s="19"/>
      <c r="PJV23" s="19"/>
      <c r="PJW23" s="19"/>
      <c r="PJX23" s="19"/>
      <c r="PJY23" s="19"/>
      <c r="PJZ23" s="19"/>
      <c r="PKA23" s="19"/>
      <c r="PKB23" s="19"/>
      <c r="PKC23" s="19"/>
      <c r="PKD23" s="19"/>
      <c r="PKE23" s="19"/>
      <c r="PKF23" s="19"/>
      <c r="PKG23" s="19"/>
      <c r="PKH23" s="19"/>
      <c r="PKI23" s="19"/>
      <c r="PKJ23" s="19"/>
      <c r="PKK23" s="19"/>
      <c r="PKL23" s="19"/>
      <c r="PKM23" s="19"/>
      <c r="PKN23" s="19"/>
      <c r="PKO23" s="19"/>
      <c r="PKP23" s="19"/>
      <c r="PKQ23" s="19"/>
      <c r="PKR23" s="19"/>
      <c r="PKS23" s="19"/>
      <c r="PKT23" s="19"/>
      <c r="PKU23" s="19"/>
      <c r="PKV23" s="19"/>
      <c r="PKW23" s="19"/>
      <c r="PKX23" s="19"/>
      <c r="PKY23" s="19"/>
      <c r="PKZ23" s="19"/>
      <c r="PLA23" s="19"/>
      <c r="PLB23" s="19"/>
      <c r="PLC23" s="19"/>
      <c r="PLD23" s="19"/>
      <c r="PLE23" s="19"/>
      <c r="PLF23" s="19"/>
      <c r="PLG23" s="19"/>
      <c r="PLH23" s="19"/>
      <c r="PLI23" s="19"/>
      <c r="PLJ23" s="19"/>
      <c r="PLK23" s="19"/>
      <c r="PLL23" s="19"/>
      <c r="PLM23" s="19"/>
      <c r="PLN23" s="19"/>
      <c r="PLO23" s="19"/>
      <c r="PLP23" s="19"/>
      <c r="PLQ23" s="19"/>
      <c r="PLR23" s="19"/>
      <c r="PLS23" s="19"/>
      <c r="PLT23" s="19"/>
      <c r="PLU23" s="19"/>
      <c r="PLV23" s="19"/>
      <c r="PLW23" s="19"/>
      <c r="PLX23" s="19"/>
      <c r="PLY23" s="19"/>
      <c r="PLZ23" s="19"/>
      <c r="PMA23" s="19"/>
      <c r="PMB23" s="19"/>
      <c r="PMC23" s="19"/>
      <c r="PMD23" s="19"/>
      <c r="PME23" s="19"/>
      <c r="PMF23" s="19"/>
      <c r="PMG23" s="19"/>
      <c r="PMH23" s="19"/>
      <c r="PMI23" s="19"/>
      <c r="PMJ23" s="19"/>
      <c r="PMK23" s="19"/>
      <c r="PML23" s="19"/>
      <c r="PMM23" s="19"/>
      <c r="PMN23" s="19"/>
      <c r="PMO23" s="19"/>
      <c r="PMP23" s="19"/>
      <c r="PMQ23" s="19"/>
      <c r="PMR23" s="19"/>
      <c r="PMS23" s="19"/>
      <c r="PMT23" s="19"/>
      <c r="PMU23" s="19"/>
      <c r="PMV23" s="19"/>
      <c r="PMW23" s="19"/>
      <c r="PMX23" s="19"/>
      <c r="PMY23" s="19"/>
      <c r="PMZ23" s="19"/>
      <c r="PNA23" s="19"/>
      <c r="PNB23" s="19"/>
      <c r="PNC23" s="19"/>
      <c r="PND23" s="19"/>
      <c r="PNE23" s="19"/>
      <c r="PNF23" s="19"/>
      <c r="PNG23" s="19"/>
      <c r="PNH23" s="19"/>
      <c r="PNI23" s="19"/>
      <c r="PNJ23" s="19"/>
      <c r="PNK23" s="19"/>
      <c r="PNL23" s="19"/>
      <c r="PNM23" s="19"/>
      <c r="PNN23" s="19"/>
      <c r="PNO23" s="19"/>
      <c r="PNP23" s="19"/>
      <c r="PNQ23" s="19"/>
      <c r="PNR23" s="19"/>
      <c r="PNS23" s="19"/>
      <c r="PNT23" s="19"/>
      <c r="PNU23" s="19"/>
      <c r="PNV23" s="19"/>
      <c r="PNW23" s="19"/>
      <c r="PNX23" s="19"/>
      <c r="PNY23" s="19"/>
      <c r="PNZ23" s="19"/>
      <c r="POA23" s="19"/>
      <c r="POB23" s="19"/>
      <c r="POC23" s="19"/>
      <c r="POD23" s="19"/>
      <c r="POE23" s="19"/>
      <c r="POF23" s="19"/>
      <c r="POG23" s="19"/>
      <c r="POH23" s="19"/>
      <c r="POI23" s="19"/>
      <c r="POJ23" s="19"/>
      <c r="POK23" s="19"/>
      <c r="POL23" s="19"/>
      <c r="POM23" s="19"/>
      <c r="PON23" s="19"/>
      <c r="POO23" s="19"/>
      <c r="POP23" s="19"/>
      <c r="POQ23" s="19"/>
      <c r="POR23" s="19"/>
      <c r="POS23" s="19"/>
      <c r="POT23" s="19"/>
      <c r="POU23" s="19"/>
      <c r="POV23" s="19"/>
      <c r="POW23" s="19"/>
      <c r="POX23" s="19"/>
      <c r="POY23" s="19"/>
      <c r="POZ23" s="19"/>
      <c r="PPA23" s="19"/>
      <c r="PPB23" s="19"/>
      <c r="PPC23" s="19"/>
      <c r="PPD23" s="19"/>
      <c r="PPE23" s="19"/>
      <c r="PPF23" s="19"/>
      <c r="PPG23" s="19"/>
      <c r="PPH23" s="19"/>
      <c r="PPI23" s="19"/>
      <c r="PPJ23" s="19"/>
      <c r="PPK23" s="19"/>
      <c r="PPL23" s="19"/>
      <c r="PPM23" s="19"/>
      <c r="PPN23" s="19"/>
      <c r="PPO23" s="19"/>
      <c r="PPP23" s="19"/>
      <c r="PPQ23" s="19"/>
      <c r="PPR23" s="19"/>
      <c r="PPS23" s="19"/>
      <c r="PPT23" s="19"/>
      <c r="PPU23" s="19"/>
      <c r="PPV23" s="19"/>
      <c r="PPW23" s="19"/>
      <c r="PPX23" s="19"/>
      <c r="PPY23" s="19"/>
      <c r="PPZ23" s="19"/>
      <c r="PQA23" s="19"/>
      <c r="PQB23" s="19"/>
      <c r="PQC23" s="19"/>
      <c r="PQD23" s="19"/>
      <c r="PQE23" s="19"/>
      <c r="PQF23" s="19"/>
      <c r="PQG23" s="19"/>
      <c r="PQH23" s="19"/>
      <c r="PQI23" s="19"/>
      <c r="PQJ23" s="19"/>
      <c r="PQK23" s="19"/>
      <c r="PQL23" s="19"/>
      <c r="PQM23" s="19"/>
      <c r="PQN23" s="19"/>
      <c r="PQO23" s="19"/>
      <c r="PQP23" s="19"/>
      <c r="PQQ23" s="19"/>
      <c r="PQR23" s="19"/>
      <c r="PQS23" s="19"/>
      <c r="PQT23" s="19"/>
      <c r="PQU23" s="19"/>
      <c r="PQV23" s="19"/>
      <c r="PQW23" s="19"/>
      <c r="PQX23" s="19"/>
      <c r="PQY23" s="19"/>
      <c r="PQZ23" s="19"/>
      <c r="PRA23" s="19"/>
      <c r="PRB23" s="19"/>
      <c r="PRC23" s="19"/>
      <c r="PRD23" s="19"/>
      <c r="PRE23" s="19"/>
      <c r="PRF23" s="19"/>
      <c r="PRG23" s="19"/>
      <c r="PRH23" s="19"/>
      <c r="PRI23" s="19"/>
      <c r="PRJ23" s="19"/>
      <c r="PRK23" s="19"/>
      <c r="PRL23" s="19"/>
      <c r="PRM23" s="19"/>
      <c r="PRN23" s="19"/>
      <c r="PRO23" s="19"/>
      <c r="PRP23" s="19"/>
      <c r="PRQ23" s="19"/>
      <c r="PRR23" s="19"/>
      <c r="PRS23" s="19"/>
      <c r="PRT23" s="19"/>
      <c r="PRU23" s="19"/>
      <c r="PRV23" s="19"/>
      <c r="PRW23" s="19"/>
      <c r="PRX23" s="19"/>
      <c r="PRY23" s="19"/>
      <c r="PRZ23" s="19"/>
      <c r="PSA23" s="19"/>
      <c r="PSB23" s="19"/>
      <c r="PSC23" s="19"/>
      <c r="PSD23" s="19"/>
      <c r="PSE23" s="19"/>
      <c r="PSF23" s="19"/>
      <c r="PSG23" s="19"/>
      <c r="PSH23" s="19"/>
      <c r="PSI23" s="19"/>
      <c r="PSJ23" s="19"/>
      <c r="PSK23" s="19"/>
      <c r="PSL23" s="19"/>
      <c r="PSM23" s="19"/>
      <c r="PSN23" s="19"/>
      <c r="PSO23" s="19"/>
      <c r="PSP23" s="19"/>
      <c r="PSQ23" s="19"/>
      <c r="PSR23" s="19"/>
      <c r="PSS23" s="19"/>
      <c r="PST23" s="19"/>
      <c r="PSU23" s="19"/>
      <c r="PSV23" s="19"/>
      <c r="PSW23" s="19"/>
      <c r="PSX23" s="19"/>
      <c r="PSY23" s="19"/>
      <c r="PSZ23" s="19"/>
      <c r="PTA23" s="19"/>
      <c r="PTB23" s="19"/>
      <c r="PTC23" s="19"/>
      <c r="PTD23" s="19"/>
      <c r="PTE23" s="19"/>
      <c r="PTF23" s="19"/>
      <c r="PTG23" s="19"/>
      <c r="PTH23" s="19"/>
      <c r="PTI23" s="19"/>
      <c r="PTJ23" s="19"/>
      <c r="PTK23" s="19"/>
      <c r="PTL23" s="19"/>
      <c r="PTM23" s="19"/>
      <c r="PTN23" s="19"/>
      <c r="PTO23" s="19"/>
      <c r="PTP23" s="19"/>
      <c r="PTQ23" s="19"/>
      <c r="PTR23" s="19"/>
      <c r="PTS23" s="19"/>
      <c r="PTT23" s="19"/>
      <c r="PTU23" s="19"/>
      <c r="PTV23" s="19"/>
      <c r="PTW23" s="19"/>
      <c r="PTX23" s="19"/>
      <c r="PTY23" s="19"/>
      <c r="PTZ23" s="19"/>
      <c r="PUA23" s="19"/>
      <c r="PUB23" s="19"/>
      <c r="PUC23" s="19"/>
      <c r="PUD23" s="19"/>
      <c r="PUE23" s="19"/>
      <c r="PUF23" s="19"/>
      <c r="PUG23" s="19"/>
      <c r="PUH23" s="19"/>
      <c r="PUI23" s="19"/>
      <c r="PUJ23" s="19"/>
      <c r="PUK23" s="19"/>
      <c r="PUL23" s="19"/>
      <c r="PUM23" s="19"/>
      <c r="PUN23" s="19"/>
      <c r="PUO23" s="19"/>
      <c r="PUP23" s="19"/>
      <c r="PUQ23" s="19"/>
      <c r="PUR23" s="19"/>
      <c r="PUS23" s="19"/>
      <c r="PUT23" s="19"/>
      <c r="PUU23" s="19"/>
      <c r="PUV23" s="19"/>
      <c r="PUW23" s="19"/>
      <c r="PUX23" s="19"/>
      <c r="PUY23" s="19"/>
      <c r="PUZ23" s="19"/>
      <c r="PVA23" s="19"/>
      <c r="PVB23" s="19"/>
      <c r="PVC23" s="19"/>
      <c r="PVD23" s="19"/>
      <c r="PVE23" s="19"/>
      <c r="PVF23" s="19"/>
      <c r="PVG23" s="19"/>
      <c r="PVH23" s="19"/>
      <c r="PVI23" s="19"/>
      <c r="PVJ23" s="19"/>
      <c r="PVK23" s="19"/>
      <c r="PVL23" s="19"/>
      <c r="PVM23" s="19"/>
      <c r="PVN23" s="19"/>
      <c r="PVO23" s="19"/>
      <c r="PVP23" s="19"/>
      <c r="PVQ23" s="19"/>
      <c r="PVR23" s="19"/>
      <c r="PVS23" s="19"/>
      <c r="PVT23" s="19"/>
      <c r="PVU23" s="19"/>
      <c r="PVV23" s="19"/>
      <c r="PVW23" s="19"/>
      <c r="PVX23" s="19"/>
      <c r="PVY23" s="19"/>
      <c r="PVZ23" s="19"/>
      <c r="PWA23" s="19"/>
      <c r="PWB23" s="19"/>
      <c r="PWC23" s="19"/>
      <c r="PWD23" s="19"/>
      <c r="PWE23" s="19"/>
      <c r="PWF23" s="19"/>
      <c r="PWG23" s="19"/>
      <c r="PWH23" s="19"/>
      <c r="PWI23" s="19"/>
      <c r="PWJ23" s="19"/>
      <c r="PWK23" s="19"/>
      <c r="PWL23" s="19"/>
      <c r="PWM23" s="19"/>
      <c r="PWN23" s="19"/>
      <c r="PWO23" s="19"/>
      <c r="PWP23" s="19"/>
      <c r="PWQ23" s="19"/>
      <c r="PWR23" s="19"/>
      <c r="PWS23" s="19"/>
      <c r="PWT23" s="19"/>
      <c r="PWU23" s="19"/>
      <c r="PWV23" s="19"/>
      <c r="PWW23" s="19"/>
      <c r="PWX23" s="19"/>
      <c r="PWY23" s="19"/>
      <c r="PWZ23" s="19"/>
      <c r="PXA23" s="19"/>
      <c r="PXB23" s="19"/>
      <c r="PXC23" s="19"/>
      <c r="PXD23" s="19"/>
      <c r="PXE23" s="19"/>
      <c r="PXF23" s="19"/>
      <c r="PXG23" s="19"/>
      <c r="PXH23" s="19"/>
      <c r="PXI23" s="19"/>
      <c r="PXJ23" s="19"/>
      <c r="PXK23" s="19"/>
      <c r="PXL23" s="19"/>
      <c r="PXM23" s="19"/>
      <c r="PXN23" s="19"/>
      <c r="PXO23" s="19"/>
      <c r="PXP23" s="19"/>
      <c r="PXQ23" s="19"/>
      <c r="PXR23" s="19"/>
      <c r="PXS23" s="19"/>
      <c r="PXT23" s="19"/>
      <c r="PXU23" s="19"/>
      <c r="PXV23" s="19"/>
      <c r="PXW23" s="19"/>
      <c r="PXX23" s="19"/>
      <c r="PXY23" s="19"/>
      <c r="PXZ23" s="19"/>
      <c r="PYA23" s="19"/>
      <c r="PYB23" s="19"/>
      <c r="PYC23" s="19"/>
      <c r="PYD23" s="19"/>
      <c r="PYE23" s="19"/>
      <c r="PYF23" s="19"/>
      <c r="PYG23" s="19"/>
      <c r="PYH23" s="19"/>
      <c r="PYI23" s="19"/>
      <c r="PYJ23" s="19"/>
      <c r="PYK23" s="19"/>
      <c r="PYL23" s="19"/>
      <c r="PYM23" s="19"/>
      <c r="PYN23" s="19"/>
      <c r="PYO23" s="19"/>
      <c r="PYP23" s="19"/>
      <c r="PYQ23" s="19"/>
      <c r="PYR23" s="19"/>
      <c r="PYS23" s="19"/>
      <c r="PYT23" s="19"/>
      <c r="PYU23" s="19"/>
      <c r="PYV23" s="19"/>
      <c r="PYW23" s="19"/>
      <c r="PYX23" s="19"/>
      <c r="PYY23" s="19"/>
      <c r="PYZ23" s="19"/>
      <c r="PZA23" s="19"/>
      <c r="PZB23" s="19"/>
      <c r="PZC23" s="19"/>
      <c r="PZD23" s="19"/>
      <c r="PZE23" s="19"/>
      <c r="PZF23" s="19"/>
      <c r="PZG23" s="19"/>
      <c r="PZH23" s="19"/>
      <c r="PZI23" s="19"/>
      <c r="PZJ23" s="19"/>
      <c r="PZK23" s="19"/>
      <c r="PZL23" s="19"/>
      <c r="PZM23" s="19"/>
      <c r="PZN23" s="19"/>
      <c r="PZO23" s="19"/>
      <c r="PZP23" s="19"/>
      <c r="PZQ23" s="19"/>
      <c r="PZR23" s="19"/>
      <c r="PZS23" s="19"/>
      <c r="PZT23" s="19"/>
      <c r="PZU23" s="19"/>
      <c r="PZV23" s="19"/>
      <c r="PZW23" s="19"/>
      <c r="PZX23" s="19"/>
      <c r="PZY23" s="19"/>
      <c r="PZZ23" s="19"/>
      <c r="QAA23" s="19"/>
      <c r="QAB23" s="19"/>
      <c r="QAC23" s="19"/>
      <c r="QAD23" s="19"/>
      <c r="QAE23" s="19"/>
      <c r="QAF23" s="19"/>
      <c r="QAG23" s="19"/>
      <c r="QAH23" s="19"/>
      <c r="QAI23" s="19"/>
      <c r="QAJ23" s="19"/>
      <c r="QAK23" s="19"/>
      <c r="QAL23" s="19"/>
      <c r="QAM23" s="19"/>
      <c r="QAN23" s="19"/>
      <c r="QAO23" s="19"/>
      <c r="QAP23" s="19"/>
      <c r="QAQ23" s="19"/>
      <c r="QAR23" s="19"/>
      <c r="QAS23" s="19"/>
      <c r="QAT23" s="19"/>
      <c r="QAU23" s="19"/>
      <c r="QAV23" s="19"/>
      <c r="QAW23" s="19"/>
      <c r="QAX23" s="19"/>
      <c r="QAY23" s="19"/>
      <c r="QAZ23" s="19"/>
      <c r="QBA23" s="19"/>
      <c r="QBB23" s="19"/>
      <c r="QBC23" s="19"/>
      <c r="QBD23" s="19"/>
      <c r="QBE23" s="19"/>
      <c r="QBF23" s="19"/>
      <c r="QBG23" s="19"/>
      <c r="QBH23" s="19"/>
      <c r="QBI23" s="19"/>
      <c r="QBJ23" s="19"/>
      <c r="QBK23" s="19"/>
      <c r="QBL23" s="19"/>
      <c r="QBM23" s="19"/>
      <c r="QBN23" s="19"/>
      <c r="QBO23" s="19"/>
      <c r="QBP23" s="19"/>
      <c r="QBQ23" s="19"/>
      <c r="QBR23" s="19"/>
      <c r="QBS23" s="19"/>
      <c r="QBT23" s="19"/>
      <c r="QBU23" s="19"/>
      <c r="QBV23" s="19"/>
      <c r="QBW23" s="19"/>
      <c r="QBX23" s="19"/>
      <c r="QBY23" s="19"/>
      <c r="QBZ23" s="19"/>
      <c r="QCA23" s="19"/>
      <c r="QCB23" s="19"/>
      <c r="QCC23" s="19"/>
      <c r="QCD23" s="19"/>
      <c r="QCE23" s="19"/>
      <c r="QCF23" s="19"/>
      <c r="QCG23" s="19"/>
      <c r="QCH23" s="19"/>
      <c r="QCI23" s="19"/>
      <c r="QCJ23" s="19"/>
      <c r="QCK23" s="19"/>
      <c r="QCL23" s="19"/>
      <c r="QCM23" s="19"/>
      <c r="QCN23" s="19"/>
      <c r="QCO23" s="19"/>
      <c r="QCP23" s="19"/>
      <c r="QCQ23" s="19"/>
      <c r="QCR23" s="19"/>
      <c r="QCS23" s="19"/>
      <c r="QCT23" s="19"/>
      <c r="QCU23" s="19"/>
      <c r="QCV23" s="19"/>
      <c r="QCW23" s="19"/>
      <c r="QCX23" s="19"/>
      <c r="QCY23" s="19"/>
      <c r="QCZ23" s="19"/>
      <c r="QDA23" s="19"/>
      <c r="QDB23" s="19"/>
      <c r="QDC23" s="19"/>
      <c r="QDD23" s="19"/>
      <c r="QDE23" s="19"/>
      <c r="QDF23" s="19"/>
      <c r="QDG23" s="19"/>
      <c r="QDH23" s="19"/>
      <c r="QDI23" s="19"/>
      <c r="QDJ23" s="19"/>
      <c r="QDK23" s="19"/>
      <c r="QDL23" s="19"/>
      <c r="QDM23" s="19"/>
      <c r="QDN23" s="19"/>
      <c r="QDO23" s="19"/>
      <c r="QDP23" s="19"/>
      <c r="QDQ23" s="19"/>
      <c r="QDR23" s="19"/>
      <c r="QDS23" s="19"/>
      <c r="QDT23" s="19"/>
      <c r="QDU23" s="19"/>
      <c r="QDV23" s="19"/>
      <c r="QDW23" s="19"/>
      <c r="QDX23" s="19"/>
      <c r="QDY23" s="19"/>
      <c r="QDZ23" s="19"/>
      <c r="QEA23" s="19"/>
      <c r="QEB23" s="19"/>
      <c r="QEC23" s="19"/>
      <c r="QED23" s="19"/>
      <c r="QEE23" s="19"/>
      <c r="QEF23" s="19"/>
      <c r="QEG23" s="19"/>
      <c r="QEH23" s="19"/>
      <c r="QEI23" s="19"/>
      <c r="QEJ23" s="19"/>
      <c r="QEK23" s="19"/>
      <c r="QEL23" s="19"/>
      <c r="QEM23" s="19"/>
      <c r="QEN23" s="19"/>
      <c r="QEO23" s="19"/>
      <c r="QEP23" s="19"/>
      <c r="QEQ23" s="19"/>
      <c r="QER23" s="19"/>
      <c r="QES23" s="19"/>
      <c r="QET23" s="19"/>
      <c r="QEU23" s="19"/>
      <c r="QEV23" s="19"/>
      <c r="QEW23" s="19"/>
      <c r="QEX23" s="19"/>
      <c r="QEY23" s="19"/>
      <c r="QEZ23" s="19"/>
      <c r="QFA23" s="19"/>
      <c r="QFB23" s="19"/>
      <c r="QFC23" s="19"/>
      <c r="QFD23" s="19"/>
      <c r="QFE23" s="19"/>
      <c r="QFF23" s="19"/>
      <c r="QFG23" s="19"/>
      <c r="QFH23" s="19"/>
      <c r="QFI23" s="19"/>
      <c r="QFJ23" s="19"/>
      <c r="QFK23" s="19"/>
      <c r="QFL23" s="19"/>
      <c r="QFM23" s="19"/>
      <c r="QFN23" s="19"/>
      <c r="QFO23" s="19"/>
      <c r="QFP23" s="19"/>
      <c r="QFQ23" s="19"/>
      <c r="QFR23" s="19"/>
      <c r="QFS23" s="19"/>
      <c r="QFT23" s="19"/>
      <c r="QFU23" s="19"/>
      <c r="QFV23" s="19"/>
      <c r="QFW23" s="19"/>
      <c r="QFX23" s="19"/>
      <c r="QFY23" s="19"/>
      <c r="QFZ23" s="19"/>
      <c r="QGA23" s="19"/>
      <c r="QGB23" s="19"/>
      <c r="QGC23" s="19"/>
      <c r="QGD23" s="19"/>
      <c r="QGE23" s="19"/>
      <c r="QGF23" s="19"/>
      <c r="QGG23" s="19"/>
      <c r="QGH23" s="19"/>
      <c r="QGI23" s="19"/>
      <c r="QGJ23" s="19"/>
      <c r="QGK23" s="19"/>
      <c r="QGL23" s="19"/>
      <c r="QGM23" s="19"/>
      <c r="QGN23" s="19"/>
      <c r="QGO23" s="19"/>
      <c r="QGP23" s="19"/>
      <c r="QGQ23" s="19"/>
      <c r="QGR23" s="19"/>
      <c r="QGS23" s="19"/>
      <c r="QGT23" s="19"/>
      <c r="QGU23" s="19"/>
      <c r="QGV23" s="19"/>
      <c r="QGW23" s="19"/>
      <c r="QGX23" s="19"/>
      <c r="QGY23" s="19"/>
      <c r="QGZ23" s="19"/>
      <c r="QHA23" s="19"/>
      <c r="QHB23" s="19"/>
      <c r="QHC23" s="19"/>
      <c r="QHD23" s="19"/>
      <c r="QHE23" s="19"/>
      <c r="QHF23" s="19"/>
      <c r="QHG23" s="19"/>
      <c r="QHH23" s="19"/>
      <c r="QHI23" s="19"/>
      <c r="QHJ23" s="19"/>
      <c r="QHK23" s="19"/>
      <c r="QHL23" s="19"/>
      <c r="QHM23" s="19"/>
      <c r="QHN23" s="19"/>
      <c r="QHO23" s="19"/>
      <c r="QHP23" s="19"/>
      <c r="QHQ23" s="19"/>
      <c r="QHR23" s="19"/>
      <c r="QHS23" s="19"/>
      <c r="QHT23" s="19"/>
      <c r="QHU23" s="19"/>
      <c r="QHV23" s="19"/>
      <c r="QHW23" s="19"/>
      <c r="QHX23" s="19"/>
      <c r="QHY23" s="19"/>
      <c r="QHZ23" s="19"/>
      <c r="QIA23" s="19"/>
      <c r="QIB23" s="19"/>
      <c r="QIC23" s="19"/>
      <c r="QID23" s="19"/>
      <c r="QIE23" s="19"/>
      <c r="QIF23" s="19"/>
      <c r="QIG23" s="19"/>
      <c r="QIH23" s="19"/>
      <c r="QII23" s="19"/>
      <c r="QIJ23" s="19"/>
      <c r="QIK23" s="19"/>
      <c r="QIL23" s="19"/>
      <c r="QIM23" s="19"/>
      <c r="QIN23" s="19"/>
      <c r="QIO23" s="19"/>
      <c r="QIP23" s="19"/>
      <c r="QIQ23" s="19"/>
      <c r="QIR23" s="19"/>
      <c r="QIS23" s="19"/>
      <c r="QIT23" s="19"/>
      <c r="QIU23" s="19"/>
      <c r="QIV23" s="19"/>
      <c r="QIW23" s="19"/>
      <c r="QIX23" s="19"/>
      <c r="QIY23" s="19"/>
      <c r="QIZ23" s="19"/>
      <c r="QJA23" s="19"/>
      <c r="QJB23" s="19"/>
      <c r="QJC23" s="19"/>
      <c r="QJD23" s="19"/>
      <c r="QJE23" s="19"/>
      <c r="QJF23" s="19"/>
      <c r="QJG23" s="19"/>
      <c r="QJH23" s="19"/>
      <c r="QJI23" s="19"/>
      <c r="QJJ23" s="19"/>
      <c r="QJK23" s="19"/>
      <c r="QJL23" s="19"/>
      <c r="QJM23" s="19"/>
      <c r="QJN23" s="19"/>
      <c r="QJO23" s="19"/>
      <c r="QJP23" s="19"/>
      <c r="QJQ23" s="19"/>
      <c r="QJR23" s="19"/>
      <c r="QJS23" s="19"/>
      <c r="QJT23" s="19"/>
      <c r="QJU23" s="19"/>
      <c r="QJV23" s="19"/>
      <c r="QJW23" s="19"/>
      <c r="QJX23" s="19"/>
      <c r="QJY23" s="19"/>
      <c r="QJZ23" s="19"/>
      <c r="QKA23" s="19"/>
      <c r="QKB23" s="19"/>
      <c r="QKC23" s="19"/>
      <c r="QKD23" s="19"/>
      <c r="QKE23" s="19"/>
      <c r="QKF23" s="19"/>
      <c r="QKG23" s="19"/>
      <c r="QKH23" s="19"/>
      <c r="QKI23" s="19"/>
      <c r="QKJ23" s="19"/>
      <c r="QKK23" s="19"/>
      <c r="QKL23" s="19"/>
      <c r="QKM23" s="19"/>
      <c r="QKN23" s="19"/>
      <c r="QKO23" s="19"/>
      <c r="QKP23" s="19"/>
      <c r="QKQ23" s="19"/>
      <c r="QKR23" s="19"/>
      <c r="QKS23" s="19"/>
      <c r="QKT23" s="19"/>
      <c r="QKU23" s="19"/>
      <c r="QKV23" s="19"/>
      <c r="QKW23" s="19"/>
      <c r="QKX23" s="19"/>
      <c r="QKY23" s="19"/>
      <c r="QKZ23" s="19"/>
      <c r="QLA23" s="19"/>
      <c r="QLB23" s="19"/>
      <c r="QLC23" s="19"/>
      <c r="QLD23" s="19"/>
      <c r="QLE23" s="19"/>
      <c r="QLF23" s="19"/>
      <c r="QLG23" s="19"/>
      <c r="QLH23" s="19"/>
      <c r="QLI23" s="19"/>
      <c r="QLJ23" s="19"/>
      <c r="QLK23" s="19"/>
      <c r="QLL23" s="19"/>
      <c r="QLM23" s="19"/>
      <c r="QLN23" s="19"/>
      <c r="QLO23" s="19"/>
      <c r="QLP23" s="19"/>
      <c r="QLQ23" s="19"/>
      <c r="QLR23" s="19"/>
      <c r="QLS23" s="19"/>
      <c r="QLT23" s="19"/>
      <c r="QLU23" s="19"/>
      <c r="QLV23" s="19"/>
      <c r="QLW23" s="19"/>
      <c r="QLX23" s="19"/>
      <c r="QLY23" s="19"/>
      <c r="QLZ23" s="19"/>
      <c r="QMA23" s="19"/>
      <c r="QMB23" s="19"/>
      <c r="QMC23" s="19"/>
      <c r="QMD23" s="19"/>
      <c r="QME23" s="19"/>
      <c r="QMF23" s="19"/>
      <c r="QMG23" s="19"/>
      <c r="QMH23" s="19"/>
      <c r="QMI23" s="19"/>
      <c r="QMJ23" s="19"/>
      <c r="QMK23" s="19"/>
      <c r="QML23" s="19"/>
      <c r="QMM23" s="19"/>
      <c r="QMN23" s="19"/>
      <c r="QMO23" s="19"/>
      <c r="QMP23" s="19"/>
      <c r="QMQ23" s="19"/>
      <c r="QMR23" s="19"/>
      <c r="QMS23" s="19"/>
      <c r="QMT23" s="19"/>
      <c r="QMU23" s="19"/>
      <c r="QMV23" s="19"/>
      <c r="QMW23" s="19"/>
      <c r="QMX23" s="19"/>
      <c r="QMY23" s="19"/>
      <c r="QMZ23" s="19"/>
      <c r="QNA23" s="19"/>
      <c r="QNB23" s="19"/>
      <c r="QNC23" s="19"/>
      <c r="QND23" s="19"/>
      <c r="QNE23" s="19"/>
      <c r="QNF23" s="19"/>
      <c r="QNG23" s="19"/>
      <c r="QNH23" s="19"/>
      <c r="QNI23" s="19"/>
      <c r="QNJ23" s="19"/>
      <c r="QNK23" s="19"/>
      <c r="QNL23" s="19"/>
      <c r="QNM23" s="19"/>
      <c r="QNN23" s="19"/>
      <c r="QNO23" s="19"/>
      <c r="QNP23" s="19"/>
      <c r="QNQ23" s="19"/>
      <c r="QNR23" s="19"/>
      <c r="QNS23" s="19"/>
      <c r="QNT23" s="19"/>
      <c r="QNU23" s="19"/>
      <c r="QNV23" s="19"/>
      <c r="QNW23" s="19"/>
      <c r="QNX23" s="19"/>
      <c r="QNY23" s="19"/>
      <c r="QNZ23" s="19"/>
      <c r="QOA23" s="19"/>
      <c r="QOB23" s="19"/>
      <c r="QOC23" s="19"/>
      <c r="QOD23" s="19"/>
      <c r="QOE23" s="19"/>
      <c r="QOF23" s="19"/>
      <c r="QOG23" s="19"/>
      <c r="QOH23" s="19"/>
      <c r="QOI23" s="19"/>
      <c r="QOJ23" s="19"/>
      <c r="QOK23" s="19"/>
      <c r="QOL23" s="19"/>
      <c r="QOM23" s="19"/>
      <c r="QON23" s="19"/>
      <c r="QOO23" s="19"/>
      <c r="QOP23" s="19"/>
      <c r="QOQ23" s="19"/>
      <c r="QOR23" s="19"/>
      <c r="QOS23" s="19"/>
      <c r="QOT23" s="19"/>
      <c r="QOU23" s="19"/>
      <c r="QOV23" s="19"/>
      <c r="QOW23" s="19"/>
      <c r="QOX23" s="19"/>
      <c r="QOY23" s="19"/>
      <c r="QOZ23" s="19"/>
      <c r="QPA23" s="19"/>
      <c r="QPB23" s="19"/>
      <c r="QPC23" s="19"/>
      <c r="QPD23" s="19"/>
      <c r="QPE23" s="19"/>
      <c r="QPF23" s="19"/>
      <c r="QPG23" s="19"/>
      <c r="QPH23" s="19"/>
      <c r="QPI23" s="19"/>
      <c r="QPJ23" s="19"/>
      <c r="QPK23" s="19"/>
      <c r="QPL23" s="19"/>
      <c r="QPM23" s="19"/>
      <c r="QPN23" s="19"/>
      <c r="QPO23" s="19"/>
      <c r="QPP23" s="19"/>
      <c r="QPQ23" s="19"/>
      <c r="QPR23" s="19"/>
      <c r="QPS23" s="19"/>
      <c r="QPT23" s="19"/>
      <c r="QPU23" s="19"/>
      <c r="QPV23" s="19"/>
      <c r="QPW23" s="19"/>
      <c r="QPX23" s="19"/>
      <c r="QPY23" s="19"/>
      <c r="QPZ23" s="19"/>
      <c r="QQA23" s="19"/>
      <c r="QQB23" s="19"/>
      <c r="QQC23" s="19"/>
      <c r="QQD23" s="19"/>
      <c r="QQE23" s="19"/>
      <c r="QQF23" s="19"/>
      <c r="QQG23" s="19"/>
      <c r="QQH23" s="19"/>
      <c r="QQI23" s="19"/>
      <c r="QQJ23" s="19"/>
      <c r="QQK23" s="19"/>
      <c r="QQL23" s="19"/>
      <c r="QQM23" s="19"/>
      <c r="QQN23" s="19"/>
      <c r="QQO23" s="19"/>
      <c r="QQP23" s="19"/>
      <c r="QQQ23" s="19"/>
      <c r="QQR23" s="19"/>
      <c r="QQS23" s="19"/>
      <c r="QQT23" s="19"/>
      <c r="QQU23" s="19"/>
      <c r="QQV23" s="19"/>
      <c r="QQW23" s="19"/>
      <c r="QQX23" s="19"/>
      <c r="QQY23" s="19"/>
      <c r="QQZ23" s="19"/>
      <c r="QRA23" s="19"/>
      <c r="QRB23" s="19"/>
      <c r="QRC23" s="19"/>
      <c r="QRD23" s="19"/>
      <c r="QRE23" s="19"/>
      <c r="QRF23" s="19"/>
      <c r="QRG23" s="19"/>
      <c r="QRH23" s="19"/>
      <c r="QRI23" s="19"/>
      <c r="QRJ23" s="19"/>
      <c r="QRK23" s="19"/>
      <c r="QRL23" s="19"/>
      <c r="QRM23" s="19"/>
      <c r="QRN23" s="19"/>
      <c r="QRO23" s="19"/>
      <c r="QRP23" s="19"/>
      <c r="QRQ23" s="19"/>
      <c r="QRR23" s="19"/>
      <c r="QRS23" s="19"/>
      <c r="QRT23" s="19"/>
      <c r="QRU23" s="19"/>
      <c r="QRV23" s="19"/>
      <c r="QRW23" s="19"/>
      <c r="QRX23" s="19"/>
      <c r="QRY23" s="19"/>
      <c r="QRZ23" s="19"/>
      <c r="QSA23" s="19"/>
      <c r="QSB23" s="19"/>
      <c r="QSC23" s="19"/>
      <c r="QSD23" s="19"/>
      <c r="QSE23" s="19"/>
      <c r="QSF23" s="19"/>
      <c r="QSG23" s="19"/>
      <c r="QSH23" s="19"/>
      <c r="QSI23" s="19"/>
      <c r="QSJ23" s="19"/>
      <c r="QSK23" s="19"/>
      <c r="QSL23" s="19"/>
      <c r="QSM23" s="19"/>
      <c r="QSN23" s="19"/>
      <c r="QSO23" s="19"/>
      <c r="QSP23" s="19"/>
      <c r="QSQ23" s="19"/>
      <c r="QSR23" s="19"/>
      <c r="QSS23" s="19"/>
      <c r="QST23" s="19"/>
      <c r="QSU23" s="19"/>
      <c r="QSV23" s="19"/>
      <c r="QSW23" s="19"/>
      <c r="QSX23" s="19"/>
      <c r="QSY23" s="19"/>
      <c r="QSZ23" s="19"/>
      <c r="QTA23" s="19"/>
      <c r="QTB23" s="19"/>
      <c r="QTC23" s="19"/>
      <c r="QTD23" s="19"/>
      <c r="QTE23" s="19"/>
      <c r="QTF23" s="19"/>
      <c r="QTG23" s="19"/>
      <c r="QTH23" s="19"/>
      <c r="QTI23" s="19"/>
      <c r="QTJ23" s="19"/>
      <c r="QTK23" s="19"/>
      <c r="QTL23" s="19"/>
      <c r="QTM23" s="19"/>
      <c r="QTN23" s="19"/>
      <c r="QTO23" s="19"/>
      <c r="QTP23" s="19"/>
      <c r="QTQ23" s="19"/>
      <c r="QTR23" s="19"/>
      <c r="QTS23" s="19"/>
      <c r="QTT23" s="19"/>
      <c r="QTU23" s="19"/>
      <c r="QTV23" s="19"/>
      <c r="QTW23" s="19"/>
      <c r="QTX23" s="19"/>
      <c r="QTY23" s="19"/>
      <c r="QTZ23" s="19"/>
      <c r="QUA23" s="19"/>
      <c r="QUB23" s="19"/>
      <c r="QUC23" s="19"/>
      <c r="QUD23" s="19"/>
      <c r="QUE23" s="19"/>
      <c r="QUF23" s="19"/>
      <c r="QUG23" s="19"/>
      <c r="QUH23" s="19"/>
      <c r="QUI23" s="19"/>
      <c r="QUJ23" s="19"/>
      <c r="QUK23" s="19"/>
      <c r="QUL23" s="19"/>
      <c r="QUM23" s="19"/>
      <c r="QUN23" s="19"/>
      <c r="QUO23" s="19"/>
      <c r="QUP23" s="19"/>
      <c r="QUQ23" s="19"/>
      <c r="QUR23" s="19"/>
      <c r="QUS23" s="19"/>
      <c r="QUT23" s="19"/>
      <c r="QUU23" s="19"/>
      <c r="QUV23" s="19"/>
      <c r="QUW23" s="19"/>
      <c r="QUX23" s="19"/>
      <c r="QUY23" s="19"/>
      <c r="QUZ23" s="19"/>
      <c r="QVA23" s="19"/>
      <c r="QVB23" s="19"/>
      <c r="QVC23" s="19"/>
      <c r="QVD23" s="19"/>
      <c r="QVE23" s="19"/>
      <c r="QVF23" s="19"/>
      <c r="QVG23" s="19"/>
      <c r="QVH23" s="19"/>
      <c r="QVI23" s="19"/>
      <c r="QVJ23" s="19"/>
      <c r="QVK23" s="19"/>
      <c r="QVL23" s="19"/>
      <c r="QVM23" s="19"/>
      <c r="QVN23" s="19"/>
      <c r="QVO23" s="19"/>
      <c r="QVP23" s="19"/>
      <c r="QVQ23" s="19"/>
      <c r="QVR23" s="19"/>
      <c r="QVS23" s="19"/>
      <c r="QVT23" s="19"/>
      <c r="QVU23" s="19"/>
      <c r="QVV23" s="19"/>
      <c r="QVW23" s="19"/>
      <c r="QVX23" s="19"/>
      <c r="QVY23" s="19"/>
      <c r="QVZ23" s="19"/>
      <c r="QWA23" s="19"/>
      <c r="QWB23" s="19"/>
      <c r="QWC23" s="19"/>
      <c r="QWD23" s="19"/>
      <c r="QWE23" s="19"/>
      <c r="QWF23" s="19"/>
      <c r="QWG23" s="19"/>
      <c r="QWH23" s="19"/>
      <c r="QWI23" s="19"/>
      <c r="QWJ23" s="19"/>
      <c r="QWK23" s="19"/>
      <c r="QWL23" s="19"/>
      <c r="QWM23" s="19"/>
      <c r="QWN23" s="19"/>
      <c r="QWO23" s="19"/>
      <c r="QWP23" s="19"/>
      <c r="QWQ23" s="19"/>
      <c r="QWR23" s="19"/>
      <c r="QWS23" s="19"/>
      <c r="QWT23" s="19"/>
      <c r="QWU23" s="19"/>
      <c r="QWV23" s="19"/>
      <c r="QWW23" s="19"/>
      <c r="QWX23" s="19"/>
      <c r="QWY23" s="19"/>
      <c r="QWZ23" s="19"/>
      <c r="QXA23" s="19"/>
      <c r="QXB23" s="19"/>
      <c r="QXC23" s="19"/>
      <c r="QXD23" s="19"/>
      <c r="QXE23" s="19"/>
      <c r="QXF23" s="19"/>
      <c r="QXG23" s="19"/>
      <c r="QXH23" s="19"/>
      <c r="QXI23" s="19"/>
      <c r="QXJ23" s="19"/>
      <c r="QXK23" s="19"/>
      <c r="QXL23" s="19"/>
      <c r="QXM23" s="19"/>
      <c r="QXN23" s="19"/>
      <c r="QXO23" s="19"/>
      <c r="QXP23" s="19"/>
      <c r="QXQ23" s="19"/>
      <c r="QXR23" s="19"/>
      <c r="QXS23" s="19"/>
      <c r="QXT23" s="19"/>
      <c r="QXU23" s="19"/>
      <c r="QXV23" s="19"/>
      <c r="QXW23" s="19"/>
      <c r="QXX23" s="19"/>
      <c r="QXY23" s="19"/>
      <c r="QXZ23" s="19"/>
      <c r="QYA23" s="19"/>
      <c r="QYB23" s="19"/>
      <c r="QYC23" s="19"/>
      <c r="QYD23" s="19"/>
      <c r="QYE23" s="19"/>
      <c r="QYF23" s="19"/>
      <c r="QYG23" s="19"/>
      <c r="QYH23" s="19"/>
      <c r="QYI23" s="19"/>
      <c r="QYJ23" s="19"/>
      <c r="QYK23" s="19"/>
      <c r="QYL23" s="19"/>
      <c r="QYM23" s="19"/>
      <c r="QYN23" s="19"/>
      <c r="QYO23" s="19"/>
      <c r="QYP23" s="19"/>
      <c r="QYQ23" s="19"/>
      <c r="QYR23" s="19"/>
      <c r="QYS23" s="19"/>
      <c r="QYT23" s="19"/>
      <c r="QYU23" s="19"/>
      <c r="QYV23" s="19"/>
      <c r="QYW23" s="19"/>
      <c r="QYX23" s="19"/>
      <c r="QYY23" s="19"/>
      <c r="QYZ23" s="19"/>
      <c r="QZA23" s="19"/>
      <c r="QZB23" s="19"/>
      <c r="QZC23" s="19"/>
      <c r="QZD23" s="19"/>
      <c r="QZE23" s="19"/>
      <c r="QZF23" s="19"/>
      <c r="QZG23" s="19"/>
      <c r="QZH23" s="19"/>
      <c r="QZI23" s="19"/>
      <c r="QZJ23" s="19"/>
      <c r="QZK23" s="19"/>
      <c r="QZL23" s="19"/>
      <c r="QZM23" s="19"/>
      <c r="QZN23" s="19"/>
      <c r="QZO23" s="19"/>
      <c r="QZP23" s="19"/>
      <c r="QZQ23" s="19"/>
      <c r="QZR23" s="19"/>
      <c r="QZS23" s="19"/>
      <c r="QZT23" s="19"/>
      <c r="QZU23" s="19"/>
      <c r="QZV23" s="19"/>
      <c r="QZW23" s="19"/>
      <c r="QZX23" s="19"/>
      <c r="QZY23" s="19"/>
      <c r="QZZ23" s="19"/>
      <c r="RAA23" s="19"/>
      <c r="RAB23" s="19"/>
      <c r="RAC23" s="19"/>
      <c r="RAD23" s="19"/>
      <c r="RAE23" s="19"/>
      <c r="RAF23" s="19"/>
      <c r="RAG23" s="19"/>
      <c r="RAH23" s="19"/>
      <c r="RAI23" s="19"/>
      <c r="RAJ23" s="19"/>
      <c r="RAK23" s="19"/>
      <c r="RAL23" s="19"/>
      <c r="RAM23" s="19"/>
      <c r="RAN23" s="19"/>
      <c r="RAO23" s="19"/>
      <c r="RAP23" s="19"/>
      <c r="RAQ23" s="19"/>
      <c r="RAR23" s="19"/>
      <c r="RAS23" s="19"/>
      <c r="RAT23" s="19"/>
      <c r="RAU23" s="19"/>
      <c r="RAV23" s="19"/>
      <c r="RAW23" s="19"/>
      <c r="RAX23" s="19"/>
      <c r="RAY23" s="19"/>
      <c r="RAZ23" s="19"/>
      <c r="RBA23" s="19"/>
      <c r="RBB23" s="19"/>
      <c r="RBC23" s="19"/>
      <c r="RBD23" s="19"/>
      <c r="RBE23" s="19"/>
      <c r="RBF23" s="19"/>
      <c r="RBG23" s="19"/>
      <c r="RBH23" s="19"/>
      <c r="RBI23" s="19"/>
      <c r="RBJ23" s="19"/>
      <c r="RBK23" s="19"/>
      <c r="RBL23" s="19"/>
      <c r="RBM23" s="19"/>
      <c r="RBN23" s="19"/>
      <c r="RBO23" s="19"/>
      <c r="RBP23" s="19"/>
      <c r="RBQ23" s="19"/>
      <c r="RBR23" s="19"/>
      <c r="RBS23" s="19"/>
      <c r="RBT23" s="19"/>
      <c r="RBU23" s="19"/>
      <c r="RBV23" s="19"/>
      <c r="RBW23" s="19"/>
      <c r="RBX23" s="19"/>
      <c r="RBY23" s="19"/>
      <c r="RBZ23" s="19"/>
      <c r="RCA23" s="19"/>
      <c r="RCB23" s="19"/>
      <c r="RCC23" s="19"/>
      <c r="RCD23" s="19"/>
      <c r="RCE23" s="19"/>
      <c r="RCF23" s="19"/>
      <c r="RCG23" s="19"/>
      <c r="RCH23" s="19"/>
      <c r="RCI23" s="19"/>
      <c r="RCJ23" s="19"/>
      <c r="RCK23" s="19"/>
      <c r="RCL23" s="19"/>
      <c r="RCM23" s="19"/>
      <c r="RCN23" s="19"/>
      <c r="RCO23" s="19"/>
      <c r="RCP23" s="19"/>
      <c r="RCQ23" s="19"/>
      <c r="RCR23" s="19"/>
      <c r="RCS23" s="19"/>
      <c r="RCT23" s="19"/>
      <c r="RCU23" s="19"/>
      <c r="RCV23" s="19"/>
      <c r="RCW23" s="19"/>
      <c r="RCX23" s="19"/>
      <c r="RCY23" s="19"/>
      <c r="RCZ23" s="19"/>
      <c r="RDA23" s="19"/>
      <c r="RDB23" s="19"/>
      <c r="RDC23" s="19"/>
      <c r="RDD23" s="19"/>
      <c r="RDE23" s="19"/>
      <c r="RDF23" s="19"/>
      <c r="RDG23" s="19"/>
      <c r="RDH23" s="19"/>
      <c r="RDI23" s="19"/>
      <c r="RDJ23" s="19"/>
      <c r="RDK23" s="19"/>
      <c r="RDL23" s="19"/>
      <c r="RDM23" s="19"/>
      <c r="RDN23" s="19"/>
      <c r="RDO23" s="19"/>
      <c r="RDP23" s="19"/>
      <c r="RDQ23" s="19"/>
      <c r="RDR23" s="19"/>
      <c r="RDS23" s="19"/>
      <c r="RDT23" s="19"/>
      <c r="RDU23" s="19"/>
      <c r="RDV23" s="19"/>
      <c r="RDW23" s="19"/>
      <c r="RDX23" s="19"/>
      <c r="RDY23" s="19"/>
      <c r="RDZ23" s="19"/>
      <c r="REA23" s="19"/>
      <c r="REB23" s="19"/>
      <c r="REC23" s="19"/>
      <c r="RED23" s="19"/>
      <c r="REE23" s="19"/>
      <c r="REF23" s="19"/>
      <c r="REG23" s="19"/>
      <c r="REH23" s="19"/>
      <c r="REI23" s="19"/>
      <c r="REJ23" s="19"/>
      <c r="REK23" s="19"/>
      <c r="REL23" s="19"/>
      <c r="REM23" s="19"/>
      <c r="REN23" s="19"/>
      <c r="REO23" s="19"/>
      <c r="REP23" s="19"/>
      <c r="REQ23" s="19"/>
      <c r="RER23" s="19"/>
      <c r="RES23" s="19"/>
      <c r="RET23" s="19"/>
      <c r="REU23" s="19"/>
      <c r="REV23" s="19"/>
      <c r="REW23" s="19"/>
      <c r="REX23" s="19"/>
      <c r="REY23" s="19"/>
      <c r="REZ23" s="19"/>
      <c r="RFA23" s="19"/>
      <c r="RFB23" s="19"/>
      <c r="RFC23" s="19"/>
      <c r="RFD23" s="19"/>
      <c r="RFE23" s="19"/>
      <c r="RFF23" s="19"/>
      <c r="RFG23" s="19"/>
      <c r="RFH23" s="19"/>
      <c r="RFI23" s="19"/>
      <c r="RFJ23" s="19"/>
      <c r="RFK23" s="19"/>
      <c r="RFL23" s="19"/>
      <c r="RFM23" s="19"/>
      <c r="RFN23" s="19"/>
      <c r="RFO23" s="19"/>
      <c r="RFP23" s="19"/>
      <c r="RFQ23" s="19"/>
      <c r="RFR23" s="19"/>
      <c r="RFS23" s="19"/>
      <c r="RFT23" s="19"/>
      <c r="RFU23" s="19"/>
      <c r="RFV23" s="19"/>
      <c r="RFW23" s="19"/>
      <c r="RFX23" s="19"/>
      <c r="RFY23" s="19"/>
      <c r="RFZ23" s="19"/>
      <c r="RGA23" s="19"/>
      <c r="RGB23" s="19"/>
      <c r="RGC23" s="19"/>
      <c r="RGD23" s="19"/>
      <c r="RGE23" s="19"/>
      <c r="RGF23" s="19"/>
      <c r="RGG23" s="19"/>
      <c r="RGH23" s="19"/>
      <c r="RGI23" s="19"/>
      <c r="RGJ23" s="19"/>
      <c r="RGK23" s="19"/>
      <c r="RGL23" s="19"/>
      <c r="RGM23" s="19"/>
      <c r="RGN23" s="19"/>
      <c r="RGO23" s="19"/>
      <c r="RGP23" s="19"/>
      <c r="RGQ23" s="19"/>
      <c r="RGR23" s="19"/>
      <c r="RGS23" s="19"/>
      <c r="RGT23" s="19"/>
      <c r="RGU23" s="19"/>
      <c r="RGV23" s="19"/>
      <c r="RGW23" s="19"/>
      <c r="RGX23" s="19"/>
      <c r="RGY23" s="19"/>
      <c r="RGZ23" s="19"/>
      <c r="RHA23" s="19"/>
      <c r="RHB23" s="19"/>
      <c r="RHC23" s="19"/>
      <c r="RHD23" s="19"/>
      <c r="RHE23" s="19"/>
      <c r="RHF23" s="19"/>
      <c r="RHG23" s="19"/>
      <c r="RHH23" s="19"/>
      <c r="RHI23" s="19"/>
      <c r="RHJ23" s="19"/>
      <c r="RHK23" s="19"/>
      <c r="RHL23" s="19"/>
      <c r="RHM23" s="19"/>
      <c r="RHN23" s="19"/>
      <c r="RHO23" s="19"/>
      <c r="RHP23" s="19"/>
      <c r="RHQ23" s="19"/>
      <c r="RHR23" s="19"/>
      <c r="RHS23" s="19"/>
      <c r="RHT23" s="19"/>
      <c r="RHU23" s="19"/>
      <c r="RHV23" s="19"/>
      <c r="RHW23" s="19"/>
      <c r="RHX23" s="19"/>
      <c r="RHY23" s="19"/>
      <c r="RHZ23" s="19"/>
      <c r="RIA23" s="19"/>
      <c r="RIB23" s="19"/>
      <c r="RIC23" s="19"/>
      <c r="RID23" s="19"/>
      <c r="RIE23" s="19"/>
      <c r="RIF23" s="19"/>
      <c r="RIG23" s="19"/>
      <c r="RIH23" s="19"/>
      <c r="RII23" s="19"/>
      <c r="RIJ23" s="19"/>
      <c r="RIK23" s="19"/>
      <c r="RIL23" s="19"/>
      <c r="RIM23" s="19"/>
      <c r="RIN23" s="19"/>
      <c r="RIO23" s="19"/>
      <c r="RIP23" s="19"/>
      <c r="RIQ23" s="19"/>
      <c r="RIR23" s="19"/>
      <c r="RIS23" s="19"/>
      <c r="RIT23" s="19"/>
      <c r="RIU23" s="19"/>
      <c r="RIV23" s="19"/>
      <c r="RIW23" s="19"/>
      <c r="RIX23" s="19"/>
      <c r="RIY23" s="19"/>
      <c r="RIZ23" s="19"/>
      <c r="RJA23" s="19"/>
      <c r="RJB23" s="19"/>
      <c r="RJC23" s="19"/>
      <c r="RJD23" s="19"/>
      <c r="RJE23" s="19"/>
      <c r="RJF23" s="19"/>
      <c r="RJG23" s="19"/>
      <c r="RJH23" s="19"/>
      <c r="RJI23" s="19"/>
      <c r="RJJ23" s="19"/>
      <c r="RJK23" s="19"/>
      <c r="RJL23" s="19"/>
      <c r="RJM23" s="19"/>
      <c r="RJN23" s="19"/>
      <c r="RJO23" s="19"/>
      <c r="RJP23" s="19"/>
      <c r="RJQ23" s="19"/>
      <c r="RJR23" s="19"/>
      <c r="RJS23" s="19"/>
      <c r="RJT23" s="19"/>
      <c r="RJU23" s="19"/>
      <c r="RJV23" s="19"/>
      <c r="RJW23" s="19"/>
      <c r="RJX23" s="19"/>
      <c r="RJY23" s="19"/>
      <c r="RJZ23" s="19"/>
      <c r="RKA23" s="19"/>
      <c r="RKB23" s="19"/>
      <c r="RKC23" s="19"/>
      <c r="RKD23" s="19"/>
      <c r="RKE23" s="19"/>
      <c r="RKF23" s="19"/>
      <c r="RKG23" s="19"/>
      <c r="RKH23" s="19"/>
      <c r="RKI23" s="19"/>
      <c r="RKJ23" s="19"/>
      <c r="RKK23" s="19"/>
      <c r="RKL23" s="19"/>
      <c r="RKM23" s="19"/>
      <c r="RKN23" s="19"/>
      <c r="RKO23" s="19"/>
      <c r="RKP23" s="19"/>
      <c r="RKQ23" s="19"/>
      <c r="RKR23" s="19"/>
      <c r="RKS23" s="19"/>
      <c r="RKT23" s="19"/>
      <c r="RKU23" s="19"/>
      <c r="RKV23" s="19"/>
      <c r="RKW23" s="19"/>
      <c r="RKX23" s="19"/>
      <c r="RKY23" s="19"/>
      <c r="RKZ23" s="19"/>
      <c r="RLA23" s="19"/>
      <c r="RLB23" s="19"/>
      <c r="RLC23" s="19"/>
      <c r="RLD23" s="19"/>
      <c r="RLE23" s="19"/>
      <c r="RLF23" s="19"/>
      <c r="RLG23" s="19"/>
      <c r="RLH23" s="19"/>
      <c r="RLI23" s="19"/>
      <c r="RLJ23" s="19"/>
      <c r="RLK23" s="19"/>
      <c r="RLL23" s="19"/>
      <c r="RLM23" s="19"/>
      <c r="RLN23" s="19"/>
      <c r="RLO23" s="19"/>
      <c r="RLP23" s="19"/>
      <c r="RLQ23" s="19"/>
      <c r="RLR23" s="19"/>
      <c r="RLS23" s="19"/>
      <c r="RLT23" s="19"/>
      <c r="RLU23" s="19"/>
      <c r="RLV23" s="19"/>
      <c r="RLW23" s="19"/>
      <c r="RLX23" s="19"/>
      <c r="RLY23" s="19"/>
      <c r="RLZ23" s="19"/>
      <c r="RMA23" s="19"/>
      <c r="RMB23" s="19"/>
      <c r="RMC23" s="19"/>
      <c r="RMD23" s="19"/>
      <c r="RME23" s="19"/>
      <c r="RMF23" s="19"/>
      <c r="RMG23" s="19"/>
      <c r="RMH23" s="19"/>
      <c r="RMI23" s="19"/>
      <c r="RMJ23" s="19"/>
      <c r="RMK23" s="19"/>
      <c r="RML23" s="19"/>
      <c r="RMM23" s="19"/>
      <c r="RMN23" s="19"/>
      <c r="RMO23" s="19"/>
      <c r="RMP23" s="19"/>
      <c r="RMQ23" s="19"/>
      <c r="RMR23" s="19"/>
      <c r="RMS23" s="19"/>
      <c r="RMT23" s="19"/>
      <c r="RMU23" s="19"/>
      <c r="RMV23" s="19"/>
      <c r="RMW23" s="19"/>
      <c r="RMX23" s="19"/>
      <c r="RMY23" s="19"/>
      <c r="RMZ23" s="19"/>
      <c r="RNA23" s="19"/>
      <c r="RNB23" s="19"/>
      <c r="RNC23" s="19"/>
      <c r="RND23" s="19"/>
      <c r="RNE23" s="19"/>
      <c r="RNF23" s="19"/>
      <c r="RNG23" s="19"/>
      <c r="RNH23" s="19"/>
      <c r="RNI23" s="19"/>
      <c r="RNJ23" s="19"/>
      <c r="RNK23" s="19"/>
      <c r="RNL23" s="19"/>
      <c r="RNM23" s="19"/>
      <c r="RNN23" s="19"/>
      <c r="RNO23" s="19"/>
      <c r="RNP23" s="19"/>
      <c r="RNQ23" s="19"/>
      <c r="RNR23" s="19"/>
      <c r="RNS23" s="19"/>
      <c r="RNT23" s="19"/>
      <c r="RNU23" s="19"/>
      <c r="RNV23" s="19"/>
      <c r="RNW23" s="19"/>
      <c r="RNX23" s="19"/>
      <c r="RNY23" s="19"/>
      <c r="RNZ23" s="19"/>
      <c r="ROA23" s="19"/>
      <c r="ROB23" s="19"/>
      <c r="ROC23" s="19"/>
      <c r="ROD23" s="19"/>
      <c r="ROE23" s="19"/>
      <c r="ROF23" s="19"/>
      <c r="ROG23" s="19"/>
      <c r="ROH23" s="19"/>
      <c r="ROI23" s="19"/>
      <c r="ROJ23" s="19"/>
      <c r="ROK23" s="19"/>
      <c r="ROL23" s="19"/>
      <c r="ROM23" s="19"/>
      <c r="RON23" s="19"/>
      <c r="ROO23" s="19"/>
      <c r="ROP23" s="19"/>
      <c r="ROQ23" s="19"/>
      <c r="ROR23" s="19"/>
      <c r="ROS23" s="19"/>
      <c r="ROT23" s="19"/>
      <c r="ROU23" s="19"/>
      <c r="ROV23" s="19"/>
      <c r="ROW23" s="19"/>
      <c r="ROX23" s="19"/>
      <c r="ROY23" s="19"/>
      <c r="ROZ23" s="19"/>
      <c r="RPA23" s="19"/>
      <c r="RPB23" s="19"/>
      <c r="RPC23" s="19"/>
      <c r="RPD23" s="19"/>
      <c r="RPE23" s="19"/>
      <c r="RPF23" s="19"/>
      <c r="RPG23" s="19"/>
      <c r="RPH23" s="19"/>
      <c r="RPI23" s="19"/>
      <c r="RPJ23" s="19"/>
      <c r="RPK23" s="19"/>
      <c r="RPL23" s="19"/>
      <c r="RPM23" s="19"/>
      <c r="RPN23" s="19"/>
      <c r="RPO23" s="19"/>
      <c r="RPP23" s="19"/>
      <c r="RPQ23" s="19"/>
      <c r="RPR23" s="19"/>
      <c r="RPS23" s="19"/>
      <c r="RPT23" s="19"/>
      <c r="RPU23" s="19"/>
      <c r="RPV23" s="19"/>
      <c r="RPW23" s="19"/>
      <c r="RPX23" s="19"/>
      <c r="RPY23" s="19"/>
      <c r="RPZ23" s="19"/>
      <c r="RQA23" s="19"/>
      <c r="RQB23" s="19"/>
      <c r="RQC23" s="19"/>
      <c r="RQD23" s="19"/>
      <c r="RQE23" s="19"/>
      <c r="RQF23" s="19"/>
      <c r="RQG23" s="19"/>
      <c r="RQH23" s="19"/>
      <c r="RQI23" s="19"/>
      <c r="RQJ23" s="19"/>
      <c r="RQK23" s="19"/>
      <c r="RQL23" s="19"/>
      <c r="RQM23" s="19"/>
      <c r="RQN23" s="19"/>
      <c r="RQO23" s="19"/>
      <c r="RQP23" s="19"/>
      <c r="RQQ23" s="19"/>
      <c r="RQR23" s="19"/>
      <c r="RQS23" s="19"/>
      <c r="RQT23" s="19"/>
      <c r="RQU23" s="19"/>
      <c r="RQV23" s="19"/>
      <c r="RQW23" s="19"/>
      <c r="RQX23" s="19"/>
      <c r="RQY23" s="19"/>
      <c r="RQZ23" s="19"/>
      <c r="RRA23" s="19"/>
      <c r="RRB23" s="19"/>
      <c r="RRC23" s="19"/>
      <c r="RRD23" s="19"/>
      <c r="RRE23" s="19"/>
      <c r="RRF23" s="19"/>
      <c r="RRG23" s="19"/>
      <c r="RRH23" s="19"/>
      <c r="RRI23" s="19"/>
      <c r="RRJ23" s="19"/>
      <c r="RRK23" s="19"/>
      <c r="RRL23" s="19"/>
      <c r="RRM23" s="19"/>
      <c r="RRN23" s="19"/>
      <c r="RRO23" s="19"/>
      <c r="RRP23" s="19"/>
      <c r="RRQ23" s="19"/>
      <c r="RRR23" s="19"/>
      <c r="RRS23" s="19"/>
      <c r="RRT23" s="19"/>
      <c r="RRU23" s="19"/>
      <c r="RRV23" s="19"/>
      <c r="RRW23" s="19"/>
      <c r="RRX23" s="19"/>
      <c r="RRY23" s="19"/>
      <c r="RRZ23" s="19"/>
      <c r="RSA23" s="19"/>
      <c r="RSB23" s="19"/>
      <c r="RSC23" s="19"/>
      <c r="RSD23" s="19"/>
      <c r="RSE23" s="19"/>
      <c r="RSF23" s="19"/>
      <c r="RSG23" s="19"/>
      <c r="RSH23" s="19"/>
      <c r="RSI23" s="19"/>
      <c r="RSJ23" s="19"/>
      <c r="RSK23" s="19"/>
      <c r="RSL23" s="19"/>
      <c r="RSM23" s="19"/>
      <c r="RSN23" s="19"/>
      <c r="RSO23" s="19"/>
      <c r="RSP23" s="19"/>
      <c r="RSQ23" s="19"/>
      <c r="RSR23" s="19"/>
      <c r="RSS23" s="19"/>
      <c r="RST23" s="19"/>
      <c r="RSU23" s="19"/>
      <c r="RSV23" s="19"/>
      <c r="RSW23" s="19"/>
      <c r="RSX23" s="19"/>
      <c r="RSY23" s="19"/>
      <c r="RSZ23" s="19"/>
      <c r="RTA23" s="19"/>
      <c r="RTB23" s="19"/>
      <c r="RTC23" s="19"/>
      <c r="RTD23" s="19"/>
      <c r="RTE23" s="19"/>
      <c r="RTF23" s="19"/>
      <c r="RTG23" s="19"/>
      <c r="RTH23" s="19"/>
      <c r="RTI23" s="19"/>
      <c r="RTJ23" s="19"/>
      <c r="RTK23" s="19"/>
      <c r="RTL23" s="19"/>
      <c r="RTM23" s="19"/>
      <c r="RTN23" s="19"/>
      <c r="RTO23" s="19"/>
      <c r="RTP23" s="19"/>
      <c r="RTQ23" s="19"/>
      <c r="RTR23" s="19"/>
      <c r="RTS23" s="19"/>
      <c r="RTT23" s="19"/>
      <c r="RTU23" s="19"/>
      <c r="RTV23" s="19"/>
      <c r="RTW23" s="19"/>
      <c r="RTX23" s="19"/>
      <c r="RTY23" s="19"/>
      <c r="RTZ23" s="19"/>
      <c r="RUA23" s="19"/>
      <c r="RUB23" s="19"/>
      <c r="RUC23" s="19"/>
      <c r="RUD23" s="19"/>
      <c r="RUE23" s="19"/>
      <c r="RUF23" s="19"/>
      <c r="RUG23" s="19"/>
      <c r="RUH23" s="19"/>
      <c r="RUI23" s="19"/>
      <c r="RUJ23" s="19"/>
      <c r="RUK23" s="19"/>
      <c r="RUL23" s="19"/>
      <c r="RUM23" s="19"/>
      <c r="RUN23" s="19"/>
      <c r="RUO23" s="19"/>
      <c r="RUP23" s="19"/>
      <c r="RUQ23" s="19"/>
      <c r="RUR23" s="19"/>
      <c r="RUS23" s="19"/>
      <c r="RUT23" s="19"/>
      <c r="RUU23" s="19"/>
      <c r="RUV23" s="19"/>
      <c r="RUW23" s="19"/>
      <c r="RUX23" s="19"/>
      <c r="RUY23" s="19"/>
      <c r="RUZ23" s="19"/>
      <c r="RVA23" s="19"/>
      <c r="RVB23" s="19"/>
      <c r="RVC23" s="19"/>
      <c r="RVD23" s="19"/>
      <c r="RVE23" s="19"/>
      <c r="RVF23" s="19"/>
      <c r="RVG23" s="19"/>
      <c r="RVH23" s="19"/>
      <c r="RVI23" s="19"/>
      <c r="RVJ23" s="19"/>
      <c r="RVK23" s="19"/>
      <c r="RVL23" s="19"/>
      <c r="RVM23" s="19"/>
      <c r="RVN23" s="19"/>
      <c r="RVO23" s="19"/>
      <c r="RVP23" s="19"/>
      <c r="RVQ23" s="19"/>
      <c r="RVR23" s="19"/>
      <c r="RVS23" s="19"/>
      <c r="RVT23" s="19"/>
      <c r="RVU23" s="19"/>
      <c r="RVV23" s="19"/>
      <c r="RVW23" s="19"/>
      <c r="RVX23" s="19"/>
      <c r="RVY23" s="19"/>
      <c r="RVZ23" s="19"/>
      <c r="RWA23" s="19"/>
      <c r="RWB23" s="19"/>
      <c r="RWC23" s="19"/>
      <c r="RWD23" s="19"/>
      <c r="RWE23" s="19"/>
      <c r="RWF23" s="19"/>
      <c r="RWG23" s="19"/>
      <c r="RWH23" s="19"/>
      <c r="RWI23" s="19"/>
      <c r="RWJ23" s="19"/>
      <c r="RWK23" s="19"/>
      <c r="RWL23" s="19"/>
      <c r="RWM23" s="19"/>
      <c r="RWN23" s="19"/>
      <c r="RWO23" s="19"/>
      <c r="RWP23" s="19"/>
      <c r="RWQ23" s="19"/>
      <c r="RWR23" s="19"/>
      <c r="RWS23" s="19"/>
      <c r="RWT23" s="19"/>
      <c r="RWU23" s="19"/>
      <c r="RWV23" s="19"/>
      <c r="RWW23" s="19"/>
      <c r="RWX23" s="19"/>
      <c r="RWY23" s="19"/>
      <c r="RWZ23" s="19"/>
      <c r="RXA23" s="19"/>
      <c r="RXB23" s="19"/>
      <c r="RXC23" s="19"/>
      <c r="RXD23" s="19"/>
      <c r="RXE23" s="19"/>
      <c r="RXF23" s="19"/>
      <c r="RXG23" s="19"/>
      <c r="RXH23" s="19"/>
      <c r="RXI23" s="19"/>
      <c r="RXJ23" s="19"/>
      <c r="RXK23" s="19"/>
      <c r="RXL23" s="19"/>
      <c r="RXM23" s="19"/>
      <c r="RXN23" s="19"/>
      <c r="RXO23" s="19"/>
      <c r="RXP23" s="19"/>
      <c r="RXQ23" s="19"/>
      <c r="RXR23" s="19"/>
      <c r="RXS23" s="19"/>
      <c r="RXT23" s="19"/>
      <c r="RXU23" s="19"/>
      <c r="RXV23" s="19"/>
      <c r="RXW23" s="19"/>
      <c r="RXX23" s="19"/>
      <c r="RXY23" s="19"/>
      <c r="RXZ23" s="19"/>
      <c r="RYA23" s="19"/>
      <c r="RYB23" s="19"/>
      <c r="RYC23" s="19"/>
      <c r="RYD23" s="19"/>
      <c r="RYE23" s="19"/>
      <c r="RYF23" s="19"/>
      <c r="RYG23" s="19"/>
      <c r="RYH23" s="19"/>
      <c r="RYI23" s="19"/>
      <c r="RYJ23" s="19"/>
      <c r="RYK23" s="19"/>
      <c r="RYL23" s="19"/>
      <c r="RYM23" s="19"/>
      <c r="RYN23" s="19"/>
      <c r="RYO23" s="19"/>
      <c r="RYP23" s="19"/>
      <c r="RYQ23" s="19"/>
      <c r="RYR23" s="19"/>
      <c r="RYS23" s="19"/>
      <c r="RYT23" s="19"/>
      <c r="RYU23" s="19"/>
      <c r="RYV23" s="19"/>
      <c r="RYW23" s="19"/>
      <c r="RYX23" s="19"/>
      <c r="RYY23" s="19"/>
      <c r="RYZ23" s="19"/>
      <c r="RZA23" s="19"/>
      <c r="RZB23" s="19"/>
      <c r="RZC23" s="19"/>
      <c r="RZD23" s="19"/>
      <c r="RZE23" s="19"/>
      <c r="RZF23" s="19"/>
      <c r="RZG23" s="19"/>
      <c r="RZH23" s="19"/>
      <c r="RZI23" s="19"/>
      <c r="RZJ23" s="19"/>
      <c r="RZK23" s="19"/>
      <c r="RZL23" s="19"/>
      <c r="RZM23" s="19"/>
      <c r="RZN23" s="19"/>
      <c r="RZO23" s="19"/>
      <c r="RZP23" s="19"/>
      <c r="RZQ23" s="19"/>
      <c r="RZR23" s="19"/>
      <c r="RZS23" s="19"/>
      <c r="RZT23" s="19"/>
      <c r="RZU23" s="19"/>
      <c r="RZV23" s="19"/>
      <c r="RZW23" s="19"/>
      <c r="RZX23" s="19"/>
      <c r="RZY23" s="19"/>
      <c r="RZZ23" s="19"/>
      <c r="SAA23" s="19"/>
      <c r="SAB23" s="19"/>
      <c r="SAC23" s="19"/>
      <c r="SAD23" s="19"/>
      <c r="SAE23" s="19"/>
      <c r="SAF23" s="19"/>
      <c r="SAG23" s="19"/>
      <c r="SAH23" s="19"/>
      <c r="SAI23" s="19"/>
      <c r="SAJ23" s="19"/>
      <c r="SAK23" s="19"/>
      <c r="SAL23" s="19"/>
      <c r="SAM23" s="19"/>
      <c r="SAN23" s="19"/>
      <c r="SAO23" s="19"/>
      <c r="SAP23" s="19"/>
      <c r="SAQ23" s="19"/>
      <c r="SAR23" s="19"/>
      <c r="SAS23" s="19"/>
      <c r="SAT23" s="19"/>
      <c r="SAU23" s="19"/>
      <c r="SAV23" s="19"/>
      <c r="SAW23" s="19"/>
      <c r="SAX23" s="19"/>
      <c r="SAY23" s="19"/>
      <c r="SAZ23" s="19"/>
      <c r="SBA23" s="19"/>
      <c r="SBB23" s="19"/>
      <c r="SBC23" s="19"/>
      <c r="SBD23" s="19"/>
      <c r="SBE23" s="19"/>
      <c r="SBF23" s="19"/>
      <c r="SBG23" s="19"/>
      <c r="SBH23" s="19"/>
      <c r="SBI23" s="19"/>
      <c r="SBJ23" s="19"/>
      <c r="SBK23" s="19"/>
      <c r="SBL23" s="19"/>
      <c r="SBM23" s="19"/>
      <c r="SBN23" s="19"/>
      <c r="SBO23" s="19"/>
      <c r="SBP23" s="19"/>
      <c r="SBQ23" s="19"/>
      <c r="SBR23" s="19"/>
      <c r="SBS23" s="19"/>
      <c r="SBT23" s="19"/>
      <c r="SBU23" s="19"/>
      <c r="SBV23" s="19"/>
      <c r="SBW23" s="19"/>
      <c r="SBX23" s="19"/>
      <c r="SBY23" s="19"/>
      <c r="SBZ23" s="19"/>
      <c r="SCA23" s="19"/>
      <c r="SCB23" s="19"/>
      <c r="SCC23" s="19"/>
      <c r="SCD23" s="19"/>
      <c r="SCE23" s="19"/>
      <c r="SCF23" s="19"/>
      <c r="SCG23" s="19"/>
      <c r="SCH23" s="19"/>
      <c r="SCI23" s="19"/>
      <c r="SCJ23" s="19"/>
      <c r="SCK23" s="19"/>
      <c r="SCL23" s="19"/>
      <c r="SCM23" s="19"/>
      <c r="SCN23" s="19"/>
      <c r="SCO23" s="19"/>
      <c r="SCP23" s="19"/>
      <c r="SCQ23" s="19"/>
      <c r="SCR23" s="19"/>
      <c r="SCS23" s="19"/>
      <c r="SCT23" s="19"/>
      <c r="SCU23" s="19"/>
      <c r="SCV23" s="19"/>
      <c r="SCW23" s="19"/>
      <c r="SCX23" s="19"/>
      <c r="SCY23" s="19"/>
      <c r="SCZ23" s="19"/>
      <c r="SDA23" s="19"/>
      <c r="SDB23" s="19"/>
      <c r="SDC23" s="19"/>
      <c r="SDD23" s="19"/>
      <c r="SDE23" s="19"/>
      <c r="SDF23" s="19"/>
      <c r="SDG23" s="19"/>
      <c r="SDH23" s="19"/>
      <c r="SDI23" s="19"/>
      <c r="SDJ23" s="19"/>
      <c r="SDK23" s="19"/>
      <c r="SDL23" s="19"/>
      <c r="SDM23" s="19"/>
      <c r="SDN23" s="19"/>
      <c r="SDO23" s="19"/>
      <c r="SDP23" s="19"/>
      <c r="SDQ23" s="19"/>
      <c r="SDR23" s="19"/>
      <c r="SDS23" s="19"/>
      <c r="SDT23" s="19"/>
      <c r="SDU23" s="19"/>
      <c r="SDV23" s="19"/>
      <c r="SDW23" s="19"/>
      <c r="SDX23" s="19"/>
      <c r="SDY23" s="19"/>
      <c r="SDZ23" s="19"/>
      <c r="SEA23" s="19"/>
      <c r="SEB23" s="19"/>
      <c r="SEC23" s="19"/>
      <c r="SED23" s="19"/>
      <c r="SEE23" s="19"/>
      <c r="SEF23" s="19"/>
      <c r="SEG23" s="19"/>
      <c r="SEH23" s="19"/>
      <c r="SEI23" s="19"/>
      <c r="SEJ23" s="19"/>
      <c r="SEK23" s="19"/>
      <c r="SEL23" s="19"/>
      <c r="SEM23" s="19"/>
      <c r="SEN23" s="19"/>
      <c r="SEO23" s="19"/>
      <c r="SEP23" s="19"/>
      <c r="SEQ23" s="19"/>
      <c r="SER23" s="19"/>
      <c r="SES23" s="19"/>
      <c r="SET23" s="19"/>
      <c r="SEU23" s="19"/>
      <c r="SEV23" s="19"/>
      <c r="SEW23" s="19"/>
      <c r="SEX23" s="19"/>
      <c r="SEY23" s="19"/>
      <c r="SEZ23" s="19"/>
      <c r="SFA23" s="19"/>
      <c r="SFB23" s="19"/>
      <c r="SFC23" s="19"/>
      <c r="SFD23" s="19"/>
      <c r="SFE23" s="19"/>
      <c r="SFF23" s="19"/>
      <c r="SFG23" s="19"/>
      <c r="SFH23" s="19"/>
      <c r="SFI23" s="19"/>
      <c r="SFJ23" s="19"/>
      <c r="SFK23" s="19"/>
      <c r="SFL23" s="19"/>
      <c r="SFM23" s="19"/>
      <c r="SFN23" s="19"/>
      <c r="SFO23" s="19"/>
      <c r="SFP23" s="19"/>
      <c r="SFQ23" s="19"/>
      <c r="SFR23" s="19"/>
      <c r="SFS23" s="19"/>
      <c r="SFT23" s="19"/>
      <c r="SFU23" s="19"/>
      <c r="SFV23" s="19"/>
      <c r="SFW23" s="19"/>
      <c r="SFX23" s="19"/>
      <c r="SFY23" s="19"/>
      <c r="SFZ23" s="19"/>
      <c r="SGA23" s="19"/>
      <c r="SGB23" s="19"/>
      <c r="SGC23" s="19"/>
      <c r="SGD23" s="19"/>
      <c r="SGE23" s="19"/>
      <c r="SGF23" s="19"/>
      <c r="SGG23" s="19"/>
      <c r="SGH23" s="19"/>
      <c r="SGI23" s="19"/>
      <c r="SGJ23" s="19"/>
      <c r="SGK23" s="19"/>
      <c r="SGL23" s="19"/>
      <c r="SGM23" s="19"/>
      <c r="SGN23" s="19"/>
      <c r="SGO23" s="19"/>
      <c r="SGP23" s="19"/>
      <c r="SGQ23" s="19"/>
      <c r="SGR23" s="19"/>
      <c r="SGS23" s="19"/>
      <c r="SGT23" s="19"/>
      <c r="SGU23" s="19"/>
      <c r="SGV23" s="19"/>
      <c r="SGW23" s="19"/>
      <c r="SGX23" s="19"/>
      <c r="SGY23" s="19"/>
      <c r="SGZ23" s="19"/>
      <c r="SHA23" s="19"/>
      <c r="SHB23" s="19"/>
      <c r="SHC23" s="19"/>
      <c r="SHD23" s="19"/>
      <c r="SHE23" s="19"/>
      <c r="SHF23" s="19"/>
      <c r="SHG23" s="19"/>
      <c r="SHH23" s="19"/>
      <c r="SHI23" s="19"/>
      <c r="SHJ23" s="19"/>
      <c r="SHK23" s="19"/>
      <c r="SHL23" s="19"/>
      <c r="SHM23" s="19"/>
      <c r="SHN23" s="19"/>
      <c r="SHO23" s="19"/>
      <c r="SHP23" s="19"/>
      <c r="SHQ23" s="19"/>
      <c r="SHR23" s="19"/>
      <c r="SHS23" s="19"/>
      <c r="SHT23" s="19"/>
      <c r="SHU23" s="19"/>
      <c r="SHV23" s="19"/>
      <c r="SHW23" s="19"/>
      <c r="SHX23" s="19"/>
      <c r="SHY23" s="19"/>
      <c r="SHZ23" s="19"/>
      <c r="SIA23" s="19"/>
      <c r="SIB23" s="19"/>
      <c r="SIC23" s="19"/>
      <c r="SID23" s="19"/>
      <c r="SIE23" s="19"/>
      <c r="SIF23" s="19"/>
      <c r="SIG23" s="19"/>
      <c r="SIH23" s="19"/>
      <c r="SII23" s="19"/>
      <c r="SIJ23" s="19"/>
      <c r="SIK23" s="19"/>
      <c r="SIL23" s="19"/>
      <c r="SIM23" s="19"/>
      <c r="SIN23" s="19"/>
      <c r="SIO23" s="19"/>
      <c r="SIP23" s="19"/>
      <c r="SIQ23" s="19"/>
      <c r="SIR23" s="19"/>
      <c r="SIS23" s="19"/>
      <c r="SIT23" s="19"/>
      <c r="SIU23" s="19"/>
      <c r="SIV23" s="19"/>
      <c r="SIW23" s="19"/>
      <c r="SIX23" s="19"/>
      <c r="SIY23" s="19"/>
      <c r="SIZ23" s="19"/>
      <c r="SJA23" s="19"/>
      <c r="SJB23" s="19"/>
      <c r="SJC23" s="19"/>
      <c r="SJD23" s="19"/>
      <c r="SJE23" s="19"/>
      <c r="SJF23" s="19"/>
      <c r="SJG23" s="19"/>
      <c r="SJH23" s="19"/>
      <c r="SJI23" s="19"/>
      <c r="SJJ23" s="19"/>
      <c r="SJK23" s="19"/>
      <c r="SJL23" s="19"/>
      <c r="SJM23" s="19"/>
      <c r="SJN23" s="19"/>
      <c r="SJO23" s="19"/>
      <c r="SJP23" s="19"/>
      <c r="SJQ23" s="19"/>
      <c r="SJR23" s="19"/>
      <c r="SJS23" s="19"/>
      <c r="SJT23" s="19"/>
      <c r="SJU23" s="19"/>
      <c r="SJV23" s="19"/>
      <c r="SJW23" s="19"/>
      <c r="SJX23" s="19"/>
      <c r="SJY23" s="19"/>
      <c r="SJZ23" s="19"/>
      <c r="SKA23" s="19"/>
      <c r="SKB23" s="19"/>
      <c r="SKC23" s="19"/>
      <c r="SKD23" s="19"/>
      <c r="SKE23" s="19"/>
      <c r="SKF23" s="19"/>
      <c r="SKG23" s="19"/>
      <c r="SKH23" s="19"/>
      <c r="SKI23" s="19"/>
      <c r="SKJ23" s="19"/>
      <c r="SKK23" s="19"/>
      <c r="SKL23" s="19"/>
      <c r="SKM23" s="19"/>
      <c r="SKN23" s="19"/>
      <c r="SKO23" s="19"/>
      <c r="SKP23" s="19"/>
      <c r="SKQ23" s="19"/>
      <c r="SKR23" s="19"/>
      <c r="SKS23" s="19"/>
      <c r="SKT23" s="19"/>
      <c r="SKU23" s="19"/>
      <c r="SKV23" s="19"/>
      <c r="SKW23" s="19"/>
      <c r="SKX23" s="19"/>
      <c r="SKY23" s="19"/>
      <c r="SKZ23" s="19"/>
      <c r="SLA23" s="19"/>
      <c r="SLB23" s="19"/>
      <c r="SLC23" s="19"/>
      <c r="SLD23" s="19"/>
      <c r="SLE23" s="19"/>
      <c r="SLF23" s="19"/>
      <c r="SLG23" s="19"/>
      <c r="SLH23" s="19"/>
      <c r="SLI23" s="19"/>
      <c r="SLJ23" s="19"/>
      <c r="SLK23" s="19"/>
      <c r="SLL23" s="19"/>
      <c r="SLM23" s="19"/>
      <c r="SLN23" s="19"/>
      <c r="SLO23" s="19"/>
      <c r="SLP23" s="19"/>
      <c r="SLQ23" s="19"/>
      <c r="SLR23" s="19"/>
      <c r="SLS23" s="19"/>
      <c r="SLT23" s="19"/>
      <c r="SLU23" s="19"/>
      <c r="SLV23" s="19"/>
      <c r="SLW23" s="19"/>
      <c r="SLX23" s="19"/>
      <c r="SLY23" s="19"/>
      <c r="SLZ23" s="19"/>
      <c r="SMA23" s="19"/>
      <c r="SMB23" s="19"/>
      <c r="SMC23" s="19"/>
      <c r="SMD23" s="19"/>
      <c r="SME23" s="19"/>
      <c r="SMF23" s="19"/>
      <c r="SMG23" s="19"/>
      <c r="SMH23" s="19"/>
      <c r="SMI23" s="19"/>
      <c r="SMJ23" s="19"/>
      <c r="SMK23" s="19"/>
      <c r="SML23" s="19"/>
      <c r="SMM23" s="19"/>
      <c r="SMN23" s="19"/>
      <c r="SMO23" s="19"/>
      <c r="SMP23" s="19"/>
      <c r="SMQ23" s="19"/>
      <c r="SMR23" s="19"/>
      <c r="SMS23" s="19"/>
      <c r="SMT23" s="19"/>
      <c r="SMU23" s="19"/>
      <c r="SMV23" s="19"/>
      <c r="SMW23" s="19"/>
      <c r="SMX23" s="19"/>
      <c r="SMY23" s="19"/>
      <c r="SMZ23" s="19"/>
      <c r="SNA23" s="19"/>
      <c r="SNB23" s="19"/>
      <c r="SNC23" s="19"/>
      <c r="SND23" s="19"/>
      <c r="SNE23" s="19"/>
      <c r="SNF23" s="19"/>
      <c r="SNG23" s="19"/>
      <c r="SNH23" s="19"/>
      <c r="SNI23" s="19"/>
      <c r="SNJ23" s="19"/>
      <c r="SNK23" s="19"/>
      <c r="SNL23" s="19"/>
      <c r="SNM23" s="19"/>
      <c r="SNN23" s="19"/>
      <c r="SNO23" s="19"/>
      <c r="SNP23" s="19"/>
      <c r="SNQ23" s="19"/>
      <c r="SNR23" s="19"/>
      <c r="SNS23" s="19"/>
      <c r="SNT23" s="19"/>
      <c r="SNU23" s="19"/>
      <c r="SNV23" s="19"/>
      <c r="SNW23" s="19"/>
      <c r="SNX23" s="19"/>
      <c r="SNY23" s="19"/>
      <c r="SNZ23" s="19"/>
      <c r="SOA23" s="19"/>
      <c r="SOB23" s="19"/>
      <c r="SOC23" s="19"/>
      <c r="SOD23" s="19"/>
      <c r="SOE23" s="19"/>
      <c r="SOF23" s="19"/>
      <c r="SOG23" s="19"/>
      <c r="SOH23" s="19"/>
      <c r="SOI23" s="19"/>
      <c r="SOJ23" s="19"/>
      <c r="SOK23" s="19"/>
      <c r="SOL23" s="19"/>
      <c r="SOM23" s="19"/>
      <c r="SON23" s="19"/>
      <c r="SOO23" s="19"/>
      <c r="SOP23" s="19"/>
      <c r="SOQ23" s="19"/>
      <c r="SOR23" s="19"/>
      <c r="SOS23" s="19"/>
      <c r="SOT23" s="19"/>
      <c r="SOU23" s="19"/>
      <c r="SOV23" s="19"/>
      <c r="SOW23" s="19"/>
      <c r="SOX23" s="19"/>
      <c r="SOY23" s="19"/>
      <c r="SOZ23" s="19"/>
      <c r="SPA23" s="19"/>
      <c r="SPB23" s="19"/>
      <c r="SPC23" s="19"/>
      <c r="SPD23" s="19"/>
      <c r="SPE23" s="19"/>
      <c r="SPF23" s="19"/>
      <c r="SPG23" s="19"/>
      <c r="SPH23" s="19"/>
      <c r="SPI23" s="19"/>
      <c r="SPJ23" s="19"/>
      <c r="SPK23" s="19"/>
      <c r="SPL23" s="19"/>
      <c r="SPM23" s="19"/>
      <c r="SPN23" s="19"/>
      <c r="SPO23" s="19"/>
      <c r="SPP23" s="19"/>
      <c r="SPQ23" s="19"/>
      <c r="SPR23" s="19"/>
      <c r="SPS23" s="19"/>
      <c r="SPT23" s="19"/>
      <c r="SPU23" s="19"/>
      <c r="SPV23" s="19"/>
      <c r="SPW23" s="19"/>
      <c r="SPX23" s="19"/>
      <c r="SPY23" s="19"/>
      <c r="SPZ23" s="19"/>
      <c r="SQA23" s="19"/>
      <c r="SQB23" s="19"/>
      <c r="SQC23" s="19"/>
      <c r="SQD23" s="19"/>
      <c r="SQE23" s="19"/>
      <c r="SQF23" s="19"/>
      <c r="SQG23" s="19"/>
      <c r="SQH23" s="19"/>
      <c r="SQI23" s="19"/>
      <c r="SQJ23" s="19"/>
      <c r="SQK23" s="19"/>
      <c r="SQL23" s="19"/>
      <c r="SQM23" s="19"/>
      <c r="SQN23" s="19"/>
      <c r="SQO23" s="19"/>
      <c r="SQP23" s="19"/>
      <c r="SQQ23" s="19"/>
      <c r="SQR23" s="19"/>
      <c r="SQS23" s="19"/>
      <c r="SQT23" s="19"/>
      <c r="SQU23" s="19"/>
      <c r="SQV23" s="19"/>
      <c r="SQW23" s="19"/>
      <c r="SQX23" s="19"/>
      <c r="SQY23" s="19"/>
      <c r="SQZ23" s="19"/>
      <c r="SRA23" s="19"/>
      <c r="SRB23" s="19"/>
      <c r="SRC23" s="19"/>
      <c r="SRD23" s="19"/>
      <c r="SRE23" s="19"/>
      <c r="SRF23" s="19"/>
      <c r="SRG23" s="19"/>
      <c r="SRH23" s="19"/>
      <c r="SRI23" s="19"/>
      <c r="SRJ23" s="19"/>
      <c r="SRK23" s="19"/>
      <c r="SRL23" s="19"/>
      <c r="SRM23" s="19"/>
      <c r="SRN23" s="19"/>
      <c r="SRO23" s="19"/>
      <c r="SRP23" s="19"/>
      <c r="SRQ23" s="19"/>
      <c r="SRR23" s="19"/>
      <c r="SRS23" s="19"/>
      <c r="SRT23" s="19"/>
      <c r="SRU23" s="19"/>
      <c r="SRV23" s="19"/>
      <c r="SRW23" s="19"/>
      <c r="SRX23" s="19"/>
      <c r="SRY23" s="19"/>
      <c r="SRZ23" s="19"/>
      <c r="SSA23" s="19"/>
      <c r="SSB23" s="19"/>
      <c r="SSC23" s="19"/>
      <c r="SSD23" s="19"/>
      <c r="SSE23" s="19"/>
      <c r="SSF23" s="19"/>
      <c r="SSG23" s="19"/>
      <c r="SSH23" s="19"/>
      <c r="SSI23" s="19"/>
      <c r="SSJ23" s="19"/>
      <c r="SSK23" s="19"/>
      <c r="SSL23" s="19"/>
      <c r="SSM23" s="19"/>
      <c r="SSN23" s="19"/>
      <c r="SSO23" s="19"/>
      <c r="SSP23" s="19"/>
      <c r="SSQ23" s="19"/>
      <c r="SSR23" s="19"/>
      <c r="SSS23" s="19"/>
      <c r="SST23" s="19"/>
      <c r="SSU23" s="19"/>
      <c r="SSV23" s="19"/>
      <c r="SSW23" s="19"/>
      <c r="SSX23" s="19"/>
      <c r="SSY23" s="19"/>
      <c r="SSZ23" s="19"/>
      <c r="STA23" s="19"/>
      <c r="STB23" s="19"/>
      <c r="STC23" s="19"/>
      <c r="STD23" s="19"/>
      <c r="STE23" s="19"/>
      <c r="STF23" s="19"/>
      <c r="STG23" s="19"/>
      <c r="STH23" s="19"/>
      <c r="STI23" s="19"/>
      <c r="STJ23" s="19"/>
      <c r="STK23" s="19"/>
      <c r="STL23" s="19"/>
      <c r="STM23" s="19"/>
      <c r="STN23" s="19"/>
      <c r="STO23" s="19"/>
      <c r="STP23" s="19"/>
      <c r="STQ23" s="19"/>
      <c r="STR23" s="19"/>
      <c r="STS23" s="19"/>
      <c r="STT23" s="19"/>
      <c r="STU23" s="19"/>
      <c r="STV23" s="19"/>
      <c r="STW23" s="19"/>
      <c r="STX23" s="19"/>
      <c r="STY23" s="19"/>
      <c r="STZ23" s="19"/>
      <c r="SUA23" s="19"/>
      <c r="SUB23" s="19"/>
      <c r="SUC23" s="19"/>
      <c r="SUD23" s="19"/>
      <c r="SUE23" s="19"/>
      <c r="SUF23" s="19"/>
      <c r="SUG23" s="19"/>
      <c r="SUH23" s="19"/>
      <c r="SUI23" s="19"/>
      <c r="SUJ23" s="19"/>
      <c r="SUK23" s="19"/>
      <c r="SUL23" s="19"/>
      <c r="SUM23" s="19"/>
      <c r="SUN23" s="19"/>
      <c r="SUO23" s="19"/>
      <c r="SUP23" s="19"/>
      <c r="SUQ23" s="19"/>
      <c r="SUR23" s="19"/>
      <c r="SUS23" s="19"/>
      <c r="SUT23" s="19"/>
      <c r="SUU23" s="19"/>
      <c r="SUV23" s="19"/>
      <c r="SUW23" s="19"/>
      <c r="SUX23" s="19"/>
      <c r="SUY23" s="19"/>
      <c r="SUZ23" s="19"/>
      <c r="SVA23" s="19"/>
      <c r="SVB23" s="19"/>
      <c r="SVC23" s="19"/>
      <c r="SVD23" s="19"/>
      <c r="SVE23" s="19"/>
      <c r="SVF23" s="19"/>
      <c r="SVG23" s="19"/>
      <c r="SVH23" s="19"/>
      <c r="SVI23" s="19"/>
      <c r="SVJ23" s="19"/>
      <c r="SVK23" s="19"/>
      <c r="SVL23" s="19"/>
      <c r="SVM23" s="19"/>
      <c r="SVN23" s="19"/>
      <c r="SVO23" s="19"/>
      <c r="SVP23" s="19"/>
      <c r="SVQ23" s="19"/>
      <c r="SVR23" s="19"/>
      <c r="SVS23" s="19"/>
      <c r="SVT23" s="19"/>
      <c r="SVU23" s="19"/>
      <c r="SVV23" s="19"/>
      <c r="SVW23" s="19"/>
      <c r="SVX23" s="19"/>
      <c r="SVY23" s="19"/>
      <c r="SVZ23" s="19"/>
      <c r="SWA23" s="19"/>
      <c r="SWB23" s="19"/>
      <c r="SWC23" s="19"/>
      <c r="SWD23" s="19"/>
      <c r="SWE23" s="19"/>
      <c r="SWF23" s="19"/>
      <c r="SWG23" s="19"/>
      <c r="SWH23" s="19"/>
      <c r="SWI23" s="19"/>
      <c r="SWJ23" s="19"/>
      <c r="SWK23" s="19"/>
      <c r="SWL23" s="19"/>
      <c r="SWM23" s="19"/>
      <c r="SWN23" s="19"/>
      <c r="SWO23" s="19"/>
      <c r="SWP23" s="19"/>
      <c r="SWQ23" s="19"/>
      <c r="SWR23" s="19"/>
      <c r="SWS23" s="19"/>
      <c r="SWT23" s="19"/>
      <c r="SWU23" s="19"/>
      <c r="SWV23" s="19"/>
      <c r="SWW23" s="19"/>
      <c r="SWX23" s="19"/>
      <c r="SWY23" s="19"/>
      <c r="SWZ23" s="19"/>
      <c r="SXA23" s="19"/>
      <c r="SXB23" s="19"/>
      <c r="SXC23" s="19"/>
      <c r="SXD23" s="19"/>
      <c r="SXE23" s="19"/>
      <c r="SXF23" s="19"/>
      <c r="SXG23" s="19"/>
      <c r="SXH23" s="19"/>
      <c r="SXI23" s="19"/>
      <c r="SXJ23" s="19"/>
      <c r="SXK23" s="19"/>
      <c r="SXL23" s="19"/>
      <c r="SXM23" s="19"/>
      <c r="SXN23" s="19"/>
      <c r="SXO23" s="19"/>
      <c r="SXP23" s="19"/>
      <c r="SXQ23" s="19"/>
      <c r="SXR23" s="19"/>
      <c r="SXS23" s="19"/>
      <c r="SXT23" s="19"/>
      <c r="SXU23" s="19"/>
      <c r="SXV23" s="19"/>
      <c r="SXW23" s="19"/>
      <c r="SXX23" s="19"/>
      <c r="SXY23" s="19"/>
      <c r="SXZ23" s="19"/>
      <c r="SYA23" s="19"/>
      <c r="SYB23" s="19"/>
      <c r="SYC23" s="19"/>
      <c r="SYD23" s="19"/>
      <c r="SYE23" s="19"/>
      <c r="SYF23" s="19"/>
      <c r="SYG23" s="19"/>
      <c r="SYH23" s="19"/>
      <c r="SYI23" s="19"/>
      <c r="SYJ23" s="19"/>
      <c r="SYK23" s="19"/>
      <c r="SYL23" s="19"/>
      <c r="SYM23" s="19"/>
      <c r="SYN23" s="19"/>
      <c r="SYO23" s="19"/>
      <c r="SYP23" s="19"/>
      <c r="SYQ23" s="19"/>
      <c r="SYR23" s="19"/>
      <c r="SYS23" s="19"/>
      <c r="SYT23" s="19"/>
      <c r="SYU23" s="19"/>
      <c r="SYV23" s="19"/>
      <c r="SYW23" s="19"/>
      <c r="SYX23" s="19"/>
      <c r="SYY23" s="19"/>
      <c r="SYZ23" s="19"/>
      <c r="SZA23" s="19"/>
      <c r="SZB23" s="19"/>
      <c r="SZC23" s="19"/>
      <c r="SZD23" s="19"/>
      <c r="SZE23" s="19"/>
      <c r="SZF23" s="19"/>
      <c r="SZG23" s="19"/>
      <c r="SZH23" s="19"/>
      <c r="SZI23" s="19"/>
      <c r="SZJ23" s="19"/>
      <c r="SZK23" s="19"/>
      <c r="SZL23" s="19"/>
      <c r="SZM23" s="19"/>
      <c r="SZN23" s="19"/>
      <c r="SZO23" s="19"/>
      <c r="SZP23" s="19"/>
      <c r="SZQ23" s="19"/>
      <c r="SZR23" s="19"/>
      <c r="SZS23" s="19"/>
      <c r="SZT23" s="19"/>
      <c r="SZU23" s="19"/>
      <c r="SZV23" s="19"/>
      <c r="SZW23" s="19"/>
      <c r="SZX23" s="19"/>
      <c r="SZY23" s="19"/>
      <c r="SZZ23" s="19"/>
      <c r="TAA23" s="19"/>
      <c r="TAB23" s="19"/>
      <c r="TAC23" s="19"/>
      <c r="TAD23" s="19"/>
      <c r="TAE23" s="19"/>
      <c r="TAF23" s="19"/>
      <c r="TAG23" s="19"/>
      <c r="TAH23" s="19"/>
      <c r="TAI23" s="19"/>
      <c r="TAJ23" s="19"/>
      <c r="TAK23" s="19"/>
      <c r="TAL23" s="19"/>
      <c r="TAM23" s="19"/>
      <c r="TAN23" s="19"/>
      <c r="TAO23" s="19"/>
      <c r="TAP23" s="19"/>
      <c r="TAQ23" s="19"/>
      <c r="TAR23" s="19"/>
      <c r="TAS23" s="19"/>
      <c r="TAT23" s="19"/>
      <c r="TAU23" s="19"/>
      <c r="TAV23" s="19"/>
      <c r="TAW23" s="19"/>
      <c r="TAX23" s="19"/>
      <c r="TAY23" s="19"/>
      <c r="TAZ23" s="19"/>
      <c r="TBA23" s="19"/>
      <c r="TBB23" s="19"/>
      <c r="TBC23" s="19"/>
      <c r="TBD23" s="19"/>
      <c r="TBE23" s="19"/>
      <c r="TBF23" s="19"/>
      <c r="TBG23" s="19"/>
      <c r="TBH23" s="19"/>
      <c r="TBI23" s="19"/>
      <c r="TBJ23" s="19"/>
      <c r="TBK23" s="19"/>
      <c r="TBL23" s="19"/>
      <c r="TBM23" s="19"/>
      <c r="TBN23" s="19"/>
      <c r="TBO23" s="19"/>
      <c r="TBP23" s="19"/>
      <c r="TBQ23" s="19"/>
      <c r="TBR23" s="19"/>
      <c r="TBS23" s="19"/>
      <c r="TBT23" s="19"/>
      <c r="TBU23" s="19"/>
      <c r="TBV23" s="19"/>
      <c r="TBW23" s="19"/>
      <c r="TBX23" s="19"/>
      <c r="TBY23" s="19"/>
      <c r="TBZ23" s="19"/>
      <c r="TCA23" s="19"/>
      <c r="TCB23" s="19"/>
      <c r="TCC23" s="19"/>
      <c r="TCD23" s="19"/>
      <c r="TCE23" s="19"/>
      <c r="TCF23" s="19"/>
      <c r="TCG23" s="19"/>
      <c r="TCH23" s="19"/>
      <c r="TCI23" s="19"/>
      <c r="TCJ23" s="19"/>
      <c r="TCK23" s="19"/>
      <c r="TCL23" s="19"/>
      <c r="TCM23" s="19"/>
      <c r="TCN23" s="19"/>
      <c r="TCO23" s="19"/>
      <c r="TCP23" s="19"/>
      <c r="TCQ23" s="19"/>
      <c r="TCR23" s="19"/>
      <c r="TCS23" s="19"/>
      <c r="TCT23" s="19"/>
      <c r="TCU23" s="19"/>
      <c r="TCV23" s="19"/>
      <c r="TCW23" s="19"/>
      <c r="TCX23" s="19"/>
      <c r="TCY23" s="19"/>
      <c r="TCZ23" s="19"/>
      <c r="TDA23" s="19"/>
      <c r="TDB23" s="19"/>
      <c r="TDC23" s="19"/>
      <c r="TDD23" s="19"/>
      <c r="TDE23" s="19"/>
      <c r="TDF23" s="19"/>
      <c r="TDG23" s="19"/>
      <c r="TDH23" s="19"/>
      <c r="TDI23" s="19"/>
      <c r="TDJ23" s="19"/>
      <c r="TDK23" s="19"/>
      <c r="TDL23" s="19"/>
      <c r="TDM23" s="19"/>
      <c r="TDN23" s="19"/>
      <c r="TDO23" s="19"/>
      <c r="TDP23" s="19"/>
      <c r="TDQ23" s="19"/>
      <c r="TDR23" s="19"/>
      <c r="TDS23" s="19"/>
      <c r="TDT23" s="19"/>
      <c r="TDU23" s="19"/>
      <c r="TDV23" s="19"/>
      <c r="TDW23" s="19"/>
      <c r="TDX23" s="19"/>
      <c r="TDY23" s="19"/>
      <c r="TDZ23" s="19"/>
      <c r="TEA23" s="19"/>
      <c r="TEB23" s="19"/>
      <c r="TEC23" s="19"/>
      <c r="TED23" s="19"/>
      <c r="TEE23" s="19"/>
      <c r="TEF23" s="19"/>
      <c r="TEG23" s="19"/>
      <c r="TEH23" s="19"/>
      <c r="TEI23" s="19"/>
      <c r="TEJ23" s="19"/>
      <c r="TEK23" s="19"/>
      <c r="TEL23" s="19"/>
      <c r="TEM23" s="19"/>
      <c r="TEN23" s="19"/>
      <c r="TEO23" s="19"/>
      <c r="TEP23" s="19"/>
      <c r="TEQ23" s="19"/>
      <c r="TER23" s="19"/>
      <c r="TES23" s="19"/>
      <c r="TET23" s="19"/>
      <c r="TEU23" s="19"/>
      <c r="TEV23" s="19"/>
      <c r="TEW23" s="19"/>
      <c r="TEX23" s="19"/>
      <c r="TEY23" s="19"/>
      <c r="TEZ23" s="19"/>
      <c r="TFA23" s="19"/>
      <c r="TFB23" s="19"/>
      <c r="TFC23" s="19"/>
      <c r="TFD23" s="19"/>
      <c r="TFE23" s="19"/>
      <c r="TFF23" s="19"/>
      <c r="TFG23" s="19"/>
      <c r="TFH23" s="19"/>
      <c r="TFI23" s="19"/>
      <c r="TFJ23" s="19"/>
      <c r="TFK23" s="19"/>
      <c r="TFL23" s="19"/>
      <c r="TFM23" s="19"/>
      <c r="TFN23" s="19"/>
      <c r="TFO23" s="19"/>
      <c r="TFP23" s="19"/>
      <c r="TFQ23" s="19"/>
      <c r="TFR23" s="19"/>
      <c r="TFS23" s="19"/>
      <c r="TFT23" s="19"/>
      <c r="TFU23" s="19"/>
      <c r="TFV23" s="19"/>
      <c r="TFW23" s="19"/>
      <c r="TFX23" s="19"/>
      <c r="TFY23" s="19"/>
      <c r="TFZ23" s="19"/>
      <c r="TGA23" s="19"/>
      <c r="TGB23" s="19"/>
      <c r="TGC23" s="19"/>
      <c r="TGD23" s="19"/>
      <c r="TGE23" s="19"/>
      <c r="TGF23" s="19"/>
      <c r="TGG23" s="19"/>
      <c r="TGH23" s="19"/>
      <c r="TGI23" s="19"/>
      <c r="TGJ23" s="19"/>
      <c r="TGK23" s="19"/>
      <c r="TGL23" s="19"/>
      <c r="TGM23" s="19"/>
      <c r="TGN23" s="19"/>
      <c r="TGO23" s="19"/>
      <c r="TGP23" s="19"/>
      <c r="TGQ23" s="19"/>
      <c r="TGR23" s="19"/>
      <c r="TGS23" s="19"/>
      <c r="TGT23" s="19"/>
      <c r="TGU23" s="19"/>
      <c r="TGV23" s="19"/>
      <c r="TGW23" s="19"/>
      <c r="TGX23" s="19"/>
      <c r="TGY23" s="19"/>
      <c r="TGZ23" s="19"/>
      <c r="THA23" s="19"/>
      <c r="THB23" s="19"/>
      <c r="THC23" s="19"/>
      <c r="THD23" s="19"/>
      <c r="THE23" s="19"/>
      <c r="THF23" s="19"/>
      <c r="THG23" s="19"/>
      <c r="THH23" s="19"/>
      <c r="THI23" s="19"/>
      <c r="THJ23" s="19"/>
      <c r="THK23" s="19"/>
      <c r="THL23" s="19"/>
      <c r="THM23" s="19"/>
      <c r="THN23" s="19"/>
      <c r="THO23" s="19"/>
      <c r="THP23" s="19"/>
      <c r="THQ23" s="19"/>
      <c r="THR23" s="19"/>
      <c r="THS23" s="19"/>
      <c r="THT23" s="19"/>
      <c r="THU23" s="19"/>
      <c r="THV23" s="19"/>
      <c r="THW23" s="19"/>
      <c r="THX23" s="19"/>
      <c r="THY23" s="19"/>
      <c r="THZ23" s="19"/>
      <c r="TIA23" s="19"/>
      <c r="TIB23" s="19"/>
      <c r="TIC23" s="19"/>
      <c r="TID23" s="19"/>
      <c r="TIE23" s="19"/>
      <c r="TIF23" s="19"/>
      <c r="TIG23" s="19"/>
      <c r="TIH23" s="19"/>
      <c r="TII23" s="19"/>
      <c r="TIJ23" s="19"/>
      <c r="TIK23" s="19"/>
      <c r="TIL23" s="19"/>
      <c r="TIM23" s="19"/>
      <c r="TIN23" s="19"/>
      <c r="TIO23" s="19"/>
      <c r="TIP23" s="19"/>
      <c r="TIQ23" s="19"/>
      <c r="TIR23" s="19"/>
      <c r="TIS23" s="19"/>
      <c r="TIT23" s="19"/>
      <c r="TIU23" s="19"/>
      <c r="TIV23" s="19"/>
      <c r="TIW23" s="19"/>
      <c r="TIX23" s="19"/>
      <c r="TIY23" s="19"/>
      <c r="TIZ23" s="19"/>
      <c r="TJA23" s="19"/>
      <c r="TJB23" s="19"/>
      <c r="TJC23" s="19"/>
      <c r="TJD23" s="19"/>
      <c r="TJE23" s="19"/>
      <c r="TJF23" s="19"/>
      <c r="TJG23" s="19"/>
      <c r="TJH23" s="19"/>
      <c r="TJI23" s="19"/>
      <c r="TJJ23" s="19"/>
      <c r="TJK23" s="19"/>
      <c r="TJL23" s="19"/>
      <c r="TJM23" s="19"/>
      <c r="TJN23" s="19"/>
      <c r="TJO23" s="19"/>
      <c r="TJP23" s="19"/>
      <c r="TJQ23" s="19"/>
      <c r="TJR23" s="19"/>
      <c r="TJS23" s="19"/>
      <c r="TJT23" s="19"/>
      <c r="TJU23" s="19"/>
      <c r="TJV23" s="19"/>
      <c r="TJW23" s="19"/>
      <c r="TJX23" s="19"/>
      <c r="TJY23" s="19"/>
      <c r="TJZ23" s="19"/>
      <c r="TKA23" s="19"/>
      <c r="TKB23" s="19"/>
      <c r="TKC23" s="19"/>
      <c r="TKD23" s="19"/>
      <c r="TKE23" s="19"/>
      <c r="TKF23" s="19"/>
      <c r="TKG23" s="19"/>
      <c r="TKH23" s="19"/>
      <c r="TKI23" s="19"/>
      <c r="TKJ23" s="19"/>
      <c r="TKK23" s="19"/>
      <c r="TKL23" s="19"/>
      <c r="TKM23" s="19"/>
      <c r="TKN23" s="19"/>
      <c r="TKO23" s="19"/>
      <c r="TKP23" s="19"/>
      <c r="TKQ23" s="19"/>
      <c r="TKR23" s="19"/>
      <c r="TKS23" s="19"/>
      <c r="TKT23" s="19"/>
      <c r="TKU23" s="19"/>
      <c r="TKV23" s="19"/>
      <c r="TKW23" s="19"/>
      <c r="TKX23" s="19"/>
      <c r="TKY23" s="19"/>
      <c r="TKZ23" s="19"/>
      <c r="TLA23" s="19"/>
      <c r="TLB23" s="19"/>
      <c r="TLC23" s="19"/>
      <c r="TLD23" s="19"/>
      <c r="TLE23" s="19"/>
      <c r="TLF23" s="19"/>
      <c r="TLG23" s="19"/>
      <c r="TLH23" s="19"/>
      <c r="TLI23" s="19"/>
      <c r="TLJ23" s="19"/>
      <c r="TLK23" s="19"/>
      <c r="TLL23" s="19"/>
      <c r="TLM23" s="19"/>
      <c r="TLN23" s="19"/>
      <c r="TLO23" s="19"/>
      <c r="TLP23" s="19"/>
      <c r="TLQ23" s="19"/>
      <c r="TLR23" s="19"/>
      <c r="TLS23" s="19"/>
      <c r="TLT23" s="19"/>
      <c r="TLU23" s="19"/>
      <c r="TLV23" s="19"/>
      <c r="TLW23" s="19"/>
      <c r="TLX23" s="19"/>
      <c r="TLY23" s="19"/>
      <c r="TLZ23" s="19"/>
      <c r="TMA23" s="19"/>
      <c r="TMB23" s="19"/>
      <c r="TMC23" s="19"/>
      <c r="TMD23" s="19"/>
      <c r="TME23" s="19"/>
      <c r="TMF23" s="19"/>
      <c r="TMG23" s="19"/>
      <c r="TMH23" s="19"/>
      <c r="TMI23" s="19"/>
      <c r="TMJ23" s="19"/>
      <c r="TMK23" s="19"/>
      <c r="TML23" s="19"/>
      <c r="TMM23" s="19"/>
      <c r="TMN23" s="19"/>
      <c r="TMO23" s="19"/>
      <c r="TMP23" s="19"/>
      <c r="TMQ23" s="19"/>
      <c r="TMR23" s="19"/>
      <c r="TMS23" s="19"/>
      <c r="TMT23" s="19"/>
      <c r="TMU23" s="19"/>
      <c r="TMV23" s="19"/>
      <c r="TMW23" s="19"/>
      <c r="TMX23" s="19"/>
      <c r="TMY23" s="19"/>
      <c r="TMZ23" s="19"/>
      <c r="TNA23" s="19"/>
      <c r="TNB23" s="19"/>
      <c r="TNC23" s="19"/>
      <c r="TND23" s="19"/>
      <c r="TNE23" s="19"/>
      <c r="TNF23" s="19"/>
      <c r="TNG23" s="19"/>
      <c r="TNH23" s="19"/>
      <c r="TNI23" s="19"/>
      <c r="TNJ23" s="19"/>
      <c r="TNK23" s="19"/>
      <c r="TNL23" s="19"/>
      <c r="TNM23" s="19"/>
      <c r="TNN23" s="19"/>
      <c r="TNO23" s="19"/>
      <c r="TNP23" s="19"/>
      <c r="TNQ23" s="19"/>
      <c r="TNR23" s="19"/>
      <c r="TNS23" s="19"/>
      <c r="TNT23" s="19"/>
      <c r="TNU23" s="19"/>
      <c r="TNV23" s="19"/>
      <c r="TNW23" s="19"/>
      <c r="TNX23" s="19"/>
      <c r="TNY23" s="19"/>
      <c r="TNZ23" s="19"/>
      <c r="TOA23" s="19"/>
      <c r="TOB23" s="19"/>
      <c r="TOC23" s="19"/>
      <c r="TOD23" s="19"/>
      <c r="TOE23" s="19"/>
      <c r="TOF23" s="19"/>
      <c r="TOG23" s="19"/>
      <c r="TOH23" s="19"/>
      <c r="TOI23" s="19"/>
      <c r="TOJ23" s="19"/>
      <c r="TOK23" s="19"/>
      <c r="TOL23" s="19"/>
      <c r="TOM23" s="19"/>
      <c r="TON23" s="19"/>
      <c r="TOO23" s="19"/>
      <c r="TOP23" s="19"/>
      <c r="TOQ23" s="19"/>
      <c r="TOR23" s="19"/>
      <c r="TOS23" s="19"/>
      <c r="TOT23" s="19"/>
      <c r="TOU23" s="19"/>
      <c r="TOV23" s="19"/>
      <c r="TOW23" s="19"/>
      <c r="TOX23" s="19"/>
      <c r="TOY23" s="19"/>
      <c r="TOZ23" s="19"/>
      <c r="TPA23" s="19"/>
      <c r="TPB23" s="19"/>
      <c r="TPC23" s="19"/>
      <c r="TPD23" s="19"/>
      <c r="TPE23" s="19"/>
      <c r="TPF23" s="19"/>
      <c r="TPG23" s="19"/>
      <c r="TPH23" s="19"/>
      <c r="TPI23" s="19"/>
      <c r="TPJ23" s="19"/>
      <c r="TPK23" s="19"/>
      <c r="TPL23" s="19"/>
      <c r="TPM23" s="19"/>
      <c r="TPN23" s="19"/>
      <c r="TPO23" s="19"/>
      <c r="TPP23" s="19"/>
      <c r="TPQ23" s="19"/>
      <c r="TPR23" s="19"/>
      <c r="TPS23" s="19"/>
      <c r="TPT23" s="19"/>
      <c r="TPU23" s="19"/>
      <c r="TPV23" s="19"/>
      <c r="TPW23" s="19"/>
      <c r="TPX23" s="19"/>
      <c r="TPY23" s="19"/>
      <c r="TPZ23" s="19"/>
      <c r="TQA23" s="19"/>
      <c r="TQB23" s="19"/>
      <c r="TQC23" s="19"/>
      <c r="TQD23" s="19"/>
      <c r="TQE23" s="19"/>
      <c r="TQF23" s="19"/>
      <c r="TQG23" s="19"/>
      <c r="TQH23" s="19"/>
      <c r="TQI23" s="19"/>
      <c r="TQJ23" s="19"/>
      <c r="TQK23" s="19"/>
      <c r="TQL23" s="19"/>
      <c r="TQM23" s="19"/>
      <c r="TQN23" s="19"/>
      <c r="TQO23" s="19"/>
      <c r="TQP23" s="19"/>
      <c r="TQQ23" s="19"/>
      <c r="TQR23" s="19"/>
      <c r="TQS23" s="19"/>
      <c r="TQT23" s="19"/>
      <c r="TQU23" s="19"/>
      <c r="TQV23" s="19"/>
      <c r="TQW23" s="19"/>
      <c r="TQX23" s="19"/>
      <c r="TQY23" s="19"/>
      <c r="TQZ23" s="19"/>
      <c r="TRA23" s="19"/>
      <c r="TRB23" s="19"/>
      <c r="TRC23" s="19"/>
      <c r="TRD23" s="19"/>
      <c r="TRE23" s="19"/>
      <c r="TRF23" s="19"/>
      <c r="TRG23" s="19"/>
      <c r="TRH23" s="19"/>
      <c r="TRI23" s="19"/>
      <c r="TRJ23" s="19"/>
      <c r="TRK23" s="19"/>
      <c r="TRL23" s="19"/>
      <c r="TRM23" s="19"/>
      <c r="TRN23" s="19"/>
      <c r="TRO23" s="19"/>
      <c r="TRP23" s="19"/>
      <c r="TRQ23" s="19"/>
      <c r="TRR23" s="19"/>
      <c r="TRS23" s="19"/>
      <c r="TRT23" s="19"/>
      <c r="TRU23" s="19"/>
      <c r="TRV23" s="19"/>
      <c r="TRW23" s="19"/>
      <c r="TRX23" s="19"/>
      <c r="TRY23" s="19"/>
      <c r="TRZ23" s="19"/>
      <c r="TSA23" s="19"/>
      <c r="TSB23" s="19"/>
      <c r="TSC23" s="19"/>
      <c r="TSD23" s="19"/>
      <c r="TSE23" s="19"/>
      <c r="TSF23" s="19"/>
      <c r="TSG23" s="19"/>
      <c r="TSH23" s="19"/>
      <c r="TSI23" s="19"/>
      <c r="TSJ23" s="19"/>
      <c r="TSK23" s="19"/>
      <c r="TSL23" s="19"/>
      <c r="TSM23" s="19"/>
      <c r="TSN23" s="19"/>
      <c r="TSO23" s="19"/>
      <c r="TSP23" s="19"/>
      <c r="TSQ23" s="19"/>
      <c r="TSR23" s="19"/>
      <c r="TSS23" s="19"/>
      <c r="TST23" s="19"/>
      <c r="TSU23" s="19"/>
      <c r="TSV23" s="19"/>
      <c r="TSW23" s="19"/>
      <c r="TSX23" s="19"/>
      <c r="TSY23" s="19"/>
      <c r="TSZ23" s="19"/>
      <c r="TTA23" s="19"/>
      <c r="TTB23" s="19"/>
      <c r="TTC23" s="19"/>
      <c r="TTD23" s="19"/>
      <c r="TTE23" s="19"/>
      <c r="TTF23" s="19"/>
      <c r="TTG23" s="19"/>
      <c r="TTH23" s="19"/>
      <c r="TTI23" s="19"/>
      <c r="TTJ23" s="19"/>
      <c r="TTK23" s="19"/>
      <c r="TTL23" s="19"/>
      <c r="TTM23" s="19"/>
      <c r="TTN23" s="19"/>
      <c r="TTO23" s="19"/>
      <c r="TTP23" s="19"/>
      <c r="TTQ23" s="19"/>
      <c r="TTR23" s="19"/>
      <c r="TTS23" s="19"/>
      <c r="TTT23" s="19"/>
      <c r="TTU23" s="19"/>
      <c r="TTV23" s="19"/>
      <c r="TTW23" s="19"/>
      <c r="TTX23" s="19"/>
      <c r="TTY23" s="19"/>
      <c r="TTZ23" s="19"/>
      <c r="TUA23" s="19"/>
      <c r="TUB23" s="19"/>
      <c r="TUC23" s="19"/>
      <c r="TUD23" s="19"/>
      <c r="TUE23" s="19"/>
      <c r="TUF23" s="19"/>
      <c r="TUG23" s="19"/>
      <c r="TUH23" s="19"/>
      <c r="TUI23" s="19"/>
      <c r="TUJ23" s="19"/>
      <c r="TUK23" s="19"/>
      <c r="TUL23" s="19"/>
      <c r="TUM23" s="19"/>
      <c r="TUN23" s="19"/>
      <c r="TUO23" s="19"/>
      <c r="TUP23" s="19"/>
      <c r="TUQ23" s="19"/>
      <c r="TUR23" s="19"/>
      <c r="TUS23" s="19"/>
      <c r="TUT23" s="19"/>
      <c r="TUU23" s="19"/>
      <c r="TUV23" s="19"/>
      <c r="TUW23" s="19"/>
      <c r="TUX23" s="19"/>
      <c r="TUY23" s="19"/>
      <c r="TUZ23" s="19"/>
      <c r="TVA23" s="19"/>
      <c r="TVB23" s="19"/>
      <c r="TVC23" s="19"/>
      <c r="TVD23" s="19"/>
      <c r="TVE23" s="19"/>
      <c r="TVF23" s="19"/>
      <c r="TVG23" s="19"/>
      <c r="TVH23" s="19"/>
      <c r="TVI23" s="19"/>
      <c r="TVJ23" s="19"/>
      <c r="TVK23" s="19"/>
      <c r="TVL23" s="19"/>
      <c r="TVM23" s="19"/>
      <c r="TVN23" s="19"/>
      <c r="TVO23" s="19"/>
      <c r="TVP23" s="19"/>
      <c r="TVQ23" s="19"/>
      <c r="TVR23" s="19"/>
      <c r="TVS23" s="19"/>
      <c r="TVT23" s="19"/>
      <c r="TVU23" s="19"/>
      <c r="TVV23" s="19"/>
      <c r="TVW23" s="19"/>
      <c r="TVX23" s="19"/>
      <c r="TVY23" s="19"/>
      <c r="TVZ23" s="19"/>
      <c r="TWA23" s="19"/>
      <c r="TWB23" s="19"/>
      <c r="TWC23" s="19"/>
      <c r="TWD23" s="19"/>
      <c r="TWE23" s="19"/>
      <c r="TWF23" s="19"/>
      <c r="TWG23" s="19"/>
      <c r="TWH23" s="19"/>
      <c r="TWI23" s="19"/>
      <c r="TWJ23" s="19"/>
      <c r="TWK23" s="19"/>
      <c r="TWL23" s="19"/>
      <c r="TWM23" s="19"/>
      <c r="TWN23" s="19"/>
      <c r="TWO23" s="19"/>
      <c r="TWP23" s="19"/>
      <c r="TWQ23" s="19"/>
      <c r="TWR23" s="19"/>
      <c r="TWS23" s="19"/>
      <c r="TWT23" s="19"/>
      <c r="TWU23" s="19"/>
      <c r="TWV23" s="19"/>
      <c r="TWW23" s="19"/>
      <c r="TWX23" s="19"/>
      <c r="TWY23" s="19"/>
      <c r="TWZ23" s="19"/>
      <c r="TXA23" s="19"/>
      <c r="TXB23" s="19"/>
      <c r="TXC23" s="19"/>
      <c r="TXD23" s="19"/>
      <c r="TXE23" s="19"/>
      <c r="TXF23" s="19"/>
      <c r="TXG23" s="19"/>
      <c r="TXH23" s="19"/>
      <c r="TXI23" s="19"/>
      <c r="TXJ23" s="19"/>
      <c r="TXK23" s="19"/>
      <c r="TXL23" s="19"/>
      <c r="TXM23" s="19"/>
      <c r="TXN23" s="19"/>
      <c r="TXO23" s="19"/>
      <c r="TXP23" s="19"/>
      <c r="TXQ23" s="19"/>
      <c r="TXR23" s="19"/>
      <c r="TXS23" s="19"/>
      <c r="TXT23" s="19"/>
      <c r="TXU23" s="19"/>
      <c r="TXV23" s="19"/>
      <c r="TXW23" s="19"/>
      <c r="TXX23" s="19"/>
      <c r="TXY23" s="19"/>
      <c r="TXZ23" s="19"/>
      <c r="TYA23" s="19"/>
      <c r="TYB23" s="19"/>
      <c r="TYC23" s="19"/>
      <c r="TYD23" s="19"/>
      <c r="TYE23" s="19"/>
      <c r="TYF23" s="19"/>
      <c r="TYG23" s="19"/>
      <c r="TYH23" s="19"/>
      <c r="TYI23" s="19"/>
      <c r="TYJ23" s="19"/>
      <c r="TYK23" s="19"/>
      <c r="TYL23" s="19"/>
      <c r="TYM23" s="19"/>
      <c r="TYN23" s="19"/>
      <c r="TYO23" s="19"/>
      <c r="TYP23" s="19"/>
      <c r="TYQ23" s="19"/>
      <c r="TYR23" s="19"/>
      <c r="TYS23" s="19"/>
      <c r="TYT23" s="19"/>
      <c r="TYU23" s="19"/>
      <c r="TYV23" s="19"/>
      <c r="TYW23" s="19"/>
      <c r="TYX23" s="19"/>
      <c r="TYY23" s="19"/>
      <c r="TYZ23" s="19"/>
      <c r="TZA23" s="19"/>
      <c r="TZB23" s="19"/>
      <c r="TZC23" s="19"/>
      <c r="TZD23" s="19"/>
      <c r="TZE23" s="19"/>
      <c r="TZF23" s="19"/>
      <c r="TZG23" s="19"/>
      <c r="TZH23" s="19"/>
      <c r="TZI23" s="19"/>
      <c r="TZJ23" s="19"/>
      <c r="TZK23" s="19"/>
      <c r="TZL23" s="19"/>
      <c r="TZM23" s="19"/>
      <c r="TZN23" s="19"/>
      <c r="TZO23" s="19"/>
      <c r="TZP23" s="19"/>
      <c r="TZQ23" s="19"/>
      <c r="TZR23" s="19"/>
      <c r="TZS23" s="19"/>
      <c r="TZT23" s="19"/>
      <c r="TZU23" s="19"/>
      <c r="TZV23" s="19"/>
      <c r="TZW23" s="19"/>
      <c r="TZX23" s="19"/>
      <c r="TZY23" s="19"/>
      <c r="TZZ23" s="19"/>
      <c r="UAA23" s="19"/>
      <c r="UAB23" s="19"/>
      <c r="UAC23" s="19"/>
      <c r="UAD23" s="19"/>
      <c r="UAE23" s="19"/>
      <c r="UAF23" s="19"/>
      <c r="UAG23" s="19"/>
      <c r="UAH23" s="19"/>
      <c r="UAI23" s="19"/>
      <c r="UAJ23" s="19"/>
      <c r="UAK23" s="19"/>
      <c r="UAL23" s="19"/>
      <c r="UAM23" s="19"/>
      <c r="UAN23" s="19"/>
      <c r="UAO23" s="19"/>
      <c r="UAP23" s="19"/>
      <c r="UAQ23" s="19"/>
      <c r="UAR23" s="19"/>
      <c r="UAS23" s="19"/>
      <c r="UAT23" s="19"/>
      <c r="UAU23" s="19"/>
      <c r="UAV23" s="19"/>
      <c r="UAW23" s="19"/>
      <c r="UAX23" s="19"/>
      <c r="UAY23" s="19"/>
      <c r="UAZ23" s="19"/>
      <c r="UBA23" s="19"/>
      <c r="UBB23" s="19"/>
      <c r="UBC23" s="19"/>
      <c r="UBD23" s="19"/>
      <c r="UBE23" s="19"/>
      <c r="UBF23" s="19"/>
      <c r="UBG23" s="19"/>
      <c r="UBH23" s="19"/>
      <c r="UBI23" s="19"/>
      <c r="UBJ23" s="19"/>
      <c r="UBK23" s="19"/>
      <c r="UBL23" s="19"/>
      <c r="UBM23" s="19"/>
      <c r="UBN23" s="19"/>
      <c r="UBO23" s="19"/>
      <c r="UBP23" s="19"/>
      <c r="UBQ23" s="19"/>
      <c r="UBR23" s="19"/>
      <c r="UBS23" s="19"/>
      <c r="UBT23" s="19"/>
      <c r="UBU23" s="19"/>
      <c r="UBV23" s="19"/>
      <c r="UBW23" s="19"/>
      <c r="UBX23" s="19"/>
      <c r="UBY23" s="19"/>
      <c r="UBZ23" s="19"/>
      <c r="UCA23" s="19"/>
      <c r="UCB23" s="19"/>
      <c r="UCC23" s="19"/>
      <c r="UCD23" s="19"/>
      <c r="UCE23" s="19"/>
      <c r="UCF23" s="19"/>
      <c r="UCG23" s="19"/>
      <c r="UCH23" s="19"/>
      <c r="UCI23" s="19"/>
      <c r="UCJ23" s="19"/>
      <c r="UCK23" s="19"/>
      <c r="UCL23" s="19"/>
      <c r="UCM23" s="19"/>
      <c r="UCN23" s="19"/>
      <c r="UCO23" s="19"/>
      <c r="UCP23" s="19"/>
      <c r="UCQ23" s="19"/>
      <c r="UCR23" s="19"/>
      <c r="UCS23" s="19"/>
      <c r="UCT23" s="19"/>
      <c r="UCU23" s="19"/>
      <c r="UCV23" s="19"/>
      <c r="UCW23" s="19"/>
      <c r="UCX23" s="19"/>
      <c r="UCY23" s="19"/>
      <c r="UCZ23" s="19"/>
      <c r="UDA23" s="19"/>
      <c r="UDB23" s="19"/>
      <c r="UDC23" s="19"/>
      <c r="UDD23" s="19"/>
      <c r="UDE23" s="19"/>
      <c r="UDF23" s="19"/>
      <c r="UDG23" s="19"/>
      <c r="UDH23" s="19"/>
      <c r="UDI23" s="19"/>
      <c r="UDJ23" s="19"/>
      <c r="UDK23" s="19"/>
      <c r="UDL23" s="19"/>
      <c r="UDM23" s="19"/>
      <c r="UDN23" s="19"/>
      <c r="UDO23" s="19"/>
      <c r="UDP23" s="19"/>
      <c r="UDQ23" s="19"/>
      <c r="UDR23" s="19"/>
      <c r="UDS23" s="19"/>
      <c r="UDT23" s="19"/>
      <c r="UDU23" s="19"/>
      <c r="UDV23" s="19"/>
      <c r="UDW23" s="19"/>
      <c r="UDX23" s="19"/>
      <c r="UDY23" s="19"/>
      <c r="UDZ23" s="19"/>
      <c r="UEA23" s="19"/>
      <c r="UEB23" s="19"/>
      <c r="UEC23" s="19"/>
      <c r="UED23" s="19"/>
      <c r="UEE23" s="19"/>
      <c r="UEF23" s="19"/>
      <c r="UEG23" s="19"/>
      <c r="UEH23" s="19"/>
      <c r="UEI23" s="19"/>
      <c r="UEJ23" s="19"/>
      <c r="UEK23" s="19"/>
      <c r="UEL23" s="19"/>
      <c r="UEM23" s="19"/>
      <c r="UEN23" s="19"/>
      <c r="UEO23" s="19"/>
      <c r="UEP23" s="19"/>
      <c r="UEQ23" s="19"/>
      <c r="UER23" s="19"/>
      <c r="UES23" s="19"/>
      <c r="UET23" s="19"/>
      <c r="UEU23" s="19"/>
      <c r="UEV23" s="19"/>
      <c r="UEW23" s="19"/>
      <c r="UEX23" s="19"/>
      <c r="UEY23" s="19"/>
      <c r="UEZ23" s="19"/>
      <c r="UFA23" s="19"/>
      <c r="UFB23" s="19"/>
      <c r="UFC23" s="19"/>
      <c r="UFD23" s="19"/>
      <c r="UFE23" s="19"/>
      <c r="UFF23" s="19"/>
      <c r="UFG23" s="19"/>
      <c r="UFH23" s="19"/>
      <c r="UFI23" s="19"/>
      <c r="UFJ23" s="19"/>
      <c r="UFK23" s="19"/>
      <c r="UFL23" s="19"/>
      <c r="UFM23" s="19"/>
      <c r="UFN23" s="19"/>
      <c r="UFO23" s="19"/>
      <c r="UFP23" s="19"/>
      <c r="UFQ23" s="19"/>
      <c r="UFR23" s="19"/>
      <c r="UFS23" s="19"/>
      <c r="UFT23" s="19"/>
      <c r="UFU23" s="19"/>
      <c r="UFV23" s="19"/>
      <c r="UFW23" s="19"/>
      <c r="UFX23" s="19"/>
      <c r="UFY23" s="19"/>
      <c r="UFZ23" s="19"/>
      <c r="UGA23" s="19"/>
      <c r="UGB23" s="19"/>
      <c r="UGC23" s="19"/>
      <c r="UGD23" s="19"/>
      <c r="UGE23" s="19"/>
      <c r="UGF23" s="19"/>
      <c r="UGG23" s="19"/>
      <c r="UGH23" s="19"/>
      <c r="UGI23" s="19"/>
      <c r="UGJ23" s="19"/>
      <c r="UGK23" s="19"/>
      <c r="UGL23" s="19"/>
      <c r="UGM23" s="19"/>
      <c r="UGN23" s="19"/>
      <c r="UGO23" s="19"/>
      <c r="UGP23" s="19"/>
      <c r="UGQ23" s="19"/>
      <c r="UGR23" s="19"/>
      <c r="UGS23" s="19"/>
      <c r="UGT23" s="19"/>
      <c r="UGU23" s="19"/>
      <c r="UGV23" s="19"/>
      <c r="UGW23" s="19"/>
      <c r="UGX23" s="19"/>
      <c r="UGY23" s="19"/>
      <c r="UGZ23" s="19"/>
      <c r="UHA23" s="19"/>
      <c r="UHB23" s="19"/>
      <c r="UHC23" s="19"/>
      <c r="UHD23" s="19"/>
      <c r="UHE23" s="19"/>
      <c r="UHF23" s="19"/>
      <c r="UHG23" s="19"/>
      <c r="UHH23" s="19"/>
      <c r="UHI23" s="19"/>
      <c r="UHJ23" s="19"/>
      <c r="UHK23" s="19"/>
      <c r="UHL23" s="19"/>
      <c r="UHM23" s="19"/>
      <c r="UHN23" s="19"/>
      <c r="UHO23" s="19"/>
      <c r="UHP23" s="19"/>
      <c r="UHQ23" s="19"/>
      <c r="UHR23" s="19"/>
      <c r="UHS23" s="19"/>
      <c r="UHT23" s="19"/>
      <c r="UHU23" s="19"/>
      <c r="UHV23" s="19"/>
      <c r="UHW23" s="19"/>
      <c r="UHX23" s="19"/>
      <c r="UHY23" s="19"/>
      <c r="UHZ23" s="19"/>
      <c r="UIA23" s="19"/>
      <c r="UIB23" s="19"/>
      <c r="UIC23" s="19"/>
      <c r="UID23" s="19"/>
      <c r="UIE23" s="19"/>
      <c r="UIF23" s="19"/>
      <c r="UIG23" s="19"/>
      <c r="UIH23" s="19"/>
      <c r="UII23" s="19"/>
      <c r="UIJ23" s="19"/>
      <c r="UIK23" s="19"/>
      <c r="UIL23" s="19"/>
      <c r="UIM23" s="19"/>
      <c r="UIN23" s="19"/>
      <c r="UIO23" s="19"/>
      <c r="UIP23" s="19"/>
      <c r="UIQ23" s="19"/>
      <c r="UIR23" s="19"/>
      <c r="UIS23" s="19"/>
      <c r="UIT23" s="19"/>
      <c r="UIU23" s="19"/>
      <c r="UIV23" s="19"/>
      <c r="UIW23" s="19"/>
      <c r="UIX23" s="19"/>
      <c r="UIY23" s="19"/>
      <c r="UIZ23" s="19"/>
      <c r="UJA23" s="19"/>
      <c r="UJB23" s="19"/>
      <c r="UJC23" s="19"/>
      <c r="UJD23" s="19"/>
      <c r="UJE23" s="19"/>
      <c r="UJF23" s="19"/>
      <c r="UJG23" s="19"/>
      <c r="UJH23" s="19"/>
      <c r="UJI23" s="19"/>
      <c r="UJJ23" s="19"/>
      <c r="UJK23" s="19"/>
      <c r="UJL23" s="19"/>
      <c r="UJM23" s="19"/>
      <c r="UJN23" s="19"/>
      <c r="UJO23" s="19"/>
      <c r="UJP23" s="19"/>
      <c r="UJQ23" s="19"/>
      <c r="UJR23" s="19"/>
      <c r="UJS23" s="19"/>
      <c r="UJT23" s="19"/>
      <c r="UJU23" s="19"/>
      <c r="UJV23" s="19"/>
      <c r="UJW23" s="19"/>
      <c r="UJX23" s="19"/>
      <c r="UJY23" s="19"/>
      <c r="UJZ23" s="19"/>
      <c r="UKA23" s="19"/>
      <c r="UKB23" s="19"/>
      <c r="UKC23" s="19"/>
      <c r="UKD23" s="19"/>
      <c r="UKE23" s="19"/>
      <c r="UKF23" s="19"/>
      <c r="UKG23" s="19"/>
      <c r="UKH23" s="19"/>
      <c r="UKI23" s="19"/>
      <c r="UKJ23" s="19"/>
      <c r="UKK23" s="19"/>
      <c r="UKL23" s="19"/>
      <c r="UKM23" s="19"/>
      <c r="UKN23" s="19"/>
      <c r="UKO23" s="19"/>
      <c r="UKP23" s="19"/>
      <c r="UKQ23" s="19"/>
      <c r="UKR23" s="19"/>
      <c r="UKS23" s="19"/>
      <c r="UKT23" s="19"/>
      <c r="UKU23" s="19"/>
      <c r="UKV23" s="19"/>
      <c r="UKW23" s="19"/>
      <c r="UKX23" s="19"/>
      <c r="UKY23" s="19"/>
      <c r="UKZ23" s="19"/>
      <c r="ULA23" s="19"/>
      <c r="ULB23" s="19"/>
      <c r="ULC23" s="19"/>
      <c r="ULD23" s="19"/>
      <c r="ULE23" s="19"/>
      <c r="ULF23" s="19"/>
      <c r="ULG23" s="19"/>
      <c r="ULH23" s="19"/>
      <c r="ULI23" s="19"/>
      <c r="ULJ23" s="19"/>
      <c r="ULK23" s="19"/>
      <c r="ULL23" s="19"/>
      <c r="ULM23" s="19"/>
      <c r="ULN23" s="19"/>
      <c r="ULO23" s="19"/>
      <c r="ULP23" s="19"/>
      <c r="ULQ23" s="19"/>
      <c r="ULR23" s="19"/>
      <c r="ULS23" s="19"/>
      <c r="ULT23" s="19"/>
      <c r="ULU23" s="19"/>
      <c r="ULV23" s="19"/>
      <c r="ULW23" s="19"/>
      <c r="ULX23" s="19"/>
      <c r="ULY23" s="19"/>
      <c r="ULZ23" s="19"/>
      <c r="UMA23" s="19"/>
      <c r="UMB23" s="19"/>
      <c r="UMC23" s="19"/>
      <c r="UMD23" s="19"/>
      <c r="UME23" s="19"/>
      <c r="UMF23" s="19"/>
      <c r="UMG23" s="19"/>
      <c r="UMH23" s="19"/>
      <c r="UMI23" s="19"/>
      <c r="UMJ23" s="19"/>
      <c r="UMK23" s="19"/>
      <c r="UML23" s="19"/>
      <c r="UMM23" s="19"/>
      <c r="UMN23" s="19"/>
      <c r="UMO23" s="19"/>
      <c r="UMP23" s="19"/>
      <c r="UMQ23" s="19"/>
      <c r="UMR23" s="19"/>
      <c r="UMS23" s="19"/>
      <c r="UMT23" s="19"/>
      <c r="UMU23" s="19"/>
      <c r="UMV23" s="19"/>
      <c r="UMW23" s="19"/>
      <c r="UMX23" s="19"/>
      <c r="UMY23" s="19"/>
      <c r="UMZ23" s="19"/>
      <c r="UNA23" s="19"/>
      <c r="UNB23" s="19"/>
      <c r="UNC23" s="19"/>
      <c r="UND23" s="19"/>
      <c r="UNE23" s="19"/>
      <c r="UNF23" s="19"/>
      <c r="UNG23" s="19"/>
      <c r="UNH23" s="19"/>
      <c r="UNI23" s="19"/>
      <c r="UNJ23" s="19"/>
      <c r="UNK23" s="19"/>
      <c r="UNL23" s="19"/>
      <c r="UNM23" s="19"/>
      <c r="UNN23" s="19"/>
      <c r="UNO23" s="19"/>
      <c r="UNP23" s="19"/>
      <c r="UNQ23" s="19"/>
      <c r="UNR23" s="19"/>
      <c r="UNS23" s="19"/>
      <c r="UNT23" s="19"/>
      <c r="UNU23" s="19"/>
      <c r="UNV23" s="19"/>
      <c r="UNW23" s="19"/>
      <c r="UNX23" s="19"/>
      <c r="UNY23" s="19"/>
      <c r="UNZ23" s="19"/>
      <c r="UOA23" s="19"/>
      <c r="UOB23" s="19"/>
      <c r="UOC23" s="19"/>
      <c r="UOD23" s="19"/>
      <c r="UOE23" s="19"/>
      <c r="UOF23" s="19"/>
      <c r="UOG23" s="19"/>
      <c r="UOH23" s="19"/>
      <c r="UOI23" s="19"/>
      <c r="UOJ23" s="19"/>
      <c r="UOK23" s="19"/>
      <c r="UOL23" s="19"/>
      <c r="UOM23" s="19"/>
      <c r="UON23" s="19"/>
      <c r="UOO23" s="19"/>
      <c r="UOP23" s="19"/>
      <c r="UOQ23" s="19"/>
      <c r="UOR23" s="19"/>
      <c r="UOS23" s="19"/>
      <c r="UOT23" s="19"/>
      <c r="UOU23" s="19"/>
      <c r="UOV23" s="19"/>
      <c r="UOW23" s="19"/>
      <c r="UOX23" s="19"/>
      <c r="UOY23" s="19"/>
      <c r="UOZ23" s="19"/>
      <c r="UPA23" s="19"/>
      <c r="UPB23" s="19"/>
      <c r="UPC23" s="19"/>
      <c r="UPD23" s="19"/>
      <c r="UPE23" s="19"/>
      <c r="UPF23" s="19"/>
      <c r="UPG23" s="19"/>
      <c r="UPH23" s="19"/>
      <c r="UPI23" s="19"/>
      <c r="UPJ23" s="19"/>
      <c r="UPK23" s="19"/>
      <c r="UPL23" s="19"/>
      <c r="UPM23" s="19"/>
      <c r="UPN23" s="19"/>
      <c r="UPO23" s="19"/>
      <c r="UPP23" s="19"/>
      <c r="UPQ23" s="19"/>
      <c r="UPR23" s="19"/>
      <c r="UPS23" s="19"/>
      <c r="UPT23" s="19"/>
      <c r="UPU23" s="19"/>
      <c r="UPV23" s="19"/>
      <c r="UPW23" s="19"/>
      <c r="UPX23" s="19"/>
      <c r="UPY23" s="19"/>
      <c r="UPZ23" s="19"/>
      <c r="UQA23" s="19"/>
      <c r="UQB23" s="19"/>
      <c r="UQC23" s="19"/>
      <c r="UQD23" s="19"/>
      <c r="UQE23" s="19"/>
      <c r="UQF23" s="19"/>
      <c r="UQG23" s="19"/>
      <c r="UQH23" s="19"/>
      <c r="UQI23" s="19"/>
      <c r="UQJ23" s="19"/>
      <c r="UQK23" s="19"/>
      <c r="UQL23" s="19"/>
      <c r="UQM23" s="19"/>
      <c r="UQN23" s="19"/>
      <c r="UQO23" s="19"/>
      <c r="UQP23" s="19"/>
      <c r="UQQ23" s="19"/>
      <c r="UQR23" s="19"/>
      <c r="UQS23" s="19"/>
      <c r="UQT23" s="19"/>
      <c r="UQU23" s="19"/>
      <c r="UQV23" s="19"/>
      <c r="UQW23" s="19"/>
      <c r="UQX23" s="19"/>
      <c r="UQY23" s="19"/>
      <c r="UQZ23" s="19"/>
      <c r="URA23" s="19"/>
      <c r="URB23" s="19"/>
      <c r="URC23" s="19"/>
      <c r="URD23" s="19"/>
      <c r="URE23" s="19"/>
      <c r="URF23" s="19"/>
      <c r="URG23" s="19"/>
      <c r="URH23" s="19"/>
      <c r="URI23" s="19"/>
      <c r="URJ23" s="19"/>
      <c r="URK23" s="19"/>
      <c r="URL23" s="19"/>
      <c r="URM23" s="19"/>
      <c r="URN23" s="19"/>
      <c r="URO23" s="19"/>
      <c r="URP23" s="19"/>
      <c r="URQ23" s="19"/>
      <c r="URR23" s="19"/>
      <c r="URS23" s="19"/>
      <c r="URT23" s="19"/>
      <c r="URU23" s="19"/>
      <c r="URV23" s="19"/>
      <c r="URW23" s="19"/>
      <c r="URX23" s="19"/>
      <c r="URY23" s="19"/>
      <c r="URZ23" s="19"/>
      <c r="USA23" s="19"/>
      <c r="USB23" s="19"/>
      <c r="USC23" s="19"/>
      <c r="USD23" s="19"/>
      <c r="USE23" s="19"/>
      <c r="USF23" s="19"/>
      <c r="USG23" s="19"/>
      <c r="USH23" s="19"/>
      <c r="USI23" s="19"/>
      <c r="USJ23" s="19"/>
      <c r="USK23" s="19"/>
      <c r="USL23" s="19"/>
      <c r="USM23" s="19"/>
      <c r="USN23" s="19"/>
      <c r="USO23" s="19"/>
      <c r="USP23" s="19"/>
      <c r="USQ23" s="19"/>
      <c r="USR23" s="19"/>
      <c r="USS23" s="19"/>
      <c r="UST23" s="19"/>
      <c r="USU23" s="19"/>
      <c r="USV23" s="19"/>
      <c r="USW23" s="19"/>
      <c r="USX23" s="19"/>
      <c r="USY23" s="19"/>
      <c r="USZ23" s="19"/>
      <c r="UTA23" s="19"/>
      <c r="UTB23" s="19"/>
      <c r="UTC23" s="19"/>
      <c r="UTD23" s="19"/>
      <c r="UTE23" s="19"/>
      <c r="UTF23" s="19"/>
      <c r="UTG23" s="19"/>
      <c r="UTH23" s="19"/>
      <c r="UTI23" s="19"/>
      <c r="UTJ23" s="19"/>
      <c r="UTK23" s="19"/>
      <c r="UTL23" s="19"/>
      <c r="UTM23" s="19"/>
      <c r="UTN23" s="19"/>
      <c r="UTO23" s="19"/>
      <c r="UTP23" s="19"/>
      <c r="UTQ23" s="19"/>
      <c r="UTR23" s="19"/>
      <c r="UTS23" s="19"/>
      <c r="UTT23" s="19"/>
      <c r="UTU23" s="19"/>
      <c r="UTV23" s="19"/>
      <c r="UTW23" s="19"/>
      <c r="UTX23" s="19"/>
      <c r="UTY23" s="19"/>
      <c r="UTZ23" s="19"/>
      <c r="UUA23" s="19"/>
      <c r="UUB23" s="19"/>
      <c r="UUC23" s="19"/>
      <c r="UUD23" s="19"/>
      <c r="UUE23" s="19"/>
      <c r="UUF23" s="19"/>
      <c r="UUG23" s="19"/>
      <c r="UUH23" s="19"/>
      <c r="UUI23" s="19"/>
      <c r="UUJ23" s="19"/>
      <c r="UUK23" s="19"/>
      <c r="UUL23" s="19"/>
      <c r="UUM23" s="19"/>
      <c r="UUN23" s="19"/>
      <c r="UUO23" s="19"/>
      <c r="UUP23" s="19"/>
      <c r="UUQ23" s="19"/>
      <c r="UUR23" s="19"/>
      <c r="UUS23" s="19"/>
      <c r="UUT23" s="19"/>
      <c r="UUU23" s="19"/>
      <c r="UUV23" s="19"/>
      <c r="UUW23" s="19"/>
      <c r="UUX23" s="19"/>
      <c r="UUY23" s="19"/>
      <c r="UUZ23" s="19"/>
      <c r="UVA23" s="19"/>
      <c r="UVB23" s="19"/>
      <c r="UVC23" s="19"/>
      <c r="UVD23" s="19"/>
      <c r="UVE23" s="19"/>
      <c r="UVF23" s="19"/>
      <c r="UVG23" s="19"/>
      <c r="UVH23" s="19"/>
      <c r="UVI23" s="19"/>
      <c r="UVJ23" s="19"/>
      <c r="UVK23" s="19"/>
      <c r="UVL23" s="19"/>
      <c r="UVM23" s="19"/>
      <c r="UVN23" s="19"/>
      <c r="UVO23" s="19"/>
      <c r="UVP23" s="19"/>
      <c r="UVQ23" s="19"/>
      <c r="UVR23" s="19"/>
      <c r="UVS23" s="19"/>
      <c r="UVT23" s="19"/>
      <c r="UVU23" s="19"/>
      <c r="UVV23" s="19"/>
      <c r="UVW23" s="19"/>
      <c r="UVX23" s="19"/>
      <c r="UVY23" s="19"/>
      <c r="UVZ23" s="19"/>
      <c r="UWA23" s="19"/>
      <c r="UWB23" s="19"/>
      <c r="UWC23" s="19"/>
      <c r="UWD23" s="19"/>
      <c r="UWE23" s="19"/>
      <c r="UWF23" s="19"/>
      <c r="UWG23" s="19"/>
      <c r="UWH23" s="19"/>
      <c r="UWI23" s="19"/>
      <c r="UWJ23" s="19"/>
      <c r="UWK23" s="19"/>
      <c r="UWL23" s="19"/>
      <c r="UWM23" s="19"/>
      <c r="UWN23" s="19"/>
      <c r="UWO23" s="19"/>
      <c r="UWP23" s="19"/>
      <c r="UWQ23" s="19"/>
      <c r="UWR23" s="19"/>
      <c r="UWS23" s="19"/>
      <c r="UWT23" s="19"/>
      <c r="UWU23" s="19"/>
      <c r="UWV23" s="19"/>
      <c r="UWW23" s="19"/>
      <c r="UWX23" s="19"/>
      <c r="UWY23" s="19"/>
      <c r="UWZ23" s="19"/>
      <c r="UXA23" s="19"/>
      <c r="UXB23" s="19"/>
      <c r="UXC23" s="19"/>
      <c r="UXD23" s="19"/>
      <c r="UXE23" s="19"/>
      <c r="UXF23" s="19"/>
      <c r="UXG23" s="19"/>
      <c r="UXH23" s="19"/>
      <c r="UXI23" s="19"/>
      <c r="UXJ23" s="19"/>
      <c r="UXK23" s="19"/>
      <c r="UXL23" s="19"/>
      <c r="UXM23" s="19"/>
      <c r="UXN23" s="19"/>
      <c r="UXO23" s="19"/>
      <c r="UXP23" s="19"/>
      <c r="UXQ23" s="19"/>
      <c r="UXR23" s="19"/>
      <c r="UXS23" s="19"/>
      <c r="UXT23" s="19"/>
      <c r="UXU23" s="19"/>
      <c r="UXV23" s="19"/>
      <c r="UXW23" s="19"/>
      <c r="UXX23" s="19"/>
      <c r="UXY23" s="19"/>
      <c r="UXZ23" s="19"/>
      <c r="UYA23" s="19"/>
      <c r="UYB23" s="19"/>
      <c r="UYC23" s="19"/>
      <c r="UYD23" s="19"/>
      <c r="UYE23" s="19"/>
      <c r="UYF23" s="19"/>
      <c r="UYG23" s="19"/>
      <c r="UYH23" s="19"/>
      <c r="UYI23" s="19"/>
      <c r="UYJ23" s="19"/>
      <c r="UYK23" s="19"/>
      <c r="UYL23" s="19"/>
      <c r="UYM23" s="19"/>
      <c r="UYN23" s="19"/>
      <c r="UYO23" s="19"/>
      <c r="UYP23" s="19"/>
      <c r="UYQ23" s="19"/>
      <c r="UYR23" s="19"/>
      <c r="UYS23" s="19"/>
      <c r="UYT23" s="19"/>
      <c r="UYU23" s="19"/>
      <c r="UYV23" s="19"/>
      <c r="UYW23" s="19"/>
      <c r="UYX23" s="19"/>
      <c r="UYY23" s="19"/>
      <c r="UYZ23" s="19"/>
      <c r="UZA23" s="19"/>
      <c r="UZB23" s="19"/>
      <c r="UZC23" s="19"/>
      <c r="UZD23" s="19"/>
      <c r="UZE23" s="19"/>
      <c r="UZF23" s="19"/>
      <c r="UZG23" s="19"/>
      <c r="UZH23" s="19"/>
      <c r="UZI23" s="19"/>
      <c r="UZJ23" s="19"/>
      <c r="UZK23" s="19"/>
      <c r="UZL23" s="19"/>
      <c r="UZM23" s="19"/>
      <c r="UZN23" s="19"/>
      <c r="UZO23" s="19"/>
      <c r="UZP23" s="19"/>
      <c r="UZQ23" s="19"/>
      <c r="UZR23" s="19"/>
      <c r="UZS23" s="19"/>
      <c r="UZT23" s="19"/>
      <c r="UZU23" s="19"/>
      <c r="UZV23" s="19"/>
      <c r="UZW23" s="19"/>
      <c r="UZX23" s="19"/>
      <c r="UZY23" s="19"/>
      <c r="UZZ23" s="19"/>
      <c r="VAA23" s="19"/>
      <c r="VAB23" s="19"/>
      <c r="VAC23" s="19"/>
      <c r="VAD23" s="19"/>
      <c r="VAE23" s="19"/>
      <c r="VAF23" s="19"/>
      <c r="VAG23" s="19"/>
      <c r="VAH23" s="19"/>
      <c r="VAI23" s="19"/>
      <c r="VAJ23" s="19"/>
      <c r="VAK23" s="19"/>
      <c r="VAL23" s="19"/>
      <c r="VAM23" s="19"/>
      <c r="VAN23" s="19"/>
      <c r="VAO23" s="19"/>
      <c r="VAP23" s="19"/>
      <c r="VAQ23" s="19"/>
      <c r="VAR23" s="19"/>
      <c r="VAS23" s="19"/>
      <c r="VAT23" s="19"/>
      <c r="VAU23" s="19"/>
      <c r="VAV23" s="19"/>
      <c r="VAW23" s="19"/>
      <c r="VAX23" s="19"/>
      <c r="VAY23" s="19"/>
      <c r="VAZ23" s="19"/>
      <c r="VBA23" s="19"/>
      <c r="VBB23" s="19"/>
      <c r="VBC23" s="19"/>
      <c r="VBD23" s="19"/>
      <c r="VBE23" s="19"/>
      <c r="VBF23" s="19"/>
      <c r="VBG23" s="19"/>
      <c r="VBH23" s="19"/>
      <c r="VBI23" s="19"/>
      <c r="VBJ23" s="19"/>
      <c r="VBK23" s="19"/>
      <c r="VBL23" s="19"/>
      <c r="VBM23" s="19"/>
      <c r="VBN23" s="19"/>
      <c r="VBO23" s="19"/>
      <c r="VBP23" s="19"/>
      <c r="VBQ23" s="19"/>
      <c r="VBR23" s="19"/>
      <c r="VBS23" s="19"/>
      <c r="VBT23" s="19"/>
      <c r="VBU23" s="19"/>
      <c r="VBV23" s="19"/>
      <c r="VBW23" s="19"/>
      <c r="VBX23" s="19"/>
      <c r="VBY23" s="19"/>
      <c r="VBZ23" s="19"/>
      <c r="VCA23" s="19"/>
      <c r="VCB23" s="19"/>
      <c r="VCC23" s="19"/>
      <c r="VCD23" s="19"/>
      <c r="VCE23" s="19"/>
      <c r="VCF23" s="19"/>
      <c r="VCG23" s="19"/>
      <c r="VCH23" s="19"/>
      <c r="VCI23" s="19"/>
      <c r="VCJ23" s="19"/>
      <c r="VCK23" s="19"/>
      <c r="VCL23" s="19"/>
      <c r="VCM23" s="19"/>
      <c r="VCN23" s="19"/>
      <c r="VCO23" s="19"/>
      <c r="VCP23" s="19"/>
      <c r="VCQ23" s="19"/>
      <c r="VCR23" s="19"/>
      <c r="VCS23" s="19"/>
      <c r="VCT23" s="19"/>
      <c r="VCU23" s="19"/>
      <c r="VCV23" s="19"/>
      <c r="VCW23" s="19"/>
      <c r="VCX23" s="19"/>
      <c r="VCY23" s="19"/>
      <c r="VCZ23" s="19"/>
      <c r="VDA23" s="19"/>
      <c r="VDB23" s="19"/>
      <c r="VDC23" s="19"/>
      <c r="VDD23" s="19"/>
      <c r="VDE23" s="19"/>
      <c r="VDF23" s="19"/>
      <c r="VDG23" s="19"/>
      <c r="VDH23" s="19"/>
      <c r="VDI23" s="19"/>
      <c r="VDJ23" s="19"/>
      <c r="VDK23" s="19"/>
      <c r="VDL23" s="19"/>
      <c r="VDM23" s="19"/>
      <c r="VDN23" s="19"/>
      <c r="VDO23" s="19"/>
      <c r="VDP23" s="19"/>
      <c r="VDQ23" s="19"/>
      <c r="VDR23" s="19"/>
      <c r="VDS23" s="19"/>
      <c r="VDT23" s="19"/>
      <c r="VDU23" s="19"/>
      <c r="VDV23" s="19"/>
      <c r="VDW23" s="19"/>
      <c r="VDX23" s="19"/>
      <c r="VDY23" s="19"/>
      <c r="VDZ23" s="19"/>
      <c r="VEA23" s="19"/>
      <c r="VEB23" s="19"/>
      <c r="VEC23" s="19"/>
      <c r="VED23" s="19"/>
      <c r="VEE23" s="19"/>
      <c r="VEF23" s="19"/>
      <c r="VEG23" s="19"/>
      <c r="VEH23" s="19"/>
      <c r="VEI23" s="19"/>
      <c r="VEJ23" s="19"/>
      <c r="VEK23" s="19"/>
      <c r="VEL23" s="19"/>
      <c r="VEM23" s="19"/>
      <c r="VEN23" s="19"/>
      <c r="VEO23" s="19"/>
      <c r="VEP23" s="19"/>
      <c r="VEQ23" s="19"/>
      <c r="VER23" s="19"/>
      <c r="VES23" s="19"/>
      <c r="VET23" s="19"/>
      <c r="VEU23" s="19"/>
      <c r="VEV23" s="19"/>
      <c r="VEW23" s="19"/>
      <c r="VEX23" s="19"/>
      <c r="VEY23" s="19"/>
      <c r="VEZ23" s="19"/>
      <c r="VFA23" s="19"/>
      <c r="VFB23" s="19"/>
      <c r="VFC23" s="19"/>
      <c r="VFD23" s="19"/>
      <c r="VFE23" s="19"/>
      <c r="VFF23" s="19"/>
      <c r="VFG23" s="19"/>
      <c r="VFH23" s="19"/>
      <c r="VFI23" s="19"/>
      <c r="VFJ23" s="19"/>
      <c r="VFK23" s="19"/>
      <c r="VFL23" s="19"/>
      <c r="VFM23" s="19"/>
      <c r="VFN23" s="19"/>
      <c r="VFO23" s="19"/>
      <c r="VFP23" s="19"/>
      <c r="VFQ23" s="19"/>
      <c r="VFR23" s="19"/>
      <c r="VFS23" s="19"/>
      <c r="VFT23" s="19"/>
      <c r="VFU23" s="19"/>
      <c r="VFV23" s="19"/>
      <c r="VFW23" s="19"/>
      <c r="VFX23" s="19"/>
      <c r="VFY23" s="19"/>
      <c r="VFZ23" s="19"/>
      <c r="VGA23" s="19"/>
      <c r="VGB23" s="19"/>
      <c r="VGC23" s="19"/>
      <c r="VGD23" s="19"/>
      <c r="VGE23" s="19"/>
      <c r="VGF23" s="19"/>
      <c r="VGG23" s="19"/>
      <c r="VGH23" s="19"/>
      <c r="VGI23" s="19"/>
      <c r="VGJ23" s="19"/>
      <c r="VGK23" s="19"/>
      <c r="VGL23" s="19"/>
      <c r="VGM23" s="19"/>
      <c r="VGN23" s="19"/>
      <c r="VGO23" s="19"/>
      <c r="VGP23" s="19"/>
      <c r="VGQ23" s="19"/>
      <c r="VGR23" s="19"/>
      <c r="VGS23" s="19"/>
      <c r="VGT23" s="19"/>
      <c r="VGU23" s="19"/>
      <c r="VGV23" s="19"/>
      <c r="VGW23" s="19"/>
      <c r="VGX23" s="19"/>
      <c r="VGY23" s="19"/>
      <c r="VGZ23" s="19"/>
      <c r="VHA23" s="19"/>
      <c r="VHB23" s="19"/>
      <c r="VHC23" s="19"/>
      <c r="VHD23" s="19"/>
      <c r="VHE23" s="19"/>
      <c r="VHF23" s="19"/>
      <c r="VHG23" s="19"/>
      <c r="VHH23" s="19"/>
      <c r="VHI23" s="19"/>
      <c r="VHJ23" s="19"/>
      <c r="VHK23" s="19"/>
      <c r="VHL23" s="19"/>
      <c r="VHM23" s="19"/>
      <c r="VHN23" s="19"/>
      <c r="VHO23" s="19"/>
      <c r="VHP23" s="19"/>
      <c r="VHQ23" s="19"/>
      <c r="VHR23" s="19"/>
      <c r="VHS23" s="19"/>
      <c r="VHT23" s="19"/>
      <c r="VHU23" s="19"/>
      <c r="VHV23" s="19"/>
      <c r="VHW23" s="19"/>
      <c r="VHX23" s="19"/>
      <c r="VHY23" s="19"/>
      <c r="VHZ23" s="19"/>
      <c r="VIA23" s="19"/>
      <c r="VIB23" s="19"/>
      <c r="VIC23" s="19"/>
      <c r="VID23" s="19"/>
      <c r="VIE23" s="19"/>
      <c r="VIF23" s="19"/>
      <c r="VIG23" s="19"/>
      <c r="VIH23" s="19"/>
      <c r="VII23" s="19"/>
      <c r="VIJ23" s="19"/>
      <c r="VIK23" s="19"/>
      <c r="VIL23" s="19"/>
      <c r="VIM23" s="19"/>
      <c r="VIN23" s="19"/>
      <c r="VIO23" s="19"/>
      <c r="VIP23" s="19"/>
      <c r="VIQ23" s="19"/>
      <c r="VIR23" s="19"/>
      <c r="VIS23" s="19"/>
      <c r="VIT23" s="19"/>
      <c r="VIU23" s="19"/>
      <c r="VIV23" s="19"/>
      <c r="VIW23" s="19"/>
      <c r="VIX23" s="19"/>
      <c r="VIY23" s="19"/>
      <c r="VIZ23" s="19"/>
      <c r="VJA23" s="19"/>
      <c r="VJB23" s="19"/>
      <c r="VJC23" s="19"/>
      <c r="VJD23" s="19"/>
      <c r="VJE23" s="19"/>
      <c r="VJF23" s="19"/>
      <c r="VJG23" s="19"/>
      <c r="VJH23" s="19"/>
      <c r="VJI23" s="19"/>
      <c r="VJJ23" s="19"/>
      <c r="VJK23" s="19"/>
      <c r="VJL23" s="19"/>
      <c r="VJM23" s="19"/>
      <c r="VJN23" s="19"/>
      <c r="VJO23" s="19"/>
      <c r="VJP23" s="19"/>
      <c r="VJQ23" s="19"/>
      <c r="VJR23" s="19"/>
      <c r="VJS23" s="19"/>
      <c r="VJT23" s="19"/>
      <c r="VJU23" s="19"/>
      <c r="VJV23" s="19"/>
      <c r="VJW23" s="19"/>
      <c r="VJX23" s="19"/>
      <c r="VJY23" s="19"/>
      <c r="VJZ23" s="19"/>
      <c r="VKA23" s="19"/>
      <c r="VKB23" s="19"/>
      <c r="VKC23" s="19"/>
      <c r="VKD23" s="19"/>
      <c r="VKE23" s="19"/>
      <c r="VKF23" s="19"/>
      <c r="VKG23" s="19"/>
      <c r="VKH23" s="19"/>
      <c r="VKI23" s="19"/>
      <c r="VKJ23" s="19"/>
      <c r="VKK23" s="19"/>
      <c r="VKL23" s="19"/>
      <c r="VKM23" s="19"/>
      <c r="VKN23" s="19"/>
      <c r="VKO23" s="19"/>
      <c r="VKP23" s="19"/>
      <c r="VKQ23" s="19"/>
      <c r="VKR23" s="19"/>
      <c r="VKS23" s="19"/>
      <c r="VKT23" s="19"/>
      <c r="VKU23" s="19"/>
      <c r="VKV23" s="19"/>
      <c r="VKW23" s="19"/>
      <c r="VKX23" s="19"/>
      <c r="VKY23" s="19"/>
      <c r="VKZ23" s="19"/>
      <c r="VLA23" s="19"/>
      <c r="VLB23" s="19"/>
      <c r="VLC23" s="19"/>
      <c r="VLD23" s="19"/>
      <c r="VLE23" s="19"/>
      <c r="VLF23" s="19"/>
      <c r="VLG23" s="19"/>
      <c r="VLH23" s="19"/>
      <c r="VLI23" s="19"/>
      <c r="VLJ23" s="19"/>
      <c r="VLK23" s="19"/>
      <c r="VLL23" s="19"/>
      <c r="VLM23" s="19"/>
      <c r="VLN23" s="19"/>
      <c r="VLO23" s="19"/>
      <c r="VLP23" s="19"/>
      <c r="VLQ23" s="19"/>
      <c r="VLR23" s="19"/>
      <c r="VLS23" s="19"/>
      <c r="VLT23" s="19"/>
      <c r="VLU23" s="19"/>
      <c r="VLV23" s="19"/>
      <c r="VLW23" s="19"/>
      <c r="VLX23" s="19"/>
      <c r="VLY23" s="19"/>
      <c r="VLZ23" s="19"/>
      <c r="VMA23" s="19"/>
      <c r="VMB23" s="19"/>
      <c r="VMC23" s="19"/>
      <c r="VMD23" s="19"/>
      <c r="VME23" s="19"/>
      <c r="VMF23" s="19"/>
      <c r="VMG23" s="19"/>
      <c r="VMH23" s="19"/>
      <c r="VMI23" s="19"/>
      <c r="VMJ23" s="19"/>
      <c r="VMK23" s="19"/>
      <c r="VML23" s="19"/>
      <c r="VMM23" s="19"/>
      <c r="VMN23" s="19"/>
      <c r="VMO23" s="19"/>
      <c r="VMP23" s="19"/>
      <c r="VMQ23" s="19"/>
      <c r="VMR23" s="19"/>
      <c r="VMS23" s="19"/>
      <c r="VMT23" s="19"/>
      <c r="VMU23" s="19"/>
      <c r="VMV23" s="19"/>
      <c r="VMW23" s="19"/>
      <c r="VMX23" s="19"/>
      <c r="VMY23" s="19"/>
      <c r="VMZ23" s="19"/>
      <c r="VNA23" s="19"/>
      <c r="VNB23" s="19"/>
      <c r="VNC23" s="19"/>
      <c r="VND23" s="19"/>
      <c r="VNE23" s="19"/>
      <c r="VNF23" s="19"/>
      <c r="VNG23" s="19"/>
      <c r="VNH23" s="19"/>
      <c r="VNI23" s="19"/>
      <c r="VNJ23" s="19"/>
      <c r="VNK23" s="19"/>
      <c r="VNL23" s="19"/>
      <c r="VNM23" s="19"/>
      <c r="VNN23" s="19"/>
      <c r="VNO23" s="19"/>
      <c r="VNP23" s="19"/>
      <c r="VNQ23" s="19"/>
      <c r="VNR23" s="19"/>
      <c r="VNS23" s="19"/>
      <c r="VNT23" s="19"/>
      <c r="VNU23" s="19"/>
      <c r="VNV23" s="19"/>
      <c r="VNW23" s="19"/>
      <c r="VNX23" s="19"/>
      <c r="VNY23" s="19"/>
      <c r="VNZ23" s="19"/>
      <c r="VOA23" s="19"/>
      <c r="VOB23" s="19"/>
      <c r="VOC23" s="19"/>
      <c r="VOD23" s="19"/>
      <c r="VOE23" s="19"/>
      <c r="VOF23" s="19"/>
      <c r="VOG23" s="19"/>
      <c r="VOH23" s="19"/>
      <c r="VOI23" s="19"/>
      <c r="VOJ23" s="19"/>
      <c r="VOK23" s="19"/>
      <c r="VOL23" s="19"/>
      <c r="VOM23" s="19"/>
      <c r="VON23" s="19"/>
      <c r="VOO23" s="19"/>
      <c r="VOP23" s="19"/>
      <c r="VOQ23" s="19"/>
      <c r="VOR23" s="19"/>
      <c r="VOS23" s="19"/>
      <c r="VOT23" s="19"/>
      <c r="VOU23" s="19"/>
      <c r="VOV23" s="19"/>
      <c r="VOW23" s="19"/>
      <c r="VOX23" s="19"/>
      <c r="VOY23" s="19"/>
      <c r="VOZ23" s="19"/>
      <c r="VPA23" s="19"/>
      <c r="VPB23" s="19"/>
      <c r="VPC23" s="19"/>
      <c r="VPD23" s="19"/>
      <c r="VPE23" s="19"/>
      <c r="VPF23" s="19"/>
      <c r="VPG23" s="19"/>
      <c r="VPH23" s="19"/>
      <c r="VPI23" s="19"/>
      <c r="VPJ23" s="19"/>
      <c r="VPK23" s="19"/>
      <c r="VPL23" s="19"/>
      <c r="VPM23" s="19"/>
      <c r="VPN23" s="19"/>
      <c r="VPO23" s="19"/>
      <c r="VPP23" s="19"/>
      <c r="VPQ23" s="19"/>
      <c r="VPR23" s="19"/>
      <c r="VPS23" s="19"/>
      <c r="VPT23" s="19"/>
      <c r="VPU23" s="19"/>
      <c r="VPV23" s="19"/>
      <c r="VPW23" s="19"/>
      <c r="VPX23" s="19"/>
      <c r="VPY23" s="19"/>
      <c r="VPZ23" s="19"/>
      <c r="VQA23" s="19"/>
      <c r="VQB23" s="19"/>
      <c r="VQC23" s="19"/>
      <c r="VQD23" s="19"/>
      <c r="VQE23" s="19"/>
      <c r="VQF23" s="19"/>
      <c r="VQG23" s="19"/>
      <c r="VQH23" s="19"/>
      <c r="VQI23" s="19"/>
      <c r="VQJ23" s="19"/>
      <c r="VQK23" s="19"/>
      <c r="VQL23" s="19"/>
      <c r="VQM23" s="19"/>
      <c r="VQN23" s="19"/>
      <c r="VQO23" s="19"/>
      <c r="VQP23" s="19"/>
      <c r="VQQ23" s="19"/>
      <c r="VQR23" s="19"/>
      <c r="VQS23" s="19"/>
      <c r="VQT23" s="19"/>
      <c r="VQU23" s="19"/>
      <c r="VQV23" s="19"/>
      <c r="VQW23" s="19"/>
      <c r="VQX23" s="19"/>
      <c r="VQY23" s="19"/>
      <c r="VQZ23" s="19"/>
      <c r="VRA23" s="19"/>
      <c r="VRB23" s="19"/>
      <c r="VRC23" s="19"/>
      <c r="VRD23" s="19"/>
      <c r="VRE23" s="19"/>
      <c r="VRF23" s="19"/>
      <c r="VRG23" s="19"/>
      <c r="VRH23" s="19"/>
      <c r="VRI23" s="19"/>
      <c r="VRJ23" s="19"/>
      <c r="VRK23" s="19"/>
      <c r="VRL23" s="19"/>
      <c r="VRM23" s="19"/>
      <c r="VRN23" s="19"/>
      <c r="VRO23" s="19"/>
      <c r="VRP23" s="19"/>
      <c r="VRQ23" s="19"/>
      <c r="VRR23" s="19"/>
      <c r="VRS23" s="19"/>
      <c r="VRT23" s="19"/>
      <c r="VRU23" s="19"/>
      <c r="VRV23" s="19"/>
      <c r="VRW23" s="19"/>
      <c r="VRX23" s="19"/>
      <c r="VRY23" s="19"/>
      <c r="VRZ23" s="19"/>
      <c r="VSA23" s="19"/>
      <c r="VSB23" s="19"/>
      <c r="VSC23" s="19"/>
      <c r="VSD23" s="19"/>
      <c r="VSE23" s="19"/>
      <c r="VSF23" s="19"/>
      <c r="VSG23" s="19"/>
      <c r="VSH23" s="19"/>
      <c r="VSI23" s="19"/>
      <c r="VSJ23" s="19"/>
      <c r="VSK23" s="19"/>
      <c r="VSL23" s="19"/>
      <c r="VSM23" s="19"/>
      <c r="VSN23" s="19"/>
      <c r="VSO23" s="19"/>
      <c r="VSP23" s="19"/>
      <c r="VSQ23" s="19"/>
      <c r="VSR23" s="19"/>
      <c r="VSS23" s="19"/>
      <c r="VST23" s="19"/>
      <c r="VSU23" s="19"/>
      <c r="VSV23" s="19"/>
      <c r="VSW23" s="19"/>
      <c r="VSX23" s="19"/>
      <c r="VSY23" s="19"/>
      <c r="VSZ23" s="19"/>
      <c r="VTA23" s="19"/>
      <c r="VTB23" s="19"/>
      <c r="VTC23" s="19"/>
      <c r="VTD23" s="19"/>
      <c r="VTE23" s="19"/>
      <c r="VTF23" s="19"/>
      <c r="VTG23" s="19"/>
      <c r="VTH23" s="19"/>
      <c r="VTI23" s="19"/>
      <c r="VTJ23" s="19"/>
      <c r="VTK23" s="19"/>
      <c r="VTL23" s="19"/>
      <c r="VTM23" s="19"/>
      <c r="VTN23" s="19"/>
      <c r="VTO23" s="19"/>
      <c r="VTP23" s="19"/>
      <c r="VTQ23" s="19"/>
      <c r="VTR23" s="19"/>
      <c r="VTS23" s="19"/>
      <c r="VTT23" s="19"/>
      <c r="VTU23" s="19"/>
      <c r="VTV23" s="19"/>
      <c r="VTW23" s="19"/>
      <c r="VTX23" s="19"/>
      <c r="VTY23" s="19"/>
      <c r="VTZ23" s="19"/>
      <c r="VUA23" s="19"/>
      <c r="VUB23" s="19"/>
      <c r="VUC23" s="19"/>
      <c r="VUD23" s="19"/>
      <c r="VUE23" s="19"/>
      <c r="VUF23" s="19"/>
      <c r="VUG23" s="19"/>
      <c r="VUH23" s="19"/>
      <c r="VUI23" s="19"/>
      <c r="VUJ23" s="19"/>
      <c r="VUK23" s="19"/>
      <c r="VUL23" s="19"/>
      <c r="VUM23" s="19"/>
      <c r="VUN23" s="19"/>
      <c r="VUO23" s="19"/>
      <c r="VUP23" s="19"/>
      <c r="VUQ23" s="19"/>
      <c r="VUR23" s="19"/>
      <c r="VUS23" s="19"/>
      <c r="VUT23" s="19"/>
      <c r="VUU23" s="19"/>
      <c r="VUV23" s="19"/>
      <c r="VUW23" s="19"/>
      <c r="VUX23" s="19"/>
      <c r="VUY23" s="19"/>
      <c r="VUZ23" s="19"/>
      <c r="VVA23" s="19"/>
      <c r="VVB23" s="19"/>
      <c r="VVC23" s="19"/>
      <c r="VVD23" s="19"/>
      <c r="VVE23" s="19"/>
      <c r="VVF23" s="19"/>
      <c r="VVG23" s="19"/>
      <c r="VVH23" s="19"/>
      <c r="VVI23" s="19"/>
      <c r="VVJ23" s="19"/>
      <c r="VVK23" s="19"/>
      <c r="VVL23" s="19"/>
      <c r="VVM23" s="19"/>
      <c r="VVN23" s="19"/>
      <c r="VVO23" s="19"/>
      <c r="VVP23" s="19"/>
      <c r="VVQ23" s="19"/>
      <c r="VVR23" s="19"/>
      <c r="VVS23" s="19"/>
      <c r="VVT23" s="19"/>
      <c r="VVU23" s="19"/>
      <c r="VVV23" s="19"/>
      <c r="VVW23" s="19"/>
      <c r="VVX23" s="19"/>
      <c r="VVY23" s="19"/>
      <c r="VVZ23" s="19"/>
      <c r="VWA23" s="19"/>
      <c r="VWB23" s="19"/>
      <c r="VWC23" s="19"/>
      <c r="VWD23" s="19"/>
      <c r="VWE23" s="19"/>
      <c r="VWF23" s="19"/>
      <c r="VWG23" s="19"/>
      <c r="VWH23" s="19"/>
      <c r="VWI23" s="19"/>
      <c r="VWJ23" s="19"/>
      <c r="VWK23" s="19"/>
      <c r="VWL23" s="19"/>
      <c r="VWM23" s="19"/>
      <c r="VWN23" s="19"/>
      <c r="VWO23" s="19"/>
      <c r="VWP23" s="19"/>
      <c r="VWQ23" s="19"/>
      <c r="VWR23" s="19"/>
      <c r="VWS23" s="19"/>
      <c r="VWT23" s="19"/>
      <c r="VWU23" s="19"/>
      <c r="VWV23" s="19"/>
      <c r="VWW23" s="19"/>
      <c r="VWX23" s="19"/>
      <c r="VWY23" s="19"/>
      <c r="VWZ23" s="19"/>
      <c r="VXA23" s="19"/>
      <c r="VXB23" s="19"/>
      <c r="VXC23" s="19"/>
      <c r="VXD23" s="19"/>
      <c r="VXE23" s="19"/>
      <c r="VXF23" s="19"/>
      <c r="VXG23" s="19"/>
      <c r="VXH23" s="19"/>
      <c r="VXI23" s="19"/>
      <c r="VXJ23" s="19"/>
      <c r="VXK23" s="19"/>
      <c r="VXL23" s="19"/>
      <c r="VXM23" s="19"/>
      <c r="VXN23" s="19"/>
      <c r="VXO23" s="19"/>
      <c r="VXP23" s="19"/>
      <c r="VXQ23" s="19"/>
      <c r="VXR23" s="19"/>
      <c r="VXS23" s="19"/>
      <c r="VXT23" s="19"/>
      <c r="VXU23" s="19"/>
      <c r="VXV23" s="19"/>
      <c r="VXW23" s="19"/>
      <c r="VXX23" s="19"/>
      <c r="VXY23" s="19"/>
      <c r="VXZ23" s="19"/>
      <c r="VYA23" s="19"/>
      <c r="VYB23" s="19"/>
      <c r="VYC23" s="19"/>
      <c r="VYD23" s="19"/>
      <c r="VYE23" s="19"/>
      <c r="VYF23" s="19"/>
      <c r="VYG23" s="19"/>
      <c r="VYH23" s="19"/>
      <c r="VYI23" s="19"/>
      <c r="VYJ23" s="19"/>
      <c r="VYK23" s="19"/>
      <c r="VYL23" s="19"/>
      <c r="VYM23" s="19"/>
      <c r="VYN23" s="19"/>
      <c r="VYO23" s="19"/>
      <c r="VYP23" s="19"/>
      <c r="VYQ23" s="19"/>
      <c r="VYR23" s="19"/>
      <c r="VYS23" s="19"/>
      <c r="VYT23" s="19"/>
      <c r="VYU23" s="19"/>
      <c r="VYV23" s="19"/>
      <c r="VYW23" s="19"/>
      <c r="VYX23" s="19"/>
      <c r="VYY23" s="19"/>
      <c r="VYZ23" s="19"/>
      <c r="VZA23" s="19"/>
      <c r="VZB23" s="19"/>
      <c r="VZC23" s="19"/>
      <c r="VZD23" s="19"/>
      <c r="VZE23" s="19"/>
      <c r="VZF23" s="19"/>
      <c r="VZG23" s="19"/>
      <c r="VZH23" s="19"/>
      <c r="VZI23" s="19"/>
      <c r="VZJ23" s="19"/>
      <c r="VZK23" s="19"/>
      <c r="VZL23" s="19"/>
      <c r="VZM23" s="19"/>
      <c r="VZN23" s="19"/>
      <c r="VZO23" s="19"/>
      <c r="VZP23" s="19"/>
      <c r="VZQ23" s="19"/>
      <c r="VZR23" s="19"/>
      <c r="VZS23" s="19"/>
      <c r="VZT23" s="19"/>
      <c r="VZU23" s="19"/>
      <c r="VZV23" s="19"/>
      <c r="VZW23" s="19"/>
      <c r="VZX23" s="19"/>
      <c r="VZY23" s="19"/>
      <c r="VZZ23" s="19"/>
      <c r="WAA23" s="19"/>
      <c r="WAB23" s="19"/>
      <c r="WAC23" s="19"/>
      <c r="WAD23" s="19"/>
      <c r="WAE23" s="19"/>
      <c r="WAF23" s="19"/>
      <c r="WAG23" s="19"/>
      <c r="WAH23" s="19"/>
      <c r="WAI23" s="19"/>
      <c r="WAJ23" s="19"/>
      <c r="WAK23" s="19"/>
      <c r="WAL23" s="19"/>
      <c r="WAM23" s="19"/>
      <c r="WAN23" s="19"/>
      <c r="WAO23" s="19"/>
      <c r="WAP23" s="19"/>
      <c r="WAQ23" s="19"/>
      <c r="WAR23" s="19"/>
      <c r="WAS23" s="19"/>
      <c r="WAT23" s="19"/>
      <c r="WAU23" s="19"/>
      <c r="WAV23" s="19"/>
      <c r="WAW23" s="19"/>
      <c r="WAX23" s="19"/>
      <c r="WAY23" s="19"/>
      <c r="WAZ23" s="19"/>
      <c r="WBA23" s="19"/>
      <c r="WBB23" s="19"/>
      <c r="WBC23" s="19"/>
      <c r="WBD23" s="19"/>
      <c r="WBE23" s="19"/>
      <c r="WBF23" s="19"/>
      <c r="WBG23" s="19"/>
      <c r="WBH23" s="19"/>
      <c r="WBI23" s="19"/>
      <c r="WBJ23" s="19"/>
      <c r="WBK23" s="19"/>
      <c r="WBL23" s="19"/>
      <c r="WBM23" s="19"/>
      <c r="WBN23" s="19"/>
      <c r="WBO23" s="19"/>
      <c r="WBP23" s="19"/>
      <c r="WBQ23" s="19"/>
      <c r="WBR23" s="19"/>
      <c r="WBS23" s="19"/>
      <c r="WBT23" s="19"/>
      <c r="WBU23" s="19"/>
      <c r="WBV23" s="19"/>
      <c r="WBW23" s="19"/>
      <c r="WBX23" s="19"/>
      <c r="WBY23" s="19"/>
      <c r="WBZ23" s="19"/>
      <c r="WCA23" s="19"/>
      <c r="WCB23" s="19"/>
      <c r="WCC23" s="19"/>
      <c r="WCD23" s="19"/>
      <c r="WCE23" s="19"/>
      <c r="WCF23" s="19"/>
      <c r="WCG23" s="19"/>
      <c r="WCH23" s="19"/>
      <c r="WCI23" s="19"/>
      <c r="WCJ23" s="19"/>
      <c r="WCK23" s="19"/>
      <c r="WCL23" s="19"/>
      <c r="WCM23" s="19"/>
      <c r="WCN23" s="19"/>
      <c r="WCO23" s="19"/>
      <c r="WCP23" s="19"/>
      <c r="WCQ23" s="19"/>
      <c r="WCR23" s="19"/>
      <c r="WCS23" s="19"/>
      <c r="WCT23" s="19"/>
      <c r="WCU23" s="19"/>
      <c r="WCV23" s="19"/>
      <c r="WCW23" s="19"/>
      <c r="WCX23" s="19"/>
      <c r="WCY23" s="19"/>
      <c r="WCZ23" s="19"/>
      <c r="WDA23" s="19"/>
      <c r="WDB23" s="19"/>
      <c r="WDC23" s="19"/>
      <c r="WDD23" s="19"/>
      <c r="WDE23" s="19"/>
      <c r="WDF23" s="19"/>
      <c r="WDG23" s="19"/>
      <c r="WDH23" s="19"/>
      <c r="WDI23" s="19"/>
      <c r="WDJ23" s="19"/>
      <c r="WDK23" s="19"/>
      <c r="WDL23" s="19"/>
      <c r="WDM23" s="19"/>
      <c r="WDN23" s="19"/>
      <c r="WDO23" s="19"/>
      <c r="WDP23" s="19"/>
      <c r="WDQ23" s="19"/>
      <c r="WDR23" s="19"/>
      <c r="WDS23" s="19"/>
      <c r="WDT23" s="19"/>
      <c r="WDU23" s="19"/>
      <c r="WDV23" s="19"/>
      <c r="WDW23" s="19"/>
      <c r="WDX23" s="19"/>
      <c r="WDY23" s="19"/>
      <c r="WDZ23" s="19"/>
      <c r="WEA23" s="19"/>
      <c r="WEB23" s="19"/>
      <c r="WEC23" s="19"/>
      <c r="WED23" s="19"/>
      <c r="WEE23" s="19"/>
      <c r="WEF23" s="19"/>
      <c r="WEG23" s="19"/>
      <c r="WEH23" s="19"/>
      <c r="WEI23" s="19"/>
      <c r="WEJ23" s="19"/>
      <c r="WEK23" s="19"/>
      <c r="WEL23" s="19"/>
      <c r="WEM23" s="19"/>
      <c r="WEN23" s="19"/>
      <c r="WEO23" s="19"/>
      <c r="WEP23" s="19"/>
      <c r="WEQ23" s="19"/>
      <c r="WER23" s="19"/>
      <c r="WES23" s="19"/>
      <c r="WET23" s="19"/>
      <c r="WEU23" s="19"/>
      <c r="WEV23" s="19"/>
      <c r="WEW23" s="19"/>
      <c r="WEX23" s="19"/>
      <c r="WEY23" s="19"/>
      <c r="WEZ23" s="19"/>
      <c r="WFA23" s="19"/>
      <c r="WFB23" s="19"/>
      <c r="WFC23" s="19"/>
      <c r="WFD23" s="19"/>
      <c r="WFE23" s="19"/>
      <c r="WFF23" s="19"/>
      <c r="WFG23" s="19"/>
      <c r="WFH23" s="19"/>
      <c r="WFI23" s="19"/>
      <c r="WFJ23" s="19"/>
      <c r="WFK23" s="19"/>
      <c r="WFL23" s="19"/>
      <c r="WFM23" s="19"/>
      <c r="WFN23" s="19"/>
      <c r="WFO23" s="19"/>
      <c r="WFP23" s="19"/>
      <c r="WFQ23" s="19"/>
      <c r="WFR23" s="19"/>
      <c r="WFS23" s="19"/>
      <c r="WFT23" s="19"/>
      <c r="WFU23" s="19"/>
      <c r="WFV23" s="19"/>
      <c r="WFW23" s="19"/>
      <c r="WFX23" s="19"/>
      <c r="WFY23" s="19"/>
      <c r="WFZ23" s="19"/>
      <c r="WGA23" s="19"/>
      <c r="WGB23" s="19"/>
      <c r="WGC23" s="19"/>
      <c r="WGD23" s="19"/>
      <c r="WGE23" s="19"/>
      <c r="WGF23" s="19"/>
      <c r="WGG23" s="19"/>
      <c r="WGH23" s="19"/>
      <c r="WGI23" s="19"/>
      <c r="WGJ23" s="19"/>
      <c r="WGK23" s="19"/>
      <c r="WGL23" s="19"/>
      <c r="WGM23" s="19"/>
      <c r="WGN23" s="19"/>
      <c r="WGO23" s="19"/>
      <c r="WGP23" s="19"/>
      <c r="WGQ23" s="19"/>
      <c r="WGR23" s="19"/>
      <c r="WGS23" s="19"/>
      <c r="WGT23" s="19"/>
      <c r="WGU23" s="19"/>
      <c r="WGV23" s="19"/>
      <c r="WGW23" s="19"/>
      <c r="WGX23" s="19"/>
      <c r="WGY23" s="19"/>
      <c r="WGZ23" s="19"/>
      <c r="WHA23" s="19"/>
      <c r="WHB23" s="19"/>
      <c r="WHC23" s="19"/>
      <c r="WHD23" s="19"/>
      <c r="WHE23" s="19"/>
      <c r="WHF23" s="19"/>
      <c r="WHG23" s="19"/>
      <c r="WHH23" s="19"/>
      <c r="WHI23" s="19"/>
      <c r="WHJ23" s="19"/>
      <c r="WHK23" s="19"/>
      <c r="WHL23" s="19"/>
      <c r="WHM23" s="19"/>
      <c r="WHN23" s="19"/>
      <c r="WHO23" s="19"/>
      <c r="WHP23" s="19"/>
      <c r="WHQ23" s="19"/>
      <c r="WHR23" s="19"/>
      <c r="WHS23" s="19"/>
      <c r="WHT23" s="19"/>
      <c r="WHU23" s="19"/>
      <c r="WHV23" s="19"/>
      <c r="WHW23" s="19"/>
      <c r="WHX23" s="19"/>
      <c r="WHY23" s="19"/>
      <c r="WHZ23" s="19"/>
      <c r="WIA23" s="19"/>
      <c r="WIB23" s="19"/>
      <c r="WIC23" s="19"/>
      <c r="WID23" s="19"/>
      <c r="WIE23" s="19"/>
      <c r="WIF23" s="19"/>
      <c r="WIG23" s="19"/>
      <c r="WIH23" s="19"/>
      <c r="WII23" s="19"/>
      <c r="WIJ23" s="19"/>
      <c r="WIK23" s="19"/>
      <c r="WIL23" s="19"/>
      <c r="WIM23" s="19"/>
      <c r="WIN23" s="19"/>
      <c r="WIO23" s="19"/>
      <c r="WIP23" s="19"/>
      <c r="WIQ23" s="19"/>
      <c r="WIR23" s="19"/>
      <c r="WIS23" s="19"/>
      <c r="WIT23" s="19"/>
      <c r="WIU23" s="19"/>
      <c r="WIV23" s="19"/>
      <c r="WIW23" s="19"/>
      <c r="WIX23" s="19"/>
      <c r="WIY23" s="19"/>
      <c r="WIZ23" s="19"/>
      <c r="WJA23" s="19"/>
      <c r="WJB23" s="19"/>
      <c r="WJC23" s="19"/>
      <c r="WJD23" s="19"/>
      <c r="WJE23" s="19"/>
      <c r="WJF23" s="19"/>
      <c r="WJG23" s="19"/>
      <c r="WJH23" s="19"/>
      <c r="WJI23" s="19"/>
      <c r="WJJ23" s="19"/>
      <c r="WJK23" s="19"/>
      <c r="WJL23" s="19"/>
      <c r="WJM23" s="19"/>
      <c r="WJN23" s="19"/>
      <c r="WJO23" s="19"/>
      <c r="WJP23" s="19"/>
      <c r="WJQ23" s="19"/>
      <c r="WJR23" s="19"/>
      <c r="WJS23" s="19"/>
      <c r="WJT23" s="19"/>
      <c r="WJU23" s="19"/>
      <c r="WJV23" s="19"/>
      <c r="WJW23" s="19"/>
      <c r="WJX23" s="19"/>
      <c r="WJY23" s="19"/>
      <c r="WJZ23" s="19"/>
      <c r="WKA23" s="19"/>
      <c r="WKB23" s="19"/>
      <c r="WKC23" s="19"/>
      <c r="WKD23" s="19"/>
      <c r="WKE23" s="19"/>
      <c r="WKF23" s="19"/>
      <c r="WKG23" s="19"/>
      <c r="WKH23" s="19"/>
      <c r="WKI23" s="19"/>
      <c r="WKJ23" s="19"/>
      <c r="WKK23" s="19"/>
      <c r="WKL23" s="19"/>
      <c r="WKM23" s="19"/>
      <c r="WKN23" s="19"/>
      <c r="WKO23" s="19"/>
      <c r="WKP23" s="19"/>
      <c r="WKQ23" s="19"/>
      <c r="WKR23" s="19"/>
      <c r="WKS23" s="19"/>
      <c r="WKT23" s="19"/>
      <c r="WKU23" s="19"/>
      <c r="WKV23" s="19"/>
      <c r="WKW23" s="19"/>
      <c r="WKX23" s="19"/>
      <c r="WKY23" s="19"/>
      <c r="WKZ23" s="19"/>
      <c r="WLA23" s="19"/>
      <c r="WLB23" s="19"/>
      <c r="WLC23" s="19"/>
      <c r="WLD23" s="19"/>
      <c r="WLE23" s="19"/>
      <c r="WLF23" s="19"/>
      <c r="WLG23" s="19"/>
      <c r="WLH23" s="19"/>
      <c r="WLI23" s="19"/>
      <c r="WLJ23" s="19"/>
      <c r="WLK23" s="19"/>
      <c r="WLL23" s="19"/>
      <c r="WLM23" s="19"/>
      <c r="WLN23" s="19"/>
      <c r="WLO23" s="19"/>
      <c r="WLP23" s="19"/>
      <c r="WLQ23" s="19"/>
      <c r="WLR23" s="19"/>
      <c r="WLS23" s="19"/>
      <c r="WLT23" s="19"/>
      <c r="WLU23" s="19"/>
      <c r="WLV23" s="19"/>
      <c r="WLW23" s="19"/>
      <c r="WLX23" s="19"/>
      <c r="WLY23" s="19"/>
      <c r="WLZ23" s="19"/>
      <c r="WMA23" s="19"/>
      <c r="WMB23" s="19"/>
      <c r="WMC23" s="19"/>
      <c r="WMD23" s="19"/>
      <c r="WME23" s="19"/>
      <c r="WMF23" s="19"/>
      <c r="WMG23" s="19"/>
      <c r="WMH23" s="19"/>
      <c r="WMI23" s="19"/>
      <c r="WMJ23" s="19"/>
      <c r="WMK23" s="19"/>
      <c r="WML23" s="19"/>
      <c r="WMM23" s="19"/>
      <c r="WMN23" s="19"/>
      <c r="WMO23" s="19"/>
      <c r="WMP23" s="19"/>
      <c r="WMQ23" s="19"/>
      <c r="WMR23" s="19"/>
      <c r="WMS23" s="19"/>
      <c r="WMT23" s="19"/>
      <c r="WMU23" s="19"/>
      <c r="WMV23" s="19"/>
      <c r="WMW23" s="19"/>
      <c r="WMX23" s="19"/>
      <c r="WMY23" s="19"/>
      <c r="WMZ23" s="19"/>
      <c r="WNA23" s="19"/>
      <c r="WNB23" s="19"/>
      <c r="WNC23" s="19"/>
      <c r="WND23" s="19"/>
      <c r="WNE23" s="19"/>
      <c r="WNF23" s="19"/>
      <c r="WNG23" s="19"/>
      <c r="WNH23" s="19"/>
      <c r="WNI23" s="19"/>
      <c r="WNJ23" s="19"/>
      <c r="WNK23" s="19"/>
      <c r="WNL23" s="19"/>
      <c r="WNM23" s="19"/>
      <c r="WNN23" s="19"/>
      <c r="WNO23" s="19"/>
      <c r="WNP23" s="19"/>
      <c r="WNQ23" s="19"/>
      <c r="WNR23" s="19"/>
      <c r="WNS23" s="19"/>
      <c r="WNT23" s="19"/>
      <c r="WNU23" s="19"/>
      <c r="WNV23" s="19"/>
      <c r="WNW23" s="19"/>
      <c r="WNX23" s="19"/>
      <c r="WNY23" s="19"/>
      <c r="WNZ23" s="19"/>
      <c r="WOA23" s="19"/>
      <c r="WOB23" s="19"/>
      <c r="WOC23" s="19"/>
      <c r="WOD23" s="19"/>
      <c r="WOE23" s="19"/>
      <c r="WOF23" s="19"/>
      <c r="WOG23" s="19"/>
      <c r="WOH23" s="19"/>
      <c r="WOI23" s="19"/>
      <c r="WOJ23" s="19"/>
      <c r="WOK23" s="19"/>
      <c r="WOL23" s="19"/>
      <c r="WOM23" s="19"/>
      <c r="WON23" s="19"/>
      <c r="WOO23" s="19"/>
      <c r="WOP23" s="19"/>
      <c r="WOQ23" s="19"/>
      <c r="WOR23" s="19"/>
      <c r="WOS23" s="19"/>
      <c r="WOT23" s="19"/>
      <c r="WOU23" s="19"/>
      <c r="WOV23" s="19"/>
      <c r="WOW23" s="19"/>
      <c r="WOX23" s="19"/>
      <c r="WOY23" s="19"/>
      <c r="WOZ23" s="19"/>
      <c r="WPA23" s="19"/>
      <c r="WPB23" s="19"/>
      <c r="WPC23" s="19"/>
      <c r="WPD23" s="19"/>
      <c r="WPE23" s="19"/>
      <c r="WPF23" s="19"/>
      <c r="WPG23" s="19"/>
      <c r="WPH23" s="19"/>
      <c r="WPI23" s="19"/>
      <c r="WPJ23" s="19"/>
      <c r="WPK23" s="19"/>
      <c r="WPL23" s="19"/>
      <c r="WPM23" s="19"/>
      <c r="WPN23" s="19"/>
      <c r="WPO23" s="19"/>
      <c r="WPP23" s="19"/>
      <c r="WPQ23" s="19"/>
      <c r="WPR23" s="19"/>
      <c r="WPS23" s="19"/>
      <c r="WPT23" s="19"/>
      <c r="WPU23" s="19"/>
      <c r="WPV23" s="19"/>
      <c r="WPW23" s="19"/>
      <c r="WPX23" s="19"/>
      <c r="WPY23" s="19"/>
      <c r="WPZ23" s="19"/>
      <c r="WQA23" s="19"/>
      <c r="WQB23" s="19"/>
      <c r="WQC23" s="19"/>
      <c r="WQD23" s="19"/>
      <c r="WQE23" s="19"/>
      <c r="WQF23" s="19"/>
      <c r="WQG23" s="19"/>
      <c r="WQH23" s="19"/>
      <c r="WQI23" s="19"/>
      <c r="WQJ23" s="19"/>
      <c r="WQK23" s="19"/>
      <c r="WQL23" s="19"/>
      <c r="WQM23" s="19"/>
      <c r="WQN23" s="19"/>
      <c r="WQO23" s="19"/>
      <c r="WQP23" s="19"/>
      <c r="WQQ23" s="19"/>
      <c r="WQR23" s="19"/>
      <c r="WQS23" s="19"/>
      <c r="WQT23" s="19"/>
      <c r="WQU23" s="19"/>
      <c r="WQV23" s="19"/>
      <c r="WQW23" s="19"/>
      <c r="WQX23" s="19"/>
      <c r="WQY23" s="19"/>
      <c r="WQZ23" s="19"/>
      <c r="WRA23" s="19"/>
      <c r="WRB23" s="19"/>
      <c r="WRC23" s="19"/>
      <c r="WRD23" s="19"/>
      <c r="WRE23" s="19"/>
      <c r="WRF23" s="19"/>
      <c r="WRG23" s="19"/>
      <c r="WRH23" s="19"/>
      <c r="WRI23" s="19"/>
      <c r="WRJ23" s="19"/>
      <c r="WRK23" s="19"/>
      <c r="WRL23" s="19"/>
      <c r="WRM23" s="19"/>
      <c r="WRN23" s="19"/>
      <c r="WRO23" s="19"/>
      <c r="WRP23" s="19"/>
      <c r="WRQ23" s="19"/>
      <c r="WRR23" s="19"/>
      <c r="WRS23" s="19"/>
      <c r="WRT23" s="19"/>
      <c r="WRU23" s="19"/>
      <c r="WRV23" s="19"/>
      <c r="WRW23" s="19"/>
      <c r="WRX23" s="19"/>
      <c r="WRY23" s="19"/>
      <c r="WRZ23" s="19"/>
      <c r="WSA23" s="19"/>
      <c r="WSB23" s="19"/>
      <c r="WSC23" s="19"/>
      <c r="WSD23" s="19"/>
      <c r="WSE23" s="19"/>
      <c r="WSF23" s="19"/>
      <c r="WSG23" s="19"/>
      <c r="WSH23" s="19"/>
      <c r="WSI23" s="19"/>
      <c r="WSJ23" s="19"/>
      <c r="WSK23" s="19"/>
      <c r="WSL23" s="19"/>
      <c r="WSM23" s="19"/>
      <c r="WSN23" s="19"/>
      <c r="WSO23" s="19"/>
      <c r="WSP23" s="19"/>
      <c r="WSQ23" s="19"/>
      <c r="WSR23" s="19"/>
      <c r="WSS23" s="19"/>
      <c r="WST23" s="19"/>
      <c r="WSU23" s="19"/>
      <c r="WSV23" s="19"/>
      <c r="WSW23" s="19"/>
      <c r="WSX23" s="19"/>
      <c r="WSY23" s="19"/>
      <c r="WSZ23" s="19"/>
      <c r="WTA23" s="19"/>
      <c r="WTB23" s="19"/>
      <c r="WTC23" s="19"/>
      <c r="WTD23" s="19"/>
      <c r="WTE23" s="19"/>
      <c r="WTF23" s="19"/>
      <c r="WTG23" s="19"/>
      <c r="WTH23" s="19"/>
      <c r="WTI23" s="19"/>
      <c r="WTJ23" s="19"/>
      <c r="WTK23" s="19"/>
      <c r="WTL23" s="19"/>
      <c r="WTM23" s="19"/>
      <c r="WTN23" s="19"/>
      <c r="WTO23" s="19"/>
      <c r="WTP23" s="19"/>
      <c r="WTQ23" s="19"/>
      <c r="WTR23" s="19"/>
      <c r="WTS23" s="19"/>
      <c r="WTT23" s="19"/>
      <c r="WTU23" s="19"/>
      <c r="WTV23" s="19"/>
      <c r="WTW23" s="19"/>
      <c r="WTX23" s="19"/>
      <c r="WTY23" s="19"/>
      <c r="WTZ23" s="19"/>
      <c r="WUA23" s="19"/>
      <c r="WUB23" s="19"/>
      <c r="WUC23" s="19"/>
      <c r="WUD23" s="19"/>
      <c r="WUE23" s="19"/>
      <c r="WUF23" s="19"/>
      <c r="WUG23" s="19"/>
      <c r="WUH23" s="19"/>
      <c r="WUI23" s="19"/>
      <c r="WUJ23" s="19"/>
      <c r="WUK23" s="19"/>
      <c r="WUL23" s="19"/>
      <c r="WUM23" s="19"/>
      <c r="WUN23" s="19"/>
      <c r="WUO23" s="19"/>
      <c r="WUP23" s="19"/>
      <c r="WUQ23" s="19"/>
      <c r="WUR23" s="19"/>
      <c r="WUS23" s="19"/>
      <c r="WUT23" s="19"/>
      <c r="WUU23" s="19"/>
      <c r="WUV23" s="19"/>
      <c r="WUW23" s="19"/>
      <c r="WUX23" s="19"/>
      <c r="WUY23" s="19"/>
      <c r="WUZ23" s="19"/>
      <c r="WVA23" s="19"/>
      <c r="WVB23" s="19"/>
      <c r="WVC23" s="19"/>
      <c r="WVD23" s="19"/>
      <c r="WVE23" s="19"/>
      <c r="WVF23" s="19"/>
      <c r="WVG23" s="19"/>
      <c r="WVH23" s="19"/>
      <c r="WVI23" s="19"/>
      <c r="WVJ23" s="19"/>
      <c r="WVK23" s="19"/>
      <c r="WVL23" s="19"/>
      <c r="WVM23" s="19"/>
      <c r="WVN23" s="19"/>
      <c r="WVO23" s="19"/>
      <c r="WVP23" s="19"/>
      <c r="WVQ23" s="19"/>
      <c r="WVR23" s="19"/>
      <c r="WVS23" s="19"/>
      <c r="WVT23" s="19"/>
      <c r="WVU23" s="19"/>
      <c r="WVV23" s="19"/>
      <c r="WVW23" s="19"/>
      <c r="WVX23" s="19"/>
      <c r="WVY23" s="19"/>
      <c r="WVZ23" s="19"/>
      <c r="WWA23" s="19"/>
      <c r="WWB23" s="19"/>
      <c r="WWC23" s="19"/>
      <c r="WWD23" s="19"/>
      <c r="WWE23" s="19"/>
      <c r="WWF23" s="19"/>
      <c r="WWG23" s="19"/>
      <c r="WWH23" s="19"/>
      <c r="WWI23" s="19"/>
      <c r="WWJ23" s="19"/>
      <c r="WWK23" s="19"/>
      <c r="WWL23" s="19"/>
      <c r="WWM23" s="19"/>
      <c r="WWN23" s="19"/>
      <c r="WWO23" s="19"/>
      <c r="WWP23" s="19"/>
      <c r="WWQ23" s="19"/>
      <c r="WWR23" s="19"/>
      <c r="WWS23" s="19"/>
      <c r="WWT23" s="19"/>
      <c r="WWU23" s="19"/>
      <c r="WWV23" s="19"/>
      <c r="WWW23" s="19"/>
      <c r="WWX23" s="19"/>
      <c r="WWY23" s="19"/>
      <c r="WWZ23" s="19"/>
      <c r="WXA23" s="19"/>
      <c r="WXB23" s="19"/>
      <c r="WXC23" s="19"/>
      <c r="WXD23" s="19"/>
      <c r="WXE23" s="19"/>
      <c r="WXF23" s="19"/>
      <c r="WXG23" s="19"/>
      <c r="WXH23" s="19"/>
      <c r="WXI23" s="19"/>
      <c r="WXJ23" s="19"/>
      <c r="WXK23" s="19"/>
      <c r="WXL23" s="19"/>
      <c r="WXM23" s="19"/>
      <c r="WXN23" s="19"/>
      <c r="WXO23" s="19"/>
      <c r="WXP23" s="19"/>
      <c r="WXQ23" s="19"/>
      <c r="WXR23" s="19"/>
      <c r="WXS23" s="19"/>
      <c r="WXT23" s="19"/>
      <c r="WXU23" s="19"/>
      <c r="WXV23" s="19"/>
      <c r="WXW23" s="19"/>
      <c r="WXX23" s="19"/>
      <c r="WXY23" s="19"/>
      <c r="WXZ23" s="19"/>
      <c r="WYA23" s="19"/>
      <c r="WYB23" s="19"/>
      <c r="WYC23" s="19"/>
      <c r="WYD23" s="19"/>
      <c r="WYE23" s="19"/>
      <c r="WYF23" s="19"/>
      <c r="WYG23" s="19"/>
      <c r="WYH23" s="19"/>
      <c r="WYI23" s="19"/>
      <c r="WYJ23" s="19"/>
      <c r="WYK23" s="19"/>
      <c r="WYL23" s="19"/>
      <c r="WYM23" s="19"/>
      <c r="WYN23" s="19"/>
      <c r="WYO23" s="19"/>
      <c r="WYP23" s="19"/>
      <c r="WYQ23" s="19"/>
      <c r="WYR23" s="19"/>
      <c r="WYS23" s="19"/>
      <c r="WYT23" s="19"/>
      <c r="WYU23" s="19"/>
      <c r="WYV23" s="19"/>
      <c r="WYW23" s="19"/>
      <c r="WYX23" s="19"/>
      <c r="WYY23" s="19"/>
      <c r="WYZ23" s="19"/>
      <c r="WZA23" s="19"/>
      <c r="WZB23" s="19"/>
      <c r="WZC23" s="19"/>
      <c r="WZD23" s="19"/>
      <c r="WZE23" s="19"/>
      <c r="WZF23" s="19"/>
      <c r="WZG23" s="19"/>
      <c r="WZH23" s="19"/>
      <c r="WZI23" s="19"/>
      <c r="WZJ23" s="19"/>
      <c r="WZK23" s="19"/>
      <c r="WZL23" s="19"/>
      <c r="WZM23" s="19"/>
      <c r="WZN23" s="19"/>
      <c r="WZO23" s="19"/>
      <c r="WZP23" s="19"/>
      <c r="WZQ23" s="19"/>
      <c r="WZR23" s="19"/>
      <c r="WZS23" s="19"/>
      <c r="WZT23" s="19"/>
      <c r="WZU23" s="19"/>
      <c r="WZV23" s="19"/>
      <c r="WZW23" s="19"/>
      <c r="WZX23" s="19"/>
      <c r="WZY23" s="19"/>
      <c r="WZZ23" s="19"/>
      <c r="XAA23" s="19"/>
      <c r="XAB23" s="19"/>
      <c r="XAC23" s="19"/>
      <c r="XAD23" s="19"/>
      <c r="XAE23" s="19"/>
      <c r="XAF23" s="19"/>
      <c r="XAG23" s="19"/>
      <c r="XAH23" s="19"/>
      <c r="XAI23" s="19"/>
      <c r="XAJ23" s="19"/>
      <c r="XAK23" s="19"/>
      <c r="XAL23" s="19"/>
      <c r="XAM23" s="19"/>
      <c r="XAN23" s="19"/>
      <c r="XAO23" s="19"/>
      <c r="XAP23" s="19"/>
      <c r="XAQ23" s="19"/>
      <c r="XAR23" s="19"/>
      <c r="XAS23" s="19"/>
      <c r="XAT23" s="19"/>
      <c r="XAU23" s="19"/>
      <c r="XAV23" s="19"/>
      <c r="XAW23" s="19"/>
      <c r="XAX23" s="19"/>
      <c r="XAY23" s="19"/>
      <c r="XAZ23" s="19"/>
      <c r="XBA23" s="19"/>
      <c r="XBB23" s="19"/>
      <c r="XBC23" s="19"/>
      <c r="XBD23" s="19"/>
      <c r="XBE23" s="19"/>
      <c r="XBF23" s="19"/>
      <c r="XBG23" s="19"/>
      <c r="XBH23" s="19"/>
      <c r="XBI23" s="19"/>
      <c r="XBJ23" s="19"/>
      <c r="XBK23" s="19"/>
      <c r="XBL23" s="19"/>
      <c r="XBM23" s="19"/>
      <c r="XBN23" s="19"/>
      <c r="XBO23" s="19"/>
      <c r="XBP23" s="19"/>
      <c r="XBQ23" s="19"/>
      <c r="XBR23" s="19"/>
      <c r="XBS23" s="19"/>
      <c r="XBT23" s="19"/>
      <c r="XBU23" s="19"/>
      <c r="XBV23" s="19"/>
      <c r="XBW23" s="19"/>
      <c r="XBX23" s="19"/>
      <c r="XBY23" s="19"/>
      <c r="XBZ23" s="19"/>
      <c r="XCA23" s="19"/>
      <c r="XCB23" s="19"/>
      <c r="XCC23" s="19"/>
      <c r="XCD23" s="19"/>
      <c r="XCE23" s="19"/>
      <c r="XCF23" s="19"/>
      <c r="XCG23" s="19"/>
      <c r="XCH23" s="19"/>
      <c r="XCI23" s="19"/>
      <c r="XCJ23" s="19"/>
      <c r="XCK23" s="19"/>
      <c r="XCL23" s="19"/>
      <c r="XCM23" s="19"/>
      <c r="XCN23" s="19"/>
      <c r="XCO23" s="19"/>
      <c r="XCP23" s="19"/>
      <c r="XCQ23" s="19"/>
      <c r="XCR23" s="19"/>
      <c r="XCS23" s="19"/>
      <c r="XCT23" s="19"/>
      <c r="XCU23" s="19"/>
      <c r="XCV23" s="19"/>
      <c r="XCW23" s="19"/>
      <c r="XCX23" s="19"/>
      <c r="XCY23" s="19"/>
      <c r="XCZ23" s="19"/>
      <c r="XDA23" s="19"/>
      <c r="XDB23" s="19"/>
      <c r="XDC23" s="19"/>
      <c r="XDD23" s="19"/>
      <c r="XDE23" s="19"/>
      <c r="XDF23" s="19"/>
      <c r="XDG23" s="19"/>
      <c r="XDH23" s="19"/>
      <c r="XDI23" s="19"/>
      <c r="XDJ23" s="19"/>
      <c r="XDK23" s="19"/>
      <c r="XDL23" s="19"/>
      <c r="XDM23" s="19"/>
      <c r="XDN23" s="19"/>
      <c r="XDO23" s="19"/>
      <c r="XDP23" s="19"/>
      <c r="XDQ23" s="19"/>
      <c r="XDR23" s="19"/>
      <c r="XDS23" s="19"/>
      <c r="XDT23" s="19"/>
      <c r="XDU23" s="19"/>
      <c r="XDV23" s="19"/>
      <c r="XDW23" s="19"/>
      <c r="XDX23" s="19"/>
      <c r="XDY23" s="19"/>
      <c r="XDZ23" s="19"/>
      <c r="XEA23" s="19"/>
      <c r="XEB23" s="19"/>
      <c r="XEC23" s="19"/>
      <c r="XED23" s="19"/>
      <c r="XEE23" s="19"/>
      <c r="XEF23" s="19"/>
      <c r="XEG23" s="19"/>
      <c r="XEH23" s="19"/>
      <c r="XEI23" s="19"/>
      <c r="XEJ23" s="19"/>
      <c r="XEK23" s="19"/>
      <c r="XEL23" s="19"/>
      <c r="XEM23" s="19"/>
      <c r="XEN23" s="19"/>
      <c r="XEO23" s="19"/>
      <c r="XEP23" s="19"/>
      <c r="XEQ23" s="19"/>
      <c r="XER23" s="19"/>
      <c r="XES23" s="19"/>
      <c r="XET23" s="19"/>
      <c r="XEU23" s="19"/>
      <c r="XEV23" s="19"/>
      <c r="XEW23" s="19"/>
      <c r="XEX23" s="19"/>
      <c r="XEY23" s="19"/>
      <c r="XEZ23" s="19"/>
      <c r="XFA23" s="19"/>
      <c r="XFB23" s="19"/>
    </row>
    <row r="24" spans="1:16382" s="18" customFormat="1" ht="15" customHeight="1" x14ac:dyDescent="0.25"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  <c r="AAB24" s="19"/>
      <c r="AAC24" s="19"/>
      <c r="AAD24" s="19"/>
      <c r="AAE24" s="19"/>
      <c r="AAF24" s="19"/>
      <c r="AAG24" s="19"/>
      <c r="AAH24" s="19"/>
      <c r="AAI24" s="19"/>
      <c r="AAJ24" s="19"/>
      <c r="AAK24" s="19"/>
      <c r="AAL24" s="19"/>
      <c r="AAM24" s="19"/>
      <c r="AAN24" s="19"/>
      <c r="AAO24" s="19"/>
      <c r="AAP24" s="19"/>
      <c r="AAQ24" s="19"/>
      <c r="AAR24" s="19"/>
      <c r="AAS24" s="19"/>
      <c r="AAT24" s="19"/>
      <c r="AAU24" s="19"/>
      <c r="AAV24" s="19"/>
      <c r="AAW24" s="19"/>
      <c r="AAX24" s="19"/>
      <c r="AAY24" s="19"/>
      <c r="AAZ24" s="19"/>
      <c r="ABA24" s="19"/>
      <c r="ABB24" s="19"/>
      <c r="ABC24" s="19"/>
      <c r="ABD24" s="19"/>
      <c r="ABE24" s="19"/>
      <c r="ABF24" s="19"/>
      <c r="ABG24" s="19"/>
      <c r="ABH24" s="19"/>
      <c r="ABI24" s="19"/>
      <c r="ABJ24" s="19"/>
      <c r="ABK24" s="19"/>
      <c r="ABL24" s="19"/>
      <c r="ABM24" s="19"/>
      <c r="ABN24" s="19"/>
      <c r="ABO24" s="19"/>
      <c r="ABP24" s="19"/>
      <c r="ABQ24" s="19"/>
      <c r="ABR24" s="19"/>
      <c r="ABS24" s="19"/>
      <c r="ABT24" s="19"/>
      <c r="ABU24" s="19"/>
      <c r="ABV24" s="19"/>
      <c r="ABW24" s="19"/>
      <c r="ABX24" s="19"/>
      <c r="ABY24" s="19"/>
      <c r="ABZ24" s="19"/>
      <c r="ACA24" s="19"/>
      <c r="ACB24" s="19"/>
      <c r="ACC24" s="19"/>
      <c r="ACD24" s="19"/>
      <c r="ACE24" s="19"/>
      <c r="ACF24" s="19"/>
      <c r="ACG24" s="19"/>
      <c r="ACH24" s="19"/>
      <c r="ACI24" s="19"/>
      <c r="ACJ24" s="19"/>
      <c r="ACK24" s="19"/>
      <c r="ACL24" s="19"/>
      <c r="ACM24" s="19"/>
      <c r="ACN24" s="19"/>
      <c r="ACO24" s="19"/>
      <c r="ACP24" s="19"/>
      <c r="ACQ24" s="19"/>
      <c r="ACR24" s="19"/>
      <c r="ACS24" s="19"/>
      <c r="ACT24" s="19"/>
      <c r="ACU24" s="19"/>
      <c r="ACV24" s="19"/>
      <c r="ACW24" s="19"/>
      <c r="ACX24" s="19"/>
      <c r="ACY24" s="19"/>
      <c r="ACZ24" s="19"/>
      <c r="ADA24" s="19"/>
      <c r="ADB24" s="19"/>
      <c r="ADC24" s="19"/>
      <c r="ADD24" s="19"/>
      <c r="ADE24" s="19"/>
      <c r="ADF24" s="19"/>
      <c r="ADG24" s="19"/>
      <c r="ADH24" s="19"/>
      <c r="ADI24" s="19"/>
      <c r="ADJ24" s="19"/>
      <c r="ADK24" s="19"/>
      <c r="ADL24" s="19"/>
      <c r="ADM24" s="19"/>
      <c r="ADN24" s="19"/>
      <c r="ADO24" s="19"/>
      <c r="ADP24" s="19"/>
      <c r="ADQ24" s="19"/>
      <c r="ADR24" s="19"/>
      <c r="ADS24" s="19"/>
      <c r="ADT24" s="19"/>
      <c r="ADU24" s="19"/>
      <c r="ADV24" s="19"/>
      <c r="ADW24" s="19"/>
      <c r="ADX24" s="19"/>
      <c r="ADY24" s="19"/>
      <c r="ADZ24" s="19"/>
      <c r="AEA24" s="19"/>
      <c r="AEB24" s="19"/>
      <c r="AEC24" s="19"/>
      <c r="AED24" s="19"/>
      <c r="AEE24" s="19"/>
      <c r="AEF24" s="19"/>
      <c r="AEG24" s="19"/>
      <c r="AEH24" s="19"/>
      <c r="AEI24" s="19"/>
      <c r="AEJ24" s="19"/>
      <c r="AEK24" s="19"/>
      <c r="AEL24" s="19"/>
      <c r="AEM24" s="19"/>
      <c r="AEN24" s="19"/>
      <c r="AEO24" s="19"/>
      <c r="AEP24" s="19"/>
      <c r="AEQ24" s="19"/>
      <c r="AER24" s="19"/>
      <c r="AES24" s="19"/>
      <c r="AET24" s="19"/>
      <c r="AEU24" s="19"/>
      <c r="AEV24" s="19"/>
      <c r="AEW24" s="19"/>
      <c r="AEX24" s="19"/>
      <c r="AEY24" s="19"/>
      <c r="AEZ24" s="19"/>
      <c r="AFA24" s="19"/>
      <c r="AFB24" s="19"/>
      <c r="AFC24" s="19"/>
      <c r="AFD24" s="19"/>
      <c r="AFE24" s="19"/>
      <c r="AFF24" s="19"/>
      <c r="AFG24" s="19"/>
      <c r="AFH24" s="19"/>
      <c r="AFI24" s="19"/>
      <c r="AFJ24" s="19"/>
      <c r="AFK24" s="19"/>
      <c r="AFL24" s="19"/>
      <c r="AFM24" s="19"/>
      <c r="AFN24" s="19"/>
      <c r="AFO24" s="19"/>
      <c r="AFP24" s="19"/>
      <c r="AFQ24" s="19"/>
      <c r="AFR24" s="19"/>
      <c r="AFS24" s="19"/>
      <c r="AFT24" s="19"/>
      <c r="AFU24" s="19"/>
      <c r="AFV24" s="19"/>
      <c r="AFW24" s="19"/>
      <c r="AFX24" s="19"/>
      <c r="AFY24" s="19"/>
      <c r="AFZ24" s="19"/>
      <c r="AGA24" s="19"/>
      <c r="AGB24" s="19"/>
      <c r="AGC24" s="19"/>
      <c r="AGD24" s="19"/>
      <c r="AGE24" s="19"/>
      <c r="AGF24" s="19"/>
      <c r="AGG24" s="19"/>
      <c r="AGH24" s="19"/>
      <c r="AGI24" s="19"/>
      <c r="AGJ24" s="19"/>
      <c r="AGK24" s="19"/>
      <c r="AGL24" s="19"/>
      <c r="AGM24" s="19"/>
      <c r="AGN24" s="19"/>
      <c r="AGO24" s="19"/>
      <c r="AGP24" s="19"/>
      <c r="AGQ24" s="19"/>
      <c r="AGR24" s="19"/>
      <c r="AGS24" s="19"/>
      <c r="AGT24" s="19"/>
      <c r="AGU24" s="19"/>
      <c r="AGV24" s="19"/>
      <c r="AGW24" s="19"/>
      <c r="AGX24" s="19"/>
      <c r="AGY24" s="19"/>
      <c r="AGZ24" s="19"/>
      <c r="AHA24" s="19"/>
      <c r="AHB24" s="19"/>
      <c r="AHC24" s="19"/>
      <c r="AHD24" s="19"/>
      <c r="AHE24" s="19"/>
      <c r="AHF24" s="19"/>
      <c r="AHG24" s="19"/>
      <c r="AHH24" s="19"/>
      <c r="AHI24" s="19"/>
      <c r="AHJ24" s="19"/>
      <c r="AHK24" s="19"/>
      <c r="AHL24" s="19"/>
      <c r="AHM24" s="19"/>
      <c r="AHN24" s="19"/>
      <c r="AHO24" s="19"/>
      <c r="AHP24" s="19"/>
      <c r="AHQ24" s="19"/>
      <c r="AHR24" s="19"/>
      <c r="AHS24" s="19"/>
      <c r="AHT24" s="19"/>
      <c r="AHU24" s="19"/>
      <c r="AHV24" s="19"/>
      <c r="AHW24" s="19"/>
      <c r="AHX24" s="19"/>
      <c r="AHY24" s="19"/>
      <c r="AHZ24" s="19"/>
      <c r="AIA24" s="19"/>
      <c r="AIB24" s="19"/>
      <c r="AIC24" s="19"/>
      <c r="AID24" s="19"/>
      <c r="AIE24" s="19"/>
      <c r="AIF24" s="19"/>
      <c r="AIG24" s="19"/>
      <c r="AIH24" s="19"/>
      <c r="AII24" s="19"/>
      <c r="AIJ24" s="19"/>
      <c r="AIK24" s="19"/>
      <c r="AIL24" s="19"/>
      <c r="AIM24" s="19"/>
      <c r="AIN24" s="19"/>
      <c r="AIO24" s="19"/>
      <c r="AIP24" s="19"/>
      <c r="AIQ24" s="19"/>
      <c r="AIR24" s="19"/>
      <c r="AIS24" s="19"/>
      <c r="AIT24" s="19"/>
      <c r="AIU24" s="19"/>
      <c r="AIV24" s="19"/>
      <c r="AIW24" s="19"/>
      <c r="AIX24" s="19"/>
      <c r="AIY24" s="19"/>
      <c r="AIZ24" s="19"/>
      <c r="AJA24" s="19"/>
      <c r="AJB24" s="19"/>
      <c r="AJC24" s="19"/>
      <c r="AJD24" s="19"/>
      <c r="AJE24" s="19"/>
      <c r="AJF24" s="19"/>
      <c r="AJG24" s="19"/>
      <c r="AJH24" s="19"/>
      <c r="AJI24" s="19"/>
      <c r="AJJ24" s="19"/>
      <c r="AJK24" s="19"/>
      <c r="AJL24" s="19"/>
      <c r="AJM24" s="19"/>
      <c r="AJN24" s="19"/>
      <c r="AJO24" s="19"/>
      <c r="AJP24" s="19"/>
      <c r="AJQ24" s="19"/>
      <c r="AJR24" s="19"/>
      <c r="AJS24" s="19"/>
      <c r="AJT24" s="19"/>
      <c r="AJU24" s="19"/>
      <c r="AJV24" s="19"/>
      <c r="AJW24" s="19"/>
      <c r="AJX24" s="19"/>
      <c r="AJY24" s="19"/>
      <c r="AJZ24" s="19"/>
      <c r="AKA24" s="19"/>
      <c r="AKB24" s="19"/>
      <c r="AKC24" s="19"/>
      <c r="AKD24" s="19"/>
      <c r="AKE24" s="19"/>
      <c r="AKF24" s="19"/>
      <c r="AKG24" s="19"/>
      <c r="AKH24" s="19"/>
      <c r="AKI24" s="19"/>
      <c r="AKJ24" s="19"/>
      <c r="AKK24" s="19"/>
      <c r="AKL24" s="19"/>
      <c r="AKM24" s="19"/>
      <c r="AKN24" s="19"/>
      <c r="AKO24" s="19"/>
      <c r="AKP24" s="19"/>
      <c r="AKQ24" s="19"/>
      <c r="AKR24" s="19"/>
      <c r="AKS24" s="19"/>
      <c r="AKT24" s="19"/>
      <c r="AKU24" s="19"/>
      <c r="AKV24" s="19"/>
      <c r="AKW24" s="19"/>
      <c r="AKX24" s="19"/>
      <c r="AKY24" s="19"/>
      <c r="AKZ24" s="19"/>
      <c r="ALA24" s="19"/>
      <c r="ALB24" s="19"/>
      <c r="ALC24" s="19"/>
      <c r="ALD24" s="19"/>
      <c r="ALE24" s="19"/>
      <c r="ALF24" s="19"/>
      <c r="ALG24" s="19"/>
      <c r="ALH24" s="19"/>
      <c r="ALI24" s="19"/>
      <c r="ALJ24" s="19"/>
      <c r="ALK24" s="19"/>
      <c r="ALL24" s="19"/>
      <c r="ALM24" s="19"/>
      <c r="ALN24" s="19"/>
      <c r="ALO24" s="19"/>
      <c r="ALP24" s="19"/>
      <c r="ALQ24" s="19"/>
      <c r="ALR24" s="19"/>
      <c r="ALS24" s="19"/>
      <c r="ALT24" s="19"/>
      <c r="ALU24" s="19"/>
      <c r="ALV24" s="19"/>
      <c r="ALW24" s="19"/>
      <c r="ALX24" s="19"/>
      <c r="ALY24" s="19"/>
      <c r="ALZ24" s="19"/>
      <c r="AMA24" s="19"/>
      <c r="AMB24" s="19"/>
      <c r="AMC24" s="19"/>
      <c r="AMD24" s="19"/>
      <c r="AME24" s="19"/>
      <c r="AMF24" s="19"/>
      <c r="AMG24" s="19"/>
      <c r="AMH24" s="19"/>
      <c r="AMI24" s="19"/>
      <c r="AMJ24" s="19"/>
      <c r="AMK24" s="19"/>
      <c r="AML24" s="19"/>
      <c r="AMM24" s="19"/>
      <c r="AMN24" s="19"/>
      <c r="AMO24" s="19"/>
      <c r="AMP24" s="19"/>
      <c r="AMQ24" s="19"/>
      <c r="AMR24" s="19"/>
      <c r="AMS24" s="19"/>
      <c r="AMT24" s="19"/>
      <c r="AMU24" s="19"/>
      <c r="AMV24" s="19"/>
      <c r="AMW24" s="19"/>
      <c r="AMX24" s="19"/>
      <c r="AMY24" s="19"/>
      <c r="AMZ24" s="19"/>
      <c r="ANA24" s="19"/>
      <c r="ANB24" s="19"/>
      <c r="ANC24" s="19"/>
      <c r="AND24" s="19"/>
      <c r="ANE24" s="19"/>
      <c r="ANF24" s="19"/>
      <c r="ANG24" s="19"/>
      <c r="ANH24" s="19"/>
      <c r="ANI24" s="19"/>
      <c r="ANJ24" s="19"/>
      <c r="ANK24" s="19"/>
      <c r="ANL24" s="19"/>
      <c r="ANM24" s="19"/>
      <c r="ANN24" s="19"/>
      <c r="ANO24" s="19"/>
      <c r="ANP24" s="19"/>
      <c r="ANQ24" s="19"/>
      <c r="ANR24" s="19"/>
      <c r="ANS24" s="19"/>
      <c r="ANT24" s="19"/>
      <c r="ANU24" s="19"/>
      <c r="ANV24" s="19"/>
      <c r="ANW24" s="19"/>
      <c r="ANX24" s="19"/>
      <c r="ANY24" s="19"/>
      <c r="ANZ24" s="19"/>
      <c r="AOA24" s="19"/>
      <c r="AOB24" s="19"/>
      <c r="AOC24" s="19"/>
      <c r="AOD24" s="19"/>
      <c r="AOE24" s="19"/>
      <c r="AOF24" s="19"/>
      <c r="AOG24" s="19"/>
      <c r="AOH24" s="19"/>
      <c r="AOI24" s="19"/>
      <c r="AOJ24" s="19"/>
      <c r="AOK24" s="19"/>
      <c r="AOL24" s="19"/>
      <c r="AOM24" s="19"/>
      <c r="AON24" s="19"/>
      <c r="AOO24" s="19"/>
      <c r="AOP24" s="19"/>
      <c r="AOQ24" s="19"/>
      <c r="AOR24" s="19"/>
      <c r="AOS24" s="19"/>
      <c r="AOT24" s="19"/>
      <c r="AOU24" s="19"/>
      <c r="AOV24" s="19"/>
      <c r="AOW24" s="19"/>
      <c r="AOX24" s="19"/>
      <c r="AOY24" s="19"/>
      <c r="AOZ24" s="19"/>
      <c r="APA24" s="19"/>
      <c r="APB24" s="19"/>
      <c r="APC24" s="19"/>
      <c r="APD24" s="19"/>
      <c r="APE24" s="19"/>
      <c r="APF24" s="19"/>
      <c r="APG24" s="19"/>
      <c r="APH24" s="19"/>
      <c r="API24" s="19"/>
      <c r="APJ24" s="19"/>
      <c r="APK24" s="19"/>
      <c r="APL24" s="19"/>
      <c r="APM24" s="19"/>
      <c r="APN24" s="19"/>
      <c r="APO24" s="19"/>
      <c r="APP24" s="19"/>
      <c r="APQ24" s="19"/>
      <c r="APR24" s="19"/>
      <c r="APS24" s="19"/>
      <c r="APT24" s="19"/>
      <c r="APU24" s="19"/>
      <c r="APV24" s="19"/>
      <c r="APW24" s="19"/>
      <c r="APX24" s="19"/>
      <c r="APY24" s="19"/>
      <c r="APZ24" s="19"/>
      <c r="AQA24" s="19"/>
      <c r="AQB24" s="19"/>
      <c r="AQC24" s="19"/>
      <c r="AQD24" s="19"/>
      <c r="AQE24" s="19"/>
      <c r="AQF24" s="19"/>
      <c r="AQG24" s="19"/>
      <c r="AQH24" s="19"/>
      <c r="AQI24" s="19"/>
      <c r="AQJ24" s="19"/>
      <c r="AQK24" s="19"/>
      <c r="AQL24" s="19"/>
      <c r="AQM24" s="19"/>
      <c r="AQN24" s="19"/>
      <c r="AQO24" s="19"/>
      <c r="AQP24" s="19"/>
      <c r="AQQ24" s="19"/>
      <c r="AQR24" s="19"/>
      <c r="AQS24" s="19"/>
      <c r="AQT24" s="19"/>
      <c r="AQU24" s="19"/>
      <c r="AQV24" s="19"/>
      <c r="AQW24" s="19"/>
      <c r="AQX24" s="19"/>
      <c r="AQY24" s="19"/>
      <c r="AQZ24" s="19"/>
      <c r="ARA24" s="19"/>
      <c r="ARB24" s="19"/>
      <c r="ARC24" s="19"/>
      <c r="ARD24" s="19"/>
      <c r="ARE24" s="19"/>
      <c r="ARF24" s="19"/>
      <c r="ARG24" s="19"/>
      <c r="ARH24" s="19"/>
      <c r="ARI24" s="19"/>
      <c r="ARJ24" s="19"/>
      <c r="ARK24" s="19"/>
      <c r="ARL24" s="19"/>
      <c r="ARM24" s="19"/>
      <c r="ARN24" s="19"/>
      <c r="ARO24" s="19"/>
      <c r="ARP24" s="19"/>
      <c r="ARQ24" s="19"/>
      <c r="ARR24" s="19"/>
      <c r="ARS24" s="19"/>
      <c r="ART24" s="19"/>
      <c r="ARU24" s="19"/>
      <c r="ARV24" s="19"/>
      <c r="ARW24" s="19"/>
      <c r="ARX24" s="19"/>
      <c r="ARY24" s="19"/>
      <c r="ARZ24" s="19"/>
      <c r="ASA24" s="19"/>
      <c r="ASB24" s="19"/>
      <c r="ASC24" s="19"/>
      <c r="ASD24" s="19"/>
      <c r="ASE24" s="19"/>
      <c r="ASF24" s="19"/>
      <c r="ASG24" s="19"/>
      <c r="ASH24" s="19"/>
      <c r="ASI24" s="19"/>
      <c r="ASJ24" s="19"/>
      <c r="ASK24" s="19"/>
      <c r="ASL24" s="19"/>
      <c r="ASM24" s="19"/>
      <c r="ASN24" s="19"/>
      <c r="ASO24" s="19"/>
      <c r="ASP24" s="19"/>
      <c r="ASQ24" s="19"/>
      <c r="ASR24" s="19"/>
      <c r="ASS24" s="19"/>
      <c r="AST24" s="19"/>
      <c r="ASU24" s="19"/>
      <c r="ASV24" s="19"/>
      <c r="ASW24" s="19"/>
      <c r="ASX24" s="19"/>
      <c r="ASY24" s="19"/>
      <c r="ASZ24" s="19"/>
      <c r="ATA24" s="19"/>
      <c r="ATB24" s="19"/>
      <c r="ATC24" s="19"/>
      <c r="ATD24" s="19"/>
      <c r="ATE24" s="19"/>
      <c r="ATF24" s="19"/>
      <c r="ATG24" s="19"/>
      <c r="ATH24" s="19"/>
      <c r="ATI24" s="19"/>
      <c r="ATJ24" s="19"/>
      <c r="ATK24" s="19"/>
      <c r="ATL24" s="19"/>
      <c r="ATM24" s="19"/>
      <c r="ATN24" s="19"/>
      <c r="ATO24" s="19"/>
      <c r="ATP24" s="19"/>
      <c r="ATQ24" s="19"/>
      <c r="ATR24" s="19"/>
      <c r="ATS24" s="19"/>
      <c r="ATT24" s="19"/>
      <c r="ATU24" s="19"/>
      <c r="ATV24" s="19"/>
      <c r="ATW24" s="19"/>
      <c r="ATX24" s="19"/>
      <c r="ATY24" s="19"/>
      <c r="ATZ24" s="19"/>
      <c r="AUA24" s="19"/>
      <c r="AUB24" s="19"/>
      <c r="AUC24" s="19"/>
      <c r="AUD24" s="19"/>
      <c r="AUE24" s="19"/>
      <c r="AUF24" s="19"/>
      <c r="AUG24" s="19"/>
      <c r="AUH24" s="19"/>
      <c r="AUI24" s="19"/>
      <c r="AUJ24" s="19"/>
      <c r="AUK24" s="19"/>
      <c r="AUL24" s="19"/>
      <c r="AUM24" s="19"/>
      <c r="AUN24" s="19"/>
      <c r="AUO24" s="19"/>
      <c r="AUP24" s="19"/>
      <c r="AUQ24" s="19"/>
      <c r="AUR24" s="19"/>
      <c r="AUS24" s="19"/>
      <c r="AUT24" s="19"/>
      <c r="AUU24" s="19"/>
      <c r="AUV24" s="19"/>
      <c r="AUW24" s="19"/>
      <c r="AUX24" s="19"/>
      <c r="AUY24" s="19"/>
      <c r="AUZ24" s="19"/>
      <c r="AVA24" s="19"/>
      <c r="AVB24" s="19"/>
      <c r="AVC24" s="19"/>
      <c r="AVD24" s="19"/>
      <c r="AVE24" s="19"/>
      <c r="AVF24" s="19"/>
      <c r="AVG24" s="19"/>
      <c r="AVH24" s="19"/>
      <c r="AVI24" s="19"/>
      <c r="AVJ24" s="19"/>
      <c r="AVK24" s="19"/>
      <c r="AVL24" s="19"/>
      <c r="AVM24" s="19"/>
      <c r="AVN24" s="19"/>
      <c r="AVO24" s="19"/>
      <c r="AVP24" s="19"/>
      <c r="AVQ24" s="19"/>
      <c r="AVR24" s="19"/>
      <c r="AVS24" s="19"/>
      <c r="AVT24" s="19"/>
      <c r="AVU24" s="19"/>
      <c r="AVV24" s="19"/>
      <c r="AVW24" s="19"/>
      <c r="AVX24" s="19"/>
      <c r="AVY24" s="19"/>
      <c r="AVZ24" s="19"/>
      <c r="AWA24" s="19"/>
      <c r="AWB24" s="19"/>
      <c r="AWC24" s="19"/>
      <c r="AWD24" s="19"/>
      <c r="AWE24" s="19"/>
      <c r="AWF24" s="19"/>
      <c r="AWG24" s="19"/>
      <c r="AWH24" s="19"/>
      <c r="AWI24" s="19"/>
      <c r="AWJ24" s="19"/>
      <c r="AWK24" s="19"/>
      <c r="AWL24" s="19"/>
      <c r="AWM24" s="19"/>
      <c r="AWN24" s="19"/>
      <c r="AWO24" s="19"/>
      <c r="AWP24" s="19"/>
      <c r="AWQ24" s="19"/>
      <c r="AWR24" s="19"/>
      <c r="AWS24" s="19"/>
      <c r="AWT24" s="19"/>
      <c r="AWU24" s="19"/>
      <c r="AWV24" s="19"/>
      <c r="AWW24" s="19"/>
      <c r="AWX24" s="19"/>
      <c r="AWY24" s="19"/>
      <c r="AWZ24" s="19"/>
      <c r="AXA24" s="19"/>
      <c r="AXB24" s="19"/>
      <c r="AXC24" s="19"/>
      <c r="AXD24" s="19"/>
      <c r="AXE24" s="19"/>
      <c r="AXF24" s="19"/>
      <c r="AXG24" s="19"/>
      <c r="AXH24" s="19"/>
      <c r="AXI24" s="19"/>
      <c r="AXJ24" s="19"/>
      <c r="AXK24" s="19"/>
      <c r="AXL24" s="19"/>
      <c r="AXM24" s="19"/>
      <c r="AXN24" s="19"/>
      <c r="AXO24" s="19"/>
      <c r="AXP24" s="19"/>
      <c r="AXQ24" s="19"/>
      <c r="AXR24" s="19"/>
      <c r="AXS24" s="19"/>
      <c r="AXT24" s="19"/>
      <c r="AXU24" s="19"/>
      <c r="AXV24" s="19"/>
      <c r="AXW24" s="19"/>
      <c r="AXX24" s="19"/>
      <c r="AXY24" s="19"/>
      <c r="AXZ24" s="19"/>
      <c r="AYA24" s="19"/>
      <c r="AYB24" s="19"/>
      <c r="AYC24" s="19"/>
      <c r="AYD24" s="19"/>
      <c r="AYE24" s="19"/>
      <c r="AYF24" s="19"/>
      <c r="AYG24" s="19"/>
      <c r="AYH24" s="19"/>
      <c r="AYI24" s="19"/>
      <c r="AYJ24" s="19"/>
      <c r="AYK24" s="19"/>
      <c r="AYL24" s="19"/>
      <c r="AYM24" s="19"/>
      <c r="AYN24" s="19"/>
      <c r="AYO24" s="19"/>
      <c r="AYP24" s="19"/>
      <c r="AYQ24" s="19"/>
      <c r="AYR24" s="19"/>
      <c r="AYS24" s="19"/>
      <c r="AYT24" s="19"/>
      <c r="AYU24" s="19"/>
      <c r="AYV24" s="19"/>
      <c r="AYW24" s="19"/>
      <c r="AYX24" s="19"/>
      <c r="AYY24" s="19"/>
      <c r="AYZ24" s="19"/>
      <c r="AZA24" s="19"/>
      <c r="AZB24" s="19"/>
      <c r="AZC24" s="19"/>
      <c r="AZD24" s="19"/>
      <c r="AZE24" s="19"/>
      <c r="AZF24" s="19"/>
      <c r="AZG24" s="19"/>
      <c r="AZH24" s="19"/>
      <c r="AZI24" s="19"/>
      <c r="AZJ24" s="19"/>
      <c r="AZK24" s="19"/>
      <c r="AZL24" s="19"/>
      <c r="AZM24" s="19"/>
      <c r="AZN24" s="19"/>
      <c r="AZO24" s="19"/>
      <c r="AZP24" s="19"/>
      <c r="AZQ24" s="19"/>
      <c r="AZR24" s="19"/>
      <c r="AZS24" s="19"/>
      <c r="AZT24" s="19"/>
      <c r="AZU24" s="19"/>
      <c r="AZV24" s="19"/>
      <c r="AZW24" s="19"/>
      <c r="AZX24" s="19"/>
      <c r="AZY24" s="19"/>
      <c r="AZZ24" s="19"/>
      <c r="BAA24" s="19"/>
      <c r="BAB24" s="19"/>
      <c r="BAC24" s="19"/>
      <c r="BAD24" s="19"/>
      <c r="BAE24" s="19"/>
      <c r="BAF24" s="19"/>
      <c r="BAG24" s="19"/>
      <c r="BAH24" s="19"/>
      <c r="BAI24" s="19"/>
      <c r="BAJ24" s="19"/>
      <c r="BAK24" s="19"/>
      <c r="BAL24" s="19"/>
      <c r="BAM24" s="19"/>
      <c r="BAN24" s="19"/>
      <c r="BAO24" s="19"/>
      <c r="BAP24" s="19"/>
      <c r="BAQ24" s="19"/>
      <c r="BAR24" s="19"/>
      <c r="BAS24" s="19"/>
      <c r="BAT24" s="19"/>
      <c r="BAU24" s="19"/>
      <c r="BAV24" s="19"/>
      <c r="BAW24" s="19"/>
      <c r="BAX24" s="19"/>
      <c r="BAY24" s="19"/>
      <c r="BAZ24" s="19"/>
      <c r="BBA24" s="19"/>
      <c r="BBB24" s="19"/>
      <c r="BBC24" s="19"/>
      <c r="BBD24" s="19"/>
      <c r="BBE24" s="19"/>
      <c r="BBF24" s="19"/>
      <c r="BBG24" s="19"/>
      <c r="BBH24" s="19"/>
      <c r="BBI24" s="19"/>
      <c r="BBJ24" s="19"/>
      <c r="BBK24" s="19"/>
      <c r="BBL24" s="19"/>
      <c r="BBM24" s="19"/>
      <c r="BBN24" s="19"/>
      <c r="BBO24" s="19"/>
      <c r="BBP24" s="19"/>
      <c r="BBQ24" s="19"/>
      <c r="BBR24" s="19"/>
      <c r="BBS24" s="19"/>
      <c r="BBT24" s="19"/>
      <c r="BBU24" s="19"/>
      <c r="BBV24" s="19"/>
      <c r="BBW24" s="19"/>
      <c r="BBX24" s="19"/>
      <c r="BBY24" s="19"/>
      <c r="BBZ24" s="19"/>
      <c r="BCA24" s="19"/>
      <c r="BCB24" s="19"/>
      <c r="BCC24" s="19"/>
      <c r="BCD24" s="19"/>
      <c r="BCE24" s="19"/>
      <c r="BCF24" s="19"/>
      <c r="BCG24" s="19"/>
      <c r="BCH24" s="19"/>
      <c r="BCI24" s="19"/>
      <c r="BCJ24" s="19"/>
      <c r="BCK24" s="19"/>
      <c r="BCL24" s="19"/>
      <c r="BCM24" s="19"/>
      <c r="BCN24" s="19"/>
      <c r="BCO24" s="19"/>
      <c r="BCP24" s="19"/>
      <c r="BCQ24" s="19"/>
      <c r="BCR24" s="19"/>
      <c r="BCS24" s="19"/>
      <c r="BCT24" s="19"/>
      <c r="BCU24" s="19"/>
      <c r="BCV24" s="19"/>
      <c r="BCW24" s="19"/>
      <c r="BCX24" s="19"/>
      <c r="BCY24" s="19"/>
      <c r="BCZ24" s="19"/>
      <c r="BDA24" s="19"/>
      <c r="BDB24" s="19"/>
      <c r="BDC24" s="19"/>
      <c r="BDD24" s="19"/>
      <c r="BDE24" s="19"/>
      <c r="BDF24" s="19"/>
      <c r="BDG24" s="19"/>
      <c r="BDH24" s="19"/>
      <c r="BDI24" s="19"/>
      <c r="BDJ24" s="19"/>
      <c r="BDK24" s="19"/>
      <c r="BDL24" s="19"/>
      <c r="BDM24" s="19"/>
      <c r="BDN24" s="19"/>
      <c r="BDO24" s="19"/>
      <c r="BDP24" s="19"/>
      <c r="BDQ24" s="19"/>
      <c r="BDR24" s="19"/>
      <c r="BDS24" s="19"/>
      <c r="BDT24" s="19"/>
      <c r="BDU24" s="19"/>
      <c r="BDV24" s="19"/>
      <c r="BDW24" s="19"/>
      <c r="BDX24" s="19"/>
      <c r="BDY24" s="19"/>
      <c r="BDZ24" s="19"/>
      <c r="BEA24" s="19"/>
      <c r="BEB24" s="19"/>
      <c r="BEC24" s="19"/>
      <c r="BED24" s="19"/>
      <c r="BEE24" s="19"/>
      <c r="BEF24" s="19"/>
      <c r="BEG24" s="19"/>
      <c r="BEH24" s="19"/>
      <c r="BEI24" s="19"/>
      <c r="BEJ24" s="19"/>
      <c r="BEK24" s="19"/>
      <c r="BEL24" s="19"/>
      <c r="BEM24" s="19"/>
      <c r="BEN24" s="19"/>
      <c r="BEO24" s="19"/>
      <c r="BEP24" s="19"/>
      <c r="BEQ24" s="19"/>
      <c r="BER24" s="19"/>
      <c r="BES24" s="19"/>
      <c r="BET24" s="19"/>
      <c r="BEU24" s="19"/>
      <c r="BEV24" s="19"/>
      <c r="BEW24" s="19"/>
      <c r="BEX24" s="19"/>
      <c r="BEY24" s="19"/>
      <c r="BEZ24" s="19"/>
      <c r="BFA24" s="19"/>
      <c r="BFB24" s="19"/>
      <c r="BFC24" s="19"/>
      <c r="BFD24" s="19"/>
      <c r="BFE24" s="19"/>
      <c r="BFF24" s="19"/>
      <c r="BFG24" s="19"/>
      <c r="BFH24" s="19"/>
      <c r="BFI24" s="19"/>
      <c r="BFJ24" s="19"/>
      <c r="BFK24" s="19"/>
      <c r="BFL24" s="19"/>
      <c r="BFM24" s="19"/>
      <c r="BFN24" s="19"/>
      <c r="BFO24" s="19"/>
      <c r="BFP24" s="19"/>
      <c r="BFQ24" s="19"/>
      <c r="BFR24" s="19"/>
      <c r="BFS24" s="19"/>
      <c r="BFT24" s="19"/>
      <c r="BFU24" s="19"/>
      <c r="BFV24" s="19"/>
      <c r="BFW24" s="19"/>
      <c r="BFX24" s="19"/>
      <c r="BFY24" s="19"/>
      <c r="BFZ24" s="19"/>
      <c r="BGA24" s="19"/>
      <c r="BGB24" s="19"/>
      <c r="BGC24" s="19"/>
      <c r="BGD24" s="19"/>
      <c r="BGE24" s="19"/>
      <c r="BGF24" s="19"/>
      <c r="BGG24" s="19"/>
      <c r="BGH24" s="19"/>
      <c r="BGI24" s="19"/>
      <c r="BGJ24" s="19"/>
      <c r="BGK24" s="19"/>
      <c r="BGL24" s="19"/>
      <c r="BGM24" s="19"/>
      <c r="BGN24" s="19"/>
      <c r="BGO24" s="19"/>
      <c r="BGP24" s="19"/>
      <c r="BGQ24" s="19"/>
      <c r="BGR24" s="19"/>
      <c r="BGS24" s="19"/>
      <c r="BGT24" s="19"/>
      <c r="BGU24" s="19"/>
      <c r="BGV24" s="19"/>
      <c r="BGW24" s="19"/>
      <c r="BGX24" s="19"/>
      <c r="BGY24" s="19"/>
      <c r="BGZ24" s="19"/>
      <c r="BHA24" s="19"/>
      <c r="BHB24" s="19"/>
      <c r="BHC24" s="19"/>
      <c r="BHD24" s="19"/>
      <c r="BHE24" s="19"/>
      <c r="BHF24" s="19"/>
      <c r="BHG24" s="19"/>
      <c r="BHH24" s="19"/>
      <c r="BHI24" s="19"/>
      <c r="BHJ24" s="19"/>
      <c r="BHK24" s="19"/>
      <c r="BHL24" s="19"/>
      <c r="BHM24" s="19"/>
      <c r="BHN24" s="19"/>
      <c r="BHO24" s="19"/>
      <c r="BHP24" s="19"/>
      <c r="BHQ24" s="19"/>
      <c r="BHR24" s="19"/>
      <c r="BHS24" s="19"/>
      <c r="BHT24" s="19"/>
      <c r="BHU24" s="19"/>
      <c r="BHV24" s="19"/>
      <c r="BHW24" s="19"/>
      <c r="BHX24" s="19"/>
      <c r="BHY24" s="19"/>
      <c r="BHZ24" s="19"/>
      <c r="BIA24" s="19"/>
      <c r="BIB24" s="19"/>
      <c r="BIC24" s="19"/>
      <c r="BID24" s="19"/>
      <c r="BIE24" s="19"/>
      <c r="BIF24" s="19"/>
      <c r="BIG24" s="19"/>
      <c r="BIH24" s="19"/>
      <c r="BII24" s="19"/>
      <c r="BIJ24" s="19"/>
      <c r="BIK24" s="19"/>
      <c r="BIL24" s="19"/>
      <c r="BIM24" s="19"/>
      <c r="BIN24" s="19"/>
      <c r="BIO24" s="19"/>
      <c r="BIP24" s="19"/>
      <c r="BIQ24" s="19"/>
      <c r="BIR24" s="19"/>
      <c r="BIS24" s="19"/>
      <c r="BIT24" s="19"/>
      <c r="BIU24" s="19"/>
      <c r="BIV24" s="19"/>
      <c r="BIW24" s="19"/>
      <c r="BIX24" s="19"/>
      <c r="BIY24" s="19"/>
      <c r="BIZ24" s="19"/>
      <c r="BJA24" s="19"/>
      <c r="BJB24" s="19"/>
      <c r="BJC24" s="19"/>
      <c r="BJD24" s="19"/>
      <c r="BJE24" s="19"/>
      <c r="BJF24" s="19"/>
      <c r="BJG24" s="19"/>
      <c r="BJH24" s="19"/>
      <c r="BJI24" s="19"/>
      <c r="BJJ24" s="19"/>
      <c r="BJK24" s="19"/>
      <c r="BJL24" s="19"/>
      <c r="BJM24" s="19"/>
      <c r="BJN24" s="19"/>
      <c r="BJO24" s="19"/>
      <c r="BJP24" s="19"/>
      <c r="BJQ24" s="19"/>
      <c r="BJR24" s="19"/>
      <c r="BJS24" s="19"/>
      <c r="BJT24" s="19"/>
      <c r="BJU24" s="19"/>
      <c r="BJV24" s="19"/>
      <c r="BJW24" s="19"/>
      <c r="BJX24" s="19"/>
      <c r="BJY24" s="19"/>
      <c r="BJZ24" s="19"/>
      <c r="BKA24" s="19"/>
      <c r="BKB24" s="19"/>
      <c r="BKC24" s="19"/>
      <c r="BKD24" s="19"/>
      <c r="BKE24" s="19"/>
      <c r="BKF24" s="19"/>
      <c r="BKG24" s="19"/>
      <c r="BKH24" s="19"/>
      <c r="BKI24" s="19"/>
      <c r="BKJ24" s="19"/>
      <c r="BKK24" s="19"/>
      <c r="BKL24" s="19"/>
      <c r="BKM24" s="19"/>
      <c r="BKN24" s="19"/>
      <c r="BKO24" s="19"/>
      <c r="BKP24" s="19"/>
      <c r="BKQ24" s="19"/>
      <c r="BKR24" s="19"/>
      <c r="BKS24" s="19"/>
      <c r="BKT24" s="19"/>
      <c r="BKU24" s="19"/>
      <c r="BKV24" s="19"/>
      <c r="BKW24" s="19"/>
      <c r="BKX24" s="19"/>
      <c r="BKY24" s="19"/>
      <c r="BKZ24" s="19"/>
      <c r="BLA24" s="19"/>
      <c r="BLB24" s="19"/>
      <c r="BLC24" s="19"/>
      <c r="BLD24" s="19"/>
      <c r="BLE24" s="19"/>
      <c r="BLF24" s="19"/>
      <c r="BLG24" s="19"/>
      <c r="BLH24" s="19"/>
      <c r="BLI24" s="19"/>
      <c r="BLJ24" s="19"/>
      <c r="BLK24" s="19"/>
      <c r="BLL24" s="19"/>
      <c r="BLM24" s="19"/>
      <c r="BLN24" s="19"/>
      <c r="BLO24" s="19"/>
      <c r="BLP24" s="19"/>
      <c r="BLQ24" s="19"/>
      <c r="BLR24" s="19"/>
      <c r="BLS24" s="19"/>
      <c r="BLT24" s="19"/>
      <c r="BLU24" s="19"/>
      <c r="BLV24" s="19"/>
      <c r="BLW24" s="19"/>
      <c r="BLX24" s="19"/>
      <c r="BLY24" s="19"/>
      <c r="BLZ24" s="19"/>
      <c r="BMA24" s="19"/>
      <c r="BMB24" s="19"/>
      <c r="BMC24" s="19"/>
      <c r="BMD24" s="19"/>
      <c r="BME24" s="19"/>
      <c r="BMF24" s="19"/>
      <c r="BMG24" s="19"/>
      <c r="BMH24" s="19"/>
      <c r="BMI24" s="19"/>
      <c r="BMJ24" s="19"/>
      <c r="BMK24" s="19"/>
      <c r="BML24" s="19"/>
      <c r="BMM24" s="19"/>
      <c r="BMN24" s="19"/>
      <c r="BMO24" s="19"/>
      <c r="BMP24" s="19"/>
      <c r="BMQ24" s="19"/>
      <c r="BMR24" s="19"/>
      <c r="BMS24" s="19"/>
      <c r="BMT24" s="19"/>
      <c r="BMU24" s="19"/>
      <c r="BMV24" s="19"/>
      <c r="BMW24" s="19"/>
      <c r="BMX24" s="19"/>
      <c r="BMY24" s="19"/>
      <c r="BMZ24" s="19"/>
      <c r="BNA24" s="19"/>
      <c r="BNB24" s="19"/>
      <c r="BNC24" s="19"/>
      <c r="BND24" s="19"/>
      <c r="BNE24" s="19"/>
      <c r="BNF24" s="19"/>
      <c r="BNG24" s="19"/>
      <c r="BNH24" s="19"/>
      <c r="BNI24" s="19"/>
      <c r="BNJ24" s="19"/>
      <c r="BNK24" s="19"/>
      <c r="BNL24" s="19"/>
      <c r="BNM24" s="19"/>
      <c r="BNN24" s="19"/>
      <c r="BNO24" s="19"/>
      <c r="BNP24" s="19"/>
      <c r="BNQ24" s="19"/>
      <c r="BNR24" s="19"/>
      <c r="BNS24" s="19"/>
      <c r="BNT24" s="19"/>
      <c r="BNU24" s="19"/>
      <c r="BNV24" s="19"/>
      <c r="BNW24" s="19"/>
      <c r="BNX24" s="19"/>
      <c r="BNY24" s="19"/>
      <c r="BNZ24" s="19"/>
      <c r="BOA24" s="19"/>
      <c r="BOB24" s="19"/>
      <c r="BOC24" s="19"/>
      <c r="BOD24" s="19"/>
      <c r="BOE24" s="19"/>
      <c r="BOF24" s="19"/>
      <c r="BOG24" s="19"/>
      <c r="BOH24" s="19"/>
      <c r="BOI24" s="19"/>
      <c r="BOJ24" s="19"/>
      <c r="BOK24" s="19"/>
      <c r="BOL24" s="19"/>
      <c r="BOM24" s="19"/>
      <c r="BON24" s="19"/>
      <c r="BOO24" s="19"/>
      <c r="BOP24" s="19"/>
      <c r="BOQ24" s="19"/>
      <c r="BOR24" s="19"/>
      <c r="BOS24" s="19"/>
      <c r="BOT24" s="19"/>
      <c r="BOU24" s="19"/>
      <c r="BOV24" s="19"/>
      <c r="BOW24" s="19"/>
      <c r="BOX24" s="19"/>
      <c r="BOY24" s="19"/>
      <c r="BOZ24" s="19"/>
      <c r="BPA24" s="19"/>
      <c r="BPB24" s="19"/>
      <c r="BPC24" s="19"/>
      <c r="BPD24" s="19"/>
      <c r="BPE24" s="19"/>
      <c r="BPF24" s="19"/>
      <c r="BPG24" s="19"/>
      <c r="BPH24" s="19"/>
      <c r="BPI24" s="19"/>
      <c r="BPJ24" s="19"/>
      <c r="BPK24" s="19"/>
      <c r="BPL24" s="19"/>
      <c r="BPM24" s="19"/>
      <c r="BPN24" s="19"/>
      <c r="BPO24" s="19"/>
      <c r="BPP24" s="19"/>
      <c r="BPQ24" s="19"/>
      <c r="BPR24" s="19"/>
      <c r="BPS24" s="19"/>
      <c r="BPT24" s="19"/>
      <c r="BPU24" s="19"/>
      <c r="BPV24" s="19"/>
      <c r="BPW24" s="19"/>
      <c r="BPX24" s="19"/>
      <c r="BPY24" s="19"/>
      <c r="BPZ24" s="19"/>
      <c r="BQA24" s="19"/>
      <c r="BQB24" s="19"/>
      <c r="BQC24" s="19"/>
      <c r="BQD24" s="19"/>
      <c r="BQE24" s="19"/>
      <c r="BQF24" s="19"/>
      <c r="BQG24" s="19"/>
      <c r="BQH24" s="19"/>
      <c r="BQI24" s="19"/>
      <c r="BQJ24" s="19"/>
      <c r="BQK24" s="19"/>
      <c r="BQL24" s="19"/>
      <c r="BQM24" s="19"/>
      <c r="BQN24" s="19"/>
      <c r="BQO24" s="19"/>
      <c r="BQP24" s="19"/>
      <c r="BQQ24" s="19"/>
      <c r="BQR24" s="19"/>
      <c r="BQS24" s="19"/>
      <c r="BQT24" s="19"/>
      <c r="BQU24" s="19"/>
      <c r="BQV24" s="19"/>
      <c r="BQW24" s="19"/>
      <c r="BQX24" s="19"/>
      <c r="BQY24" s="19"/>
      <c r="BQZ24" s="19"/>
      <c r="BRA24" s="19"/>
      <c r="BRB24" s="19"/>
      <c r="BRC24" s="19"/>
      <c r="BRD24" s="19"/>
      <c r="BRE24" s="19"/>
      <c r="BRF24" s="19"/>
      <c r="BRG24" s="19"/>
      <c r="BRH24" s="19"/>
      <c r="BRI24" s="19"/>
      <c r="BRJ24" s="19"/>
      <c r="BRK24" s="19"/>
      <c r="BRL24" s="19"/>
      <c r="BRM24" s="19"/>
      <c r="BRN24" s="19"/>
      <c r="BRO24" s="19"/>
      <c r="BRP24" s="19"/>
      <c r="BRQ24" s="19"/>
      <c r="BRR24" s="19"/>
      <c r="BRS24" s="19"/>
      <c r="BRT24" s="19"/>
      <c r="BRU24" s="19"/>
      <c r="BRV24" s="19"/>
      <c r="BRW24" s="19"/>
      <c r="BRX24" s="19"/>
      <c r="BRY24" s="19"/>
      <c r="BRZ24" s="19"/>
      <c r="BSA24" s="19"/>
      <c r="BSB24" s="19"/>
      <c r="BSC24" s="19"/>
      <c r="BSD24" s="19"/>
      <c r="BSE24" s="19"/>
      <c r="BSF24" s="19"/>
      <c r="BSG24" s="19"/>
      <c r="BSH24" s="19"/>
      <c r="BSI24" s="19"/>
      <c r="BSJ24" s="19"/>
      <c r="BSK24" s="19"/>
      <c r="BSL24" s="19"/>
      <c r="BSM24" s="19"/>
      <c r="BSN24" s="19"/>
      <c r="BSO24" s="19"/>
      <c r="BSP24" s="19"/>
      <c r="BSQ24" s="19"/>
      <c r="BSR24" s="19"/>
      <c r="BSS24" s="19"/>
      <c r="BST24" s="19"/>
      <c r="BSU24" s="19"/>
      <c r="BSV24" s="19"/>
      <c r="BSW24" s="19"/>
      <c r="BSX24" s="19"/>
      <c r="BSY24" s="19"/>
      <c r="BSZ24" s="19"/>
      <c r="BTA24" s="19"/>
      <c r="BTB24" s="19"/>
      <c r="BTC24" s="19"/>
      <c r="BTD24" s="19"/>
      <c r="BTE24" s="19"/>
      <c r="BTF24" s="19"/>
      <c r="BTG24" s="19"/>
      <c r="BTH24" s="19"/>
      <c r="BTI24" s="19"/>
      <c r="BTJ24" s="19"/>
      <c r="BTK24" s="19"/>
      <c r="BTL24" s="19"/>
      <c r="BTM24" s="19"/>
      <c r="BTN24" s="19"/>
      <c r="BTO24" s="19"/>
      <c r="BTP24" s="19"/>
      <c r="BTQ24" s="19"/>
      <c r="BTR24" s="19"/>
      <c r="BTS24" s="19"/>
      <c r="BTT24" s="19"/>
      <c r="BTU24" s="19"/>
      <c r="BTV24" s="19"/>
      <c r="BTW24" s="19"/>
      <c r="BTX24" s="19"/>
      <c r="BTY24" s="19"/>
      <c r="BTZ24" s="19"/>
      <c r="BUA24" s="19"/>
      <c r="BUB24" s="19"/>
      <c r="BUC24" s="19"/>
      <c r="BUD24" s="19"/>
      <c r="BUE24" s="19"/>
      <c r="BUF24" s="19"/>
      <c r="BUG24" s="19"/>
      <c r="BUH24" s="19"/>
      <c r="BUI24" s="19"/>
      <c r="BUJ24" s="19"/>
      <c r="BUK24" s="19"/>
      <c r="BUL24" s="19"/>
      <c r="BUM24" s="19"/>
      <c r="BUN24" s="19"/>
      <c r="BUO24" s="19"/>
      <c r="BUP24" s="19"/>
      <c r="BUQ24" s="19"/>
      <c r="BUR24" s="19"/>
      <c r="BUS24" s="19"/>
      <c r="BUT24" s="19"/>
      <c r="BUU24" s="19"/>
      <c r="BUV24" s="19"/>
      <c r="BUW24" s="19"/>
      <c r="BUX24" s="19"/>
      <c r="BUY24" s="19"/>
      <c r="BUZ24" s="19"/>
      <c r="BVA24" s="19"/>
      <c r="BVB24" s="19"/>
      <c r="BVC24" s="19"/>
      <c r="BVD24" s="19"/>
      <c r="BVE24" s="19"/>
      <c r="BVF24" s="19"/>
      <c r="BVG24" s="19"/>
      <c r="BVH24" s="19"/>
      <c r="BVI24" s="19"/>
      <c r="BVJ24" s="19"/>
      <c r="BVK24" s="19"/>
      <c r="BVL24" s="19"/>
      <c r="BVM24" s="19"/>
      <c r="BVN24" s="19"/>
      <c r="BVO24" s="19"/>
      <c r="BVP24" s="19"/>
      <c r="BVQ24" s="19"/>
      <c r="BVR24" s="19"/>
      <c r="BVS24" s="19"/>
      <c r="BVT24" s="19"/>
      <c r="BVU24" s="19"/>
      <c r="BVV24" s="19"/>
      <c r="BVW24" s="19"/>
      <c r="BVX24" s="19"/>
      <c r="BVY24" s="19"/>
      <c r="BVZ24" s="19"/>
      <c r="BWA24" s="19"/>
      <c r="BWB24" s="19"/>
      <c r="BWC24" s="19"/>
      <c r="BWD24" s="19"/>
      <c r="BWE24" s="19"/>
      <c r="BWF24" s="19"/>
      <c r="BWG24" s="19"/>
      <c r="BWH24" s="19"/>
      <c r="BWI24" s="19"/>
      <c r="BWJ24" s="19"/>
      <c r="BWK24" s="19"/>
      <c r="BWL24" s="19"/>
      <c r="BWM24" s="19"/>
      <c r="BWN24" s="19"/>
      <c r="BWO24" s="19"/>
      <c r="BWP24" s="19"/>
      <c r="BWQ24" s="19"/>
      <c r="BWR24" s="19"/>
      <c r="BWS24" s="19"/>
      <c r="BWT24" s="19"/>
      <c r="BWU24" s="19"/>
      <c r="BWV24" s="19"/>
      <c r="BWW24" s="19"/>
      <c r="BWX24" s="19"/>
      <c r="BWY24" s="19"/>
      <c r="BWZ24" s="19"/>
      <c r="BXA24" s="19"/>
      <c r="BXB24" s="19"/>
      <c r="BXC24" s="19"/>
      <c r="BXD24" s="19"/>
      <c r="BXE24" s="19"/>
      <c r="BXF24" s="19"/>
      <c r="BXG24" s="19"/>
      <c r="BXH24" s="19"/>
      <c r="BXI24" s="19"/>
      <c r="BXJ24" s="19"/>
      <c r="BXK24" s="19"/>
      <c r="BXL24" s="19"/>
      <c r="BXM24" s="19"/>
      <c r="BXN24" s="19"/>
      <c r="BXO24" s="19"/>
      <c r="BXP24" s="19"/>
      <c r="BXQ24" s="19"/>
      <c r="BXR24" s="19"/>
      <c r="BXS24" s="19"/>
      <c r="BXT24" s="19"/>
      <c r="BXU24" s="19"/>
      <c r="BXV24" s="19"/>
      <c r="BXW24" s="19"/>
      <c r="BXX24" s="19"/>
      <c r="BXY24" s="19"/>
      <c r="BXZ24" s="19"/>
      <c r="BYA24" s="19"/>
      <c r="BYB24" s="19"/>
      <c r="BYC24" s="19"/>
      <c r="BYD24" s="19"/>
      <c r="BYE24" s="19"/>
      <c r="BYF24" s="19"/>
      <c r="BYG24" s="19"/>
      <c r="BYH24" s="19"/>
      <c r="BYI24" s="19"/>
      <c r="BYJ24" s="19"/>
      <c r="BYK24" s="19"/>
      <c r="BYL24" s="19"/>
      <c r="BYM24" s="19"/>
      <c r="BYN24" s="19"/>
      <c r="BYO24" s="19"/>
      <c r="BYP24" s="19"/>
      <c r="BYQ24" s="19"/>
      <c r="BYR24" s="19"/>
      <c r="BYS24" s="19"/>
      <c r="BYT24" s="19"/>
      <c r="BYU24" s="19"/>
      <c r="BYV24" s="19"/>
      <c r="BYW24" s="19"/>
      <c r="BYX24" s="19"/>
      <c r="BYY24" s="19"/>
      <c r="BYZ24" s="19"/>
      <c r="BZA24" s="19"/>
      <c r="BZB24" s="19"/>
      <c r="BZC24" s="19"/>
      <c r="BZD24" s="19"/>
      <c r="BZE24" s="19"/>
      <c r="BZF24" s="19"/>
      <c r="BZG24" s="19"/>
      <c r="BZH24" s="19"/>
      <c r="BZI24" s="19"/>
      <c r="BZJ24" s="19"/>
      <c r="BZK24" s="19"/>
      <c r="BZL24" s="19"/>
      <c r="BZM24" s="19"/>
      <c r="BZN24" s="19"/>
      <c r="BZO24" s="19"/>
      <c r="BZP24" s="19"/>
      <c r="BZQ24" s="19"/>
      <c r="BZR24" s="19"/>
      <c r="BZS24" s="19"/>
      <c r="BZT24" s="19"/>
      <c r="BZU24" s="19"/>
      <c r="BZV24" s="19"/>
      <c r="BZW24" s="19"/>
      <c r="BZX24" s="19"/>
      <c r="BZY24" s="19"/>
      <c r="BZZ24" s="19"/>
      <c r="CAA24" s="19"/>
      <c r="CAB24" s="19"/>
      <c r="CAC24" s="19"/>
      <c r="CAD24" s="19"/>
      <c r="CAE24" s="19"/>
      <c r="CAF24" s="19"/>
      <c r="CAG24" s="19"/>
      <c r="CAH24" s="19"/>
      <c r="CAI24" s="19"/>
      <c r="CAJ24" s="19"/>
      <c r="CAK24" s="19"/>
      <c r="CAL24" s="19"/>
      <c r="CAM24" s="19"/>
      <c r="CAN24" s="19"/>
      <c r="CAO24" s="19"/>
      <c r="CAP24" s="19"/>
      <c r="CAQ24" s="19"/>
      <c r="CAR24" s="19"/>
      <c r="CAS24" s="19"/>
      <c r="CAT24" s="19"/>
      <c r="CAU24" s="19"/>
      <c r="CAV24" s="19"/>
      <c r="CAW24" s="19"/>
      <c r="CAX24" s="19"/>
      <c r="CAY24" s="19"/>
      <c r="CAZ24" s="19"/>
      <c r="CBA24" s="19"/>
      <c r="CBB24" s="19"/>
      <c r="CBC24" s="19"/>
      <c r="CBD24" s="19"/>
      <c r="CBE24" s="19"/>
      <c r="CBF24" s="19"/>
      <c r="CBG24" s="19"/>
      <c r="CBH24" s="19"/>
      <c r="CBI24" s="19"/>
      <c r="CBJ24" s="19"/>
      <c r="CBK24" s="19"/>
      <c r="CBL24" s="19"/>
      <c r="CBM24" s="19"/>
      <c r="CBN24" s="19"/>
      <c r="CBO24" s="19"/>
      <c r="CBP24" s="19"/>
      <c r="CBQ24" s="19"/>
      <c r="CBR24" s="19"/>
      <c r="CBS24" s="19"/>
      <c r="CBT24" s="19"/>
      <c r="CBU24" s="19"/>
      <c r="CBV24" s="19"/>
      <c r="CBW24" s="19"/>
      <c r="CBX24" s="19"/>
      <c r="CBY24" s="19"/>
      <c r="CBZ24" s="19"/>
      <c r="CCA24" s="19"/>
      <c r="CCB24" s="19"/>
      <c r="CCC24" s="19"/>
      <c r="CCD24" s="19"/>
      <c r="CCE24" s="19"/>
      <c r="CCF24" s="19"/>
      <c r="CCG24" s="19"/>
      <c r="CCH24" s="19"/>
      <c r="CCI24" s="19"/>
      <c r="CCJ24" s="19"/>
      <c r="CCK24" s="19"/>
      <c r="CCL24" s="19"/>
      <c r="CCM24" s="19"/>
      <c r="CCN24" s="19"/>
      <c r="CCO24" s="19"/>
      <c r="CCP24" s="19"/>
      <c r="CCQ24" s="19"/>
      <c r="CCR24" s="19"/>
      <c r="CCS24" s="19"/>
      <c r="CCT24" s="19"/>
      <c r="CCU24" s="19"/>
      <c r="CCV24" s="19"/>
      <c r="CCW24" s="19"/>
      <c r="CCX24" s="19"/>
      <c r="CCY24" s="19"/>
      <c r="CCZ24" s="19"/>
      <c r="CDA24" s="19"/>
      <c r="CDB24" s="19"/>
      <c r="CDC24" s="19"/>
      <c r="CDD24" s="19"/>
      <c r="CDE24" s="19"/>
      <c r="CDF24" s="19"/>
      <c r="CDG24" s="19"/>
      <c r="CDH24" s="19"/>
      <c r="CDI24" s="19"/>
      <c r="CDJ24" s="19"/>
      <c r="CDK24" s="19"/>
      <c r="CDL24" s="19"/>
      <c r="CDM24" s="19"/>
      <c r="CDN24" s="19"/>
      <c r="CDO24" s="19"/>
      <c r="CDP24" s="19"/>
      <c r="CDQ24" s="19"/>
      <c r="CDR24" s="19"/>
      <c r="CDS24" s="19"/>
      <c r="CDT24" s="19"/>
      <c r="CDU24" s="19"/>
      <c r="CDV24" s="19"/>
      <c r="CDW24" s="19"/>
      <c r="CDX24" s="19"/>
      <c r="CDY24" s="19"/>
      <c r="CDZ24" s="19"/>
      <c r="CEA24" s="19"/>
      <c r="CEB24" s="19"/>
      <c r="CEC24" s="19"/>
      <c r="CED24" s="19"/>
      <c r="CEE24" s="19"/>
      <c r="CEF24" s="19"/>
      <c r="CEG24" s="19"/>
      <c r="CEH24" s="19"/>
      <c r="CEI24" s="19"/>
      <c r="CEJ24" s="19"/>
      <c r="CEK24" s="19"/>
      <c r="CEL24" s="19"/>
      <c r="CEM24" s="19"/>
      <c r="CEN24" s="19"/>
      <c r="CEO24" s="19"/>
      <c r="CEP24" s="19"/>
      <c r="CEQ24" s="19"/>
      <c r="CER24" s="19"/>
      <c r="CES24" s="19"/>
      <c r="CET24" s="19"/>
      <c r="CEU24" s="19"/>
      <c r="CEV24" s="19"/>
      <c r="CEW24" s="19"/>
      <c r="CEX24" s="19"/>
      <c r="CEY24" s="19"/>
      <c r="CEZ24" s="19"/>
      <c r="CFA24" s="19"/>
      <c r="CFB24" s="19"/>
      <c r="CFC24" s="19"/>
      <c r="CFD24" s="19"/>
      <c r="CFE24" s="19"/>
      <c r="CFF24" s="19"/>
      <c r="CFG24" s="19"/>
      <c r="CFH24" s="19"/>
      <c r="CFI24" s="19"/>
      <c r="CFJ24" s="19"/>
      <c r="CFK24" s="19"/>
      <c r="CFL24" s="19"/>
      <c r="CFM24" s="19"/>
      <c r="CFN24" s="19"/>
      <c r="CFO24" s="19"/>
      <c r="CFP24" s="19"/>
      <c r="CFQ24" s="19"/>
      <c r="CFR24" s="19"/>
      <c r="CFS24" s="19"/>
      <c r="CFT24" s="19"/>
      <c r="CFU24" s="19"/>
      <c r="CFV24" s="19"/>
      <c r="CFW24" s="19"/>
      <c r="CFX24" s="19"/>
      <c r="CFY24" s="19"/>
      <c r="CFZ24" s="19"/>
      <c r="CGA24" s="19"/>
      <c r="CGB24" s="19"/>
      <c r="CGC24" s="19"/>
      <c r="CGD24" s="19"/>
      <c r="CGE24" s="19"/>
      <c r="CGF24" s="19"/>
      <c r="CGG24" s="19"/>
      <c r="CGH24" s="19"/>
      <c r="CGI24" s="19"/>
      <c r="CGJ24" s="19"/>
      <c r="CGK24" s="19"/>
      <c r="CGL24" s="19"/>
      <c r="CGM24" s="19"/>
      <c r="CGN24" s="19"/>
      <c r="CGO24" s="19"/>
      <c r="CGP24" s="19"/>
      <c r="CGQ24" s="19"/>
      <c r="CGR24" s="19"/>
      <c r="CGS24" s="19"/>
      <c r="CGT24" s="19"/>
      <c r="CGU24" s="19"/>
      <c r="CGV24" s="19"/>
      <c r="CGW24" s="19"/>
      <c r="CGX24" s="19"/>
      <c r="CGY24" s="19"/>
      <c r="CGZ24" s="19"/>
      <c r="CHA24" s="19"/>
      <c r="CHB24" s="19"/>
      <c r="CHC24" s="19"/>
      <c r="CHD24" s="19"/>
      <c r="CHE24" s="19"/>
      <c r="CHF24" s="19"/>
      <c r="CHG24" s="19"/>
      <c r="CHH24" s="19"/>
      <c r="CHI24" s="19"/>
      <c r="CHJ24" s="19"/>
      <c r="CHK24" s="19"/>
      <c r="CHL24" s="19"/>
      <c r="CHM24" s="19"/>
      <c r="CHN24" s="19"/>
      <c r="CHO24" s="19"/>
      <c r="CHP24" s="19"/>
      <c r="CHQ24" s="19"/>
      <c r="CHR24" s="19"/>
      <c r="CHS24" s="19"/>
      <c r="CHT24" s="19"/>
      <c r="CHU24" s="19"/>
      <c r="CHV24" s="19"/>
      <c r="CHW24" s="19"/>
      <c r="CHX24" s="19"/>
      <c r="CHY24" s="19"/>
      <c r="CHZ24" s="19"/>
      <c r="CIA24" s="19"/>
      <c r="CIB24" s="19"/>
      <c r="CIC24" s="19"/>
      <c r="CID24" s="19"/>
      <c r="CIE24" s="19"/>
      <c r="CIF24" s="19"/>
      <c r="CIG24" s="19"/>
      <c r="CIH24" s="19"/>
      <c r="CII24" s="19"/>
      <c r="CIJ24" s="19"/>
      <c r="CIK24" s="19"/>
      <c r="CIL24" s="19"/>
      <c r="CIM24" s="19"/>
      <c r="CIN24" s="19"/>
      <c r="CIO24" s="19"/>
      <c r="CIP24" s="19"/>
      <c r="CIQ24" s="19"/>
      <c r="CIR24" s="19"/>
      <c r="CIS24" s="19"/>
      <c r="CIT24" s="19"/>
      <c r="CIU24" s="19"/>
      <c r="CIV24" s="19"/>
      <c r="CIW24" s="19"/>
      <c r="CIX24" s="19"/>
      <c r="CIY24" s="19"/>
      <c r="CIZ24" s="19"/>
      <c r="CJA24" s="19"/>
      <c r="CJB24" s="19"/>
      <c r="CJC24" s="19"/>
      <c r="CJD24" s="19"/>
      <c r="CJE24" s="19"/>
      <c r="CJF24" s="19"/>
      <c r="CJG24" s="19"/>
      <c r="CJH24" s="19"/>
      <c r="CJI24" s="19"/>
      <c r="CJJ24" s="19"/>
      <c r="CJK24" s="19"/>
      <c r="CJL24" s="19"/>
      <c r="CJM24" s="19"/>
      <c r="CJN24" s="19"/>
      <c r="CJO24" s="19"/>
      <c r="CJP24" s="19"/>
      <c r="CJQ24" s="19"/>
      <c r="CJR24" s="19"/>
      <c r="CJS24" s="19"/>
      <c r="CJT24" s="19"/>
      <c r="CJU24" s="19"/>
      <c r="CJV24" s="19"/>
      <c r="CJW24" s="19"/>
      <c r="CJX24" s="19"/>
      <c r="CJY24" s="19"/>
      <c r="CJZ24" s="19"/>
      <c r="CKA24" s="19"/>
      <c r="CKB24" s="19"/>
      <c r="CKC24" s="19"/>
      <c r="CKD24" s="19"/>
      <c r="CKE24" s="19"/>
      <c r="CKF24" s="19"/>
      <c r="CKG24" s="19"/>
      <c r="CKH24" s="19"/>
      <c r="CKI24" s="19"/>
      <c r="CKJ24" s="19"/>
      <c r="CKK24" s="19"/>
      <c r="CKL24" s="19"/>
      <c r="CKM24" s="19"/>
      <c r="CKN24" s="19"/>
      <c r="CKO24" s="19"/>
      <c r="CKP24" s="19"/>
      <c r="CKQ24" s="19"/>
      <c r="CKR24" s="19"/>
      <c r="CKS24" s="19"/>
      <c r="CKT24" s="19"/>
      <c r="CKU24" s="19"/>
      <c r="CKV24" s="19"/>
      <c r="CKW24" s="19"/>
      <c r="CKX24" s="19"/>
      <c r="CKY24" s="19"/>
      <c r="CKZ24" s="19"/>
      <c r="CLA24" s="19"/>
      <c r="CLB24" s="19"/>
      <c r="CLC24" s="19"/>
      <c r="CLD24" s="19"/>
      <c r="CLE24" s="19"/>
      <c r="CLF24" s="19"/>
      <c r="CLG24" s="19"/>
      <c r="CLH24" s="19"/>
      <c r="CLI24" s="19"/>
      <c r="CLJ24" s="19"/>
      <c r="CLK24" s="19"/>
      <c r="CLL24" s="19"/>
      <c r="CLM24" s="19"/>
      <c r="CLN24" s="19"/>
      <c r="CLO24" s="19"/>
      <c r="CLP24" s="19"/>
      <c r="CLQ24" s="19"/>
      <c r="CLR24" s="19"/>
      <c r="CLS24" s="19"/>
      <c r="CLT24" s="19"/>
      <c r="CLU24" s="19"/>
      <c r="CLV24" s="19"/>
      <c r="CLW24" s="19"/>
      <c r="CLX24" s="19"/>
      <c r="CLY24" s="19"/>
      <c r="CLZ24" s="19"/>
      <c r="CMA24" s="19"/>
      <c r="CMB24" s="19"/>
      <c r="CMC24" s="19"/>
      <c r="CMD24" s="19"/>
      <c r="CME24" s="19"/>
      <c r="CMF24" s="19"/>
      <c r="CMG24" s="19"/>
      <c r="CMH24" s="19"/>
      <c r="CMI24" s="19"/>
      <c r="CMJ24" s="19"/>
      <c r="CMK24" s="19"/>
      <c r="CML24" s="19"/>
      <c r="CMM24" s="19"/>
      <c r="CMN24" s="19"/>
      <c r="CMO24" s="19"/>
      <c r="CMP24" s="19"/>
      <c r="CMQ24" s="19"/>
      <c r="CMR24" s="19"/>
      <c r="CMS24" s="19"/>
      <c r="CMT24" s="19"/>
      <c r="CMU24" s="19"/>
      <c r="CMV24" s="19"/>
      <c r="CMW24" s="19"/>
      <c r="CMX24" s="19"/>
      <c r="CMY24" s="19"/>
      <c r="CMZ24" s="19"/>
      <c r="CNA24" s="19"/>
      <c r="CNB24" s="19"/>
      <c r="CNC24" s="19"/>
      <c r="CND24" s="19"/>
      <c r="CNE24" s="19"/>
      <c r="CNF24" s="19"/>
      <c r="CNG24" s="19"/>
      <c r="CNH24" s="19"/>
      <c r="CNI24" s="19"/>
      <c r="CNJ24" s="19"/>
      <c r="CNK24" s="19"/>
      <c r="CNL24" s="19"/>
      <c r="CNM24" s="19"/>
      <c r="CNN24" s="19"/>
      <c r="CNO24" s="19"/>
      <c r="CNP24" s="19"/>
      <c r="CNQ24" s="19"/>
      <c r="CNR24" s="19"/>
      <c r="CNS24" s="19"/>
      <c r="CNT24" s="19"/>
      <c r="CNU24" s="19"/>
      <c r="CNV24" s="19"/>
      <c r="CNW24" s="19"/>
      <c r="CNX24" s="19"/>
      <c r="CNY24" s="19"/>
      <c r="CNZ24" s="19"/>
      <c r="COA24" s="19"/>
      <c r="COB24" s="19"/>
      <c r="COC24" s="19"/>
      <c r="COD24" s="19"/>
      <c r="COE24" s="19"/>
      <c r="COF24" s="19"/>
      <c r="COG24" s="19"/>
      <c r="COH24" s="19"/>
      <c r="COI24" s="19"/>
      <c r="COJ24" s="19"/>
      <c r="COK24" s="19"/>
      <c r="COL24" s="19"/>
      <c r="COM24" s="19"/>
      <c r="CON24" s="19"/>
      <c r="COO24" s="19"/>
      <c r="COP24" s="19"/>
      <c r="COQ24" s="19"/>
      <c r="COR24" s="19"/>
      <c r="COS24" s="19"/>
      <c r="COT24" s="19"/>
      <c r="COU24" s="19"/>
      <c r="COV24" s="19"/>
      <c r="COW24" s="19"/>
      <c r="COX24" s="19"/>
      <c r="COY24" s="19"/>
      <c r="COZ24" s="19"/>
      <c r="CPA24" s="19"/>
      <c r="CPB24" s="19"/>
      <c r="CPC24" s="19"/>
      <c r="CPD24" s="19"/>
      <c r="CPE24" s="19"/>
      <c r="CPF24" s="19"/>
      <c r="CPG24" s="19"/>
      <c r="CPH24" s="19"/>
      <c r="CPI24" s="19"/>
      <c r="CPJ24" s="19"/>
      <c r="CPK24" s="19"/>
      <c r="CPL24" s="19"/>
      <c r="CPM24" s="19"/>
      <c r="CPN24" s="19"/>
      <c r="CPO24" s="19"/>
      <c r="CPP24" s="19"/>
      <c r="CPQ24" s="19"/>
      <c r="CPR24" s="19"/>
      <c r="CPS24" s="19"/>
      <c r="CPT24" s="19"/>
      <c r="CPU24" s="19"/>
      <c r="CPV24" s="19"/>
      <c r="CPW24" s="19"/>
      <c r="CPX24" s="19"/>
      <c r="CPY24" s="19"/>
      <c r="CPZ24" s="19"/>
      <c r="CQA24" s="19"/>
      <c r="CQB24" s="19"/>
      <c r="CQC24" s="19"/>
      <c r="CQD24" s="19"/>
      <c r="CQE24" s="19"/>
      <c r="CQF24" s="19"/>
      <c r="CQG24" s="19"/>
      <c r="CQH24" s="19"/>
      <c r="CQI24" s="19"/>
      <c r="CQJ24" s="19"/>
      <c r="CQK24" s="19"/>
      <c r="CQL24" s="19"/>
      <c r="CQM24" s="19"/>
      <c r="CQN24" s="19"/>
      <c r="CQO24" s="19"/>
      <c r="CQP24" s="19"/>
      <c r="CQQ24" s="19"/>
      <c r="CQR24" s="19"/>
      <c r="CQS24" s="19"/>
      <c r="CQT24" s="19"/>
      <c r="CQU24" s="19"/>
      <c r="CQV24" s="19"/>
      <c r="CQW24" s="19"/>
      <c r="CQX24" s="19"/>
      <c r="CQY24" s="19"/>
      <c r="CQZ24" s="19"/>
      <c r="CRA24" s="19"/>
      <c r="CRB24" s="19"/>
      <c r="CRC24" s="19"/>
      <c r="CRD24" s="19"/>
      <c r="CRE24" s="19"/>
      <c r="CRF24" s="19"/>
      <c r="CRG24" s="19"/>
      <c r="CRH24" s="19"/>
      <c r="CRI24" s="19"/>
      <c r="CRJ24" s="19"/>
      <c r="CRK24" s="19"/>
      <c r="CRL24" s="19"/>
      <c r="CRM24" s="19"/>
      <c r="CRN24" s="19"/>
      <c r="CRO24" s="19"/>
      <c r="CRP24" s="19"/>
      <c r="CRQ24" s="19"/>
      <c r="CRR24" s="19"/>
      <c r="CRS24" s="19"/>
      <c r="CRT24" s="19"/>
      <c r="CRU24" s="19"/>
      <c r="CRV24" s="19"/>
      <c r="CRW24" s="19"/>
      <c r="CRX24" s="19"/>
      <c r="CRY24" s="19"/>
      <c r="CRZ24" s="19"/>
      <c r="CSA24" s="19"/>
      <c r="CSB24" s="19"/>
      <c r="CSC24" s="19"/>
      <c r="CSD24" s="19"/>
      <c r="CSE24" s="19"/>
      <c r="CSF24" s="19"/>
      <c r="CSG24" s="19"/>
      <c r="CSH24" s="19"/>
      <c r="CSI24" s="19"/>
      <c r="CSJ24" s="19"/>
      <c r="CSK24" s="19"/>
      <c r="CSL24" s="19"/>
      <c r="CSM24" s="19"/>
      <c r="CSN24" s="19"/>
      <c r="CSO24" s="19"/>
      <c r="CSP24" s="19"/>
      <c r="CSQ24" s="19"/>
      <c r="CSR24" s="19"/>
      <c r="CSS24" s="19"/>
      <c r="CST24" s="19"/>
      <c r="CSU24" s="19"/>
      <c r="CSV24" s="19"/>
      <c r="CSW24" s="19"/>
      <c r="CSX24" s="19"/>
      <c r="CSY24" s="19"/>
      <c r="CSZ24" s="19"/>
      <c r="CTA24" s="19"/>
      <c r="CTB24" s="19"/>
      <c r="CTC24" s="19"/>
      <c r="CTD24" s="19"/>
      <c r="CTE24" s="19"/>
      <c r="CTF24" s="19"/>
      <c r="CTG24" s="19"/>
      <c r="CTH24" s="19"/>
      <c r="CTI24" s="19"/>
      <c r="CTJ24" s="19"/>
      <c r="CTK24" s="19"/>
      <c r="CTL24" s="19"/>
      <c r="CTM24" s="19"/>
      <c r="CTN24" s="19"/>
      <c r="CTO24" s="19"/>
      <c r="CTP24" s="19"/>
      <c r="CTQ24" s="19"/>
      <c r="CTR24" s="19"/>
      <c r="CTS24" s="19"/>
      <c r="CTT24" s="19"/>
      <c r="CTU24" s="19"/>
      <c r="CTV24" s="19"/>
      <c r="CTW24" s="19"/>
      <c r="CTX24" s="19"/>
      <c r="CTY24" s="19"/>
      <c r="CTZ24" s="19"/>
      <c r="CUA24" s="19"/>
      <c r="CUB24" s="19"/>
      <c r="CUC24" s="19"/>
      <c r="CUD24" s="19"/>
      <c r="CUE24" s="19"/>
      <c r="CUF24" s="19"/>
      <c r="CUG24" s="19"/>
      <c r="CUH24" s="19"/>
      <c r="CUI24" s="19"/>
      <c r="CUJ24" s="19"/>
      <c r="CUK24" s="19"/>
      <c r="CUL24" s="19"/>
      <c r="CUM24" s="19"/>
      <c r="CUN24" s="19"/>
      <c r="CUO24" s="19"/>
      <c r="CUP24" s="19"/>
      <c r="CUQ24" s="19"/>
      <c r="CUR24" s="19"/>
      <c r="CUS24" s="19"/>
      <c r="CUT24" s="19"/>
      <c r="CUU24" s="19"/>
      <c r="CUV24" s="19"/>
      <c r="CUW24" s="19"/>
      <c r="CUX24" s="19"/>
      <c r="CUY24" s="19"/>
      <c r="CUZ24" s="19"/>
      <c r="CVA24" s="19"/>
      <c r="CVB24" s="19"/>
      <c r="CVC24" s="19"/>
      <c r="CVD24" s="19"/>
      <c r="CVE24" s="19"/>
      <c r="CVF24" s="19"/>
      <c r="CVG24" s="19"/>
      <c r="CVH24" s="19"/>
      <c r="CVI24" s="19"/>
      <c r="CVJ24" s="19"/>
      <c r="CVK24" s="19"/>
      <c r="CVL24" s="19"/>
      <c r="CVM24" s="19"/>
      <c r="CVN24" s="19"/>
      <c r="CVO24" s="19"/>
      <c r="CVP24" s="19"/>
      <c r="CVQ24" s="19"/>
      <c r="CVR24" s="19"/>
      <c r="CVS24" s="19"/>
      <c r="CVT24" s="19"/>
      <c r="CVU24" s="19"/>
      <c r="CVV24" s="19"/>
      <c r="CVW24" s="19"/>
      <c r="CVX24" s="19"/>
      <c r="CVY24" s="19"/>
      <c r="CVZ24" s="19"/>
      <c r="CWA24" s="19"/>
      <c r="CWB24" s="19"/>
      <c r="CWC24" s="19"/>
      <c r="CWD24" s="19"/>
      <c r="CWE24" s="19"/>
      <c r="CWF24" s="19"/>
      <c r="CWG24" s="19"/>
      <c r="CWH24" s="19"/>
      <c r="CWI24" s="19"/>
      <c r="CWJ24" s="19"/>
      <c r="CWK24" s="19"/>
      <c r="CWL24" s="19"/>
      <c r="CWM24" s="19"/>
      <c r="CWN24" s="19"/>
      <c r="CWO24" s="19"/>
      <c r="CWP24" s="19"/>
      <c r="CWQ24" s="19"/>
      <c r="CWR24" s="19"/>
      <c r="CWS24" s="19"/>
      <c r="CWT24" s="19"/>
      <c r="CWU24" s="19"/>
      <c r="CWV24" s="19"/>
      <c r="CWW24" s="19"/>
      <c r="CWX24" s="19"/>
      <c r="CWY24" s="19"/>
      <c r="CWZ24" s="19"/>
      <c r="CXA24" s="19"/>
      <c r="CXB24" s="19"/>
      <c r="CXC24" s="19"/>
      <c r="CXD24" s="19"/>
      <c r="CXE24" s="19"/>
      <c r="CXF24" s="19"/>
      <c r="CXG24" s="19"/>
      <c r="CXH24" s="19"/>
      <c r="CXI24" s="19"/>
      <c r="CXJ24" s="19"/>
      <c r="CXK24" s="19"/>
      <c r="CXL24" s="19"/>
      <c r="CXM24" s="19"/>
      <c r="CXN24" s="19"/>
      <c r="CXO24" s="19"/>
      <c r="CXP24" s="19"/>
      <c r="CXQ24" s="19"/>
      <c r="CXR24" s="19"/>
      <c r="CXS24" s="19"/>
      <c r="CXT24" s="19"/>
      <c r="CXU24" s="19"/>
      <c r="CXV24" s="19"/>
      <c r="CXW24" s="19"/>
      <c r="CXX24" s="19"/>
      <c r="CXY24" s="19"/>
      <c r="CXZ24" s="19"/>
      <c r="CYA24" s="19"/>
      <c r="CYB24" s="19"/>
      <c r="CYC24" s="19"/>
      <c r="CYD24" s="19"/>
      <c r="CYE24" s="19"/>
      <c r="CYF24" s="19"/>
      <c r="CYG24" s="19"/>
      <c r="CYH24" s="19"/>
      <c r="CYI24" s="19"/>
      <c r="CYJ24" s="19"/>
      <c r="CYK24" s="19"/>
      <c r="CYL24" s="19"/>
      <c r="CYM24" s="19"/>
      <c r="CYN24" s="19"/>
      <c r="CYO24" s="19"/>
      <c r="CYP24" s="19"/>
      <c r="CYQ24" s="19"/>
      <c r="CYR24" s="19"/>
      <c r="CYS24" s="19"/>
      <c r="CYT24" s="19"/>
      <c r="CYU24" s="19"/>
      <c r="CYV24" s="19"/>
      <c r="CYW24" s="19"/>
      <c r="CYX24" s="19"/>
      <c r="CYY24" s="19"/>
      <c r="CYZ24" s="19"/>
      <c r="CZA24" s="19"/>
      <c r="CZB24" s="19"/>
      <c r="CZC24" s="19"/>
      <c r="CZD24" s="19"/>
      <c r="CZE24" s="19"/>
      <c r="CZF24" s="19"/>
      <c r="CZG24" s="19"/>
      <c r="CZH24" s="19"/>
      <c r="CZI24" s="19"/>
      <c r="CZJ24" s="19"/>
      <c r="CZK24" s="19"/>
      <c r="CZL24" s="19"/>
      <c r="CZM24" s="19"/>
      <c r="CZN24" s="19"/>
      <c r="CZO24" s="19"/>
      <c r="CZP24" s="19"/>
      <c r="CZQ24" s="19"/>
      <c r="CZR24" s="19"/>
      <c r="CZS24" s="19"/>
      <c r="CZT24" s="19"/>
      <c r="CZU24" s="19"/>
      <c r="CZV24" s="19"/>
      <c r="CZW24" s="19"/>
      <c r="CZX24" s="19"/>
      <c r="CZY24" s="19"/>
      <c r="CZZ24" s="19"/>
      <c r="DAA24" s="19"/>
      <c r="DAB24" s="19"/>
      <c r="DAC24" s="19"/>
      <c r="DAD24" s="19"/>
      <c r="DAE24" s="19"/>
      <c r="DAF24" s="19"/>
      <c r="DAG24" s="19"/>
      <c r="DAH24" s="19"/>
      <c r="DAI24" s="19"/>
      <c r="DAJ24" s="19"/>
      <c r="DAK24" s="19"/>
      <c r="DAL24" s="19"/>
      <c r="DAM24" s="19"/>
      <c r="DAN24" s="19"/>
      <c r="DAO24" s="19"/>
      <c r="DAP24" s="19"/>
      <c r="DAQ24" s="19"/>
      <c r="DAR24" s="19"/>
      <c r="DAS24" s="19"/>
      <c r="DAT24" s="19"/>
      <c r="DAU24" s="19"/>
      <c r="DAV24" s="19"/>
      <c r="DAW24" s="19"/>
      <c r="DAX24" s="19"/>
      <c r="DAY24" s="19"/>
      <c r="DAZ24" s="19"/>
      <c r="DBA24" s="19"/>
      <c r="DBB24" s="19"/>
      <c r="DBC24" s="19"/>
      <c r="DBD24" s="19"/>
      <c r="DBE24" s="19"/>
      <c r="DBF24" s="19"/>
      <c r="DBG24" s="19"/>
      <c r="DBH24" s="19"/>
      <c r="DBI24" s="19"/>
      <c r="DBJ24" s="19"/>
      <c r="DBK24" s="19"/>
      <c r="DBL24" s="19"/>
      <c r="DBM24" s="19"/>
      <c r="DBN24" s="19"/>
      <c r="DBO24" s="19"/>
      <c r="DBP24" s="19"/>
      <c r="DBQ24" s="19"/>
      <c r="DBR24" s="19"/>
      <c r="DBS24" s="19"/>
      <c r="DBT24" s="19"/>
      <c r="DBU24" s="19"/>
      <c r="DBV24" s="19"/>
      <c r="DBW24" s="19"/>
      <c r="DBX24" s="19"/>
      <c r="DBY24" s="19"/>
      <c r="DBZ24" s="19"/>
      <c r="DCA24" s="19"/>
      <c r="DCB24" s="19"/>
      <c r="DCC24" s="19"/>
      <c r="DCD24" s="19"/>
      <c r="DCE24" s="19"/>
      <c r="DCF24" s="19"/>
      <c r="DCG24" s="19"/>
      <c r="DCH24" s="19"/>
      <c r="DCI24" s="19"/>
      <c r="DCJ24" s="19"/>
      <c r="DCK24" s="19"/>
      <c r="DCL24" s="19"/>
      <c r="DCM24" s="19"/>
      <c r="DCN24" s="19"/>
      <c r="DCO24" s="19"/>
      <c r="DCP24" s="19"/>
      <c r="DCQ24" s="19"/>
      <c r="DCR24" s="19"/>
      <c r="DCS24" s="19"/>
      <c r="DCT24" s="19"/>
      <c r="DCU24" s="19"/>
      <c r="DCV24" s="19"/>
      <c r="DCW24" s="19"/>
      <c r="DCX24" s="19"/>
      <c r="DCY24" s="19"/>
      <c r="DCZ24" s="19"/>
      <c r="DDA24" s="19"/>
      <c r="DDB24" s="19"/>
      <c r="DDC24" s="19"/>
      <c r="DDD24" s="19"/>
      <c r="DDE24" s="19"/>
      <c r="DDF24" s="19"/>
      <c r="DDG24" s="19"/>
      <c r="DDH24" s="19"/>
      <c r="DDI24" s="19"/>
      <c r="DDJ24" s="19"/>
      <c r="DDK24" s="19"/>
      <c r="DDL24" s="19"/>
      <c r="DDM24" s="19"/>
      <c r="DDN24" s="19"/>
      <c r="DDO24" s="19"/>
      <c r="DDP24" s="19"/>
      <c r="DDQ24" s="19"/>
      <c r="DDR24" s="19"/>
      <c r="DDS24" s="19"/>
      <c r="DDT24" s="19"/>
      <c r="DDU24" s="19"/>
      <c r="DDV24" s="19"/>
      <c r="DDW24" s="19"/>
      <c r="DDX24" s="19"/>
      <c r="DDY24" s="19"/>
      <c r="DDZ24" s="19"/>
      <c r="DEA24" s="19"/>
      <c r="DEB24" s="19"/>
      <c r="DEC24" s="19"/>
      <c r="DED24" s="19"/>
      <c r="DEE24" s="19"/>
      <c r="DEF24" s="19"/>
      <c r="DEG24" s="19"/>
      <c r="DEH24" s="19"/>
      <c r="DEI24" s="19"/>
      <c r="DEJ24" s="19"/>
      <c r="DEK24" s="19"/>
      <c r="DEL24" s="19"/>
      <c r="DEM24" s="19"/>
      <c r="DEN24" s="19"/>
      <c r="DEO24" s="19"/>
      <c r="DEP24" s="19"/>
      <c r="DEQ24" s="19"/>
      <c r="DER24" s="19"/>
      <c r="DES24" s="19"/>
      <c r="DET24" s="19"/>
      <c r="DEU24" s="19"/>
      <c r="DEV24" s="19"/>
      <c r="DEW24" s="19"/>
      <c r="DEX24" s="19"/>
      <c r="DEY24" s="19"/>
      <c r="DEZ24" s="19"/>
      <c r="DFA24" s="19"/>
      <c r="DFB24" s="19"/>
      <c r="DFC24" s="19"/>
      <c r="DFD24" s="19"/>
      <c r="DFE24" s="19"/>
      <c r="DFF24" s="19"/>
      <c r="DFG24" s="19"/>
      <c r="DFH24" s="19"/>
      <c r="DFI24" s="19"/>
      <c r="DFJ24" s="19"/>
      <c r="DFK24" s="19"/>
      <c r="DFL24" s="19"/>
      <c r="DFM24" s="19"/>
      <c r="DFN24" s="19"/>
      <c r="DFO24" s="19"/>
      <c r="DFP24" s="19"/>
      <c r="DFQ24" s="19"/>
      <c r="DFR24" s="19"/>
      <c r="DFS24" s="19"/>
      <c r="DFT24" s="19"/>
      <c r="DFU24" s="19"/>
      <c r="DFV24" s="19"/>
      <c r="DFW24" s="19"/>
      <c r="DFX24" s="19"/>
      <c r="DFY24" s="19"/>
      <c r="DFZ24" s="19"/>
      <c r="DGA24" s="19"/>
      <c r="DGB24" s="19"/>
      <c r="DGC24" s="19"/>
      <c r="DGD24" s="19"/>
      <c r="DGE24" s="19"/>
      <c r="DGF24" s="19"/>
      <c r="DGG24" s="19"/>
      <c r="DGH24" s="19"/>
      <c r="DGI24" s="19"/>
      <c r="DGJ24" s="19"/>
      <c r="DGK24" s="19"/>
      <c r="DGL24" s="19"/>
      <c r="DGM24" s="19"/>
      <c r="DGN24" s="19"/>
      <c r="DGO24" s="19"/>
      <c r="DGP24" s="19"/>
      <c r="DGQ24" s="19"/>
      <c r="DGR24" s="19"/>
      <c r="DGS24" s="19"/>
      <c r="DGT24" s="19"/>
      <c r="DGU24" s="19"/>
      <c r="DGV24" s="19"/>
      <c r="DGW24" s="19"/>
      <c r="DGX24" s="19"/>
      <c r="DGY24" s="19"/>
      <c r="DGZ24" s="19"/>
      <c r="DHA24" s="19"/>
      <c r="DHB24" s="19"/>
      <c r="DHC24" s="19"/>
      <c r="DHD24" s="19"/>
      <c r="DHE24" s="19"/>
      <c r="DHF24" s="19"/>
      <c r="DHG24" s="19"/>
      <c r="DHH24" s="19"/>
      <c r="DHI24" s="19"/>
      <c r="DHJ24" s="19"/>
      <c r="DHK24" s="19"/>
      <c r="DHL24" s="19"/>
      <c r="DHM24" s="19"/>
      <c r="DHN24" s="19"/>
      <c r="DHO24" s="19"/>
      <c r="DHP24" s="19"/>
      <c r="DHQ24" s="19"/>
      <c r="DHR24" s="19"/>
      <c r="DHS24" s="19"/>
      <c r="DHT24" s="19"/>
      <c r="DHU24" s="19"/>
      <c r="DHV24" s="19"/>
      <c r="DHW24" s="19"/>
      <c r="DHX24" s="19"/>
      <c r="DHY24" s="19"/>
      <c r="DHZ24" s="19"/>
      <c r="DIA24" s="19"/>
      <c r="DIB24" s="19"/>
      <c r="DIC24" s="19"/>
      <c r="DID24" s="19"/>
      <c r="DIE24" s="19"/>
      <c r="DIF24" s="19"/>
      <c r="DIG24" s="19"/>
      <c r="DIH24" s="19"/>
      <c r="DII24" s="19"/>
      <c r="DIJ24" s="19"/>
      <c r="DIK24" s="19"/>
      <c r="DIL24" s="19"/>
      <c r="DIM24" s="19"/>
      <c r="DIN24" s="19"/>
      <c r="DIO24" s="19"/>
      <c r="DIP24" s="19"/>
      <c r="DIQ24" s="19"/>
      <c r="DIR24" s="19"/>
      <c r="DIS24" s="19"/>
      <c r="DIT24" s="19"/>
      <c r="DIU24" s="19"/>
      <c r="DIV24" s="19"/>
      <c r="DIW24" s="19"/>
      <c r="DIX24" s="19"/>
      <c r="DIY24" s="19"/>
      <c r="DIZ24" s="19"/>
      <c r="DJA24" s="19"/>
      <c r="DJB24" s="19"/>
      <c r="DJC24" s="19"/>
      <c r="DJD24" s="19"/>
      <c r="DJE24" s="19"/>
      <c r="DJF24" s="19"/>
      <c r="DJG24" s="19"/>
      <c r="DJH24" s="19"/>
      <c r="DJI24" s="19"/>
      <c r="DJJ24" s="19"/>
      <c r="DJK24" s="19"/>
      <c r="DJL24" s="19"/>
      <c r="DJM24" s="19"/>
      <c r="DJN24" s="19"/>
      <c r="DJO24" s="19"/>
      <c r="DJP24" s="19"/>
      <c r="DJQ24" s="19"/>
      <c r="DJR24" s="19"/>
      <c r="DJS24" s="19"/>
      <c r="DJT24" s="19"/>
      <c r="DJU24" s="19"/>
      <c r="DJV24" s="19"/>
      <c r="DJW24" s="19"/>
      <c r="DJX24" s="19"/>
      <c r="DJY24" s="19"/>
      <c r="DJZ24" s="19"/>
      <c r="DKA24" s="19"/>
      <c r="DKB24" s="19"/>
      <c r="DKC24" s="19"/>
      <c r="DKD24" s="19"/>
      <c r="DKE24" s="19"/>
      <c r="DKF24" s="19"/>
      <c r="DKG24" s="19"/>
      <c r="DKH24" s="19"/>
      <c r="DKI24" s="19"/>
      <c r="DKJ24" s="19"/>
      <c r="DKK24" s="19"/>
      <c r="DKL24" s="19"/>
      <c r="DKM24" s="19"/>
      <c r="DKN24" s="19"/>
      <c r="DKO24" s="19"/>
      <c r="DKP24" s="19"/>
      <c r="DKQ24" s="19"/>
      <c r="DKR24" s="19"/>
      <c r="DKS24" s="19"/>
      <c r="DKT24" s="19"/>
      <c r="DKU24" s="19"/>
      <c r="DKV24" s="19"/>
      <c r="DKW24" s="19"/>
      <c r="DKX24" s="19"/>
      <c r="DKY24" s="19"/>
      <c r="DKZ24" s="19"/>
      <c r="DLA24" s="19"/>
      <c r="DLB24" s="19"/>
      <c r="DLC24" s="19"/>
      <c r="DLD24" s="19"/>
      <c r="DLE24" s="19"/>
      <c r="DLF24" s="19"/>
      <c r="DLG24" s="19"/>
      <c r="DLH24" s="19"/>
      <c r="DLI24" s="19"/>
      <c r="DLJ24" s="19"/>
      <c r="DLK24" s="19"/>
      <c r="DLL24" s="19"/>
      <c r="DLM24" s="19"/>
      <c r="DLN24" s="19"/>
      <c r="DLO24" s="19"/>
      <c r="DLP24" s="19"/>
      <c r="DLQ24" s="19"/>
      <c r="DLR24" s="19"/>
      <c r="DLS24" s="19"/>
      <c r="DLT24" s="19"/>
      <c r="DLU24" s="19"/>
      <c r="DLV24" s="19"/>
      <c r="DLW24" s="19"/>
      <c r="DLX24" s="19"/>
      <c r="DLY24" s="19"/>
      <c r="DLZ24" s="19"/>
      <c r="DMA24" s="19"/>
      <c r="DMB24" s="19"/>
      <c r="DMC24" s="19"/>
      <c r="DMD24" s="19"/>
      <c r="DME24" s="19"/>
      <c r="DMF24" s="19"/>
      <c r="DMG24" s="19"/>
      <c r="DMH24" s="19"/>
      <c r="DMI24" s="19"/>
      <c r="DMJ24" s="19"/>
      <c r="DMK24" s="19"/>
      <c r="DML24" s="19"/>
      <c r="DMM24" s="19"/>
      <c r="DMN24" s="19"/>
      <c r="DMO24" s="19"/>
      <c r="DMP24" s="19"/>
      <c r="DMQ24" s="19"/>
      <c r="DMR24" s="19"/>
      <c r="DMS24" s="19"/>
      <c r="DMT24" s="19"/>
      <c r="DMU24" s="19"/>
      <c r="DMV24" s="19"/>
      <c r="DMW24" s="19"/>
      <c r="DMX24" s="19"/>
      <c r="DMY24" s="19"/>
      <c r="DMZ24" s="19"/>
      <c r="DNA24" s="19"/>
      <c r="DNB24" s="19"/>
      <c r="DNC24" s="19"/>
      <c r="DND24" s="19"/>
      <c r="DNE24" s="19"/>
      <c r="DNF24" s="19"/>
      <c r="DNG24" s="19"/>
      <c r="DNH24" s="19"/>
      <c r="DNI24" s="19"/>
      <c r="DNJ24" s="19"/>
      <c r="DNK24" s="19"/>
      <c r="DNL24" s="19"/>
      <c r="DNM24" s="19"/>
      <c r="DNN24" s="19"/>
      <c r="DNO24" s="19"/>
      <c r="DNP24" s="19"/>
      <c r="DNQ24" s="19"/>
      <c r="DNR24" s="19"/>
      <c r="DNS24" s="19"/>
      <c r="DNT24" s="19"/>
      <c r="DNU24" s="19"/>
      <c r="DNV24" s="19"/>
      <c r="DNW24" s="19"/>
      <c r="DNX24" s="19"/>
      <c r="DNY24" s="19"/>
      <c r="DNZ24" s="19"/>
      <c r="DOA24" s="19"/>
      <c r="DOB24" s="19"/>
      <c r="DOC24" s="19"/>
      <c r="DOD24" s="19"/>
      <c r="DOE24" s="19"/>
      <c r="DOF24" s="19"/>
      <c r="DOG24" s="19"/>
      <c r="DOH24" s="19"/>
      <c r="DOI24" s="19"/>
      <c r="DOJ24" s="19"/>
      <c r="DOK24" s="19"/>
      <c r="DOL24" s="19"/>
      <c r="DOM24" s="19"/>
      <c r="DON24" s="19"/>
      <c r="DOO24" s="19"/>
      <c r="DOP24" s="19"/>
      <c r="DOQ24" s="19"/>
      <c r="DOR24" s="19"/>
      <c r="DOS24" s="19"/>
      <c r="DOT24" s="19"/>
      <c r="DOU24" s="19"/>
      <c r="DOV24" s="19"/>
      <c r="DOW24" s="19"/>
      <c r="DOX24" s="19"/>
      <c r="DOY24" s="19"/>
      <c r="DOZ24" s="19"/>
      <c r="DPA24" s="19"/>
      <c r="DPB24" s="19"/>
      <c r="DPC24" s="19"/>
      <c r="DPD24" s="19"/>
      <c r="DPE24" s="19"/>
      <c r="DPF24" s="19"/>
      <c r="DPG24" s="19"/>
      <c r="DPH24" s="19"/>
      <c r="DPI24" s="19"/>
      <c r="DPJ24" s="19"/>
      <c r="DPK24" s="19"/>
      <c r="DPL24" s="19"/>
      <c r="DPM24" s="19"/>
      <c r="DPN24" s="19"/>
      <c r="DPO24" s="19"/>
      <c r="DPP24" s="19"/>
      <c r="DPQ24" s="19"/>
      <c r="DPR24" s="19"/>
      <c r="DPS24" s="19"/>
      <c r="DPT24" s="19"/>
      <c r="DPU24" s="19"/>
      <c r="DPV24" s="19"/>
      <c r="DPW24" s="19"/>
      <c r="DPX24" s="19"/>
      <c r="DPY24" s="19"/>
      <c r="DPZ24" s="19"/>
      <c r="DQA24" s="19"/>
      <c r="DQB24" s="19"/>
      <c r="DQC24" s="19"/>
      <c r="DQD24" s="19"/>
      <c r="DQE24" s="19"/>
      <c r="DQF24" s="19"/>
      <c r="DQG24" s="19"/>
      <c r="DQH24" s="19"/>
      <c r="DQI24" s="19"/>
      <c r="DQJ24" s="19"/>
      <c r="DQK24" s="19"/>
      <c r="DQL24" s="19"/>
      <c r="DQM24" s="19"/>
      <c r="DQN24" s="19"/>
      <c r="DQO24" s="19"/>
      <c r="DQP24" s="19"/>
      <c r="DQQ24" s="19"/>
      <c r="DQR24" s="19"/>
      <c r="DQS24" s="19"/>
      <c r="DQT24" s="19"/>
      <c r="DQU24" s="19"/>
      <c r="DQV24" s="19"/>
      <c r="DQW24" s="19"/>
      <c r="DQX24" s="19"/>
      <c r="DQY24" s="19"/>
      <c r="DQZ24" s="19"/>
      <c r="DRA24" s="19"/>
      <c r="DRB24" s="19"/>
      <c r="DRC24" s="19"/>
      <c r="DRD24" s="19"/>
      <c r="DRE24" s="19"/>
      <c r="DRF24" s="19"/>
      <c r="DRG24" s="19"/>
      <c r="DRH24" s="19"/>
      <c r="DRI24" s="19"/>
      <c r="DRJ24" s="19"/>
      <c r="DRK24" s="19"/>
      <c r="DRL24" s="19"/>
      <c r="DRM24" s="19"/>
      <c r="DRN24" s="19"/>
      <c r="DRO24" s="19"/>
      <c r="DRP24" s="19"/>
      <c r="DRQ24" s="19"/>
      <c r="DRR24" s="19"/>
      <c r="DRS24" s="19"/>
      <c r="DRT24" s="19"/>
      <c r="DRU24" s="19"/>
      <c r="DRV24" s="19"/>
      <c r="DRW24" s="19"/>
      <c r="DRX24" s="19"/>
      <c r="DRY24" s="19"/>
      <c r="DRZ24" s="19"/>
      <c r="DSA24" s="19"/>
      <c r="DSB24" s="19"/>
      <c r="DSC24" s="19"/>
      <c r="DSD24" s="19"/>
      <c r="DSE24" s="19"/>
      <c r="DSF24" s="19"/>
      <c r="DSG24" s="19"/>
      <c r="DSH24" s="19"/>
      <c r="DSI24" s="19"/>
      <c r="DSJ24" s="19"/>
      <c r="DSK24" s="19"/>
      <c r="DSL24" s="19"/>
      <c r="DSM24" s="19"/>
      <c r="DSN24" s="19"/>
      <c r="DSO24" s="19"/>
      <c r="DSP24" s="19"/>
      <c r="DSQ24" s="19"/>
      <c r="DSR24" s="19"/>
      <c r="DSS24" s="19"/>
      <c r="DST24" s="19"/>
      <c r="DSU24" s="19"/>
      <c r="DSV24" s="19"/>
      <c r="DSW24" s="19"/>
      <c r="DSX24" s="19"/>
      <c r="DSY24" s="19"/>
      <c r="DSZ24" s="19"/>
      <c r="DTA24" s="19"/>
      <c r="DTB24" s="19"/>
      <c r="DTC24" s="19"/>
      <c r="DTD24" s="19"/>
      <c r="DTE24" s="19"/>
      <c r="DTF24" s="19"/>
      <c r="DTG24" s="19"/>
      <c r="DTH24" s="19"/>
      <c r="DTI24" s="19"/>
      <c r="DTJ24" s="19"/>
      <c r="DTK24" s="19"/>
      <c r="DTL24" s="19"/>
      <c r="DTM24" s="19"/>
      <c r="DTN24" s="19"/>
      <c r="DTO24" s="19"/>
      <c r="DTP24" s="19"/>
      <c r="DTQ24" s="19"/>
      <c r="DTR24" s="19"/>
      <c r="DTS24" s="19"/>
      <c r="DTT24" s="19"/>
      <c r="DTU24" s="19"/>
      <c r="DTV24" s="19"/>
      <c r="DTW24" s="19"/>
      <c r="DTX24" s="19"/>
      <c r="DTY24" s="19"/>
      <c r="DTZ24" s="19"/>
      <c r="DUA24" s="19"/>
      <c r="DUB24" s="19"/>
      <c r="DUC24" s="19"/>
      <c r="DUD24" s="19"/>
      <c r="DUE24" s="19"/>
      <c r="DUF24" s="19"/>
      <c r="DUG24" s="19"/>
      <c r="DUH24" s="19"/>
      <c r="DUI24" s="19"/>
      <c r="DUJ24" s="19"/>
      <c r="DUK24" s="19"/>
      <c r="DUL24" s="19"/>
      <c r="DUM24" s="19"/>
      <c r="DUN24" s="19"/>
      <c r="DUO24" s="19"/>
      <c r="DUP24" s="19"/>
      <c r="DUQ24" s="19"/>
      <c r="DUR24" s="19"/>
      <c r="DUS24" s="19"/>
      <c r="DUT24" s="19"/>
      <c r="DUU24" s="19"/>
      <c r="DUV24" s="19"/>
      <c r="DUW24" s="19"/>
      <c r="DUX24" s="19"/>
      <c r="DUY24" s="19"/>
      <c r="DUZ24" s="19"/>
      <c r="DVA24" s="19"/>
      <c r="DVB24" s="19"/>
      <c r="DVC24" s="19"/>
      <c r="DVD24" s="19"/>
      <c r="DVE24" s="19"/>
      <c r="DVF24" s="19"/>
      <c r="DVG24" s="19"/>
      <c r="DVH24" s="19"/>
      <c r="DVI24" s="19"/>
      <c r="DVJ24" s="19"/>
      <c r="DVK24" s="19"/>
      <c r="DVL24" s="19"/>
      <c r="DVM24" s="19"/>
      <c r="DVN24" s="19"/>
      <c r="DVO24" s="19"/>
      <c r="DVP24" s="19"/>
      <c r="DVQ24" s="19"/>
      <c r="DVR24" s="19"/>
      <c r="DVS24" s="19"/>
      <c r="DVT24" s="19"/>
      <c r="DVU24" s="19"/>
      <c r="DVV24" s="19"/>
      <c r="DVW24" s="19"/>
      <c r="DVX24" s="19"/>
      <c r="DVY24" s="19"/>
      <c r="DVZ24" s="19"/>
      <c r="DWA24" s="19"/>
      <c r="DWB24" s="19"/>
      <c r="DWC24" s="19"/>
      <c r="DWD24" s="19"/>
      <c r="DWE24" s="19"/>
      <c r="DWF24" s="19"/>
      <c r="DWG24" s="19"/>
      <c r="DWH24" s="19"/>
      <c r="DWI24" s="19"/>
      <c r="DWJ24" s="19"/>
      <c r="DWK24" s="19"/>
      <c r="DWL24" s="19"/>
      <c r="DWM24" s="19"/>
      <c r="DWN24" s="19"/>
      <c r="DWO24" s="19"/>
      <c r="DWP24" s="19"/>
      <c r="DWQ24" s="19"/>
      <c r="DWR24" s="19"/>
      <c r="DWS24" s="19"/>
      <c r="DWT24" s="19"/>
      <c r="DWU24" s="19"/>
      <c r="DWV24" s="19"/>
      <c r="DWW24" s="19"/>
      <c r="DWX24" s="19"/>
      <c r="DWY24" s="19"/>
      <c r="DWZ24" s="19"/>
      <c r="DXA24" s="19"/>
      <c r="DXB24" s="19"/>
      <c r="DXC24" s="19"/>
      <c r="DXD24" s="19"/>
      <c r="DXE24" s="19"/>
      <c r="DXF24" s="19"/>
      <c r="DXG24" s="19"/>
      <c r="DXH24" s="19"/>
      <c r="DXI24" s="19"/>
      <c r="DXJ24" s="19"/>
      <c r="DXK24" s="19"/>
      <c r="DXL24" s="19"/>
      <c r="DXM24" s="19"/>
      <c r="DXN24" s="19"/>
      <c r="DXO24" s="19"/>
      <c r="DXP24" s="19"/>
      <c r="DXQ24" s="19"/>
      <c r="DXR24" s="19"/>
      <c r="DXS24" s="19"/>
      <c r="DXT24" s="19"/>
      <c r="DXU24" s="19"/>
      <c r="DXV24" s="19"/>
      <c r="DXW24" s="19"/>
      <c r="DXX24" s="19"/>
      <c r="DXY24" s="19"/>
      <c r="DXZ24" s="19"/>
      <c r="DYA24" s="19"/>
      <c r="DYB24" s="19"/>
      <c r="DYC24" s="19"/>
      <c r="DYD24" s="19"/>
      <c r="DYE24" s="19"/>
      <c r="DYF24" s="19"/>
      <c r="DYG24" s="19"/>
      <c r="DYH24" s="19"/>
      <c r="DYI24" s="19"/>
      <c r="DYJ24" s="19"/>
      <c r="DYK24" s="19"/>
      <c r="DYL24" s="19"/>
      <c r="DYM24" s="19"/>
      <c r="DYN24" s="19"/>
      <c r="DYO24" s="19"/>
      <c r="DYP24" s="19"/>
      <c r="DYQ24" s="19"/>
      <c r="DYR24" s="19"/>
      <c r="DYS24" s="19"/>
      <c r="DYT24" s="19"/>
      <c r="DYU24" s="19"/>
      <c r="DYV24" s="19"/>
      <c r="DYW24" s="19"/>
      <c r="DYX24" s="19"/>
      <c r="DYY24" s="19"/>
      <c r="DYZ24" s="19"/>
      <c r="DZA24" s="19"/>
      <c r="DZB24" s="19"/>
      <c r="DZC24" s="19"/>
      <c r="DZD24" s="19"/>
      <c r="DZE24" s="19"/>
      <c r="DZF24" s="19"/>
      <c r="DZG24" s="19"/>
      <c r="DZH24" s="19"/>
      <c r="DZI24" s="19"/>
      <c r="DZJ24" s="19"/>
      <c r="DZK24" s="19"/>
      <c r="DZL24" s="19"/>
      <c r="DZM24" s="19"/>
      <c r="DZN24" s="19"/>
      <c r="DZO24" s="19"/>
      <c r="DZP24" s="19"/>
      <c r="DZQ24" s="19"/>
      <c r="DZR24" s="19"/>
      <c r="DZS24" s="19"/>
      <c r="DZT24" s="19"/>
      <c r="DZU24" s="19"/>
      <c r="DZV24" s="19"/>
      <c r="DZW24" s="19"/>
      <c r="DZX24" s="19"/>
      <c r="DZY24" s="19"/>
      <c r="DZZ24" s="19"/>
      <c r="EAA24" s="19"/>
      <c r="EAB24" s="19"/>
      <c r="EAC24" s="19"/>
      <c r="EAD24" s="19"/>
      <c r="EAE24" s="19"/>
      <c r="EAF24" s="19"/>
      <c r="EAG24" s="19"/>
      <c r="EAH24" s="19"/>
      <c r="EAI24" s="19"/>
      <c r="EAJ24" s="19"/>
      <c r="EAK24" s="19"/>
      <c r="EAL24" s="19"/>
      <c r="EAM24" s="19"/>
      <c r="EAN24" s="19"/>
      <c r="EAO24" s="19"/>
      <c r="EAP24" s="19"/>
      <c r="EAQ24" s="19"/>
      <c r="EAR24" s="19"/>
      <c r="EAS24" s="19"/>
      <c r="EAT24" s="19"/>
      <c r="EAU24" s="19"/>
      <c r="EAV24" s="19"/>
      <c r="EAW24" s="19"/>
      <c r="EAX24" s="19"/>
      <c r="EAY24" s="19"/>
      <c r="EAZ24" s="19"/>
      <c r="EBA24" s="19"/>
      <c r="EBB24" s="19"/>
      <c r="EBC24" s="19"/>
      <c r="EBD24" s="19"/>
      <c r="EBE24" s="19"/>
      <c r="EBF24" s="19"/>
      <c r="EBG24" s="19"/>
      <c r="EBH24" s="19"/>
      <c r="EBI24" s="19"/>
      <c r="EBJ24" s="19"/>
      <c r="EBK24" s="19"/>
      <c r="EBL24" s="19"/>
      <c r="EBM24" s="19"/>
      <c r="EBN24" s="19"/>
      <c r="EBO24" s="19"/>
      <c r="EBP24" s="19"/>
      <c r="EBQ24" s="19"/>
      <c r="EBR24" s="19"/>
      <c r="EBS24" s="19"/>
      <c r="EBT24" s="19"/>
      <c r="EBU24" s="19"/>
      <c r="EBV24" s="19"/>
      <c r="EBW24" s="19"/>
      <c r="EBX24" s="19"/>
      <c r="EBY24" s="19"/>
      <c r="EBZ24" s="19"/>
      <c r="ECA24" s="19"/>
      <c r="ECB24" s="19"/>
      <c r="ECC24" s="19"/>
      <c r="ECD24" s="19"/>
      <c r="ECE24" s="19"/>
      <c r="ECF24" s="19"/>
      <c r="ECG24" s="19"/>
      <c r="ECH24" s="19"/>
      <c r="ECI24" s="19"/>
      <c r="ECJ24" s="19"/>
      <c r="ECK24" s="19"/>
      <c r="ECL24" s="19"/>
      <c r="ECM24" s="19"/>
      <c r="ECN24" s="19"/>
      <c r="ECO24" s="19"/>
      <c r="ECP24" s="19"/>
      <c r="ECQ24" s="19"/>
      <c r="ECR24" s="19"/>
      <c r="ECS24" s="19"/>
      <c r="ECT24" s="19"/>
      <c r="ECU24" s="19"/>
      <c r="ECV24" s="19"/>
      <c r="ECW24" s="19"/>
      <c r="ECX24" s="19"/>
      <c r="ECY24" s="19"/>
      <c r="ECZ24" s="19"/>
      <c r="EDA24" s="19"/>
      <c r="EDB24" s="19"/>
      <c r="EDC24" s="19"/>
      <c r="EDD24" s="19"/>
      <c r="EDE24" s="19"/>
      <c r="EDF24" s="19"/>
      <c r="EDG24" s="19"/>
      <c r="EDH24" s="19"/>
      <c r="EDI24" s="19"/>
      <c r="EDJ24" s="19"/>
      <c r="EDK24" s="19"/>
      <c r="EDL24" s="19"/>
      <c r="EDM24" s="19"/>
      <c r="EDN24" s="19"/>
      <c r="EDO24" s="19"/>
      <c r="EDP24" s="19"/>
      <c r="EDQ24" s="19"/>
      <c r="EDR24" s="19"/>
      <c r="EDS24" s="19"/>
      <c r="EDT24" s="19"/>
      <c r="EDU24" s="19"/>
      <c r="EDV24" s="19"/>
      <c r="EDW24" s="19"/>
      <c r="EDX24" s="19"/>
      <c r="EDY24" s="19"/>
      <c r="EDZ24" s="19"/>
      <c r="EEA24" s="19"/>
      <c r="EEB24" s="19"/>
      <c r="EEC24" s="19"/>
      <c r="EED24" s="19"/>
      <c r="EEE24" s="19"/>
      <c r="EEF24" s="19"/>
      <c r="EEG24" s="19"/>
      <c r="EEH24" s="19"/>
      <c r="EEI24" s="19"/>
      <c r="EEJ24" s="19"/>
      <c r="EEK24" s="19"/>
      <c r="EEL24" s="19"/>
      <c r="EEM24" s="19"/>
      <c r="EEN24" s="19"/>
      <c r="EEO24" s="19"/>
      <c r="EEP24" s="19"/>
      <c r="EEQ24" s="19"/>
      <c r="EER24" s="19"/>
      <c r="EES24" s="19"/>
      <c r="EET24" s="19"/>
      <c r="EEU24" s="19"/>
      <c r="EEV24" s="19"/>
      <c r="EEW24" s="19"/>
      <c r="EEX24" s="19"/>
      <c r="EEY24" s="19"/>
      <c r="EEZ24" s="19"/>
      <c r="EFA24" s="19"/>
      <c r="EFB24" s="19"/>
      <c r="EFC24" s="19"/>
      <c r="EFD24" s="19"/>
      <c r="EFE24" s="19"/>
      <c r="EFF24" s="19"/>
      <c r="EFG24" s="19"/>
      <c r="EFH24" s="19"/>
      <c r="EFI24" s="19"/>
      <c r="EFJ24" s="19"/>
      <c r="EFK24" s="19"/>
      <c r="EFL24" s="19"/>
      <c r="EFM24" s="19"/>
      <c r="EFN24" s="19"/>
      <c r="EFO24" s="19"/>
      <c r="EFP24" s="19"/>
      <c r="EFQ24" s="19"/>
      <c r="EFR24" s="19"/>
      <c r="EFS24" s="19"/>
      <c r="EFT24" s="19"/>
      <c r="EFU24" s="19"/>
      <c r="EFV24" s="19"/>
      <c r="EFW24" s="19"/>
      <c r="EFX24" s="19"/>
      <c r="EFY24" s="19"/>
      <c r="EFZ24" s="19"/>
      <c r="EGA24" s="19"/>
      <c r="EGB24" s="19"/>
      <c r="EGC24" s="19"/>
      <c r="EGD24" s="19"/>
      <c r="EGE24" s="19"/>
      <c r="EGF24" s="19"/>
      <c r="EGG24" s="19"/>
      <c r="EGH24" s="19"/>
      <c r="EGI24" s="19"/>
      <c r="EGJ24" s="19"/>
      <c r="EGK24" s="19"/>
      <c r="EGL24" s="19"/>
      <c r="EGM24" s="19"/>
      <c r="EGN24" s="19"/>
      <c r="EGO24" s="19"/>
      <c r="EGP24" s="19"/>
      <c r="EGQ24" s="19"/>
      <c r="EGR24" s="19"/>
      <c r="EGS24" s="19"/>
      <c r="EGT24" s="19"/>
      <c r="EGU24" s="19"/>
      <c r="EGV24" s="19"/>
      <c r="EGW24" s="19"/>
      <c r="EGX24" s="19"/>
      <c r="EGY24" s="19"/>
      <c r="EGZ24" s="19"/>
      <c r="EHA24" s="19"/>
      <c r="EHB24" s="19"/>
      <c r="EHC24" s="19"/>
      <c r="EHD24" s="19"/>
      <c r="EHE24" s="19"/>
      <c r="EHF24" s="19"/>
      <c r="EHG24" s="19"/>
      <c r="EHH24" s="19"/>
      <c r="EHI24" s="19"/>
      <c r="EHJ24" s="19"/>
      <c r="EHK24" s="19"/>
      <c r="EHL24" s="19"/>
      <c r="EHM24" s="19"/>
      <c r="EHN24" s="19"/>
      <c r="EHO24" s="19"/>
      <c r="EHP24" s="19"/>
      <c r="EHQ24" s="19"/>
      <c r="EHR24" s="19"/>
      <c r="EHS24" s="19"/>
      <c r="EHT24" s="19"/>
      <c r="EHU24" s="19"/>
      <c r="EHV24" s="19"/>
      <c r="EHW24" s="19"/>
      <c r="EHX24" s="19"/>
      <c r="EHY24" s="19"/>
      <c r="EHZ24" s="19"/>
      <c r="EIA24" s="19"/>
      <c r="EIB24" s="19"/>
      <c r="EIC24" s="19"/>
      <c r="EID24" s="19"/>
      <c r="EIE24" s="19"/>
      <c r="EIF24" s="19"/>
      <c r="EIG24" s="19"/>
      <c r="EIH24" s="19"/>
      <c r="EII24" s="19"/>
      <c r="EIJ24" s="19"/>
      <c r="EIK24" s="19"/>
      <c r="EIL24" s="19"/>
      <c r="EIM24" s="19"/>
      <c r="EIN24" s="19"/>
      <c r="EIO24" s="19"/>
      <c r="EIP24" s="19"/>
      <c r="EIQ24" s="19"/>
      <c r="EIR24" s="19"/>
      <c r="EIS24" s="19"/>
      <c r="EIT24" s="19"/>
      <c r="EIU24" s="19"/>
      <c r="EIV24" s="19"/>
      <c r="EIW24" s="19"/>
      <c r="EIX24" s="19"/>
      <c r="EIY24" s="19"/>
      <c r="EIZ24" s="19"/>
      <c r="EJA24" s="19"/>
      <c r="EJB24" s="19"/>
      <c r="EJC24" s="19"/>
      <c r="EJD24" s="19"/>
      <c r="EJE24" s="19"/>
      <c r="EJF24" s="19"/>
      <c r="EJG24" s="19"/>
      <c r="EJH24" s="19"/>
      <c r="EJI24" s="19"/>
      <c r="EJJ24" s="19"/>
      <c r="EJK24" s="19"/>
      <c r="EJL24" s="19"/>
      <c r="EJM24" s="19"/>
      <c r="EJN24" s="19"/>
      <c r="EJO24" s="19"/>
      <c r="EJP24" s="19"/>
      <c r="EJQ24" s="19"/>
      <c r="EJR24" s="19"/>
      <c r="EJS24" s="19"/>
      <c r="EJT24" s="19"/>
      <c r="EJU24" s="19"/>
      <c r="EJV24" s="19"/>
      <c r="EJW24" s="19"/>
      <c r="EJX24" s="19"/>
      <c r="EJY24" s="19"/>
      <c r="EJZ24" s="19"/>
      <c r="EKA24" s="19"/>
      <c r="EKB24" s="19"/>
      <c r="EKC24" s="19"/>
      <c r="EKD24" s="19"/>
      <c r="EKE24" s="19"/>
      <c r="EKF24" s="19"/>
      <c r="EKG24" s="19"/>
      <c r="EKH24" s="19"/>
      <c r="EKI24" s="19"/>
      <c r="EKJ24" s="19"/>
      <c r="EKK24" s="19"/>
      <c r="EKL24" s="19"/>
      <c r="EKM24" s="19"/>
      <c r="EKN24" s="19"/>
      <c r="EKO24" s="19"/>
      <c r="EKP24" s="19"/>
      <c r="EKQ24" s="19"/>
      <c r="EKR24" s="19"/>
      <c r="EKS24" s="19"/>
      <c r="EKT24" s="19"/>
      <c r="EKU24" s="19"/>
      <c r="EKV24" s="19"/>
      <c r="EKW24" s="19"/>
      <c r="EKX24" s="19"/>
      <c r="EKY24" s="19"/>
      <c r="EKZ24" s="19"/>
      <c r="ELA24" s="19"/>
      <c r="ELB24" s="19"/>
      <c r="ELC24" s="19"/>
      <c r="ELD24" s="19"/>
      <c r="ELE24" s="19"/>
      <c r="ELF24" s="19"/>
      <c r="ELG24" s="19"/>
      <c r="ELH24" s="19"/>
      <c r="ELI24" s="19"/>
      <c r="ELJ24" s="19"/>
      <c r="ELK24" s="19"/>
      <c r="ELL24" s="19"/>
      <c r="ELM24" s="19"/>
      <c r="ELN24" s="19"/>
      <c r="ELO24" s="19"/>
      <c r="ELP24" s="19"/>
      <c r="ELQ24" s="19"/>
      <c r="ELR24" s="19"/>
      <c r="ELS24" s="19"/>
      <c r="ELT24" s="19"/>
      <c r="ELU24" s="19"/>
      <c r="ELV24" s="19"/>
      <c r="ELW24" s="19"/>
      <c r="ELX24" s="19"/>
      <c r="ELY24" s="19"/>
      <c r="ELZ24" s="19"/>
      <c r="EMA24" s="19"/>
      <c r="EMB24" s="19"/>
      <c r="EMC24" s="19"/>
      <c r="EMD24" s="19"/>
      <c r="EME24" s="19"/>
      <c r="EMF24" s="19"/>
      <c r="EMG24" s="19"/>
      <c r="EMH24" s="19"/>
      <c r="EMI24" s="19"/>
      <c r="EMJ24" s="19"/>
      <c r="EMK24" s="19"/>
      <c r="EML24" s="19"/>
      <c r="EMM24" s="19"/>
      <c r="EMN24" s="19"/>
      <c r="EMO24" s="19"/>
      <c r="EMP24" s="19"/>
      <c r="EMQ24" s="19"/>
      <c r="EMR24" s="19"/>
      <c r="EMS24" s="19"/>
      <c r="EMT24" s="19"/>
      <c r="EMU24" s="19"/>
      <c r="EMV24" s="19"/>
      <c r="EMW24" s="19"/>
      <c r="EMX24" s="19"/>
      <c r="EMY24" s="19"/>
      <c r="EMZ24" s="19"/>
      <c r="ENA24" s="19"/>
      <c r="ENB24" s="19"/>
      <c r="ENC24" s="19"/>
      <c r="END24" s="19"/>
      <c r="ENE24" s="19"/>
      <c r="ENF24" s="19"/>
      <c r="ENG24" s="19"/>
      <c r="ENH24" s="19"/>
      <c r="ENI24" s="19"/>
      <c r="ENJ24" s="19"/>
      <c r="ENK24" s="19"/>
      <c r="ENL24" s="19"/>
      <c r="ENM24" s="19"/>
      <c r="ENN24" s="19"/>
      <c r="ENO24" s="19"/>
      <c r="ENP24" s="19"/>
      <c r="ENQ24" s="19"/>
      <c r="ENR24" s="19"/>
      <c r="ENS24" s="19"/>
      <c r="ENT24" s="19"/>
      <c r="ENU24" s="19"/>
      <c r="ENV24" s="19"/>
      <c r="ENW24" s="19"/>
      <c r="ENX24" s="19"/>
      <c r="ENY24" s="19"/>
      <c r="ENZ24" s="19"/>
      <c r="EOA24" s="19"/>
      <c r="EOB24" s="19"/>
      <c r="EOC24" s="19"/>
      <c r="EOD24" s="19"/>
      <c r="EOE24" s="19"/>
      <c r="EOF24" s="19"/>
      <c r="EOG24" s="19"/>
      <c r="EOH24" s="19"/>
      <c r="EOI24" s="19"/>
      <c r="EOJ24" s="19"/>
      <c r="EOK24" s="19"/>
      <c r="EOL24" s="19"/>
      <c r="EOM24" s="19"/>
      <c r="EON24" s="19"/>
      <c r="EOO24" s="19"/>
      <c r="EOP24" s="19"/>
      <c r="EOQ24" s="19"/>
      <c r="EOR24" s="19"/>
      <c r="EOS24" s="19"/>
      <c r="EOT24" s="19"/>
      <c r="EOU24" s="19"/>
      <c r="EOV24" s="19"/>
      <c r="EOW24" s="19"/>
      <c r="EOX24" s="19"/>
      <c r="EOY24" s="19"/>
      <c r="EOZ24" s="19"/>
      <c r="EPA24" s="19"/>
      <c r="EPB24" s="19"/>
      <c r="EPC24" s="19"/>
      <c r="EPD24" s="19"/>
      <c r="EPE24" s="19"/>
      <c r="EPF24" s="19"/>
      <c r="EPG24" s="19"/>
      <c r="EPH24" s="19"/>
      <c r="EPI24" s="19"/>
      <c r="EPJ24" s="19"/>
      <c r="EPK24" s="19"/>
      <c r="EPL24" s="19"/>
      <c r="EPM24" s="19"/>
      <c r="EPN24" s="19"/>
      <c r="EPO24" s="19"/>
      <c r="EPP24" s="19"/>
      <c r="EPQ24" s="19"/>
      <c r="EPR24" s="19"/>
      <c r="EPS24" s="19"/>
      <c r="EPT24" s="19"/>
      <c r="EPU24" s="19"/>
      <c r="EPV24" s="19"/>
      <c r="EPW24" s="19"/>
      <c r="EPX24" s="19"/>
      <c r="EPY24" s="19"/>
      <c r="EPZ24" s="19"/>
      <c r="EQA24" s="19"/>
      <c r="EQB24" s="19"/>
      <c r="EQC24" s="19"/>
      <c r="EQD24" s="19"/>
      <c r="EQE24" s="19"/>
      <c r="EQF24" s="19"/>
      <c r="EQG24" s="19"/>
      <c r="EQH24" s="19"/>
      <c r="EQI24" s="19"/>
      <c r="EQJ24" s="19"/>
      <c r="EQK24" s="19"/>
      <c r="EQL24" s="19"/>
      <c r="EQM24" s="19"/>
      <c r="EQN24" s="19"/>
      <c r="EQO24" s="19"/>
      <c r="EQP24" s="19"/>
      <c r="EQQ24" s="19"/>
      <c r="EQR24" s="19"/>
      <c r="EQS24" s="19"/>
      <c r="EQT24" s="19"/>
      <c r="EQU24" s="19"/>
      <c r="EQV24" s="19"/>
      <c r="EQW24" s="19"/>
      <c r="EQX24" s="19"/>
      <c r="EQY24" s="19"/>
      <c r="EQZ24" s="19"/>
      <c r="ERA24" s="19"/>
      <c r="ERB24" s="19"/>
      <c r="ERC24" s="19"/>
      <c r="ERD24" s="19"/>
      <c r="ERE24" s="19"/>
      <c r="ERF24" s="19"/>
      <c r="ERG24" s="19"/>
      <c r="ERH24" s="19"/>
      <c r="ERI24" s="19"/>
      <c r="ERJ24" s="19"/>
      <c r="ERK24" s="19"/>
      <c r="ERL24" s="19"/>
      <c r="ERM24" s="19"/>
      <c r="ERN24" s="19"/>
      <c r="ERO24" s="19"/>
      <c r="ERP24" s="19"/>
      <c r="ERQ24" s="19"/>
      <c r="ERR24" s="19"/>
      <c r="ERS24" s="19"/>
      <c r="ERT24" s="19"/>
      <c r="ERU24" s="19"/>
      <c r="ERV24" s="19"/>
      <c r="ERW24" s="19"/>
      <c r="ERX24" s="19"/>
      <c r="ERY24" s="19"/>
      <c r="ERZ24" s="19"/>
      <c r="ESA24" s="19"/>
      <c r="ESB24" s="19"/>
      <c r="ESC24" s="19"/>
      <c r="ESD24" s="19"/>
      <c r="ESE24" s="19"/>
      <c r="ESF24" s="19"/>
      <c r="ESG24" s="19"/>
      <c r="ESH24" s="19"/>
      <c r="ESI24" s="19"/>
      <c r="ESJ24" s="19"/>
      <c r="ESK24" s="19"/>
      <c r="ESL24" s="19"/>
      <c r="ESM24" s="19"/>
      <c r="ESN24" s="19"/>
      <c r="ESO24" s="19"/>
      <c r="ESP24" s="19"/>
      <c r="ESQ24" s="19"/>
      <c r="ESR24" s="19"/>
      <c r="ESS24" s="19"/>
      <c r="EST24" s="19"/>
      <c r="ESU24" s="19"/>
      <c r="ESV24" s="19"/>
      <c r="ESW24" s="19"/>
      <c r="ESX24" s="19"/>
      <c r="ESY24" s="19"/>
      <c r="ESZ24" s="19"/>
      <c r="ETA24" s="19"/>
      <c r="ETB24" s="19"/>
      <c r="ETC24" s="19"/>
      <c r="ETD24" s="19"/>
      <c r="ETE24" s="19"/>
      <c r="ETF24" s="19"/>
      <c r="ETG24" s="19"/>
      <c r="ETH24" s="19"/>
      <c r="ETI24" s="19"/>
      <c r="ETJ24" s="19"/>
      <c r="ETK24" s="19"/>
      <c r="ETL24" s="19"/>
      <c r="ETM24" s="19"/>
      <c r="ETN24" s="19"/>
      <c r="ETO24" s="19"/>
      <c r="ETP24" s="19"/>
      <c r="ETQ24" s="19"/>
      <c r="ETR24" s="19"/>
      <c r="ETS24" s="19"/>
      <c r="ETT24" s="19"/>
      <c r="ETU24" s="19"/>
      <c r="ETV24" s="19"/>
      <c r="ETW24" s="19"/>
      <c r="ETX24" s="19"/>
      <c r="ETY24" s="19"/>
      <c r="ETZ24" s="19"/>
      <c r="EUA24" s="19"/>
      <c r="EUB24" s="19"/>
      <c r="EUC24" s="19"/>
      <c r="EUD24" s="19"/>
      <c r="EUE24" s="19"/>
      <c r="EUF24" s="19"/>
      <c r="EUG24" s="19"/>
      <c r="EUH24" s="19"/>
      <c r="EUI24" s="19"/>
      <c r="EUJ24" s="19"/>
      <c r="EUK24" s="19"/>
      <c r="EUL24" s="19"/>
      <c r="EUM24" s="19"/>
      <c r="EUN24" s="19"/>
      <c r="EUO24" s="19"/>
      <c r="EUP24" s="19"/>
      <c r="EUQ24" s="19"/>
      <c r="EUR24" s="19"/>
      <c r="EUS24" s="19"/>
      <c r="EUT24" s="19"/>
      <c r="EUU24" s="19"/>
      <c r="EUV24" s="19"/>
      <c r="EUW24" s="19"/>
      <c r="EUX24" s="19"/>
      <c r="EUY24" s="19"/>
      <c r="EUZ24" s="19"/>
      <c r="EVA24" s="19"/>
      <c r="EVB24" s="19"/>
      <c r="EVC24" s="19"/>
      <c r="EVD24" s="19"/>
      <c r="EVE24" s="19"/>
      <c r="EVF24" s="19"/>
      <c r="EVG24" s="19"/>
      <c r="EVH24" s="19"/>
      <c r="EVI24" s="19"/>
      <c r="EVJ24" s="19"/>
      <c r="EVK24" s="19"/>
      <c r="EVL24" s="19"/>
      <c r="EVM24" s="19"/>
      <c r="EVN24" s="19"/>
      <c r="EVO24" s="19"/>
      <c r="EVP24" s="19"/>
      <c r="EVQ24" s="19"/>
      <c r="EVR24" s="19"/>
      <c r="EVS24" s="19"/>
      <c r="EVT24" s="19"/>
      <c r="EVU24" s="19"/>
      <c r="EVV24" s="19"/>
      <c r="EVW24" s="19"/>
      <c r="EVX24" s="19"/>
      <c r="EVY24" s="19"/>
      <c r="EVZ24" s="19"/>
      <c r="EWA24" s="19"/>
      <c r="EWB24" s="19"/>
      <c r="EWC24" s="19"/>
      <c r="EWD24" s="19"/>
      <c r="EWE24" s="19"/>
      <c r="EWF24" s="19"/>
      <c r="EWG24" s="19"/>
      <c r="EWH24" s="19"/>
      <c r="EWI24" s="19"/>
      <c r="EWJ24" s="19"/>
      <c r="EWK24" s="19"/>
      <c r="EWL24" s="19"/>
      <c r="EWM24" s="19"/>
      <c r="EWN24" s="19"/>
      <c r="EWO24" s="19"/>
      <c r="EWP24" s="19"/>
      <c r="EWQ24" s="19"/>
      <c r="EWR24" s="19"/>
      <c r="EWS24" s="19"/>
      <c r="EWT24" s="19"/>
      <c r="EWU24" s="19"/>
      <c r="EWV24" s="19"/>
      <c r="EWW24" s="19"/>
      <c r="EWX24" s="19"/>
      <c r="EWY24" s="19"/>
      <c r="EWZ24" s="19"/>
      <c r="EXA24" s="19"/>
      <c r="EXB24" s="19"/>
      <c r="EXC24" s="19"/>
      <c r="EXD24" s="19"/>
      <c r="EXE24" s="19"/>
      <c r="EXF24" s="19"/>
      <c r="EXG24" s="19"/>
      <c r="EXH24" s="19"/>
      <c r="EXI24" s="19"/>
      <c r="EXJ24" s="19"/>
      <c r="EXK24" s="19"/>
      <c r="EXL24" s="19"/>
      <c r="EXM24" s="19"/>
      <c r="EXN24" s="19"/>
      <c r="EXO24" s="19"/>
      <c r="EXP24" s="19"/>
      <c r="EXQ24" s="19"/>
      <c r="EXR24" s="19"/>
      <c r="EXS24" s="19"/>
      <c r="EXT24" s="19"/>
      <c r="EXU24" s="19"/>
      <c r="EXV24" s="19"/>
      <c r="EXW24" s="19"/>
      <c r="EXX24" s="19"/>
      <c r="EXY24" s="19"/>
      <c r="EXZ24" s="19"/>
      <c r="EYA24" s="19"/>
      <c r="EYB24" s="19"/>
      <c r="EYC24" s="19"/>
      <c r="EYD24" s="19"/>
      <c r="EYE24" s="19"/>
      <c r="EYF24" s="19"/>
      <c r="EYG24" s="19"/>
      <c r="EYH24" s="19"/>
      <c r="EYI24" s="19"/>
      <c r="EYJ24" s="19"/>
      <c r="EYK24" s="19"/>
      <c r="EYL24" s="19"/>
      <c r="EYM24" s="19"/>
      <c r="EYN24" s="19"/>
      <c r="EYO24" s="19"/>
      <c r="EYP24" s="19"/>
      <c r="EYQ24" s="19"/>
      <c r="EYR24" s="19"/>
      <c r="EYS24" s="19"/>
      <c r="EYT24" s="19"/>
      <c r="EYU24" s="19"/>
      <c r="EYV24" s="19"/>
      <c r="EYW24" s="19"/>
      <c r="EYX24" s="19"/>
      <c r="EYY24" s="19"/>
      <c r="EYZ24" s="19"/>
      <c r="EZA24" s="19"/>
      <c r="EZB24" s="19"/>
      <c r="EZC24" s="19"/>
      <c r="EZD24" s="19"/>
      <c r="EZE24" s="19"/>
      <c r="EZF24" s="19"/>
      <c r="EZG24" s="19"/>
      <c r="EZH24" s="19"/>
      <c r="EZI24" s="19"/>
      <c r="EZJ24" s="19"/>
      <c r="EZK24" s="19"/>
      <c r="EZL24" s="19"/>
      <c r="EZM24" s="19"/>
      <c r="EZN24" s="19"/>
      <c r="EZO24" s="19"/>
      <c r="EZP24" s="19"/>
      <c r="EZQ24" s="19"/>
      <c r="EZR24" s="19"/>
      <c r="EZS24" s="19"/>
      <c r="EZT24" s="19"/>
      <c r="EZU24" s="19"/>
      <c r="EZV24" s="19"/>
      <c r="EZW24" s="19"/>
      <c r="EZX24" s="19"/>
      <c r="EZY24" s="19"/>
      <c r="EZZ24" s="19"/>
      <c r="FAA24" s="19"/>
      <c r="FAB24" s="19"/>
      <c r="FAC24" s="19"/>
      <c r="FAD24" s="19"/>
      <c r="FAE24" s="19"/>
      <c r="FAF24" s="19"/>
      <c r="FAG24" s="19"/>
      <c r="FAH24" s="19"/>
      <c r="FAI24" s="19"/>
      <c r="FAJ24" s="19"/>
      <c r="FAK24" s="19"/>
      <c r="FAL24" s="19"/>
      <c r="FAM24" s="19"/>
      <c r="FAN24" s="19"/>
      <c r="FAO24" s="19"/>
      <c r="FAP24" s="19"/>
      <c r="FAQ24" s="19"/>
      <c r="FAR24" s="19"/>
      <c r="FAS24" s="19"/>
      <c r="FAT24" s="19"/>
      <c r="FAU24" s="19"/>
      <c r="FAV24" s="19"/>
      <c r="FAW24" s="19"/>
      <c r="FAX24" s="19"/>
      <c r="FAY24" s="19"/>
      <c r="FAZ24" s="19"/>
      <c r="FBA24" s="19"/>
      <c r="FBB24" s="19"/>
      <c r="FBC24" s="19"/>
      <c r="FBD24" s="19"/>
      <c r="FBE24" s="19"/>
      <c r="FBF24" s="19"/>
      <c r="FBG24" s="19"/>
      <c r="FBH24" s="19"/>
      <c r="FBI24" s="19"/>
      <c r="FBJ24" s="19"/>
      <c r="FBK24" s="19"/>
      <c r="FBL24" s="19"/>
      <c r="FBM24" s="19"/>
      <c r="FBN24" s="19"/>
      <c r="FBO24" s="19"/>
      <c r="FBP24" s="19"/>
      <c r="FBQ24" s="19"/>
      <c r="FBR24" s="19"/>
      <c r="FBS24" s="19"/>
      <c r="FBT24" s="19"/>
      <c r="FBU24" s="19"/>
      <c r="FBV24" s="19"/>
      <c r="FBW24" s="19"/>
      <c r="FBX24" s="19"/>
      <c r="FBY24" s="19"/>
      <c r="FBZ24" s="19"/>
      <c r="FCA24" s="19"/>
      <c r="FCB24" s="19"/>
      <c r="FCC24" s="19"/>
      <c r="FCD24" s="19"/>
      <c r="FCE24" s="19"/>
      <c r="FCF24" s="19"/>
      <c r="FCG24" s="19"/>
      <c r="FCH24" s="19"/>
      <c r="FCI24" s="19"/>
      <c r="FCJ24" s="19"/>
      <c r="FCK24" s="19"/>
      <c r="FCL24" s="19"/>
      <c r="FCM24" s="19"/>
      <c r="FCN24" s="19"/>
      <c r="FCO24" s="19"/>
      <c r="FCP24" s="19"/>
      <c r="FCQ24" s="19"/>
      <c r="FCR24" s="19"/>
      <c r="FCS24" s="19"/>
      <c r="FCT24" s="19"/>
      <c r="FCU24" s="19"/>
      <c r="FCV24" s="19"/>
      <c r="FCW24" s="19"/>
      <c r="FCX24" s="19"/>
      <c r="FCY24" s="19"/>
      <c r="FCZ24" s="19"/>
      <c r="FDA24" s="19"/>
      <c r="FDB24" s="19"/>
      <c r="FDC24" s="19"/>
      <c r="FDD24" s="19"/>
      <c r="FDE24" s="19"/>
      <c r="FDF24" s="19"/>
      <c r="FDG24" s="19"/>
      <c r="FDH24" s="19"/>
      <c r="FDI24" s="19"/>
      <c r="FDJ24" s="19"/>
      <c r="FDK24" s="19"/>
      <c r="FDL24" s="19"/>
      <c r="FDM24" s="19"/>
      <c r="FDN24" s="19"/>
      <c r="FDO24" s="19"/>
      <c r="FDP24" s="19"/>
      <c r="FDQ24" s="19"/>
      <c r="FDR24" s="19"/>
      <c r="FDS24" s="19"/>
      <c r="FDT24" s="19"/>
      <c r="FDU24" s="19"/>
      <c r="FDV24" s="19"/>
      <c r="FDW24" s="19"/>
      <c r="FDX24" s="19"/>
      <c r="FDY24" s="19"/>
      <c r="FDZ24" s="19"/>
      <c r="FEA24" s="19"/>
      <c r="FEB24" s="19"/>
      <c r="FEC24" s="19"/>
      <c r="FED24" s="19"/>
      <c r="FEE24" s="19"/>
      <c r="FEF24" s="19"/>
      <c r="FEG24" s="19"/>
      <c r="FEH24" s="19"/>
      <c r="FEI24" s="19"/>
      <c r="FEJ24" s="19"/>
      <c r="FEK24" s="19"/>
      <c r="FEL24" s="19"/>
      <c r="FEM24" s="19"/>
      <c r="FEN24" s="19"/>
      <c r="FEO24" s="19"/>
      <c r="FEP24" s="19"/>
      <c r="FEQ24" s="19"/>
      <c r="FER24" s="19"/>
      <c r="FES24" s="19"/>
      <c r="FET24" s="19"/>
      <c r="FEU24" s="19"/>
      <c r="FEV24" s="19"/>
      <c r="FEW24" s="19"/>
      <c r="FEX24" s="19"/>
      <c r="FEY24" s="19"/>
      <c r="FEZ24" s="19"/>
      <c r="FFA24" s="19"/>
      <c r="FFB24" s="19"/>
      <c r="FFC24" s="19"/>
      <c r="FFD24" s="19"/>
      <c r="FFE24" s="19"/>
      <c r="FFF24" s="19"/>
      <c r="FFG24" s="19"/>
      <c r="FFH24" s="19"/>
      <c r="FFI24" s="19"/>
      <c r="FFJ24" s="19"/>
      <c r="FFK24" s="19"/>
      <c r="FFL24" s="19"/>
      <c r="FFM24" s="19"/>
      <c r="FFN24" s="19"/>
      <c r="FFO24" s="19"/>
      <c r="FFP24" s="19"/>
      <c r="FFQ24" s="19"/>
      <c r="FFR24" s="19"/>
      <c r="FFS24" s="19"/>
      <c r="FFT24" s="19"/>
      <c r="FFU24" s="19"/>
      <c r="FFV24" s="19"/>
      <c r="FFW24" s="19"/>
      <c r="FFX24" s="19"/>
      <c r="FFY24" s="19"/>
      <c r="FFZ24" s="19"/>
      <c r="FGA24" s="19"/>
      <c r="FGB24" s="19"/>
      <c r="FGC24" s="19"/>
      <c r="FGD24" s="19"/>
      <c r="FGE24" s="19"/>
      <c r="FGF24" s="19"/>
      <c r="FGG24" s="19"/>
      <c r="FGH24" s="19"/>
      <c r="FGI24" s="19"/>
      <c r="FGJ24" s="19"/>
      <c r="FGK24" s="19"/>
      <c r="FGL24" s="19"/>
      <c r="FGM24" s="19"/>
      <c r="FGN24" s="19"/>
      <c r="FGO24" s="19"/>
      <c r="FGP24" s="19"/>
      <c r="FGQ24" s="19"/>
      <c r="FGR24" s="19"/>
      <c r="FGS24" s="19"/>
      <c r="FGT24" s="19"/>
      <c r="FGU24" s="19"/>
      <c r="FGV24" s="19"/>
      <c r="FGW24" s="19"/>
      <c r="FGX24" s="19"/>
      <c r="FGY24" s="19"/>
      <c r="FGZ24" s="19"/>
      <c r="FHA24" s="19"/>
      <c r="FHB24" s="19"/>
      <c r="FHC24" s="19"/>
      <c r="FHD24" s="19"/>
      <c r="FHE24" s="19"/>
      <c r="FHF24" s="19"/>
      <c r="FHG24" s="19"/>
      <c r="FHH24" s="19"/>
      <c r="FHI24" s="19"/>
      <c r="FHJ24" s="19"/>
      <c r="FHK24" s="19"/>
      <c r="FHL24" s="19"/>
      <c r="FHM24" s="19"/>
      <c r="FHN24" s="19"/>
      <c r="FHO24" s="19"/>
      <c r="FHP24" s="19"/>
      <c r="FHQ24" s="19"/>
      <c r="FHR24" s="19"/>
      <c r="FHS24" s="19"/>
      <c r="FHT24" s="19"/>
      <c r="FHU24" s="19"/>
      <c r="FHV24" s="19"/>
      <c r="FHW24" s="19"/>
      <c r="FHX24" s="19"/>
      <c r="FHY24" s="19"/>
      <c r="FHZ24" s="19"/>
      <c r="FIA24" s="19"/>
      <c r="FIB24" s="19"/>
      <c r="FIC24" s="19"/>
      <c r="FID24" s="19"/>
      <c r="FIE24" s="19"/>
      <c r="FIF24" s="19"/>
      <c r="FIG24" s="19"/>
      <c r="FIH24" s="19"/>
      <c r="FII24" s="19"/>
      <c r="FIJ24" s="19"/>
      <c r="FIK24" s="19"/>
      <c r="FIL24" s="19"/>
      <c r="FIM24" s="19"/>
      <c r="FIN24" s="19"/>
      <c r="FIO24" s="19"/>
      <c r="FIP24" s="19"/>
      <c r="FIQ24" s="19"/>
      <c r="FIR24" s="19"/>
      <c r="FIS24" s="19"/>
      <c r="FIT24" s="19"/>
      <c r="FIU24" s="19"/>
      <c r="FIV24" s="19"/>
      <c r="FIW24" s="19"/>
      <c r="FIX24" s="19"/>
      <c r="FIY24" s="19"/>
      <c r="FIZ24" s="19"/>
      <c r="FJA24" s="19"/>
      <c r="FJB24" s="19"/>
      <c r="FJC24" s="19"/>
      <c r="FJD24" s="19"/>
      <c r="FJE24" s="19"/>
      <c r="FJF24" s="19"/>
      <c r="FJG24" s="19"/>
      <c r="FJH24" s="19"/>
      <c r="FJI24" s="19"/>
      <c r="FJJ24" s="19"/>
      <c r="FJK24" s="19"/>
      <c r="FJL24" s="19"/>
      <c r="FJM24" s="19"/>
      <c r="FJN24" s="19"/>
      <c r="FJO24" s="19"/>
      <c r="FJP24" s="19"/>
      <c r="FJQ24" s="19"/>
      <c r="FJR24" s="19"/>
      <c r="FJS24" s="19"/>
      <c r="FJT24" s="19"/>
      <c r="FJU24" s="19"/>
      <c r="FJV24" s="19"/>
      <c r="FJW24" s="19"/>
      <c r="FJX24" s="19"/>
      <c r="FJY24" s="19"/>
      <c r="FJZ24" s="19"/>
      <c r="FKA24" s="19"/>
      <c r="FKB24" s="19"/>
      <c r="FKC24" s="19"/>
      <c r="FKD24" s="19"/>
      <c r="FKE24" s="19"/>
      <c r="FKF24" s="19"/>
      <c r="FKG24" s="19"/>
      <c r="FKH24" s="19"/>
      <c r="FKI24" s="19"/>
      <c r="FKJ24" s="19"/>
      <c r="FKK24" s="19"/>
      <c r="FKL24" s="19"/>
      <c r="FKM24" s="19"/>
      <c r="FKN24" s="19"/>
      <c r="FKO24" s="19"/>
      <c r="FKP24" s="19"/>
      <c r="FKQ24" s="19"/>
      <c r="FKR24" s="19"/>
      <c r="FKS24" s="19"/>
      <c r="FKT24" s="19"/>
      <c r="FKU24" s="19"/>
      <c r="FKV24" s="19"/>
      <c r="FKW24" s="19"/>
      <c r="FKX24" s="19"/>
      <c r="FKY24" s="19"/>
      <c r="FKZ24" s="19"/>
      <c r="FLA24" s="19"/>
      <c r="FLB24" s="19"/>
      <c r="FLC24" s="19"/>
      <c r="FLD24" s="19"/>
      <c r="FLE24" s="19"/>
      <c r="FLF24" s="19"/>
      <c r="FLG24" s="19"/>
      <c r="FLH24" s="19"/>
      <c r="FLI24" s="19"/>
      <c r="FLJ24" s="19"/>
      <c r="FLK24" s="19"/>
      <c r="FLL24" s="19"/>
      <c r="FLM24" s="19"/>
      <c r="FLN24" s="19"/>
      <c r="FLO24" s="19"/>
      <c r="FLP24" s="19"/>
      <c r="FLQ24" s="19"/>
      <c r="FLR24" s="19"/>
      <c r="FLS24" s="19"/>
      <c r="FLT24" s="19"/>
      <c r="FLU24" s="19"/>
      <c r="FLV24" s="19"/>
      <c r="FLW24" s="19"/>
      <c r="FLX24" s="19"/>
      <c r="FLY24" s="19"/>
      <c r="FLZ24" s="19"/>
      <c r="FMA24" s="19"/>
      <c r="FMB24" s="19"/>
      <c r="FMC24" s="19"/>
      <c r="FMD24" s="19"/>
      <c r="FME24" s="19"/>
      <c r="FMF24" s="19"/>
      <c r="FMG24" s="19"/>
      <c r="FMH24" s="19"/>
      <c r="FMI24" s="19"/>
      <c r="FMJ24" s="19"/>
      <c r="FMK24" s="19"/>
      <c r="FML24" s="19"/>
      <c r="FMM24" s="19"/>
      <c r="FMN24" s="19"/>
      <c r="FMO24" s="19"/>
      <c r="FMP24" s="19"/>
      <c r="FMQ24" s="19"/>
      <c r="FMR24" s="19"/>
      <c r="FMS24" s="19"/>
      <c r="FMT24" s="19"/>
      <c r="FMU24" s="19"/>
      <c r="FMV24" s="19"/>
      <c r="FMW24" s="19"/>
      <c r="FMX24" s="19"/>
      <c r="FMY24" s="19"/>
      <c r="FMZ24" s="19"/>
      <c r="FNA24" s="19"/>
      <c r="FNB24" s="19"/>
      <c r="FNC24" s="19"/>
      <c r="FND24" s="19"/>
      <c r="FNE24" s="19"/>
      <c r="FNF24" s="19"/>
      <c r="FNG24" s="19"/>
      <c r="FNH24" s="19"/>
      <c r="FNI24" s="19"/>
      <c r="FNJ24" s="19"/>
      <c r="FNK24" s="19"/>
      <c r="FNL24" s="19"/>
      <c r="FNM24" s="19"/>
      <c r="FNN24" s="19"/>
      <c r="FNO24" s="19"/>
      <c r="FNP24" s="19"/>
      <c r="FNQ24" s="19"/>
      <c r="FNR24" s="19"/>
      <c r="FNS24" s="19"/>
      <c r="FNT24" s="19"/>
      <c r="FNU24" s="19"/>
      <c r="FNV24" s="19"/>
      <c r="FNW24" s="19"/>
      <c r="FNX24" s="19"/>
      <c r="FNY24" s="19"/>
      <c r="FNZ24" s="19"/>
      <c r="FOA24" s="19"/>
      <c r="FOB24" s="19"/>
      <c r="FOC24" s="19"/>
      <c r="FOD24" s="19"/>
      <c r="FOE24" s="19"/>
      <c r="FOF24" s="19"/>
      <c r="FOG24" s="19"/>
      <c r="FOH24" s="19"/>
      <c r="FOI24" s="19"/>
      <c r="FOJ24" s="19"/>
      <c r="FOK24" s="19"/>
      <c r="FOL24" s="19"/>
      <c r="FOM24" s="19"/>
      <c r="FON24" s="19"/>
      <c r="FOO24" s="19"/>
      <c r="FOP24" s="19"/>
      <c r="FOQ24" s="19"/>
      <c r="FOR24" s="19"/>
      <c r="FOS24" s="19"/>
      <c r="FOT24" s="19"/>
      <c r="FOU24" s="19"/>
      <c r="FOV24" s="19"/>
      <c r="FOW24" s="19"/>
      <c r="FOX24" s="19"/>
      <c r="FOY24" s="19"/>
      <c r="FOZ24" s="19"/>
      <c r="FPA24" s="19"/>
      <c r="FPB24" s="19"/>
      <c r="FPC24" s="19"/>
      <c r="FPD24" s="19"/>
      <c r="FPE24" s="19"/>
      <c r="FPF24" s="19"/>
      <c r="FPG24" s="19"/>
      <c r="FPH24" s="19"/>
      <c r="FPI24" s="19"/>
      <c r="FPJ24" s="19"/>
      <c r="FPK24" s="19"/>
      <c r="FPL24" s="19"/>
      <c r="FPM24" s="19"/>
      <c r="FPN24" s="19"/>
      <c r="FPO24" s="19"/>
      <c r="FPP24" s="19"/>
      <c r="FPQ24" s="19"/>
      <c r="FPR24" s="19"/>
      <c r="FPS24" s="19"/>
      <c r="FPT24" s="19"/>
      <c r="FPU24" s="19"/>
      <c r="FPV24" s="19"/>
      <c r="FPW24" s="19"/>
      <c r="FPX24" s="19"/>
      <c r="FPY24" s="19"/>
      <c r="FPZ24" s="19"/>
      <c r="FQA24" s="19"/>
      <c r="FQB24" s="19"/>
      <c r="FQC24" s="19"/>
      <c r="FQD24" s="19"/>
      <c r="FQE24" s="19"/>
      <c r="FQF24" s="19"/>
      <c r="FQG24" s="19"/>
      <c r="FQH24" s="19"/>
      <c r="FQI24" s="19"/>
      <c r="FQJ24" s="19"/>
      <c r="FQK24" s="19"/>
      <c r="FQL24" s="19"/>
      <c r="FQM24" s="19"/>
      <c r="FQN24" s="19"/>
      <c r="FQO24" s="19"/>
      <c r="FQP24" s="19"/>
      <c r="FQQ24" s="19"/>
      <c r="FQR24" s="19"/>
      <c r="FQS24" s="19"/>
      <c r="FQT24" s="19"/>
      <c r="FQU24" s="19"/>
      <c r="FQV24" s="19"/>
      <c r="FQW24" s="19"/>
      <c r="FQX24" s="19"/>
      <c r="FQY24" s="19"/>
      <c r="FQZ24" s="19"/>
      <c r="FRA24" s="19"/>
      <c r="FRB24" s="19"/>
      <c r="FRC24" s="19"/>
      <c r="FRD24" s="19"/>
      <c r="FRE24" s="19"/>
      <c r="FRF24" s="19"/>
      <c r="FRG24" s="19"/>
      <c r="FRH24" s="19"/>
      <c r="FRI24" s="19"/>
      <c r="FRJ24" s="19"/>
      <c r="FRK24" s="19"/>
      <c r="FRL24" s="19"/>
      <c r="FRM24" s="19"/>
      <c r="FRN24" s="19"/>
      <c r="FRO24" s="19"/>
      <c r="FRP24" s="19"/>
      <c r="FRQ24" s="19"/>
      <c r="FRR24" s="19"/>
      <c r="FRS24" s="19"/>
      <c r="FRT24" s="19"/>
      <c r="FRU24" s="19"/>
      <c r="FRV24" s="19"/>
      <c r="FRW24" s="19"/>
      <c r="FRX24" s="19"/>
      <c r="FRY24" s="19"/>
      <c r="FRZ24" s="19"/>
      <c r="FSA24" s="19"/>
      <c r="FSB24" s="19"/>
      <c r="FSC24" s="19"/>
      <c r="FSD24" s="19"/>
      <c r="FSE24" s="19"/>
      <c r="FSF24" s="19"/>
      <c r="FSG24" s="19"/>
      <c r="FSH24" s="19"/>
      <c r="FSI24" s="19"/>
      <c r="FSJ24" s="19"/>
      <c r="FSK24" s="19"/>
      <c r="FSL24" s="19"/>
      <c r="FSM24" s="19"/>
      <c r="FSN24" s="19"/>
      <c r="FSO24" s="19"/>
      <c r="FSP24" s="19"/>
      <c r="FSQ24" s="19"/>
      <c r="FSR24" s="19"/>
      <c r="FSS24" s="19"/>
      <c r="FST24" s="19"/>
      <c r="FSU24" s="19"/>
      <c r="FSV24" s="19"/>
      <c r="FSW24" s="19"/>
      <c r="FSX24" s="19"/>
      <c r="FSY24" s="19"/>
      <c r="FSZ24" s="19"/>
      <c r="FTA24" s="19"/>
      <c r="FTB24" s="19"/>
      <c r="FTC24" s="19"/>
      <c r="FTD24" s="19"/>
      <c r="FTE24" s="19"/>
      <c r="FTF24" s="19"/>
      <c r="FTG24" s="19"/>
      <c r="FTH24" s="19"/>
      <c r="FTI24" s="19"/>
      <c r="FTJ24" s="19"/>
      <c r="FTK24" s="19"/>
      <c r="FTL24" s="19"/>
      <c r="FTM24" s="19"/>
      <c r="FTN24" s="19"/>
      <c r="FTO24" s="19"/>
      <c r="FTP24" s="19"/>
      <c r="FTQ24" s="19"/>
      <c r="FTR24" s="19"/>
      <c r="FTS24" s="19"/>
      <c r="FTT24" s="19"/>
      <c r="FTU24" s="19"/>
      <c r="FTV24" s="19"/>
      <c r="FTW24" s="19"/>
      <c r="FTX24" s="19"/>
      <c r="FTY24" s="19"/>
      <c r="FTZ24" s="19"/>
      <c r="FUA24" s="19"/>
      <c r="FUB24" s="19"/>
      <c r="FUC24" s="19"/>
      <c r="FUD24" s="19"/>
      <c r="FUE24" s="19"/>
      <c r="FUF24" s="19"/>
      <c r="FUG24" s="19"/>
      <c r="FUH24" s="19"/>
      <c r="FUI24" s="19"/>
      <c r="FUJ24" s="19"/>
      <c r="FUK24" s="19"/>
      <c r="FUL24" s="19"/>
      <c r="FUM24" s="19"/>
      <c r="FUN24" s="19"/>
      <c r="FUO24" s="19"/>
      <c r="FUP24" s="19"/>
      <c r="FUQ24" s="19"/>
      <c r="FUR24" s="19"/>
      <c r="FUS24" s="19"/>
      <c r="FUT24" s="19"/>
      <c r="FUU24" s="19"/>
      <c r="FUV24" s="19"/>
      <c r="FUW24" s="19"/>
      <c r="FUX24" s="19"/>
      <c r="FUY24" s="19"/>
      <c r="FUZ24" s="19"/>
      <c r="FVA24" s="19"/>
      <c r="FVB24" s="19"/>
      <c r="FVC24" s="19"/>
      <c r="FVD24" s="19"/>
      <c r="FVE24" s="19"/>
      <c r="FVF24" s="19"/>
      <c r="FVG24" s="19"/>
      <c r="FVH24" s="19"/>
      <c r="FVI24" s="19"/>
      <c r="FVJ24" s="19"/>
      <c r="FVK24" s="19"/>
      <c r="FVL24" s="19"/>
      <c r="FVM24" s="19"/>
      <c r="FVN24" s="19"/>
      <c r="FVO24" s="19"/>
      <c r="FVP24" s="19"/>
      <c r="FVQ24" s="19"/>
      <c r="FVR24" s="19"/>
      <c r="FVS24" s="19"/>
      <c r="FVT24" s="19"/>
      <c r="FVU24" s="19"/>
      <c r="FVV24" s="19"/>
      <c r="FVW24" s="19"/>
      <c r="FVX24" s="19"/>
      <c r="FVY24" s="19"/>
      <c r="FVZ24" s="19"/>
      <c r="FWA24" s="19"/>
      <c r="FWB24" s="19"/>
      <c r="FWC24" s="19"/>
      <c r="FWD24" s="19"/>
      <c r="FWE24" s="19"/>
      <c r="FWF24" s="19"/>
      <c r="FWG24" s="19"/>
      <c r="FWH24" s="19"/>
      <c r="FWI24" s="19"/>
      <c r="FWJ24" s="19"/>
      <c r="FWK24" s="19"/>
      <c r="FWL24" s="19"/>
      <c r="FWM24" s="19"/>
      <c r="FWN24" s="19"/>
      <c r="FWO24" s="19"/>
      <c r="FWP24" s="19"/>
      <c r="FWQ24" s="19"/>
      <c r="FWR24" s="19"/>
      <c r="FWS24" s="19"/>
      <c r="FWT24" s="19"/>
      <c r="FWU24" s="19"/>
      <c r="FWV24" s="19"/>
      <c r="FWW24" s="19"/>
      <c r="FWX24" s="19"/>
      <c r="FWY24" s="19"/>
      <c r="FWZ24" s="19"/>
      <c r="FXA24" s="19"/>
      <c r="FXB24" s="19"/>
      <c r="FXC24" s="19"/>
      <c r="FXD24" s="19"/>
      <c r="FXE24" s="19"/>
      <c r="FXF24" s="19"/>
      <c r="FXG24" s="19"/>
      <c r="FXH24" s="19"/>
      <c r="FXI24" s="19"/>
      <c r="FXJ24" s="19"/>
      <c r="FXK24" s="19"/>
      <c r="FXL24" s="19"/>
      <c r="FXM24" s="19"/>
      <c r="FXN24" s="19"/>
      <c r="FXO24" s="19"/>
      <c r="FXP24" s="19"/>
      <c r="FXQ24" s="19"/>
      <c r="FXR24" s="19"/>
      <c r="FXS24" s="19"/>
      <c r="FXT24" s="19"/>
      <c r="FXU24" s="19"/>
      <c r="FXV24" s="19"/>
      <c r="FXW24" s="19"/>
      <c r="FXX24" s="19"/>
      <c r="FXY24" s="19"/>
      <c r="FXZ24" s="19"/>
      <c r="FYA24" s="19"/>
      <c r="FYB24" s="19"/>
      <c r="FYC24" s="19"/>
      <c r="FYD24" s="19"/>
      <c r="FYE24" s="19"/>
      <c r="FYF24" s="19"/>
      <c r="FYG24" s="19"/>
      <c r="FYH24" s="19"/>
      <c r="FYI24" s="19"/>
      <c r="FYJ24" s="19"/>
      <c r="FYK24" s="19"/>
      <c r="FYL24" s="19"/>
      <c r="FYM24" s="19"/>
      <c r="FYN24" s="19"/>
      <c r="FYO24" s="19"/>
      <c r="FYP24" s="19"/>
      <c r="FYQ24" s="19"/>
      <c r="FYR24" s="19"/>
      <c r="FYS24" s="19"/>
      <c r="FYT24" s="19"/>
      <c r="FYU24" s="19"/>
      <c r="FYV24" s="19"/>
      <c r="FYW24" s="19"/>
      <c r="FYX24" s="19"/>
      <c r="FYY24" s="19"/>
      <c r="FYZ24" s="19"/>
      <c r="FZA24" s="19"/>
      <c r="FZB24" s="19"/>
      <c r="FZC24" s="19"/>
      <c r="FZD24" s="19"/>
      <c r="FZE24" s="19"/>
      <c r="FZF24" s="19"/>
      <c r="FZG24" s="19"/>
      <c r="FZH24" s="19"/>
      <c r="FZI24" s="19"/>
      <c r="FZJ24" s="19"/>
      <c r="FZK24" s="19"/>
      <c r="FZL24" s="19"/>
      <c r="FZM24" s="19"/>
      <c r="FZN24" s="19"/>
      <c r="FZO24" s="19"/>
      <c r="FZP24" s="19"/>
      <c r="FZQ24" s="19"/>
      <c r="FZR24" s="19"/>
      <c r="FZS24" s="19"/>
      <c r="FZT24" s="19"/>
      <c r="FZU24" s="19"/>
      <c r="FZV24" s="19"/>
      <c r="FZW24" s="19"/>
      <c r="FZX24" s="19"/>
      <c r="FZY24" s="19"/>
      <c r="FZZ24" s="19"/>
      <c r="GAA24" s="19"/>
      <c r="GAB24" s="19"/>
      <c r="GAC24" s="19"/>
      <c r="GAD24" s="19"/>
      <c r="GAE24" s="19"/>
      <c r="GAF24" s="19"/>
      <c r="GAG24" s="19"/>
      <c r="GAH24" s="19"/>
      <c r="GAI24" s="19"/>
      <c r="GAJ24" s="19"/>
      <c r="GAK24" s="19"/>
      <c r="GAL24" s="19"/>
      <c r="GAM24" s="19"/>
      <c r="GAN24" s="19"/>
      <c r="GAO24" s="19"/>
      <c r="GAP24" s="19"/>
      <c r="GAQ24" s="19"/>
      <c r="GAR24" s="19"/>
      <c r="GAS24" s="19"/>
      <c r="GAT24" s="19"/>
      <c r="GAU24" s="19"/>
      <c r="GAV24" s="19"/>
      <c r="GAW24" s="19"/>
      <c r="GAX24" s="19"/>
      <c r="GAY24" s="19"/>
      <c r="GAZ24" s="19"/>
      <c r="GBA24" s="19"/>
      <c r="GBB24" s="19"/>
      <c r="GBC24" s="19"/>
      <c r="GBD24" s="19"/>
      <c r="GBE24" s="19"/>
      <c r="GBF24" s="19"/>
      <c r="GBG24" s="19"/>
      <c r="GBH24" s="19"/>
      <c r="GBI24" s="19"/>
      <c r="GBJ24" s="19"/>
      <c r="GBK24" s="19"/>
      <c r="GBL24" s="19"/>
      <c r="GBM24" s="19"/>
      <c r="GBN24" s="19"/>
      <c r="GBO24" s="19"/>
      <c r="GBP24" s="19"/>
      <c r="GBQ24" s="19"/>
      <c r="GBR24" s="19"/>
      <c r="GBS24" s="19"/>
      <c r="GBT24" s="19"/>
      <c r="GBU24" s="19"/>
      <c r="GBV24" s="19"/>
      <c r="GBW24" s="19"/>
      <c r="GBX24" s="19"/>
      <c r="GBY24" s="19"/>
      <c r="GBZ24" s="19"/>
      <c r="GCA24" s="19"/>
      <c r="GCB24" s="19"/>
      <c r="GCC24" s="19"/>
      <c r="GCD24" s="19"/>
      <c r="GCE24" s="19"/>
      <c r="GCF24" s="19"/>
      <c r="GCG24" s="19"/>
      <c r="GCH24" s="19"/>
      <c r="GCI24" s="19"/>
      <c r="GCJ24" s="19"/>
      <c r="GCK24" s="19"/>
      <c r="GCL24" s="19"/>
      <c r="GCM24" s="19"/>
      <c r="GCN24" s="19"/>
      <c r="GCO24" s="19"/>
      <c r="GCP24" s="19"/>
      <c r="GCQ24" s="19"/>
      <c r="GCR24" s="19"/>
      <c r="GCS24" s="19"/>
      <c r="GCT24" s="19"/>
      <c r="GCU24" s="19"/>
      <c r="GCV24" s="19"/>
      <c r="GCW24" s="19"/>
      <c r="GCX24" s="19"/>
      <c r="GCY24" s="19"/>
      <c r="GCZ24" s="19"/>
      <c r="GDA24" s="19"/>
      <c r="GDB24" s="19"/>
      <c r="GDC24" s="19"/>
      <c r="GDD24" s="19"/>
      <c r="GDE24" s="19"/>
      <c r="GDF24" s="19"/>
      <c r="GDG24" s="19"/>
      <c r="GDH24" s="19"/>
      <c r="GDI24" s="19"/>
      <c r="GDJ24" s="19"/>
      <c r="GDK24" s="19"/>
      <c r="GDL24" s="19"/>
      <c r="GDM24" s="19"/>
      <c r="GDN24" s="19"/>
      <c r="GDO24" s="19"/>
      <c r="GDP24" s="19"/>
      <c r="GDQ24" s="19"/>
      <c r="GDR24" s="19"/>
      <c r="GDS24" s="19"/>
      <c r="GDT24" s="19"/>
      <c r="GDU24" s="19"/>
      <c r="GDV24" s="19"/>
      <c r="GDW24" s="19"/>
      <c r="GDX24" s="19"/>
      <c r="GDY24" s="19"/>
      <c r="GDZ24" s="19"/>
      <c r="GEA24" s="19"/>
      <c r="GEB24" s="19"/>
      <c r="GEC24" s="19"/>
      <c r="GED24" s="19"/>
      <c r="GEE24" s="19"/>
      <c r="GEF24" s="19"/>
      <c r="GEG24" s="19"/>
      <c r="GEH24" s="19"/>
      <c r="GEI24" s="19"/>
      <c r="GEJ24" s="19"/>
      <c r="GEK24" s="19"/>
      <c r="GEL24" s="19"/>
      <c r="GEM24" s="19"/>
      <c r="GEN24" s="19"/>
      <c r="GEO24" s="19"/>
      <c r="GEP24" s="19"/>
      <c r="GEQ24" s="19"/>
      <c r="GER24" s="19"/>
      <c r="GES24" s="19"/>
      <c r="GET24" s="19"/>
      <c r="GEU24" s="19"/>
      <c r="GEV24" s="19"/>
      <c r="GEW24" s="19"/>
      <c r="GEX24" s="19"/>
      <c r="GEY24" s="19"/>
      <c r="GEZ24" s="19"/>
      <c r="GFA24" s="19"/>
      <c r="GFB24" s="19"/>
      <c r="GFC24" s="19"/>
      <c r="GFD24" s="19"/>
      <c r="GFE24" s="19"/>
      <c r="GFF24" s="19"/>
      <c r="GFG24" s="19"/>
      <c r="GFH24" s="19"/>
      <c r="GFI24" s="19"/>
      <c r="GFJ24" s="19"/>
      <c r="GFK24" s="19"/>
      <c r="GFL24" s="19"/>
      <c r="GFM24" s="19"/>
      <c r="GFN24" s="19"/>
      <c r="GFO24" s="19"/>
      <c r="GFP24" s="19"/>
      <c r="GFQ24" s="19"/>
      <c r="GFR24" s="19"/>
      <c r="GFS24" s="19"/>
      <c r="GFT24" s="19"/>
      <c r="GFU24" s="19"/>
      <c r="GFV24" s="19"/>
      <c r="GFW24" s="19"/>
      <c r="GFX24" s="19"/>
      <c r="GFY24" s="19"/>
      <c r="GFZ24" s="19"/>
      <c r="GGA24" s="19"/>
      <c r="GGB24" s="19"/>
      <c r="GGC24" s="19"/>
      <c r="GGD24" s="19"/>
      <c r="GGE24" s="19"/>
      <c r="GGF24" s="19"/>
      <c r="GGG24" s="19"/>
      <c r="GGH24" s="19"/>
      <c r="GGI24" s="19"/>
      <c r="GGJ24" s="19"/>
      <c r="GGK24" s="19"/>
      <c r="GGL24" s="19"/>
      <c r="GGM24" s="19"/>
      <c r="GGN24" s="19"/>
      <c r="GGO24" s="19"/>
      <c r="GGP24" s="19"/>
      <c r="GGQ24" s="19"/>
      <c r="GGR24" s="19"/>
      <c r="GGS24" s="19"/>
      <c r="GGT24" s="19"/>
      <c r="GGU24" s="19"/>
      <c r="GGV24" s="19"/>
      <c r="GGW24" s="19"/>
      <c r="GGX24" s="19"/>
      <c r="GGY24" s="19"/>
      <c r="GGZ24" s="19"/>
      <c r="GHA24" s="19"/>
      <c r="GHB24" s="19"/>
      <c r="GHC24" s="19"/>
      <c r="GHD24" s="19"/>
      <c r="GHE24" s="19"/>
      <c r="GHF24" s="19"/>
      <c r="GHG24" s="19"/>
      <c r="GHH24" s="19"/>
      <c r="GHI24" s="19"/>
      <c r="GHJ24" s="19"/>
      <c r="GHK24" s="19"/>
      <c r="GHL24" s="19"/>
      <c r="GHM24" s="19"/>
      <c r="GHN24" s="19"/>
      <c r="GHO24" s="19"/>
      <c r="GHP24" s="19"/>
      <c r="GHQ24" s="19"/>
      <c r="GHR24" s="19"/>
      <c r="GHS24" s="19"/>
      <c r="GHT24" s="19"/>
      <c r="GHU24" s="19"/>
      <c r="GHV24" s="19"/>
      <c r="GHW24" s="19"/>
      <c r="GHX24" s="19"/>
      <c r="GHY24" s="19"/>
      <c r="GHZ24" s="19"/>
      <c r="GIA24" s="19"/>
      <c r="GIB24" s="19"/>
      <c r="GIC24" s="19"/>
      <c r="GID24" s="19"/>
      <c r="GIE24" s="19"/>
      <c r="GIF24" s="19"/>
      <c r="GIG24" s="19"/>
      <c r="GIH24" s="19"/>
      <c r="GII24" s="19"/>
      <c r="GIJ24" s="19"/>
      <c r="GIK24" s="19"/>
      <c r="GIL24" s="19"/>
      <c r="GIM24" s="19"/>
      <c r="GIN24" s="19"/>
      <c r="GIO24" s="19"/>
      <c r="GIP24" s="19"/>
      <c r="GIQ24" s="19"/>
      <c r="GIR24" s="19"/>
      <c r="GIS24" s="19"/>
      <c r="GIT24" s="19"/>
      <c r="GIU24" s="19"/>
      <c r="GIV24" s="19"/>
      <c r="GIW24" s="19"/>
      <c r="GIX24" s="19"/>
      <c r="GIY24" s="19"/>
      <c r="GIZ24" s="19"/>
      <c r="GJA24" s="19"/>
      <c r="GJB24" s="19"/>
      <c r="GJC24" s="19"/>
      <c r="GJD24" s="19"/>
      <c r="GJE24" s="19"/>
      <c r="GJF24" s="19"/>
      <c r="GJG24" s="19"/>
      <c r="GJH24" s="19"/>
      <c r="GJI24" s="19"/>
      <c r="GJJ24" s="19"/>
      <c r="GJK24" s="19"/>
      <c r="GJL24" s="19"/>
      <c r="GJM24" s="19"/>
      <c r="GJN24" s="19"/>
      <c r="GJO24" s="19"/>
      <c r="GJP24" s="19"/>
      <c r="GJQ24" s="19"/>
      <c r="GJR24" s="19"/>
      <c r="GJS24" s="19"/>
      <c r="GJT24" s="19"/>
      <c r="GJU24" s="19"/>
      <c r="GJV24" s="19"/>
      <c r="GJW24" s="19"/>
      <c r="GJX24" s="19"/>
      <c r="GJY24" s="19"/>
      <c r="GJZ24" s="19"/>
      <c r="GKA24" s="19"/>
      <c r="GKB24" s="19"/>
      <c r="GKC24" s="19"/>
      <c r="GKD24" s="19"/>
      <c r="GKE24" s="19"/>
      <c r="GKF24" s="19"/>
      <c r="GKG24" s="19"/>
      <c r="GKH24" s="19"/>
      <c r="GKI24" s="19"/>
      <c r="GKJ24" s="19"/>
      <c r="GKK24" s="19"/>
      <c r="GKL24" s="19"/>
      <c r="GKM24" s="19"/>
      <c r="GKN24" s="19"/>
      <c r="GKO24" s="19"/>
      <c r="GKP24" s="19"/>
      <c r="GKQ24" s="19"/>
      <c r="GKR24" s="19"/>
      <c r="GKS24" s="19"/>
      <c r="GKT24" s="19"/>
      <c r="GKU24" s="19"/>
      <c r="GKV24" s="19"/>
      <c r="GKW24" s="19"/>
      <c r="GKX24" s="19"/>
      <c r="GKY24" s="19"/>
      <c r="GKZ24" s="19"/>
      <c r="GLA24" s="19"/>
      <c r="GLB24" s="19"/>
      <c r="GLC24" s="19"/>
      <c r="GLD24" s="19"/>
      <c r="GLE24" s="19"/>
      <c r="GLF24" s="19"/>
      <c r="GLG24" s="19"/>
      <c r="GLH24" s="19"/>
      <c r="GLI24" s="19"/>
      <c r="GLJ24" s="19"/>
      <c r="GLK24" s="19"/>
      <c r="GLL24" s="19"/>
      <c r="GLM24" s="19"/>
      <c r="GLN24" s="19"/>
      <c r="GLO24" s="19"/>
      <c r="GLP24" s="19"/>
      <c r="GLQ24" s="19"/>
      <c r="GLR24" s="19"/>
      <c r="GLS24" s="19"/>
      <c r="GLT24" s="19"/>
      <c r="GLU24" s="19"/>
      <c r="GLV24" s="19"/>
      <c r="GLW24" s="19"/>
      <c r="GLX24" s="19"/>
      <c r="GLY24" s="19"/>
      <c r="GLZ24" s="19"/>
      <c r="GMA24" s="19"/>
      <c r="GMB24" s="19"/>
      <c r="GMC24" s="19"/>
      <c r="GMD24" s="19"/>
      <c r="GME24" s="19"/>
      <c r="GMF24" s="19"/>
      <c r="GMG24" s="19"/>
      <c r="GMH24" s="19"/>
      <c r="GMI24" s="19"/>
      <c r="GMJ24" s="19"/>
      <c r="GMK24" s="19"/>
      <c r="GML24" s="19"/>
      <c r="GMM24" s="19"/>
      <c r="GMN24" s="19"/>
      <c r="GMO24" s="19"/>
      <c r="GMP24" s="19"/>
      <c r="GMQ24" s="19"/>
      <c r="GMR24" s="19"/>
      <c r="GMS24" s="19"/>
      <c r="GMT24" s="19"/>
      <c r="GMU24" s="19"/>
      <c r="GMV24" s="19"/>
      <c r="GMW24" s="19"/>
      <c r="GMX24" s="19"/>
      <c r="GMY24" s="19"/>
      <c r="GMZ24" s="19"/>
      <c r="GNA24" s="19"/>
      <c r="GNB24" s="19"/>
      <c r="GNC24" s="19"/>
      <c r="GND24" s="19"/>
      <c r="GNE24" s="19"/>
      <c r="GNF24" s="19"/>
      <c r="GNG24" s="19"/>
      <c r="GNH24" s="19"/>
      <c r="GNI24" s="19"/>
      <c r="GNJ24" s="19"/>
      <c r="GNK24" s="19"/>
      <c r="GNL24" s="19"/>
      <c r="GNM24" s="19"/>
      <c r="GNN24" s="19"/>
      <c r="GNO24" s="19"/>
      <c r="GNP24" s="19"/>
      <c r="GNQ24" s="19"/>
      <c r="GNR24" s="19"/>
      <c r="GNS24" s="19"/>
      <c r="GNT24" s="19"/>
      <c r="GNU24" s="19"/>
      <c r="GNV24" s="19"/>
      <c r="GNW24" s="19"/>
      <c r="GNX24" s="19"/>
      <c r="GNY24" s="19"/>
      <c r="GNZ24" s="19"/>
      <c r="GOA24" s="19"/>
      <c r="GOB24" s="19"/>
      <c r="GOC24" s="19"/>
      <c r="GOD24" s="19"/>
      <c r="GOE24" s="19"/>
      <c r="GOF24" s="19"/>
      <c r="GOG24" s="19"/>
      <c r="GOH24" s="19"/>
      <c r="GOI24" s="19"/>
      <c r="GOJ24" s="19"/>
      <c r="GOK24" s="19"/>
      <c r="GOL24" s="19"/>
      <c r="GOM24" s="19"/>
      <c r="GON24" s="19"/>
      <c r="GOO24" s="19"/>
      <c r="GOP24" s="19"/>
      <c r="GOQ24" s="19"/>
      <c r="GOR24" s="19"/>
      <c r="GOS24" s="19"/>
      <c r="GOT24" s="19"/>
      <c r="GOU24" s="19"/>
      <c r="GOV24" s="19"/>
      <c r="GOW24" s="19"/>
      <c r="GOX24" s="19"/>
      <c r="GOY24" s="19"/>
      <c r="GOZ24" s="19"/>
      <c r="GPA24" s="19"/>
      <c r="GPB24" s="19"/>
      <c r="GPC24" s="19"/>
      <c r="GPD24" s="19"/>
      <c r="GPE24" s="19"/>
      <c r="GPF24" s="19"/>
      <c r="GPG24" s="19"/>
      <c r="GPH24" s="19"/>
      <c r="GPI24" s="19"/>
      <c r="GPJ24" s="19"/>
      <c r="GPK24" s="19"/>
      <c r="GPL24" s="19"/>
      <c r="GPM24" s="19"/>
      <c r="GPN24" s="19"/>
      <c r="GPO24" s="19"/>
      <c r="GPP24" s="19"/>
      <c r="GPQ24" s="19"/>
      <c r="GPR24" s="19"/>
      <c r="GPS24" s="19"/>
      <c r="GPT24" s="19"/>
      <c r="GPU24" s="19"/>
      <c r="GPV24" s="19"/>
      <c r="GPW24" s="19"/>
      <c r="GPX24" s="19"/>
      <c r="GPY24" s="19"/>
      <c r="GPZ24" s="19"/>
      <c r="GQA24" s="19"/>
      <c r="GQB24" s="19"/>
      <c r="GQC24" s="19"/>
      <c r="GQD24" s="19"/>
      <c r="GQE24" s="19"/>
      <c r="GQF24" s="19"/>
      <c r="GQG24" s="19"/>
      <c r="GQH24" s="19"/>
      <c r="GQI24" s="19"/>
      <c r="GQJ24" s="19"/>
      <c r="GQK24" s="19"/>
      <c r="GQL24" s="19"/>
      <c r="GQM24" s="19"/>
      <c r="GQN24" s="19"/>
      <c r="GQO24" s="19"/>
      <c r="GQP24" s="19"/>
      <c r="GQQ24" s="19"/>
      <c r="GQR24" s="19"/>
      <c r="GQS24" s="19"/>
      <c r="GQT24" s="19"/>
      <c r="GQU24" s="19"/>
      <c r="GQV24" s="19"/>
      <c r="GQW24" s="19"/>
      <c r="GQX24" s="19"/>
      <c r="GQY24" s="19"/>
      <c r="GQZ24" s="19"/>
      <c r="GRA24" s="19"/>
      <c r="GRB24" s="19"/>
      <c r="GRC24" s="19"/>
      <c r="GRD24" s="19"/>
      <c r="GRE24" s="19"/>
      <c r="GRF24" s="19"/>
      <c r="GRG24" s="19"/>
      <c r="GRH24" s="19"/>
      <c r="GRI24" s="19"/>
      <c r="GRJ24" s="19"/>
      <c r="GRK24" s="19"/>
      <c r="GRL24" s="19"/>
      <c r="GRM24" s="19"/>
      <c r="GRN24" s="19"/>
      <c r="GRO24" s="19"/>
      <c r="GRP24" s="19"/>
      <c r="GRQ24" s="19"/>
      <c r="GRR24" s="19"/>
      <c r="GRS24" s="19"/>
      <c r="GRT24" s="19"/>
      <c r="GRU24" s="19"/>
      <c r="GRV24" s="19"/>
      <c r="GRW24" s="19"/>
      <c r="GRX24" s="19"/>
      <c r="GRY24" s="19"/>
      <c r="GRZ24" s="19"/>
      <c r="GSA24" s="19"/>
      <c r="GSB24" s="19"/>
      <c r="GSC24" s="19"/>
      <c r="GSD24" s="19"/>
      <c r="GSE24" s="19"/>
      <c r="GSF24" s="19"/>
      <c r="GSG24" s="19"/>
      <c r="GSH24" s="19"/>
      <c r="GSI24" s="19"/>
      <c r="GSJ24" s="19"/>
      <c r="GSK24" s="19"/>
      <c r="GSL24" s="19"/>
      <c r="GSM24" s="19"/>
      <c r="GSN24" s="19"/>
      <c r="GSO24" s="19"/>
      <c r="GSP24" s="19"/>
      <c r="GSQ24" s="19"/>
      <c r="GSR24" s="19"/>
      <c r="GSS24" s="19"/>
      <c r="GST24" s="19"/>
      <c r="GSU24" s="19"/>
      <c r="GSV24" s="19"/>
      <c r="GSW24" s="19"/>
      <c r="GSX24" s="19"/>
      <c r="GSY24" s="19"/>
      <c r="GSZ24" s="19"/>
      <c r="GTA24" s="19"/>
      <c r="GTB24" s="19"/>
      <c r="GTC24" s="19"/>
      <c r="GTD24" s="19"/>
      <c r="GTE24" s="19"/>
      <c r="GTF24" s="19"/>
      <c r="GTG24" s="19"/>
      <c r="GTH24" s="19"/>
      <c r="GTI24" s="19"/>
      <c r="GTJ24" s="19"/>
      <c r="GTK24" s="19"/>
      <c r="GTL24" s="19"/>
      <c r="GTM24" s="19"/>
      <c r="GTN24" s="19"/>
      <c r="GTO24" s="19"/>
      <c r="GTP24" s="19"/>
      <c r="GTQ24" s="19"/>
      <c r="GTR24" s="19"/>
      <c r="GTS24" s="19"/>
      <c r="GTT24" s="19"/>
      <c r="GTU24" s="19"/>
      <c r="GTV24" s="19"/>
      <c r="GTW24" s="19"/>
      <c r="GTX24" s="19"/>
      <c r="GTY24" s="19"/>
      <c r="GTZ24" s="19"/>
      <c r="GUA24" s="19"/>
      <c r="GUB24" s="19"/>
      <c r="GUC24" s="19"/>
      <c r="GUD24" s="19"/>
      <c r="GUE24" s="19"/>
      <c r="GUF24" s="19"/>
      <c r="GUG24" s="19"/>
      <c r="GUH24" s="19"/>
      <c r="GUI24" s="19"/>
      <c r="GUJ24" s="19"/>
      <c r="GUK24" s="19"/>
      <c r="GUL24" s="19"/>
      <c r="GUM24" s="19"/>
      <c r="GUN24" s="19"/>
      <c r="GUO24" s="19"/>
      <c r="GUP24" s="19"/>
      <c r="GUQ24" s="19"/>
      <c r="GUR24" s="19"/>
      <c r="GUS24" s="19"/>
      <c r="GUT24" s="19"/>
      <c r="GUU24" s="19"/>
      <c r="GUV24" s="19"/>
      <c r="GUW24" s="19"/>
      <c r="GUX24" s="19"/>
      <c r="GUY24" s="19"/>
      <c r="GUZ24" s="19"/>
      <c r="GVA24" s="19"/>
      <c r="GVB24" s="19"/>
      <c r="GVC24" s="19"/>
      <c r="GVD24" s="19"/>
      <c r="GVE24" s="19"/>
      <c r="GVF24" s="19"/>
      <c r="GVG24" s="19"/>
      <c r="GVH24" s="19"/>
      <c r="GVI24" s="19"/>
      <c r="GVJ24" s="19"/>
      <c r="GVK24" s="19"/>
      <c r="GVL24" s="19"/>
      <c r="GVM24" s="19"/>
      <c r="GVN24" s="19"/>
      <c r="GVO24" s="19"/>
      <c r="GVP24" s="19"/>
      <c r="GVQ24" s="19"/>
      <c r="GVR24" s="19"/>
      <c r="GVS24" s="19"/>
      <c r="GVT24" s="19"/>
      <c r="GVU24" s="19"/>
      <c r="GVV24" s="19"/>
      <c r="GVW24" s="19"/>
      <c r="GVX24" s="19"/>
      <c r="GVY24" s="19"/>
      <c r="GVZ24" s="19"/>
      <c r="GWA24" s="19"/>
      <c r="GWB24" s="19"/>
      <c r="GWC24" s="19"/>
      <c r="GWD24" s="19"/>
      <c r="GWE24" s="19"/>
      <c r="GWF24" s="19"/>
      <c r="GWG24" s="19"/>
      <c r="GWH24" s="19"/>
      <c r="GWI24" s="19"/>
      <c r="GWJ24" s="19"/>
      <c r="GWK24" s="19"/>
      <c r="GWL24" s="19"/>
      <c r="GWM24" s="19"/>
      <c r="GWN24" s="19"/>
      <c r="GWO24" s="19"/>
      <c r="GWP24" s="19"/>
      <c r="GWQ24" s="19"/>
      <c r="GWR24" s="19"/>
      <c r="GWS24" s="19"/>
      <c r="GWT24" s="19"/>
      <c r="GWU24" s="19"/>
      <c r="GWV24" s="19"/>
      <c r="GWW24" s="19"/>
      <c r="GWX24" s="19"/>
      <c r="GWY24" s="19"/>
      <c r="GWZ24" s="19"/>
      <c r="GXA24" s="19"/>
      <c r="GXB24" s="19"/>
      <c r="GXC24" s="19"/>
      <c r="GXD24" s="19"/>
      <c r="GXE24" s="19"/>
      <c r="GXF24" s="19"/>
      <c r="GXG24" s="19"/>
      <c r="GXH24" s="19"/>
      <c r="GXI24" s="19"/>
      <c r="GXJ24" s="19"/>
      <c r="GXK24" s="19"/>
      <c r="GXL24" s="19"/>
      <c r="GXM24" s="19"/>
      <c r="GXN24" s="19"/>
      <c r="GXO24" s="19"/>
      <c r="GXP24" s="19"/>
      <c r="GXQ24" s="19"/>
      <c r="GXR24" s="19"/>
      <c r="GXS24" s="19"/>
      <c r="GXT24" s="19"/>
      <c r="GXU24" s="19"/>
      <c r="GXV24" s="19"/>
      <c r="GXW24" s="19"/>
      <c r="GXX24" s="19"/>
      <c r="GXY24" s="19"/>
      <c r="GXZ24" s="19"/>
      <c r="GYA24" s="19"/>
      <c r="GYB24" s="19"/>
      <c r="GYC24" s="19"/>
      <c r="GYD24" s="19"/>
      <c r="GYE24" s="19"/>
      <c r="GYF24" s="19"/>
      <c r="GYG24" s="19"/>
      <c r="GYH24" s="19"/>
      <c r="GYI24" s="19"/>
      <c r="GYJ24" s="19"/>
      <c r="GYK24" s="19"/>
      <c r="GYL24" s="19"/>
      <c r="GYM24" s="19"/>
      <c r="GYN24" s="19"/>
      <c r="GYO24" s="19"/>
      <c r="GYP24" s="19"/>
      <c r="GYQ24" s="19"/>
      <c r="GYR24" s="19"/>
      <c r="GYS24" s="19"/>
      <c r="GYT24" s="19"/>
      <c r="GYU24" s="19"/>
      <c r="GYV24" s="19"/>
      <c r="GYW24" s="19"/>
      <c r="GYX24" s="19"/>
      <c r="GYY24" s="19"/>
      <c r="GYZ24" s="19"/>
      <c r="GZA24" s="19"/>
      <c r="GZB24" s="19"/>
      <c r="GZC24" s="19"/>
      <c r="GZD24" s="19"/>
      <c r="GZE24" s="19"/>
      <c r="GZF24" s="19"/>
      <c r="GZG24" s="19"/>
      <c r="GZH24" s="19"/>
      <c r="GZI24" s="19"/>
      <c r="GZJ24" s="19"/>
      <c r="GZK24" s="19"/>
      <c r="GZL24" s="19"/>
      <c r="GZM24" s="19"/>
      <c r="GZN24" s="19"/>
      <c r="GZO24" s="19"/>
      <c r="GZP24" s="19"/>
      <c r="GZQ24" s="19"/>
      <c r="GZR24" s="19"/>
      <c r="GZS24" s="19"/>
      <c r="GZT24" s="19"/>
      <c r="GZU24" s="19"/>
      <c r="GZV24" s="19"/>
      <c r="GZW24" s="19"/>
      <c r="GZX24" s="19"/>
      <c r="GZY24" s="19"/>
      <c r="GZZ24" s="19"/>
      <c r="HAA24" s="19"/>
      <c r="HAB24" s="19"/>
      <c r="HAC24" s="19"/>
      <c r="HAD24" s="19"/>
      <c r="HAE24" s="19"/>
      <c r="HAF24" s="19"/>
      <c r="HAG24" s="19"/>
      <c r="HAH24" s="19"/>
      <c r="HAI24" s="19"/>
      <c r="HAJ24" s="19"/>
      <c r="HAK24" s="19"/>
      <c r="HAL24" s="19"/>
      <c r="HAM24" s="19"/>
      <c r="HAN24" s="19"/>
      <c r="HAO24" s="19"/>
      <c r="HAP24" s="19"/>
      <c r="HAQ24" s="19"/>
      <c r="HAR24" s="19"/>
      <c r="HAS24" s="19"/>
      <c r="HAT24" s="19"/>
      <c r="HAU24" s="19"/>
      <c r="HAV24" s="19"/>
      <c r="HAW24" s="19"/>
      <c r="HAX24" s="19"/>
      <c r="HAY24" s="19"/>
      <c r="HAZ24" s="19"/>
      <c r="HBA24" s="19"/>
      <c r="HBB24" s="19"/>
      <c r="HBC24" s="19"/>
      <c r="HBD24" s="19"/>
      <c r="HBE24" s="19"/>
      <c r="HBF24" s="19"/>
      <c r="HBG24" s="19"/>
      <c r="HBH24" s="19"/>
      <c r="HBI24" s="19"/>
      <c r="HBJ24" s="19"/>
      <c r="HBK24" s="19"/>
      <c r="HBL24" s="19"/>
      <c r="HBM24" s="19"/>
      <c r="HBN24" s="19"/>
      <c r="HBO24" s="19"/>
      <c r="HBP24" s="19"/>
      <c r="HBQ24" s="19"/>
      <c r="HBR24" s="19"/>
      <c r="HBS24" s="19"/>
      <c r="HBT24" s="19"/>
      <c r="HBU24" s="19"/>
      <c r="HBV24" s="19"/>
      <c r="HBW24" s="19"/>
      <c r="HBX24" s="19"/>
      <c r="HBY24" s="19"/>
      <c r="HBZ24" s="19"/>
      <c r="HCA24" s="19"/>
      <c r="HCB24" s="19"/>
      <c r="HCC24" s="19"/>
      <c r="HCD24" s="19"/>
      <c r="HCE24" s="19"/>
      <c r="HCF24" s="19"/>
      <c r="HCG24" s="19"/>
      <c r="HCH24" s="19"/>
      <c r="HCI24" s="19"/>
      <c r="HCJ24" s="19"/>
      <c r="HCK24" s="19"/>
      <c r="HCL24" s="19"/>
      <c r="HCM24" s="19"/>
      <c r="HCN24" s="19"/>
      <c r="HCO24" s="19"/>
      <c r="HCP24" s="19"/>
      <c r="HCQ24" s="19"/>
      <c r="HCR24" s="19"/>
      <c r="HCS24" s="19"/>
      <c r="HCT24" s="19"/>
      <c r="HCU24" s="19"/>
      <c r="HCV24" s="19"/>
      <c r="HCW24" s="19"/>
      <c r="HCX24" s="19"/>
      <c r="HCY24" s="19"/>
      <c r="HCZ24" s="19"/>
      <c r="HDA24" s="19"/>
      <c r="HDB24" s="19"/>
      <c r="HDC24" s="19"/>
      <c r="HDD24" s="19"/>
      <c r="HDE24" s="19"/>
      <c r="HDF24" s="19"/>
      <c r="HDG24" s="19"/>
      <c r="HDH24" s="19"/>
      <c r="HDI24" s="19"/>
      <c r="HDJ24" s="19"/>
      <c r="HDK24" s="19"/>
      <c r="HDL24" s="19"/>
      <c r="HDM24" s="19"/>
      <c r="HDN24" s="19"/>
      <c r="HDO24" s="19"/>
      <c r="HDP24" s="19"/>
      <c r="HDQ24" s="19"/>
      <c r="HDR24" s="19"/>
      <c r="HDS24" s="19"/>
      <c r="HDT24" s="19"/>
      <c r="HDU24" s="19"/>
      <c r="HDV24" s="19"/>
      <c r="HDW24" s="19"/>
      <c r="HDX24" s="19"/>
      <c r="HDY24" s="19"/>
      <c r="HDZ24" s="19"/>
      <c r="HEA24" s="19"/>
      <c r="HEB24" s="19"/>
      <c r="HEC24" s="19"/>
      <c r="HED24" s="19"/>
      <c r="HEE24" s="19"/>
      <c r="HEF24" s="19"/>
      <c r="HEG24" s="19"/>
      <c r="HEH24" s="19"/>
      <c r="HEI24" s="19"/>
      <c r="HEJ24" s="19"/>
      <c r="HEK24" s="19"/>
      <c r="HEL24" s="19"/>
      <c r="HEM24" s="19"/>
      <c r="HEN24" s="19"/>
      <c r="HEO24" s="19"/>
      <c r="HEP24" s="19"/>
      <c r="HEQ24" s="19"/>
      <c r="HER24" s="19"/>
      <c r="HES24" s="19"/>
      <c r="HET24" s="19"/>
      <c r="HEU24" s="19"/>
      <c r="HEV24" s="19"/>
      <c r="HEW24" s="19"/>
      <c r="HEX24" s="19"/>
      <c r="HEY24" s="19"/>
      <c r="HEZ24" s="19"/>
      <c r="HFA24" s="19"/>
      <c r="HFB24" s="19"/>
      <c r="HFC24" s="19"/>
      <c r="HFD24" s="19"/>
      <c r="HFE24" s="19"/>
      <c r="HFF24" s="19"/>
      <c r="HFG24" s="19"/>
      <c r="HFH24" s="19"/>
      <c r="HFI24" s="19"/>
      <c r="HFJ24" s="19"/>
      <c r="HFK24" s="19"/>
      <c r="HFL24" s="19"/>
      <c r="HFM24" s="19"/>
      <c r="HFN24" s="19"/>
      <c r="HFO24" s="19"/>
      <c r="HFP24" s="19"/>
      <c r="HFQ24" s="19"/>
      <c r="HFR24" s="19"/>
      <c r="HFS24" s="19"/>
      <c r="HFT24" s="19"/>
      <c r="HFU24" s="19"/>
      <c r="HFV24" s="19"/>
      <c r="HFW24" s="19"/>
      <c r="HFX24" s="19"/>
      <c r="HFY24" s="19"/>
      <c r="HFZ24" s="19"/>
      <c r="HGA24" s="19"/>
      <c r="HGB24" s="19"/>
      <c r="HGC24" s="19"/>
      <c r="HGD24" s="19"/>
      <c r="HGE24" s="19"/>
      <c r="HGF24" s="19"/>
      <c r="HGG24" s="19"/>
      <c r="HGH24" s="19"/>
      <c r="HGI24" s="19"/>
      <c r="HGJ24" s="19"/>
      <c r="HGK24" s="19"/>
      <c r="HGL24" s="19"/>
      <c r="HGM24" s="19"/>
      <c r="HGN24" s="19"/>
      <c r="HGO24" s="19"/>
      <c r="HGP24" s="19"/>
      <c r="HGQ24" s="19"/>
      <c r="HGR24" s="19"/>
      <c r="HGS24" s="19"/>
      <c r="HGT24" s="19"/>
      <c r="HGU24" s="19"/>
      <c r="HGV24" s="19"/>
      <c r="HGW24" s="19"/>
      <c r="HGX24" s="19"/>
      <c r="HGY24" s="19"/>
      <c r="HGZ24" s="19"/>
      <c r="HHA24" s="19"/>
      <c r="HHB24" s="19"/>
      <c r="HHC24" s="19"/>
      <c r="HHD24" s="19"/>
      <c r="HHE24" s="19"/>
      <c r="HHF24" s="19"/>
      <c r="HHG24" s="19"/>
      <c r="HHH24" s="19"/>
      <c r="HHI24" s="19"/>
      <c r="HHJ24" s="19"/>
      <c r="HHK24" s="19"/>
      <c r="HHL24" s="19"/>
      <c r="HHM24" s="19"/>
      <c r="HHN24" s="19"/>
      <c r="HHO24" s="19"/>
      <c r="HHP24" s="19"/>
      <c r="HHQ24" s="19"/>
      <c r="HHR24" s="19"/>
      <c r="HHS24" s="19"/>
      <c r="HHT24" s="19"/>
      <c r="HHU24" s="19"/>
      <c r="HHV24" s="19"/>
      <c r="HHW24" s="19"/>
      <c r="HHX24" s="19"/>
      <c r="HHY24" s="19"/>
      <c r="HHZ24" s="19"/>
      <c r="HIA24" s="19"/>
      <c r="HIB24" s="19"/>
      <c r="HIC24" s="19"/>
      <c r="HID24" s="19"/>
      <c r="HIE24" s="19"/>
      <c r="HIF24" s="19"/>
      <c r="HIG24" s="19"/>
      <c r="HIH24" s="19"/>
      <c r="HII24" s="19"/>
      <c r="HIJ24" s="19"/>
      <c r="HIK24" s="19"/>
      <c r="HIL24" s="19"/>
      <c r="HIM24" s="19"/>
      <c r="HIN24" s="19"/>
      <c r="HIO24" s="19"/>
      <c r="HIP24" s="19"/>
      <c r="HIQ24" s="19"/>
      <c r="HIR24" s="19"/>
      <c r="HIS24" s="19"/>
      <c r="HIT24" s="19"/>
      <c r="HIU24" s="19"/>
      <c r="HIV24" s="19"/>
      <c r="HIW24" s="19"/>
      <c r="HIX24" s="19"/>
      <c r="HIY24" s="19"/>
      <c r="HIZ24" s="19"/>
      <c r="HJA24" s="19"/>
      <c r="HJB24" s="19"/>
      <c r="HJC24" s="19"/>
      <c r="HJD24" s="19"/>
      <c r="HJE24" s="19"/>
      <c r="HJF24" s="19"/>
      <c r="HJG24" s="19"/>
      <c r="HJH24" s="19"/>
      <c r="HJI24" s="19"/>
      <c r="HJJ24" s="19"/>
      <c r="HJK24" s="19"/>
      <c r="HJL24" s="19"/>
      <c r="HJM24" s="19"/>
      <c r="HJN24" s="19"/>
      <c r="HJO24" s="19"/>
      <c r="HJP24" s="19"/>
      <c r="HJQ24" s="19"/>
      <c r="HJR24" s="19"/>
      <c r="HJS24" s="19"/>
      <c r="HJT24" s="19"/>
      <c r="HJU24" s="19"/>
      <c r="HJV24" s="19"/>
      <c r="HJW24" s="19"/>
      <c r="HJX24" s="19"/>
      <c r="HJY24" s="19"/>
      <c r="HJZ24" s="19"/>
      <c r="HKA24" s="19"/>
      <c r="HKB24" s="19"/>
      <c r="HKC24" s="19"/>
      <c r="HKD24" s="19"/>
      <c r="HKE24" s="19"/>
      <c r="HKF24" s="19"/>
      <c r="HKG24" s="19"/>
      <c r="HKH24" s="19"/>
      <c r="HKI24" s="19"/>
      <c r="HKJ24" s="19"/>
      <c r="HKK24" s="19"/>
      <c r="HKL24" s="19"/>
      <c r="HKM24" s="19"/>
      <c r="HKN24" s="19"/>
      <c r="HKO24" s="19"/>
      <c r="HKP24" s="19"/>
      <c r="HKQ24" s="19"/>
      <c r="HKR24" s="19"/>
      <c r="HKS24" s="19"/>
      <c r="HKT24" s="19"/>
      <c r="HKU24" s="19"/>
      <c r="HKV24" s="19"/>
      <c r="HKW24" s="19"/>
      <c r="HKX24" s="19"/>
      <c r="HKY24" s="19"/>
      <c r="HKZ24" s="19"/>
      <c r="HLA24" s="19"/>
      <c r="HLB24" s="19"/>
      <c r="HLC24" s="19"/>
      <c r="HLD24" s="19"/>
      <c r="HLE24" s="19"/>
      <c r="HLF24" s="19"/>
      <c r="HLG24" s="19"/>
      <c r="HLH24" s="19"/>
      <c r="HLI24" s="19"/>
      <c r="HLJ24" s="19"/>
      <c r="HLK24" s="19"/>
      <c r="HLL24" s="19"/>
      <c r="HLM24" s="19"/>
      <c r="HLN24" s="19"/>
      <c r="HLO24" s="19"/>
      <c r="HLP24" s="19"/>
      <c r="HLQ24" s="19"/>
      <c r="HLR24" s="19"/>
      <c r="HLS24" s="19"/>
      <c r="HLT24" s="19"/>
      <c r="HLU24" s="19"/>
      <c r="HLV24" s="19"/>
      <c r="HLW24" s="19"/>
      <c r="HLX24" s="19"/>
      <c r="HLY24" s="19"/>
      <c r="HLZ24" s="19"/>
      <c r="HMA24" s="19"/>
      <c r="HMB24" s="19"/>
      <c r="HMC24" s="19"/>
      <c r="HMD24" s="19"/>
      <c r="HME24" s="19"/>
      <c r="HMF24" s="19"/>
      <c r="HMG24" s="19"/>
      <c r="HMH24" s="19"/>
      <c r="HMI24" s="19"/>
      <c r="HMJ24" s="19"/>
      <c r="HMK24" s="19"/>
      <c r="HML24" s="19"/>
      <c r="HMM24" s="19"/>
      <c r="HMN24" s="19"/>
      <c r="HMO24" s="19"/>
      <c r="HMP24" s="19"/>
      <c r="HMQ24" s="19"/>
      <c r="HMR24" s="19"/>
      <c r="HMS24" s="19"/>
      <c r="HMT24" s="19"/>
      <c r="HMU24" s="19"/>
      <c r="HMV24" s="19"/>
      <c r="HMW24" s="19"/>
      <c r="HMX24" s="19"/>
      <c r="HMY24" s="19"/>
      <c r="HMZ24" s="19"/>
      <c r="HNA24" s="19"/>
      <c r="HNB24" s="19"/>
      <c r="HNC24" s="19"/>
      <c r="HND24" s="19"/>
      <c r="HNE24" s="19"/>
      <c r="HNF24" s="19"/>
      <c r="HNG24" s="19"/>
      <c r="HNH24" s="19"/>
      <c r="HNI24" s="19"/>
      <c r="HNJ24" s="19"/>
      <c r="HNK24" s="19"/>
      <c r="HNL24" s="19"/>
      <c r="HNM24" s="19"/>
      <c r="HNN24" s="19"/>
      <c r="HNO24" s="19"/>
      <c r="HNP24" s="19"/>
      <c r="HNQ24" s="19"/>
      <c r="HNR24" s="19"/>
      <c r="HNS24" s="19"/>
      <c r="HNT24" s="19"/>
      <c r="HNU24" s="19"/>
      <c r="HNV24" s="19"/>
      <c r="HNW24" s="19"/>
      <c r="HNX24" s="19"/>
      <c r="HNY24" s="19"/>
      <c r="HNZ24" s="19"/>
      <c r="HOA24" s="19"/>
      <c r="HOB24" s="19"/>
      <c r="HOC24" s="19"/>
      <c r="HOD24" s="19"/>
      <c r="HOE24" s="19"/>
      <c r="HOF24" s="19"/>
      <c r="HOG24" s="19"/>
      <c r="HOH24" s="19"/>
      <c r="HOI24" s="19"/>
      <c r="HOJ24" s="19"/>
      <c r="HOK24" s="19"/>
      <c r="HOL24" s="19"/>
      <c r="HOM24" s="19"/>
      <c r="HON24" s="19"/>
      <c r="HOO24" s="19"/>
      <c r="HOP24" s="19"/>
      <c r="HOQ24" s="19"/>
      <c r="HOR24" s="19"/>
      <c r="HOS24" s="19"/>
      <c r="HOT24" s="19"/>
      <c r="HOU24" s="19"/>
      <c r="HOV24" s="19"/>
      <c r="HOW24" s="19"/>
      <c r="HOX24" s="19"/>
      <c r="HOY24" s="19"/>
      <c r="HOZ24" s="19"/>
      <c r="HPA24" s="19"/>
      <c r="HPB24" s="19"/>
      <c r="HPC24" s="19"/>
      <c r="HPD24" s="19"/>
      <c r="HPE24" s="19"/>
      <c r="HPF24" s="19"/>
      <c r="HPG24" s="19"/>
      <c r="HPH24" s="19"/>
      <c r="HPI24" s="19"/>
      <c r="HPJ24" s="19"/>
      <c r="HPK24" s="19"/>
      <c r="HPL24" s="19"/>
      <c r="HPM24" s="19"/>
      <c r="HPN24" s="19"/>
      <c r="HPO24" s="19"/>
      <c r="HPP24" s="19"/>
      <c r="HPQ24" s="19"/>
      <c r="HPR24" s="19"/>
      <c r="HPS24" s="19"/>
      <c r="HPT24" s="19"/>
      <c r="HPU24" s="19"/>
      <c r="HPV24" s="19"/>
      <c r="HPW24" s="19"/>
      <c r="HPX24" s="19"/>
      <c r="HPY24" s="19"/>
      <c r="HPZ24" s="19"/>
      <c r="HQA24" s="19"/>
      <c r="HQB24" s="19"/>
      <c r="HQC24" s="19"/>
      <c r="HQD24" s="19"/>
      <c r="HQE24" s="19"/>
      <c r="HQF24" s="19"/>
      <c r="HQG24" s="19"/>
      <c r="HQH24" s="19"/>
      <c r="HQI24" s="19"/>
      <c r="HQJ24" s="19"/>
      <c r="HQK24" s="19"/>
      <c r="HQL24" s="19"/>
      <c r="HQM24" s="19"/>
      <c r="HQN24" s="19"/>
      <c r="HQO24" s="19"/>
      <c r="HQP24" s="19"/>
      <c r="HQQ24" s="19"/>
      <c r="HQR24" s="19"/>
      <c r="HQS24" s="19"/>
      <c r="HQT24" s="19"/>
      <c r="HQU24" s="19"/>
      <c r="HQV24" s="19"/>
      <c r="HQW24" s="19"/>
      <c r="HQX24" s="19"/>
      <c r="HQY24" s="19"/>
      <c r="HQZ24" s="19"/>
      <c r="HRA24" s="19"/>
      <c r="HRB24" s="19"/>
      <c r="HRC24" s="19"/>
      <c r="HRD24" s="19"/>
      <c r="HRE24" s="19"/>
      <c r="HRF24" s="19"/>
      <c r="HRG24" s="19"/>
      <c r="HRH24" s="19"/>
      <c r="HRI24" s="19"/>
      <c r="HRJ24" s="19"/>
      <c r="HRK24" s="19"/>
      <c r="HRL24" s="19"/>
      <c r="HRM24" s="19"/>
      <c r="HRN24" s="19"/>
      <c r="HRO24" s="19"/>
      <c r="HRP24" s="19"/>
      <c r="HRQ24" s="19"/>
      <c r="HRR24" s="19"/>
      <c r="HRS24" s="19"/>
      <c r="HRT24" s="19"/>
      <c r="HRU24" s="19"/>
      <c r="HRV24" s="19"/>
      <c r="HRW24" s="19"/>
      <c r="HRX24" s="19"/>
      <c r="HRY24" s="19"/>
      <c r="HRZ24" s="19"/>
      <c r="HSA24" s="19"/>
      <c r="HSB24" s="19"/>
      <c r="HSC24" s="19"/>
      <c r="HSD24" s="19"/>
      <c r="HSE24" s="19"/>
      <c r="HSF24" s="19"/>
      <c r="HSG24" s="19"/>
      <c r="HSH24" s="19"/>
      <c r="HSI24" s="19"/>
      <c r="HSJ24" s="19"/>
      <c r="HSK24" s="19"/>
      <c r="HSL24" s="19"/>
      <c r="HSM24" s="19"/>
      <c r="HSN24" s="19"/>
      <c r="HSO24" s="19"/>
      <c r="HSP24" s="19"/>
      <c r="HSQ24" s="19"/>
      <c r="HSR24" s="19"/>
      <c r="HSS24" s="19"/>
      <c r="HST24" s="19"/>
      <c r="HSU24" s="19"/>
      <c r="HSV24" s="19"/>
      <c r="HSW24" s="19"/>
      <c r="HSX24" s="19"/>
      <c r="HSY24" s="19"/>
      <c r="HSZ24" s="19"/>
      <c r="HTA24" s="19"/>
      <c r="HTB24" s="19"/>
      <c r="HTC24" s="19"/>
      <c r="HTD24" s="19"/>
      <c r="HTE24" s="19"/>
      <c r="HTF24" s="19"/>
      <c r="HTG24" s="19"/>
      <c r="HTH24" s="19"/>
      <c r="HTI24" s="19"/>
      <c r="HTJ24" s="19"/>
      <c r="HTK24" s="19"/>
      <c r="HTL24" s="19"/>
      <c r="HTM24" s="19"/>
      <c r="HTN24" s="19"/>
      <c r="HTO24" s="19"/>
      <c r="HTP24" s="19"/>
      <c r="HTQ24" s="19"/>
      <c r="HTR24" s="19"/>
      <c r="HTS24" s="19"/>
      <c r="HTT24" s="19"/>
      <c r="HTU24" s="19"/>
      <c r="HTV24" s="19"/>
      <c r="HTW24" s="19"/>
      <c r="HTX24" s="19"/>
      <c r="HTY24" s="19"/>
      <c r="HTZ24" s="19"/>
      <c r="HUA24" s="19"/>
      <c r="HUB24" s="19"/>
      <c r="HUC24" s="19"/>
      <c r="HUD24" s="19"/>
      <c r="HUE24" s="19"/>
      <c r="HUF24" s="19"/>
      <c r="HUG24" s="19"/>
      <c r="HUH24" s="19"/>
      <c r="HUI24" s="19"/>
      <c r="HUJ24" s="19"/>
      <c r="HUK24" s="19"/>
      <c r="HUL24" s="19"/>
      <c r="HUM24" s="19"/>
      <c r="HUN24" s="19"/>
      <c r="HUO24" s="19"/>
      <c r="HUP24" s="19"/>
      <c r="HUQ24" s="19"/>
      <c r="HUR24" s="19"/>
      <c r="HUS24" s="19"/>
      <c r="HUT24" s="19"/>
      <c r="HUU24" s="19"/>
      <c r="HUV24" s="19"/>
      <c r="HUW24" s="19"/>
      <c r="HUX24" s="19"/>
      <c r="HUY24" s="19"/>
      <c r="HUZ24" s="19"/>
      <c r="HVA24" s="19"/>
      <c r="HVB24" s="19"/>
      <c r="HVC24" s="19"/>
      <c r="HVD24" s="19"/>
      <c r="HVE24" s="19"/>
      <c r="HVF24" s="19"/>
      <c r="HVG24" s="19"/>
      <c r="HVH24" s="19"/>
      <c r="HVI24" s="19"/>
      <c r="HVJ24" s="19"/>
      <c r="HVK24" s="19"/>
      <c r="HVL24" s="19"/>
      <c r="HVM24" s="19"/>
      <c r="HVN24" s="19"/>
      <c r="HVO24" s="19"/>
      <c r="HVP24" s="19"/>
      <c r="HVQ24" s="19"/>
      <c r="HVR24" s="19"/>
      <c r="HVS24" s="19"/>
      <c r="HVT24" s="19"/>
      <c r="HVU24" s="19"/>
      <c r="HVV24" s="19"/>
      <c r="HVW24" s="19"/>
      <c r="HVX24" s="19"/>
      <c r="HVY24" s="19"/>
      <c r="HVZ24" s="19"/>
      <c r="HWA24" s="19"/>
      <c r="HWB24" s="19"/>
      <c r="HWC24" s="19"/>
      <c r="HWD24" s="19"/>
      <c r="HWE24" s="19"/>
      <c r="HWF24" s="19"/>
      <c r="HWG24" s="19"/>
      <c r="HWH24" s="19"/>
      <c r="HWI24" s="19"/>
      <c r="HWJ24" s="19"/>
      <c r="HWK24" s="19"/>
      <c r="HWL24" s="19"/>
      <c r="HWM24" s="19"/>
      <c r="HWN24" s="19"/>
      <c r="HWO24" s="19"/>
      <c r="HWP24" s="19"/>
      <c r="HWQ24" s="19"/>
      <c r="HWR24" s="19"/>
      <c r="HWS24" s="19"/>
      <c r="HWT24" s="19"/>
      <c r="HWU24" s="19"/>
      <c r="HWV24" s="19"/>
      <c r="HWW24" s="19"/>
      <c r="HWX24" s="19"/>
      <c r="HWY24" s="19"/>
      <c r="HWZ24" s="19"/>
      <c r="HXA24" s="19"/>
      <c r="HXB24" s="19"/>
      <c r="HXC24" s="19"/>
      <c r="HXD24" s="19"/>
      <c r="HXE24" s="19"/>
      <c r="HXF24" s="19"/>
      <c r="HXG24" s="19"/>
      <c r="HXH24" s="19"/>
      <c r="HXI24" s="19"/>
      <c r="HXJ24" s="19"/>
      <c r="HXK24" s="19"/>
      <c r="HXL24" s="19"/>
      <c r="HXM24" s="19"/>
      <c r="HXN24" s="19"/>
      <c r="HXO24" s="19"/>
      <c r="HXP24" s="19"/>
      <c r="HXQ24" s="19"/>
      <c r="HXR24" s="19"/>
      <c r="HXS24" s="19"/>
      <c r="HXT24" s="19"/>
      <c r="HXU24" s="19"/>
      <c r="HXV24" s="19"/>
      <c r="HXW24" s="19"/>
      <c r="HXX24" s="19"/>
      <c r="HXY24" s="19"/>
      <c r="HXZ24" s="19"/>
      <c r="HYA24" s="19"/>
      <c r="HYB24" s="19"/>
      <c r="HYC24" s="19"/>
      <c r="HYD24" s="19"/>
      <c r="HYE24" s="19"/>
      <c r="HYF24" s="19"/>
      <c r="HYG24" s="19"/>
      <c r="HYH24" s="19"/>
      <c r="HYI24" s="19"/>
      <c r="HYJ24" s="19"/>
      <c r="HYK24" s="19"/>
      <c r="HYL24" s="19"/>
      <c r="HYM24" s="19"/>
      <c r="HYN24" s="19"/>
      <c r="HYO24" s="19"/>
      <c r="HYP24" s="19"/>
      <c r="HYQ24" s="19"/>
      <c r="HYR24" s="19"/>
      <c r="HYS24" s="19"/>
      <c r="HYT24" s="19"/>
      <c r="HYU24" s="19"/>
      <c r="HYV24" s="19"/>
      <c r="HYW24" s="19"/>
      <c r="HYX24" s="19"/>
      <c r="HYY24" s="19"/>
      <c r="HYZ24" s="19"/>
      <c r="HZA24" s="19"/>
      <c r="HZB24" s="19"/>
      <c r="HZC24" s="19"/>
      <c r="HZD24" s="19"/>
      <c r="HZE24" s="19"/>
      <c r="HZF24" s="19"/>
      <c r="HZG24" s="19"/>
      <c r="HZH24" s="19"/>
      <c r="HZI24" s="19"/>
      <c r="HZJ24" s="19"/>
      <c r="HZK24" s="19"/>
      <c r="HZL24" s="19"/>
      <c r="HZM24" s="19"/>
      <c r="HZN24" s="19"/>
      <c r="HZO24" s="19"/>
      <c r="HZP24" s="19"/>
      <c r="HZQ24" s="19"/>
      <c r="HZR24" s="19"/>
      <c r="HZS24" s="19"/>
      <c r="HZT24" s="19"/>
      <c r="HZU24" s="19"/>
      <c r="HZV24" s="19"/>
      <c r="HZW24" s="19"/>
      <c r="HZX24" s="19"/>
      <c r="HZY24" s="19"/>
      <c r="HZZ24" s="19"/>
      <c r="IAA24" s="19"/>
      <c r="IAB24" s="19"/>
      <c r="IAC24" s="19"/>
      <c r="IAD24" s="19"/>
      <c r="IAE24" s="19"/>
      <c r="IAF24" s="19"/>
      <c r="IAG24" s="19"/>
      <c r="IAH24" s="19"/>
      <c r="IAI24" s="19"/>
      <c r="IAJ24" s="19"/>
      <c r="IAK24" s="19"/>
      <c r="IAL24" s="19"/>
      <c r="IAM24" s="19"/>
      <c r="IAN24" s="19"/>
      <c r="IAO24" s="19"/>
      <c r="IAP24" s="19"/>
      <c r="IAQ24" s="19"/>
      <c r="IAR24" s="19"/>
      <c r="IAS24" s="19"/>
      <c r="IAT24" s="19"/>
      <c r="IAU24" s="19"/>
      <c r="IAV24" s="19"/>
      <c r="IAW24" s="19"/>
      <c r="IAX24" s="19"/>
      <c r="IAY24" s="19"/>
      <c r="IAZ24" s="19"/>
      <c r="IBA24" s="19"/>
      <c r="IBB24" s="19"/>
      <c r="IBC24" s="19"/>
      <c r="IBD24" s="19"/>
      <c r="IBE24" s="19"/>
      <c r="IBF24" s="19"/>
      <c r="IBG24" s="19"/>
      <c r="IBH24" s="19"/>
      <c r="IBI24" s="19"/>
      <c r="IBJ24" s="19"/>
      <c r="IBK24" s="19"/>
      <c r="IBL24" s="19"/>
      <c r="IBM24" s="19"/>
      <c r="IBN24" s="19"/>
      <c r="IBO24" s="19"/>
      <c r="IBP24" s="19"/>
      <c r="IBQ24" s="19"/>
      <c r="IBR24" s="19"/>
      <c r="IBS24" s="19"/>
      <c r="IBT24" s="19"/>
      <c r="IBU24" s="19"/>
      <c r="IBV24" s="19"/>
      <c r="IBW24" s="19"/>
      <c r="IBX24" s="19"/>
      <c r="IBY24" s="19"/>
      <c r="IBZ24" s="19"/>
      <c r="ICA24" s="19"/>
      <c r="ICB24" s="19"/>
      <c r="ICC24" s="19"/>
      <c r="ICD24" s="19"/>
      <c r="ICE24" s="19"/>
      <c r="ICF24" s="19"/>
      <c r="ICG24" s="19"/>
      <c r="ICH24" s="19"/>
      <c r="ICI24" s="19"/>
      <c r="ICJ24" s="19"/>
      <c r="ICK24" s="19"/>
      <c r="ICL24" s="19"/>
      <c r="ICM24" s="19"/>
      <c r="ICN24" s="19"/>
      <c r="ICO24" s="19"/>
      <c r="ICP24" s="19"/>
      <c r="ICQ24" s="19"/>
      <c r="ICR24" s="19"/>
      <c r="ICS24" s="19"/>
      <c r="ICT24" s="19"/>
      <c r="ICU24" s="19"/>
      <c r="ICV24" s="19"/>
      <c r="ICW24" s="19"/>
      <c r="ICX24" s="19"/>
      <c r="ICY24" s="19"/>
      <c r="ICZ24" s="19"/>
      <c r="IDA24" s="19"/>
      <c r="IDB24" s="19"/>
      <c r="IDC24" s="19"/>
      <c r="IDD24" s="19"/>
      <c r="IDE24" s="19"/>
      <c r="IDF24" s="19"/>
      <c r="IDG24" s="19"/>
      <c r="IDH24" s="19"/>
      <c r="IDI24" s="19"/>
      <c r="IDJ24" s="19"/>
      <c r="IDK24" s="19"/>
      <c r="IDL24" s="19"/>
      <c r="IDM24" s="19"/>
      <c r="IDN24" s="19"/>
      <c r="IDO24" s="19"/>
      <c r="IDP24" s="19"/>
      <c r="IDQ24" s="19"/>
      <c r="IDR24" s="19"/>
      <c r="IDS24" s="19"/>
      <c r="IDT24" s="19"/>
      <c r="IDU24" s="19"/>
      <c r="IDV24" s="19"/>
      <c r="IDW24" s="19"/>
      <c r="IDX24" s="19"/>
      <c r="IDY24" s="19"/>
      <c r="IDZ24" s="19"/>
      <c r="IEA24" s="19"/>
      <c r="IEB24" s="19"/>
      <c r="IEC24" s="19"/>
      <c r="IED24" s="19"/>
      <c r="IEE24" s="19"/>
      <c r="IEF24" s="19"/>
      <c r="IEG24" s="19"/>
      <c r="IEH24" s="19"/>
      <c r="IEI24" s="19"/>
      <c r="IEJ24" s="19"/>
      <c r="IEK24" s="19"/>
      <c r="IEL24" s="19"/>
      <c r="IEM24" s="19"/>
      <c r="IEN24" s="19"/>
      <c r="IEO24" s="19"/>
      <c r="IEP24" s="19"/>
      <c r="IEQ24" s="19"/>
      <c r="IER24" s="19"/>
      <c r="IES24" s="19"/>
      <c r="IET24" s="19"/>
      <c r="IEU24" s="19"/>
      <c r="IEV24" s="19"/>
      <c r="IEW24" s="19"/>
      <c r="IEX24" s="19"/>
      <c r="IEY24" s="19"/>
      <c r="IEZ24" s="19"/>
      <c r="IFA24" s="19"/>
      <c r="IFB24" s="19"/>
      <c r="IFC24" s="19"/>
      <c r="IFD24" s="19"/>
      <c r="IFE24" s="19"/>
      <c r="IFF24" s="19"/>
      <c r="IFG24" s="19"/>
      <c r="IFH24" s="19"/>
      <c r="IFI24" s="19"/>
      <c r="IFJ24" s="19"/>
      <c r="IFK24" s="19"/>
      <c r="IFL24" s="19"/>
      <c r="IFM24" s="19"/>
      <c r="IFN24" s="19"/>
      <c r="IFO24" s="19"/>
      <c r="IFP24" s="19"/>
      <c r="IFQ24" s="19"/>
      <c r="IFR24" s="19"/>
      <c r="IFS24" s="19"/>
      <c r="IFT24" s="19"/>
      <c r="IFU24" s="19"/>
      <c r="IFV24" s="19"/>
      <c r="IFW24" s="19"/>
      <c r="IFX24" s="19"/>
      <c r="IFY24" s="19"/>
      <c r="IFZ24" s="19"/>
      <c r="IGA24" s="19"/>
      <c r="IGB24" s="19"/>
      <c r="IGC24" s="19"/>
      <c r="IGD24" s="19"/>
      <c r="IGE24" s="19"/>
      <c r="IGF24" s="19"/>
      <c r="IGG24" s="19"/>
      <c r="IGH24" s="19"/>
      <c r="IGI24" s="19"/>
      <c r="IGJ24" s="19"/>
      <c r="IGK24" s="19"/>
      <c r="IGL24" s="19"/>
      <c r="IGM24" s="19"/>
      <c r="IGN24" s="19"/>
      <c r="IGO24" s="19"/>
      <c r="IGP24" s="19"/>
      <c r="IGQ24" s="19"/>
      <c r="IGR24" s="19"/>
      <c r="IGS24" s="19"/>
      <c r="IGT24" s="19"/>
      <c r="IGU24" s="19"/>
      <c r="IGV24" s="19"/>
      <c r="IGW24" s="19"/>
      <c r="IGX24" s="19"/>
      <c r="IGY24" s="19"/>
      <c r="IGZ24" s="19"/>
      <c r="IHA24" s="19"/>
      <c r="IHB24" s="19"/>
      <c r="IHC24" s="19"/>
      <c r="IHD24" s="19"/>
      <c r="IHE24" s="19"/>
      <c r="IHF24" s="19"/>
      <c r="IHG24" s="19"/>
      <c r="IHH24" s="19"/>
      <c r="IHI24" s="19"/>
      <c r="IHJ24" s="19"/>
      <c r="IHK24" s="19"/>
      <c r="IHL24" s="19"/>
      <c r="IHM24" s="19"/>
      <c r="IHN24" s="19"/>
      <c r="IHO24" s="19"/>
      <c r="IHP24" s="19"/>
      <c r="IHQ24" s="19"/>
      <c r="IHR24" s="19"/>
      <c r="IHS24" s="19"/>
      <c r="IHT24" s="19"/>
      <c r="IHU24" s="19"/>
      <c r="IHV24" s="19"/>
      <c r="IHW24" s="19"/>
      <c r="IHX24" s="19"/>
      <c r="IHY24" s="19"/>
      <c r="IHZ24" s="19"/>
      <c r="IIA24" s="19"/>
      <c r="IIB24" s="19"/>
      <c r="IIC24" s="19"/>
      <c r="IID24" s="19"/>
      <c r="IIE24" s="19"/>
      <c r="IIF24" s="19"/>
      <c r="IIG24" s="19"/>
      <c r="IIH24" s="19"/>
      <c r="III24" s="19"/>
      <c r="IIJ24" s="19"/>
      <c r="IIK24" s="19"/>
      <c r="IIL24" s="19"/>
      <c r="IIM24" s="19"/>
      <c r="IIN24" s="19"/>
      <c r="IIO24" s="19"/>
      <c r="IIP24" s="19"/>
      <c r="IIQ24" s="19"/>
      <c r="IIR24" s="19"/>
      <c r="IIS24" s="19"/>
      <c r="IIT24" s="19"/>
      <c r="IIU24" s="19"/>
      <c r="IIV24" s="19"/>
      <c r="IIW24" s="19"/>
      <c r="IIX24" s="19"/>
      <c r="IIY24" s="19"/>
      <c r="IIZ24" s="19"/>
      <c r="IJA24" s="19"/>
      <c r="IJB24" s="19"/>
      <c r="IJC24" s="19"/>
      <c r="IJD24" s="19"/>
      <c r="IJE24" s="19"/>
      <c r="IJF24" s="19"/>
      <c r="IJG24" s="19"/>
      <c r="IJH24" s="19"/>
      <c r="IJI24" s="19"/>
      <c r="IJJ24" s="19"/>
      <c r="IJK24" s="19"/>
      <c r="IJL24" s="19"/>
      <c r="IJM24" s="19"/>
      <c r="IJN24" s="19"/>
      <c r="IJO24" s="19"/>
      <c r="IJP24" s="19"/>
      <c r="IJQ24" s="19"/>
      <c r="IJR24" s="19"/>
      <c r="IJS24" s="19"/>
      <c r="IJT24" s="19"/>
      <c r="IJU24" s="19"/>
      <c r="IJV24" s="19"/>
      <c r="IJW24" s="19"/>
      <c r="IJX24" s="19"/>
      <c r="IJY24" s="19"/>
      <c r="IJZ24" s="19"/>
      <c r="IKA24" s="19"/>
      <c r="IKB24" s="19"/>
      <c r="IKC24" s="19"/>
      <c r="IKD24" s="19"/>
      <c r="IKE24" s="19"/>
      <c r="IKF24" s="19"/>
      <c r="IKG24" s="19"/>
      <c r="IKH24" s="19"/>
      <c r="IKI24" s="19"/>
      <c r="IKJ24" s="19"/>
      <c r="IKK24" s="19"/>
      <c r="IKL24" s="19"/>
      <c r="IKM24" s="19"/>
      <c r="IKN24" s="19"/>
      <c r="IKO24" s="19"/>
      <c r="IKP24" s="19"/>
      <c r="IKQ24" s="19"/>
      <c r="IKR24" s="19"/>
      <c r="IKS24" s="19"/>
      <c r="IKT24" s="19"/>
      <c r="IKU24" s="19"/>
      <c r="IKV24" s="19"/>
      <c r="IKW24" s="19"/>
      <c r="IKX24" s="19"/>
      <c r="IKY24" s="19"/>
      <c r="IKZ24" s="19"/>
      <c r="ILA24" s="19"/>
      <c r="ILB24" s="19"/>
      <c r="ILC24" s="19"/>
      <c r="ILD24" s="19"/>
      <c r="ILE24" s="19"/>
      <c r="ILF24" s="19"/>
      <c r="ILG24" s="19"/>
      <c r="ILH24" s="19"/>
      <c r="ILI24" s="19"/>
      <c r="ILJ24" s="19"/>
      <c r="ILK24" s="19"/>
      <c r="ILL24" s="19"/>
      <c r="ILM24" s="19"/>
      <c r="ILN24" s="19"/>
      <c r="ILO24" s="19"/>
      <c r="ILP24" s="19"/>
      <c r="ILQ24" s="19"/>
      <c r="ILR24" s="19"/>
      <c r="ILS24" s="19"/>
      <c r="ILT24" s="19"/>
      <c r="ILU24" s="19"/>
      <c r="ILV24" s="19"/>
      <c r="ILW24" s="19"/>
      <c r="ILX24" s="19"/>
      <c r="ILY24" s="19"/>
      <c r="ILZ24" s="19"/>
      <c r="IMA24" s="19"/>
      <c r="IMB24" s="19"/>
      <c r="IMC24" s="19"/>
      <c r="IMD24" s="19"/>
      <c r="IME24" s="19"/>
      <c r="IMF24" s="19"/>
      <c r="IMG24" s="19"/>
      <c r="IMH24" s="19"/>
      <c r="IMI24" s="19"/>
      <c r="IMJ24" s="19"/>
      <c r="IMK24" s="19"/>
      <c r="IML24" s="19"/>
      <c r="IMM24" s="19"/>
      <c r="IMN24" s="19"/>
      <c r="IMO24" s="19"/>
      <c r="IMP24" s="19"/>
      <c r="IMQ24" s="19"/>
      <c r="IMR24" s="19"/>
      <c r="IMS24" s="19"/>
      <c r="IMT24" s="19"/>
      <c r="IMU24" s="19"/>
      <c r="IMV24" s="19"/>
      <c r="IMW24" s="19"/>
      <c r="IMX24" s="19"/>
      <c r="IMY24" s="19"/>
      <c r="IMZ24" s="19"/>
      <c r="INA24" s="19"/>
      <c r="INB24" s="19"/>
      <c r="INC24" s="19"/>
      <c r="IND24" s="19"/>
      <c r="INE24" s="19"/>
      <c r="INF24" s="19"/>
      <c r="ING24" s="19"/>
      <c r="INH24" s="19"/>
      <c r="INI24" s="19"/>
      <c r="INJ24" s="19"/>
      <c r="INK24" s="19"/>
      <c r="INL24" s="19"/>
      <c r="INM24" s="19"/>
      <c r="INN24" s="19"/>
      <c r="INO24" s="19"/>
      <c r="INP24" s="19"/>
      <c r="INQ24" s="19"/>
      <c r="INR24" s="19"/>
      <c r="INS24" s="19"/>
      <c r="INT24" s="19"/>
      <c r="INU24" s="19"/>
      <c r="INV24" s="19"/>
      <c r="INW24" s="19"/>
      <c r="INX24" s="19"/>
      <c r="INY24" s="19"/>
      <c r="INZ24" s="19"/>
      <c r="IOA24" s="19"/>
      <c r="IOB24" s="19"/>
      <c r="IOC24" s="19"/>
      <c r="IOD24" s="19"/>
      <c r="IOE24" s="19"/>
      <c r="IOF24" s="19"/>
      <c r="IOG24" s="19"/>
      <c r="IOH24" s="19"/>
      <c r="IOI24" s="19"/>
      <c r="IOJ24" s="19"/>
      <c r="IOK24" s="19"/>
      <c r="IOL24" s="19"/>
      <c r="IOM24" s="19"/>
      <c r="ION24" s="19"/>
      <c r="IOO24" s="19"/>
      <c r="IOP24" s="19"/>
      <c r="IOQ24" s="19"/>
      <c r="IOR24" s="19"/>
      <c r="IOS24" s="19"/>
      <c r="IOT24" s="19"/>
      <c r="IOU24" s="19"/>
      <c r="IOV24" s="19"/>
      <c r="IOW24" s="19"/>
      <c r="IOX24" s="19"/>
      <c r="IOY24" s="19"/>
      <c r="IOZ24" s="19"/>
      <c r="IPA24" s="19"/>
      <c r="IPB24" s="19"/>
      <c r="IPC24" s="19"/>
      <c r="IPD24" s="19"/>
      <c r="IPE24" s="19"/>
      <c r="IPF24" s="19"/>
      <c r="IPG24" s="19"/>
      <c r="IPH24" s="19"/>
      <c r="IPI24" s="19"/>
      <c r="IPJ24" s="19"/>
      <c r="IPK24" s="19"/>
      <c r="IPL24" s="19"/>
      <c r="IPM24" s="19"/>
      <c r="IPN24" s="19"/>
      <c r="IPO24" s="19"/>
      <c r="IPP24" s="19"/>
      <c r="IPQ24" s="19"/>
      <c r="IPR24" s="19"/>
      <c r="IPS24" s="19"/>
      <c r="IPT24" s="19"/>
      <c r="IPU24" s="19"/>
      <c r="IPV24" s="19"/>
      <c r="IPW24" s="19"/>
      <c r="IPX24" s="19"/>
      <c r="IPY24" s="19"/>
      <c r="IPZ24" s="19"/>
      <c r="IQA24" s="19"/>
      <c r="IQB24" s="19"/>
      <c r="IQC24" s="19"/>
      <c r="IQD24" s="19"/>
      <c r="IQE24" s="19"/>
      <c r="IQF24" s="19"/>
      <c r="IQG24" s="19"/>
      <c r="IQH24" s="19"/>
      <c r="IQI24" s="19"/>
      <c r="IQJ24" s="19"/>
      <c r="IQK24" s="19"/>
      <c r="IQL24" s="19"/>
      <c r="IQM24" s="19"/>
      <c r="IQN24" s="19"/>
      <c r="IQO24" s="19"/>
      <c r="IQP24" s="19"/>
      <c r="IQQ24" s="19"/>
      <c r="IQR24" s="19"/>
      <c r="IQS24" s="19"/>
      <c r="IQT24" s="19"/>
      <c r="IQU24" s="19"/>
      <c r="IQV24" s="19"/>
      <c r="IQW24" s="19"/>
      <c r="IQX24" s="19"/>
      <c r="IQY24" s="19"/>
      <c r="IQZ24" s="19"/>
      <c r="IRA24" s="19"/>
      <c r="IRB24" s="19"/>
      <c r="IRC24" s="19"/>
      <c r="IRD24" s="19"/>
      <c r="IRE24" s="19"/>
      <c r="IRF24" s="19"/>
      <c r="IRG24" s="19"/>
      <c r="IRH24" s="19"/>
      <c r="IRI24" s="19"/>
      <c r="IRJ24" s="19"/>
      <c r="IRK24" s="19"/>
      <c r="IRL24" s="19"/>
      <c r="IRM24" s="19"/>
      <c r="IRN24" s="19"/>
      <c r="IRO24" s="19"/>
      <c r="IRP24" s="19"/>
      <c r="IRQ24" s="19"/>
      <c r="IRR24" s="19"/>
      <c r="IRS24" s="19"/>
      <c r="IRT24" s="19"/>
      <c r="IRU24" s="19"/>
      <c r="IRV24" s="19"/>
      <c r="IRW24" s="19"/>
      <c r="IRX24" s="19"/>
      <c r="IRY24" s="19"/>
      <c r="IRZ24" s="19"/>
      <c r="ISA24" s="19"/>
      <c r="ISB24" s="19"/>
      <c r="ISC24" s="19"/>
      <c r="ISD24" s="19"/>
      <c r="ISE24" s="19"/>
      <c r="ISF24" s="19"/>
      <c r="ISG24" s="19"/>
      <c r="ISH24" s="19"/>
      <c r="ISI24" s="19"/>
      <c r="ISJ24" s="19"/>
      <c r="ISK24" s="19"/>
      <c r="ISL24" s="19"/>
      <c r="ISM24" s="19"/>
      <c r="ISN24" s="19"/>
      <c r="ISO24" s="19"/>
      <c r="ISP24" s="19"/>
      <c r="ISQ24" s="19"/>
      <c r="ISR24" s="19"/>
      <c r="ISS24" s="19"/>
      <c r="IST24" s="19"/>
      <c r="ISU24" s="19"/>
      <c r="ISV24" s="19"/>
      <c r="ISW24" s="19"/>
      <c r="ISX24" s="19"/>
      <c r="ISY24" s="19"/>
      <c r="ISZ24" s="19"/>
      <c r="ITA24" s="19"/>
      <c r="ITB24" s="19"/>
      <c r="ITC24" s="19"/>
      <c r="ITD24" s="19"/>
      <c r="ITE24" s="19"/>
      <c r="ITF24" s="19"/>
      <c r="ITG24" s="19"/>
      <c r="ITH24" s="19"/>
      <c r="ITI24" s="19"/>
      <c r="ITJ24" s="19"/>
      <c r="ITK24" s="19"/>
      <c r="ITL24" s="19"/>
      <c r="ITM24" s="19"/>
      <c r="ITN24" s="19"/>
      <c r="ITO24" s="19"/>
      <c r="ITP24" s="19"/>
      <c r="ITQ24" s="19"/>
      <c r="ITR24" s="19"/>
      <c r="ITS24" s="19"/>
      <c r="ITT24" s="19"/>
      <c r="ITU24" s="19"/>
      <c r="ITV24" s="19"/>
      <c r="ITW24" s="19"/>
      <c r="ITX24" s="19"/>
      <c r="ITY24" s="19"/>
      <c r="ITZ24" s="19"/>
      <c r="IUA24" s="19"/>
      <c r="IUB24" s="19"/>
      <c r="IUC24" s="19"/>
      <c r="IUD24" s="19"/>
      <c r="IUE24" s="19"/>
      <c r="IUF24" s="19"/>
      <c r="IUG24" s="19"/>
      <c r="IUH24" s="19"/>
      <c r="IUI24" s="19"/>
      <c r="IUJ24" s="19"/>
      <c r="IUK24" s="19"/>
      <c r="IUL24" s="19"/>
      <c r="IUM24" s="19"/>
      <c r="IUN24" s="19"/>
      <c r="IUO24" s="19"/>
      <c r="IUP24" s="19"/>
      <c r="IUQ24" s="19"/>
      <c r="IUR24" s="19"/>
      <c r="IUS24" s="19"/>
      <c r="IUT24" s="19"/>
      <c r="IUU24" s="19"/>
      <c r="IUV24" s="19"/>
      <c r="IUW24" s="19"/>
      <c r="IUX24" s="19"/>
      <c r="IUY24" s="19"/>
      <c r="IUZ24" s="19"/>
      <c r="IVA24" s="19"/>
      <c r="IVB24" s="19"/>
      <c r="IVC24" s="19"/>
      <c r="IVD24" s="19"/>
      <c r="IVE24" s="19"/>
      <c r="IVF24" s="19"/>
      <c r="IVG24" s="19"/>
      <c r="IVH24" s="19"/>
      <c r="IVI24" s="19"/>
      <c r="IVJ24" s="19"/>
      <c r="IVK24" s="19"/>
      <c r="IVL24" s="19"/>
      <c r="IVM24" s="19"/>
      <c r="IVN24" s="19"/>
      <c r="IVO24" s="19"/>
      <c r="IVP24" s="19"/>
      <c r="IVQ24" s="19"/>
      <c r="IVR24" s="19"/>
      <c r="IVS24" s="19"/>
      <c r="IVT24" s="19"/>
      <c r="IVU24" s="19"/>
      <c r="IVV24" s="19"/>
      <c r="IVW24" s="19"/>
      <c r="IVX24" s="19"/>
      <c r="IVY24" s="19"/>
      <c r="IVZ24" s="19"/>
      <c r="IWA24" s="19"/>
      <c r="IWB24" s="19"/>
      <c r="IWC24" s="19"/>
      <c r="IWD24" s="19"/>
      <c r="IWE24" s="19"/>
      <c r="IWF24" s="19"/>
      <c r="IWG24" s="19"/>
      <c r="IWH24" s="19"/>
      <c r="IWI24" s="19"/>
      <c r="IWJ24" s="19"/>
      <c r="IWK24" s="19"/>
      <c r="IWL24" s="19"/>
      <c r="IWM24" s="19"/>
      <c r="IWN24" s="19"/>
      <c r="IWO24" s="19"/>
      <c r="IWP24" s="19"/>
      <c r="IWQ24" s="19"/>
      <c r="IWR24" s="19"/>
      <c r="IWS24" s="19"/>
      <c r="IWT24" s="19"/>
      <c r="IWU24" s="19"/>
      <c r="IWV24" s="19"/>
      <c r="IWW24" s="19"/>
      <c r="IWX24" s="19"/>
      <c r="IWY24" s="19"/>
      <c r="IWZ24" s="19"/>
      <c r="IXA24" s="19"/>
      <c r="IXB24" s="19"/>
      <c r="IXC24" s="19"/>
      <c r="IXD24" s="19"/>
      <c r="IXE24" s="19"/>
      <c r="IXF24" s="19"/>
      <c r="IXG24" s="19"/>
      <c r="IXH24" s="19"/>
      <c r="IXI24" s="19"/>
      <c r="IXJ24" s="19"/>
      <c r="IXK24" s="19"/>
      <c r="IXL24" s="19"/>
      <c r="IXM24" s="19"/>
      <c r="IXN24" s="19"/>
      <c r="IXO24" s="19"/>
      <c r="IXP24" s="19"/>
      <c r="IXQ24" s="19"/>
      <c r="IXR24" s="19"/>
      <c r="IXS24" s="19"/>
      <c r="IXT24" s="19"/>
      <c r="IXU24" s="19"/>
      <c r="IXV24" s="19"/>
      <c r="IXW24" s="19"/>
      <c r="IXX24" s="19"/>
      <c r="IXY24" s="19"/>
      <c r="IXZ24" s="19"/>
      <c r="IYA24" s="19"/>
      <c r="IYB24" s="19"/>
      <c r="IYC24" s="19"/>
      <c r="IYD24" s="19"/>
      <c r="IYE24" s="19"/>
      <c r="IYF24" s="19"/>
      <c r="IYG24" s="19"/>
      <c r="IYH24" s="19"/>
      <c r="IYI24" s="19"/>
      <c r="IYJ24" s="19"/>
      <c r="IYK24" s="19"/>
      <c r="IYL24" s="19"/>
      <c r="IYM24" s="19"/>
      <c r="IYN24" s="19"/>
      <c r="IYO24" s="19"/>
      <c r="IYP24" s="19"/>
      <c r="IYQ24" s="19"/>
      <c r="IYR24" s="19"/>
      <c r="IYS24" s="19"/>
      <c r="IYT24" s="19"/>
      <c r="IYU24" s="19"/>
      <c r="IYV24" s="19"/>
      <c r="IYW24" s="19"/>
      <c r="IYX24" s="19"/>
      <c r="IYY24" s="19"/>
      <c r="IYZ24" s="19"/>
      <c r="IZA24" s="19"/>
      <c r="IZB24" s="19"/>
      <c r="IZC24" s="19"/>
      <c r="IZD24" s="19"/>
      <c r="IZE24" s="19"/>
      <c r="IZF24" s="19"/>
      <c r="IZG24" s="19"/>
      <c r="IZH24" s="19"/>
      <c r="IZI24" s="19"/>
      <c r="IZJ24" s="19"/>
      <c r="IZK24" s="19"/>
      <c r="IZL24" s="19"/>
      <c r="IZM24" s="19"/>
      <c r="IZN24" s="19"/>
      <c r="IZO24" s="19"/>
      <c r="IZP24" s="19"/>
      <c r="IZQ24" s="19"/>
      <c r="IZR24" s="19"/>
      <c r="IZS24" s="19"/>
      <c r="IZT24" s="19"/>
      <c r="IZU24" s="19"/>
      <c r="IZV24" s="19"/>
      <c r="IZW24" s="19"/>
      <c r="IZX24" s="19"/>
      <c r="IZY24" s="19"/>
      <c r="IZZ24" s="19"/>
      <c r="JAA24" s="19"/>
      <c r="JAB24" s="19"/>
      <c r="JAC24" s="19"/>
      <c r="JAD24" s="19"/>
      <c r="JAE24" s="19"/>
      <c r="JAF24" s="19"/>
      <c r="JAG24" s="19"/>
      <c r="JAH24" s="19"/>
      <c r="JAI24" s="19"/>
      <c r="JAJ24" s="19"/>
      <c r="JAK24" s="19"/>
      <c r="JAL24" s="19"/>
      <c r="JAM24" s="19"/>
      <c r="JAN24" s="19"/>
      <c r="JAO24" s="19"/>
      <c r="JAP24" s="19"/>
      <c r="JAQ24" s="19"/>
      <c r="JAR24" s="19"/>
      <c r="JAS24" s="19"/>
      <c r="JAT24" s="19"/>
      <c r="JAU24" s="19"/>
      <c r="JAV24" s="19"/>
      <c r="JAW24" s="19"/>
      <c r="JAX24" s="19"/>
      <c r="JAY24" s="19"/>
      <c r="JAZ24" s="19"/>
      <c r="JBA24" s="19"/>
      <c r="JBB24" s="19"/>
      <c r="JBC24" s="19"/>
      <c r="JBD24" s="19"/>
      <c r="JBE24" s="19"/>
      <c r="JBF24" s="19"/>
      <c r="JBG24" s="19"/>
      <c r="JBH24" s="19"/>
      <c r="JBI24" s="19"/>
      <c r="JBJ24" s="19"/>
      <c r="JBK24" s="19"/>
      <c r="JBL24" s="19"/>
      <c r="JBM24" s="19"/>
      <c r="JBN24" s="19"/>
      <c r="JBO24" s="19"/>
      <c r="JBP24" s="19"/>
      <c r="JBQ24" s="19"/>
      <c r="JBR24" s="19"/>
      <c r="JBS24" s="19"/>
      <c r="JBT24" s="19"/>
      <c r="JBU24" s="19"/>
      <c r="JBV24" s="19"/>
      <c r="JBW24" s="19"/>
      <c r="JBX24" s="19"/>
      <c r="JBY24" s="19"/>
      <c r="JBZ24" s="19"/>
      <c r="JCA24" s="19"/>
      <c r="JCB24" s="19"/>
      <c r="JCC24" s="19"/>
      <c r="JCD24" s="19"/>
      <c r="JCE24" s="19"/>
      <c r="JCF24" s="19"/>
      <c r="JCG24" s="19"/>
      <c r="JCH24" s="19"/>
      <c r="JCI24" s="19"/>
      <c r="JCJ24" s="19"/>
      <c r="JCK24" s="19"/>
      <c r="JCL24" s="19"/>
      <c r="JCM24" s="19"/>
      <c r="JCN24" s="19"/>
      <c r="JCO24" s="19"/>
      <c r="JCP24" s="19"/>
      <c r="JCQ24" s="19"/>
      <c r="JCR24" s="19"/>
      <c r="JCS24" s="19"/>
      <c r="JCT24" s="19"/>
      <c r="JCU24" s="19"/>
      <c r="JCV24" s="19"/>
      <c r="JCW24" s="19"/>
      <c r="JCX24" s="19"/>
      <c r="JCY24" s="19"/>
      <c r="JCZ24" s="19"/>
      <c r="JDA24" s="19"/>
      <c r="JDB24" s="19"/>
      <c r="JDC24" s="19"/>
      <c r="JDD24" s="19"/>
      <c r="JDE24" s="19"/>
      <c r="JDF24" s="19"/>
      <c r="JDG24" s="19"/>
      <c r="JDH24" s="19"/>
      <c r="JDI24" s="19"/>
      <c r="JDJ24" s="19"/>
      <c r="JDK24" s="19"/>
      <c r="JDL24" s="19"/>
      <c r="JDM24" s="19"/>
      <c r="JDN24" s="19"/>
      <c r="JDO24" s="19"/>
      <c r="JDP24" s="19"/>
      <c r="JDQ24" s="19"/>
      <c r="JDR24" s="19"/>
      <c r="JDS24" s="19"/>
      <c r="JDT24" s="19"/>
      <c r="JDU24" s="19"/>
      <c r="JDV24" s="19"/>
      <c r="JDW24" s="19"/>
      <c r="JDX24" s="19"/>
      <c r="JDY24" s="19"/>
      <c r="JDZ24" s="19"/>
      <c r="JEA24" s="19"/>
      <c r="JEB24" s="19"/>
      <c r="JEC24" s="19"/>
      <c r="JED24" s="19"/>
      <c r="JEE24" s="19"/>
      <c r="JEF24" s="19"/>
      <c r="JEG24" s="19"/>
      <c r="JEH24" s="19"/>
      <c r="JEI24" s="19"/>
      <c r="JEJ24" s="19"/>
      <c r="JEK24" s="19"/>
      <c r="JEL24" s="19"/>
      <c r="JEM24" s="19"/>
      <c r="JEN24" s="19"/>
      <c r="JEO24" s="19"/>
      <c r="JEP24" s="19"/>
      <c r="JEQ24" s="19"/>
      <c r="JER24" s="19"/>
      <c r="JES24" s="19"/>
      <c r="JET24" s="19"/>
      <c r="JEU24" s="19"/>
      <c r="JEV24" s="19"/>
      <c r="JEW24" s="19"/>
      <c r="JEX24" s="19"/>
      <c r="JEY24" s="19"/>
      <c r="JEZ24" s="19"/>
      <c r="JFA24" s="19"/>
      <c r="JFB24" s="19"/>
      <c r="JFC24" s="19"/>
      <c r="JFD24" s="19"/>
      <c r="JFE24" s="19"/>
      <c r="JFF24" s="19"/>
      <c r="JFG24" s="19"/>
      <c r="JFH24" s="19"/>
      <c r="JFI24" s="19"/>
      <c r="JFJ24" s="19"/>
      <c r="JFK24" s="19"/>
      <c r="JFL24" s="19"/>
      <c r="JFM24" s="19"/>
      <c r="JFN24" s="19"/>
      <c r="JFO24" s="19"/>
      <c r="JFP24" s="19"/>
      <c r="JFQ24" s="19"/>
      <c r="JFR24" s="19"/>
      <c r="JFS24" s="19"/>
      <c r="JFT24" s="19"/>
      <c r="JFU24" s="19"/>
      <c r="JFV24" s="19"/>
      <c r="JFW24" s="19"/>
      <c r="JFX24" s="19"/>
      <c r="JFY24" s="19"/>
      <c r="JFZ24" s="19"/>
      <c r="JGA24" s="19"/>
      <c r="JGB24" s="19"/>
      <c r="JGC24" s="19"/>
      <c r="JGD24" s="19"/>
      <c r="JGE24" s="19"/>
      <c r="JGF24" s="19"/>
      <c r="JGG24" s="19"/>
      <c r="JGH24" s="19"/>
      <c r="JGI24" s="19"/>
      <c r="JGJ24" s="19"/>
      <c r="JGK24" s="19"/>
      <c r="JGL24" s="19"/>
      <c r="JGM24" s="19"/>
      <c r="JGN24" s="19"/>
      <c r="JGO24" s="19"/>
      <c r="JGP24" s="19"/>
      <c r="JGQ24" s="19"/>
      <c r="JGR24" s="19"/>
      <c r="JGS24" s="19"/>
      <c r="JGT24" s="19"/>
      <c r="JGU24" s="19"/>
      <c r="JGV24" s="19"/>
      <c r="JGW24" s="19"/>
      <c r="JGX24" s="19"/>
      <c r="JGY24" s="19"/>
      <c r="JGZ24" s="19"/>
      <c r="JHA24" s="19"/>
      <c r="JHB24" s="19"/>
      <c r="JHC24" s="19"/>
      <c r="JHD24" s="19"/>
      <c r="JHE24" s="19"/>
      <c r="JHF24" s="19"/>
      <c r="JHG24" s="19"/>
      <c r="JHH24" s="19"/>
      <c r="JHI24" s="19"/>
      <c r="JHJ24" s="19"/>
      <c r="JHK24" s="19"/>
      <c r="JHL24" s="19"/>
      <c r="JHM24" s="19"/>
      <c r="JHN24" s="19"/>
      <c r="JHO24" s="19"/>
      <c r="JHP24" s="19"/>
      <c r="JHQ24" s="19"/>
      <c r="JHR24" s="19"/>
      <c r="JHS24" s="19"/>
      <c r="JHT24" s="19"/>
      <c r="JHU24" s="19"/>
      <c r="JHV24" s="19"/>
      <c r="JHW24" s="19"/>
      <c r="JHX24" s="19"/>
      <c r="JHY24" s="19"/>
      <c r="JHZ24" s="19"/>
      <c r="JIA24" s="19"/>
      <c r="JIB24" s="19"/>
      <c r="JIC24" s="19"/>
      <c r="JID24" s="19"/>
      <c r="JIE24" s="19"/>
      <c r="JIF24" s="19"/>
      <c r="JIG24" s="19"/>
      <c r="JIH24" s="19"/>
      <c r="JII24" s="19"/>
      <c r="JIJ24" s="19"/>
      <c r="JIK24" s="19"/>
      <c r="JIL24" s="19"/>
      <c r="JIM24" s="19"/>
      <c r="JIN24" s="19"/>
      <c r="JIO24" s="19"/>
      <c r="JIP24" s="19"/>
      <c r="JIQ24" s="19"/>
      <c r="JIR24" s="19"/>
      <c r="JIS24" s="19"/>
      <c r="JIT24" s="19"/>
      <c r="JIU24" s="19"/>
      <c r="JIV24" s="19"/>
      <c r="JIW24" s="19"/>
      <c r="JIX24" s="19"/>
      <c r="JIY24" s="19"/>
      <c r="JIZ24" s="19"/>
      <c r="JJA24" s="19"/>
      <c r="JJB24" s="19"/>
      <c r="JJC24" s="19"/>
      <c r="JJD24" s="19"/>
      <c r="JJE24" s="19"/>
      <c r="JJF24" s="19"/>
      <c r="JJG24" s="19"/>
      <c r="JJH24" s="19"/>
      <c r="JJI24" s="19"/>
      <c r="JJJ24" s="19"/>
      <c r="JJK24" s="19"/>
      <c r="JJL24" s="19"/>
      <c r="JJM24" s="19"/>
      <c r="JJN24" s="19"/>
      <c r="JJO24" s="19"/>
      <c r="JJP24" s="19"/>
      <c r="JJQ24" s="19"/>
      <c r="JJR24" s="19"/>
      <c r="JJS24" s="19"/>
      <c r="JJT24" s="19"/>
      <c r="JJU24" s="19"/>
      <c r="JJV24" s="19"/>
      <c r="JJW24" s="19"/>
      <c r="JJX24" s="19"/>
      <c r="JJY24" s="19"/>
      <c r="JJZ24" s="19"/>
      <c r="JKA24" s="19"/>
      <c r="JKB24" s="19"/>
      <c r="JKC24" s="19"/>
      <c r="JKD24" s="19"/>
      <c r="JKE24" s="19"/>
      <c r="JKF24" s="19"/>
      <c r="JKG24" s="19"/>
      <c r="JKH24" s="19"/>
      <c r="JKI24" s="19"/>
      <c r="JKJ24" s="19"/>
      <c r="JKK24" s="19"/>
      <c r="JKL24" s="19"/>
      <c r="JKM24" s="19"/>
      <c r="JKN24" s="19"/>
      <c r="JKO24" s="19"/>
      <c r="JKP24" s="19"/>
      <c r="JKQ24" s="19"/>
      <c r="JKR24" s="19"/>
      <c r="JKS24" s="19"/>
      <c r="JKT24" s="19"/>
      <c r="JKU24" s="19"/>
      <c r="JKV24" s="19"/>
      <c r="JKW24" s="19"/>
      <c r="JKX24" s="19"/>
      <c r="JKY24" s="19"/>
      <c r="JKZ24" s="19"/>
      <c r="JLA24" s="19"/>
      <c r="JLB24" s="19"/>
      <c r="JLC24" s="19"/>
      <c r="JLD24" s="19"/>
      <c r="JLE24" s="19"/>
      <c r="JLF24" s="19"/>
      <c r="JLG24" s="19"/>
      <c r="JLH24" s="19"/>
      <c r="JLI24" s="19"/>
      <c r="JLJ24" s="19"/>
      <c r="JLK24" s="19"/>
      <c r="JLL24" s="19"/>
      <c r="JLM24" s="19"/>
      <c r="JLN24" s="19"/>
      <c r="JLO24" s="19"/>
      <c r="JLP24" s="19"/>
      <c r="JLQ24" s="19"/>
      <c r="JLR24" s="19"/>
      <c r="JLS24" s="19"/>
      <c r="JLT24" s="19"/>
      <c r="JLU24" s="19"/>
      <c r="JLV24" s="19"/>
      <c r="JLW24" s="19"/>
      <c r="JLX24" s="19"/>
      <c r="JLY24" s="19"/>
      <c r="JLZ24" s="19"/>
      <c r="JMA24" s="19"/>
      <c r="JMB24" s="19"/>
      <c r="JMC24" s="19"/>
      <c r="JMD24" s="19"/>
      <c r="JME24" s="19"/>
      <c r="JMF24" s="19"/>
      <c r="JMG24" s="19"/>
      <c r="JMH24" s="19"/>
      <c r="JMI24" s="19"/>
      <c r="JMJ24" s="19"/>
      <c r="JMK24" s="19"/>
      <c r="JML24" s="19"/>
      <c r="JMM24" s="19"/>
      <c r="JMN24" s="19"/>
      <c r="JMO24" s="19"/>
      <c r="JMP24" s="19"/>
      <c r="JMQ24" s="19"/>
      <c r="JMR24" s="19"/>
      <c r="JMS24" s="19"/>
      <c r="JMT24" s="19"/>
      <c r="JMU24" s="19"/>
      <c r="JMV24" s="19"/>
      <c r="JMW24" s="19"/>
      <c r="JMX24" s="19"/>
      <c r="JMY24" s="19"/>
      <c r="JMZ24" s="19"/>
      <c r="JNA24" s="19"/>
      <c r="JNB24" s="19"/>
      <c r="JNC24" s="19"/>
      <c r="JND24" s="19"/>
      <c r="JNE24" s="19"/>
      <c r="JNF24" s="19"/>
      <c r="JNG24" s="19"/>
      <c r="JNH24" s="19"/>
      <c r="JNI24" s="19"/>
      <c r="JNJ24" s="19"/>
      <c r="JNK24" s="19"/>
      <c r="JNL24" s="19"/>
      <c r="JNM24" s="19"/>
      <c r="JNN24" s="19"/>
      <c r="JNO24" s="19"/>
      <c r="JNP24" s="19"/>
      <c r="JNQ24" s="19"/>
      <c r="JNR24" s="19"/>
      <c r="JNS24" s="19"/>
      <c r="JNT24" s="19"/>
      <c r="JNU24" s="19"/>
      <c r="JNV24" s="19"/>
      <c r="JNW24" s="19"/>
      <c r="JNX24" s="19"/>
      <c r="JNY24" s="19"/>
      <c r="JNZ24" s="19"/>
      <c r="JOA24" s="19"/>
      <c r="JOB24" s="19"/>
      <c r="JOC24" s="19"/>
      <c r="JOD24" s="19"/>
      <c r="JOE24" s="19"/>
      <c r="JOF24" s="19"/>
      <c r="JOG24" s="19"/>
      <c r="JOH24" s="19"/>
      <c r="JOI24" s="19"/>
      <c r="JOJ24" s="19"/>
      <c r="JOK24" s="19"/>
      <c r="JOL24" s="19"/>
      <c r="JOM24" s="19"/>
      <c r="JON24" s="19"/>
      <c r="JOO24" s="19"/>
      <c r="JOP24" s="19"/>
      <c r="JOQ24" s="19"/>
      <c r="JOR24" s="19"/>
      <c r="JOS24" s="19"/>
      <c r="JOT24" s="19"/>
      <c r="JOU24" s="19"/>
      <c r="JOV24" s="19"/>
      <c r="JOW24" s="19"/>
      <c r="JOX24" s="19"/>
      <c r="JOY24" s="19"/>
      <c r="JOZ24" s="19"/>
      <c r="JPA24" s="19"/>
      <c r="JPB24" s="19"/>
      <c r="JPC24" s="19"/>
      <c r="JPD24" s="19"/>
      <c r="JPE24" s="19"/>
      <c r="JPF24" s="19"/>
      <c r="JPG24" s="19"/>
      <c r="JPH24" s="19"/>
      <c r="JPI24" s="19"/>
      <c r="JPJ24" s="19"/>
      <c r="JPK24" s="19"/>
      <c r="JPL24" s="19"/>
      <c r="JPM24" s="19"/>
      <c r="JPN24" s="19"/>
      <c r="JPO24" s="19"/>
      <c r="JPP24" s="19"/>
      <c r="JPQ24" s="19"/>
      <c r="JPR24" s="19"/>
      <c r="JPS24" s="19"/>
      <c r="JPT24" s="19"/>
      <c r="JPU24" s="19"/>
      <c r="JPV24" s="19"/>
      <c r="JPW24" s="19"/>
      <c r="JPX24" s="19"/>
      <c r="JPY24" s="19"/>
      <c r="JPZ24" s="19"/>
      <c r="JQA24" s="19"/>
      <c r="JQB24" s="19"/>
      <c r="JQC24" s="19"/>
      <c r="JQD24" s="19"/>
      <c r="JQE24" s="19"/>
      <c r="JQF24" s="19"/>
      <c r="JQG24" s="19"/>
      <c r="JQH24" s="19"/>
      <c r="JQI24" s="19"/>
      <c r="JQJ24" s="19"/>
      <c r="JQK24" s="19"/>
      <c r="JQL24" s="19"/>
      <c r="JQM24" s="19"/>
      <c r="JQN24" s="19"/>
      <c r="JQO24" s="19"/>
      <c r="JQP24" s="19"/>
      <c r="JQQ24" s="19"/>
      <c r="JQR24" s="19"/>
      <c r="JQS24" s="19"/>
      <c r="JQT24" s="19"/>
      <c r="JQU24" s="19"/>
      <c r="JQV24" s="19"/>
      <c r="JQW24" s="19"/>
      <c r="JQX24" s="19"/>
      <c r="JQY24" s="19"/>
      <c r="JQZ24" s="19"/>
      <c r="JRA24" s="19"/>
      <c r="JRB24" s="19"/>
      <c r="JRC24" s="19"/>
      <c r="JRD24" s="19"/>
      <c r="JRE24" s="19"/>
      <c r="JRF24" s="19"/>
      <c r="JRG24" s="19"/>
      <c r="JRH24" s="19"/>
      <c r="JRI24" s="19"/>
      <c r="JRJ24" s="19"/>
      <c r="JRK24" s="19"/>
      <c r="JRL24" s="19"/>
      <c r="JRM24" s="19"/>
      <c r="JRN24" s="19"/>
      <c r="JRO24" s="19"/>
      <c r="JRP24" s="19"/>
      <c r="JRQ24" s="19"/>
      <c r="JRR24" s="19"/>
      <c r="JRS24" s="19"/>
      <c r="JRT24" s="19"/>
      <c r="JRU24" s="19"/>
      <c r="JRV24" s="19"/>
      <c r="JRW24" s="19"/>
      <c r="JRX24" s="19"/>
      <c r="JRY24" s="19"/>
      <c r="JRZ24" s="19"/>
      <c r="JSA24" s="19"/>
      <c r="JSB24" s="19"/>
      <c r="JSC24" s="19"/>
      <c r="JSD24" s="19"/>
      <c r="JSE24" s="19"/>
      <c r="JSF24" s="19"/>
      <c r="JSG24" s="19"/>
      <c r="JSH24" s="19"/>
      <c r="JSI24" s="19"/>
      <c r="JSJ24" s="19"/>
      <c r="JSK24" s="19"/>
      <c r="JSL24" s="19"/>
      <c r="JSM24" s="19"/>
      <c r="JSN24" s="19"/>
      <c r="JSO24" s="19"/>
      <c r="JSP24" s="19"/>
      <c r="JSQ24" s="19"/>
      <c r="JSR24" s="19"/>
      <c r="JSS24" s="19"/>
      <c r="JST24" s="19"/>
      <c r="JSU24" s="19"/>
      <c r="JSV24" s="19"/>
      <c r="JSW24" s="19"/>
      <c r="JSX24" s="19"/>
      <c r="JSY24" s="19"/>
      <c r="JSZ24" s="19"/>
      <c r="JTA24" s="19"/>
      <c r="JTB24" s="19"/>
      <c r="JTC24" s="19"/>
      <c r="JTD24" s="19"/>
      <c r="JTE24" s="19"/>
      <c r="JTF24" s="19"/>
      <c r="JTG24" s="19"/>
      <c r="JTH24" s="19"/>
      <c r="JTI24" s="19"/>
      <c r="JTJ24" s="19"/>
      <c r="JTK24" s="19"/>
      <c r="JTL24" s="19"/>
      <c r="JTM24" s="19"/>
      <c r="JTN24" s="19"/>
      <c r="JTO24" s="19"/>
      <c r="JTP24" s="19"/>
      <c r="JTQ24" s="19"/>
      <c r="JTR24" s="19"/>
      <c r="JTS24" s="19"/>
      <c r="JTT24" s="19"/>
      <c r="JTU24" s="19"/>
      <c r="JTV24" s="19"/>
      <c r="JTW24" s="19"/>
      <c r="JTX24" s="19"/>
      <c r="JTY24" s="19"/>
      <c r="JTZ24" s="19"/>
      <c r="JUA24" s="19"/>
      <c r="JUB24" s="19"/>
      <c r="JUC24" s="19"/>
      <c r="JUD24" s="19"/>
      <c r="JUE24" s="19"/>
      <c r="JUF24" s="19"/>
      <c r="JUG24" s="19"/>
      <c r="JUH24" s="19"/>
      <c r="JUI24" s="19"/>
      <c r="JUJ24" s="19"/>
      <c r="JUK24" s="19"/>
      <c r="JUL24" s="19"/>
      <c r="JUM24" s="19"/>
      <c r="JUN24" s="19"/>
      <c r="JUO24" s="19"/>
      <c r="JUP24" s="19"/>
      <c r="JUQ24" s="19"/>
      <c r="JUR24" s="19"/>
      <c r="JUS24" s="19"/>
      <c r="JUT24" s="19"/>
      <c r="JUU24" s="19"/>
      <c r="JUV24" s="19"/>
      <c r="JUW24" s="19"/>
      <c r="JUX24" s="19"/>
      <c r="JUY24" s="19"/>
      <c r="JUZ24" s="19"/>
      <c r="JVA24" s="19"/>
      <c r="JVB24" s="19"/>
      <c r="JVC24" s="19"/>
      <c r="JVD24" s="19"/>
      <c r="JVE24" s="19"/>
      <c r="JVF24" s="19"/>
      <c r="JVG24" s="19"/>
      <c r="JVH24" s="19"/>
      <c r="JVI24" s="19"/>
      <c r="JVJ24" s="19"/>
      <c r="JVK24" s="19"/>
      <c r="JVL24" s="19"/>
      <c r="JVM24" s="19"/>
      <c r="JVN24" s="19"/>
      <c r="JVO24" s="19"/>
      <c r="JVP24" s="19"/>
      <c r="JVQ24" s="19"/>
      <c r="JVR24" s="19"/>
      <c r="JVS24" s="19"/>
      <c r="JVT24" s="19"/>
      <c r="JVU24" s="19"/>
      <c r="JVV24" s="19"/>
      <c r="JVW24" s="19"/>
      <c r="JVX24" s="19"/>
      <c r="JVY24" s="19"/>
      <c r="JVZ24" s="19"/>
      <c r="JWA24" s="19"/>
      <c r="JWB24" s="19"/>
      <c r="JWC24" s="19"/>
      <c r="JWD24" s="19"/>
      <c r="JWE24" s="19"/>
      <c r="JWF24" s="19"/>
      <c r="JWG24" s="19"/>
      <c r="JWH24" s="19"/>
      <c r="JWI24" s="19"/>
      <c r="JWJ24" s="19"/>
      <c r="JWK24" s="19"/>
      <c r="JWL24" s="19"/>
      <c r="JWM24" s="19"/>
      <c r="JWN24" s="19"/>
      <c r="JWO24" s="19"/>
      <c r="JWP24" s="19"/>
      <c r="JWQ24" s="19"/>
      <c r="JWR24" s="19"/>
      <c r="JWS24" s="19"/>
      <c r="JWT24" s="19"/>
      <c r="JWU24" s="19"/>
      <c r="JWV24" s="19"/>
      <c r="JWW24" s="19"/>
      <c r="JWX24" s="19"/>
      <c r="JWY24" s="19"/>
      <c r="JWZ24" s="19"/>
      <c r="JXA24" s="19"/>
      <c r="JXB24" s="19"/>
      <c r="JXC24" s="19"/>
      <c r="JXD24" s="19"/>
      <c r="JXE24" s="19"/>
      <c r="JXF24" s="19"/>
      <c r="JXG24" s="19"/>
      <c r="JXH24" s="19"/>
      <c r="JXI24" s="19"/>
      <c r="JXJ24" s="19"/>
      <c r="JXK24" s="19"/>
      <c r="JXL24" s="19"/>
      <c r="JXM24" s="19"/>
      <c r="JXN24" s="19"/>
      <c r="JXO24" s="19"/>
      <c r="JXP24" s="19"/>
      <c r="JXQ24" s="19"/>
      <c r="JXR24" s="19"/>
      <c r="JXS24" s="19"/>
      <c r="JXT24" s="19"/>
      <c r="JXU24" s="19"/>
      <c r="JXV24" s="19"/>
      <c r="JXW24" s="19"/>
      <c r="JXX24" s="19"/>
      <c r="JXY24" s="19"/>
      <c r="JXZ24" s="19"/>
      <c r="JYA24" s="19"/>
      <c r="JYB24" s="19"/>
      <c r="JYC24" s="19"/>
      <c r="JYD24" s="19"/>
      <c r="JYE24" s="19"/>
      <c r="JYF24" s="19"/>
      <c r="JYG24" s="19"/>
      <c r="JYH24" s="19"/>
      <c r="JYI24" s="19"/>
      <c r="JYJ24" s="19"/>
      <c r="JYK24" s="19"/>
      <c r="JYL24" s="19"/>
      <c r="JYM24" s="19"/>
      <c r="JYN24" s="19"/>
      <c r="JYO24" s="19"/>
      <c r="JYP24" s="19"/>
      <c r="JYQ24" s="19"/>
      <c r="JYR24" s="19"/>
      <c r="JYS24" s="19"/>
      <c r="JYT24" s="19"/>
      <c r="JYU24" s="19"/>
      <c r="JYV24" s="19"/>
      <c r="JYW24" s="19"/>
      <c r="JYX24" s="19"/>
      <c r="JYY24" s="19"/>
      <c r="JYZ24" s="19"/>
      <c r="JZA24" s="19"/>
      <c r="JZB24" s="19"/>
      <c r="JZC24" s="19"/>
      <c r="JZD24" s="19"/>
      <c r="JZE24" s="19"/>
      <c r="JZF24" s="19"/>
      <c r="JZG24" s="19"/>
      <c r="JZH24" s="19"/>
      <c r="JZI24" s="19"/>
      <c r="JZJ24" s="19"/>
      <c r="JZK24" s="19"/>
      <c r="JZL24" s="19"/>
      <c r="JZM24" s="19"/>
      <c r="JZN24" s="19"/>
      <c r="JZO24" s="19"/>
      <c r="JZP24" s="19"/>
      <c r="JZQ24" s="19"/>
      <c r="JZR24" s="19"/>
      <c r="JZS24" s="19"/>
      <c r="JZT24" s="19"/>
      <c r="JZU24" s="19"/>
      <c r="JZV24" s="19"/>
      <c r="JZW24" s="19"/>
      <c r="JZX24" s="19"/>
      <c r="JZY24" s="19"/>
      <c r="JZZ24" s="19"/>
      <c r="KAA24" s="19"/>
      <c r="KAB24" s="19"/>
      <c r="KAC24" s="19"/>
      <c r="KAD24" s="19"/>
      <c r="KAE24" s="19"/>
      <c r="KAF24" s="19"/>
      <c r="KAG24" s="19"/>
      <c r="KAH24" s="19"/>
      <c r="KAI24" s="19"/>
      <c r="KAJ24" s="19"/>
      <c r="KAK24" s="19"/>
      <c r="KAL24" s="19"/>
      <c r="KAM24" s="19"/>
      <c r="KAN24" s="19"/>
      <c r="KAO24" s="19"/>
      <c r="KAP24" s="19"/>
      <c r="KAQ24" s="19"/>
      <c r="KAR24" s="19"/>
      <c r="KAS24" s="19"/>
      <c r="KAT24" s="19"/>
      <c r="KAU24" s="19"/>
      <c r="KAV24" s="19"/>
      <c r="KAW24" s="19"/>
      <c r="KAX24" s="19"/>
      <c r="KAY24" s="19"/>
      <c r="KAZ24" s="19"/>
      <c r="KBA24" s="19"/>
      <c r="KBB24" s="19"/>
      <c r="KBC24" s="19"/>
      <c r="KBD24" s="19"/>
      <c r="KBE24" s="19"/>
      <c r="KBF24" s="19"/>
      <c r="KBG24" s="19"/>
      <c r="KBH24" s="19"/>
      <c r="KBI24" s="19"/>
      <c r="KBJ24" s="19"/>
      <c r="KBK24" s="19"/>
      <c r="KBL24" s="19"/>
      <c r="KBM24" s="19"/>
      <c r="KBN24" s="19"/>
      <c r="KBO24" s="19"/>
      <c r="KBP24" s="19"/>
      <c r="KBQ24" s="19"/>
      <c r="KBR24" s="19"/>
      <c r="KBS24" s="19"/>
      <c r="KBT24" s="19"/>
      <c r="KBU24" s="19"/>
      <c r="KBV24" s="19"/>
      <c r="KBW24" s="19"/>
      <c r="KBX24" s="19"/>
      <c r="KBY24" s="19"/>
      <c r="KBZ24" s="19"/>
      <c r="KCA24" s="19"/>
      <c r="KCB24" s="19"/>
      <c r="KCC24" s="19"/>
      <c r="KCD24" s="19"/>
      <c r="KCE24" s="19"/>
      <c r="KCF24" s="19"/>
      <c r="KCG24" s="19"/>
      <c r="KCH24" s="19"/>
      <c r="KCI24" s="19"/>
      <c r="KCJ24" s="19"/>
      <c r="KCK24" s="19"/>
      <c r="KCL24" s="19"/>
      <c r="KCM24" s="19"/>
      <c r="KCN24" s="19"/>
      <c r="KCO24" s="19"/>
      <c r="KCP24" s="19"/>
      <c r="KCQ24" s="19"/>
      <c r="KCR24" s="19"/>
      <c r="KCS24" s="19"/>
      <c r="KCT24" s="19"/>
      <c r="KCU24" s="19"/>
      <c r="KCV24" s="19"/>
      <c r="KCW24" s="19"/>
      <c r="KCX24" s="19"/>
      <c r="KCY24" s="19"/>
      <c r="KCZ24" s="19"/>
      <c r="KDA24" s="19"/>
      <c r="KDB24" s="19"/>
      <c r="KDC24" s="19"/>
      <c r="KDD24" s="19"/>
      <c r="KDE24" s="19"/>
      <c r="KDF24" s="19"/>
      <c r="KDG24" s="19"/>
      <c r="KDH24" s="19"/>
      <c r="KDI24" s="19"/>
      <c r="KDJ24" s="19"/>
      <c r="KDK24" s="19"/>
      <c r="KDL24" s="19"/>
      <c r="KDM24" s="19"/>
      <c r="KDN24" s="19"/>
      <c r="KDO24" s="19"/>
      <c r="KDP24" s="19"/>
      <c r="KDQ24" s="19"/>
      <c r="KDR24" s="19"/>
      <c r="KDS24" s="19"/>
      <c r="KDT24" s="19"/>
      <c r="KDU24" s="19"/>
      <c r="KDV24" s="19"/>
      <c r="KDW24" s="19"/>
      <c r="KDX24" s="19"/>
      <c r="KDY24" s="19"/>
      <c r="KDZ24" s="19"/>
      <c r="KEA24" s="19"/>
      <c r="KEB24" s="19"/>
      <c r="KEC24" s="19"/>
      <c r="KED24" s="19"/>
      <c r="KEE24" s="19"/>
      <c r="KEF24" s="19"/>
      <c r="KEG24" s="19"/>
      <c r="KEH24" s="19"/>
      <c r="KEI24" s="19"/>
      <c r="KEJ24" s="19"/>
      <c r="KEK24" s="19"/>
      <c r="KEL24" s="19"/>
      <c r="KEM24" s="19"/>
      <c r="KEN24" s="19"/>
      <c r="KEO24" s="19"/>
      <c r="KEP24" s="19"/>
      <c r="KEQ24" s="19"/>
      <c r="KER24" s="19"/>
      <c r="KES24" s="19"/>
      <c r="KET24" s="19"/>
      <c r="KEU24" s="19"/>
      <c r="KEV24" s="19"/>
      <c r="KEW24" s="19"/>
      <c r="KEX24" s="19"/>
      <c r="KEY24" s="19"/>
      <c r="KEZ24" s="19"/>
      <c r="KFA24" s="19"/>
      <c r="KFB24" s="19"/>
      <c r="KFC24" s="19"/>
      <c r="KFD24" s="19"/>
      <c r="KFE24" s="19"/>
      <c r="KFF24" s="19"/>
      <c r="KFG24" s="19"/>
      <c r="KFH24" s="19"/>
      <c r="KFI24" s="19"/>
      <c r="KFJ24" s="19"/>
      <c r="KFK24" s="19"/>
      <c r="KFL24" s="19"/>
      <c r="KFM24" s="19"/>
      <c r="KFN24" s="19"/>
      <c r="KFO24" s="19"/>
      <c r="KFP24" s="19"/>
      <c r="KFQ24" s="19"/>
      <c r="KFR24" s="19"/>
      <c r="KFS24" s="19"/>
      <c r="KFT24" s="19"/>
      <c r="KFU24" s="19"/>
      <c r="KFV24" s="19"/>
      <c r="KFW24" s="19"/>
      <c r="KFX24" s="19"/>
      <c r="KFY24" s="19"/>
      <c r="KFZ24" s="19"/>
      <c r="KGA24" s="19"/>
      <c r="KGB24" s="19"/>
      <c r="KGC24" s="19"/>
      <c r="KGD24" s="19"/>
      <c r="KGE24" s="19"/>
      <c r="KGF24" s="19"/>
      <c r="KGG24" s="19"/>
      <c r="KGH24" s="19"/>
      <c r="KGI24" s="19"/>
      <c r="KGJ24" s="19"/>
      <c r="KGK24" s="19"/>
      <c r="KGL24" s="19"/>
      <c r="KGM24" s="19"/>
      <c r="KGN24" s="19"/>
      <c r="KGO24" s="19"/>
      <c r="KGP24" s="19"/>
      <c r="KGQ24" s="19"/>
      <c r="KGR24" s="19"/>
      <c r="KGS24" s="19"/>
      <c r="KGT24" s="19"/>
      <c r="KGU24" s="19"/>
      <c r="KGV24" s="19"/>
      <c r="KGW24" s="19"/>
      <c r="KGX24" s="19"/>
      <c r="KGY24" s="19"/>
      <c r="KGZ24" s="19"/>
      <c r="KHA24" s="19"/>
      <c r="KHB24" s="19"/>
      <c r="KHC24" s="19"/>
      <c r="KHD24" s="19"/>
      <c r="KHE24" s="19"/>
      <c r="KHF24" s="19"/>
      <c r="KHG24" s="19"/>
      <c r="KHH24" s="19"/>
      <c r="KHI24" s="19"/>
      <c r="KHJ24" s="19"/>
      <c r="KHK24" s="19"/>
      <c r="KHL24" s="19"/>
      <c r="KHM24" s="19"/>
      <c r="KHN24" s="19"/>
      <c r="KHO24" s="19"/>
      <c r="KHP24" s="19"/>
      <c r="KHQ24" s="19"/>
      <c r="KHR24" s="19"/>
      <c r="KHS24" s="19"/>
      <c r="KHT24" s="19"/>
      <c r="KHU24" s="19"/>
      <c r="KHV24" s="19"/>
      <c r="KHW24" s="19"/>
      <c r="KHX24" s="19"/>
      <c r="KHY24" s="19"/>
      <c r="KHZ24" s="19"/>
      <c r="KIA24" s="19"/>
      <c r="KIB24" s="19"/>
      <c r="KIC24" s="19"/>
      <c r="KID24" s="19"/>
      <c r="KIE24" s="19"/>
      <c r="KIF24" s="19"/>
      <c r="KIG24" s="19"/>
      <c r="KIH24" s="19"/>
      <c r="KII24" s="19"/>
      <c r="KIJ24" s="19"/>
      <c r="KIK24" s="19"/>
      <c r="KIL24" s="19"/>
      <c r="KIM24" s="19"/>
      <c r="KIN24" s="19"/>
      <c r="KIO24" s="19"/>
      <c r="KIP24" s="19"/>
      <c r="KIQ24" s="19"/>
      <c r="KIR24" s="19"/>
      <c r="KIS24" s="19"/>
      <c r="KIT24" s="19"/>
      <c r="KIU24" s="19"/>
      <c r="KIV24" s="19"/>
      <c r="KIW24" s="19"/>
      <c r="KIX24" s="19"/>
      <c r="KIY24" s="19"/>
      <c r="KIZ24" s="19"/>
      <c r="KJA24" s="19"/>
      <c r="KJB24" s="19"/>
      <c r="KJC24" s="19"/>
      <c r="KJD24" s="19"/>
      <c r="KJE24" s="19"/>
      <c r="KJF24" s="19"/>
      <c r="KJG24" s="19"/>
      <c r="KJH24" s="19"/>
      <c r="KJI24" s="19"/>
      <c r="KJJ24" s="19"/>
      <c r="KJK24" s="19"/>
      <c r="KJL24" s="19"/>
      <c r="KJM24" s="19"/>
      <c r="KJN24" s="19"/>
      <c r="KJO24" s="19"/>
      <c r="KJP24" s="19"/>
      <c r="KJQ24" s="19"/>
      <c r="KJR24" s="19"/>
      <c r="KJS24" s="19"/>
      <c r="KJT24" s="19"/>
      <c r="KJU24" s="19"/>
      <c r="KJV24" s="19"/>
      <c r="KJW24" s="19"/>
      <c r="KJX24" s="19"/>
      <c r="KJY24" s="19"/>
      <c r="KJZ24" s="19"/>
      <c r="KKA24" s="19"/>
      <c r="KKB24" s="19"/>
      <c r="KKC24" s="19"/>
      <c r="KKD24" s="19"/>
      <c r="KKE24" s="19"/>
      <c r="KKF24" s="19"/>
      <c r="KKG24" s="19"/>
      <c r="KKH24" s="19"/>
      <c r="KKI24" s="19"/>
      <c r="KKJ24" s="19"/>
      <c r="KKK24" s="19"/>
      <c r="KKL24" s="19"/>
      <c r="KKM24" s="19"/>
      <c r="KKN24" s="19"/>
      <c r="KKO24" s="19"/>
      <c r="KKP24" s="19"/>
      <c r="KKQ24" s="19"/>
      <c r="KKR24" s="19"/>
      <c r="KKS24" s="19"/>
      <c r="KKT24" s="19"/>
      <c r="KKU24" s="19"/>
      <c r="KKV24" s="19"/>
      <c r="KKW24" s="19"/>
      <c r="KKX24" s="19"/>
      <c r="KKY24" s="19"/>
      <c r="KKZ24" s="19"/>
      <c r="KLA24" s="19"/>
      <c r="KLB24" s="19"/>
      <c r="KLC24" s="19"/>
      <c r="KLD24" s="19"/>
      <c r="KLE24" s="19"/>
      <c r="KLF24" s="19"/>
      <c r="KLG24" s="19"/>
      <c r="KLH24" s="19"/>
      <c r="KLI24" s="19"/>
      <c r="KLJ24" s="19"/>
      <c r="KLK24" s="19"/>
      <c r="KLL24" s="19"/>
      <c r="KLM24" s="19"/>
      <c r="KLN24" s="19"/>
      <c r="KLO24" s="19"/>
      <c r="KLP24" s="19"/>
      <c r="KLQ24" s="19"/>
      <c r="KLR24" s="19"/>
      <c r="KLS24" s="19"/>
      <c r="KLT24" s="19"/>
      <c r="KLU24" s="19"/>
      <c r="KLV24" s="19"/>
      <c r="KLW24" s="19"/>
      <c r="KLX24" s="19"/>
      <c r="KLY24" s="19"/>
      <c r="KLZ24" s="19"/>
      <c r="KMA24" s="19"/>
      <c r="KMB24" s="19"/>
      <c r="KMC24" s="19"/>
      <c r="KMD24" s="19"/>
      <c r="KME24" s="19"/>
      <c r="KMF24" s="19"/>
      <c r="KMG24" s="19"/>
      <c r="KMH24" s="19"/>
      <c r="KMI24" s="19"/>
      <c r="KMJ24" s="19"/>
      <c r="KMK24" s="19"/>
      <c r="KML24" s="19"/>
      <c r="KMM24" s="19"/>
      <c r="KMN24" s="19"/>
      <c r="KMO24" s="19"/>
      <c r="KMP24" s="19"/>
      <c r="KMQ24" s="19"/>
      <c r="KMR24" s="19"/>
      <c r="KMS24" s="19"/>
      <c r="KMT24" s="19"/>
      <c r="KMU24" s="19"/>
      <c r="KMV24" s="19"/>
      <c r="KMW24" s="19"/>
      <c r="KMX24" s="19"/>
      <c r="KMY24" s="19"/>
      <c r="KMZ24" s="19"/>
      <c r="KNA24" s="19"/>
      <c r="KNB24" s="19"/>
      <c r="KNC24" s="19"/>
      <c r="KND24" s="19"/>
      <c r="KNE24" s="19"/>
      <c r="KNF24" s="19"/>
      <c r="KNG24" s="19"/>
      <c r="KNH24" s="19"/>
      <c r="KNI24" s="19"/>
      <c r="KNJ24" s="19"/>
      <c r="KNK24" s="19"/>
      <c r="KNL24" s="19"/>
      <c r="KNM24" s="19"/>
      <c r="KNN24" s="19"/>
      <c r="KNO24" s="19"/>
      <c r="KNP24" s="19"/>
      <c r="KNQ24" s="19"/>
      <c r="KNR24" s="19"/>
      <c r="KNS24" s="19"/>
      <c r="KNT24" s="19"/>
      <c r="KNU24" s="19"/>
      <c r="KNV24" s="19"/>
      <c r="KNW24" s="19"/>
      <c r="KNX24" s="19"/>
      <c r="KNY24" s="19"/>
      <c r="KNZ24" s="19"/>
      <c r="KOA24" s="19"/>
      <c r="KOB24" s="19"/>
      <c r="KOC24" s="19"/>
      <c r="KOD24" s="19"/>
      <c r="KOE24" s="19"/>
      <c r="KOF24" s="19"/>
      <c r="KOG24" s="19"/>
      <c r="KOH24" s="19"/>
      <c r="KOI24" s="19"/>
      <c r="KOJ24" s="19"/>
      <c r="KOK24" s="19"/>
      <c r="KOL24" s="19"/>
      <c r="KOM24" s="19"/>
      <c r="KON24" s="19"/>
      <c r="KOO24" s="19"/>
      <c r="KOP24" s="19"/>
      <c r="KOQ24" s="19"/>
      <c r="KOR24" s="19"/>
      <c r="KOS24" s="19"/>
      <c r="KOT24" s="19"/>
      <c r="KOU24" s="19"/>
      <c r="KOV24" s="19"/>
      <c r="KOW24" s="19"/>
      <c r="KOX24" s="19"/>
      <c r="KOY24" s="19"/>
      <c r="KOZ24" s="19"/>
      <c r="KPA24" s="19"/>
      <c r="KPB24" s="19"/>
      <c r="KPC24" s="19"/>
      <c r="KPD24" s="19"/>
      <c r="KPE24" s="19"/>
      <c r="KPF24" s="19"/>
      <c r="KPG24" s="19"/>
      <c r="KPH24" s="19"/>
      <c r="KPI24" s="19"/>
      <c r="KPJ24" s="19"/>
      <c r="KPK24" s="19"/>
      <c r="KPL24" s="19"/>
      <c r="KPM24" s="19"/>
      <c r="KPN24" s="19"/>
      <c r="KPO24" s="19"/>
      <c r="KPP24" s="19"/>
      <c r="KPQ24" s="19"/>
      <c r="KPR24" s="19"/>
      <c r="KPS24" s="19"/>
      <c r="KPT24" s="19"/>
      <c r="KPU24" s="19"/>
      <c r="KPV24" s="19"/>
      <c r="KPW24" s="19"/>
      <c r="KPX24" s="19"/>
      <c r="KPY24" s="19"/>
      <c r="KPZ24" s="19"/>
      <c r="KQA24" s="19"/>
      <c r="KQB24" s="19"/>
      <c r="KQC24" s="19"/>
      <c r="KQD24" s="19"/>
      <c r="KQE24" s="19"/>
      <c r="KQF24" s="19"/>
      <c r="KQG24" s="19"/>
      <c r="KQH24" s="19"/>
      <c r="KQI24" s="19"/>
      <c r="KQJ24" s="19"/>
      <c r="KQK24" s="19"/>
      <c r="KQL24" s="19"/>
      <c r="KQM24" s="19"/>
      <c r="KQN24" s="19"/>
      <c r="KQO24" s="19"/>
      <c r="KQP24" s="19"/>
      <c r="KQQ24" s="19"/>
      <c r="KQR24" s="19"/>
      <c r="KQS24" s="19"/>
      <c r="KQT24" s="19"/>
      <c r="KQU24" s="19"/>
      <c r="KQV24" s="19"/>
      <c r="KQW24" s="19"/>
      <c r="KQX24" s="19"/>
      <c r="KQY24" s="19"/>
      <c r="KQZ24" s="19"/>
      <c r="KRA24" s="19"/>
      <c r="KRB24" s="19"/>
      <c r="KRC24" s="19"/>
      <c r="KRD24" s="19"/>
      <c r="KRE24" s="19"/>
      <c r="KRF24" s="19"/>
      <c r="KRG24" s="19"/>
      <c r="KRH24" s="19"/>
      <c r="KRI24" s="19"/>
      <c r="KRJ24" s="19"/>
      <c r="KRK24" s="19"/>
      <c r="KRL24" s="19"/>
      <c r="KRM24" s="19"/>
      <c r="KRN24" s="19"/>
      <c r="KRO24" s="19"/>
      <c r="KRP24" s="19"/>
      <c r="KRQ24" s="19"/>
      <c r="KRR24" s="19"/>
      <c r="KRS24" s="19"/>
      <c r="KRT24" s="19"/>
      <c r="KRU24" s="19"/>
      <c r="KRV24" s="19"/>
      <c r="KRW24" s="19"/>
      <c r="KRX24" s="19"/>
      <c r="KRY24" s="19"/>
      <c r="KRZ24" s="19"/>
      <c r="KSA24" s="19"/>
      <c r="KSB24" s="19"/>
      <c r="KSC24" s="19"/>
      <c r="KSD24" s="19"/>
      <c r="KSE24" s="19"/>
      <c r="KSF24" s="19"/>
      <c r="KSG24" s="19"/>
      <c r="KSH24" s="19"/>
      <c r="KSI24" s="19"/>
      <c r="KSJ24" s="19"/>
      <c r="KSK24" s="19"/>
      <c r="KSL24" s="19"/>
      <c r="KSM24" s="19"/>
      <c r="KSN24" s="19"/>
      <c r="KSO24" s="19"/>
      <c r="KSP24" s="19"/>
      <c r="KSQ24" s="19"/>
      <c r="KSR24" s="19"/>
      <c r="KSS24" s="19"/>
      <c r="KST24" s="19"/>
      <c r="KSU24" s="19"/>
      <c r="KSV24" s="19"/>
      <c r="KSW24" s="19"/>
      <c r="KSX24" s="19"/>
      <c r="KSY24" s="19"/>
      <c r="KSZ24" s="19"/>
      <c r="KTA24" s="19"/>
      <c r="KTB24" s="19"/>
      <c r="KTC24" s="19"/>
      <c r="KTD24" s="19"/>
      <c r="KTE24" s="19"/>
      <c r="KTF24" s="19"/>
      <c r="KTG24" s="19"/>
      <c r="KTH24" s="19"/>
      <c r="KTI24" s="19"/>
      <c r="KTJ24" s="19"/>
      <c r="KTK24" s="19"/>
      <c r="KTL24" s="19"/>
      <c r="KTM24" s="19"/>
      <c r="KTN24" s="19"/>
      <c r="KTO24" s="19"/>
      <c r="KTP24" s="19"/>
      <c r="KTQ24" s="19"/>
      <c r="KTR24" s="19"/>
      <c r="KTS24" s="19"/>
      <c r="KTT24" s="19"/>
      <c r="KTU24" s="19"/>
      <c r="KTV24" s="19"/>
      <c r="KTW24" s="19"/>
      <c r="KTX24" s="19"/>
      <c r="KTY24" s="19"/>
      <c r="KTZ24" s="19"/>
      <c r="KUA24" s="19"/>
      <c r="KUB24" s="19"/>
      <c r="KUC24" s="19"/>
      <c r="KUD24" s="19"/>
      <c r="KUE24" s="19"/>
      <c r="KUF24" s="19"/>
      <c r="KUG24" s="19"/>
      <c r="KUH24" s="19"/>
      <c r="KUI24" s="19"/>
      <c r="KUJ24" s="19"/>
      <c r="KUK24" s="19"/>
      <c r="KUL24" s="19"/>
      <c r="KUM24" s="19"/>
      <c r="KUN24" s="19"/>
      <c r="KUO24" s="19"/>
      <c r="KUP24" s="19"/>
      <c r="KUQ24" s="19"/>
      <c r="KUR24" s="19"/>
      <c r="KUS24" s="19"/>
      <c r="KUT24" s="19"/>
      <c r="KUU24" s="19"/>
      <c r="KUV24" s="19"/>
      <c r="KUW24" s="19"/>
      <c r="KUX24" s="19"/>
      <c r="KUY24" s="19"/>
      <c r="KUZ24" s="19"/>
      <c r="KVA24" s="19"/>
      <c r="KVB24" s="19"/>
      <c r="KVC24" s="19"/>
      <c r="KVD24" s="19"/>
      <c r="KVE24" s="19"/>
      <c r="KVF24" s="19"/>
      <c r="KVG24" s="19"/>
      <c r="KVH24" s="19"/>
      <c r="KVI24" s="19"/>
      <c r="KVJ24" s="19"/>
      <c r="KVK24" s="19"/>
      <c r="KVL24" s="19"/>
      <c r="KVM24" s="19"/>
      <c r="KVN24" s="19"/>
      <c r="KVO24" s="19"/>
      <c r="KVP24" s="19"/>
      <c r="KVQ24" s="19"/>
      <c r="KVR24" s="19"/>
      <c r="KVS24" s="19"/>
      <c r="KVT24" s="19"/>
      <c r="KVU24" s="19"/>
      <c r="KVV24" s="19"/>
      <c r="KVW24" s="19"/>
      <c r="KVX24" s="19"/>
      <c r="KVY24" s="19"/>
      <c r="KVZ24" s="19"/>
      <c r="KWA24" s="19"/>
      <c r="KWB24" s="19"/>
      <c r="KWC24" s="19"/>
      <c r="KWD24" s="19"/>
      <c r="KWE24" s="19"/>
      <c r="KWF24" s="19"/>
      <c r="KWG24" s="19"/>
      <c r="KWH24" s="19"/>
      <c r="KWI24" s="19"/>
      <c r="KWJ24" s="19"/>
      <c r="KWK24" s="19"/>
      <c r="KWL24" s="19"/>
      <c r="KWM24" s="19"/>
      <c r="KWN24" s="19"/>
      <c r="KWO24" s="19"/>
      <c r="KWP24" s="19"/>
      <c r="KWQ24" s="19"/>
      <c r="KWR24" s="19"/>
      <c r="KWS24" s="19"/>
      <c r="KWT24" s="19"/>
      <c r="KWU24" s="19"/>
      <c r="KWV24" s="19"/>
      <c r="KWW24" s="19"/>
      <c r="KWX24" s="19"/>
      <c r="KWY24" s="19"/>
      <c r="KWZ24" s="19"/>
      <c r="KXA24" s="19"/>
      <c r="KXB24" s="19"/>
      <c r="KXC24" s="19"/>
      <c r="KXD24" s="19"/>
      <c r="KXE24" s="19"/>
      <c r="KXF24" s="19"/>
      <c r="KXG24" s="19"/>
      <c r="KXH24" s="19"/>
      <c r="KXI24" s="19"/>
      <c r="KXJ24" s="19"/>
      <c r="KXK24" s="19"/>
      <c r="KXL24" s="19"/>
      <c r="KXM24" s="19"/>
      <c r="KXN24" s="19"/>
      <c r="KXO24" s="19"/>
      <c r="KXP24" s="19"/>
      <c r="KXQ24" s="19"/>
      <c r="KXR24" s="19"/>
      <c r="KXS24" s="19"/>
      <c r="KXT24" s="19"/>
      <c r="KXU24" s="19"/>
      <c r="KXV24" s="19"/>
      <c r="KXW24" s="19"/>
      <c r="KXX24" s="19"/>
      <c r="KXY24" s="19"/>
      <c r="KXZ24" s="19"/>
      <c r="KYA24" s="19"/>
      <c r="KYB24" s="19"/>
      <c r="KYC24" s="19"/>
      <c r="KYD24" s="19"/>
      <c r="KYE24" s="19"/>
      <c r="KYF24" s="19"/>
      <c r="KYG24" s="19"/>
      <c r="KYH24" s="19"/>
      <c r="KYI24" s="19"/>
      <c r="KYJ24" s="19"/>
      <c r="KYK24" s="19"/>
      <c r="KYL24" s="19"/>
      <c r="KYM24" s="19"/>
      <c r="KYN24" s="19"/>
      <c r="KYO24" s="19"/>
      <c r="KYP24" s="19"/>
      <c r="KYQ24" s="19"/>
      <c r="KYR24" s="19"/>
      <c r="KYS24" s="19"/>
      <c r="KYT24" s="19"/>
      <c r="KYU24" s="19"/>
      <c r="KYV24" s="19"/>
      <c r="KYW24" s="19"/>
      <c r="KYX24" s="19"/>
      <c r="KYY24" s="19"/>
      <c r="KYZ24" s="19"/>
      <c r="KZA24" s="19"/>
      <c r="KZB24" s="19"/>
      <c r="KZC24" s="19"/>
      <c r="KZD24" s="19"/>
      <c r="KZE24" s="19"/>
      <c r="KZF24" s="19"/>
      <c r="KZG24" s="19"/>
      <c r="KZH24" s="19"/>
      <c r="KZI24" s="19"/>
      <c r="KZJ24" s="19"/>
      <c r="KZK24" s="19"/>
      <c r="KZL24" s="19"/>
      <c r="KZM24" s="19"/>
      <c r="KZN24" s="19"/>
      <c r="KZO24" s="19"/>
      <c r="KZP24" s="19"/>
      <c r="KZQ24" s="19"/>
      <c r="KZR24" s="19"/>
      <c r="KZS24" s="19"/>
      <c r="KZT24" s="19"/>
      <c r="KZU24" s="19"/>
      <c r="KZV24" s="19"/>
      <c r="KZW24" s="19"/>
      <c r="KZX24" s="19"/>
      <c r="KZY24" s="19"/>
      <c r="KZZ24" s="19"/>
      <c r="LAA24" s="19"/>
      <c r="LAB24" s="19"/>
      <c r="LAC24" s="19"/>
      <c r="LAD24" s="19"/>
      <c r="LAE24" s="19"/>
      <c r="LAF24" s="19"/>
      <c r="LAG24" s="19"/>
      <c r="LAH24" s="19"/>
      <c r="LAI24" s="19"/>
      <c r="LAJ24" s="19"/>
      <c r="LAK24" s="19"/>
      <c r="LAL24" s="19"/>
      <c r="LAM24" s="19"/>
      <c r="LAN24" s="19"/>
      <c r="LAO24" s="19"/>
      <c r="LAP24" s="19"/>
      <c r="LAQ24" s="19"/>
      <c r="LAR24" s="19"/>
      <c r="LAS24" s="19"/>
      <c r="LAT24" s="19"/>
      <c r="LAU24" s="19"/>
      <c r="LAV24" s="19"/>
      <c r="LAW24" s="19"/>
      <c r="LAX24" s="19"/>
      <c r="LAY24" s="19"/>
      <c r="LAZ24" s="19"/>
      <c r="LBA24" s="19"/>
      <c r="LBB24" s="19"/>
      <c r="LBC24" s="19"/>
      <c r="LBD24" s="19"/>
      <c r="LBE24" s="19"/>
      <c r="LBF24" s="19"/>
      <c r="LBG24" s="19"/>
      <c r="LBH24" s="19"/>
      <c r="LBI24" s="19"/>
      <c r="LBJ24" s="19"/>
      <c r="LBK24" s="19"/>
      <c r="LBL24" s="19"/>
      <c r="LBM24" s="19"/>
      <c r="LBN24" s="19"/>
      <c r="LBO24" s="19"/>
      <c r="LBP24" s="19"/>
      <c r="LBQ24" s="19"/>
      <c r="LBR24" s="19"/>
      <c r="LBS24" s="19"/>
      <c r="LBT24" s="19"/>
      <c r="LBU24" s="19"/>
      <c r="LBV24" s="19"/>
      <c r="LBW24" s="19"/>
      <c r="LBX24" s="19"/>
      <c r="LBY24" s="19"/>
      <c r="LBZ24" s="19"/>
      <c r="LCA24" s="19"/>
      <c r="LCB24" s="19"/>
      <c r="LCC24" s="19"/>
      <c r="LCD24" s="19"/>
      <c r="LCE24" s="19"/>
      <c r="LCF24" s="19"/>
      <c r="LCG24" s="19"/>
      <c r="LCH24" s="19"/>
      <c r="LCI24" s="19"/>
      <c r="LCJ24" s="19"/>
      <c r="LCK24" s="19"/>
      <c r="LCL24" s="19"/>
      <c r="LCM24" s="19"/>
      <c r="LCN24" s="19"/>
      <c r="LCO24" s="19"/>
      <c r="LCP24" s="19"/>
      <c r="LCQ24" s="19"/>
      <c r="LCR24" s="19"/>
      <c r="LCS24" s="19"/>
      <c r="LCT24" s="19"/>
      <c r="LCU24" s="19"/>
      <c r="LCV24" s="19"/>
      <c r="LCW24" s="19"/>
      <c r="LCX24" s="19"/>
      <c r="LCY24" s="19"/>
      <c r="LCZ24" s="19"/>
      <c r="LDA24" s="19"/>
      <c r="LDB24" s="19"/>
      <c r="LDC24" s="19"/>
      <c r="LDD24" s="19"/>
      <c r="LDE24" s="19"/>
      <c r="LDF24" s="19"/>
      <c r="LDG24" s="19"/>
      <c r="LDH24" s="19"/>
      <c r="LDI24" s="19"/>
      <c r="LDJ24" s="19"/>
      <c r="LDK24" s="19"/>
      <c r="LDL24" s="19"/>
      <c r="LDM24" s="19"/>
      <c r="LDN24" s="19"/>
      <c r="LDO24" s="19"/>
      <c r="LDP24" s="19"/>
      <c r="LDQ24" s="19"/>
      <c r="LDR24" s="19"/>
      <c r="LDS24" s="19"/>
      <c r="LDT24" s="19"/>
      <c r="LDU24" s="19"/>
      <c r="LDV24" s="19"/>
      <c r="LDW24" s="19"/>
      <c r="LDX24" s="19"/>
      <c r="LDY24" s="19"/>
      <c r="LDZ24" s="19"/>
      <c r="LEA24" s="19"/>
      <c r="LEB24" s="19"/>
      <c r="LEC24" s="19"/>
      <c r="LED24" s="19"/>
      <c r="LEE24" s="19"/>
      <c r="LEF24" s="19"/>
      <c r="LEG24" s="19"/>
      <c r="LEH24" s="19"/>
      <c r="LEI24" s="19"/>
      <c r="LEJ24" s="19"/>
      <c r="LEK24" s="19"/>
      <c r="LEL24" s="19"/>
      <c r="LEM24" s="19"/>
      <c r="LEN24" s="19"/>
      <c r="LEO24" s="19"/>
      <c r="LEP24" s="19"/>
      <c r="LEQ24" s="19"/>
      <c r="LER24" s="19"/>
      <c r="LES24" s="19"/>
      <c r="LET24" s="19"/>
      <c r="LEU24" s="19"/>
      <c r="LEV24" s="19"/>
      <c r="LEW24" s="19"/>
      <c r="LEX24" s="19"/>
      <c r="LEY24" s="19"/>
      <c r="LEZ24" s="19"/>
      <c r="LFA24" s="19"/>
      <c r="LFB24" s="19"/>
      <c r="LFC24" s="19"/>
      <c r="LFD24" s="19"/>
      <c r="LFE24" s="19"/>
      <c r="LFF24" s="19"/>
      <c r="LFG24" s="19"/>
      <c r="LFH24" s="19"/>
      <c r="LFI24" s="19"/>
      <c r="LFJ24" s="19"/>
      <c r="LFK24" s="19"/>
      <c r="LFL24" s="19"/>
      <c r="LFM24" s="19"/>
      <c r="LFN24" s="19"/>
      <c r="LFO24" s="19"/>
      <c r="LFP24" s="19"/>
      <c r="LFQ24" s="19"/>
      <c r="LFR24" s="19"/>
      <c r="LFS24" s="19"/>
      <c r="LFT24" s="19"/>
      <c r="LFU24" s="19"/>
      <c r="LFV24" s="19"/>
      <c r="LFW24" s="19"/>
      <c r="LFX24" s="19"/>
      <c r="LFY24" s="19"/>
      <c r="LFZ24" s="19"/>
      <c r="LGA24" s="19"/>
      <c r="LGB24" s="19"/>
      <c r="LGC24" s="19"/>
      <c r="LGD24" s="19"/>
      <c r="LGE24" s="19"/>
      <c r="LGF24" s="19"/>
      <c r="LGG24" s="19"/>
      <c r="LGH24" s="19"/>
      <c r="LGI24" s="19"/>
      <c r="LGJ24" s="19"/>
      <c r="LGK24" s="19"/>
      <c r="LGL24" s="19"/>
      <c r="LGM24" s="19"/>
      <c r="LGN24" s="19"/>
      <c r="LGO24" s="19"/>
      <c r="LGP24" s="19"/>
      <c r="LGQ24" s="19"/>
      <c r="LGR24" s="19"/>
      <c r="LGS24" s="19"/>
      <c r="LGT24" s="19"/>
      <c r="LGU24" s="19"/>
      <c r="LGV24" s="19"/>
      <c r="LGW24" s="19"/>
      <c r="LGX24" s="19"/>
      <c r="LGY24" s="19"/>
      <c r="LGZ24" s="19"/>
      <c r="LHA24" s="19"/>
      <c r="LHB24" s="19"/>
      <c r="LHC24" s="19"/>
      <c r="LHD24" s="19"/>
      <c r="LHE24" s="19"/>
      <c r="LHF24" s="19"/>
      <c r="LHG24" s="19"/>
      <c r="LHH24" s="19"/>
      <c r="LHI24" s="19"/>
      <c r="LHJ24" s="19"/>
      <c r="LHK24" s="19"/>
      <c r="LHL24" s="19"/>
      <c r="LHM24" s="19"/>
      <c r="LHN24" s="19"/>
      <c r="LHO24" s="19"/>
      <c r="LHP24" s="19"/>
      <c r="LHQ24" s="19"/>
      <c r="LHR24" s="19"/>
      <c r="LHS24" s="19"/>
      <c r="LHT24" s="19"/>
      <c r="LHU24" s="19"/>
      <c r="LHV24" s="19"/>
      <c r="LHW24" s="19"/>
      <c r="LHX24" s="19"/>
      <c r="LHY24" s="19"/>
      <c r="LHZ24" s="19"/>
      <c r="LIA24" s="19"/>
      <c r="LIB24" s="19"/>
      <c r="LIC24" s="19"/>
      <c r="LID24" s="19"/>
      <c r="LIE24" s="19"/>
      <c r="LIF24" s="19"/>
      <c r="LIG24" s="19"/>
      <c r="LIH24" s="19"/>
      <c r="LII24" s="19"/>
      <c r="LIJ24" s="19"/>
      <c r="LIK24" s="19"/>
      <c r="LIL24" s="19"/>
      <c r="LIM24" s="19"/>
      <c r="LIN24" s="19"/>
      <c r="LIO24" s="19"/>
      <c r="LIP24" s="19"/>
      <c r="LIQ24" s="19"/>
      <c r="LIR24" s="19"/>
      <c r="LIS24" s="19"/>
      <c r="LIT24" s="19"/>
      <c r="LIU24" s="19"/>
      <c r="LIV24" s="19"/>
      <c r="LIW24" s="19"/>
      <c r="LIX24" s="19"/>
      <c r="LIY24" s="19"/>
      <c r="LIZ24" s="19"/>
      <c r="LJA24" s="19"/>
      <c r="LJB24" s="19"/>
      <c r="LJC24" s="19"/>
      <c r="LJD24" s="19"/>
      <c r="LJE24" s="19"/>
      <c r="LJF24" s="19"/>
      <c r="LJG24" s="19"/>
      <c r="LJH24" s="19"/>
      <c r="LJI24" s="19"/>
      <c r="LJJ24" s="19"/>
      <c r="LJK24" s="19"/>
      <c r="LJL24" s="19"/>
      <c r="LJM24" s="19"/>
      <c r="LJN24" s="19"/>
      <c r="LJO24" s="19"/>
      <c r="LJP24" s="19"/>
      <c r="LJQ24" s="19"/>
      <c r="LJR24" s="19"/>
      <c r="LJS24" s="19"/>
      <c r="LJT24" s="19"/>
      <c r="LJU24" s="19"/>
      <c r="LJV24" s="19"/>
      <c r="LJW24" s="19"/>
      <c r="LJX24" s="19"/>
      <c r="LJY24" s="19"/>
      <c r="LJZ24" s="19"/>
      <c r="LKA24" s="19"/>
      <c r="LKB24" s="19"/>
      <c r="LKC24" s="19"/>
      <c r="LKD24" s="19"/>
      <c r="LKE24" s="19"/>
      <c r="LKF24" s="19"/>
      <c r="LKG24" s="19"/>
      <c r="LKH24" s="19"/>
      <c r="LKI24" s="19"/>
      <c r="LKJ24" s="19"/>
      <c r="LKK24" s="19"/>
      <c r="LKL24" s="19"/>
      <c r="LKM24" s="19"/>
      <c r="LKN24" s="19"/>
      <c r="LKO24" s="19"/>
      <c r="LKP24" s="19"/>
      <c r="LKQ24" s="19"/>
      <c r="LKR24" s="19"/>
      <c r="LKS24" s="19"/>
      <c r="LKT24" s="19"/>
      <c r="LKU24" s="19"/>
      <c r="LKV24" s="19"/>
      <c r="LKW24" s="19"/>
      <c r="LKX24" s="19"/>
      <c r="LKY24" s="19"/>
      <c r="LKZ24" s="19"/>
      <c r="LLA24" s="19"/>
      <c r="LLB24" s="19"/>
      <c r="LLC24" s="19"/>
      <c r="LLD24" s="19"/>
      <c r="LLE24" s="19"/>
      <c r="LLF24" s="19"/>
      <c r="LLG24" s="19"/>
      <c r="LLH24" s="19"/>
      <c r="LLI24" s="19"/>
      <c r="LLJ24" s="19"/>
      <c r="LLK24" s="19"/>
      <c r="LLL24" s="19"/>
      <c r="LLM24" s="19"/>
      <c r="LLN24" s="19"/>
      <c r="LLO24" s="19"/>
      <c r="LLP24" s="19"/>
      <c r="LLQ24" s="19"/>
      <c r="LLR24" s="19"/>
      <c r="LLS24" s="19"/>
      <c r="LLT24" s="19"/>
      <c r="LLU24" s="19"/>
      <c r="LLV24" s="19"/>
      <c r="LLW24" s="19"/>
      <c r="LLX24" s="19"/>
      <c r="LLY24" s="19"/>
      <c r="LLZ24" s="19"/>
      <c r="LMA24" s="19"/>
      <c r="LMB24" s="19"/>
      <c r="LMC24" s="19"/>
      <c r="LMD24" s="19"/>
      <c r="LME24" s="19"/>
      <c r="LMF24" s="19"/>
      <c r="LMG24" s="19"/>
      <c r="LMH24" s="19"/>
      <c r="LMI24" s="19"/>
      <c r="LMJ24" s="19"/>
      <c r="LMK24" s="19"/>
      <c r="LML24" s="19"/>
      <c r="LMM24" s="19"/>
      <c r="LMN24" s="19"/>
      <c r="LMO24" s="19"/>
      <c r="LMP24" s="19"/>
      <c r="LMQ24" s="19"/>
      <c r="LMR24" s="19"/>
      <c r="LMS24" s="19"/>
      <c r="LMT24" s="19"/>
      <c r="LMU24" s="19"/>
      <c r="LMV24" s="19"/>
      <c r="LMW24" s="19"/>
      <c r="LMX24" s="19"/>
      <c r="LMY24" s="19"/>
      <c r="LMZ24" s="19"/>
      <c r="LNA24" s="19"/>
      <c r="LNB24" s="19"/>
      <c r="LNC24" s="19"/>
      <c r="LND24" s="19"/>
      <c r="LNE24" s="19"/>
      <c r="LNF24" s="19"/>
      <c r="LNG24" s="19"/>
      <c r="LNH24" s="19"/>
      <c r="LNI24" s="19"/>
      <c r="LNJ24" s="19"/>
      <c r="LNK24" s="19"/>
      <c r="LNL24" s="19"/>
      <c r="LNM24" s="19"/>
      <c r="LNN24" s="19"/>
      <c r="LNO24" s="19"/>
      <c r="LNP24" s="19"/>
      <c r="LNQ24" s="19"/>
      <c r="LNR24" s="19"/>
      <c r="LNS24" s="19"/>
      <c r="LNT24" s="19"/>
      <c r="LNU24" s="19"/>
      <c r="LNV24" s="19"/>
      <c r="LNW24" s="19"/>
      <c r="LNX24" s="19"/>
      <c r="LNY24" s="19"/>
      <c r="LNZ24" s="19"/>
      <c r="LOA24" s="19"/>
      <c r="LOB24" s="19"/>
      <c r="LOC24" s="19"/>
      <c r="LOD24" s="19"/>
      <c r="LOE24" s="19"/>
      <c r="LOF24" s="19"/>
      <c r="LOG24" s="19"/>
      <c r="LOH24" s="19"/>
      <c r="LOI24" s="19"/>
      <c r="LOJ24" s="19"/>
      <c r="LOK24" s="19"/>
      <c r="LOL24" s="19"/>
      <c r="LOM24" s="19"/>
      <c r="LON24" s="19"/>
      <c r="LOO24" s="19"/>
      <c r="LOP24" s="19"/>
      <c r="LOQ24" s="19"/>
      <c r="LOR24" s="19"/>
      <c r="LOS24" s="19"/>
      <c r="LOT24" s="19"/>
      <c r="LOU24" s="19"/>
      <c r="LOV24" s="19"/>
      <c r="LOW24" s="19"/>
      <c r="LOX24" s="19"/>
      <c r="LOY24" s="19"/>
      <c r="LOZ24" s="19"/>
      <c r="LPA24" s="19"/>
      <c r="LPB24" s="19"/>
      <c r="LPC24" s="19"/>
      <c r="LPD24" s="19"/>
      <c r="LPE24" s="19"/>
      <c r="LPF24" s="19"/>
      <c r="LPG24" s="19"/>
      <c r="LPH24" s="19"/>
      <c r="LPI24" s="19"/>
      <c r="LPJ24" s="19"/>
      <c r="LPK24" s="19"/>
      <c r="LPL24" s="19"/>
      <c r="LPM24" s="19"/>
      <c r="LPN24" s="19"/>
      <c r="LPO24" s="19"/>
      <c r="LPP24" s="19"/>
      <c r="LPQ24" s="19"/>
      <c r="LPR24" s="19"/>
      <c r="LPS24" s="19"/>
      <c r="LPT24" s="19"/>
      <c r="LPU24" s="19"/>
      <c r="LPV24" s="19"/>
      <c r="LPW24" s="19"/>
      <c r="LPX24" s="19"/>
      <c r="LPY24" s="19"/>
      <c r="LPZ24" s="19"/>
      <c r="LQA24" s="19"/>
      <c r="LQB24" s="19"/>
      <c r="LQC24" s="19"/>
      <c r="LQD24" s="19"/>
      <c r="LQE24" s="19"/>
      <c r="LQF24" s="19"/>
      <c r="LQG24" s="19"/>
      <c r="LQH24" s="19"/>
      <c r="LQI24" s="19"/>
      <c r="LQJ24" s="19"/>
      <c r="LQK24" s="19"/>
      <c r="LQL24" s="19"/>
      <c r="LQM24" s="19"/>
      <c r="LQN24" s="19"/>
      <c r="LQO24" s="19"/>
      <c r="LQP24" s="19"/>
      <c r="LQQ24" s="19"/>
      <c r="LQR24" s="19"/>
      <c r="LQS24" s="19"/>
      <c r="LQT24" s="19"/>
      <c r="LQU24" s="19"/>
      <c r="LQV24" s="19"/>
      <c r="LQW24" s="19"/>
      <c r="LQX24" s="19"/>
      <c r="LQY24" s="19"/>
      <c r="LQZ24" s="19"/>
      <c r="LRA24" s="19"/>
      <c r="LRB24" s="19"/>
      <c r="LRC24" s="19"/>
      <c r="LRD24" s="19"/>
      <c r="LRE24" s="19"/>
      <c r="LRF24" s="19"/>
      <c r="LRG24" s="19"/>
      <c r="LRH24" s="19"/>
      <c r="LRI24" s="19"/>
      <c r="LRJ24" s="19"/>
      <c r="LRK24" s="19"/>
      <c r="LRL24" s="19"/>
      <c r="LRM24" s="19"/>
      <c r="LRN24" s="19"/>
      <c r="LRO24" s="19"/>
      <c r="LRP24" s="19"/>
      <c r="LRQ24" s="19"/>
      <c r="LRR24" s="19"/>
      <c r="LRS24" s="19"/>
      <c r="LRT24" s="19"/>
      <c r="LRU24" s="19"/>
      <c r="LRV24" s="19"/>
      <c r="LRW24" s="19"/>
      <c r="LRX24" s="19"/>
      <c r="LRY24" s="19"/>
      <c r="LRZ24" s="19"/>
      <c r="LSA24" s="19"/>
      <c r="LSB24" s="19"/>
      <c r="LSC24" s="19"/>
      <c r="LSD24" s="19"/>
      <c r="LSE24" s="19"/>
      <c r="LSF24" s="19"/>
      <c r="LSG24" s="19"/>
      <c r="LSH24" s="19"/>
      <c r="LSI24" s="19"/>
      <c r="LSJ24" s="19"/>
      <c r="LSK24" s="19"/>
      <c r="LSL24" s="19"/>
      <c r="LSM24" s="19"/>
      <c r="LSN24" s="19"/>
      <c r="LSO24" s="19"/>
      <c r="LSP24" s="19"/>
      <c r="LSQ24" s="19"/>
      <c r="LSR24" s="19"/>
      <c r="LSS24" s="19"/>
      <c r="LST24" s="19"/>
      <c r="LSU24" s="19"/>
      <c r="LSV24" s="19"/>
      <c r="LSW24" s="19"/>
      <c r="LSX24" s="19"/>
      <c r="LSY24" s="19"/>
      <c r="LSZ24" s="19"/>
      <c r="LTA24" s="19"/>
      <c r="LTB24" s="19"/>
      <c r="LTC24" s="19"/>
      <c r="LTD24" s="19"/>
      <c r="LTE24" s="19"/>
      <c r="LTF24" s="19"/>
      <c r="LTG24" s="19"/>
      <c r="LTH24" s="19"/>
      <c r="LTI24" s="19"/>
      <c r="LTJ24" s="19"/>
      <c r="LTK24" s="19"/>
      <c r="LTL24" s="19"/>
      <c r="LTM24" s="19"/>
      <c r="LTN24" s="19"/>
      <c r="LTO24" s="19"/>
      <c r="LTP24" s="19"/>
      <c r="LTQ24" s="19"/>
      <c r="LTR24" s="19"/>
      <c r="LTS24" s="19"/>
      <c r="LTT24" s="19"/>
      <c r="LTU24" s="19"/>
      <c r="LTV24" s="19"/>
      <c r="LTW24" s="19"/>
      <c r="LTX24" s="19"/>
      <c r="LTY24" s="19"/>
      <c r="LTZ24" s="19"/>
      <c r="LUA24" s="19"/>
      <c r="LUB24" s="19"/>
      <c r="LUC24" s="19"/>
      <c r="LUD24" s="19"/>
      <c r="LUE24" s="19"/>
      <c r="LUF24" s="19"/>
      <c r="LUG24" s="19"/>
      <c r="LUH24" s="19"/>
      <c r="LUI24" s="19"/>
      <c r="LUJ24" s="19"/>
      <c r="LUK24" s="19"/>
      <c r="LUL24" s="19"/>
      <c r="LUM24" s="19"/>
      <c r="LUN24" s="19"/>
      <c r="LUO24" s="19"/>
      <c r="LUP24" s="19"/>
      <c r="LUQ24" s="19"/>
      <c r="LUR24" s="19"/>
      <c r="LUS24" s="19"/>
      <c r="LUT24" s="19"/>
      <c r="LUU24" s="19"/>
      <c r="LUV24" s="19"/>
      <c r="LUW24" s="19"/>
      <c r="LUX24" s="19"/>
      <c r="LUY24" s="19"/>
      <c r="LUZ24" s="19"/>
      <c r="LVA24" s="19"/>
      <c r="LVB24" s="19"/>
      <c r="LVC24" s="19"/>
      <c r="LVD24" s="19"/>
      <c r="LVE24" s="19"/>
      <c r="LVF24" s="19"/>
      <c r="LVG24" s="19"/>
      <c r="LVH24" s="19"/>
      <c r="LVI24" s="19"/>
      <c r="LVJ24" s="19"/>
      <c r="LVK24" s="19"/>
      <c r="LVL24" s="19"/>
      <c r="LVM24" s="19"/>
      <c r="LVN24" s="19"/>
      <c r="LVO24" s="19"/>
      <c r="LVP24" s="19"/>
      <c r="LVQ24" s="19"/>
      <c r="LVR24" s="19"/>
      <c r="LVS24" s="19"/>
      <c r="LVT24" s="19"/>
      <c r="LVU24" s="19"/>
      <c r="LVV24" s="19"/>
      <c r="LVW24" s="19"/>
      <c r="LVX24" s="19"/>
      <c r="LVY24" s="19"/>
      <c r="LVZ24" s="19"/>
      <c r="LWA24" s="19"/>
      <c r="LWB24" s="19"/>
      <c r="LWC24" s="19"/>
      <c r="LWD24" s="19"/>
      <c r="LWE24" s="19"/>
      <c r="LWF24" s="19"/>
      <c r="LWG24" s="19"/>
      <c r="LWH24" s="19"/>
      <c r="LWI24" s="19"/>
      <c r="LWJ24" s="19"/>
      <c r="LWK24" s="19"/>
      <c r="LWL24" s="19"/>
      <c r="LWM24" s="19"/>
      <c r="LWN24" s="19"/>
      <c r="LWO24" s="19"/>
      <c r="LWP24" s="19"/>
      <c r="LWQ24" s="19"/>
      <c r="LWR24" s="19"/>
      <c r="LWS24" s="19"/>
      <c r="LWT24" s="19"/>
      <c r="LWU24" s="19"/>
      <c r="LWV24" s="19"/>
      <c r="LWW24" s="19"/>
      <c r="LWX24" s="19"/>
      <c r="LWY24" s="19"/>
      <c r="LWZ24" s="19"/>
      <c r="LXA24" s="19"/>
      <c r="LXB24" s="19"/>
      <c r="LXC24" s="19"/>
      <c r="LXD24" s="19"/>
      <c r="LXE24" s="19"/>
      <c r="LXF24" s="19"/>
      <c r="LXG24" s="19"/>
      <c r="LXH24" s="19"/>
      <c r="LXI24" s="19"/>
      <c r="LXJ24" s="19"/>
      <c r="LXK24" s="19"/>
      <c r="LXL24" s="19"/>
      <c r="LXM24" s="19"/>
      <c r="LXN24" s="19"/>
      <c r="LXO24" s="19"/>
      <c r="LXP24" s="19"/>
      <c r="LXQ24" s="19"/>
      <c r="LXR24" s="19"/>
      <c r="LXS24" s="19"/>
      <c r="LXT24" s="19"/>
      <c r="LXU24" s="19"/>
      <c r="LXV24" s="19"/>
      <c r="LXW24" s="19"/>
      <c r="LXX24" s="19"/>
      <c r="LXY24" s="19"/>
      <c r="LXZ24" s="19"/>
      <c r="LYA24" s="19"/>
      <c r="LYB24" s="19"/>
      <c r="LYC24" s="19"/>
      <c r="LYD24" s="19"/>
      <c r="LYE24" s="19"/>
      <c r="LYF24" s="19"/>
      <c r="LYG24" s="19"/>
      <c r="LYH24" s="19"/>
      <c r="LYI24" s="19"/>
      <c r="LYJ24" s="19"/>
      <c r="LYK24" s="19"/>
      <c r="LYL24" s="19"/>
      <c r="LYM24" s="19"/>
      <c r="LYN24" s="19"/>
      <c r="LYO24" s="19"/>
      <c r="LYP24" s="19"/>
      <c r="LYQ24" s="19"/>
      <c r="LYR24" s="19"/>
      <c r="LYS24" s="19"/>
      <c r="LYT24" s="19"/>
      <c r="LYU24" s="19"/>
      <c r="LYV24" s="19"/>
      <c r="LYW24" s="19"/>
      <c r="LYX24" s="19"/>
      <c r="LYY24" s="19"/>
      <c r="LYZ24" s="19"/>
      <c r="LZA24" s="19"/>
      <c r="LZB24" s="19"/>
      <c r="LZC24" s="19"/>
      <c r="LZD24" s="19"/>
      <c r="LZE24" s="19"/>
      <c r="LZF24" s="19"/>
      <c r="LZG24" s="19"/>
      <c r="LZH24" s="19"/>
      <c r="LZI24" s="19"/>
      <c r="LZJ24" s="19"/>
      <c r="LZK24" s="19"/>
      <c r="LZL24" s="19"/>
      <c r="LZM24" s="19"/>
      <c r="LZN24" s="19"/>
      <c r="LZO24" s="19"/>
      <c r="LZP24" s="19"/>
      <c r="LZQ24" s="19"/>
      <c r="LZR24" s="19"/>
      <c r="LZS24" s="19"/>
      <c r="LZT24" s="19"/>
      <c r="LZU24" s="19"/>
      <c r="LZV24" s="19"/>
      <c r="LZW24" s="19"/>
      <c r="LZX24" s="19"/>
      <c r="LZY24" s="19"/>
      <c r="LZZ24" s="19"/>
      <c r="MAA24" s="19"/>
      <c r="MAB24" s="19"/>
      <c r="MAC24" s="19"/>
      <c r="MAD24" s="19"/>
      <c r="MAE24" s="19"/>
      <c r="MAF24" s="19"/>
      <c r="MAG24" s="19"/>
      <c r="MAH24" s="19"/>
      <c r="MAI24" s="19"/>
      <c r="MAJ24" s="19"/>
      <c r="MAK24" s="19"/>
      <c r="MAL24" s="19"/>
      <c r="MAM24" s="19"/>
      <c r="MAN24" s="19"/>
      <c r="MAO24" s="19"/>
      <c r="MAP24" s="19"/>
      <c r="MAQ24" s="19"/>
      <c r="MAR24" s="19"/>
      <c r="MAS24" s="19"/>
      <c r="MAT24" s="19"/>
      <c r="MAU24" s="19"/>
      <c r="MAV24" s="19"/>
      <c r="MAW24" s="19"/>
      <c r="MAX24" s="19"/>
      <c r="MAY24" s="19"/>
      <c r="MAZ24" s="19"/>
      <c r="MBA24" s="19"/>
      <c r="MBB24" s="19"/>
      <c r="MBC24" s="19"/>
      <c r="MBD24" s="19"/>
      <c r="MBE24" s="19"/>
      <c r="MBF24" s="19"/>
      <c r="MBG24" s="19"/>
      <c r="MBH24" s="19"/>
      <c r="MBI24" s="19"/>
      <c r="MBJ24" s="19"/>
      <c r="MBK24" s="19"/>
      <c r="MBL24" s="19"/>
      <c r="MBM24" s="19"/>
      <c r="MBN24" s="19"/>
      <c r="MBO24" s="19"/>
      <c r="MBP24" s="19"/>
      <c r="MBQ24" s="19"/>
      <c r="MBR24" s="19"/>
      <c r="MBS24" s="19"/>
      <c r="MBT24" s="19"/>
      <c r="MBU24" s="19"/>
      <c r="MBV24" s="19"/>
      <c r="MBW24" s="19"/>
      <c r="MBX24" s="19"/>
      <c r="MBY24" s="19"/>
      <c r="MBZ24" s="19"/>
      <c r="MCA24" s="19"/>
      <c r="MCB24" s="19"/>
      <c r="MCC24" s="19"/>
      <c r="MCD24" s="19"/>
      <c r="MCE24" s="19"/>
      <c r="MCF24" s="19"/>
      <c r="MCG24" s="19"/>
      <c r="MCH24" s="19"/>
      <c r="MCI24" s="19"/>
      <c r="MCJ24" s="19"/>
      <c r="MCK24" s="19"/>
      <c r="MCL24" s="19"/>
      <c r="MCM24" s="19"/>
      <c r="MCN24" s="19"/>
      <c r="MCO24" s="19"/>
      <c r="MCP24" s="19"/>
      <c r="MCQ24" s="19"/>
      <c r="MCR24" s="19"/>
      <c r="MCS24" s="19"/>
      <c r="MCT24" s="19"/>
      <c r="MCU24" s="19"/>
      <c r="MCV24" s="19"/>
      <c r="MCW24" s="19"/>
      <c r="MCX24" s="19"/>
      <c r="MCY24" s="19"/>
      <c r="MCZ24" s="19"/>
      <c r="MDA24" s="19"/>
      <c r="MDB24" s="19"/>
      <c r="MDC24" s="19"/>
      <c r="MDD24" s="19"/>
      <c r="MDE24" s="19"/>
      <c r="MDF24" s="19"/>
      <c r="MDG24" s="19"/>
      <c r="MDH24" s="19"/>
      <c r="MDI24" s="19"/>
      <c r="MDJ24" s="19"/>
      <c r="MDK24" s="19"/>
      <c r="MDL24" s="19"/>
      <c r="MDM24" s="19"/>
      <c r="MDN24" s="19"/>
      <c r="MDO24" s="19"/>
      <c r="MDP24" s="19"/>
      <c r="MDQ24" s="19"/>
      <c r="MDR24" s="19"/>
      <c r="MDS24" s="19"/>
      <c r="MDT24" s="19"/>
      <c r="MDU24" s="19"/>
      <c r="MDV24" s="19"/>
      <c r="MDW24" s="19"/>
      <c r="MDX24" s="19"/>
      <c r="MDY24" s="19"/>
      <c r="MDZ24" s="19"/>
      <c r="MEA24" s="19"/>
      <c r="MEB24" s="19"/>
      <c r="MEC24" s="19"/>
      <c r="MED24" s="19"/>
      <c r="MEE24" s="19"/>
      <c r="MEF24" s="19"/>
      <c r="MEG24" s="19"/>
      <c r="MEH24" s="19"/>
      <c r="MEI24" s="19"/>
      <c r="MEJ24" s="19"/>
      <c r="MEK24" s="19"/>
      <c r="MEL24" s="19"/>
      <c r="MEM24" s="19"/>
      <c r="MEN24" s="19"/>
      <c r="MEO24" s="19"/>
      <c r="MEP24" s="19"/>
      <c r="MEQ24" s="19"/>
      <c r="MER24" s="19"/>
      <c r="MES24" s="19"/>
      <c r="MET24" s="19"/>
      <c r="MEU24" s="19"/>
      <c r="MEV24" s="19"/>
      <c r="MEW24" s="19"/>
      <c r="MEX24" s="19"/>
      <c r="MEY24" s="19"/>
      <c r="MEZ24" s="19"/>
      <c r="MFA24" s="19"/>
      <c r="MFB24" s="19"/>
      <c r="MFC24" s="19"/>
      <c r="MFD24" s="19"/>
      <c r="MFE24" s="19"/>
      <c r="MFF24" s="19"/>
      <c r="MFG24" s="19"/>
      <c r="MFH24" s="19"/>
      <c r="MFI24" s="19"/>
      <c r="MFJ24" s="19"/>
      <c r="MFK24" s="19"/>
      <c r="MFL24" s="19"/>
      <c r="MFM24" s="19"/>
      <c r="MFN24" s="19"/>
      <c r="MFO24" s="19"/>
      <c r="MFP24" s="19"/>
      <c r="MFQ24" s="19"/>
      <c r="MFR24" s="19"/>
      <c r="MFS24" s="19"/>
      <c r="MFT24" s="19"/>
      <c r="MFU24" s="19"/>
      <c r="MFV24" s="19"/>
      <c r="MFW24" s="19"/>
      <c r="MFX24" s="19"/>
      <c r="MFY24" s="19"/>
      <c r="MFZ24" s="19"/>
      <c r="MGA24" s="19"/>
      <c r="MGB24" s="19"/>
      <c r="MGC24" s="19"/>
      <c r="MGD24" s="19"/>
      <c r="MGE24" s="19"/>
      <c r="MGF24" s="19"/>
      <c r="MGG24" s="19"/>
      <c r="MGH24" s="19"/>
      <c r="MGI24" s="19"/>
      <c r="MGJ24" s="19"/>
      <c r="MGK24" s="19"/>
      <c r="MGL24" s="19"/>
      <c r="MGM24" s="19"/>
      <c r="MGN24" s="19"/>
      <c r="MGO24" s="19"/>
      <c r="MGP24" s="19"/>
      <c r="MGQ24" s="19"/>
      <c r="MGR24" s="19"/>
      <c r="MGS24" s="19"/>
      <c r="MGT24" s="19"/>
      <c r="MGU24" s="19"/>
      <c r="MGV24" s="19"/>
      <c r="MGW24" s="19"/>
      <c r="MGX24" s="19"/>
      <c r="MGY24" s="19"/>
      <c r="MGZ24" s="19"/>
      <c r="MHA24" s="19"/>
      <c r="MHB24" s="19"/>
      <c r="MHC24" s="19"/>
      <c r="MHD24" s="19"/>
      <c r="MHE24" s="19"/>
      <c r="MHF24" s="19"/>
      <c r="MHG24" s="19"/>
      <c r="MHH24" s="19"/>
      <c r="MHI24" s="19"/>
      <c r="MHJ24" s="19"/>
      <c r="MHK24" s="19"/>
      <c r="MHL24" s="19"/>
      <c r="MHM24" s="19"/>
      <c r="MHN24" s="19"/>
      <c r="MHO24" s="19"/>
      <c r="MHP24" s="19"/>
      <c r="MHQ24" s="19"/>
      <c r="MHR24" s="19"/>
      <c r="MHS24" s="19"/>
      <c r="MHT24" s="19"/>
      <c r="MHU24" s="19"/>
      <c r="MHV24" s="19"/>
      <c r="MHW24" s="19"/>
      <c r="MHX24" s="19"/>
      <c r="MHY24" s="19"/>
      <c r="MHZ24" s="19"/>
      <c r="MIA24" s="19"/>
      <c r="MIB24" s="19"/>
      <c r="MIC24" s="19"/>
      <c r="MID24" s="19"/>
      <c r="MIE24" s="19"/>
      <c r="MIF24" s="19"/>
      <c r="MIG24" s="19"/>
      <c r="MIH24" s="19"/>
      <c r="MII24" s="19"/>
      <c r="MIJ24" s="19"/>
      <c r="MIK24" s="19"/>
      <c r="MIL24" s="19"/>
      <c r="MIM24" s="19"/>
      <c r="MIN24" s="19"/>
      <c r="MIO24" s="19"/>
      <c r="MIP24" s="19"/>
      <c r="MIQ24" s="19"/>
      <c r="MIR24" s="19"/>
      <c r="MIS24" s="19"/>
      <c r="MIT24" s="19"/>
      <c r="MIU24" s="19"/>
      <c r="MIV24" s="19"/>
      <c r="MIW24" s="19"/>
      <c r="MIX24" s="19"/>
      <c r="MIY24" s="19"/>
      <c r="MIZ24" s="19"/>
      <c r="MJA24" s="19"/>
      <c r="MJB24" s="19"/>
      <c r="MJC24" s="19"/>
      <c r="MJD24" s="19"/>
      <c r="MJE24" s="19"/>
      <c r="MJF24" s="19"/>
      <c r="MJG24" s="19"/>
      <c r="MJH24" s="19"/>
      <c r="MJI24" s="19"/>
      <c r="MJJ24" s="19"/>
      <c r="MJK24" s="19"/>
      <c r="MJL24" s="19"/>
      <c r="MJM24" s="19"/>
      <c r="MJN24" s="19"/>
      <c r="MJO24" s="19"/>
      <c r="MJP24" s="19"/>
      <c r="MJQ24" s="19"/>
      <c r="MJR24" s="19"/>
      <c r="MJS24" s="19"/>
      <c r="MJT24" s="19"/>
      <c r="MJU24" s="19"/>
      <c r="MJV24" s="19"/>
      <c r="MJW24" s="19"/>
      <c r="MJX24" s="19"/>
      <c r="MJY24" s="19"/>
      <c r="MJZ24" s="19"/>
      <c r="MKA24" s="19"/>
      <c r="MKB24" s="19"/>
      <c r="MKC24" s="19"/>
      <c r="MKD24" s="19"/>
      <c r="MKE24" s="19"/>
      <c r="MKF24" s="19"/>
      <c r="MKG24" s="19"/>
      <c r="MKH24" s="19"/>
      <c r="MKI24" s="19"/>
      <c r="MKJ24" s="19"/>
      <c r="MKK24" s="19"/>
      <c r="MKL24" s="19"/>
      <c r="MKM24" s="19"/>
      <c r="MKN24" s="19"/>
      <c r="MKO24" s="19"/>
      <c r="MKP24" s="19"/>
      <c r="MKQ24" s="19"/>
      <c r="MKR24" s="19"/>
      <c r="MKS24" s="19"/>
      <c r="MKT24" s="19"/>
      <c r="MKU24" s="19"/>
      <c r="MKV24" s="19"/>
      <c r="MKW24" s="19"/>
      <c r="MKX24" s="19"/>
      <c r="MKY24" s="19"/>
      <c r="MKZ24" s="19"/>
      <c r="MLA24" s="19"/>
      <c r="MLB24" s="19"/>
      <c r="MLC24" s="19"/>
      <c r="MLD24" s="19"/>
      <c r="MLE24" s="19"/>
      <c r="MLF24" s="19"/>
      <c r="MLG24" s="19"/>
      <c r="MLH24" s="19"/>
      <c r="MLI24" s="19"/>
      <c r="MLJ24" s="19"/>
      <c r="MLK24" s="19"/>
      <c r="MLL24" s="19"/>
      <c r="MLM24" s="19"/>
      <c r="MLN24" s="19"/>
      <c r="MLO24" s="19"/>
      <c r="MLP24" s="19"/>
      <c r="MLQ24" s="19"/>
      <c r="MLR24" s="19"/>
      <c r="MLS24" s="19"/>
      <c r="MLT24" s="19"/>
      <c r="MLU24" s="19"/>
      <c r="MLV24" s="19"/>
      <c r="MLW24" s="19"/>
      <c r="MLX24" s="19"/>
      <c r="MLY24" s="19"/>
      <c r="MLZ24" s="19"/>
      <c r="MMA24" s="19"/>
      <c r="MMB24" s="19"/>
      <c r="MMC24" s="19"/>
      <c r="MMD24" s="19"/>
      <c r="MME24" s="19"/>
      <c r="MMF24" s="19"/>
      <c r="MMG24" s="19"/>
      <c r="MMH24" s="19"/>
      <c r="MMI24" s="19"/>
      <c r="MMJ24" s="19"/>
      <c r="MMK24" s="19"/>
      <c r="MML24" s="19"/>
      <c r="MMM24" s="19"/>
      <c r="MMN24" s="19"/>
      <c r="MMO24" s="19"/>
      <c r="MMP24" s="19"/>
      <c r="MMQ24" s="19"/>
      <c r="MMR24" s="19"/>
      <c r="MMS24" s="19"/>
      <c r="MMT24" s="19"/>
      <c r="MMU24" s="19"/>
      <c r="MMV24" s="19"/>
      <c r="MMW24" s="19"/>
      <c r="MMX24" s="19"/>
      <c r="MMY24" s="19"/>
      <c r="MMZ24" s="19"/>
      <c r="MNA24" s="19"/>
      <c r="MNB24" s="19"/>
      <c r="MNC24" s="19"/>
      <c r="MND24" s="19"/>
      <c r="MNE24" s="19"/>
      <c r="MNF24" s="19"/>
      <c r="MNG24" s="19"/>
      <c r="MNH24" s="19"/>
      <c r="MNI24" s="19"/>
      <c r="MNJ24" s="19"/>
      <c r="MNK24" s="19"/>
      <c r="MNL24" s="19"/>
      <c r="MNM24" s="19"/>
      <c r="MNN24" s="19"/>
      <c r="MNO24" s="19"/>
      <c r="MNP24" s="19"/>
      <c r="MNQ24" s="19"/>
      <c r="MNR24" s="19"/>
      <c r="MNS24" s="19"/>
      <c r="MNT24" s="19"/>
      <c r="MNU24" s="19"/>
      <c r="MNV24" s="19"/>
      <c r="MNW24" s="19"/>
      <c r="MNX24" s="19"/>
      <c r="MNY24" s="19"/>
      <c r="MNZ24" s="19"/>
      <c r="MOA24" s="19"/>
      <c r="MOB24" s="19"/>
      <c r="MOC24" s="19"/>
      <c r="MOD24" s="19"/>
      <c r="MOE24" s="19"/>
      <c r="MOF24" s="19"/>
      <c r="MOG24" s="19"/>
      <c r="MOH24" s="19"/>
      <c r="MOI24" s="19"/>
      <c r="MOJ24" s="19"/>
      <c r="MOK24" s="19"/>
      <c r="MOL24" s="19"/>
      <c r="MOM24" s="19"/>
      <c r="MON24" s="19"/>
      <c r="MOO24" s="19"/>
      <c r="MOP24" s="19"/>
      <c r="MOQ24" s="19"/>
      <c r="MOR24" s="19"/>
      <c r="MOS24" s="19"/>
      <c r="MOT24" s="19"/>
      <c r="MOU24" s="19"/>
      <c r="MOV24" s="19"/>
      <c r="MOW24" s="19"/>
      <c r="MOX24" s="19"/>
      <c r="MOY24" s="19"/>
      <c r="MOZ24" s="19"/>
      <c r="MPA24" s="19"/>
      <c r="MPB24" s="19"/>
      <c r="MPC24" s="19"/>
      <c r="MPD24" s="19"/>
      <c r="MPE24" s="19"/>
      <c r="MPF24" s="19"/>
      <c r="MPG24" s="19"/>
      <c r="MPH24" s="19"/>
      <c r="MPI24" s="19"/>
      <c r="MPJ24" s="19"/>
      <c r="MPK24" s="19"/>
      <c r="MPL24" s="19"/>
      <c r="MPM24" s="19"/>
      <c r="MPN24" s="19"/>
      <c r="MPO24" s="19"/>
      <c r="MPP24" s="19"/>
      <c r="MPQ24" s="19"/>
      <c r="MPR24" s="19"/>
      <c r="MPS24" s="19"/>
      <c r="MPT24" s="19"/>
      <c r="MPU24" s="19"/>
      <c r="MPV24" s="19"/>
      <c r="MPW24" s="19"/>
      <c r="MPX24" s="19"/>
      <c r="MPY24" s="19"/>
      <c r="MPZ24" s="19"/>
      <c r="MQA24" s="19"/>
      <c r="MQB24" s="19"/>
      <c r="MQC24" s="19"/>
      <c r="MQD24" s="19"/>
      <c r="MQE24" s="19"/>
      <c r="MQF24" s="19"/>
      <c r="MQG24" s="19"/>
      <c r="MQH24" s="19"/>
      <c r="MQI24" s="19"/>
      <c r="MQJ24" s="19"/>
      <c r="MQK24" s="19"/>
      <c r="MQL24" s="19"/>
      <c r="MQM24" s="19"/>
      <c r="MQN24" s="19"/>
      <c r="MQO24" s="19"/>
      <c r="MQP24" s="19"/>
      <c r="MQQ24" s="19"/>
      <c r="MQR24" s="19"/>
      <c r="MQS24" s="19"/>
      <c r="MQT24" s="19"/>
      <c r="MQU24" s="19"/>
      <c r="MQV24" s="19"/>
      <c r="MQW24" s="19"/>
      <c r="MQX24" s="19"/>
      <c r="MQY24" s="19"/>
      <c r="MQZ24" s="19"/>
      <c r="MRA24" s="19"/>
      <c r="MRB24" s="19"/>
      <c r="MRC24" s="19"/>
      <c r="MRD24" s="19"/>
      <c r="MRE24" s="19"/>
      <c r="MRF24" s="19"/>
      <c r="MRG24" s="19"/>
      <c r="MRH24" s="19"/>
      <c r="MRI24" s="19"/>
      <c r="MRJ24" s="19"/>
      <c r="MRK24" s="19"/>
      <c r="MRL24" s="19"/>
      <c r="MRM24" s="19"/>
      <c r="MRN24" s="19"/>
      <c r="MRO24" s="19"/>
      <c r="MRP24" s="19"/>
      <c r="MRQ24" s="19"/>
      <c r="MRR24" s="19"/>
      <c r="MRS24" s="19"/>
      <c r="MRT24" s="19"/>
      <c r="MRU24" s="19"/>
      <c r="MRV24" s="19"/>
      <c r="MRW24" s="19"/>
      <c r="MRX24" s="19"/>
      <c r="MRY24" s="19"/>
      <c r="MRZ24" s="19"/>
      <c r="MSA24" s="19"/>
      <c r="MSB24" s="19"/>
      <c r="MSC24" s="19"/>
      <c r="MSD24" s="19"/>
      <c r="MSE24" s="19"/>
      <c r="MSF24" s="19"/>
      <c r="MSG24" s="19"/>
      <c r="MSH24" s="19"/>
      <c r="MSI24" s="19"/>
      <c r="MSJ24" s="19"/>
      <c r="MSK24" s="19"/>
      <c r="MSL24" s="19"/>
      <c r="MSM24" s="19"/>
      <c r="MSN24" s="19"/>
      <c r="MSO24" s="19"/>
      <c r="MSP24" s="19"/>
      <c r="MSQ24" s="19"/>
      <c r="MSR24" s="19"/>
      <c r="MSS24" s="19"/>
      <c r="MST24" s="19"/>
      <c r="MSU24" s="19"/>
      <c r="MSV24" s="19"/>
      <c r="MSW24" s="19"/>
      <c r="MSX24" s="19"/>
      <c r="MSY24" s="19"/>
      <c r="MSZ24" s="19"/>
      <c r="MTA24" s="19"/>
      <c r="MTB24" s="19"/>
      <c r="MTC24" s="19"/>
      <c r="MTD24" s="19"/>
      <c r="MTE24" s="19"/>
      <c r="MTF24" s="19"/>
      <c r="MTG24" s="19"/>
      <c r="MTH24" s="19"/>
      <c r="MTI24" s="19"/>
      <c r="MTJ24" s="19"/>
      <c r="MTK24" s="19"/>
      <c r="MTL24" s="19"/>
      <c r="MTM24" s="19"/>
      <c r="MTN24" s="19"/>
      <c r="MTO24" s="19"/>
      <c r="MTP24" s="19"/>
      <c r="MTQ24" s="19"/>
      <c r="MTR24" s="19"/>
      <c r="MTS24" s="19"/>
      <c r="MTT24" s="19"/>
      <c r="MTU24" s="19"/>
      <c r="MTV24" s="19"/>
      <c r="MTW24" s="19"/>
      <c r="MTX24" s="19"/>
      <c r="MTY24" s="19"/>
      <c r="MTZ24" s="19"/>
      <c r="MUA24" s="19"/>
      <c r="MUB24" s="19"/>
      <c r="MUC24" s="19"/>
      <c r="MUD24" s="19"/>
      <c r="MUE24" s="19"/>
      <c r="MUF24" s="19"/>
      <c r="MUG24" s="19"/>
      <c r="MUH24" s="19"/>
      <c r="MUI24" s="19"/>
      <c r="MUJ24" s="19"/>
      <c r="MUK24" s="19"/>
      <c r="MUL24" s="19"/>
      <c r="MUM24" s="19"/>
      <c r="MUN24" s="19"/>
      <c r="MUO24" s="19"/>
      <c r="MUP24" s="19"/>
      <c r="MUQ24" s="19"/>
      <c r="MUR24" s="19"/>
      <c r="MUS24" s="19"/>
      <c r="MUT24" s="19"/>
      <c r="MUU24" s="19"/>
      <c r="MUV24" s="19"/>
      <c r="MUW24" s="19"/>
      <c r="MUX24" s="19"/>
      <c r="MUY24" s="19"/>
      <c r="MUZ24" s="19"/>
      <c r="MVA24" s="19"/>
      <c r="MVB24" s="19"/>
      <c r="MVC24" s="19"/>
      <c r="MVD24" s="19"/>
      <c r="MVE24" s="19"/>
      <c r="MVF24" s="19"/>
      <c r="MVG24" s="19"/>
      <c r="MVH24" s="19"/>
      <c r="MVI24" s="19"/>
      <c r="MVJ24" s="19"/>
      <c r="MVK24" s="19"/>
      <c r="MVL24" s="19"/>
      <c r="MVM24" s="19"/>
      <c r="MVN24" s="19"/>
      <c r="MVO24" s="19"/>
      <c r="MVP24" s="19"/>
      <c r="MVQ24" s="19"/>
      <c r="MVR24" s="19"/>
      <c r="MVS24" s="19"/>
      <c r="MVT24" s="19"/>
      <c r="MVU24" s="19"/>
      <c r="MVV24" s="19"/>
      <c r="MVW24" s="19"/>
      <c r="MVX24" s="19"/>
      <c r="MVY24" s="19"/>
      <c r="MVZ24" s="19"/>
      <c r="MWA24" s="19"/>
      <c r="MWB24" s="19"/>
      <c r="MWC24" s="19"/>
      <c r="MWD24" s="19"/>
      <c r="MWE24" s="19"/>
      <c r="MWF24" s="19"/>
      <c r="MWG24" s="19"/>
      <c r="MWH24" s="19"/>
      <c r="MWI24" s="19"/>
      <c r="MWJ24" s="19"/>
      <c r="MWK24" s="19"/>
      <c r="MWL24" s="19"/>
      <c r="MWM24" s="19"/>
      <c r="MWN24" s="19"/>
      <c r="MWO24" s="19"/>
      <c r="MWP24" s="19"/>
      <c r="MWQ24" s="19"/>
      <c r="MWR24" s="19"/>
      <c r="MWS24" s="19"/>
      <c r="MWT24" s="19"/>
      <c r="MWU24" s="19"/>
      <c r="MWV24" s="19"/>
      <c r="MWW24" s="19"/>
      <c r="MWX24" s="19"/>
      <c r="MWY24" s="19"/>
      <c r="MWZ24" s="19"/>
      <c r="MXA24" s="19"/>
      <c r="MXB24" s="19"/>
      <c r="MXC24" s="19"/>
      <c r="MXD24" s="19"/>
      <c r="MXE24" s="19"/>
      <c r="MXF24" s="19"/>
      <c r="MXG24" s="19"/>
      <c r="MXH24" s="19"/>
      <c r="MXI24" s="19"/>
      <c r="MXJ24" s="19"/>
      <c r="MXK24" s="19"/>
      <c r="MXL24" s="19"/>
      <c r="MXM24" s="19"/>
      <c r="MXN24" s="19"/>
      <c r="MXO24" s="19"/>
      <c r="MXP24" s="19"/>
      <c r="MXQ24" s="19"/>
      <c r="MXR24" s="19"/>
      <c r="MXS24" s="19"/>
      <c r="MXT24" s="19"/>
      <c r="MXU24" s="19"/>
      <c r="MXV24" s="19"/>
      <c r="MXW24" s="19"/>
      <c r="MXX24" s="19"/>
      <c r="MXY24" s="19"/>
      <c r="MXZ24" s="19"/>
      <c r="MYA24" s="19"/>
      <c r="MYB24" s="19"/>
      <c r="MYC24" s="19"/>
      <c r="MYD24" s="19"/>
      <c r="MYE24" s="19"/>
      <c r="MYF24" s="19"/>
      <c r="MYG24" s="19"/>
      <c r="MYH24" s="19"/>
      <c r="MYI24" s="19"/>
      <c r="MYJ24" s="19"/>
      <c r="MYK24" s="19"/>
      <c r="MYL24" s="19"/>
      <c r="MYM24" s="19"/>
      <c r="MYN24" s="19"/>
      <c r="MYO24" s="19"/>
      <c r="MYP24" s="19"/>
      <c r="MYQ24" s="19"/>
      <c r="MYR24" s="19"/>
      <c r="MYS24" s="19"/>
      <c r="MYT24" s="19"/>
      <c r="MYU24" s="19"/>
      <c r="MYV24" s="19"/>
      <c r="MYW24" s="19"/>
      <c r="MYX24" s="19"/>
      <c r="MYY24" s="19"/>
      <c r="MYZ24" s="19"/>
      <c r="MZA24" s="19"/>
      <c r="MZB24" s="19"/>
      <c r="MZC24" s="19"/>
      <c r="MZD24" s="19"/>
      <c r="MZE24" s="19"/>
      <c r="MZF24" s="19"/>
      <c r="MZG24" s="19"/>
      <c r="MZH24" s="19"/>
      <c r="MZI24" s="19"/>
      <c r="MZJ24" s="19"/>
      <c r="MZK24" s="19"/>
      <c r="MZL24" s="19"/>
      <c r="MZM24" s="19"/>
      <c r="MZN24" s="19"/>
      <c r="MZO24" s="19"/>
      <c r="MZP24" s="19"/>
      <c r="MZQ24" s="19"/>
      <c r="MZR24" s="19"/>
      <c r="MZS24" s="19"/>
      <c r="MZT24" s="19"/>
      <c r="MZU24" s="19"/>
      <c r="MZV24" s="19"/>
      <c r="MZW24" s="19"/>
      <c r="MZX24" s="19"/>
      <c r="MZY24" s="19"/>
      <c r="MZZ24" s="19"/>
      <c r="NAA24" s="19"/>
      <c r="NAB24" s="19"/>
      <c r="NAC24" s="19"/>
      <c r="NAD24" s="19"/>
      <c r="NAE24" s="19"/>
      <c r="NAF24" s="19"/>
      <c r="NAG24" s="19"/>
      <c r="NAH24" s="19"/>
      <c r="NAI24" s="19"/>
      <c r="NAJ24" s="19"/>
      <c r="NAK24" s="19"/>
      <c r="NAL24" s="19"/>
      <c r="NAM24" s="19"/>
      <c r="NAN24" s="19"/>
      <c r="NAO24" s="19"/>
      <c r="NAP24" s="19"/>
      <c r="NAQ24" s="19"/>
      <c r="NAR24" s="19"/>
      <c r="NAS24" s="19"/>
      <c r="NAT24" s="19"/>
      <c r="NAU24" s="19"/>
      <c r="NAV24" s="19"/>
      <c r="NAW24" s="19"/>
      <c r="NAX24" s="19"/>
      <c r="NAY24" s="19"/>
      <c r="NAZ24" s="19"/>
      <c r="NBA24" s="19"/>
      <c r="NBB24" s="19"/>
      <c r="NBC24" s="19"/>
      <c r="NBD24" s="19"/>
      <c r="NBE24" s="19"/>
      <c r="NBF24" s="19"/>
      <c r="NBG24" s="19"/>
      <c r="NBH24" s="19"/>
      <c r="NBI24" s="19"/>
      <c r="NBJ24" s="19"/>
      <c r="NBK24" s="19"/>
      <c r="NBL24" s="19"/>
      <c r="NBM24" s="19"/>
      <c r="NBN24" s="19"/>
      <c r="NBO24" s="19"/>
      <c r="NBP24" s="19"/>
      <c r="NBQ24" s="19"/>
      <c r="NBR24" s="19"/>
      <c r="NBS24" s="19"/>
      <c r="NBT24" s="19"/>
      <c r="NBU24" s="19"/>
      <c r="NBV24" s="19"/>
      <c r="NBW24" s="19"/>
      <c r="NBX24" s="19"/>
      <c r="NBY24" s="19"/>
      <c r="NBZ24" s="19"/>
      <c r="NCA24" s="19"/>
      <c r="NCB24" s="19"/>
      <c r="NCC24" s="19"/>
      <c r="NCD24" s="19"/>
      <c r="NCE24" s="19"/>
      <c r="NCF24" s="19"/>
      <c r="NCG24" s="19"/>
      <c r="NCH24" s="19"/>
      <c r="NCI24" s="19"/>
      <c r="NCJ24" s="19"/>
      <c r="NCK24" s="19"/>
      <c r="NCL24" s="19"/>
      <c r="NCM24" s="19"/>
      <c r="NCN24" s="19"/>
      <c r="NCO24" s="19"/>
      <c r="NCP24" s="19"/>
      <c r="NCQ24" s="19"/>
      <c r="NCR24" s="19"/>
      <c r="NCS24" s="19"/>
      <c r="NCT24" s="19"/>
      <c r="NCU24" s="19"/>
      <c r="NCV24" s="19"/>
      <c r="NCW24" s="19"/>
      <c r="NCX24" s="19"/>
      <c r="NCY24" s="19"/>
      <c r="NCZ24" s="19"/>
      <c r="NDA24" s="19"/>
      <c r="NDB24" s="19"/>
      <c r="NDC24" s="19"/>
      <c r="NDD24" s="19"/>
      <c r="NDE24" s="19"/>
      <c r="NDF24" s="19"/>
      <c r="NDG24" s="19"/>
      <c r="NDH24" s="19"/>
      <c r="NDI24" s="19"/>
      <c r="NDJ24" s="19"/>
      <c r="NDK24" s="19"/>
      <c r="NDL24" s="19"/>
      <c r="NDM24" s="19"/>
      <c r="NDN24" s="19"/>
      <c r="NDO24" s="19"/>
      <c r="NDP24" s="19"/>
      <c r="NDQ24" s="19"/>
      <c r="NDR24" s="19"/>
      <c r="NDS24" s="19"/>
      <c r="NDT24" s="19"/>
      <c r="NDU24" s="19"/>
      <c r="NDV24" s="19"/>
      <c r="NDW24" s="19"/>
      <c r="NDX24" s="19"/>
      <c r="NDY24" s="19"/>
      <c r="NDZ24" s="19"/>
      <c r="NEA24" s="19"/>
      <c r="NEB24" s="19"/>
      <c r="NEC24" s="19"/>
      <c r="NED24" s="19"/>
      <c r="NEE24" s="19"/>
      <c r="NEF24" s="19"/>
      <c r="NEG24" s="19"/>
      <c r="NEH24" s="19"/>
      <c r="NEI24" s="19"/>
      <c r="NEJ24" s="19"/>
      <c r="NEK24" s="19"/>
      <c r="NEL24" s="19"/>
      <c r="NEM24" s="19"/>
      <c r="NEN24" s="19"/>
      <c r="NEO24" s="19"/>
      <c r="NEP24" s="19"/>
      <c r="NEQ24" s="19"/>
      <c r="NER24" s="19"/>
      <c r="NES24" s="19"/>
      <c r="NET24" s="19"/>
      <c r="NEU24" s="19"/>
      <c r="NEV24" s="19"/>
      <c r="NEW24" s="19"/>
      <c r="NEX24" s="19"/>
      <c r="NEY24" s="19"/>
      <c r="NEZ24" s="19"/>
      <c r="NFA24" s="19"/>
      <c r="NFB24" s="19"/>
      <c r="NFC24" s="19"/>
      <c r="NFD24" s="19"/>
      <c r="NFE24" s="19"/>
      <c r="NFF24" s="19"/>
      <c r="NFG24" s="19"/>
      <c r="NFH24" s="19"/>
      <c r="NFI24" s="19"/>
      <c r="NFJ24" s="19"/>
      <c r="NFK24" s="19"/>
      <c r="NFL24" s="19"/>
      <c r="NFM24" s="19"/>
      <c r="NFN24" s="19"/>
      <c r="NFO24" s="19"/>
      <c r="NFP24" s="19"/>
      <c r="NFQ24" s="19"/>
      <c r="NFR24" s="19"/>
      <c r="NFS24" s="19"/>
      <c r="NFT24" s="19"/>
      <c r="NFU24" s="19"/>
      <c r="NFV24" s="19"/>
      <c r="NFW24" s="19"/>
      <c r="NFX24" s="19"/>
      <c r="NFY24" s="19"/>
      <c r="NFZ24" s="19"/>
      <c r="NGA24" s="19"/>
      <c r="NGB24" s="19"/>
      <c r="NGC24" s="19"/>
      <c r="NGD24" s="19"/>
      <c r="NGE24" s="19"/>
      <c r="NGF24" s="19"/>
      <c r="NGG24" s="19"/>
      <c r="NGH24" s="19"/>
      <c r="NGI24" s="19"/>
      <c r="NGJ24" s="19"/>
      <c r="NGK24" s="19"/>
      <c r="NGL24" s="19"/>
      <c r="NGM24" s="19"/>
      <c r="NGN24" s="19"/>
      <c r="NGO24" s="19"/>
      <c r="NGP24" s="19"/>
      <c r="NGQ24" s="19"/>
      <c r="NGR24" s="19"/>
      <c r="NGS24" s="19"/>
      <c r="NGT24" s="19"/>
      <c r="NGU24" s="19"/>
      <c r="NGV24" s="19"/>
      <c r="NGW24" s="19"/>
      <c r="NGX24" s="19"/>
      <c r="NGY24" s="19"/>
      <c r="NGZ24" s="19"/>
      <c r="NHA24" s="19"/>
      <c r="NHB24" s="19"/>
      <c r="NHC24" s="19"/>
      <c r="NHD24" s="19"/>
      <c r="NHE24" s="19"/>
      <c r="NHF24" s="19"/>
      <c r="NHG24" s="19"/>
      <c r="NHH24" s="19"/>
      <c r="NHI24" s="19"/>
      <c r="NHJ24" s="19"/>
      <c r="NHK24" s="19"/>
      <c r="NHL24" s="19"/>
      <c r="NHM24" s="19"/>
      <c r="NHN24" s="19"/>
      <c r="NHO24" s="19"/>
      <c r="NHP24" s="19"/>
      <c r="NHQ24" s="19"/>
      <c r="NHR24" s="19"/>
      <c r="NHS24" s="19"/>
      <c r="NHT24" s="19"/>
      <c r="NHU24" s="19"/>
      <c r="NHV24" s="19"/>
      <c r="NHW24" s="19"/>
      <c r="NHX24" s="19"/>
      <c r="NHY24" s="19"/>
      <c r="NHZ24" s="19"/>
      <c r="NIA24" s="19"/>
      <c r="NIB24" s="19"/>
      <c r="NIC24" s="19"/>
      <c r="NID24" s="19"/>
      <c r="NIE24" s="19"/>
      <c r="NIF24" s="19"/>
      <c r="NIG24" s="19"/>
      <c r="NIH24" s="19"/>
      <c r="NII24" s="19"/>
      <c r="NIJ24" s="19"/>
      <c r="NIK24" s="19"/>
      <c r="NIL24" s="19"/>
      <c r="NIM24" s="19"/>
      <c r="NIN24" s="19"/>
      <c r="NIO24" s="19"/>
      <c r="NIP24" s="19"/>
      <c r="NIQ24" s="19"/>
      <c r="NIR24" s="19"/>
      <c r="NIS24" s="19"/>
      <c r="NIT24" s="19"/>
      <c r="NIU24" s="19"/>
      <c r="NIV24" s="19"/>
      <c r="NIW24" s="19"/>
      <c r="NIX24" s="19"/>
      <c r="NIY24" s="19"/>
      <c r="NIZ24" s="19"/>
      <c r="NJA24" s="19"/>
      <c r="NJB24" s="19"/>
      <c r="NJC24" s="19"/>
      <c r="NJD24" s="19"/>
      <c r="NJE24" s="19"/>
      <c r="NJF24" s="19"/>
      <c r="NJG24" s="19"/>
      <c r="NJH24" s="19"/>
      <c r="NJI24" s="19"/>
      <c r="NJJ24" s="19"/>
      <c r="NJK24" s="19"/>
      <c r="NJL24" s="19"/>
      <c r="NJM24" s="19"/>
      <c r="NJN24" s="19"/>
      <c r="NJO24" s="19"/>
      <c r="NJP24" s="19"/>
      <c r="NJQ24" s="19"/>
      <c r="NJR24" s="19"/>
      <c r="NJS24" s="19"/>
      <c r="NJT24" s="19"/>
      <c r="NJU24" s="19"/>
      <c r="NJV24" s="19"/>
      <c r="NJW24" s="19"/>
      <c r="NJX24" s="19"/>
      <c r="NJY24" s="19"/>
      <c r="NJZ24" s="19"/>
      <c r="NKA24" s="19"/>
      <c r="NKB24" s="19"/>
      <c r="NKC24" s="19"/>
      <c r="NKD24" s="19"/>
      <c r="NKE24" s="19"/>
      <c r="NKF24" s="19"/>
      <c r="NKG24" s="19"/>
      <c r="NKH24" s="19"/>
      <c r="NKI24" s="19"/>
      <c r="NKJ24" s="19"/>
      <c r="NKK24" s="19"/>
      <c r="NKL24" s="19"/>
      <c r="NKM24" s="19"/>
      <c r="NKN24" s="19"/>
      <c r="NKO24" s="19"/>
      <c r="NKP24" s="19"/>
      <c r="NKQ24" s="19"/>
      <c r="NKR24" s="19"/>
      <c r="NKS24" s="19"/>
      <c r="NKT24" s="19"/>
      <c r="NKU24" s="19"/>
      <c r="NKV24" s="19"/>
      <c r="NKW24" s="19"/>
      <c r="NKX24" s="19"/>
      <c r="NKY24" s="19"/>
      <c r="NKZ24" s="19"/>
      <c r="NLA24" s="19"/>
      <c r="NLB24" s="19"/>
      <c r="NLC24" s="19"/>
      <c r="NLD24" s="19"/>
      <c r="NLE24" s="19"/>
      <c r="NLF24" s="19"/>
      <c r="NLG24" s="19"/>
      <c r="NLH24" s="19"/>
      <c r="NLI24" s="19"/>
      <c r="NLJ24" s="19"/>
      <c r="NLK24" s="19"/>
      <c r="NLL24" s="19"/>
      <c r="NLM24" s="19"/>
      <c r="NLN24" s="19"/>
      <c r="NLO24" s="19"/>
      <c r="NLP24" s="19"/>
      <c r="NLQ24" s="19"/>
      <c r="NLR24" s="19"/>
      <c r="NLS24" s="19"/>
      <c r="NLT24" s="19"/>
      <c r="NLU24" s="19"/>
      <c r="NLV24" s="19"/>
      <c r="NLW24" s="19"/>
      <c r="NLX24" s="19"/>
      <c r="NLY24" s="19"/>
      <c r="NLZ24" s="19"/>
      <c r="NMA24" s="19"/>
      <c r="NMB24" s="19"/>
      <c r="NMC24" s="19"/>
      <c r="NMD24" s="19"/>
      <c r="NME24" s="19"/>
      <c r="NMF24" s="19"/>
      <c r="NMG24" s="19"/>
      <c r="NMH24" s="19"/>
      <c r="NMI24" s="19"/>
      <c r="NMJ24" s="19"/>
      <c r="NMK24" s="19"/>
      <c r="NML24" s="19"/>
      <c r="NMM24" s="19"/>
      <c r="NMN24" s="19"/>
      <c r="NMO24" s="19"/>
      <c r="NMP24" s="19"/>
      <c r="NMQ24" s="19"/>
      <c r="NMR24" s="19"/>
      <c r="NMS24" s="19"/>
      <c r="NMT24" s="19"/>
      <c r="NMU24" s="19"/>
      <c r="NMV24" s="19"/>
      <c r="NMW24" s="19"/>
      <c r="NMX24" s="19"/>
      <c r="NMY24" s="19"/>
      <c r="NMZ24" s="19"/>
      <c r="NNA24" s="19"/>
      <c r="NNB24" s="19"/>
      <c r="NNC24" s="19"/>
      <c r="NND24" s="19"/>
      <c r="NNE24" s="19"/>
      <c r="NNF24" s="19"/>
      <c r="NNG24" s="19"/>
      <c r="NNH24" s="19"/>
      <c r="NNI24" s="19"/>
      <c r="NNJ24" s="19"/>
      <c r="NNK24" s="19"/>
      <c r="NNL24" s="19"/>
      <c r="NNM24" s="19"/>
      <c r="NNN24" s="19"/>
      <c r="NNO24" s="19"/>
      <c r="NNP24" s="19"/>
      <c r="NNQ24" s="19"/>
      <c r="NNR24" s="19"/>
      <c r="NNS24" s="19"/>
      <c r="NNT24" s="19"/>
      <c r="NNU24" s="19"/>
      <c r="NNV24" s="19"/>
      <c r="NNW24" s="19"/>
      <c r="NNX24" s="19"/>
      <c r="NNY24" s="19"/>
      <c r="NNZ24" s="19"/>
      <c r="NOA24" s="19"/>
      <c r="NOB24" s="19"/>
      <c r="NOC24" s="19"/>
      <c r="NOD24" s="19"/>
      <c r="NOE24" s="19"/>
      <c r="NOF24" s="19"/>
      <c r="NOG24" s="19"/>
      <c r="NOH24" s="19"/>
      <c r="NOI24" s="19"/>
      <c r="NOJ24" s="19"/>
      <c r="NOK24" s="19"/>
      <c r="NOL24" s="19"/>
      <c r="NOM24" s="19"/>
      <c r="NON24" s="19"/>
      <c r="NOO24" s="19"/>
      <c r="NOP24" s="19"/>
      <c r="NOQ24" s="19"/>
      <c r="NOR24" s="19"/>
      <c r="NOS24" s="19"/>
      <c r="NOT24" s="19"/>
      <c r="NOU24" s="19"/>
      <c r="NOV24" s="19"/>
      <c r="NOW24" s="19"/>
      <c r="NOX24" s="19"/>
      <c r="NOY24" s="19"/>
      <c r="NOZ24" s="19"/>
      <c r="NPA24" s="19"/>
      <c r="NPB24" s="19"/>
      <c r="NPC24" s="19"/>
      <c r="NPD24" s="19"/>
      <c r="NPE24" s="19"/>
      <c r="NPF24" s="19"/>
      <c r="NPG24" s="19"/>
      <c r="NPH24" s="19"/>
      <c r="NPI24" s="19"/>
      <c r="NPJ24" s="19"/>
      <c r="NPK24" s="19"/>
      <c r="NPL24" s="19"/>
      <c r="NPM24" s="19"/>
      <c r="NPN24" s="19"/>
      <c r="NPO24" s="19"/>
      <c r="NPP24" s="19"/>
      <c r="NPQ24" s="19"/>
      <c r="NPR24" s="19"/>
      <c r="NPS24" s="19"/>
      <c r="NPT24" s="19"/>
      <c r="NPU24" s="19"/>
      <c r="NPV24" s="19"/>
      <c r="NPW24" s="19"/>
      <c r="NPX24" s="19"/>
      <c r="NPY24" s="19"/>
      <c r="NPZ24" s="19"/>
      <c r="NQA24" s="19"/>
      <c r="NQB24" s="19"/>
      <c r="NQC24" s="19"/>
      <c r="NQD24" s="19"/>
      <c r="NQE24" s="19"/>
      <c r="NQF24" s="19"/>
      <c r="NQG24" s="19"/>
      <c r="NQH24" s="19"/>
      <c r="NQI24" s="19"/>
      <c r="NQJ24" s="19"/>
      <c r="NQK24" s="19"/>
      <c r="NQL24" s="19"/>
      <c r="NQM24" s="19"/>
      <c r="NQN24" s="19"/>
      <c r="NQO24" s="19"/>
      <c r="NQP24" s="19"/>
      <c r="NQQ24" s="19"/>
      <c r="NQR24" s="19"/>
      <c r="NQS24" s="19"/>
      <c r="NQT24" s="19"/>
      <c r="NQU24" s="19"/>
      <c r="NQV24" s="19"/>
      <c r="NQW24" s="19"/>
      <c r="NQX24" s="19"/>
      <c r="NQY24" s="19"/>
      <c r="NQZ24" s="19"/>
      <c r="NRA24" s="19"/>
      <c r="NRB24" s="19"/>
      <c r="NRC24" s="19"/>
      <c r="NRD24" s="19"/>
      <c r="NRE24" s="19"/>
      <c r="NRF24" s="19"/>
      <c r="NRG24" s="19"/>
      <c r="NRH24" s="19"/>
      <c r="NRI24" s="19"/>
      <c r="NRJ24" s="19"/>
      <c r="NRK24" s="19"/>
      <c r="NRL24" s="19"/>
      <c r="NRM24" s="19"/>
      <c r="NRN24" s="19"/>
      <c r="NRO24" s="19"/>
      <c r="NRP24" s="19"/>
      <c r="NRQ24" s="19"/>
      <c r="NRR24" s="19"/>
      <c r="NRS24" s="19"/>
      <c r="NRT24" s="19"/>
      <c r="NRU24" s="19"/>
      <c r="NRV24" s="19"/>
      <c r="NRW24" s="19"/>
      <c r="NRX24" s="19"/>
      <c r="NRY24" s="19"/>
      <c r="NRZ24" s="19"/>
      <c r="NSA24" s="19"/>
      <c r="NSB24" s="19"/>
      <c r="NSC24" s="19"/>
      <c r="NSD24" s="19"/>
      <c r="NSE24" s="19"/>
      <c r="NSF24" s="19"/>
      <c r="NSG24" s="19"/>
      <c r="NSH24" s="19"/>
      <c r="NSI24" s="19"/>
      <c r="NSJ24" s="19"/>
      <c r="NSK24" s="19"/>
      <c r="NSL24" s="19"/>
      <c r="NSM24" s="19"/>
      <c r="NSN24" s="19"/>
      <c r="NSO24" s="19"/>
      <c r="NSP24" s="19"/>
      <c r="NSQ24" s="19"/>
      <c r="NSR24" s="19"/>
      <c r="NSS24" s="19"/>
      <c r="NST24" s="19"/>
      <c r="NSU24" s="19"/>
      <c r="NSV24" s="19"/>
      <c r="NSW24" s="19"/>
      <c r="NSX24" s="19"/>
      <c r="NSY24" s="19"/>
      <c r="NSZ24" s="19"/>
      <c r="NTA24" s="19"/>
      <c r="NTB24" s="19"/>
      <c r="NTC24" s="19"/>
      <c r="NTD24" s="19"/>
      <c r="NTE24" s="19"/>
      <c r="NTF24" s="19"/>
      <c r="NTG24" s="19"/>
      <c r="NTH24" s="19"/>
      <c r="NTI24" s="19"/>
      <c r="NTJ24" s="19"/>
      <c r="NTK24" s="19"/>
      <c r="NTL24" s="19"/>
      <c r="NTM24" s="19"/>
      <c r="NTN24" s="19"/>
      <c r="NTO24" s="19"/>
      <c r="NTP24" s="19"/>
      <c r="NTQ24" s="19"/>
      <c r="NTR24" s="19"/>
      <c r="NTS24" s="19"/>
      <c r="NTT24" s="19"/>
      <c r="NTU24" s="19"/>
      <c r="NTV24" s="19"/>
      <c r="NTW24" s="19"/>
      <c r="NTX24" s="19"/>
      <c r="NTY24" s="19"/>
      <c r="NTZ24" s="19"/>
      <c r="NUA24" s="19"/>
      <c r="NUB24" s="19"/>
      <c r="NUC24" s="19"/>
      <c r="NUD24" s="19"/>
      <c r="NUE24" s="19"/>
      <c r="NUF24" s="19"/>
      <c r="NUG24" s="19"/>
      <c r="NUH24" s="19"/>
      <c r="NUI24" s="19"/>
      <c r="NUJ24" s="19"/>
      <c r="NUK24" s="19"/>
      <c r="NUL24" s="19"/>
      <c r="NUM24" s="19"/>
      <c r="NUN24" s="19"/>
      <c r="NUO24" s="19"/>
      <c r="NUP24" s="19"/>
      <c r="NUQ24" s="19"/>
      <c r="NUR24" s="19"/>
      <c r="NUS24" s="19"/>
      <c r="NUT24" s="19"/>
      <c r="NUU24" s="19"/>
      <c r="NUV24" s="19"/>
      <c r="NUW24" s="19"/>
      <c r="NUX24" s="19"/>
      <c r="NUY24" s="19"/>
      <c r="NUZ24" s="19"/>
      <c r="NVA24" s="19"/>
      <c r="NVB24" s="19"/>
      <c r="NVC24" s="19"/>
      <c r="NVD24" s="19"/>
      <c r="NVE24" s="19"/>
      <c r="NVF24" s="19"/>
      <c r="NVG24" s="19"/>
      <c r="NVH24" s="19"/>
      <c r="NVI24" s="19"/>
      <c r="NVJ24" s="19"/>
      <c r="NVK24" s="19"/>
      <c r="NVL24" s="19"/>
      <c r="NVM24" s="19"/>
      <c r="NVN24" s="19"/>
      <c r="NVO24" s="19"/>
      <c r="NVP24" s="19"/>
      <c r="NVQ24" s="19"/>
      <c r="NVR24" s="19"/>
      <c r="NVS24" s="19"/>
      <c r="NVT24" s="19"/>
      <c r="NVU24" s="19"/>
      <c r="NVV24" s="19"/>
      <c r="NVW24" s="19"/>
      <c r="NVX24" s="19"/>
      <c r="NVY24" s="19"/>
      <c r="NVZ24" s="19"/>
      <c r="NWA24" s="19"/>
      <c r="NWB24" s="19"/>
      <c r="NWC24" s="19"/>
      <c r="NWD24" s="19"/>
      <c r="NWE24" s="19"/>
      <c r="NWF24" s="19"/>
      <c r="NWG24" s="19"/>
      <c r="NWH24" s="19"/>
      <c r="NWI24" s="19"/>
      <c r="NWJ24" s="19"/>
      <c r="NWK24" s="19"/>
      <c r="NWL24" s="19"/>
      <c r="NWM24" s="19"/>
      <c r="NWN24" s="19"/>
      <c r="NWO24" s="19"/>
      <c r="NWP24" s="19"/>
      <c r="NWQ24" s="19"/>
      <c r="NWR24" s="19"/>
      <c r="NWS24" s="19"/>
      <c r="NWT24" s="19"/>
      <c r="NWU24" s="19"/>
      <c r="NWV24" s="19"/>
      <c r="NWW24" s="19"/>
      <c r="NWX24" s="19"/>
      <c r="NWY24" s="19"/>
      <c r="NWZ24" s="19"/>
      <c r="NXA24" s="19"/>
      <c r="NXB24" s="19"/>
      <c r="NXC24" s="19"/>
      <c r="NXD24" s="19"/>
      <c r="NXE24" s="19"/>
      <c r="NXF24" s="19"/>
      <c r="NXG24" s="19"/>
      <c r="NXH24" s="19"/>
      <c r="NXI24" s="19"/>
      <c r="NXJ24" s="19"/>
      <c r="NXK24" s="19"/>
      <c r="NXL24" s="19"/>
      <c r="NXM24" s="19"/>
      <c r="NXN24" s="19"/>
      <c r="NXO24" s="19"/>
      <c r="NXP24" s="19"/>
      <c r="NXQ24" s="19"/>
      <c r="NXR24" s="19"/>
      <c r="NXS24" s="19"/>
      <c r="NXT24" s="19"/>
      <c r="NXU24" s="19"/>
      <c r="NXV24" s="19"/>
      <c r="NXW24" s="19"/>
      <c r="NXX24" s="19"/>
      <c r="NXY24" s="19"/>
      <c r="NXZ24" s="19"/>
      <c r="NYA24" s="19"/>
      <c r="NYB24" s="19"/>
      <c r="NYC24" s="19"/>
      <c r="NYD24" s="19"/>
      <c r="NYE24" s="19"/>
      <c r="NYF24" s="19"/>
      <c r="NYG24" s="19"/>
      <c r="NYH24" s="19"/>
      <c r="NYI24" s="19"/>
      <c r="NYJ24" s="19"/>
      <c r="NYK24" s="19"/>
      <c r="NYL24" s="19"/>
      <c r="NYM24" s="19"/>
      <c r="NYN24" s="19"/>
      <c r="NYO24" s="19"/>
      <c r="NYP24" s="19"/>
      <c r="NYQ24" s="19"/>
      <c r="NYR24" s="19"/>
      <c r="NYS24" s="19"/>
      <c r="NYT24" s="19"/>
      <c r="NYU24" s="19"/>
      <c r="NYV24" s="19"/>
      <c r="NYW24" s="19"/>
      <c r="NYX24" s="19"/>
      <c r="NYY24" s="19"/>
      <c r="NYZ24" s="19"/>
      <c r="NZA24" s="19"/>
      <c r="NZB24" s="19"/>
      <c r="NZC24" s="19"/>
      <c r="NZD24" s="19"/>
      <c r="NZE24" s="19"/>
      <c r="NZF24" s="19"/>
      <c r="NZG24" s="19"/>
      <c r="NZH24" s="19"/>
      <c r="NZI24" s="19"/>
      <c r="NZJ24" s="19"/>
      <c r="NZK24" s="19"/>
      <c r="NZL24" s="19"/>
      <c r="NZM24" s="19"/>
      <c r="NZN24" s="19"/>
      <c r="NZO24" s="19"/>
      <c r="NZP24" s="19"/>
      <c r="NZQ24" s="19"/>
      <c r="NZR24" s="19"/>
      <c r="NZS24" s="19"/>
      <c r="NZT24" s="19"/>
      <c r="NZU24" s="19"/>
      <c r="NZV24" s="19"/>
      <c r="NZW24" s="19"/>
      <c r="NZX24" s="19"/>
      <c r="NZY24" s="19"/>
      <c r="NZZ24" s="19"/>
      <c r="OAA24" s="19"/>
      <c r="OAB24" s="19"/>
      <c r="OAC24" s="19"/>
      <c r="OAD24" s="19"/>
      <c r="OAE24" s="19"/>
      <c r="OAF24" s="19"/>
      <c r="OAG24" s="19"/>
      <c r="OAH24" s="19"/>
      <c r="OAI24" s="19"/>
      <c r="OAJ24" s="19"/>
      <c r="OAK24" s="19"/>
      <c r="OAL24" s="19"/>
      <c r="OAM24" s="19"/>
      <c r="OAN24" s="19"/>
      <c r="OAO24" s="19"/>
      <c r="OAP24" s="19"/>
      <c r="OAQ24" s="19"/>
      <c r="OAR24" s="19"/>
      <c r="OAS24" s="19"/>
      <c r="OAT24" s="19"/>
      <c r="OAU24" s="19"/>
      <c r="OAV24" s="19"/>
      <c r="OAW24" s="19"/>
      <c r="OAX24" s="19"/>
      <c r="OAY24" s="19"/>
      <c r="OAZ24" s="19"/>
      <c r="OBA24" s="19"/>
      <c r="OBB24" s="19"/>
      <c r="OBC24" s="19"/>
      <c r="OBD24" s="19"/>
      <c r="OBE24" s="19"/>
      <c r="OBF24" s="19"/>
      <c r="OBG24" s="19"/>
      <c r="OBH24" s="19"/>
      <c r="OBI24" s="19"/>
      <c r="OBJ24" s="19"/>
      <c r="OBK24" s="19"/>
      <c r="OBL24" s="19"/>
      <c r="OBM24" s="19"/>
      <c r="OBN24" s="19"/>
      <c r="OBO24" s="19"/>
      <c r="OBP24" s="19"/>
      <c r="OBQ24" s="19"/>
      <c r="OBR24" s="19"/>
      <c r="OBS24" s="19"/>
      <c r="OBT24" s="19"/>
      <c r="OBU24" s="19"/>
      <c r="OBV24" s="19"/>
      <c r="OBW24" s="19"/>
      <c r="OBX24" s="19"/>
      <c r="OBY24" s="19"/>
      <c r="OBZ24" s="19"/>
      <c r="OCA24" s="19"/>
      <c r="OCB24" s="19"/>
      <c r="OCC24" s="19"/>
      <c r="OCD24" s="19"/>
      <c r="OCE24" s="19"/>
      <c r="OCF24" s="19"/>
      <c r="OCG24" s="19"/>
      <c r="OCH24" s="19"/>
      <c r="OCI24" s="19"/>
      <c r="OCJ24" s="19"/>
      <c r="OCK24" s="19"/>
      <c r="OCL24" s="19"/>
      <c r="OCM24" s="19"/>
      <c r="OCN24" s="19"/>
      <c r="OCO24" s="19"/>
      <c r="OCP24" s="19"/>
      <c r="OCQ24" s="19"/>
      <c r="OCR24" s="19"/>
      <c r="OCS24" s="19"/>
      <c r="OCT24" s="19"/>
      <c r="OCU24" s="19"/>
      <c r="OCV24" s="19"/>
      <c r="OCW24" s="19"/>
      <c r="OCX24" s="19"/>
      <c r="OCY24" s="19"/>
      <c r="OCZ24" s="19"/>
      <c r="ODA24" s="19"/>
      <c r="ODB24" s="19"/>
      <c r="ODC24" s="19"/>
      <c r="ODD24" s="19"/>
      <c r="ODE24" s="19"/>
      <c r="ODF24" s="19"/>
      <c r="ODG24" s="19"/>
      <c r="ODH24" s="19"/>
      <c r="ODI24" s="19"/>
      <c r="ODJ24" s="19"/>
      <c r="ODK24" s="19"/>
      <c r="ODL24" s="19"/>
      <c r="ODM24" s="19"/>
      <c r="ODN24" s="19"/>
      <c r="ODO24" s="19"/>
      <c r="ODP24" s="19"/>
      <c r="ODQ24" s="19"/>
      <c r="ODR24" s="19"/>
      <c r="ODS24" s="19"/>
      <c r="ODT24" s="19"/>
      <c r="ODU24" s="19"/>
      <c r="ODV24" s="19"/>
      <c r="ODW24" s="19"/>
      <c r="ODX24" s="19"/>
      <c r="ODY24" s="19"/>
      <c r="ODZ24" s="19"/>
      <c r="OEA24" s="19"/>
      <c r="OEB24" s="19"/>
      <c r="OEC24" s="19"/>
      <c r="OED24" s="19"/>
      <c r="OEE24" s="19"/>
      <c r="OEF24" s="19"/>
      <c r="OEG24" s="19"/>
      <c r="OEH24" s="19"/>
      <c r="OEI24" s="19"/>
      <c r="OEJ24" s="19"/>
      <c r="OEK24" s="19"/>
      <c r="OEL24" s="19"/>
      <c r="OEM24" s="19"/>
      <c r="OEN24" s="19"/>
      <c r="OEO24" s="19"/>
      <c r="OEP24" s="19"/>
      <c r="OEQ24" s="19"/>
      <c r="OER24" s="19"/>
      <c r="OES24" s="19"/>
      <c r="OET24" s="19"/>
      <c r="OEU24" s="19"/>
      <c r="OEV24" s="19"/>
      <c r="OEW24" s="19"/>
      <c r="OEX24" s="19"/>
      <c r="OEY24" s="19"/>
      <c r="OEZ24" s="19"/>
      <c r="OFA24" s="19"/>
      <c r="OFB24" s="19"/>
      <c r="OFC24" s="19"/>
      <c r="OFD24" s="19"/>
      <c r="OFE24" s="19"/>
      <c r="OFF24" s="19"/>
      <c r="OFG24" s="19"/>
      <c r="OFH24" s="19"/>
      <c r="OFI24" s="19"/>
      <c r="OFJ24" s="19"/>
      <c r="OFK24" s="19"/>
      <c r="OFL24" s="19"/>
      <c r="OFM24" s="19"/>
      <c r="OFN24" s="19"/>
      <c r="OFO24" s="19"/>
      <c r="OFP24" s="19"/>
      <c r="OFQ24" s="19"/>
      <c r="OFR24" s="19"/>
      <c r="OFS24" s="19"/>
      <c r="OFT24" s="19"/>
      <c r="OFU24" s="19"/>
      <c r="OFV24" s="19"/>
      <c r="OFW24" s="19"/>
      <c r="OFX24" s="19"/>
      <c r="OFY24" s="19"/>
      <c r="OFZ24" s="19"/>
      <c r="OGA24" s="19"/>
      <c r="OGB24" s="19"/>
      <c r="OGC24" s="19"/>
      <c r="OGD24" s="19"/>
      <c r="OGE24" s="19"/>
      <c r="OGF24" s="19"/>
      <c r="OGG24" s="19"/>
      <c r="OGH24" s="19"/>
      <c r="OGI24" s="19"/>
      <c r="OGJ24" s="19"/>
      <c r="OGK24" s="19"/>
      <c r="OGL24" s="19"/>
      <c r="OGM24" s="19"/>
      <c r="OGN24" s="19"/>
      <c r="OGO24" s="19"/>
      <c r="OGP24" s="19"/>
      <c r="OGQ24" s="19"/>
      <c r="OGR24" s="19"/>
      <c r="OGS24" s="19"/>
      <c r="OGT24" s="19"/>
      <c r="OGU24" s="19"/>
      <c r="OGV24" s="19"/>
      <c r="OGW24" s="19"/>
      <c r="OGX24" s="19"/>
      <c r="OGY24" s="19"/>
      <c r="OGZ24" s="19"/>
      <c r="OHA24" s="19"/>
      <c r="OHB24" s="19"/>
      <c r="OHC24" s="19"/>
      <c r="OHD24" s="19"/>
      <c r="OHE24" s="19"/>
      <c r="OHF24" s="19"/>
      <c r="OHG24" s="19"/>
      <c r="OHH24" s="19"/>
      <c r="OHI24" s="19"/>
      <c r="OHJ24" s="19"/>
      <c r="OHK24" s="19"/>
      <c r="OHL24" s="19"/>
      <c r="OHM24" s="19"/>
      <c r="OHN24" s="19"/>
      <c r="OHO24" s="19"/>
      <c r="OHP24" s="19"/>
      <c r="OHQ24" s="19"/>
      <c r="OHR24" s="19"/>
      <c r="OHS24" s="19"/>
      <c r="OHT24" s="19"/>
      <c r="OHU24" s="19"/>
      <c r="OHV24" s="19"/>
      <c r="OHW24" s="19"/>
      <c r="OHX24" s="19"/>
      <c r="OHY24" s="19"/>
      <c r="OHZ24" s="19"/>
      <c r="OIA24" s="19"/>
      <c r="OIB24" s="19"/>
      <c r="OIC24" s="19"/>
      <c r="OID24" s="19"/>
      <c r="OIE24" s="19"/>
      <c r="OIF24" s="19"/>
      <c r="OIG24" s="19"/>
      <c r="OIH24" s="19"/>
      <c r="OII24" s="19"/>
      <c r="OIJ24" s="19"/>
      <c r="OIK24" s="19"/>
      <c r="OIL24" s="19"/>
      <c r="OIM24" s="19"/>
      <c r="OIN24" s="19"/>
      <c r="OIO24" s="19"/>
      <c r="OIP24" s="19"/>
      <c r="OIQ24" s="19"/>
      <c r="OIR24" s="19"/>
      <c r="OIS24" s="19"/>
      <c r="OIT24" s="19"/>
      <c r="OIU24" s="19"/>
      <c r="OIV24" s="19"/>
      <c r="OIW24" s="19"/>
      <c r="OIX24" s="19"/>
      <c r="OIY24" s="19"/>
      <c r="OIZ24" s="19"/>
      <c r="OJA24" s="19"/>
      <c r="OJB24" s="19"/>
      <c r="OJC24" s="19"/>
      <c r="OJD24" s="19"/>
      <c r="OJE24" s="19"/>
      <c r="OJF24" s="19"/>
      <c r="OJG24" s="19"/>
      <c r="OJH24" s="19"/>
      <c r="OJI24" s="19"/>
      <c r="OJJ24" s="19"/>
      <c r="OJK24" s="19"/>
      <c r="OJL24" s="19"/>
      <c r="OJM24" s="19"/>
      <c r="OJN24" s="19"/>
      <c r="OJO24" s="19"/>
      <c r="OJP24" s="19"/>
      <c r="OJQ24" s="19"/>
      <c r="OJR24" s="19"/>
      <c r="OJS24" s="19"/>
      <c r="OJT24" s="19"/>
      <c r="OJU24" s="19"/>
      <c r="OJV24" s="19"/>
      <c r="OJW24" s="19"/>
      <c r="OJX24" s="19"/>
      <c r="OJY24" s="19"/>
      <c r="OJZ24" s="19"/>
      <c r="OKA24" s="19"/>
      <c r="OKB24" s="19"/>
      <c r="OKC24" s="19"/>
      <c r="OKD24" s="19"/>
      <c r="OKE24" s="19"/>
      <c r="OKF24" s="19"/>
      <c r="OKG24" s="19"/>
      <c r="OKH24" s="19"/>
      <c r="OKI24" s="19"/>
      <c r="OKJ24" s="19"/>
      <c r="OKK24" s="19"/>
      <c r="OKL24" s="19"/>
      <c r="OKM24" s="19"/>
      <c r="OKN24" s="19"/>
      <c r="OKO24" s="19"/>
      <c r="OKP24" s="19"/>
      <c r="OKQ24" s="19"/>
      <c r="OKR24" s="19"/>
      <c r="OKS24" s="19"/>
      <c r="OKT24" s="19"/>
      <c r="OKU24" s="19"/>
      <c r="OKV24" s="19"/>
      <c r="OKW24" s="19"/>
      <c r="OKX24" s="19"/>
      <c r="OKY24" s="19"/>
      <c r="OKZ24" s="19"/>
      <c r="OLA24" s="19"/>
      <c r="OLB24" s="19"/>
      <c r="OLC24" s="19"/>
      <c r="OLD24" s="19"/>
      <c r="OLE24" s="19"/>
      <c r="OLF24" s="19"/>
      <c r="OLG24" s="19"/>
      <c r="OLH24" s="19"/>
      <c r="OLI24" s="19"/>
      <c r="OLJ24" s="19"/>
      <c r="OLK24" s="19"/>
      <c r="OLL24" s="19"/>
      <c r="OLM24" s="19"/>
      <c r="OLN24" s="19"/>
      <c r="OLO24" s="19"/>
      <c r="OLP24" s="19"/>
      <c r="OLQ24" s="19"/>
      <c r="OLR24" s="19"/>
      <c r="OLS24" s="19"/>
      <c r="OLT24" s="19"/>
      <c r="OLU24" s="19"/>
      <c r="OLV24" s="19"/>
      <c r="OLW24" s="19"/>
      <c r="OLX24" s="19"/>
      <c r="OLY24" s="19"/>
      <c r="OLZ24" s="19"/>
      <c r="OMA24" s="19"/>
      <c r="OMB24" s="19"/>
      <c r="OMC24" s="19"/>
      <c r="OMD24" s="19"/>
      <c r="OME24" s="19"/>
      <c r="OMF24" s="19"/>
      <c r="OMG24" s="19"/>
      <c r="OMH24" s="19"/>
      <c r="OMI24" s="19"/>
      <c r="OMJ24" s="19"/>
      <c r="OMK24" s="19"/>
      <c r="OML24" s="19"/>
      <c r="OMM24" s="19"/>
      <c r="OMN24" s="19"/>
      <c r="OMO24" s="19"/>
      <c r="OMP24" s="19"/>
      <c r="OMQ24" s="19"/>
      <c r="OMR24" s="19"/>
      <c r="OMS24" s="19"/>
      <c r="OMT24" s="19"/>
      <c r="OMU24" s="19"/>
      <c r="OMV24" s="19"/>
      <c r="OMW24" s="19"/>
      <c r="OMX24" s="19"/>
      <c r="OMY24" s="19"/>
      <c r="OMZ24" s="19"/>
      <c r="ONA24" s="19"/>
      <c r="ONB24" s="19"/>
      <c r="ONC24" s="19"/>
      <c r="OND24" s="19"/>
      <c r="ONE24" s="19"/>
      <c r="ONF24" s="19"/>
      <c r="ONG24" s="19"/>
      <c r="ONH24" s="19"/>
      <c r="ONI24" s="19"/>
      <c r="ONJ24" s="19"/>
      <c r="ONK24" s="19"/>
      <c r="ONL24" s="19"/>
      <c r="ONM24" s="19"/>
      <c r="ONN24" s="19"/>
      <c r="ONO24" s="19"/>
      <c r="ONP24" s="19"/>
      <c r="ONQ24" s="19"/>
      <c r="ONR24" s="19"/>
      <c r="ONS24" s="19"/>
      <c r="ONT24" s="19"/>
      <c r="ONU24" s="19"/>
      <c r="ONV24" s="19"/>
      <c r="ONW24" s="19"/>
      <c r="ONX24" s="19"/>
      <c r="ONY24" s="19"/>
      <c r="ONZ24" s="19"/>
      <c r="OOA24" s="19"/>
      <c r="OOB24" s="19"/>
      <c r="OOC24" s="19"/>
      <c r="OOD24" s="19"/>
      <c r="OOE24" s="19"/>
      <c r="OOF24" s="19"/>
      <c r="OOG24" s="19"/>
      <c r="OOH24" s="19"/>
      <c r="OOI24" s="19"/>
      <c r="OOJ24" s="19"/>
      <c r="OOK24" s="19"/>
      <c r="OOL24" s="19"/>
      <c r="OOM24" s="19"/>
      <c r="OON24" s="19"/>
      <c r="OOO24" s="19"/>
      <c r="OOP24" s="19"/>
      <c r="OOQ24" s="19"/>
      <c r="OOR24" s="19"/>
      <c r="OOS24" s="19"/>
      <c r="OOT24" s="19"/>
      <c r="OOU24" s="19"/>
      <c r="OOV24" s="19"/>
      <c r="OOW24" s="19"/>
      <c r="OOX24" s="19"/>
      <c r="OOY24" s="19"/>
      <c r="OOZ24" s="19"/>
      <c r="OPA24" s="19"/>
      <c r="OPB24" s="19"/>
      <c r="OPC24" s="19"/>
      <c r="OPD24" s="19"/>
      <c r="OPE24" s="19"/>
      <c r="OPF24" s="19"/>
      <c r="OPG24" s="19"/>
      <c r="OPH24" s="19"/>
      <c r="OPI24" s="19"/>
      <c r="OPJ24" s="19"/>
      <c r="OPK24" s="19"/>
      <c r="OPL24" s="19"/>
      <c r="OPM24" s="19"/>
      <c r="OPN24" s="19"/>
      <c r="OPO24" s="19"/>
      <c r="OPP24" s="19"/>
      <c r="OPQ24" s="19"/>
      <c r="OPR24" s="19"/>
      <c r="OPS24" s="19"/>
      <c r="OPT24" s="19"/>
      <c r="OPU24" s="19"/>
      <c r="OPV24" s="19"/>
      <c r="OPW24" s="19"/>
      <c r="OPX24" s="19"/>
      <c r="OPY24" s="19"/>
      <c r="OPZ24" s="19"/>
      <c r="OQA24" s="19"/>
      <c r="OQB24" s="19"/>
      <c r="OQC24" s="19"/>
      <c r="OQD24" s="19"/>
      <c r="OQE24" s="19"/>
      <c r="OQF24" s="19"/>
      <c r="OQG24" s="19"/>
      <c r="OQH24" s="19"/>
      <c r="OQI24" s="19"/>
      <c r="OQJ24" s="19"/>
      <c r="OQK24" s="19"/>
      <c r="OQL24" s="19"/>
      <c r="OQM24" s="19"/>
      <c r="OQN24" s="19"/>
      <c r="OQO24" s="19"/>
      <c r="OQP24" s="19"/>
      <c r="OQQ24" s="19"/>
      <c r="OQR24" s="19"/>
      <c r="OQS24" s="19"/>
      <c r="OQT24" s="19"/>
      <c r="OQU24" s="19"/>
      <c r="OQV24" s="19"/>
      <c r="OQW24" s="19"/>
      <c r="OQX24" s="19"/>
      <c r="OQY24" s="19"/>
      <c r="OQZ24" s="19"/>
      <c r="ORA24" s="19"/>
      <c r="ORB24" s="19"/>
      <c r="ORC24" s="19"/>
      <c r="ORD24" s="19"/>
      <c r="ORE24" s="19"/>
      <c r="ORF24" s="19"/>
      <c r="ORG24" s="19"/>
      <c r="ORH24" s="19"/>
      <c r="ORI24" s="19"/>
      <c r="ORJ24" s="19"/>
      <c r="ORK24" s="19"/>
      <c r="ORL24" s="19"/>
      <c r="ORM24" s="19"/>
      <c r="ORN24" s="19"/>
      <c r="ORO24" s="19"/>
      <c r="ORP24" s="19"/>
      <c r="ORQ24" s="19"/>
      <c r="ORR24" s="19"/>
      <c r="ORS24" s="19"/>
      <c r="ORT24" s="19"/>
      <c r="ORU24" s="19"/>
      <c r="ORV24" s="19"/>
      <c r="ORW24" s="19"/>
      <c r="ORX24" s="19"/>
      <c r="ORY24" s="19"/>
      <c r="ORZ24" s="19"/>
      <c r="OSA24" s="19"/>
      <c r="OSB24" s="19"/>
      <c r="OSC24" s="19"/>
      <c r="OSD24" s="19"/>
      <c r="OSE24" s="19"/>
      <c r="OSF24" s="19"/>
      <c r="OSG24" s="19"/>
      <c r="OSH24" s="19"/>
      <c r="OSI24" s="19"/>
      <c r="OSJ24" s="19"/>
      <c r="OSK24" s="19"/>
      <c r="OSL24" s="19"/>
      <c r="OSM24" s="19"/>
      <c r="OSN24" s="19"/>
      <c r="OSO24" s="19"/>
      <c r="OSP24" s="19"/>
      <c r="OSQ24" s="19"/>
      <c r="OSR24" s="19"/>
      <c r="OSS24" s="19"/>
      <c r="OST24" s="19"/>
      <c r="OSU24" s="19"/>
      <c r="OSV24" s="19"/>
      <c r="OSW24" s="19"/>
      <c r="OSX24" s="19"/>
      <c r="OSY24" s="19"/>
      <c r="OSZ24" s="19"/>
      <c r="OTA24" s="19"/>
      <c r="OTB24" s="19"/>
      <c r="OTC24" s="19"/>
      <c r="OTD24" s="19"/>
      <c r="OTE24" s="19"/>
      <c r="OTF24" s="19"/>
      <c r="OTG24" s="19"/>
      <c r="OTH24" s="19"/>
      <c r="OTI24" s="19"/>
      <c r="OTJ24" s="19"/>
      <c r="OTK24" s="19"/>
      <c r="OTL24" s="19"/>
      <c r="OTM24" s="19"/>
      <c r="OTN24" s="19"/>
      <c r="OTO24" s="19"/>
      <c r="OTP24" s="19"/>
      <c r="OTQ24" s="19"/>
      <c r="OTR24" s="19"/>
      <c r="OTS24" s="19"/>
      <c r="OTT24" s="19"/>
      <c r="OTU24" s="19"/>
      <c r="OTV24" s="19"/>
      <c r="OTW24" s="19"/>
      <c r="OTX24" s="19"/>
      <c r="OTY24" s="19"/>
      <c r="OTZ24" s="19"/>
      <c r="OUA24" s="19"/>
      <c r="OUB24" s="19"/>
      <c r="OUC24" s="19"/>
      <c r="OUD24" s="19"/>
      <c r="OUE24" s="19"/>
      <c r="OUF24" s="19"/>
      <c r="OUG24" s="19"/>
      <c r="OUH24" s="19"/>
      <c r="OUI24" s="19"/>
      <c r="OUJ24" s="19"/>
      <c r="OUK24" s="19"/>
      <c r="OUL24" s="19"/>
      <c r="OUM24" s="19"/>
      <c r="OUN24" s="19"/>
      <c r="OUO24" s="19"/>
      <c r="OUP24" s="19"/>
      <c r="OUQ24" s="19"/>
      <c r="OUR24" s="19"/>
      <c r="OUS24" s="19"/>
      <c r="OUT24" s="19"/>
      <c r="OUU24" s="19"/>
      <c r="OUV24" s="19"/>
      <c r="OUW24" s="19"/>
      <c r="OUX24" s="19"/>
      <c r="OUY24" s="19"/>
      <c r="OUZ24" s="19"/>
      <c r="OVA24" s="19"/>
      <c r="OVB24" s="19"/>
      <c r="OVC24" s="19"/>
      <c r="OVD24" s="19"/>
      <c r="OVE24" s="19"/>
      <c r="OVF24" s="19"/>
      <c r="OVG24" s="19"/>
      <c r="OVH24" s="19"/>
      <c r="OVI24" s="19"/>
      <c r="OVJ24" s="19"/>
      <c r="OVK24" s="19"/>
      <c r="OVL24" s="19"/>
      <c r="OVM24" s="19"/>
      <c r="OVN24" s="19"/>
      <c r="OVO24" s="19"/>
      <c r="OVP24" s="19"/>
      <c r="OVQ24" s="19"/>
      <c r="OVR24" s="19"/>
      <c r="OVS24" s="19"/>
      <c r="OVT24" s="19"/>
      <c r="OVU24" s="19"/>
      <c r="OVV24" s="19"/>
      <c r="OVW24" s="19"/>
      <c r="OVX24" s="19"/>
      <c r="OVY24" s="19"/>
      <c r="OVZ24" s="19"/>
      <c r="OWA24" s="19"/>
      <c r="OWB24" s="19"/>
      <c r="OWC24" s="19"/>
      <c r="OWD24" s="19"/>
      <c r="OWE24" s="19"/>
      <c r="OWF24" s="19"/>
      <c r="OWG24" s="19"/>
      <c r="OWH24" s="19"/>
      <c r="OWI24" s="19"/>
      <c r="OWJ24" s="19"/>
      <c r="OWK24" s="19"/>
      <c r="OWL24" s="19"/>
      <c r="OWM24" s="19"/>
      <c r="OWN24" s="19"/>
      <c r="OWO24" s="19"/>
      <c r="OWP24" s="19"/>
      <c r="OWQ24" s="19"/>
      <c r="OWR24" s="19"/>
      <c r="OWS24" s="19"/>
      <c r="OWT24" s="19"/>
      <c r="OWU24" s="19"/>
      <c r="OWV24" s="19"/>
      <c r="OWW24" s="19"/>
      <c r="OWX24" s="19"/>
      <c r="OWY24" s="19"/>
      <c r="OWZ24" s="19"/>
      <c r="OXA24" s="19"/>
      <c r="OXB24" s="19"/>
      <c r="OXC24" s="19"/>
      <c r="OXD24" s="19"/>
      <c r="OXE24" s="19"/>
      <c r="OXF24" s="19"/>
      <c r="OXG24" s="19"/>
      <c r="OXH24" s="19"/>
      <c r="OXI24" s="19"/>
      <c r="OXJ24" s="19"/>
      <c r="OXK24" s="19"/>
      <c r="OXL24" s="19"/>
      <c r="OXM24" s="19"/>
      <c r="OXN24" s="19"/>
      <c r="OXO24" s="19"/>
      <c r="OXP24" s="19"/>
      <c r="OXQ24" s="19"/>
      <c r="OXR24" s="19"/>
      <c r="OXS24" s="19"/>
      <c r="OXT24" s="19"/>
      <c r="OXU24" s="19"/>
      <c r="OXV24" s="19"/>
      <c r="OXW24" s="19"/>
      <c r="OXX24" s="19"/>
      <c r="OXY24" s="19"/>
      <c r="OXZ24" s="19"/>
      <c r="OYA24" s="19"/>
      <c r="OYB24" s="19"/>
      <c r="OYC24" s="19"/>
      <c r="OYD24" s="19"/>
      <c r="OYE24" s="19"/>
      <c r="OYF24" s="19"/>
      <c r="OYG24" s="19"/>
      <c r="OYH24" s="19"/>
      <c r="OYI24" s="19"/>
      <c r="OYJ24" s="19"/>
      <c r="OYK24" s="19"/>
      <c r="OYL24" s="19"/>
      <c r="OYM24" s="19"/>
      <c r="OYN24" s="19"/>
      <c r="OYO24" s="19"/>
      <c r="OYP24" s="19"/>
      <c r="OYQ24" s="19"/>
      <c r="OYR24" s="19"/>
      <c r="OYS24" s="19"/>
      <c r="OYT24" s="19"/>
      <c r="OYU24" s="19"/>
      <c r="OYV24" s="19"/>
      <c r="OYW24" s="19"/>
      <c r="OYX24" s="19"/>
      <c r="OYY24" s="19"/>
      <c r="OYZ24" s="19"/>
      <c r="OZA24" s="19"/>
      <c r="OZB24" s="19"/>
      <c r="OZC24" s="19"/>
      <c r="OZD24" s="19"/>
      <c r="OZE24" s="19"/>
      <c r="OZF24" s="19"/>
      <c r="OZG24" s="19"/>
      <c r="OZH24" s="19"/>
      <c r="OZI24" s="19"/>
      <c r="OZJ24" s="19"/>
      <c r="OZK24" s="19"/>
      <c r="OZL24" s="19"/>
      <c r="OZM24" s="19"/>
      <c r="OZN24" s="19"/>
      <c r="OZO24" s="19"/>
      <c r="OZP24" s="19"/>
      <c r="OZQ24" s="19"/>
      <c r="OZR24" s="19"/>
      <c r="OZS24" s="19"/>
      <c r="OZT24" s="19"/>
      <c r="OZU24" s="19"/>
      <c r="OZV24" s="19"/>
      <c r="OZW24" s="19"/>
      <c r="OZX24" s="19"/>
      <c r="OZY24" s="19"/>
      <c r="OZZ24" s="19"/>
      <c r="PAA24" s="19"/>
      <c r="PAB24" s="19"/>
      <c r="PAC24" s="19"/>
      <c r="PAD24" s="19"/>
      <c r="PAE24" s="19"/>
      <c r="PAF24" s="19"/>
      <c r="PAG24" s="19"/>
      <c r="PAH24" s="19"/>
      <c r="PAI24" s="19"/>
      <c r="PAJ24" s="19"/>
      <c r="PAK24" s="19"/>
      <c r="PAL24" s="19"/>
      <c r="PAM24" s="19"/>
      <c r="PAN24" s="19"/>
      <c r="PAO24" s="19"/>
      <c r="PAP24" s="19"/>
      <c r="PAQ24" s="19"/>
      <c r="PAR24" s="19"/>
      <c r="PAS24" s="19"/>
      <c r="PAT24" s="19"/>
      <c r="PAU24" s="19"/>
      <c r="PAV24" s="19"/>
      <c r="PAW24" s="19"/>
      <c r="PAX24" s="19"/>
      <c r="PAY24" s="19"/>
      <c r="PAZ24" s="19"/>
      <c r="PBA24" s="19"/>
      <c r="PBB24" s="19"/>
      <c r="PBC24" s="19"/>
      <c r="PBD24" s="19"/>
      <c r="PBE24" s="19"/>
      <c r="PBF24" s="19"/>
      <c r="PBG24" s="19"/>
      <c r="PBH24" s="19"/>
      <c r="PBI24" s="19"/>
      <c r="PBJ24" s="19"/>
      <c r="PBK24" s="19"/>
      <c r="PBL24" s="19"/>
      <c r="PBM24" s="19"/>
      <c r="PBN24" s="19"/>
      <c r="PBO24" s="19"/>
      <c r="PBP24" s="19"/>
      <c r="PBQ24" s="19"/>
      <c r="PBR24" s="19"/>
      <c r="PBS24" s="19"/>
      <c r="PBT24" s="19"/>
      <c r="PBU24" s="19"/>
      <c r="PBV24" s="19"/>
      <c r="PBW24" s="19"/>
      <c r="PBX24" s="19"/>
      <c r="PBY24" s="19"/>
      <c r="PBZ24" s="19"/>
      <c r="PCA24" s="19"/>
      <c r="PCB24" s="19"/>
      <c r="PCC24" s="19"/>
      <c r="PCD24" s="19"/>
      <c r="PCE24" s="19"/>
      <c r="PCF24" s="19"/>
      <c r="PCG24" s="19"/>
      <c r="PCH24" s="19"/>
      <c r="PCI24" s="19"/>
      <c r="PCJ24" s="19"/>
      <c r="PCK24" s="19"/>
      <c r="PCL24" s="19"/>
      <c r="PCM24" s="19"/>
      <c r="PCN24" s="19"/>
      <c r="PCO24" s="19"/>
      <c r="PCP24" s="19"/>
      <c r="PCQ24" s="19"/>
      <c r="PCR24" s="19"/>
      <c r="PCS24" s="19"/>
      <c r="PCT24" s="19"/>
      <c r="PCU24" s="19"/>
      <c r="PCV24" s="19"/>
      <c r="PCW24" s="19"/>
      <c r="PCX24" s="19"/>
      <c r="PCY24" s="19"/>
      <c r="PCZ24" s="19"/>
      <c r="PDA24" s="19"/>
      <c r="PDB24" s="19"/>
      <c r="PDC24" s="19"/>
      <c r="PDD24" s="19"/>
      <c r="PDE24" s="19"/>
      <c r="PDF24" s="19"/>
      <c r="PDG24" s="19"/>
      <c r="PDH24" s="19"/>
      <c r="PDI24" s="19"/>
      <c r="PDJ24" s="19"/>
      <c r="PDK24" s="19"/>
      <c r="PDL24" s="19"/>
      <c r="PDM24" s="19"/>
      <c r="PDN24" s="19"/>
      <c r="PDO24" s="19"/>
      <c r="PDP24" s="19"/>
      <c r="PDQ24" s="19"/>
      <c r="PDR24" s="19"/>
      <c r="PDS24" s="19"/>
      <c r="PDT24" s="19"/>
      <c r="PDU24" s="19"/>
      <c r="PDV24" s="19"/>
      <c r="PDW24" s="19"/>
      <c r="PDX24" s="19"/>
      <c r="PDY24" s="19"/>
      <c r="PDZ24" s="19"/>
      <c r="PEA24" s="19"/>
      <c r="PEB24" s="19"/>
      <c r="PEC24" s="19"/>
      <c r="PED24" s="19"/>
      <c r="PEE24" s="19"/>
      <c r="PEF24" s="19"/>
      <c r="PEG24" s="19"/>
      <c r="PEH24" s="19"/>
      <c r="PEI24" s="19"/>
      <c r="PEJ24" s="19"/>
      <c r="PEK24" s="19"/>
      <c r="PEL24" s="19"/>
      <c r="PEM24" s="19"/>
      <c r="PEN24" s="19"/>
      <c r="PEO24" s="19"/>
      <c r="PEP24" s="19"/>
      <c r="PEQ24" s="19"/>
      <c r="PER24" s="19"/>
      <c r="PES24" s="19"/>
      <c r="PET24" s="19"/>
      <c r="PEU24" s="19"/>
      <c r="PEV24" s="19"/>
      <c r="PEW24" s="19"/>
      <c r="PEX24" s="19"/>
      <c r="PEY24" s="19"/>
      <c r="PEZ24" s="19"/>
      <c r="PFA24" s="19"/>
      <c r="PFB24" s="19"/>
      <c r="PFC24" s="19"/>
      <c r="PFD24" s="19"/>
      <c r="PFE24" s="19"/>
      <c r="PFF24" s="19"/>
      <c r="PFG24" s="19"/>
      <c r="PFH24" s="19"/>
      <c r="PFI24" s="19"/>
      <c r="PFJ24" s="19"/>
      <c r="PFK24" s="19"/>
      <c r="PFL24" s="19"/>
      <c r="PFM24" s="19"/>
      <c r="PFN24" s="19"/>
      <c r="PFO24" s="19"/>
      <c r="PFP24" s="19"/>
      <c r="PFQ24" s="19"/>
      <c r="PFR24" s="19"/>
      <c r="PFS24" s="19"/>
      <c r="PFT24" s="19"/>
      <c r="PFU24" s="19"/>
      <c r="PFV24" s="19"/>
      <c r="PFW24" s="19"/>
      <c r="PFX24" s="19"/>
      <c r="PFY24" s="19"/>
      <c r="PFZ24" s="19"/>
      <c r="PGA24" s="19"/>
      <c r="PGB24" s="19"/>
      <c r="PGC24" s="19"/>
      <c r="PGD24" s="19"/>
      <c r="PGE24" s="19"/>
      <c r="PGF24" s="19"/>
      <c r="PGG24" s="19"/>
      <c r="PGH24" s="19"/>
      <c r="PGI24" s="19"/>
      <c r="PGJ24" s="19"/>
      <c r="PGK24" s="19"/>
      <c r="PGL24" s="19"/>
      <c r="PGM24" s="19"/>
      <c r="PGN24" s="19"/>
      <c r="PGO24" s="19"/>
      <c r="PGP24" s="19"/>
      <c r="PGQ24" s="19"/>
      <c r="PGR24" s="19"/>
      <c r="PGS24" s="19"/>
      <c r="PGT24" s="19"/>
      <c r="PGU24" s="19"/>
      <c r="PGV24" s="19"/>
      <c r="PGW24" s="19"/>
      <c r="PGX24" s="19"/>
      <c r="PGY24" s="19"/>
      <c r="PGZ24" s="19"/>
      <c r="PHA24" s="19"/>
      <c r="PHB24" s="19"/>
      <c r="PHC24" s="19"/>
      <c r="PHD24" s="19"/>
      <c r="PHE24" s="19"/>
      <c r="PHF24" s="19"/>
      <c r="PHG24" s="19"/>
      <c r="PHH24" s="19"/>
      <c r="PHI24" s="19"/>
      <c r="PHJ24" s="19"/>
      <c r="PHK24" s="19"/>
      <c r="PHL24" s="19"/>
      <c r="PHM24" s="19"/>
      <c r="PHN24" s="19"/>
      <c r="PHO24" s="19"/>
      <c r="PHP24" s="19"/>
      <c r="PHQ24" s="19"/>
      <c r="PHR24" s="19"/>
      <c r="PHS24" s="19"/>
      <c r="PHT24" s="19"/>
      <c r="PHU24" s="19"/>
      <c r="PHV24" s="19"/>
      <c r="PHW24" s="19"/>
      <c r="PHX24" s="19"/>
      <c r="PHY24" s="19"/>
      <c r="PHZ24" s="19"/>
      <c r="PIA24" s="19"/>
      <c r="PIB24" s="19"/>
      <c r="PIC24" s="19"/>
      <c r="PID24" s="19"/>
      <c r="PIE24" s="19"/>
      <c r="PIF24" s="19"/>
      <c r="PIG24" s="19"/>
      <c r="PIH24" s="19"/>
      <c r="PII24" s="19"/>
      <c r="PIJ24" s="19"/>
      <c r="PIK24" s="19"/>
      <c r="PIL24" s="19"/>
      <c r="PIM24" s="19"/>
      <c r="PIN24" s="19"/>
      <c r="PIO24" s="19"/>
      <c r="PIP24" s="19"/>
      <c r="PIQ24" s="19"/>
      <c r="PIR24" s="19"/>
      <c r="PIS24" s="19"/>
      <c r="PIT24" s="19"/>
      <c r="PIU24" s="19"/>
      <c r="PIV24" s="19"/>
      <c r="PIW24" s="19"/>
      <c r="PIX24" s="19"/>
      <c r="PIY24" s="19"/>
      <c r="PIZ24" s="19"/>
      <c r="PJA24" s="19"/>
      <c r="PJB24" s="19"/>
      <c r="PJC24" s="19"/>
      <c r="PJD24" s="19"/>
      <c r="PJE24" s="19"/>
      <c r="PJF24" s="19"/>
      <c r="PJG24" s="19"/>
      <c r="PJH24" s="19"/>
      <c r="PJI24" s="19"/>
      <c r="PJJ24" s="19"/>
      <c r="PJK24" s="19"/>
      <c r="PJL24" s="19"/>
      <c r="PJM24" s="19"/>
      <c r="PJN24" s="19"/>
      <c r="PJO24" s="19"/>
      <c r="PJP24" s="19"/>
      <c r="PJQ24" s="19"/>
      <c r="PJR24" s="19"/>
      <c r="PJS24" s="19"/>
      <c r="PJT24" s="19"/>
      <c r="PJU24" s="19"/>
      <c r="PJV24" s="19"/>
      <c r="PJW24" s="19"/>
      <c r="PJX24" s="19"/>
      <c r="PJY24" s="19"/>
      <c r="PJZ24" s="19"/>
      <c r="PKA24" s="19"/>
      <c r="PKB24" s="19"/>
      <c r="PKC24" s="19"/>
      <c r="PKD24" s="19"/>
      <c r="PKE24" s="19"/>
      <c r="PKF24" s="19"/>
      <c r="PKG24" s="19"/>
      <c r="PKH24" s="19"/>
      <c r="PKI24" s="19"/>
      <c r="PKJ24" s="19"/>
      <c r="PKK24" s="19"/>
      <c r="PKL24" s="19"/>
      <c r="PKM24" s="19"/>
      <c r="PKN24" s="19"/>
      <c r="PKO24" s="19"/>
      <c r="PKP24" s="19"/>
      <c r="PKQ24" s="19"/>
      <c r="PKR24" s="19"/>
      <c r="PKS24" s="19"/>
      <c r="PKT24" s="19"/>
      <c r="PKU24" s="19"/>
      <c r="PKV24" s="19"/>
      <c r="PKW24" s="19"/>
      <c r="PKX24" s="19"/>
      <c r="PKY24" s="19"/>
      <c r="PKZ24" s="19"/>
      <c r="PLA24" s="19"/>
      <c r="PLB24" s="19"/>
      <c r="PLC24" s="19"/>
      <c r="PLD24" s="19"/>
      <c r="PLE24" s="19"/>
      <c r="PLF24" s="19"/>
      <c r="PLG24" s="19"/>
      <c r="PLH24" s="19"/>
      <c r="PLI24" s="19"/>
      <c r="PLJ24" s="19"/>
      <c r="PLK24" s="19"/>
      <c r="PLL24" s="19"/>
      <c r="PLM24" s="19"/>
      <c r="PLN24" s="19"/>
      <c r="PLO24" s="19"/>
      <c r="PLP24" s="19"/>
      <c r="PLQ24" s="19"/>
      <c r="PLR24" s="19"/>
      <c r="PLS24" s="19"/>
      <c r="PLT24" s="19"/>
      <c r="PLU24" s="19"/>
      <c r="PLV24" s="19"/>
      <c r="PLW24" s="19"/>
      <c r="PLX24" s="19"/>
      <c r="PLY24" s="19"/>
      <c r="PLZ24" s="19"/>
      <c r="PMA24" s="19"/>
      <c r="PMB24" s="19"/>
      <c r="PMC24" s="19"/>
      <c r="PMD24" s="19"/>
      <c r="PME24" s="19"/>
      <c r="PMF24" s="19"/>
      <c r="PMG24" s="19"/>
      <c r="PMH24" s="19"/>
      <c r="PMI24" s="19"/>
      <c r="PMJ24" s="19"/>
      <c r="PMK24" s="19"/>
      <c r="PML24" s="19"/>
      <c r="PMM24" s="19"/>
      <c r="PMN24" s="19"/>
      <c r="PMO24" s="19"/>
      <c r="PMP24" s="19"/>
      <c r="PMQ24" s="19"/>
      <c r="PMR24" s="19"/>
      <c r="PMS24" s="19"/>
      <c r="PMT24" s="19"/>
      <c r="PMU24" s="19"/>
      <c r="PMV24" s="19"/>
      <c r="PMW24" s="19"/>
      <c r="PMX24" s="19"/>
      <c r="PMY24" s="19"/>
      <c r="PMZ24" s="19"/>
      <c r="PNA24" s="19"/>
      <c r="PNB24" s="19"/>
      <c r="PNC24" s="19"/>
      <c r="PND24" s="19"/>
      <c r="PNE24" s="19"/>
      <c r="PNF24" s="19"/>
      <c r="PNG24" s="19"/>
      <c r="PNH24" s="19"/>
      <c r="PNI24" s="19"/>
      <c r="PNJ24" s="19"/>
      <c r="PNK24" s="19"/>
      <c r="PNL24" s="19"/>
      <c r="PNM24" s="19"/>
      <c r="PNN24" s="19"/>
      <c r="PNO24" s="19"/>
      <c r="PNP24" s="19"/>
      <c r="PNQ24" s="19"/>
      <c r="PNR24" s="19"/>
      <c r="PNS24" s="19"/>
      <c r="PNT24" s="19"/>
      <c r="PNU24" s="19"/>
      <c r="PNV24" s="19"/>
      <c r="PNW24" s="19"/>
      <c r="PNX24" s="19"/>
      <c r="PNY24" s="19"/>
      <c r="PNZ24" s="19"/>
      <c r="POA24" s="19"/>
      <c r="POB24" s="19"/>
      <c r="POC24" s="19"/>
      <c r="POD24" s="19"/>
      <c r="POE24" s="19"/>
      <c r="POF24" s="19"/>
      <c r="POG24" s="19"/>
      <c r="POH24" s="19"/>
      <c r="POI24" s="19"/>
      <c r="POJ24" s="19"/>
      <c r="POK24" s="19"/>
      <c r="POL24" s="19"/>
      <c r="POM24" s="19"/>
      <c r="PON24" s="19"/>
      <c r="POO24" s="19"/>
      <c r="POP24" s="19"/>
      <c r="POQ24" s="19"/>
      <c r="POR24" s="19"/>
      <c r="POS24" s="19"/>
      <c r="POT24" s="19"/>
      <c r="POU24" s="19"/>
      <c r="POV24" s="19"/>
      <c r="POW24" s="19"/>
      <c r="POX24" s="19"/>
      <c r="POY24" s="19"/>
      <c r="POZ24" s="19"/>
      <c r="PPA24" s="19"/>
      <c r="PPB24" s="19"/>
      <c r="PPC24" s="19"/>
      <c r="PPD24" s="19"/>
      <c r="PPE24" s="19"/>
      <c r="PPF24" s="19"/>
      <c r="PPG24" s="19"/>
      <c r="PPH24" s="19"/>
      <c r="PPI24" s="19"/>
      <c r="PPJ24" s="19"/>
      <c r="PPK24" s="19"/>
      <c r="PPL24" s="19"/>
      <c r="PPM24" s="19"/>
      <c r="PPN24" s="19"/>
      <c r="PPO24" s="19"/>
      <c r="PPP24" s="19"/>
      <c r="PPQ24" s="19"/>
      <c r="PPR24" s="19"/>
      <c r="PPS24" s="19"/>
      <c r="PPT24" s="19"/>
      <c r="PPU24" s="19"/>
      <c r="PPV24" s="19"/>
      <c r="PPW24" s="19"/>
      <c r="PPX24" s="19"/>
      <c r="PPY24" s="19"/>
      <c r="PPZ24" s="19"/>
      <c r="PQA24" s="19"/>
      <c r="PQB24" s="19"/>
      <c r="PQC24" s="19"/>
      <c r="PQD24" s="19"/>
      <c r="PQE24" s="19"/>
      <c r="PQF24" s="19"/>
      <c r="PQG24" s="19"/>
      <c r="PQH24" s="19"/>
      <c r="PQI24" s="19"/>
      <c r="PQJ24" s="19"/>
      <c r="PQK24" s="19"/>
      <c r="PQL24" s="19"/>
      <c r="PQM24" s="19"/>
      <c r="PQN24" s="19"/>
      <c r="PQO24" s="19"/>
      <c r="PQP24" s="19"/>
      <c r="PQQ24" s="19"/>
      <c r="PQR24" s="19"/>
      <c r="PQS24" s="19"/>
      <c r="PQT24" s="19"/>
      <c r="PQU24" s="19"/>
      <c r="PQV24" s="19"/>
      <c r="PQW24" s="19"/>
      <c r="PQX24" s="19"/>
      <c r="PQY24" s="19"/>
      <c r="PQZ24" s="19"/>
      <c r="PRA24" s="19"/>
      <c r="PRB24" s="19"/>
      <c r="PRC24" s="19"/>
      <c r="PRD24" s="19"/>
      <c r="PRE24" s="19"/>
      <c r="PRF24" s="19"/>
      <c r="PRG24" s="19"/>
      <c r="PRH24" s="19"/>
      <c r="PRI24" s="19"/>
      <c r="PRJ24" s="19"/>
      <c r="PRK24" s="19"/>
      <c r="PRL24" s="19"/>
      <c r="PRM24" s="19"/>
      <c r="PRN24" s="19"/>
      <c r="PRO24" s="19"/>
      <c r="PRP24" s="19"/>
      <c r="PRQ24" s="19"/>
      <c r="PRR24" s="19"/>
      <c r="PRS24" s="19"/>
      <c r="PRT24" s="19"/>
      <c r="PRU24" s="19"/>
      <c r="PRV24" s="19"/>
      <c r="PRW24" s="19"/>
      <c r="PRX24" s="19"/>
      <c r="PRY24" s="19"/>
      <c r="PRZ24" s="19"/>
      <c r="PSA24" s="19"/>
      <c r="PSB24" s="19"/>
      <c r="PSC24" s="19"/>
      <c r="PSD24" s="19"/>
      <c r="PSE24" s="19"/>
      <c r="PSF24" s="19"/>
      <c r="PSG24" s="19"/>
      <c r="PSH24" s="19"/>
      <c r="PSI24" s="19"/>
      <c r="PSJ24" s="19"/>
      <c r="PSK24" s="19"/>
      <c r="PSL24" s="19"/>
      <c r="PSM24" s="19"/>
      <c r="PSN24" s="19"/>
      <c r="PSO24" s="19"/>
      <c r="PSP24" s="19"/>
      <c r="PSQ24" s="19"/>
      <c r="PSR24" s="19"/>
      <c r="PSS24" s="19"/>
      <c r="PST24" s="19"/>
      <c r="PSU24" s="19"/>
      <c r="PSV24" s="19"/>
      <c r="PSW24" s="19"/>
      <c r="PSX24" s="19"/>
      <c r="PSY24" s="19"/>
      <c r="PSZ24" s="19"/>
      <c r="PTA24" s="19"/>
      <c r="PTB24" s="19"/>
      <c r="PTC24" s="19"/>
      <c r="PTD24" s="19"/>
      <c r="PTE24" s="19"/>
      <c r="PTF24" s="19"/>
      <c r="PTG24" s="19"/>
      <c r="PTH24" s="19"/>
      <c r="PTI24" s="19"/>
      <c r="PTJ24" s="19"/>
      <c r="PTK24" s="19"/>
      <c r="PTL24" s="19"/>
      <c r="PTM24" s="19"/>
      <c r="PTN24" s="19"/>
      <c r="PTO24" s="19"/>
      <c r="PTP24" s="19"/>
      <c r="PTQ24" s="19"/>
      <c r="PTR24" s="19"/>
      <c r="PTS24" s="19"/>
      <c r="PTT24" s="19"/>
      <c r="PTU24" s="19"/>
      <c r="PTV24" s="19"/>
      <c r="PTW24" s="19"/>
      <c r="PTX24" s="19"/>
      <c r="PTY24" s="19"/>
      <c r="PTZ24" s="19"/>
      <c r="PUA24" s="19"/>
      <c r="PUB24" s="19"/>
      <c r="PUC24" s="19"/>
      <c r="PUD24" s="19"/>
      <c r="PUE24" s="19"/>
      <c r="PUF24" s="19"/>
      <c r="PUG24" s="19"/>
      <c r="PUH24" s="19"/>
      <c r="PUI24" s="19"/>
      <c r="PUJ24" s="19"/>
      <c r="PUK24" s="19"/>
      <c r="PUL24" s="19"/>
      <c r="PUM24" s="19"/>
      <c r="PUN24" s="19"/>
      <c r="PUO24" s="19"/>
      <c r="PUP24" s="19"/>
      <c r="PUQ24" s="19"/>
      <c r="PUR24" s="19"/>
      <c r="PUS24" s="19"/>
      <c r="PUT24" s="19"/>
      <c r="PUU24" s="19"/>
      <c r="PUV24" s="19"/>
      <c r="PUW24" s="19"/>
      <c r="PUX24" s="19"/>
      <c r="PUY24" s="19"/>
      <c r="PUZ24" s="19"/>
      <c r="PVA24" s="19"/>
      <c r="PVB24" s="19"/>
      <c r="PVC24" s="19"/>
      <c r="PVD24" s="19"/>
      <c r="PVE24" s="19"/>
      <c r="PVF24" s="19"/>
      <c r="PVG24" s="19"/>
      <c r="PVH24" s="19"/>
      <c r="PVI24" s="19"/>
      <c r="PVJ24" s="19"/>
      <c r="PVK24" s="19"/>
      <c r="PVL24" s="19"/>
      <c r="PVM24" s="19"/>
      <c r="PVN24" s="19"/>
      <c r="PVO24" s="19"/>
      <c r="PVP24" s="19"/>
      <c r="PVQ24" s="19"/>
      <c r="PVR24" s="19"/>
      <c r="PVS24" s="19"/>
      <c r="PVT24" s="19"/>
      <c r="PVU24" s="19"/>
      <c r="PVV24" s="19"/>
      <c r="PVW24" s="19"/>
      <c r="PVX24" s="19"/>
      <c r="PVY24" s="19"/>
      <c r="PVZ24" s="19"/>
      <c r="PWA24" s="19"/>
      <c r="PWB24" s="19"/>
      <c r="PWC24" s="19"/>
      <c r="PWD24" s="19"/>
      <c r="PWE24" s="19"/>
      <c r="PWF24" s="19"/>
      <c r="PWG24" s="19"/>
      <c r="PWH24" s="19"/>
      <c r="PWI24" s="19"/>
      <c r="PWJ24" s="19"/>
      <c r="PWK24" s="19"/>
      <c r="PWL24" s="19"/>
      <c r="PWM24" s="19"/>
      <c r="PWN24" s="19"/>
      <c r="PWO24" s="19"/>
      <c r="PWP24" s="19"/>
      <c r="PWQ24" s="19"/>
      <c r="PWR24" s="19"/>
      <c r="PWS24" s="19"/>
      <c r="PWT24" s="19"/>
      <c r="PWU24" s="19"/>
      <c r="PWV24" s="19"/>
      <c r="PWW24" s="19"/>
      <c r="PWX24" s="19"/>
      <c r="PWY24" s="19"/>
      <c r="PWZ24" s="19"/>
      <c r="PXA24" s="19"/>
      <c r="PXB24" s="19"/>
      <c r="PXC24" s="19"/>
      <c r="PXD24" s="19"/>
      <c r="PXE24" s="19"/>
      <c r="PXF24" s="19"/>
      <c r="PXG24" s="19"/>
      <c r="PXH24" s="19"/>
      <c r="PXI24" s="19"/>
      <c r="PXJ24" s="19"/>
      <c r="PXK24" s="19"/>
      <c r="PXL24" s="19"/>
      <c r="PXM24" s="19"/>
      <c r="PXN24" s="19"/>
      <c r="PXO24" s="19"/>
      <c r="PXP24" s="19"/>
      <c r="PXQ24" s="19"/>
      <c r="PXR24" s="19"/>
      <c r="PXS24" s="19"/>
      <c r="PXT24" s="19"/>
      <c r="PXU24" s="19"/>
      <c r="PXV24" s="19"/>
      <c r="PXW24" s="19"/>
      <c r="PXX24" s="19"/>
      <c r="PXY24" s="19"/>
      <c r="PXZ24" s="19"/>
      <c r="PYA24" s="19"/>
      <c r="PYB24" s="19"/>
      <c r="PYC24" s="19"/>
      <c r="PYD24" s="19"/>
      <c r="PYE24" s="19"/>
      <c r="PYF24" s="19"/>
      <c r="PYG24" s="19"/>
      <c r="PYH24" s="19"/>
      <c r="PYI24" s="19"/>
      <c r="PYJ24" s="19"/>
      <c r="PYK24" s="19"/>
      <c r="PYL24" s="19"/>
      <c r="PYM24" s="19"/>
      <c r="PYN24" s="19"/>
      <c r="PYO24" s="19"/>
      <c r="PYP24" s="19"/>
      <c r="PYQ24" s="19"/>
      <c r="PYR24" s="19"/>
      <c r="PYS24" s="19"/>
      <c r="PYT24" s="19"/>
      <c r="PYU24" s="19"/>
      <c r="PYV24" s="19"/>
      <c r="PYW24" s="19"/>
      <c r="PYX24" s="19"/>
      <c r="PYY24" s="19"/>
      <c r="PYZ24" s="19"/>
      <c r="PZA24" s="19"/>
      <c r="PZB24" s="19"/>
      <c r="PZC24" s="19"/>
      <c r="PZD24" s="19"/>
      <c r="PZE24" s="19"/>
      <c r="PZF24" s="19"/>
      <c r="PZG24" s="19"/>
      <c r="PZH24" s="19"/>
      <c r="PZI24" s="19"/>
      <c r="PZJ24" s="19"/>
      <c r="PZK24" s="19"/>
      <c r="PZL24" s="19"/>
      <c r="PZM24" s="19"/>
      <c r="PZN24" s="19"/>
      <c r="PZO24" s="19"/>
      <c r="PZP24" s="19"/>
      <c r="PZQ24" s="19"/>
      <c r="PZR24" s="19"/>
      <c r="PZS24" s="19"/>
      <c r="PZT24" s="19"/>
      <c r="PZU24" s="19"/>
      <c r="PZV24" s="19"/>
      <c r="PZW24" s="19"/>
      <c r="PZX24" s="19"/>
      <c r="PZY24" s="19"/>
      <c r="PZZ24" s="19"/>
      <c r="QAA24" s="19"/>
      <c r="QAB24" s="19"/>
      <c r="QAC24" s="19"/>
      <c r="QAD24" s="19"/>
      <c r="QAE24" s="19"/>
      <c r="QAF24" s="19"/>
      <c r="QAG24" s="19"/>
      <c r="QAH24" s="19"/>
      <c r="QAI24" s="19"/>
      <c r="QAJ24" s="19"/>
      <c r="QAK24" s="19"/>
      <c r="QAL24" s="19"/>
      <c r="QAM24" s="19"/>
      <c r="QAN24" s="19"/>
      <c r="QAO24" s="19"/>
      <c r="QAP24" s="19"/>
      <c r="QAQ24" s="19"/>
      <c r="QAR24" s="19"/>
      <c r="QAS24" s="19"/>
      <c r="QAT24" s="19"/>
      <c r="QAU24" s="19"/>
      <c r="QAV24" s="19"/>
      <c r="QAW24" s="19"/>
      <c r="QAX24" s="19"/>
      <c r="QAY24" s="19"/>
      <c r="QAZ24" s="19"/>
      <c r="QBA24" s="19"/>
      <c r="QBB24" s="19"/>
      <c r="QBC24" s="19"/>
      <c r="QBD24" s="19"/>
      <c r="QBE24" s="19"/>
      <c r="QBF24" s="19"/>
      <c r="QBG24" s="19"/>
      <c r="QBH24" s="19"/>
      <c r="QBI24" s="19"/>
      <c r="QBJ24" s="19"/>
      <c r="QBK24" s="19"/>
      <c r="QBL24" s="19"/>
      <c r="QBM24" s="19"/>
      <c r="QBN24" s="19"/>
      <c r="QBO24" s="19"/>
      <c r="QBP24" s="19"/>
      <c r="QBQ24" s="19"/>
      <c r="QBR24" s="19"/>
      <c r="QBS24" s="19"/>
      <c r="QBT24" s="19"/>
      <c r="QBU24" s="19"/>
      <c r="QBV24" s="19"/>
      <c r="QBW24" s="19"/>
      <c r="QBX24" s="19"/>
      <c r="QBY24" s="19"/>
      <c r="QBZ24" s="19"/>
      <c r="QCA24" s="19"/>
      <c r="QCB24" s="19"/>
      <c r="QCC24" s="19"/>
      <c r="QCD24" s="19"/>
      <c r="QCE24" s="19"/>
      <c r="QCF24" s="19"/>
      <c r="QCG24" s="19"/>
      <c r="QCH24" s="19"/>
      <c r="QCI24" s="19"/>
      <c r="QCJ24" s="19"/>
      <c r="QCK24" s="19"/>
      <c r="QCL24" s="19"/>
      <c r="QCM24" s="19"/>
      <c r="QCN24" s="19"/>
      <c r="QCO24" s="19"/>
      <c r="QCP24" s="19"/>
      <c r="QCQ24" s="19"/>
      <c r="QCR24" s="19"/>
      <c r="QCS24" s="19"/>
      <c r="QCT24" s="19"/>
      <c r="QCU24" s="19"/>
      <c r="QCV24" s="19"/>
      <c r="QCW24" s="19"/>
      <c r="QCX24" s="19"/>
      <c r="QCY24" s="19"/>
      <c r="QCZ24" s="19"/>
      <c r="QDA24" s="19"/>
      <c r="QDB24" s="19"/>
      <c r="QDC24" s="19"/>
      <c r="QDD24" s="19"/>
      <c r="QDE24" s="19"/>
      <c r="QDF24" s="19"/>
      <c r="QDG24" s="19"/>
      <c r="QDH24" s="19"/>
      <c r="QDI24" s="19"/>
      <c r="QDJ24" s="19"/>
      <c r="QDK24" s="19"/>
      <c r="QDL24" s="19"/>
      <c r="QDM24" s="19"/>
      <c r="QDN24" s="19"/>
      <c r="QDO24" s="19"/>
      <c r="QDP24" s="19"/>
      <c r="QDQ24" s="19"/>
      <c r="QDR24" s="19"/>
      <c r="QDS24" s="19"/>
      <c r="QDT24" s="19"/>
      <c r="QDU24" s="19"/>
      <c r="QDV24" s="19"/>
      <c r="QDW24" s="19"/>
      <c r="QDX24" s="19"/>
      <c r="QDY24" s="19"/>
      <c r="QDZ24" s="19"/>
      <c r="QEA24" s="19"/>
      <c r="QEB24" s="19"/>
      <c r="QEC24" s="19"/>
      <c r="QED24" s="19"/>
      <c r="QEE24" s="19"/>
      <c r="QEF24" s="19"/>
      <c r="QEG24" s="19"/>
      <c r="QEH24" s="19"/>
      <c r="QEI24" s="19"/>
      <c r="QEJ24" s="19"/>
      <c r="QEK24" s="19"/>
      <c r="QEL24" s="19"/>
      <c r="QEM24" s="19"/>
      <c r="QEN24" s="19"/>
      <c r="QEO24" s="19"/>
      <c r="QEP24" s="19"/>
      <c r="QEQ24" s="19"/>
      <c r="QER24" s="19"/>
      <c r="QES24" s="19"/>
      <c r="QET24" s="19"/>
      <c r="QEU24" s="19"/>
      <c r="QEV24" s="19"/>
      <c r="QEW24" s="19"/>
      <c r="QEX24" s="19"/>
      <c r="QEY24" s="19"/>
      <c r="QEZ24" s="19"/>
      <c r="QFA24" s="19"/>
      <c r="QFB24" s="19"/>
      <c r="QFC24" s="19"/>
      <c r="QFD24" s="19"/>
      <c r="QFE24" s="19"/>
      <c r="QFF24" s="19"/>
      <c r="QFG24" s="19"/>
      <c r="QFH24" s="19"/>
      <c r="QFI24" s="19"/>
      <c r="QFJ24" s="19"/>
      <c r="QFK24" s="19"/>
      <c r="QFL24" s="19"/>
      <c r="QFM24" s="19"/>
      <c r="QFN24" s="19"/>
      <c r="QFO24" s="19"/>
      <c r="QFP24" s="19"/>
      <c r="QFQ24" s="19"/>
      <c r="QFR24" s="19"/>
      <c r="QFS24" s="19"/>
      <c r="QFT24" s="19"/>
      <c r="QFU24" s="19"/>
      <c r="QFV24" s="19"/>
      <c r="QFW24" s="19"/>
      <c r="QFX24" s="19"/>
      <c r="QFY24" s="19"/>
      <c r="QFZ24" s="19"/>
      <c r="QGA24" s="19"/>
      <c r="QGB24" s="19"/>
      <c r="QGC24" s="19"/>
      <c r="QGD24" s="19"/>
      <c r="QGE24" s="19"/>
      <c r="QGF24" s="19"/>
      <c r="QGG24" s="19"/>
      <c r="QGH24" s="19"/>
      <c r="QGI24" s="19"/>
      <c r="QGJ24" s="19"/>
      <c r="QGK24" s="19"/>
      <c r="QGL24" s="19"/>
      <c r="QGM24" s="19"/>
      <c r="QGN24" s="19"/>
      <c r="QGO24" s="19"/>
      <c r="QGP24" s="19"/>
      <c r="QGQ24" s="19"/>
      <c r="QGR24" s="19"/>
      <c r="QGS24" s="19"/>
      <c r="QGT24" s="19"/>
      <c r="QGU24" s="19"/>
      <c r="QGV24" s="19"/>
      <c r="QGW24" s="19"/>
      <c r="QGX24" s="19"/>
      <c r="QGY24" s="19"/>
      <c r="QGZ24" s="19"/>
      <c r="QHA24" s="19"/>
      <c r="QHB24" s="19"/>
      <c r="QHC24" s="19"/>
      <c r="QHD24" s="19"/>
      <c r="QHE24" s="19"/>
      <c r="QHF24" s="19"/>
      <c r="QHG24" s="19"/>
      <c r="QHH24" s="19"/>
      <c r="QHI24" s="19"/>
      <c r="QHJ24" s="19"/>
      <c r="QHK24" s="19"/>
      <c r="QHL24" s="19"/>
      <c r="QHM24" s="19"/>
      <c r="QHN24" s="19"/>
      <c r="QHO24" s="19"/>
      <c r="QHP24" s="19"/>
      <c r="QHQ24" s="19"/>
      <c r="QHR24" s="19"/>
      <c r="QHS24" s="19"/>
      <c r="QHT24" s="19"/>
      <c r="QHU24" s="19"/>
      <c r="QHV24" s="19"/>
      <c r="QHW24" s="19"/>
      <c r="QHX24" s="19"/>
      <c r="QHY24" s="19"/>
      <c r="QHZ24" s="19"/>
      <c r="QIA24" s="19"/>
      <c r="QIB24" s="19"/>
      <c r="QIC24" s="19"/>
      <c r="QID24" s="19"/>
      <c r="QIE24" s="19"/>
      <c r="QIF24" s="19"/>
      <c r="QIG24" s="19"/>
      <c r="QIH24" s="19"/>
      <c r="QII24" s="19"/>
      <c r="QIJ24" s="19"/>
      <c r="QIK24" s="19"/>
      <c r="QIL24" s="19"/>
      <c r="QIM24" s="19"/>
      <c r="QIN24" s="19"/>
      <c r="QIO24" s="19"/>
      <c r="QIP24" s="19"/>
      <c r="QIQ24" s="19"/>
      <c r="QIR24" s="19"/>
      <c r="QIS24" s="19"/>
      <c r="QIT24" s="19"/>
      <c r="QIU24" s="19"/>
      <c r="QIV24" s="19"/>
      <c r="QIW24" s="19"/>
      <c r="QIX24" s="19"/>
      <c r="QIY24" s="19"/>
      <c r="QIZ24" s="19"/>
      <c r="QJA24" s="19"/>
      <c r="QJB24" s="19"/>
      <c r="QJC24" s="19"/>
      <c r="QJD24" s="19"/>
      <c r="QJE24" s="19"/>
      <c r="QJF24" s="19"/>
      <c r="QJG24" s="19"/>
      <c r="QJH24" s="19"/>
      <c r="QJI24" s="19"/>
      <c r="QJJ24" s="19"/>
      <c r="QJK24" s="19"/>
      <c r="QJL24" s="19"/>
      <c r="QJM24" s="19"/>
      <c r="QJN24" s="19"/>
      <c r="QJO24" s="19"/>
      <c r="QJP24" s="19"/>
      <c r="QJQ24" s="19"/>
      <c r="QJR24" s="19"/>
      <c r="QJS24" s="19"/>
      <c r="QJT24" s="19"/>
      <c r="QJU24" s="19"/>
      <c r="QJV24" s="19"/>
      <c r="QJW24" s="19"/>
      <c r="QJX24" s="19"/>
      <c r="QJY24" s="19"/>
      <c r="QJZ24" s="19"/>
      <c r="QKA24" s="19"/>
      <c r="QKB24" s="19"/>
      <c r="QKC24" s="19"/>
      <c r="QKD24" s="19"/>
      <c r="QKE24" s="19"/>
      <c r="QKF24" s="19"/>
      <c r="QKG24" s="19"/>
      <c r="QKH24" s="19"/>
      <c r="QKI24" s="19"/>
      <c r="QKJ24" s="19"/>
      <c r="QKK24" s="19"/>
      <c r="QKL24" s="19"/>
      <c r="QKM24" s="19"/>
      <c r="QKN24" s="19"/>
      <c r="QKO24" s="19"/>
      <c r="QKP24" s="19"/>
      <c r="QKQ24" s="19"/>
      <c r="QKR24" s="19"/>
      <c r="QKS24" s="19"/>
      <c r="QKT24" s="19"/>
      <c r="QKU24" s="19"/>
      <c r="QKV24" s="19"/>
      <c r="QKW24" s="19"/>
      <c r="QKX24" s="19"/>
      <c r="QKY24" s="19"/>
      <c r="QKZ24" s="19"/>
      <c r="QLA24" s="19"/>
      <c r="QLB24" s="19"/>
      <c r="QLC24" s="19"/>
      <c r="QLD24" s="19"/>
      <c r="QLE24" s="19"/>
      <c r="QLF24" s="19"/>
      <c r="QLG24" s="19"/>
      <c r="QLH24" s="19"/>
      <c r="QLI24" s="19"/>
      <c r="QLJ24" s="19"/>
      <c r="QLK24" s="19"/>
      <c r="QLL24" s="19"/>
      <c r="QLM24" s="19"/>
      <c r="QLN24" s="19"/>
      <c r="QLO24" s="19"/>
      <c r="QLP24" s="19"/>
      <c r="QLQ24" s="19"/>
      <c r="QLR24" s="19"/>
      <c r="QLS24" s="19"/>
      <c r="QLT24" s="19"/>
      <c r="QLU24" s="19"/>
      <c r="QLV24" s="19"/>
      <c r="QLW24" s="19"/>
      <c r="QLX24" s="19"/>
      <c r="QLY24" s="19"/>
      <c r="QLZ24" s="19"/>
      <c r="QMA24" s="19"/>
      <c r="QMB24" s="19"/>
      <c r="QMC24" s="19"/>
      <c r="QMD24" s="19"/>
      <c r="QME24" s="19"/>
      <c r="QMF24" s="19"/>
      <c r="QMG24" s="19"/>
      <c r="QMH24" s="19"/>
      <c r="QMI24" s="19"/>
      <c r="QMJ24" s="19"/>
      <c r="QMK24" s="19"/>
      <c r="QML24" s="19"/>
      <c r="QMM24" s="19"/>
      <c r="QMN24" s="19"/>
      <c r="QMO24" s="19"/>
      <c r="QMP24" s="19"/>
      <c r="QMQ24" s="19"/>
      <c r="QMR24" s="19"/>
      <c r="QMS24" s="19"/>
      <c r="QMT24" s="19"/>
      <c r="QMU24" s="19"/>
      <c r="QMV24" s="19"/>
      <c r="QMW24" s="19"/>
      <c r="QMX24" s="19"/>
      <c r="QMY24" s="19"/>
      <c r="QMZ24" s="19"/>
      <c r="QNA24" s="19"/>
      <c r="QNB24" s="19"/>
      <c r="QNC24" s="19"/>
      <c r="QND24" s="19"/>
      <c r="QNE24" s="19"/>
      <c r="QNF24" s="19"/>
      <c r="QNG24" s="19"/>
      <c r="QNH24" s="19"/>
      <c r="QNI24" s="19"/>
      <c r="QNJ24" s="19"/>
      <c r="QNK24" s="19"/>
      <c r="QNL24" s="19"/>
      <c r="QNM24" s="19"/>
      <c r="QNN24" s="19"/>
      <c r="QNO24" s="19"/>
      <c r="QNP24" s="19"/>
      <c r="QNQ24" s="19"/>
      <c r="QNR24" s="19"/>
      <c r="QNS24" s="19"/>
      <c r="QNT24" s="19"/>
      <c r="QNU24" s="19"/>
      <c r="QNV24" s="19"/>
      <c r="QNW24" s="19"/>
      <c r="QNX24" s="19"/>
      <c r="QNY24" s="19"/>
      <c r="QNZ24" s="19"/>
      <c r="QOA24" s="19"/>
      <c r="QOB24" s="19"/>
      <c r="QOC24" s="19"/>
      <c r="QOD24" s="19"/>
      <c r="QOE24" s="19"/>
      <c r="QOF24" s="19"/>
      <c r="QOG24" s="19"/>
      <c r="QOH24" s="19"/>
      <c r="QOI24" s="19"/>
      <c r="QOJ24" s="19"/>
      <c r="QOK24" s="19"/>
      <c r="QOL24" s="19"/>
      <c r="QOM24" s="19"/>
      <c r="QON24" s="19"/>
      <c r="QOO24" s="19"/>
      <c r="QOP24" s="19"/>
      <c r="QOQ24" s="19"/>
      <c r="QOR24" s="19"/>
      <c r="QOS24" s="19"/>
      <c r="QOT24" s="19"/>
      <c r="QOU24" s="19"/>
      <c r="QOV24" s="19"/>
      <c r="QOW24" s="19"/>
      <c r="QOX24" s="19"/>
      <c r="QOY24" s="19"/>
      <c r="QOZ24" s="19"/>
      <c r="QPA24" s="19"/>
      <c r="QPB24" s="19"/>
      <c r="QPC24" s="19"/>
      <c r="QPD24" s="19"/>
      <c r="QPE24" s="19"/>
      <c r="QPF24" s="19"/>
      <c r="QPG24" s="19"/>
      <c r="QPH24" s="19"/>
      <c r="QPI24" s="19"/>
      <c r="QPJ24" s="19"/>
      <c r="QPK24" s="19"/>
      <c r="QPL24" s="19"/>
      <c r="QPM24" s="19"/>
      <c r="QPN24" s="19"/>
      <c r="QPO24" s="19"/>
      <c r="QPP24" s="19"/>
      <c r="QPQ24" s="19"/>
      <c r="QPR24" s="19"/>
      <c r="QPS24" s="19"/>
      <c r="QPT24" s="19"/>
      <c r="QPU24" s="19"/>
      <c r="QPV24" s="19"/>
      <c r="QPW24" s="19"/>
      <c r="QPX24" s="19"/>
      <c r="QPY24" s="19"/>
      <c r="QPZ24" s="19"/>
      <c r="QQA24" s="19"/>
      <c r="QQB24" s="19"/>
      <c r="QQC24" s="19"/>
      <c r="QQD24" s="19"/>
      <c r="QQE24" s="19"/>
      <c r="QQF24" s="19"/>
      <c r="QQG24" s="19"/>
      <c r="QQH24" s="19"/>
      <c r="QQI24" s="19"/>
      <c r="QQJ24" s="19"/>
      <c r="QQK24" s="19"/>
      <c r="QQL24" s="19"/>
      <c r="QQM24" s="19"/>
      <c r="QQN24" s="19"/>
      <c r="QQO24" s="19"/>
      <c r="QQP24" s="19"/>
      <c r="QQQ24" s="19"/>
      <c r="QQR24" s="19"/>
      <c r="QQS24" s="19"/>
      <c r="QQT24" s="19"/>
      <c r="QQU24" s="19"/>
      <c r="QQV24" s="19"/>
      <c r="QQW24" s="19"/>
      <c r="QQX24" s="19"/>
      <c r="QQY24" s="19"/>
      <c r="QQZ24" s="19"/>
      <c r="QRA24" s="19"/>
      <c r="QRB24" s="19"/>
      <c r="QRC24" s="19"/>
      <c r="QRD24" s="19"/>
      <c r="QRE24" s="19"/>
      <c r="QRF24" s="19"/>
      <c r="QRG24" s="19"/>
      <c r="QRH24" s="19"/>
      <c r="QRI24" s="19"/>
      <c r="QRJ24" s="19"/>
      <c r="QRK24" s="19"/>
      <c r="QRL24" s="19"/>
      <c r="QRM24" s="19"/>
      <c r="QRN24" s="19"/>
      <c r="QRO24" s="19"/>
      <c r="QRP24" s="19"/>
      <c r="QRQ24" s="19"/>
      <c r="QRR24" s="19"/>
      <c r="QRS24" s="19"/>
      <c r="QRT24" s="19"/>
      <c r="QRU24" s="19"/>
      <c r="QRV24" s="19"/>
      <c r="QRW24" s="19"/>
      <c r="QRX24" s="19"/>
      <c r="QRY24" s="19"/>
      <c r="QRZ24" s="19"/>
      <c r="QSA24" s="19"/>
      <c r="QSB24" s="19"/>
      <c r="QSC24" s="19"/>
      <c r="QSD24" s="19"/>
      <c r="QSE24" s="19"/>
      <c r="QSF24" s="19"/>
      <c r="QSG24" s="19"/>
      <c r="QSH24" s="19"/>
      <c r="QSI24" s="19"/>
      <c r="QSJ24" s="19"/>
      <c r="QSK24" s="19"/>
      <c r="QSL24" s="19"/>
      <c r="QSM24" s="19"/>
      <c r="QSN24" s="19"/>
      <c r="QSO24" s="19"/>
      <c r="QSP24" s="19"/>
      <c r="QSQ24" s="19"/>
      <c r="QSR24" s="19"/>
      <c r="QSS24" s="19"/>
      <c r="QST24" s="19"/>
      <c r="QSU24" s="19"/>
      <c r="QSV24" s="19"/>
      <c r="QSW24" s="19"/>
      <c r="QSX24" s="19"/>
      <c r="QSY24" s="19"/>
      <c r="QSZ24" s="19"/>
      <c r="QTA24" s="19"/>
      <c r="QTB24" s="19"/>
      <c r="QTC24" s="19"/>
      <c r="QTD24" s="19"/>
      <c r="QTE24" s="19"/>
      <c r="QTF24" s="19"/>
      <c r="QTG24" s="19"/>
      <c r="QTH24" s="19"/>
      <c r="QTI24" s="19"/>
      <c r="QTJ24" s="19"/>
      <c r="QTK24" s="19"/>
      <c r="QTL24" s="19"/>
      <c r="QTM24" s="19"/>
      <c r="QTN24" s="19"/>
      <c r="QTO24" s="19"/>
      <c r="QTP24" s="19"/>
      <c r="QTQ24" s="19"/>
      <c r="QTR24" s="19"/>
      <c r="QTS24" s="19"/>
      <c r="QTT24" s="19"/>
      <c r="QTU24" s="19"/>
      <c r="QTV24" s="19"/>
      <c r="QTW24" s="19"/>
      <c r="QTX24" s="19"/>
      <c r="QTY24" s="19"/>
      <c r="QTZ24" s="19"/>
      <c r="QUA24" s="19"/>
      <c r="QUB24" s="19"/>
      <c r="QUC24" s="19"/>
      <c r="QUD24" s="19"/>
      <c r="QUE24" s="19"/>
      <c r="QUF24" s="19"/>
      <c r="QUG24" s="19"/>
      <c r="QUH24" s="19"/>
      <c r="QUI24" s="19"/>
      <c r="QUJ24" s="19"/>
      <c r="QUK24" s="19"/>
      <c r="QUL24" s="19"/>
      <c r="QUM24" s="19"/>
      <c r="QUN24" s="19"/>
      <c r="QUO24" s="19"/>
      <c r="QUP24" s="19"/>
      <c r="QUQ24" s="19"/>
      <c r="QUR24" s="19"/>
      <c r="QUS24" s="19"/>
      <c r="QUT24" s="19"/>
      <c r="QUU24" s="19"/>
      <c r="QUV24" s="19"/>
      <c r="QUW24" s="19"/>
      <c r="QUX24" s="19"/>
      <c r="QUY24" s="19"/>
      <c r="QUZ24" s="19"/>
      <c r="QVA24" s="19"/>
      <c r="QVB24" s="19"/>
      <c r="QVC24" s="19"/>
      <c r="QVD24" s="19"/>
      <c r="QVE24" s="19"/>
      <c r="QVF24" s="19"/>
      <c r="QVG24" s="19"/>
      <c r="QVH24" s="19"/>
      <c r="QVI24" s="19"/>
      <c r="QVJ24" s="19"/>
      <c r="QVK24" s="19"/>
      <c r="QVL24" s="19"/>
      <c r="QVM24" s="19"/>
      <c r="QVN24" s="19"/>
      <c r="QVO24" s="19"/>
      <c r="QVP24" s="19"/>
      <c r="QVQ24" s="19"/>
      <c r="QVR24" s="19"/>
      <c r="QVS24" s="19"/>
      <c r="QVT24" s="19"/>
      <c r="QVU24" s="19"/>
      <c r="QVV24" s="19"/>
      <c r="QVW24" s="19"/>
      <c r="QVX24" s="19"/>
      <c r="QVY24" s="19"/>
      <c r="QVZ24" s="19"/>
      <c r="QWA24" s="19"/>
      <c r="QWB24" s="19"/>
      <c r="QWC24" s="19"/>
      <c r="QWD24" s="19"/>
      <c r="QWE24" s="19"/>
      <c r="QWF24" s="19"/>
      <c r="QWG24" s="19"/>
      <c r="QWH24" s="19"/>
      <c r="QWI24" s="19"/>
      <c r="QWJ24" s="19"/>
      <c r="QWK24" s="19"/>
      <c r="QWL24" s="19"/>
      <c r="QWM24" s="19"/>
      <c r="QWN24" s="19"/>
      <c r="QWO24" s="19"/>
      <c r="QWP24" s="19"/>
      <c r="QWQ24" s="19"/>
      <c r="QWR24" s="19"/>
      <c r="QWS24" s="19"/>
      <c r="QWT24" s="19"/>
      <c r="QWU24" s="19"/>
      <c r="QWV24" s="19"/>
      <c r="QWW24" s="19"/>
      <c r="QWX24" s="19"/>
      <c r="QWY24" s="19"/>
      <c r="QWZ24" s="19"/>
      <c r="QXA24" s="19"/>
      <c r="QXB24" s="19"/>
      <c r="QXC24" s="19"/>
      <c r="QXD24" s="19"/>
      <c r="QXE24" s="19"/>
      <c r="QXF24" s="19"/>
      <c r="QXG24" s="19"/>
      <c r="QXH24" s="19"/>
      <c r="QXI24" s="19"/>
      <c r="QXJ24" s="19"/>
      <c r="QXK24" s="19"/>
      <c r="QXL24" s="19"/>
      <c r="QXM24" s="19"/>
      <c r="QXN24" s="19"/>
      <c r="QXO24" s="19"/>
      <c r="QXP24" s="19"/>
      <c r="QXQ24" s="19"/>
      <c r="QXR24" s="19"/>
      <c r="QXS24" s="19"/>
      <c r="QXT24" s="19"/>
      <c r="QXU24" s="19"/>
      <c r="QXV24" s="19"/>
      <c r="QXW24" s="19"/>
      <c r="QXX24" s="19"/>
      <c r="QXY24" s="19"/>
      <c r="QXZ24" s="19"/>
      <c r="QYA24" s="19"/>
      <c r="QYB24" s="19"/>
      <c r="QYC24" s="19"/>
      <c r="QYD24" s="19"/>
      <c r="QYE24" s="19"/>
      <c r="QYF24" s="19"/>
      <c r="QYG24" s="19"/>
      <c r="QYH24" s="19"/>
      <c r="QYI24" s="19"/>
      <c r="QYJ24" s="19"/>
      <c r="QYK24" s="19"/>
      <c r="QYL24" s="19"/>
      <c r="QYM24" s="19"/>
      <c r="QYN24" s="19"/>
      <c r="QYO24" s="19"/>
      <c r="QYP24" s="19"/>
      <c r="QYQ24" s="19"/>
      <c r="QYR24" s="19"/>
      <c r="QYS24" s="19"/>
      <c r="QYT24" s="19"/>
      <c r="QYU24" s="19"/>
      <c r="QYV24" s="19"/>
      <c r="QYW24" s="19"/>
      <c r="QYX24" s="19"/>
      <c r="QYY24" s="19"/>
      <c r="QYZ24" s="19"/>
      <c r="QZA24" s="19"/>
      <c r="QZB24" s="19"/>
      <c r="QZC24" s="19"/>
      <c r="QZD24" s="19"/>
      <c r="QZE24" s="19"/>
      <c r="QZF24" s="19"/>
      <c r="QZG24" s="19"/>
      <c r="QZH24" s="19"/>
      <c r="QZI24" s="19"/>
      <c r="QZJ24" s="19"/>
      <c r="QZK24" s="19"/>
      <c r="QZL24" s="19"/>
      <c r="QZM24" s="19"/>
      <c r="QZN24" s="19"/>
      <c r="QZO24" s="19"/>
      <c r="QZP24" s="19"/>
      <c r="QZQ24" s="19"/>
      <c r="QZR24" s="19"/>
      <c r="QZS24" s="19"/>
      <c r="QZT24" s="19"/>
      <c r="QZU24" s="19"/>
      <c r="QZV24" s="19"/>
      <c r="QZW24" s="19"/>
      <c r="QZX24" s="19"/>
      <c r="QZY24" s="19"/>
      <c r="QZZ24" s="19"/>
      <c r="RAA24" s="19"/>
      <c r="RAB24" s="19"/>
      <c r="RAC24" s="19"/>
      <c r="RAD24" s="19"/>
      <c r="RAE24" s="19"/>
      <c r="RAF24" s="19"/>
      <c r="RAG24" s="19"/>
      <c r="RAH24" s="19"/>
      <c r="RAI24" s="19"/>
      <c r="RAJ24" s="19"/>
      <c r="RAK24" s="19"/>
      <c r="RAL24" s="19"/>
      <c r="RAM24" s="19"/>
      <c r="RAN24" s="19"/>
      <c r="RAO24" s="19"/>
      <c r="RAP24" s="19"/>
      <c r="RAQ24" s="19"/>
      <c r="RAR24" s="19"/>
      <c r="RAS24" s="19"/>
      <c r="RAT24" s="19"/>
      <c r="RAU24" s="19"/>
      <c r="RAV24" s="19"/>
      <c r="RAW24" s="19"/>
      <c r="RAX24" s="19"/>
      <c r="RAY24" s="19"/>
      <c r="RAZ24" s="19"/>
      <c r="RBA24" s="19"/>
      <c r="RBB24" s="19"/>
      <c r="RBC24" s="19"/>
      <c r="RBD24" s="19"/>
      <c r="RBE24" s="19"/>
      <c r="RBF24" s="19"/>
      <c r="RBG24" s="19"/>
      <c r="RBH24" s="19"/>
      <c r="RBI24" s="19"/>
      <c r="RBJ24" s="19"/>
      <c r="RBK24" s="19"/>
      <c r="RBL24" s="19"/>
      <c r="RBM24" s="19"/>
      <c r="RBN24" s="19"/>
      <c r="RBO24" s="19"/>
      <c r="RBP24" s="19"/>
      <c r="RBQ24" s="19"/>
      <c r="RBR24" s="19"/>
      <c r="RBS24" s="19"/>
      <c r="RBT24" s="19"/>
      <c r="RBU24" s="19"/>
      <c r="RBV24" s="19"/>
      <c r="RBW24" s="19"/>
      <c r="RBX24" s="19"/>
      <c r="RBY24" s="19"/>
      <c r="RBZ24" s="19"/>
      <c r="RCA24" s="19"/>
      <c r="RCB24" s="19"/>
      <c r="RCC24" s="19"/>
      <c r="RCD24" s="19"/>
      <c r="RCE24" s="19"/>
      <c r="RCF24" s="19"/>
      <c r="RCG24" s="19"/>
      <c r="RCH24" s="19"/>
      <c r="RCI24" s="19"/>
      <c r="RCJ24" s="19"/>
      <c r="RCK24" s="19"/>
      <c r="RCL24" s="19"/>
      <c r="RCM24" s="19"/>
      <c r="RCN24" s="19"/>
      <c r="RCO24" s="19"/>
      <c r="RCP24" s="19"/>
      <c r="RCQ24" s="19"/>
      <c r="RCR24" s="19"/>
      <c r="RCS24" s="19"/>
      <c r="RCT24" s="19"/>
      <c r="RCU24" s="19"/>
      <c r="RCV24" s="19"/>
      <c r="RCW24" s="19"/>
      <c r="RCX24" s="19"/>
      <c r="RCY24" s="19"/>
      <c r="RCZ24" s="19"/>
      <c r="RDA24" s="19"/>
      <c r="RDB24" s="19"/>
      <c r="RDC24" s="19"/>
      <c r="RDD24" s="19"/>
      <c r="RDE24" s="19"/>
      <c r="RDF24" s="19"/>
      <c r="RDG24" s="19"/>
      <c r="RDH24" s="19"/>
      <c r="RDI24" s="19"/>
      <c r="RDJ24" s="19"/>
      <c r="RDK24" s="19"/>
      <c r="RDL24" s="19"/>
      <c r="RDM24" s="19"/>
      <c r="RDN24" s="19"/>
      <c r="RDO24" s="19"/>
      <c r="RDP24" s="19"/>
      <c r="RDQ24" s="19"/>
      <c r="RDR24" s="19"/>
      <c r="RDS24" s="19"/>
      <c r="RDT24" s="19"/>
      <c r="RDU24" s="19"/>
      <c r="RDV24" s="19"/>
      <c r="RDW24" s="19"/>
      <c r="RDX24" s="19"/>
      <c r="RDY24" s="19"/>
      <c r="RDZ24" s="19"/>
      <c r="REA24" s="19"/>
      <c r="REB24" s="19"/>
      <c r="REC24" s="19"/>
      <c r="RED24" s="19"/>
      <c r="REE24" s="19"/>
      <c r="REF24" s="19"/>
      <c r="REG24" s="19"/>
      <c r="REH24" s="19"/>
      <c r="REI24" s="19"/>
      <c r="REJ24" s="19"/>
      <c r="REK24" s="19"/>
      <c r="REL24" s="19"/>
      <c r="REM24" s="19"/>
      <c r="REN24" s="19"/>
      <c r="REO24" s="19"/>
      <c r="REP24" s="19"/>
      <c r="REQ24" s="19"/>
      <c r="RER24" s="19"/>
      <c r="RES24" s="19"/>
      <c r="RET24" s="19"/>
      <c r="REU24" s="19"/>
      <c r="REV24" s="19"/>
      <c r="REW24" s="19"/>
      <c r="REX24" s="19"/>
      <c r="REY24" s="19"/>
      <c r="REZ24" s="19"/>
      <c r="RFA24" s="19"/>
      <c r="RFB24" s="19"/>
      <c r="RFC24" s="19"/>
      <c r="RFD24" s="19"/>
      <c r="RFE24" s="19"/>
      <c r="RFF24" s="19"/>
      <c r="RFG24" s="19"/>
      <c r="RFH24" s="19"/>
      <c r="RFI24" s="19"/>
      <c r="RFJ24" s="19"/>
      <c r="RFK24" s="19"/>
      <c r="RFL24" s="19"/>
      <c r="RFM24" s="19"/>
      <c r="RFN24" s="19"/>
      <c r="RFO24" s="19"/>
      <c r="RFP24" s="19"/>
      <c r="RFQ24" s="19"/>
      <c r="RFR24" s="19"/>
      <c r="RFS24" s="19"/>
      <c r="RFT24" s="19"/>
      <c r="RFU24" s="19"/>
      <c r="RFV24" s="19"/>
      <c r="RFW24" s="19"/>
      <c r="RFX24" s="19"/>
      <c r="RFY24" s="19"/>
      <c r="RFZ24" s="19"/>
      <c r="RGA24" s="19"/>
      <c r="RGB24" s="19"/>
      <c r="RGC24" s="19"/>
      <c r="RGD24" s="19"/>
      <c r="RGE24" s="19"/>
      <c r="RGF24" s="19"/>
      <c r="RGG24" s="19"/>
      <c r="RGH24" s="19"/>
      <c r="RGI24" s="19"/>
      <c r="RGJ24" s="19"/>
      <c r="RGK24" s="19"/>
      <c r="RGL24" s="19"/>
      <c r="RGM24" s="19"/>
      <c r="RGN24" s="19"/>
      <c r="RGO24" s="19"/>
      <c r="RGP24" s="19"/>
      <c r="RGQ24" s="19"/>
      <c r="RGR24" s="19"/>
      <c r="RGS24" s="19"/>
      <c r="RGT24" s="19"/>
      <c r="RGU24" s="19"/>
      <c r="RGV24" s="19"/>
      <c r="RGW24" s="19"/>
      <c r="RGX24" s="19"/>
      <c r="RGY24" s="19"/>
      <c r="RGZ24" s="19"/>
      <c r="RHA24" s="19"/>
      <c r="RHB24" s="19"/>
      <c r="RHC24" s="19"/>
      <c r="RHD24" s="19"/>
      <c r="RHE24" s="19"/>
      <c r="RHF24" s="19"/>
      <c r="RHG24" s="19"/>
      <c r="RHH24" s="19"/>
      <c r="RHI24" s="19"/>
      <c r="RHJ24" s="19"/>
      <c r="RHK24" s="19"/>
      <c r="RHL24" s="19"/>
      <c r="RHM24" s="19"/>
      <c r="RHN24" s="19"/>
      <c r="RHO24" s="19"/>
      <c r="RHP24" s="19"/>
      <c r="RHQ24" s="19"/>
      <c r="RHR24" s="19"/>
      <c r="RHS24" s="19"/>
      <c r="RHT24" s="19"/>
      <c r="RHU24" s="19"/>
      <c r="RHV24" s="19"/>
      <c r="RHW24" s="19"/>
      <c r="RHX24" s="19"/>
      <c r="RHY24" s="19"/>
      <c r="RHZ24" s="19"/>
      <c r="RIA24" s="19"/>
      <c r="RIB24" s="19"/>
      <c r="RIC24" s="19"/>
      <c r="RID24" s="19"/>
      <c r="RIE24" s="19"/>
      <c r="RIF24" s="19"/>
      <c r="RIG24" s="19"/>
      <c r="RIH24" s="19"/>
      <c r="RII24" s="19"/>
      <c r="RIJ24" s="19"/>
      <c r="RIK24" s="19"/>
      <c r="RIL24" s="19"/>
      <c r="RIM24" s="19"/>
      <c r="RIN24" s="19"/>
      <c r="RIO24" s="19"/>
      <c r="RIP24" s="19"/>
      <c r="RIQ24" s="19"/>
      <c r="RIR24" s="19"/>
      <c r="RIS24" s="19"/>
      <c r="RIT24" s="19"/>
      <c r="RIU24" s="19"/>
      <c r="RIV24" s="19"/>
      <c r="RIW24" s="19"/>
      <c r="RIX24" s="19"/>
      <c r="RIY24" s="19"/>
      <c r="RIZ24" s="19"/>
      <c r="RJA24" s="19"/>
      <c r="RJB24" s="19"/>
      <c r="RJC24" s="19"/>
      <c r="RJD24" s="19"/>
      <c r="RJE24" s="19"/>
      <c r="RJF24" s="19"/>
      <c r="RJG24" s="19"/>
      <c r="RJH24" s="19"/>
      <c r="RJI24" s="19"/>
      <c r="RJJ24" s="19"/>
      <c r="RJK24" s="19"/>
      <c r="RJL24" s="19"/>
      <c r="RJM24" s="19"/>
      <c r="RJN24" s="19"/>
      <c r="RJO24" s="19"/>
      <c r="RJP24" s="19"/>
      <c r="RJQ24" s="19"/>
      <c r="RJR24" s="19"/>
      <c r="RJS24" s="19"/>
      <c r="RJT24" s="19"/>
      <c r="RJU24" s="19"/>
      <c r="RJV24" s="19"/>
      <c r="RJW24" s="19"/>
      <c r="RJX24" s="19"/>
      <c r="RJY24" s="19"/>
      <c r="RJZ24" s="19"/>
      <c r="RKA24" s="19"/>
      <c r="RKB24" s="19"/>
      <c r="RKC24" s="19"/>
      <c r="RKD24" s="19"/>
      <c r="RKE24" s="19"/>
      <c r="RKF24" s="19"/>
      <c r="RKG24" s="19"/>
      <c r="RKH24" s="19"/>
      <c r="RKI24" s="19"/>
      <c r="RKJ24" s="19"/>
      <c r="RKK24" s="19"/>
      <c r="RKL24" s="19"/>
      <c r="RKM24" s="19"/>
      <c r="RKN24" s="19"/>
      <c r="RKO24" s="19"/>
      <c r="RKP24" s="19"/>
      <c r="RKQ24" s="19"/>
      <c r="RKR24" s="19"/>
      <c r="RKS24" s="19"/>
      <c r="RKT24" s="19"/>
      <c r="RKU24" s="19"/>
      <c r="RKV24" s="19"/>
      <c r="RKW24" s="19"/>
      <c r="RKX24" s="19"/>
      <c r="RKY24" s="19"/>
      <c r="RKZ24" s="19"/>
      <c r="RLA24" s="19"/>
      <c r="RLB24" s="19"/>
      <c r="RLC24" s="19"/>
      <c r="RLD24" s="19"/>
      <c r="RLE24" s="19"/>
      <c r="RLF24" s="19"/>
      <c r="RLG24" s="19"/>
      <c r="RLH24" s="19"/>
      <c r="RLI24" s="19"/>
      <c r="RLJ24" s="19"/>
      <c r="RLK24" s="19"/>
      <c r="RLL24" s="19"/>
      <c r="RLM24" s="19"/>
      <c r="RLN24" s="19"/>
      <c r="RLO24" s="19"/>
      <c r="RLP24" s="19"/>
      <c r="RLQ24" s="19"/>
      <c r="RLR24" s="19"/>
      <c r="RLS24" s="19"/>
      <c r="RLT24" s="19"/>
      <c r="RLU24" s="19"/>
      <c r="RLV24" s="19"/>
      <c r="RLW24" s="19"/>
      <c r="RLX24" s="19"/>
      <c r="RLY24" s="19"/>
      <c r="RLZ24" s="19"/>
      <c r="RMA24" s="19"/>
      <c r="RMB24" s="19"/>
      <c r="RMC24" s="19"/>
      <c r="RMD24" s="19"/>
      <c r="RME24" s="19"/>
      <c r="RMF24" s="19"/>
      <c r="RMG24" s="19"/>
      <c r="RMH24" s="19"/>
      <c r="RMI24" s="19"/>
      <c r="RMJ24" s="19"/>
      <c r="RMK24" s="19"/>
      <c r="RML24" s="19"/>
      <c r="RMM24" s="19"/>
      <c r="RMN24" s="19"/>
      <c r="RMO24" s="19"/>
      <c r="RMP24" s="19"/>
      <c r="RMQ24" s="19"/>
      <c r="RMR24" s="19"/>
      <c r="RMS24" s="19"/>
      <c r="RMT24" s="19"/>
      <c r="RMU24" s="19"/>
      <c r="RMV24" s="19"/>
      <c r="RMW24" s="19"/>
      <c r="RMX24" s="19"/>
      <c r="RMY24" s="19"/>
      <c r="RMZ24" s="19"/>
      <c r="RNA24" s="19"/>
      <c r="RNB24" s="19"/>
      <c r="RNC24" s="19"/>
      <c r="RND24" s="19"/>
      <c r="RNE24" s="19"/>
      <c r="RNF24" s="19"/>
      <c r="RNG24" s="19"/>
      <c r="RNH24" s="19"/>
      <c r="RNI24" s="19"/>
      <c r="RNJ24" s="19"/>
      <c r="RNK24" s="19"/>
      <c r="RNL24" s="19"/>
      <c r="RNM24" s="19"/>
      <c r="RNN24" s="19"/>
      <c r="RNO24" s="19"/>
      <c r="RNP24" s="19"/>
      <c r="RNQ24" s="19"/>
      <c r="RNR24" s="19"/>
      <c r="RNS24" s="19"/>
      <c r="RNT24" s="19"/>
      <c r="RNU24" s="19"/>
      <c r="RNV24" s="19"/>
      <c r="RNW24" s="19"/>
      <c r="RNX24" s="19"/>
      <c r="RNY24" s="19"/>
      <c r="RNZ24" s="19"/>
      <c r="ROA24" s="19"/>
      <c r="ROB24" s="19"/>
      <c r="ROC24" s="19"/>
      <c r="ROD24" s="19"/>
      <c r="ROE24" s="19"/>
      <c r="ROF24" s="19"/>
      <c r="ROG24" s="19"/>
      <c r="ROH24" s="19"/>
      <c r="ROI24" s="19"/>
      <c r="ROJ24" s="19"/>
      <c r="ROK24" s="19"/>
      <c r="ROL24" s="19"/>
      <c r="ROM24" s="19"/>
      <c r="RON24" s="19"/>
      <c r="ROO24" s="19"/>
      <c r="ROP24" s="19"/>
      <c r="ROQ24" s="19"/>
      <c r="ROR24" s="19"/>
      <c r="ROS24" s="19"/>
      <c r="ROT24" s="19"/>
      <c r="ROU24" s="19"/>
      <c r="ROV24" s="19"/>
      <c r="ROW24" s="19"/>
      <c r="ROX24" s="19"/>
      <c r="ROY24" s="19"/>
      <c r="ROZ24" s="19"/>
      <c r="RPA24" s="19"/>
      <c r="RPB24" s="19"/>
      <c r="RPC24" s="19"/>
      <c r="RPD24" s="19"/>
      <c r="RPE24" s="19"/>
      <c r="RPF24" s="19"/>
      <c r="RPG24" s="19"/>
      <c r="RPH24" s="19"/>
      <c r="RPI24" s="19"/>
      <c r="RPJ24" s="19"/>
      <c r="RPK24" s="19"/>
      <c r="RPL24" s="19"/>
      <c r="RPM24" s="19"/>
      <c r="RPN24" s="19"/>
      <c r="RPO24" s="19"/>
      <c r="RPP24" s="19"/>
      <c r="RPQ24" s="19"/>
      <c r="RPR24" s="19"/>
      <c r="RPS24" s="19"/>
      <c r="RPT24" s="19"/>
      <c r="RPU24" s="19"/>
      <c r="RPV24" s="19"/>
      <c r="RPW24" s="19"/>
      <c r="RPX24" s="19"/>
      <c r="RPY24" s="19"/>
      <c r="RPZ24" s="19"/>
      <c r="RQA24" s="19"/>
      <c r="RQB24" s="19"/>
      <c r="RQC24" s="19"/>
      <c r="RQD24" s="19"/>
      <c r="RQE24" s="19"/>
      <c r="RQF24" s="19"/>
      <c r="RQG24" s="19"/>
      <c r="RQH24" s="19"/>
      <c r="RQI24" s="19"/>
      <c r="RQJ24" s="19"/>
      <c r="RQK24" s="19"/>
      <c r="RQL24" s="19"/>
      <c r="RQM24" s="19"/>
      <c r="RQN24" s="19"/>
      <c r="RQO24" s="19"/>
      <c r="RQP24" s="19"/>
      <c r="RQQ24" s="19"/>
      <c r="RQR24" s="19"/>
      <c r="RQS24" s="19"/>
      <c r="RQT24" s="19"/>
      <c r="RQU24" s="19"/>
      <c r="RQV24" s="19"/>
      <c r="RQW24" s="19"/>
      <c r="RQX24" s="19"/>
      <c r="RQY24" s="19"/>
      <c r="RQZ24" s="19"/>
      <c r="RRA24" s="19"/>
      <c r="RRB24" s="19"/>
      <c r="RRC24" s="19"/>
      <c r="RRD24" s="19"/>
      <c r="RRE24" s="19"/>
      <c r="RRF24" s="19"/>
      <c r="RRG24" s="19"/>
      <c r="RRH24" s="19"/>
      <c r="RRI24" s="19"/>
      <c r="RRJ24" s="19"/>
      <c r="RRK24" s="19"/>
      <c r="RRL24" s="19"/>
      <c r="RRM24" s="19"/>
      <c r="RRN24" s="19"/>
      <c r="RRO24" s="19"/>
      <c r="RRP24" s="19"/>
      <c r="RRQ24" s="19"/>
      <c r="RRR24" s="19"/>
      <c r="RRS24" s="19"/>
      <c r="RRT24" s="19"/>
      <c r="RRU24" s="19"/>
      <c r="RRV24" s="19"/>
      <c r="RRW24" s="19"/>
      <c r="RRX24" s="19"/>
      <c r="RRY24" s="19"/>
      <c r="RRZ24" s="19"/>
      <c r="RSA24" s="19"/>
      <c r="RSB24" s="19"/>
      <c r="RSC24" s="19"/>
      <c r="RSD24" s="19"/>
      <c r="RSE24" s="19"/>
      <c r="RSF24" s="19"/>
      <c r="RSG24" s="19"/>
      <c r="RSH24" s="19"/>
      <c r="RSI24" s="19"/>
      <c r="RSJ24" s="19"/>
      <c r="RSK24" s="19"/>
      <c r="RSL24" s="19"/>
      <c r="RSM24" s="19"/>
      <c r="RSN24" s="19"/>
      <c r="RSO24" s="19"/>
      <c r="RSP24" s="19"/>
      <c r="RSQ24" s="19"/>
      <c r="RSR24" s="19"/>
      <c r="RSS24" s="19"/>
      <c r="RST24" s="19"/>
      <c r="RSU24" s="19"/>
      <c r="RSV24" s="19"/>
      <c r="RSW24" s="19"/>
      <c r="RSX24" s="19"/>
      <c r="RSY24" s="19"/>
      <c r="RSZ24" s="19"/>
      <c r="RTA24" s="19"/>
      <c r="RTB24" s="19"/>
      <c r="RTC24" s="19"/>
      <c r="RTD24" s="19"/>
      <c r="RTE24" s="19"/>
      <c r="RTF24" s="19"/>
      <c r="RTG24" s="19"/>
      <c r="RTH24" s="19"/>
      <c r="RTI24" s="19"/>
      <c r="RTJ24" s="19"/>
      <c r="RTK24" s="19"/>
      <c r="RTL24" s="19"/>
      <c r="RTM24" s="19"/>
      <c r="RTN24" s="19"/>
      <c r="RTO24" s="19"/>
      <c r="RTP24" s="19"/>
      <c r="RTQ24" s="19"/>
      <c r="RTR24" s="19"/>
      <c r="RTS24" s="19"/>
      <c r="RTT24" s="19"/>
      <c r="RTU24" s="19"/>
      <c r="RTV24" s="19"/>
      <c r="RTW24" s="19"/>
      <c r="RTX24" s="19"/>
      <c r="RTY24" s="19"/>
      <c r="RTZ24" s="19"/>
      <c r="RUA24" s="19"/>
      <c r="RUB24" s="19"/>
      <c r="RUC24" s="19"/>
      <c r="RUD24" s="19"/>
      <c r="RUE24" s="19"/>
      <c r="RUF24" s="19"/>
      <c r="RUG24" s="19"/>
      <c r="RUH24" s="19"/>
      <c r="RUI24" s="19"/>
      <c r="RUJ24" s="19"/>
      <c r="RUK24" s="19"/>
      <c r="RUL24" s="19"/>
      <c r="RUM24" s="19"/>
      <c r="RUN24" s="19"/>
      <c r="RUO24" s="19"/>
      <c r="RUP24" s="19"/>
      <c r="RUQ24" s="19"/>
      <c r="RUR24" s="19"/>
      <c r="RUS24" s="19"/>
      <c r="RUT24" s="19"/>
      <c r="RUU24" s="19"/>
      <c r="RUV24" s="19"/>
      <c r="RUW24" s="19"/>
      <c r="RUX24" s="19"/>
      <c r="RUY24" s="19"/>
      <c r="RUZ24" s="19"/>
      <c r="RVA24" s="19"/>
      <c r="RVB24" s="19"/>
      <c r="RVC24" s="19"/>
      <c r="RVD24" s="19"/>
      <c r="RVE24" s="19"/>
      <c r="RVF24" s="19"/>
      <c r="RVG24" s="19"/>
      <c r="RVH24" s="19"/>
      <c r="RVI24" s="19"/>
      <c r="RVJ24" s="19"/>
      <c r="RVK24" s="19"/>
      <c r="RVL24" s="19"/>
      <c r="RVM24" s="19"/>
      <c r="RVN24" s="19"/>
      <c r="RVO24" s="19"/>
      <c r="RVP24" s="19"/>
      <c r="RVQ24" s="19"/>
      <c r="RVR24" s="19"/>
      <c r="RVS24" s="19"/>
      <c r="RVT24" s="19"/>
      <c r="RVU24" s="19"/>
      <c r="RVV24" s="19"/>
      <c r="RVW24" s="19"/>
      <c r="RVX24" s="19"/>
      <c r="RVY24" s="19"/>
      <c r="RVZ24" s="19"/>
      <c r="RWA24" s="19"/>
      <c r="RWB24" s="19"/>
      <c r="RWC24" s="19"/>
      <c r="RWD24" s="19"/>
      <c r="RWE24" s="19"/>
      <c r="RWF24" s="19"/>
      <c r="RWG24" s="19"/>
      <c r="RWH24" s="19"/>
      <c r="RWI24" s="19"/>
      <c r="RWJ24" s="19"/>
      <c r="RWK24" s="19"/>
      <c r="RWL24" s="19"/>
      <c r="RWM24" s="19"/>
      <c r="RWN24" s="19"/>
      <c r="RWO24" s="19"/>
      <c r="RWP24" s="19"/>
      <c r="RWQ24" s="19"/>
      <c r="RWR24" s="19"/>
      <c r="RWS24" s="19"/>
      <c r="RWT24" s="19"/>
      <c r="RWU24" s="19"/>
      <c r="RWV24" s="19"/>
      <c r="RWW24" s="19"/>
      <c r="RWX24" s="19"/>
      <c r="RWY24" s="19"/>
      <c r="RWZ24" s="19"/>
      <c r="RXA24" s="19"/>
      <c r="RXB24" s="19"/>
      <c r="RXC24" s="19"/>
      <c r="RXD24" s="19"/>
      <c r="RXE24" s="19"/>
      <c r="RXF24" s="19"/>
      <c r="RXG24" s="19"/>
      <c r="RXH24" s="19"/>
      <c r="RXI24" s="19"/>
      <c r="RXJ24" s="19"/>
      <c r="RXK24" s="19"/>
      <c r="RXL24" s="19"/>
      <c r="RXM24" s="19"/>
      <c r="RXN24" s="19"/>
      <c r="RXO24" s="19"/>
      <c r="RXP24" s="19"/>
      <c r="RXQ24" s="19"/>
      <c r="RXR24" s="19"/>
      <c r="RXS24" s="19"/>
      <c r="RXT24" s="19"/>
      <c r="RXU24" s="19"/>
      <c r="RXV24" s="19"/>
      <c r="RXW24" s="19"/>
      <c r="RXX24" s="19"/>
      <c r="RXY24" s="19"/>
      <c r="RXZ24" s="19"/>
      <c r="RYA24" s="19"/>
      <c r="RYB24" s="19"/>
      <c r="RYC24" s="19"/>
      <c r="RYD24" s="19"/>
      <c r="RYE24" s="19"/>
      <c r="RYF24" s="19"/>
      <c r="RYG24" s="19"/>
      <c r="RYH24" s="19"/>
      <c r="RYI24" s="19"/>
      <c r="RYJ24" s="19"/>
      <c r="RYK24" s="19"/>
      <c r="RYL24" s="19"/>
      <c r="RYM24" s="19"/>
      <c r="RYN24" s="19"/>
      <c r="RYO24" s="19"/>
      <c r="RYP24" s="19"/>
      <c r="RYQ24" s="19"/>
      <c r="RYR24" s="19"/>
      <c r="RYS24" s="19"/>
      <c r="RYT24" s="19"/>
      <c r="RYU24" s="19"/>
      <c r="RYV24" s="19"/>
      <c r="RYW24" s="19"/>
      <c r="RYX24" s="19"/>
      <c r="RYY24" s="19"/>
      <c r="RYZ24" s="19"/>
      <c r="RZA24" s="19"/>
      <c r="RZB24" s="19"/>
      <c r="RZC24" s="19"/>
      <c r="RZD24" s="19"/>
      <c r="RZE24" s="19"/>
      <c r="RZF24" s="19"/>
      <c r="RZG24" s="19"/>
      <c r="RZH24" s="19"/>
      <c r="RZI24" s="19"/>
      <c r="RZJ24" s="19"/>
      <c r="RZK24" s="19"/>
      <c r="RZL24" s="19"/>
      <c r="RZM24" s="19"/>
      <c r="RZN24" s="19"/>
      <c r="RZO24" s="19"/>
      <c r="RZP24" s="19"/>
      <c r="RZQ24" s="19"/>
      <c r="RZR24" s="19"/>
      <c r="RZS24" s="19"/>
      <c r="RZT24" s="19"/>
      <c r="RZU24" s="19"/>
      <c r="RZV24" s="19"/>
      <c r="RZW24" s="19"/>
      <c r="RZX24" s="19"/>
      <c r="RZY24" s="19"/>
      <c r="RZZ24" s="19"/>
      <c r="SAA24" s="19"/>
      <c r="SAB24" s="19"/>
      <c r="SAC24" s="19"/>
      <c r="SAD24" s="19"/>
      <c r="SAE24" s="19"/>
      <c r="SAF24" s="19"/>
      <c r="SAG24" s="19"/>
      <c r="SAH24" s="19"/>
      <c r="SAI24" s="19"/>
      <c r="SAJ24" s="19"/>
      <c r="SAK24" s="19"/>
      <c r="SAL24" s="19"/>
      <c r="SAM24" s="19"/>
      <c r="SAN24" s="19"/>
      <c r="SAO24" s="19"/>
      <c r="SAP24" s="19"/>
      <c r="SAQ24" s="19"/>
      <c r="SAR24" s="19"/>
      <c r="SAS24" s="19"/>
      <c r="SAT24" s="19"/>
      <c r="SAU24" s="19"/>
      <c r="SAV24" s="19"/>
      <c r="SAW24" s="19"/>
      <c r="SAX24" s="19"/>
      <c r="SAY24" s="19"/>
      <c r="SAZ24" s="19"/>
      <c r="SBA24" s="19"/>
      <c r="SBB24" s="19"/>
      <c r="SBC24" s="19"/>
      <c r="SBD24" s="19"/>
      <c r="SBE24" s="19"/>
      <c r="SBF24" s="19"/>
      <c r="SBG24" s="19"/>
      <c r="SBH24" s="19"/>
      <c r="SBI24" s="19"/>
      <c r="SBJ24" s="19"/>
      <c r="SBK24" s="19"/>
      <c r="SBL24" s="19"/>
      <c r="SBM24" s="19"/>
      <c r="SBN24" s="19"/>
      <c r="SBO24" s="19"/>
      <c r="SBP24" s="19"/>
      <c r="SBQ24" s="19"/>
      <c r="SBR24" s="19"/>
      <c r="SBS24" s="19"/>
      <c r="SBT24" s="19"/>
      <c r="SBU24" s="19"/>
      <c r="SBV24" s="19"/>
      <c r="SBW24" s="19"/>
      <c r="SBX24" s="19"/>
      <c r="SBY24" s="19"/>
      <c r="SBZ24" s="19"/>
      <c r="SCA24" s="19"/>
      <c r="SCB24" s="19"/>
      <c r="SCC24" s="19"/>
      <c r="SCD24" s="19"/>
      <c r="SCE24" s="19"/>
      <c r="SCF24" s="19"/>
      <c r="SCG24" s="19"/>
      <c r="SCH24" s="19"/>
      <c r="SCI24" s="19"/>
      <c r="SCJ24" s="19"/>
      <c r="SCK24" s="19"/>
      <c r="SCL24" s="19"/>
      <c r="SCM24" s="19"/>
      <c r="SCN24" s="19"/>
      <c r="SCO24" s="19"/>
      <c r="SCP24" s="19"/>
      <c r="SCQ24" s="19"/>
      <c r="SCR24" s="19"/>
      <c r="SCS24" s="19"/>
      <c r="SCT24" s="19"/>
      <c r="SCU24" s="19"/>
      <c r="SCV24" s="19"/>
      <c r="SCW24" s="19"/>
      <c r="SCX24" s="19"/>
      <c r="SCY24" s="19"/>
      <c r="SCZ24" s="19"/>
      <c r="SDA24" s="19"/>
      <c r="SDB24" s="19"/>
      <c r="SDC24" s="19"/>
      <c r="SDD24" s="19"/>
      <c r="SDE24" s="19"/>
      <c r="SDF24" s="19"/>
      <c r="SDG24" s="19"/>
      <c r="SDH24" s="19"/>
      <c r="SDI24" s="19"/>
      <c r="SDJ24" s="19"/>
      <c r="SDK24" s="19"/>
      <c r="SDL24" s="19"/>
      <c r="SDM24" s="19"/>
      <c r="SDN24" s="19"/>
      <c r="SDO24" s="19"/>
      <c r="SDP24" s="19"/>
      <c r="SDQ24" s="19"/>
      <c r="SDR24" s="19"/>
      <c r="SDS24" s="19"/>
      <c r="SDT24" s="19"/>
      <c r="SDU24" s="19"/>
      <c r="SDV24" s="19"/>
      <c r="SDW24" s="19"/>
      <c r="SDX24" s="19"/>
      <c r="SDY24" s="19"/>
      <c r="SDZ24" s="19"/>
      <c r="SEA24" s="19"/>
      <c r="SEB24" s="19"/>
      <c r="SEC24" s="19"/>
      <c r="SED24" s="19"/>
      <c r="SEE24" s="19"/>
      <c r="SEF24" s="19"/>
      <c r="SEG24" s="19"/>
      <c r="SEH24" s="19"/>
      <c r="SEI24" s="19"/>
      <c r="SEJ24" s="19"/>
      <c r="SEK24" s="19"/>
      <c r="SEL24" s="19"/>
      <c r="SEM24" s="19"/>
      <c r="SEN24" s="19"/>
      <c r="SEO24" s="19"/>
      <c r="SEP24" s="19"/>
      <c r="SEQ24" s="19"/>
      <c r="SER24" s="19"/>
      <c r="SES24" s="19"/>
      <c r="SET24" s="19"/>
      <c r="SEU24" s="19"/>
      <c r="SEV24" s="19"/>
      <c r="SEW24" s="19"/>
      <c r="SEX24" s="19"/>
      <c r="SEY24" s="19"/>
      <c r="SEZ24" s="19"/>
      <c r="SFA24" s="19"/>
      <c r="SFB24" s="19"/>
      <c r="SFC24" s="19"/>
      <c r="SFD24" s="19"/>
      <c r="SFE24" s="19"/>
      <c r="SFF24" s="19"/>
      <c r="SFG24" s="19"/>
      <c r="SFH24" s="19"/>
      <c r="SFI24" s="19"/>
      <c r="SFJ24" s="19"/>
      <c r="SFK24" s="19"/>
      <c r="SFL24" s="19"/>
      <c r="SFM24" s="19"/>
      <c r="SFN24" s="19"/>
      <c r="SFO24" s="19"/>
      <c r="SFP24" s="19"/>
      <c r="SFQ24" s="19"/>
      <c r="SFR24" s="19"/>
      <c r="SFS24" s="19"/>
      <c r="SFT24" s="19"/>
      <c r="SFU24" s="19"/>
      <c r="SFV24" s="19"/>
      <c r="SFW24" s="19"/>
      <c r="SFX24" s="19"/>
      <c r="SFY24" s="19"/>
      <c r="SFZ24" s="19"/>
      <c r="SGA24" s="19"/>
      <c r="SGB24" s="19"/>
      <c r="SGC24" s="19"/>
      <c r="SGD24" s="19"/>
      <c r="SGE24" s="19"/>
      <c r="SGF24" s="19"/>
      <c r="SGG24" s="19"/>
      <c r="SGH24" s="19"/>
      <c r="SGI24" s="19"/>
      <c r="SGJ24" s="19"/>
      <c r="SGK24" s="19"/>
      <c r="SGL24" s="19"/>
      <c r="SGM24" s="19"/>
      <c r="SGN24" s="19"/>
      <c r="SGO24" s="19"/>
      <c r="SGP24" s="19"/>
      <c r="SGQ24" s="19"/>
      <c r="SGR24" s="19"/>
      <c r="SGS24" s="19"/>
      <c r="SGT24" s="19"/>
      <c r="SGU24" s="19"/>
      <c r="SGV24" s="19"/>
      <c r="SGW24" s="19"/>
      <c r="SGX24" s="19"/>
      <c r="SGY24" s="19"/>
      <c r="SGZ24" s="19"/>
      <c r="SHA24" s="19"/>
      <c r="SHB24" s="19"/>
      <c r="SHC24" s="19"/>
      <c r="SHD24" s="19"/>
      <c r="SHE24" s="19"/>
      <c r="SHF24" s="19"/>
      <c r="SHG24" s="19"/>
      <c r="SHH24" s="19"/>
      <c r="SHI24" s="19"/>
      <c r="SHJ24" s="19"/>
      <c r="SHK24" s="19"/>
      <c r="SHL24" s="19"/>
      <c r="SHM24" s="19"/>
      <c r="SHN24" s="19"/>
      <c r="SHO24" s="19"/>
      <c r="SHP24" s="19"/>
      <c r="SHQ24" s="19"/>
      <c r="SHR24" s="19"/>
      <c r="SHS24" s="19"/>
      <c r="SHT24" s="19"/>
      <c r="SHU24" s="19"/>
      <c r="SHV24" s="19"/>
      <c r="SHW24" s="19"/>
      <c r="SHX24" s="19"/>
      <c r="SHY24" s="19"/>
      <c r="SHZ24" s="19"/>
      <c r="SIA24" s="19"/>
      <c r="SIB24" s="19"/>
      <c r="SIC24" s="19"/>
      <c r="SID24" s="19"/>
      <c r="SIE24" s="19"/>
      <c r="SIF24" s="19"/>
      <c r="SIG24" s="19"/>
      <c r="SIH24" s="19"/>
      <c r="SII24" s="19"/>
      <c r="SIJ24" s="19"/>
      <c r="SIK24" s="19"/>
      <c r="SIL24" s="19"/>
      <c r="SIM24" s="19"/>
      <c r="SIN24" s="19"/>
      <c r="SIO24" s="19"/>
      <c r="SIP24" s="19"/>
      <c r="SIQ24" s="19"/>
      <c r="SIR24" s="19"/>
      <c r="SIS24" s="19"/>
      <c r="SIT24" s="19"/>
      <c r="SIU24" s="19"/>
      <c r="SIV24" s="19"/>
      <c r="SIW24" s="19"/>
      <c r="SIX24" s="19"/>
      <c r="SIY24" s="19"/>
      <c r="SIZ24" s="19"/>
      <c r="SJA24" s="19"/>
      <c r="SJB24" s="19"/>
      <c r="SJC24" s="19"/>
      <c r="SJD24" s="19"/>
      <c r="SJE24" s="19"/>
      <c r="SJF24" s="19"/>
      <c r="SJG24" s="19"/>
      <c r="SJH24" s="19"/>
      <c r="SJI24" s="19"/>
      <c r="SJJ24" s="19"/>
      <c r="SJK24" s="19"/>
      <c r="SJL24" s="19"/>
      <c r="SJM24" s="19"/>
      <c r="SJN24" s="19"/>
      <c r="SJO24" s="19"/>
      <c r="SJP24" s="19"/>
      <c r="SJQ24" s="19"/>
      <c r="SJR24" s="19"/>
      <c r="SJS24" s="19"/>
      <c r="SJT24" s="19"/>
      <c r="SJU24" s="19"/>
      <c r="SJV24" s="19"/>
      <c r="SJW24" s="19"/>
      <c r="SJX24" s="19"/>
      <c r="SJY24" s="19"/>
      <c r="SJZ24" s="19"/>
      <c r="SKA24" s="19"/>
      <c r="SKB24" s="19"/>
      <c r="SKC24" s="19"/>
      <c r="SKD24" s="19"/>
      <c r="SKE24" s="19"/>
      <c r="SKF24" s="19"/>
      <c r="SKG24" s="19"/>
      <c r="SKH24" s="19"/>
      <c r="SKI24" s="19"/>
      <c r="SKJ24" s="19"/>
      <c r="SKK24" s="19"/>
      <c r="SKL24" s="19"/>
      <c r="SKM24" s="19"/>
      <c r="SKN24" s="19"/>
      <c r="SKO24" s="19"/>
      <c r="SKP24" s="19"/>
      <c r="SKQ24" s="19"/>
      <c r="SKR24" s="19"/>
      <c r="SKS24" s="19"/>
      <c r="SKT24" s="19"/>
      <c r="SKU24" s="19"/>
      <c r="SKV24" s="19"/>
      <c r="SKW24" s="19"/>
      <c r="SKX24" s="19"/>
      <c r="SKY24" s="19"/>
      <c r="SKZ24" s="19"/>
      <c r="SLA24" s="19"/>
      <c r="SLB24" s="19"/>
      <c r="SLC24" s="19"/>
      <c r="SLD24" s="19"/>
      <c r="SLE24" s="19"/>
      <c r="SLF24" s="19"/>
      <c r="SLG24" s="19"/>
      <c r="SLH24" s="19"/>
      <c r="SLI24" s="19"/>
      <c r="SLJ24" s="19"/>
      <c r="SLK24" s="19"/>
      <c r="SLL24" s="19"/>
      <c r="SLM24" s="19"/>
      <c r="SLN24" s="19"/>
      <c r="SLO24" s="19"/>
      <c r="SLP24" s="19"/>
      <c r="SLQ24" s="19"/>
      <c r="SLR24" s="19"/>
      <c r="SLS24" s="19"/>
      <c r="SLT24" s="19"/>
      <c r="SLU24" s="19"/>
      <c r="SLV24" s="19"/>
      <c r="SLW24" s="19"/>
      <c r="SLX24" s="19"/>
      <c r="SLY24" s="19"/>
      <c r="SLZ24" s="19"/>
      <c r="SMA24" s="19"/>
      <c r="SMB24" s="19"/>
      <c r="SMC24" s="19"/>
      <c r="SMD24" s="19"/>
      <c r="SME24" s="19"/>
      <c r="SMF24" s="19"/>
      <c r="SMG24" s="19"/>
      <c r="SMH24" s="19"/>
      <c r="SMI24" s="19"/>
      <c r="SMJ24" s="19"/>
      <c r="SMK24" s="19"/>
      <c r="SML24" s="19"/>
      <c r="SMM24" s="19"/>
      <c r="SMN24" s="19"/>
      <c r="SMO24" s="19"/>
      <c r="SMP24" s="19"/>
      <c r="SMQ24" s="19"/>
      <c r="SMR24" s="19"/>
      <c r="SMS24" s="19"/>
      <c r="SMT24" s="19"/>
      <c r="SMU24" s="19"/>
      <c r="SMV24" s="19"/>
      <c r="SMW24" s="19"/>
      <c r="SMX24" s="19"/>
      <c r="SMY24" s="19"/>
      <c r="SMZ24" s="19"/>
      <c r="SNA24" s="19"/>
      <c r="SNB24" s="19"/>
      <c r="SNC24" s="19"/>
      <c r="SND24" s="19"/>
      <c r="SNE24" s="19"/>
      <c r="SNF24" s="19"/>
      <c r="SNG24" s="19"/>
      <c r="SNH24" s="19"/>
      <c r="SNI24" s="19"/>
      <c r="SNJ24" s="19"/>
      <c r="SNK24" s="19"/>
      <c r="SNL24" s="19"/>
      <c r="SNM24" s="19"/>
      <c r="SNN24" s="19"/>
      <c r="SNO24" s="19"/>
      <c r="SNP24" s="19"/>
      <c r="SNQ24" s="19"/>
      <c r="SNR24" s="19"/>
      <c r="SNS24" s="19"/>
      <c r="SNT24" s="19"/>
      <c r="SNU24" s="19"/>
      <c r="SNV24" s="19"/>
      <c r="SNW24" s="19"/>
      <c r="SNX24" s="19"/>
      <c r="SNY24" s="19"/>
      <c r="SNZ24" s="19"/>
      <c r="SOA24" s="19"/>
      <c r="SOB24" s="19"/>
      <c r="SOC24" s="19"/>
      <c r="SOD24" s="19"/>
      <c r="SOE24" s="19"/>
      <c r="SOF24" s="19"/>
      <c r="SOG24" s="19"/>
      <c r="SOH24" s="19"/>
      <c r="SOI24" s="19"/>
      <c r="SOJ24" s="19"/>
      <c r="SOK24" s="19"/>
      <c r="SOL24" s="19"/>
      <c r="SOM24" s="19"/>
      <c r="SON24" s="19"/>
      <c r="SOO24" s="19"/>
      <c r="SOP24" s="19"/>
      <c r="SOQ24" s="19"/>
      <c r="SOR24" s="19"/>
      <c r="SOS24" s="19"/>
      <c r="SOT24" s="19"/>
      <c r="SOU24" s="19"/>
      <c r="SOV24" s="19"/>
      <c r="SOW24" s="19"/>
      <c r="SOX24" s="19"/>
      <c r="SOY24" s="19"/>
      <c r="SOZ24" s="19"/>
      <c r="SPA24" s="19"/>
      <c r="SPB24" s="19"/>
      <c r="SPC24" s="19"/>
      <c r="SPD24" s="19"/>
      <c r="SPE24" s="19"/>
      <c r="SPF24" s="19"/>
      <c r="SPG24" s="19"/>
      <c r="SPH24" s="19"/>
      <c r="SPI24" s="19"/>
      <c r="SPJ24" s="19"/>
      <c r="SPK24" s="19"/>
      <c r="SPL24" s="19"/>
      <c r="SPM24" s="19"/>
      <c r="SPN24" s="19"/>
      <c r="SPO24" s="19"/>
      <c r="SPP24" s="19"/>
      <c r="SPQ24" s="19"/>
      <c r="SPR24" s="19"/>
      <c r="SPS24" s="19"/>
      <c r="SPT24" s="19"/>
      <c r="SPU24" s="19"/>
      <c r="SPV24" s="19"/>
      <c r="SPW24" s="19"/>
      <c r="SPX24" s="19"/>
      <c r="SPY24" s="19"/>
      <c r="SPZ24" s="19"/>
      <c r="SQA24" s="19"/>
      <c r="SQB24" s="19"/>
      <c r="SQC24" s="19"/>
      <c r="SQD24" s="19"/>
      <c r="SQE24" s="19"/>
      <c r="SQF24" s="19"/>
      <c r="SQG24" s="19"/>
      <c r="SQH24" s="19"/>
      <c r="SQI24" s="19"/>
      <c r="SQJ24" s="19"/>
      <c r="SQK24" s="19"/>
      <c r="SQL24" s="19"/>
      <c r="SQM24" s="19"/>
      <c r="SQN24" s="19"/>
      <c r="SQO24" s="19"/>
      <c r="SQP24" s="19"/>
      <c r="SQQ24" s="19"/>
      <c r="SQR24" s="19"/>
      <c r="SQS24" s="19"/>
      <c r="SQT24" s="19"/>
      <c r="SQU24" s="19"/>
      <c r="SQV24" s="19"/>
      <c r="SQW24" s="19"/>
      <c r="SQX24" s="19"/>
      <c r="SQY24" s="19"/>
      <c r="SQZ24" s="19"/>
      <c r="SRA24" s="19"/>
      <c r="SRB24" s="19"/>
      <c r="SRC24" s="19"/>
      <c r="SRD24" s="19"/>
      <c r="SRE24" s="19"/>
      <c r="SRF24" s="19"/>
      <c r="SRG24" s="19"/>
      <c r="SRH24" s="19"/>
      <c r="SRI24" s="19"/>
      <c r="SRJ24" s="19"/>
      <c r="SRK24" s="19"/>
      <c r="SRL24" s="19"/>
      <c r="SRM24" s="19"/>
      <c r="SRN24" s="19"/>
      <c r="SRO24" s="19"/>
      <c r="SRP24" s="19"/>
      <c r="SRQ24" s="19"/>
      <c r="SRR24" s="19"/>
      <c r="SRS24" s="19"/>
      <c r="SRT24" s="19"/>
      <c r="SRU24" s="19"/>
      <c r="SRV24" s="19"/>
      <c r="SRW24" s="19"/>
      <c r="SRX24" s="19"/>
      <c r="SRY24" s="19"/>
      <c r="SRZ24" s="19"/>
      <c r="SSA24" s="19"/>
      <c r="SSB24" s="19"/>
      <c r="SSC24" s="19"/>
      <c r="SSD24" s="19"/>
      <c r="SSE24" s="19"/>
      <c r="SSF24" s="19"/>
      <c r="SSG24" s="19"/>
      <c r="SSH24" s="19"/>
      <c r="SSI24" s="19"/>
      <c r="SSJ24" s="19"/>
      <c r="SSK24" s="19"/>
      <c r="SSL24" s="19"/>
      <c r="SSM24" s="19"/>
      <c r="SSN24" s="19"/>
      <c r="SSO24" s="19"/>
      <c r="SSP24" s="19"/>
      <c r="SSQ24" s="19"/>
      <c r="SSR24" s="19"/>
      <c r="SSS24" s="19"/>
      <c r="SST24" s="19"/>
      <c r="SSU24" s="19"/>
      <c r="SSV24" s="19"/>
      <c r="SSW24" s="19"/>
      <c r="SSX24" s="19"/>
      <c r="SSY24" s="19"/>
      <c r="SSZ24" s="19"/>
      <c r="STA24" s="19"/>
      <c r="STB24" s="19"/>
      <c r="STC24" s="19"/>
      <c r="STD24" s="19"/>
      <c r="STE24" s="19"/>
      <c r="STF24" s="19"/>
      <c r="STG24" s="19"/>
      <c r="STH24" s="19"/>
      <c r="STI24" s="19"/>
      <c r="STJ24" s="19"/>
      <c r="STK24" s="19"/>
      <c r="STL24" s="19"/>
      <c r="STM24" s="19"/>
      <c r="STN24" s="19"/>
      <c r="STO24" s="19"/>
      <c r="STP24" s="19"/>
      <c r="STQ24" s="19"/>
      <c r="STR24" s="19"/>
      <c r="STS24" s="19"/>
      <c r="STT24" s="19"/>
      <c r="STU24" s="19"/>
      <c r="STV24" s="19"/>
      <c r="STW24" s="19"/>
      <c r="STX24" s="19"/>
      <c r="STY24" s="19"/>
      <c r="STZ24" s="19"/>
      <c r="SUA24" s="19"/>
      <c r="SUB24" s="19"/>
      <c r="SUC24" s="19"/>
      <c r="SUD24" s="19"/>
      <c r="SUE24" s="19"/>
      <c r="SUF24" s="19"/>
      <c r="SUG24" s="19"/>
      <c r="SUH24" s="19"/>
      <c r="SUI24" s="19"/>
      <c r="SUJ24" s="19"/>
      <c r="SUK24" s="19"/>
      <c r="SUL24" s="19"/>
      <c r="SUM24" s="19"/>
      <c r="SUN24" s="19"/>
      <c r="SUO24" s="19"/>
      <c r="SUP24" s="19"/>
      <c r="SUQ24" s="19"/>
      <c r="SUR24" s="19"/>
      <c r="SUS24" s="19"/>
      <c r="SUT24" s="19"/>
      <c r="SUU24" s="19"/>
      <c r="SUV24" s="19"/>
      <c r="SUW24" s="19"/>
      <c r="SUX24" s="19"/>
      <c r="SUY24" s="19"/>
      <c r="SUZ24" s="19"/>
      <c r="SVA24" s="19"/>
      <c r="SVB24" s="19"/>
      <c r="SVC24" s="19"/>
      <c r="SVD24" s="19"/>
      <c r="SVE24" s="19"/>
      <c r="SVF24" s="19"/>
      <c r="SVG24" s="19"/>
      <c r="SVH24" s="19"/>
      <c r="SVI24" s="19"/>
      <c r="SVJ24" s="19"/>
      <c r="SVK24" s="19"/>
      <c r="SVL24" s="19"/>
      <c r="SVM24" s="19"/>
      <c r="SVN24" s="19"/>
      <c r="SVO24" s="19"/>
      <c r="SVP24" s="19"/>
      <c r="SVQ24" s="19"/>
      <c r="SVR24" s="19"/>
      <c r="SVS24" s="19"/>
      <c r="SVT24" s="19"/>
      <c r="SVU24" s="19"/>
      <c r="SVV24" s="19"/>
      <c r="SVW24" s="19"/>
      <c r="SVX24" s="19"/>
      <c r="SVY24" s="19"/>
      <c r="SVZ24" s="19"/>
      <c r="SWA24" s="19"/>
      <c r="SWB24" s="19"/>
      <c r="SWC24" s="19"/>
      <c r="SWD24" s="19"/>
      <c r="SWE24" s="19"/>
      <c r="SWF24" s="19"/>
      <c r="SWG24" s="19"/>
      <c r="SWH24" s="19"/>
      <c r="SWI24" s="19"/>
      <c r="SWJ24" s="19"/>
      <c r="SWK24" s="19"/>
      <c r="SWL24" s="19"/>
      <c r="SWM24" s="19"/>
      <c r="SWN24" s="19"/>
      <c r="SWO24" s="19"/>
      <c r="SWP24" s="19"/>
      <c r="SWQ24" s="19"/>
      <c r="SWR24" s="19"/>
      <c r="SWS24" s="19"/>
      <c r="SWT24" s="19"/>
      <c r="SWU24" s="19"/>
      <c r="SWV24" s="19"/>
      <c r="SWW24" s="19"/>
      <c r="SWX24" s="19"/>
      <c r="SWY24" s="19"/>
      <c r="SWZ24" s="19"/>
      <c r="SXA24" s="19"/>
      <c r="SXB24" s="19"/>
      <c r="SXC24" s="19"/>
      <c r="SXD24" s="19"/>
      <c r="SXE24" s="19"/>
      <c r="SXF24" s="19"/>
      <c r="SXG24" s="19"/>
      <c r="SXH24" s="19"/>
      <c r="SXI24" s="19"/>
      <c r="SXJ24" s="19"/>
      <c r="SXK24" s="19"/>
      <c r="SXL24" s="19"/>
      <c r="SXM24" s="19"/>
      <c r="SXN24" s="19"/>
      <c r="SXO24" s="19"/>
      <c r="SXP24" s="19"/>
      <c r="SXQ24" s="19"/>
      <c r="SXR24" s="19"/>
      <c r="SXS24" s="19"/>
      <c r="SXT24" s="19"/>
      <c r="SXU24" s="19"/>
      <c r="SXV24" s="19"/>
      <c r="SXW24" s="19"/>
      <c r="SXX24" s="19"/>
      <c r="SXY24" s="19"/>
      <c r="SXZ24" s="19"/>
      <c r="SYA24" s="19"/>
      <c r="SYB24" s="19"/>
      <c r="SYC24" s="19"/>
      <c r="SYD24" s="19"/>
      <c r="SYE24" s="19"/>
      <c r="SYF24" s="19"/>
      <c r="SYG24" s="19"/>
      <c r="SYH24" s="19"/>
      <c r="SYI24" s="19"/>
      <c r="SYJ24" s="19"/>
      <c r="SYK24" s="19"/>
      <c r="SYL24" s="19"/>
      <c r="SYM24" s="19"/>
      <c r="SYN24" s="19"/>
      <c r="SYO24" s="19"/>
      <c r="SYP24" s="19"/>
      <c r="SYQ24" s="19"/>
      <c r="SYR24" s="19"/>
      <c r="SYS24" s="19"/>
      <c r="SYT24" s="19"/>
      <c r="SYU24" s="19"/>
      <c r="SYV24" s="19"/>
      <c r="SYW24" s="19"/>
      <c r="SYX24" s="19"/>
      <c r="SYY24" s="19"/>
      <c r="SYZ24" s="19"/>
      <c r="SZA24" s="19"/>
      <c r="SZB24" s="19"/>
      <c r="SZC24" s="19"/>
      <c r="SZD24" s="19"/>
      <c r="SZE24" s="19"/>
      <c r="SZF24" s="19"/>
      <c r="SZG24" s="19"/>
      <c r="SZH24" s="19"/>
      <c r="SZI24" s="19"/>
      <c r="SZJ24" s="19"/>
      <c r="SZK24" s="19"/>
      <c r="SZL24" s="19"/>
      <c r="SZM24" s="19"/>
      <c r="SZN24" s="19"/>
      <c r="SZO24" s="19"/>
      <c r="SZP24" s="19"/>
      <c r="SZQ24" s="19"/>
      <c r="SZR24" s="19"/>
      <c r="SZS24" s="19"/>
      <c r="SZT24" s="19"/>
      <c r="SZU24" s="19"/>
      <c r="SZV24" s="19"/>
      <c r="SZW24" s="19"/>
      <c r="SZX24" s="19"/>
      <c r="SZY24" s="19"/>
      <c r="SZZ24" s="19"/>
      <c r="TAA24" s="19"/>
      <c r="TAB24" s="19"/>
      <c r="TAC24" s="19"/>
      <c r="TAD24" s="19"/>
      <c r="TAE24" s="19"/>
      <c r="TAF24" s="19"/>
      <c r="TAG24" s="19"/>
      <c r="TAH24" s="19"/>
      <c r="TAI24" s="19"/>
      <c r="TAJ24" s="19"/>
      <c r="TAK24" s="19"/>
      <c r="TAL24" s="19"/>
      <c r="TAM24" s="19"/>
      <c r="TAN24" s="19"/>
      <c r="TAO24" s="19"/>
      <c r="TAP24" s="19"/>
      <c r="TAQ24" s="19"/>
      <c r="TAR24" s="19"/>
      <c r="TAS24" s="19"/>
      <c r="TAT24" s="19"/>
      <c r="TAU24" s="19"/>
      <c r="TAV24" s="19"/>
      <c r="TAW24" s="19"/>
      <c r="TAX24" s="19"/>
      <c r="TAY24" s="19"/>
      <c r="TAZ24" s="19"/>
      <c r="TBA24" s="19"/>
      <c r="TBB24" s="19"/>
      <c r="TBC24" s="19"/>
      <c r="TBD24" s="19"/>
      <c r="TBE24" s="19"/>
      <c r="TBF24" s="19"/>
      <c r="TBG24" s="19"/>
      <c r="TBH24" s="19"/>
      <c r="TBI24" s="19"/>
      <c r="TBJ24" s="19"/>
      <c r="TBK24" s="19"/>
      <c r="TBL24" s="19"/>
      <c r="TBM24" s="19"/>
      <c r="TBN24" s="19"/>
      <c r="TBO24" s="19"/>
      <c r="TBP24" s="19"/>
      <c r="TBQ24" s="19"/>
      <c r="TBR24" s="19"/>
      <c r="TBS24" s="19"/>
      <c r="TBT24" s="19"/>
      <c r="TBU24" s="19"/>
      <c r="TBV24" s="19"/>
      <c r="TBW24" s="19"/>
      <c r="TBX24" s="19"/>
      <c r="TBY24" s="19"/>
      <c r="TBZ24" s="19"/>
      <c r="TCA24" s="19"/>
      <c r="TCB24" s="19"/>
      <c r="TCC24" s="19"/>
      <c r="TCD24" s="19"/>
      <c r="TCE24" s="19"/>
      <c r="TCF24" s="19"/>
      <c r="TCG24" s="19"/>
      <c r="TCH24" s="19"/>
      <c r="TCI24" s="19"/>
      <c r="TCJ24" s="19"/>
      <c r="TCK24" s="19"/>
      <c r="TCL24" s="19"/>
      <c r="TCM24" s="19"/>
      <c r="TCN24" s="19"/>
      <c r="TCO24" s="19"/>
      <c r="TCP24" s="19"/>
      <c r="TCQ24" s="19"/>
      <c r="TCR24" s="19"/>
      <c r="TCS24" s="19"/>
      <c r="TCT24" s="19"/>
      <c r="TCU24" s="19"/>
      <c r="TCV24" s="19"/>
      <c r="TCW24" s="19"/>
      <c r="TCX24" s="19"/>
      <c r="TCY24" s="19"/>
      <c r="TCZ24" s="19"/>
      <c r="TDA24" s="19"/>
      <c r="TDB24" s="19"/>
      <c r="TDC24" s="19"/>
      <c r="TDD24" s="19"/>
      <c r="TDE24" s="19"/>
      <c r="TDF24" s="19"/>
      <c r="TDG24" s="19"/>
      <c r="TDH24" s="19"/>
      <c r="TDI24" s="19"/>
      <c r="TDJ24" s="19"/>
      <c r="TDK24" s="19"/>
      <c r="TDL24" s="19"/>
      <c r="TDM24" s="19"/>
      <c r="TDN24" s="19"/>
      <c r="TDO24" s="19"/>
      <c r="TDP24" s="19"/>
      <c r="TDQ24" s="19"/>
      <c r="TDR24" s="19"/>
      <c r="TDS24" s="19"/>
      <c r="TDT24" s="19"/>
      <c r="TDU24" s="19"/>
      <c r="TDV24" s="19"/>
      <c r="TDW24" s="19"/>
      <c r="TDX24" s="19"/>
      <c r="TDY24" s="19"/>
      <c r="TDZ24" s="19"/>
      <c r="TEA24" s="19"/>
      <c r="TEB24" s="19"/>
      <c r="TEC24" s="19"/>
      <c r="TED24" s="19"/>
      <c r="TEE24" s="19"/>
      <c r="TEF24" s="19"/>
      <c r="TEG24" s="19"/>
      <c r="TEH24" s="19"/>
      <c r="TEI24" s="19"/>
      <c r="TEJ24" s="19"/>
      <c r="TEK24" s="19"/>
      <c r="TEL24" s="19"/>
      <c r="TEM24" s="19"/>
      <c r="TEN24" s="19"/>
      <c r="TEO24" s="19"/>
      <c r="TEP24" s="19"/>
      <c r="TEQ24" s="19"/>
      <c r="TER24" s="19"/>
      <c r="TES24" s="19"/>
      <c r="TET24" s="19"/>
      <c r="TEU24" s="19"/>
      <c r="TEV24" s="19"/>
      <c r="TEW24" s="19"/>
      <c r="TEX24" s="19"/>
      <c r="TEY24" s="19"/>
      <c r="TEZ24" s="19"/>
      <c r="TFA24" s="19"/>
      <c r="TFB24" s="19"/>
      <c r="TFC24" s="19"/>
      <c r="TFD24" s="19"/>
      <c r="TFE24" s="19"/>
      <c r="TFF24" s="19"/>
      <c r="TFG24" s="19"/>
      <c r="TFH24" s="19"/>
      <c r="TFI24" s="19"/>
      <c r="TFJ24" s="19"/>
      <c r="TFK24" s="19"/>
      <c r="TFL24" s="19"/>
      <c r="TFM24" s="19"/>
      <c r="TFN24" s="19"/>
      <c r="TFO24" s="19"/>
      <c r="TFP24" s="19"/>
      <c r="TFQ24" s="19"/>
      <c r="TFR24" s="19"/>
      <c r="TFS24" s="19"/>
      <c r="TFT24" s="19"/>
      <c r="TFU24" s="19"/>
      <c r="TFV24" s="19"/>
      <c r="TFW24" s="19"/>
      <c r="TFX24" s="19"/>
      <c r="TFY24" s="19"/>
      <c r="TFZ24" s="19"/>
      <c r="TGA24" s="19"/>
      <c r="TGB24" s="19"/>
      <c r="TGC24" s="19"/>
      <c r="TGD24" s="19"/>
      <c r="TGE24" s="19"/>
      <c r="TGF24" s="19"/>
      <c r="TGG24" s="19"/>
      <c r="TGH24" s="19"/>
      <c r="TGI24" s="19"/>
      <c r="TGJ24" s="19"/>
      <c r="TGK24" s="19"/>
      <c r="TGL24" s="19"/>
      <c r="TGM24" s="19"/>
      <c r="TGN24" s="19"/>
      <c r="TGO24" s="19"/>
      <c r="TGP24" s="19"/>
      <c r="TGQ24" s="19"/>
      <c r="TGR24" s="19"/>
      <c r="TGS24" s="19"/>
      <c r="TGT24" s="19"/>
      <c r="TGU24" s="19"/>
      <c r="TGV24" s="19"/>
      <c r="TGW24" s="19"/>
      <c r="TGX24" s="19"/>
      <c r="TGY24" s="19"/>
      <c r="TGZ24" s="19"/>
      <c r="THA24" s="19"/>
      <c r="THB24" s="19"/>
      <c r="THC24" s="19"/>
      <c r="THD24" s="19"/>
      <c r="THE24" s="19"/>
      <c r="THF24" s="19"/>
      <c r="THG24" s="19"/>
      <c r="THH24" s="19"/>
      <c r="THI24" s="19"/>
      <c r="THJ24" s="19"/>
      <c r="THK24" s="19"/>
      <c r="THL24" s="19"/>
      <c r="THM24" s="19"/>
      <c r="THN24" s="19"/>
      <c r="THO24" s="19"/>
      <c r="THP24" s="19"/>
      <c r="THQ24" s="19"/>
      <c r="THR24" s="19"/>
      <c r="THS24" s="19"/>
      <c r="THT24" s="19"/>
      <c r="THU24" s="19"/>
      <c r="THV24" s="19"/>
      <c r="THW24" s="19"/>
      <c r="THX24" s="19"/>
      <c r="THY24" s="19"/>
      <c r="THZ24" s="19"/>
      <c r="TIA24" s="19"/>
      <c r="TIB24" s="19"/>
      <c r="TIC24" s="19"/>
      <c r="TID24" s="19"/>
      <c r="TIE24" s="19"/>
      <c r="TIF24" s="19"/>
      <c r="TIG24" s="19"/>
      <c r="TIH24" s="19"/>
      <c r="TII24" s="19"/>
      <c r="TIJ24" s="19"/>
      <c r="TIK24" s="19"/>
      <c r="TIL24" s="19"/>
      <c r="TIM24" s="19"/>
      <c r="TIN24" s="19"/>
      <c r="TIO24" s="19"/>
      <c r="TIP24" s="19"/>
      <c r="TIQ24" s="19"/>
      <c r="TIR24" s="19"/>
      <c r="TIS24" s="19"/>
      <c r="TIT24" s="19"/>
      <c r="TIU24" s="19"/>
      <c r="TIV24" s="19"/>
      <c r="TIW24" s="19"/>
      <c r="TIX24" s="19"/>
      <c r="TIY24" s="19"/>
      <c r="TIZ24" s="19"/>
      <c r="TJA24" s="19"/>
      <c r="TJB24" s="19"/>
      <c r="TJC24" s="19"/>
      <c r="TJD24" s="19"/>
      <c r="TJE24" s="19"/>
      <c r="TJF24" s="19"/>
      <c r="TJG24" s="19"/>
      <c r="TJH24" s="19"/>
      <c r="TJI24" s="19"/>
      <c r="TJJ24" s="19"/>
      <c r="TJK24" s="19"/>
      <c r="TJL24" s="19"/>
      <c r="TJM24" s="19"/>
      <c r="TJN24" s="19"/>
      <c r="TJO24" s="19"/>
      <c r="TJP24" s="19"/>
      <c r="TJQ24" s="19"/>
      <c r="TJR24" s="19"/>
      <c r="TJS24" s="19"/>
      <c r="TJT24" s="19"/>
      <c r="TJU24" s="19"/>
      <c r="TJV24" s="19"/>
      <c r="TJW24" s="19"/>
      <c r="TJX24" s="19"/>
      <c r="TJY24" s="19"/>
      <c r="TJZ24" s="19"/>
      <c r="TKA24" s="19"/>
      <c r="TKB24" s="19"/>
      <c r="TKC24" s="19"/>
      <c r="TKD24" s="19"/>
      <c r="TKE24" s="19"/>
      <c r="TKF24" s="19"/>
      <c r="TKG24" s="19"/>
      <c r="TKH24" s="19"/>
      <c r="TKI24" s="19"/>
      <c r="TKJ24" s="19"/>
      <c r="TKK24" s="19"/>
      <c r="TKL24" s="19"/>
      <c r="TKM24" s="19"/>
      <c r="TKN24" s="19"/>
      <c r="TKO24" s="19"/>
      <c r="TKP24" s="19"/>
      <c r="TKQ24" s="19"/>
      <c r="TKR24" s="19"/>
      <c r="TKS24" s="19"/>
      <c r="TKT24" s="19"/>
      <c r="TKU24" s="19"/>
      <c r="TKV24" s="19"/>
      <c r="TKW24" s="19"/>
      <c r="TKX24" s="19"/>
      <c r="TKY24" s="19"/>
      <c r="TKZ24" s="19"/>
      <c r="TLA24" s="19"/>
      <c r="TLB24" s="19"/>
      <c r="TLC24" s="19"/>
      <c r="TLD24" s="19"/>
      <c r="TLE24" s="19"/>
      <c r="TLF24" s="19"/>
      <c r="TLG24" s="19"/>
      <c r="TLH24" s="19"/>
      <c r="TLI24" s="19"/>
      <c r="TLJ24" s="19"/>
      <c r="TLK24" s="19"/>
      <c r="TLL24" s="19"/>
      <c r="TLM24" s="19"/>
      <c r="TLN24" s="19"/>
      <c r="TLO24" s="19"/>
      <c r="TLP24" s="19"/>
      <c r="TLQ24" s="19"/>
      <c r="TLR24" s="19"/>
      <c r="TLS24" s="19"/>
      <c r="TLT24" s="19"/>
      <c r="TLU24" s="19"/>
      <c r="TLV24" s="19"/>
      <c r="TLW24" s="19"/>
      <c r="TLX24" s="19"/>
      <c r="TLY24" s="19"/>
      <c r="TLZ24" s="19"/>
      <c r="TMA24" s="19"/>
      <c r="TMB24" s="19"/>
      <c r="TMC24" s="19"/>
      <c r="TMD24" s="19"/>
      <c r="TME24" s="19"/>
      <c r="TMF24" s="19"/>
      <c r="TMG24" s="19"/>
      <c r="TMH24" s="19"/>
      <c r="TMI24" s="19"/>
      <c r="TMJ24" s="19"/>
      <c r="TMK24" s="19"/>
      <c r="TML24" s="19"/>
      <c r="TMM24" s="19"/>
      <c r="TMN24" s="19"/>
      <c r="TMO24" s="19"/>
      <c r="TMP24" s="19"/>
      <c r="TMQ24" s="19"/>
      <c r="TMR24" s="19"/>
      <c r="TMS24" s="19"/>
      <c r="TMT24" s="19"/>
      <c r="TMU24" s="19"/>
      <c r="TMV24" s="19"/>
      <c r="TMW24" s="19"/>
      <c r="TMX24" s="19"/>
      <c r="TMY24" s="19"/>
      <c r="TMZ24" s="19"/>
      <c r="TNA24" s="19"/>
      <c r="TNB24" s="19"/>
      <c r="TNC24" s="19"/>
      <c r="TND24" s="19"/>
      <c r="TNE24" s="19"/>
      <c r="TNF24" s="19"/>
      <c r="TNG24" s="19"/>
      <c r="TNH24" s="19"/>
      <c r="TNI24" s="19"/>
      <c r="TNJ24" s="19"/>
      <c r="TNK24" s="19"/>
      <c r="TNL24" s="19"/>
      <c r="TNM24" s="19"/>
      <c r="TNN24" s="19"/>
      <c r="TNO24" s="19"/>
      <c r="TNP24" s="19"/>
      <c r="TNQ24" s="19"/>
      <c r="TNR24" s="19"/>
      <c r="TNS24" s="19"/>
      <c r="TNT24" s="19"/>
      <c r="TNU24" s="19"/>
      <c r="TNV24" s="19"/>
      <c r="TNW24" s="19"/>
      <c r="TNX24" s="19"/>
      <c r="TNY24" s="19"/>
      <c r="TNZ24" s="19"/>
      <c r="TOA24" s="19"/>
      <c r="TOB24" s="19"/>
      <c r="TOC24" s="19"/>
      <c r="TOD24" s="19"/>
      <c r="TOE24" s="19"/>
      <c r="TOF24" s="19"/>
      <c r="TOG24" s="19"/>
      <c r="TOH24" s="19"/>
      <c r="TOI24" s="19"/>
      <c r="TOJ24" s="19"/>
      <c r="TOK24" s="19"/>
      <c r="TOL24" s="19"/>
      <c r="TOM24" s="19"/>
      <c r="TON24" s="19"/>
      <c r="TOO24" s="19"/>
      <c r="TOP24" s="19"/>
      <c r="TOQ24" s="19"/>
      <c r="TOR24" s="19"/>
      <c r="TOS24" s="19"/>
      <c r="TOT24" s="19"/>
      <c r="TOU24" s="19"/>
      <c r="TOV24" s="19"/>
      <c r="TOW24" s="19"/>
      <c r="TOX24" s="19"/>
      <c r="TOY24" s="19"/>
      <c r="TOZ24" s="19"/>
      <c r="TPA24" s="19"/>
      <c r="TPB24" s="19"/>
      <c r="TPC24" s="19"/>
      <c r="TPD24" s="19"/>
      <c r="TPE24" s="19"/>
      <c r="TPF24" s="19"/>
      <c r="TPG24" s="19"/>
      <c r="TPH24" s="19"/>
      <c r="TPI24" s="19"/>
      <c r="TPJ24" s="19"/>
      <c r="TPK24" s="19"/>
      <c r="TPL24" s="19"/>
      <c r="TPM24" s="19"/>
      <c r="TPN24" s="19"/>
      <c r="TPO24" s="19"/>
      <c r="TPP24" s="19"/>
      <c r="TPQ24" s="19"/>
      <c r="TPR24" s="19"/>
      <c r="TPS24" s="19"/>
      <c r="TPT24" s="19"/>
      <c r="TPU24" s="19"/>
      <c r="TPV24" s="19"/>
      <c r="TPW24" s="19"/>
      <c r="TPX24" s="19"/>
      <c r="TPY24" s="19"/>
      <c r="TPZ24" s="19"/>
      <c r="TQA24" s="19"/>
      <c r="TQB24" s="19"/>
      <c r="TQC24" s="19"/>
      <c r="TQD24" s="19"/>
      <c r="TQE24" s="19"/>
      <c r="TQF24" s="19"/>
      <c r="TQG24" s="19"/>
      <c r="TQH24" s="19"/>
      <c r="TQI24" s="19"/>
      <c r="TQJ24" s="19"/>
      <c r="TQK24" s="19"/>
      <c r="TQL24" s="19"/>
      <c r="TQM24" s="19"/>
      <c r="TQN24" s="19"/>
      <c r="TQO24" s="19"/>
      <c r="TQP24" s="19"/>
      <c r="TQQ24" s="19"/>
      <c r="TQR24" s="19"/>
      <c r="TQS24" s="19"/>
      <c r="TQT24" s="19"/>
      <c r="TQU24" s="19"/>
      <c r="TQV24" s="19"/>
      <c r="TQW24" s="19"/>
      <c r="TQX24" s="19"/>
      <c r="TQY24" s="19"/>
      <c r="TQZ24" s="19"/>
      <c r="TRA24" s="19"/>
      <c r="TRB24" s="19"/>
      <c r="TRC24" s="19"/>
      <c r="TRD24" s="19"/>
      <c r="TRE24" s="19"/>
      <c r="TRF24" s="19"/>
      <c r="TRG24" s="19"/>
      <c r="TRH24" s="19"/>
      <c r="TRI24" s="19"/>
      <c r="TRJ24" s="19"/>
      <c r="TRK24" s="19"/>
      <c r="TRL24" s="19"/>
      <c r="TRM24" s="19"/>
      <c r="TRN24" s="19"/>
      <c r="TRO24" s="19"/>
      <c r="TRP24" s="19"/>
      <c r="TRQ24" s="19"/>
      <c r="TRR24" s="19"/>
      <c r="TRS24" s="19"/>
      <c r="TRT24" s="19"/>
      <c r="TRU24" s="19"/>
      <c r="TRV24" s="19"/>
      <c r="TRW24" s="19"/>
      <c r="TRX24" s="19"/>
      <c r="TRY24" s="19"/>
      <c r="TRZ24" s="19"/>
      <c r="TSA24" s="19"/>
      <c r="TSB24" s="19"/>
      <c r="TSC24" s="19"/>
      <c r="TSD24" s="19"/>
      <c r="TSE24" s="19"/>
      <c r="TSF24" s="19"/>
      <c r="TSG24" s="19"/>
      <c r="TSH24" s="19"/>
      <c r="TSI24" s="19"/>
      <c r="TSJ24" s="19"/>
      <c r="TSK24" s="19"/>
      <c r="TSL24" s="19"/>
      <c r="TSM24" s="19"/>
      <c r="TSN24" s="19"/>
      <c r="TSO24" s="19"/>
      <c r="TSP24" s="19"/>
      <c r="TSQ24" s="19"/>
      <c r="TSR24" s="19"/>
      <c r="TSS24" s="19"/>
      <c r="TST24" s="19"/>
      <c r="TSU24" s="19"/>
      <c r="TSV24" s="19"/>
      <c r="TSW24" s="19"/>
      <c r="TSX24" s="19"/>
      <c r="TSY24" s="19"/>
      <c r="TSZ24" s="19"/>
      <c r="TTA24" s="19"/>
      <c r="TTB24" s="19"/>
      <c r="TTC24" s="19"/>
      <c r="TTD24" s="19"/>
      <c r="TTE24" s="19"/>
      <c r="TTF24" s="19"/>
      <c r="TTG24" s="19"/>
      <c r="TTH24" s="19"/>
      <c r="TTI24" s="19"/>
      <c r="TTJ24" s="19"/>
      <c r="TTK24" s="19"/>
      <c r="TTL24" s="19"/>
      <c r="TTM24" s="19"/>
      <c r="TTN24" s="19"/>
      <c r="TTO24" s="19"/>
      <c r="TTP24" s="19"/>
      <c r="TTQ24" s="19"/>
      <c r="TTR24" s="19"/>
      <c r="TTS24" s="19"/>
      <c r="TTT24" s="19"/>
      <c r="TTU24" s="19"/>
      <c r="TTV24" s="19"/>
      <c r="TTW24" s="19"/>
      <c r="TTX24" s="19"/>
      <c r="TTY24" s="19"/>
      <c r="TTZ24" s="19"/>
      <c r="TUA24" s="19"/>
      <c r="TUB24" s="19"/>
      <c r="TUC24" s="19"/>
      <c r="TUD24" s="19"/>
      <c r="TUE24" s="19"/>
      <c r="TUF24" s="19"/>
      <c r="TUG24" s="19"/>
      <c r="TUH24" s="19"/>
      <c r="TUI24" s="19"/>
      <c r="TUJ24" s="19"/>
      <c r="TUK24" s="19"/>
      <c r="TUL24" s="19"/>
      <c r="TUM24" s="19"/>
      <c r="TUN24" s="19"/>
      <c r="TUO24" s="19"/>
      <c r="TUP24" s="19"/>
      <c r="TUQ24" s="19"/>
      <c r="TUR24" s="19"/>
      <c r="TUS24" s="19"/>
      <c r="TUT24" s="19"/>
      <c r="TUU24" s="19"/>
      <c r="TUV24" s="19"/>
      <c r="TUW24" s="19"/>
      <c r="TUX24" s="19"/>
      <c r="TUY24" s="19"/>
      <c r="TUZ24" s="19"/>
      <c r="TVA24" s="19"/>
      <c r="TVB24" s="19"/>
      <c r="TVC24" s="19"/>
      <c r="TVD24" s="19"/>
      <c r="TVE24" s="19"/>
      <c r="TVF24" s="19"/>
      <c r="TVG24" s="19"/>
      <c r="TVH24" s="19"/>
      <c r="TVI24" s="19"/>
      <c r="TVJ24" s="19"/>
      <c r="TVK24" s="19"/>
      <c r="TVL24" s="19"/>
      <c r="TVM24" s="19"/>
      <c r="TVN24" s="19"/>
      <c r="TVO24" s="19"/>
      <c r="TVP24" s="19"/>
      <c r="TVQ24" s="19"/>
      <c r="TVR24" s="19"/>
      <c r="TVS24" s="19"/>
      <c r="TVT24" s="19"/>
      <c r="TVU24" s="19"/>
      <c r="TVV24" s="19"/>
      <c r="TVW24" s="19"/>
      <c r="TVX24" s="19"/>
      <c r="TVY24" s="19"/>
      <c r="TVZ24" s="19"/>
      <c r="TWA24" s="19"/>
      <c r="TWB24" s="19"/>
      <c r="TWC24" s="19"/>
      <c r="TWD24" s="19"/>
      <c r="TWE24" s="19"/>
      <c r="TWF24" s="19"/>
      <c r="TWG24" s="19"/>
      <c r="TWH24" s="19"/>
      <c r="TWI24" s="19"/>
      <c r="TWJ24" s="19"/>
      <c r="TWK24" s="19"/>
      <c r="TWL24" s="19"/>
      <c r="TWM24" s="19"/>
      <c r="TWN24" s="19"/>
      <c r="TWO24" s="19"/>
      <c r="TWP24" s="19"/>
      <c r="TWQ24" s="19"/>
      <c r="TWR24" s="19"/>
      <c r="TWS24" s="19"/>
      <c r="TWT24" s="19"/>
      <c r="TWU24" s="19"/>
      <c r="TWV24" s="19"/>
      <c r="TWW24" s="19"/>
      <c r="TWX24" s="19"/>
      <c r="TWY24" s="19"/>
      <c r="TWZ24" s="19"/>
      <c r="TXA24" s="19"/>
      <c r="TXB24" s="19"/>
      <c r="TXC24" s="19"/>
      <c r="TXD24" s="19"/>
      <c r="TXE24" s="19"/>
      <c r="TXF24" s="19"/>
      <c r="TXG24" s="19"/>
      <c r="TXH24" s="19"/>
      <c r="TXI24" s="19"/>
      <c r="TXJ24" s="19"/>
      <c r="TXK24" s="19"/>
      <c r="TXL24" s="19"/>
      <c r="TXM24" s="19"/>
      <c r="TXN24" s="19"/>
      <c r="TXO24" s="19"/>
      <c r="TXP24" s="19"/>
      <c r="TXQ24" s="19"/>
      <c r="TXR24" s="19"/>
      <c r="TXS24" s="19"/>
      <c r="TXT24" s="19"/>
      <c r="TXU24" s="19"/>
      <c r="TXV24" s="19"/>
      <c r="TXW24" s="19"/>
      <c r="TXX24" s="19"/>
      <c r="TXY24" s="19"/>
      <c r="TXZ24" s="19"/>
      <c r="TYA24" s="19"/>
      <c r="TYB24" s="19"/>
      <c r="TYC24" s="19"/>
      <c r="TYD24" s="19"/>
      <c r="TYE24" s="19"/>
      <c r="TYF24" s="19"/>
      <c r="TYG24" s="19"/>
      <c r="TYH24" s="19"/>
      <c r="TYI24" s="19"/>
      <c r="TYJ24" s="19"/>
      <c r="TYK24" s="19"/>
      <c r="TYL24" s="19"/>
      <c r="TYM24" s="19"/>
      <c r="TYN24" s="19"/>
      <c r="TYO24" s="19"/>
      <c r="TYP24" s="19"/>
      <c r="TYQ24" s="19"/>
      <c r="TYR24" s="19"/>
      <c r="TYS24" s="19"/>
      <c r="TYT24" s="19"/>
      <c r="TYU24" s="19"/>
      <c r="TYV24" s="19"/>
      <c r="TYW24" s="19"/>
      <c r="TYX24" s="19"/>
      <c r="TYY24" s="19"/>
      <c r="TYZ24" s="19"/>
      <c r="TZA24" s="19"/>
      <c r="TZB24" s="19"/>
      <c r="TZC24" s="19"/>
      <c r="TZD24" s="19"/>
      <c r="TZE24" s="19"/>
      <c r="TZF24" s="19"/>
      <c r="TZG24" s="19"/>
      <c r="TZH24" s="19"/>
      <c r="TZI24" s="19"/>
      <c r="TZJ24" s="19"/>
      <c r="TZK24" s="19"/>
      <c r="TZL24" s="19"/>
      <c r="TZM24" s="19"/>
      <c r="TZN24" s="19"/>
      <c r="TZO24" s="19"/>
      <c r="TZP24" s="19"/>
      <c r="TZQ24" s="19"/>
      <c r="TZR24" s="19"/>
      <c r="TZS24" s="19"/>
      <c r="TZT24" s="19"/>
      <c r="TZU24" s="19"/>
      <c r="TZV24" s="19"/>
      <c r="TZW24" s="19"/>
      <c r="TZX24" s="19"/>
      <c r="TZY24" s="19"/>
      <c r="TZZ24" s="19"/>
      <c r="UAA24" s="19"/>
      <c r="UAB24" s="19"/>
      <c r="UAC24" s="19"/>
      <c r="UAD24" s="19"/>
      <c r="UAE24" s="19"/>
      <c r="UAF24" s="19"/>
      <c r="UAG24" s="19"/>
      <c r="UAH24" s="19"/>
      <c r="UAI24" s="19"/>
      <c r="UAJ24" s="19"/>
      <c r="UAK24" s="19"/>
      <c r="UAL24" s="19"/>
      <c r="UAM24" s="19"/>
      <c r="UAN24" s="19"/>
      <c r="UAO24" s="19"/>
      <c r="UAP24" s="19"/>
      <c r="UAQ24" s="19"/>
      <c r="UAR24" s="19"/>
      <c r="UAS24" s="19"/>
      <c r="UAT24" s="19"/>
      <c r="UAU24" s="19"/>
      <c r="UAV24" s="19"/>
      <c r="UAW24" s="19"/>
      <c r="UAX24" s="19"/>
      <c r="UAY24" s="19"/>
      <c r="UAZ24" s="19"/>
      <c r="UBA24" s="19"/>
      <c r="UBB24" s="19"/>
      <c r="UBC24" s="19"/>
      <c r="UBD24" s="19"/>
      <c r="UBE24" s="19"/>
      <c r="UBF24" s="19"/>
      <c r="UBG24" s="19"/>
      <c r="UBH24" s="19"/>
      <c r="UBI24" s="19"/>
      <c r="UBJ24" s="19"/>
      <c r="UBK24" s="19"/>
      <c r="UBL24" s="19"/>
      <c r="UBM24" s="19"/>
      <c r="UBN24" s="19"/>
      <c r="UBO24" s="19"/>
      <c r="UBP24" s="19"/>
      <c r="UBQ24" s="19"/>
      <c r="UBR24" s="19"/>
      <c r="UBS24" s="19"/>
      <c r="UBT24" s="19"/>
      <c r="UBU24" s="19"/>
      <c r="UBV24" s="19"/>
      <c r="UBW24" s="19"/>
      <c r="UBX24" s="19"/>
      <c r="UBY24" s="19"/>
      <c r="UBZ24" s="19"/>
      <c r="UCA24" s="19"/>
      <c r="UCB24" s="19"/>
      <c r="UCC24" s="19"/>
      <c r="UCD24" s="19"/>
      <c r="UCE24" s="19"/>
      <c r="UCF24" s="19"/>
      <c r="UCG24" s="19"/>
      <c r="UCH24" s="19"/>
      <c r="UCI24" s="19"/>
      <c r="UCJ24" s="19"/>
      <c r="UCK24" s="19"/>
      <c r="UCL24" s="19"/>
      <c r="UCM24" s="19"/>
      <c r="UCN24" s="19"/>
      <c r="UCO24" s="19"/>
      <c r="UCP24" s="19"/>
      <c r="UCQ24" s="19"/>
      <c r="UCR24" s="19"/>
      <c r="UCS24" s="19"/>
      <c r="UCT24" s="19"/>
      <c r="UCU24" s="19"/>
      <c r="UCV24" s="19"/>
      <c r="UCW24" s="19"/>
      <c r="UCX24" s="19"/>
      <c r="UCY24" s="19"/>
      <c r="UCZ24" s="19"/>
      <c r="UDA24" s="19"/>
      <c r="UDB24" s="19"/>
      <c r="UDC24" s="19"/>
      <c r="UDD24" s="19"/>
      <c r="UDE24" s="19"/>
      <c r="UDF24" s="19"/>
      <c r="UDG24" s="19"/>
      <c r="UDH24" s="19"/>
      <c r="UDI24" s="19"/>
      <c r="UDJ24" s="19"/>
      <c r="UDK24" s="19"/>
      <c r="UDL24" s="19"/>
      <c r="UDM24" s="19"/>
      <c r="UDN24" s="19"/>
      <c r="UDO24" s="19"/>
      <c r="UDP24" s="19"/>
      <c r="UDQ24" s="19"/>
      <c r="UDR24" s="19"/>
      <c r="UDS24" s="19"/>
      <c r="UDT24" s="19"/>
      <c r="UDU24" s="19"/>
      <c r="UDV24" s="19"/>
      <c r="UDW24" s="19"/>
      <c r="UDX24" s="19"/>
      <c r="UDY24" s="19"/>
      <c r="UDZ24" s="19"/>
      <c r="UEA24" s="19"/>
      <c r="UEB24" s="19"/>
      <c r="UEC24" s="19"/>
      <c r="UED24" s="19"/>
      <c r="UEE24" s="19"/>
      <c r="UEF24" s="19"/>
      <c r="UEG24" s="19"/>
      <c r="UEH24" s="19"/>
      <c r="UEI24" s="19"/>
      <c r="UEJ24" s="19"/>
      <c r="UEK24" s="19"/>
      <c r="UEL24" s="19"/>
      <c r="UEM24" s="19"/>
      <c r="UEN24" s="19"/>
      <c r="UEO24" s="19"/>
      <c r="UEP24" s="19"/>
      <c r="UEQ24" s="19"/>
      <c r="UER24" s="19"/>
      <c r="UES24" s="19"/>
      <c r="UET24" s="19"/>
      <c r="UEU24" s="19"/>
      <c r="UEV24" s="19"/>
      <c r="UEW24" s="19"/>
      <c r="UEX24" s="19"/>
      <c r="UEY24" s="19"/>
      <c r="UEZ24" s="19"/>
      <c r="UFA24" s="19"/>
      <c r="UFB24" s="19"/>
      <c r="UFC24" s="19"/>
      <c r="UFD24" s="19"/>
      <c r="UFE24" s="19"/>
      <c r="UFF24" s="19"/>
      <c r="UFG24" s="19"/>
      <c r="UFH24" s="19"/>
      <c r="UFI24" s="19"/>
      <c r="UFJ24" s="19"/>
      <c r="UFK24" s="19"/>
      <c r="UFL24" s="19"/>
      <c r="UFM24" s="19"/>
      <c r="UFN24" s="19"/>
      <c r="UFO24" s="19"/>
      <c r="UFP24" s="19"/>
      <c r="UFQ24" s="19"/>
      <c r="UFR24" s="19"/>
      <c r="UFS24" s="19"/>
      <c r="UFT24" s="19"/>
      <c r="UFU24" s="19"/>
      <c r="UFV24" s="19"/>
      <c r="UFW24" s="19"/>
      <c r="UFX24" s="19"/>
      <c r="UFY24" s="19"/>
      <c r="UFZ24" s="19"/>
      <c r="UGA24" s="19"/>
      <c r="UGB24" s="19"/>
      <c r="UGC24" s="19"/>
      <c r="UGD24" s="19"/>
      <c r="UGE24" s="19"/>
      <c r="UGF24" s="19"/>
      <c r="UGG24" s="19"/>
      <c r="UGH24" s="19"/>
      <c r="UGI24" s="19"/>
      <c r="UGJ24" s="19"/>
      <c r="UGK24" s="19"/>
      <c r="UGL24" s="19"/>
      <c r="UGM24" s="19"/>
      <c r="UGN24" s="19"/>
      <c r="UGO24" s="19"/>
      <c r="UGP24" s="19"/>
      <c r="UGQ24" s="19"/>
      <c r="UGR24" s="19"/>
      <c r="UGS24" s="19"/>
      <c r="UGT24" s="19"/>
      <c r="UGU24" s="19"/>
      <c r="UGV24" s="19"/>
      <c r="UGW24" s="19"/>
      <c r="UGX24" s="19"/>
      <c r="UGY24" s="19"/>
      <c r="UGZ24" s="19"/>
      <c r="UHA24" s="19"/>
      <c r="UHB24" s="19"/>
      <c r="UHC24" s="19"/>
      <c r="UHD24" s="19"/>
      <c r="UHE24" s="19"/>
      <c r="UHF24" s="19"/>
      <c r="UHG24" s="19"/>
      <c r="UHH24" s="19"/>
      <c r="UHI24" s="19"/>
      <c r="UHJ24" s="19"/>
      <c r="UHK24" s="19"/>
      <c r="UHL24" s="19"/>
      <c r="UHM24" s="19"/>
      <c r="UHN24" s="19"/>
      <c r="UHO24" s="19"/>
      <c r="UHP24" s="19"/>
      <c r="UHQ24" s="19"/>
      <c r="UHR24" s="19"/>
      <c r="UHS24" s="19"/>
      <c r="UHT24" s="19"/>
      <c r="UHU24" s="19"/>
      <c r="UHV24" s="19"/>
      <c r="UHW24" s="19"/>
      <c r="UHX24" s="19"/>
      <c r="UHY24" s="19"/>
      <c r="UHZ24" s="19"/>
      <c r="UIA24" s="19"/>
      <c r="UIB24" s="19"/>
      <c r="UIC24" s="19"/>
      <c r="UID24" s="19"/>
      <c r="UIE24" s="19"/>
      <c r="UIF24" s="19"/>
      <c r="UIG24" s="19"/>
      <c r="UIH24" s="19"/>
      <c r="UII24" s="19"/>
      <c r="UIJ24" s="19"/>
      <c r="UIK24" s="19"/>
      <c r="UIL24" s="19"/>
      <c r="UIM24" s="19"/>
      <c r="UIN24" s="19"/>
      <c r="UIO24" s="19"/>
      <c r="UIP24" s="19"/>
      <c r="UIQ24" s="19"/>
      <c r="UIR24" s="19"/>
      <c r="UIS24" s="19"/>
      <c r="UIT24" s="19"/>
      <c r="UIU24" s="19"/>
      <c r="UIV24" s="19"/>
      <c r="UIW24" s="19"/>
      <c r="UIX24" s="19"/>
      <c r="UIY24" s="19"/>
      <c r="UIZ24" s="19"/>
      <c r="UJA24" s="19"/>
      <c r="UJB24" s="19"/>
      <c r="UJC24" s="19"/>
      <c r="UJD24" s="19"/>
      <c r="UJE24" s="19"/>
      <c r="UJF24" s="19"/>
      <c r="UJG24" s="19"/>
      <c r="UJH24" s="19"/>
      <c r="UJI24" s="19"/>
      <c r="UJJ24" s="19"/>
      <c r="UJK24" s="19"/>
      <c r="UJL24" s="19"/>
      <c r="UJM24" s="19"/>
      <c r="UJN24" s="19"/>
      <c r="UJO24" s="19"/>
      <c r="UJP24" s="19"/>
      <c r="UJQ24" s="19"/>
      <c r="UJR24" s="19"/>
      <c r="UJS24" s="19"/>
      <c r="UJT24" s="19"/>
      <c r="UJU24" s="19"/>
      <c r="UJV24" s="19"/>
      <c r="UJW24" s="19"/>
      <c r="UJX24" s="19"/>
      <c r="UJY24" s="19"/>
      <c r="UJZ24" s="19"/>
      <c r="UKA24" s="19"/>
      <c r="UKB24" s="19"/>
      <c r="UKC24" s="19"/>
      <c r="UKD24" s="19"/>
      <c r="UKE24" s="19"/>
      <c r="UKF24" s="19"/>
      <c r="UKG24" s="19"/>
      <c r="UKH24" s="19"/>
      <c r="UKI24" s="19"/>
      <c r="UKJ24" s="19"/>
      <c r="UKK24" s="19"/>
      <c r="UKL24" s="19"/>
      <c r="UKM24" s="19"/>
      <c r="UKN24" s="19"/>
      <c r="UKO24" s="19"/>
      <c r="UKP24" s="19"/>
      <c r="UKQ24" s="19"/>
      <c r="UKR24" s="19"/>
      <c r="UKS24" s="19"/>
      <c r="UKT24" s="19"/>
      <c r="UKU24" s="19"/>
      <c r="UKV24" s="19"/>
      <c r="UKW24" s="19"/>
      <c r="UKX24" s="19"/>
      <c r="UKY24" s="19"/>
      <c r="UKZ24" s="19"/>
      <c r="ULA24" s="19"/>
      <c r="ULB24" s="19"/>
      <c r="ULC24" s="19"/>
      <c r="ULD24" s="19"/>
      <c r="ULE24" s="19"/>
      <c r="ULF24" s="19"/>
      <c r="ULG24" s="19"/>
      <c r="ULH24" s="19"/>
      <c r="ULI24" s="19"/>
      <c r="ULJ24" s="19"/>
      <c r="ULK24" s="19"/>
      <c r="ULL24" s="19"/>
      <c r="ULM24" s="19"/>
      <c r="ULN24" s="19"/>
      <c r="ULO24" s="19"/>
      <c r="ULP24" s="19"/>
      <c r="ULQ24" s="19"/>
      <c r="ULR24" s="19"/>
      <c r="ULS24" s="19"/>
      <c r="ULT24" s="19"/>
      <c r="ULU24" s="19"/>
      <c r="ULV24" s="19"/>
      <c r="ULW24" s="19"/>
      <c r="ULX24" s="19"/>
      <c r="ULY24" s="19"/>
      <c r="ULZ24" s="19"/>
      <c r="UMA24" s="19"/>
      <c r="UMB24" s="19"/>
      <c r="UMC24" s="19"/>
      <c r="UMD24" s="19"/>
      <c r="UME24" s="19"/>
      <c r="UMF24" s="19"/>
      <c r="UMG24" s="19"/>
      <c r="UMH24" s="19"/>
      <c r="UMI24" s="19"/>
      <c r="UMJ24" s="19"/>
      <c r="UMK24" s="19"/>
      <c r="UML24" s="19"/>
      <c r="UMM24" s="19"/>
      <c r="UMN24" s="19"/>
      <c r="UMO24" s="19"/>
      <c r="UMP24" s="19"/>
      <c r="UMQ24" s="19"/>
      <c r="UMR24" s="19"/>
      <c r="UMS24" s="19"/>
      <c r="UMT24" s="19"/>
      <c r="UMU24" s="19"/>
      <c r="UMV24" s="19"/>
      <c r="UMW24" s="19"/>
      <c r="UMX24" s="19"/>
      <c r="UMY24" s="19"/>
      <c r="UMZ24" s="19"/>
      <c r="UNA24" s="19"/>
      <c r="UNB24" s="19"/>
      <c r="UNC24" s="19"/>
      <c r="UND24" s="19"/>
      <c r="UNE24" s="19"/>
      <c r="UNF24" s="19"/>
      <c r="UNG24" s="19"/>
      <c r="UNH24" s="19"/>
      <c r="UNI24" s="19"/>
      <c r="UNJ24" s="19"/>
      <c r="UNK24" s="19"/>
      <c r="UNL24" s="19"/>
      <c r="UNM24" s="19"/>
      <c r="UNN24" s="19"/>
      <c r="UNO24" s="19"/>
      <c r="UNP24" s="19"/>
      <c r="UNQ24" s="19"/>
      <c r="UNR24" s="19"/>
      <c r="UNS24" s="19"/>
      <c r="UNT24" s="19"/>
      <c r="UNU24" s="19"/>
      <c r="UNV24" s="19"/>
      <c r="UNW24" s="19"/>
      <c r="UNX24" s="19"/>
      <c r="UNY24" s="19"/>
      <c r="UNZ24" s="19"/>
      <c r="UOA24" s="19"/>
      <c r="UOB24" s="19"/>
      <c r="UOC24" s="19"/>
      <c r="UOD24" s="19"/>
      <c r="UOE24" s="19"/>
      <c r="UOF24" s="19"/>
      <c r="UOG24" s="19"/>
      <c r="UOH24" s="19"/>
      <c r="UOI24" s="19"/>
      <c r="UOJ24" s="19"/>
      <c r="UOK24" s="19"/>
      <c r="UOL24" s="19"/>
      <c r="UOM24" s="19"/>
      <c r="UON24" s="19"/>
      <c r="UOO24" s="19"/>
      <c r="UOP24" s="19"/>
      <c r="UOQ24" s="19"/>
      <c r="UOR24" s="19"/>
      <c r="UOS24" s="19"/>
      <c r="UOT24" s="19"/>
      <c r="UOU24" s="19"/>
      <c r="UOV24" s="19"/>
      <c r="UOW24" s="19"/>
      <c r="UOX24" s="19"/>
      <c r="UOY24" s="19"/>
      <c r="UOZ24" s="19"/>
      <c r="UPA24" s="19"/>
      <c r="UPB24" s="19"/>
      <c r="UPC24" s="19"/>
      <c r="UPD24" s="19"/>
      <c r="UPE24" s="19"/>
      <c r="UPF24" s="19"/>
      <c r="UPG24" s="19"/>
      <c r="UPH24" s="19"/>
      <c r="UPI24" s="19"/>
      <c r="UPJ24" s="19"/>
      <c r="UPK24" s="19"/>
      <c r="UPL24" s="19"/>
      <c r="UPM24" s="19"/>
      <c r="UPN24" s="19"/>
      <c r="UPO24" s="19"/>
      <c r="UPP24" s="19"/>
      <c r="UPQ24" s="19"/>
      <c r="UPR24" s="19"/>
      <c r="UPS24" s="19"/>
      <c r="UPT24" s="19"/>
      <c r="UPU24" s="19"/>
      <c r="UPV24" s="19"/>
      <c r="UPW24" s="19"/>
      <c r="UPX24" s="19"/>
      <c r="UPY24" s="19"/>
      <c r="UPZ24" s="19"/>
      <c r="UQA24" s="19"/>
      <c r="UQB24" s="19"/>
      <c r="UQC24" s="19"/>
      <c r="UQD24" s="19"/>
      <c r="UQE24" s="19"/>
      <c r="UQF24" s="19"/>
      <c r="UQG24" s="19"/>
      <c r="UQH24" s="19"/>
      <c r="UQI24" s="19"/>
      <c r="UQJ24" s="19"/>
      <c r="UQK24" s="19"/>
      <c r="UQL24" s="19"/>
      <c r="UQM24" s="19"/>
      <c r="UQN24" s="19"/>
      <c r="UQO24" s="19"/>
      <c r="UQP24" s="19"/>
      <c r="UQQ24" s="19"/>
      <c r="UQR24" s="19"/>
      <c r="UQS24" s="19"/>
      <c r="UQT24" s="19"/>
      <c r="UQU24" s="19"/>
      <c r="UQV24" s="19"/>
      <c r="UQW24" s="19"/>
      <c r="UQX24" s="19"/>
      <c r="UQY24" s="19"/>
      <c r="UQZ24" s="19"/>
      <c r="URA24" s="19"/>
      <c r="URB24" s="19"/>
      <c r="URC24" s="19"/>
      <c r="URD24" s="19"/>
      <c r="URE24" s="19"/>
      <c r="URF24" s="19"/>
      <c r="URG24" s="19"/>
      <c r="URH24" s="19"/>
      <c r="URI24" s="19"/>
      <c r="URJ24" s="19"/>
      <c r="URK24" s="19"/>
      <c r="URL24" s="19"/>
      <c r="URM24" s="19"/>
      <c r="URN24" s="19"/>
      <c r="URO24" s="19"/>
      <c r="URP24" s="19"/>
      <c r="URQ24" s="19"/>
      <c r="URR24" s="19"/>
      <c r="URS24" s="19"/>
      <c r="URT24" s="19"/>
      <c r="URU24" s="19"/>
      <c r="URV24" s="19"/>
      <c r="URW24" s="19"/>
      <c r="URX24" s="19"/>
      <c r="URY24" s="19"/>
      <c r="URZ24" s="19"/>
      <c r="USA24" s="19"/>
      <c r="USB24" s="19"/>
      <c r="USC24" s="19"/>
      <c r="USD24" s="19"/>
      <c r="USE24" s="19"/>
      <c r="USF24" s="19"/>
      <c r="USG24" s="19"/>
      <c r="USH24" s="19"/>
      <c r="USI24" s="19"/>
      <c r="USJ24" s="19"/>
      <c r="USK24" s="19"/>
      <c r="USL24" s="19"/>
      <c r="USM24" s="19"/>
      <c r="USN24" s="19"/>
      <c r="USO24" s="19"/>
      <c r="USP24" s="19"/>
      <c r="USQ24" s="19"/>
      <c r="USR24" s="19"/>
      <c r="USS24" s="19"/>
      <c r="UST24" s="19"/>
      <c r="USU24" s="19"/>
      <c r="USV24" s="19"/>
      <c r="USW24" s="19"/>
      <c r="USX24" s="19"/>
      <c r="USY24" s="19"/>
      <c r="USZ24" s="19"/>
      <c r="UTA24" s="19"/>
      <c r="UTB24" s="19"/>
      <c r="UTC24" s="19"/>
      <c r="UTD24" s="19"/>
      <c r="UTE24" s="19"/>
      <c r="UTF24" s="19"/>
      <c r="UTG24" s="19"/>
      <c r="UTH24" s="19"/>
      <c r="UTI24" s="19"/>
      <c r="UTJ24" s="19"/>
      <c r="UTK24" s="19"/>
      <c r="UTL24" s="19"/>
      <c r="UTM24" s="19"/>
      <c r="UTN24" s="19"/>
      <c r="UTO24" s="19"/>
      <c r="UTP24" s="19"/>
      <c r="UTQ24" s="19"/>
      <c r="UTR24" s="19"/>
      <c r="UTS24" s="19"/>
      <c r="UTT24" s="19"/>
      <c r="UTU24" s="19"/>
      <c r="UTV24" s="19"/>
      <c r="UTW24" s="19"/>
      <c r="UTX24" s="19"/>
      <c r="UTY24" s="19"/>
      <c r="UTZ24" s="19"/>
      <c r="UUA24" s="19"/>
      <c r="UUB24" s="19"/>
      <c r="UUC24" s="19"/>
      <c r="UUD24" s="19"/>
      <c r="UUE24" s="19"/>
      <c r="UUF24" s="19"/>
      <c r="UUG24" s="19"/>
      <c r="UUH24" s="19"/>
      <c r="UUI24" s="19"/>
      <c r="UUJ24" s="19"/>
      <c r="UUK24" s="19"/>
      <c r="UUL24" s="19"/>
      <c r="UUM24" s="19"/>
      <c r="UUN24" s="19"/>
      <c r="UUO24" s="19"/>
      <c r="UUP24" s="19"/>
      <c r="UUQ24" s="19"/>
      <c r="UUR24" s="19"/>
      <c r="UUS24" s="19"/>
      <c r="UUT24" s="19"/>
      <c r="UUU24" s="19"/>
      <c r="UUV24" s="19"/>
      <c r="UUW24" s="19"/>
      <c r="UUX24" s="19"/>
      <c r="UUY24" s="19"/>
      <c r="UUZ24" s="19"/>
      <c r="UVA24" s="19"/>
      <c r="UVB24" s="19"/>
      <c r="UVC24" s="19"/>
      <c r="UVD24" s="19"/>
      <c r="UVE24" s="19"/>
      <c r="UVF24" s="19"/>
      <c r="UVG24" s="19"/>
      <c r="UVH24" s="19"/>
      <c r="UVI24" s="19"/>
      <c r="UVJ24" s="19"/>
      <c r="UVK24" s="19"/>
      <c r="UVL24" s="19"/>
      <c r="UVM24" s="19"/>
      <c r="UVN24" s="19"/>
      <c r="UVO24" s="19"/>
      <c r="UVP24" s="19"/>
      <c r="UVQ24" s="19"/>
      <c r="UVR24" s="19"/>
      <c r="UVS24" s="19"/>
      <c r="UVT24" s="19"/>
      <c r="UVU24" s="19"/>
      <c r="UVV24" s="19"/>
      <c r="UVW24" s="19"/>
      <c r="UVX24" s="19"/>
      <c r="UVY24" s="19"/>
      <c r="UVZ24" s="19"/>
      <c r="UWA24" s="19"/>
      <c r="UWB24" s="19"/>
      <c r="UWC24" s="19"/>
      <c r="UWD24" s="19"/>
      <c r="UWE24" s="19"/>
      <c r="UWF24" s="19"/>
      <c r="UWG24" s="19"/>
      <c r="UWH24" s="19"/>
      <c r="UWI24" s="19"/>
      <c r="UWJ24" s="19"/>
      <c r="UWK24" s="19"/>
      <c r="UWL24" s="19"/>
      <c r="UWM24" s="19"/>
      <c r="UWN24" s="19"/>
      <c r="UWO24" s="19"/>
      <c r="UWP24" s="19"/>
      <c r="UWQ24" s="19"/>
      <c r="UWR24" s="19"/>
      <c r="UWS24" s="19"/>
      <c r="UWT24" s="19"/>
      <c r="UWU24" s="19"/>
      <c r="UWV24" s="19"/>
      <c r="UWW24" s="19"/>
      <c r="UWX24" s="19"/>
      <c r="UWY24" s="19"/>
      <c r="UWZ24" s="19"/>
      <c r="UXA24" s="19"/>
      <c r="UXB24" s="19"/>
      <c r="UXC24" s="19"/>
      <c r="UXD24" s="19"/>
      <c r="UXE24" s="19"/>
      <c r="UXF24" s="19"/>
      <c r="UXG24" s="19"/>
      <c r="UXH24" s="19"/>
      <c r="UXI24" s="19"/>
      <c r="UXJ24" s="19"/>
      <c r="UXK24" s="19"/>
      <c r="UXL24" s="19"/>
      <c r="UXM24" s="19"/>
      <c r="UXN24" s="19"/>
      <c r="UXO24" s="19"/>
      <c r="UXP24" s="19"/>
      <c r="UXQ24" s="19"/>
      <c r="UXR24" s="19"/>
      <c r="UXS24" s="19"/>
      <c r="UXT24" s="19"/>
      <c r="UXU24" s="19"/>
      <c r="UXV24" s="19"/>
      <c r="UXW24" s="19"/>
      <c r="UXX24" s="19"/>
      <c r="UXY24" s="19"/>
      <c r="UXZ24" s="19"/>
      <c r="UYA24" s="19"/>
      <c r="UYB24" s="19"/>
      <c r="UYC24" s="19"/>
      <c r="UYD24" s="19"/>
      <c r="UYE24" s="19"/>
      <c r="UYF24" s="19"/>
      <c r="UYG24" s="19"/>
      <c r="UYH24" s="19"/>
      <c r="UYI24" s="19"/>
      <c r="UYJ24" s="19"/>
      <c r="UYK24" s="19"/>
      <c r="UYL24" s="19"/>
      <c r="UYM24" s="19"/>
      <c r="UYN24" s="19"/>
      <c r="UYO24" s="19"/>
      <c r="UYP24" s="19"/>
      <c r="UYQ24" s="19"/>
      <c r="UYR24" s="19"/>
      <c r="UYS24" s="19"/>
      <c r="UYT24" s="19"/>
      <c r="UYU24" s="19"/>
      <c r="UYV24" s="19"/>
      <c r="UYW24" s="19"/>
      <c r="UYX24" s="19"/>
      <c r="UYY24" s="19"/>
      <c r="UYZ24" s="19"/>
      <c r="UZA24" s="19"/>
      <c r="UZB24" s="19"/>
      <c r="UZC24" s="19"/>
      <c r="UZD24" s="19"/>
      <c r="UZE24" s="19"/>
      <c r="UZF24" s="19"/>
      <c r="UZG24" s="19"/>
      <c r="UZH24" s="19"/>
      <c r="UZI24" s="19"/>
      <c r="UZJ24" s="19"/>
      <c r="UZK24" s="19"/>
      <c r="UZL24" s="19"/>
      <c r="UZM24" s="19"/>
      <c r="UZN24" s="19"/>
      <c r="UZO24" s="19"/>
      <c r="UZP24" s="19"/>
      <c r="UZQ24" s="19"/>
      <c r="UZR24" s="19"/>
      <c r="UZS24" s="19"/>
      <c r="UZT24" s="19"/>
      <c r="UZU24" s="19"/>
      <c r="UZV24" s="19"/>
      <c r="UZW24" s="19"/>
      <c r="UZX24" s="19"/>
      <c r="UZY24" s="19"/>
      <c r="UZZ24" s="19"/>
      <c r="VAA24" s="19"/>
      <c r="VAB24" s="19"/>
      <c r="VAC24" s="19"/>
      <c r="VAD24" s="19"/>
      <c r="VAE24" s="19"/>
      <c r="VAF24" s="19"/>
      <c r="VAG24" s="19"/>
      <c r="VAH24" s="19"/>
      <c r="VAI24" s="19"/>
      <c r="VAJ24" s="19"/>
      <c r="VAK24" s="19"/>
      <c r="VAL24" s="19"/>
      <c r="VAM24" s="19"/>
      <c r="VAN24" s="19"/>
      <c r="VAO24" s="19"/>
      <c r="VAP24" s="19"/>
      <c r="VAQ24" s="19"/>
      <c r="VAR24" s="19"/>
      <c r="VAS24" s="19"/>
      <c r="VAT24" s="19"/>
      <c r="VAU24" s="19"/>
      <c r="VAV24" s="19"/>
      <c r="VAW24" s="19"/>
      <c r="VAX24" s="19"/>
      <c r="VAY24" s="19"/>
      <c r="VAZ24" s="19"/>
      <c r="VBA24" s="19"/>
      <c r="VBB24" s="19"/>
      <c r="VBC24" s="19"/>
      <c r="VBD24" s="19"/>
      <c r="VBE24" s="19"/>
      <c r="VBF24" s="19"/>
      <c r="VBG24" s="19"/>
      <c r="VBH24" s="19"/>
      <c r="VBI24" s="19"/>
      <c r="VBJ24" s="19"/>
      <c r="VBK24" s="19"/>
      <c r="VBL24" s="19"/>
      <c r="VBM24" s="19"/>
      <c r="VBN24" s="19"/>
      <c r="VBO24" s="19"/>
      <c r="VBP24" s="19"/>
      <c r="VBQ24" s="19"/>
      <c r="VBR24" s="19"/>
      <c r="VBS24" s="19"/>
      <c r="VBT24" s="19"/>
      <c r="VBU24" s="19"/>
      <c r="VBV24" s="19"/>
      <c r="VBW24" s="19"/>
      <c r="VBX24" s="19"/>
      <c r="VBY24" s="19"/>
      <c r="VBZ24" s="19"/>
      <c r="VCA24" s="19"/>
      <c r="VCB24" s="19"/>
      <c r="VCC24" s="19"/>
      <c r="VCD24" s="19"/>
      <c r="VCE24" s="19"/>
      <c r="VCF24" s="19"/>
      <c r="VCG24" s="19"/>
      <c r="VCH24" s="19"/>
      <c r="VCI24" s="19"/>
      <c r="VCJ24" s="19"/>
      <c r="VCK24" s="19"/>
      <c r="VCL24" s="19"/>
      <c r="VCM24" s="19"/>
      <c r="VCN24" s="19"/>
      <c r="VCO24" s="19"/>
      <c r="VCP24" s="19"/>
      <c r="VCQ24" s="19"/>
      <c r="VCR24" s="19"/>
      <c r="VCS24" s="19"/>
      <c r="VCT24" s="19"/>
      <c r="VCU24" s="19"/>
      <c r="VCV24" s="19"/>
      <c r="VCW24" s="19"/>
      <c r="VCX24" s="19"/>
      <c r="VCY24" s="19"/>
      <c r="VCZ24" s="19"/>
      <c r="VDA24" s="19"/>
      <c r="VDB24" s="19"/>
      <c r="VDC24" s="19"/>
      <c r="VDD24" s="19"/>
      <c r="VDE24" s="19"/>
      <c r="VDF24" s="19"/>
      <c r="VDG24" s="19"/>
      <c r="VDH24" s="19"/>
      <c r="VDI24" s="19"/>
      <c r="VDJ24" s="19"/>
      <c r="VDK24" s="19"/>
      <c r="VDL24" s="19"/>
      <c r="VDM24" s="19"/>
      <c r="VDN24" s="19"/>
      <c r="VDO24" s="19"/>
      <c r="VDP24" s="19"/>
      <c r="VDQ24" s="19"/>
      <c r="VDR24" s="19"/>
      <c r="VDS24" s="19"/>
      <c r="VDT24" s="19"/>
      <c r="VDU24" s="19"/>
      <c r="VDV24" s="19"/>
      <c r="VDW24" s="19"/>
      <c r="VDX24" s="19"/>
      <c r="VDY24" s="19"/>
      <c r="VDZ24" s="19"/>
      <c r="VEA24" s="19"/>
      <c r="VEB24" s="19"/>
      <c r="VEC24" s="19"/>
      <c r="VED24" s="19"/>
      <c r="VEE24" s="19"/>
      <c r="VEF24" s="19"/>
      <c r="VEG24" s="19"/>
      <c r="VEH24" s="19"/>
      <c r="VEI24" s="19"/>
      <c r="VEJ24" s="19"/>
      <c r="VEK24" s="19"/>
      <c r="VEL24" s="19"/>
      <c r="VEM24" s="19"/>
      <c r="VEN24" s="19"/>
      <c r="VEO24" s="19"/>
      <c r="VEP24" s="19"/>
      <c r="VEQ24" s="19"/>
      <c r="VER24" s="19"/>
      <c r="VES24" s="19"/>
      <c r="VET24" s="19"/>
      <c r="VEU24" s="19"/>
      <c r="VEV24" s="19"/>
      <c r="VEW24" s="19"/>
      <c r="VEX24" s="19"/>
      <c r="VEY24" s="19"/>
      <c r="VEZ24" s="19"/>
      <c r="VFA24" s="19"/>
      <c r="VFB24" s="19"/>
      <c r="VFC24" s="19"/>
      <c r="VFD24" s="19"/>
      <c r="VFE24" s="19"/>
      <c r="VFF24" s="19"/>
      <c r="VFG24" s="19"/>
      <c r="VFH24" s="19"/>
      <c r="VFI24" s="19"/>
      <c r="VFJ24" s="19"/>
      <c r="VFK24" s="19"/>
      <c r="VFL24" s="19"/>
      <c r="VFM24" s="19"/>
      <c r="VFN24" s="19"/>
      <c r="VFO24" s="19"/>
      <c r="VFP24" s="19"/>
      <c r="VFQ24" s="19"/>
      <c r="VFR24" s="19"/>
      <c r="VFS24" s="19"/>
      <c r="VFT24" s="19"/>
      <c r="VFU24" s="19"/>
      <c r="VFV24" s="19"/>
      <c r="VFW24" s="19"/>
      <c r="VFX24" s="19"/>
      <c r="VFY24" s="19"/>
      <c r="VFZ24" s="19"/>
      <c r="VGA24" s="19"/>
      <c r="VGB24" s="19"/>
      <c r="VGC24" s="19"/>
      <c r="VGD24" s="19"/>
      <c r="VGE24" s="19"/>
      <c r="VGF24" s="19"/>
      <c r="VGG24" s="19"/>
      <c r="VGH24" s="19"/>
      <c r="VGI24" s="19"/>
      <c r="VGJ24" s="19"/>
      <c r="VGK24" s="19"/>
      <c r="VGL24" s="19"/>
      <c r="VGM24" s="19"/>
      <c r="VGN24" s="19"/>
      <c r="VGO24" s="19"/>
      <c r="VGP24" s="19"/>
      <c r="VGQ24" s="19"/>
      <c r="VGR24" s="19"/>
      <c r="VGS24" s="19"/>
      <c r="VGT24" s="19"/>
      <c r="VGU24" s="19"/>
      <c r="VGV24" s="19"/>
      <c r="VGW24" s="19"/>
      <c r="VGX24" s="19"/>
      <c r="VGY24" s="19"/>
      <c r="VGZ24" s="19"/>
      <c r="VHA24" s="19"/>
      <c r="VHB24" s="19"/>
      <c r="VHC24" s="19"/>
      <c r="VHD24" s="19"/>
      <c r="VHE24" s="19"/>
      <c r="VHF24" s="19"/>
      <c r="VHG24" s="19"/>
      <c r="VHH24" s="19"/>
      <c r="VHI24" s="19"/>
      <c r="VHJ24" s="19"/>
      <c r="VHK24" s="19"/>
      <c r="VHL24" s="19"/>
      <c r="VHM24" s="19"/>
      <c r="VHN24" s="19"/>
      <c r="VHO24" s="19"/>
      <c r="VHP24" s="19"/>
      <c r="VHQ24" s="19"/>
      <c r="VHR24" s="19"/>
      <c r="VHS24" s="19"/>
      <c r="VHT24" s="19"/>
      <c r="VHU24" s="19"/>
      <c r="VHV24" s="19"/>
      <c r="VHW24" s="19"/>
      <c r="VHX24" s="19"/>
      <c r="VHY24" s="19"/>
      <c r="VHZ24" s="19"/>
      <c r="VIA24" s="19"/>
      <c r="VIB24" s="19"/>
      <c r="VIC24" s="19"/>
      <c r="VID24" s="19"/>
      <c r="VIE24" s="19"/>
      <c r="VIF24" s="19"/>
      <c r="VIG24" s="19"/>
      <c r="VIH24" s="19"/>
      <c r="VII24" s="19"/>
      <c r="VIJ24" s="19"/>
      <c r="VIK24" s="19"/>
      <c r="VIL24" s="19"/>
      <c r="VIM24" s="19"/>
      <c r="VIN24" s="19"/>
      <c r="VIO24" s="19"/>
      <c r="VIP24" s="19"/>
      <c r="VIQ24" s="19"/>
      <c r="VIR24" s="19"/>
      <c r="VIS24" s="19"/>
      <c r="VIT24" s="19"/>
      <c r="VIU24" s="19"/>
      <c r="VIV24" s="19"/>
      <c r="VIW24" s="19"/>
      <c r="VIX24" s="19"/>
      <c r="VIY24" s="19"/>
      <c r="VIZ24" s="19"/>
      <c r="VJA24" s="19"/>
      <c r="VJB24" s="19"/>
      <c r="VJC24" s="19"/>
      <c r="VJD24" s="19"/>
      <c r="VJE24" s="19"/>
      <c r="VJF24" s="19"/>
      <c r="VJG24" s="19"/>
      <c r="VJH24" s="19"/>
      <c r="VJI24" s="19"/>
      <c r="VJJ24" s="19"/>
      <c r="VJK24" s="19"/>
      <c r="VJL24" s="19"/>
      <c r="VJM24" s="19"/>
      <c r="VJN24" s="19"/>
      <c r="VJO24" s="19"/>
      <c r="VJP24" s="19"/>
      <c r="VJQ24" s="19"/>
      <c r="VJR24" s="19"/>
      <c r="VJS24" s="19"/>
      <c r="VJT24" s="19"/>
      <c r="VJU24" s="19"/>
      <c r="VJV24" s="19"/>
      <c r="VJW24" s="19"/>
      <c r="VJX24" s="19"/>
      <c r="VJY24" s="19"/>
      <c r="VJZ24" s="19"/>
      <c r="VKA24" s="19"/>
      <c r="VKB24" s="19"/>
      <c r="VKC24" s="19"/>
      <c r="VKD24" s="19"/>
      <c r="VKE24" s="19"/>
      <c r="VKF24" s="19"/>
      <c r="VKG24" s="19"/>
      <c r="VKH24" s="19"/>
      <c r="VKI24" s="19"/>
      <c r="VKJ24" s="19"/>
      <c r="VKK24" s="19"/>
      <c r="VKL24" s="19"/>
      <c r="VKM24" s="19"/>
      <c r="VKN24" s="19"/>
      <c r="VKO24" s="19"/>
      <c r="VKP24" s="19"/>
      <c r="VKQ24" s="19"/>
      <c r="VKR24" s="19"/>
      <c r="VKS24" s="19"/>
      <c r="VKT24" s="19"/>
      <c r="VKU24" s="19"/>
      <c r="VKV24" s="19"/>
      <c r="VKW24" s="19"/>
      <c r="VKX24" s="19"/>
      <c r="VKY24" s="19"/>
      <c r="VKZ24" s="19"/>
      <c r="VLA24" s="19"/>
      <c r="VLB24" s="19"/>
      <c r="VLC24" s="19"/>
      <c r="VLD24" s="19"/>
      <c r="VLE24" s="19"/>
      <c r="VLF24" s="19"/>
      <c r="VLG24" s="19"/>
      <c r="VLH24" s="19"/>
      <c r="VLI24" s="19"/>
      <c r="VLJ24" s="19"/>
      <c r="VLK24" s="19"/>
      <c r="VLL24" s="19"/>
      <c r="VLM24" s="19"/>
      <c r="VLN24" s="19"/>
      <c r="VLO24" s="19"/>
      <c r="VLP24" s="19"/>
      <c r="VLQ24" s="19"/>
      <c r="VLR24" s="19"/>
      <c r="VLS24" s="19"/>
      <c r="VLT24" s="19"/>
      <c r="VLU24" s="19"/>
      <c r="VLV24" s="19"/>
      <c r="VLW24" s="19"/>
      <c r="VLX24" s="19"/>
      <c r="VLY24" s="19"/>
      <c r="VLZ24" s="19"/>
      <c r="VMA24" s="19"/>
      <c r="VMB24" s="19"/>
      <c r="VMC24" s="19"/>
      <c r="VMD24" s="19"/>
      <c r="VME24" s="19"/>
      <c r="VMF24" s="19"/>
      <c r="VMG24" s="19"/>
      <c r="VMH24" s="19"/>
      <c r="VMI24" s="19"/>
      <c r="VMJ24" s="19"/>
      <c r="VMK24" s="19"/>
      <c r="VML24" s="19"/>
      <c r="VMM24" s="19"/>
      <c r="VMN24" s="19"/>
      <c r="VMO24" s="19"/>
      <c r="VMP24" s="19"/>
      <c r="VMQ24" s="19"/>
      <c r="VMR24" s="19"/>
      <c r="VMS24" s="19"/>
      <c r="VMT24" s="19"/>
      <c r="VMU24" s="19"/>
      <c r="VMV24" s="19"/>
      <c r="VMW24" s="19"/>
      <c r="VMX24" s="19"/>
      <c r="VMY24" s="19"/>
      <c r="VMZ24" s="19"/>
      <c r="VNA24" s="19"/>
      <c r="VNB24" s="19"/>
      <c r="VNC24" s="19"/>
      <c r="VND24" s="19"/>
      <c r="VNE24" s="19"/>
      <c r="VNF24" s="19"/>
      <c r="VNG24" s="19"/>
      <c r="VNH24" s="19"/>
      <c r="VNI24" s="19"/>
      <c r="VNJ24" s="19"/>
      <c r="VNK24" s="19"/>
      <c r="VNL24" s="19"/>
      <c r="VNM24" s="19"/>
      <c r="VNN24" s="19"/>
      <c r="VNO24" s="19"/>
      <c r="VNP24" s="19"/>
      <c r="VNQ24" s="19"/>
      <c r="VNR24" s="19"/>
      <c r="VNS24" s="19"/>
      <c r="VNT24" s="19"/>
      <c r="VNU24" s="19"/>
      <c r="VNV24" s="19"/>
      <c r="VNW24" s="19"/>
      <c r="VNX24" s="19"/>
      <c r="VNY24" s="19"/>
      <c r="VNZ24" s="19"/>
      <c r="VOA24" s="19"/>
      <c r="VOB24" s="19"/>
      <c r="VOC24" s="19"/>
      <c r="VOD24" s="19"/>
      <c r="VOE24" s="19"/>
      <c r="VOF24" s="19"/>
      <c r="VOG24" s="19"/>
      <c r="VOH24" s="19"/>
      <c r="VOI24" s="19"/>
      <c r="VOJ24" s="19"/>
      <c r="VOK24" s="19"/>
      <c r="VOL24" s="19"/>
      <c r="VOM24" s="19"/>
      <c r="VON24" s="19"/>
      <c r="VOO24" s="19"/>
      <c r="VOP24" s="19"/>
      <c r="VOQ24" s="19"/>
      <c r="VOR24" s="19"/>
      <c r="VOS24" s="19"/>
      <c r="VOT24" s="19"/>
      <c r="VOU24" s="19"/>
      <c r="VOV24" s="19"/>
      <c r="VOW24" s="19"/>
      <c r="VOX24" s="19"/>
      <c r="VOY24" s="19"/>
      <c r="VOZ24" s="19"/>
      <c r="VPA24" s="19"/>
      <c r="VPB24" s="19"/>
      <c r="VPC24" s="19"/>
      <c r="VPD24" s="19"/>
      <c r="VPE24" s="19"/>
      <c r="VPF24" s="19"/>
      <c r="VPG24" s="19"/>
      <c r="VPH24" s="19"/>
      <c r="VPI24" s="19"/>
      <c r="VPJ24" s="19"/>
      <c r="VPK24" s="19"/>
      <c r="VPL24" s="19"/>
      <c r="VPM24" s="19"/>
      <c r="VPN24" s="19"/>
      <c r="VPO24" s="19"/>
      <c r="VPP24" s="19"/>
      <c r="VPQ24" s="19"/>
      <c r="VPR24" s="19"/>
      <c r="VPS24" s="19"/>
      <c r="VPT24" s="19"/>
      <c r="VPU24" s="19"/>
      <c r="VPV24" s="19"/>
      <c r="VPW24" s="19"/>
      <c r="VPX24" s="19"/>
      <c r="VPY24" s="19"/>
      <c r="VPZ24" s="19"/>
      <c r="VQA24" s="19"/>
      <c r="VQB24" s="19"/>
      <c r="VQC24" s="19"/>
      <c r="VQD24" s="19"/>
      <c r="VQE24" s="19"/>
      <c r="VQF24" s="19"/>
      <c r="VQG24" s="19"/>
      <c r="VQH24" s="19"/>
      <c r="VQI24" s="19"/>
      <c r="VQJ24" s="19"/>
      <c r="VQK24" s="19"/>
      <c r="VQL24" s="19"/>
      <c r="VQM24" s="19"/>
      <c r="VQN24" s="19"/>
      <c r="VQO24" s="19"/>
      <c r="VQP24" s="19"/>
      <c r="VQQ24" s="19"/>
      <c r="VQR24" s="19"/>
      <c r="VQS24" s="19"/>
      <c r="VQT24" s="19"/>
      <c r="VQU24" s="19"/>
      <c r="VQV24" s="19"/>
      <c r="VQW24" s="19"/>
      <c r="VQX24" s="19"/>
      <c r="VQY24" s="19"/>
      <c r="VQZ24" s="19"/>
      <c r="VRA24" s="19"/>
      <c r="VRB24" s="19"/>
      <c r="VRC24" s="19"/>
      <c r="VRD24" s="19"/>
      <c r="VRE24" s="19"/>
      <c r="VRF24" s="19"/>
      <c r="VRG24" s="19"/>
      <c r="VRH24" s="19"/>
      <c r="VRI24" s="19"/>
      <c r="VRJ24" s="19"/>
      <c r="VRK24" s="19"/>
      <c r="VRL24" s="19"/>
      <c r="VRM24" s="19"/>
      <c r="VRN24" s="19"/>
      <c r="VRO24" s="19"/>
      <c r="VRP24" s="19"/>
      <c r="VRQ24" s="19"/>
      <c r="VRR24" s="19"/>
      <c r="VRS24" s="19"/>
      <c r="VRT24" s="19"/>
      <c r="VRU24" s="19"/>
      <c r="VRV24" s="19"/>
      <c r="VRW24" s="19"/>
      <c r="VRX24" s="19"/>
      <c r="VRY24" s="19"/>
      <c r="VRZ24" s="19"/>
      <c r="VSA24" s="19"/>
      <c r="VSB24" s="19"/>
      <c r="VSC24" s="19"/>
      <c r="VSD24" s="19"/>
      <c r="VSE24" s="19"/>
      <c r="VSF24" s="19"/>
      <c r="VSG24" s="19"/>
      <c r="VSH24" s="19"/>
      <c r="VSI24" s="19"/>
      <c r="VSJ24" s="19"/>
      <c r="VSK24" s="19"/>
      <c r="VSL24" s="19"/>
      <c r="VSM24" s="19"/>
      <c r="VSN24" s="19"/>
      <c r="VSO24" s="19"/>
      <c r="VSP24" s="19"/>
      <c r="VSQ24" s="19"/>
      <c r="VSR24" s="19"/>
      <c r="VSS24" s="19"/>
      <c r="VST24" s="19"/>
      <c r="VSU24" s="19"/>
      <c r="VSV24" s="19"/>
      <c r="VSW24" s="19"/>
      <c r="VSX24" s="19"/>
      <c r="VSY24" s="19"/>
      <c r="VSZ24" s="19"/>
      <c r="VTA24" s="19"/>
      <c r="VTB24" s="19"/>
      <c r="VTC24" s="19"/>
      <c r="VTD24" s="19"/>
      <c r="VTE24" s="19"/>
      <c r="VTF24" s="19"/>
      <c r="VTG24" s="19"/>
      <c r="VTH24" s="19"/>
      <c r="VTI24" s="19"/>
      <c r="VTJ24" s="19"/>
      <c r="VTK24" s="19"/>
      <c r="VTL24" s="19"/>
      <c r="VTM24" s="19"/>
      <c r="VTN24" s="19"/>
      <c r="VTO24" s="19"/>
      <c r="VTP24" s="19"/>
      <c r="VTQ24" s="19"/>
      <c r="VTR24" s="19"/>
      <c r="VTS24" s="19"/>
      <c r="VTT24" s="19"/>
      <c r="VTU24" s="19"/>
      <c r="VTV24" s="19"/>
      <c r="VTW24" s="19"/>
      <c r="VTX24" s="19"/>
      <c r="VTY24" s="19"/>
      <c r="VTZ24" s="19"/>
      <c r="VUA24" s="19"/>
      <c r="VUB24" s="19"/>
      <c r="VUC24" s="19"/>
      <c r="VUD24" s="19"/>
      <c r="VUE24" s="19"/>
      <c r="VUF24" s="19"/>
      <c r="VUG24" s="19"/>
      <c r="VUH24" s="19"/>
      <c r="VUI24" s="19"/>
      <c r="VUJ24" s="19"/>
      <c r="VUK24" s="19"/>
      <c r="VUL24" s="19"/>
      <c r="VUM24" s="19"/>
      <c r="VUN24" s="19"/>
      <c r="VUO24" s="19"/>
      <c r="VUP24" s="19"/>
      <c r="VUQ24" s="19"/>
      <c r="VUR24" s="19"/>
      <c r="VUS24" s="19"/>
      <c r="VUT24" s="19"/>
      <c r="VUU24" s="19"/>
      <c r="VUV24" s="19"/>
      <c r="VUW24" s="19"/>
      <c r="VUX24" s="19"/>
      <c r="VUY24" s="19"/>
      <c r="VUZ24" s="19"/>
      <c r="VVA24" s="19"/>
      <c r="VVB24" s="19"/>
      <c r="VVC24" s="19"/>
      <c r="VVD24" s="19"/>
      <c r="VVE24" s="19"/>
      <c r="VVF24" s="19"/>
      <c r="VVG24" s="19"/>
      <c r="VVH24" s="19"/>
      <c r="VVI24" s="19"/>
      <c r="VVJ24" s="19"/>
      <c r="VVK24" s="19"/>
      <c r="VVL24" s="19"/>
      <c r="VVM24" s="19"/>
      <c r="VVN24" s="19"/>
      <c r="VVO24" s="19"/>
      <c r="VVP24" s="19"/>
      <c r="VVQ24" s="19"/>
      <c r="VVR24" s="19"/>
      <c r="VVS24" s="19"/>
      <c r="VVT24" s="19"/>
      <c r="VVU24" s="19"/>
      <c r="VVV24" s="19"/>
      <c r="VVW24" s="19"/>
      <c r="VVX24" s="19"/>
      <c r="VVY24" s="19"/>
      <c r="VVZ24" s="19"/>
      <c r="VWA24" s="19"/>
      <c r="VWB24" s="19"/>
      <c r="VWC24" s="19"/>
      <c r="VWD24" s="19"/>
      <c r="VWE24" s="19"/>
      <c r="VWF24" s="19"/>
      <c r="VWG24" s="19"/>
      <c r="VWH24" s="19"/>
      <c r="VWI24" s="19"/>
      <c r="VWJ24" s="19"/>
      <c r="VWK24" s="19"/>
      <c r="VWL24" s="19"/>
      <c r="VWM24" s="19"/>
      <c r="VWN24" s="19"/>
      <c r="VWO24" s="19"/>
      <c r="VWP24" s="19"/>
      <c r="VWQ24" s="19"/>
      <c r="VWR24" s="19"/>
      <c r="VWS24" s="19"/>
      <c r="VWT24" s="19"/>
      <c r="VWU24" s="19"/>
      <c r="VWV24" s="19"/>
      <c r="VWW24" s="19"/>
      <c r="VWX24" s="19"/>
      <c r="VWY24" s="19"/>
      <c r="VWZ24" s="19"/>
      <c r="VXA24" s="19"/>
      <c r="VXB24" s="19"/>
      <c r="VXC24" s="19"/>
      <c r="VXD24" s="19"/>
      <c r="VXE24" s="19"/>
      <c r="VXF24" s="19"/>
      <c r="VXG24" s="19"/>
      <c r="VXH24" s="19"/>
      <c r="VXI24" s="19"/>
      <c r="VXJ24" s="19"/>
      <c r="VXK24" s="19"/>
      <c r="VXL24" s="19"/>
      <c r="VXM24" s="19"/>
      <c r="VXN24" s="19"/>
      <c r="VXO24" s="19"/>
      <c r="VXP24" s="19"/>
      <c r="VXQ24" s="19"/>
      <c r="VXR24" s="19"/>
      <c r="VXS24" s="19"/>
      <c r="VXT24" s="19"/>
      <c r="VXU24" s="19"/>
      <c r="VXV24" s="19"/>
      <c r="VXW24" s="19"/>
      <c r="VXX24" s="19"/>
      <c r="VXY24" s="19"/>
      <c r="VXZ24" s="19"/>
      <c r="VYA24" s="19"/>
      <c r="VYB24" s="19"/>
      <c r="VYC24" s="19"/>
      <c r="VYD24" s="19"/>
      <c r="VYE24" s="19"/>
      <c r="VYF24" s="19"/>
      <c r="VYG24" s="19"/>
      <c r="VYH24" s="19"/>
      <c r="VYI24" s="19"/>
      <c r="VYJ24" s="19"/>
      <c r="VYK24" s="19"/>
      <c r="VYL24" s="19"/>
      <c r="VYM24" s="19"/>
      <c r="VYN24" s="19"/>
      <c r="VYO24" s="19"/>
      <c r="VYP24" s="19"/>
      <c r="VYQ24" s="19"/>
      <c r="VYR24" s="19"/>
      <c r="VYS24" s="19"/>
      <c r="VYT24" s="19"/>
      <c r="VYU24" s="19"/>
      <c r="VYV24" s="19"/>
      <c r="VYW24" s="19"/>
      <c r="VYX24" s="19"/>
      <c r="VYY24" s="19"/>
      <c r="VYZ24" s="19"/>
      <c r="VZA24" s="19"/>
      <c r="VZB24" s="19"/>
      <c r="VZC24" s="19"/>
      <c r="VZD24" s="19"/>
      <c r="VZE24" s="19"/>
      <c r="VZF24" s="19"/>
      <c r="VZG24" s="19"/>
      <c r="VZH24" s="19"/>
      <c r="VZI24" s="19"/>
      <c r="VZJ24" s="19"/>
      <c r="VZK24" s="19"/>
      <c r="VZL24" s="19"/>
      <c r="VZM24" s="19"/>
      <c r="VZN24" s="19"/>
      <c r="VZO24" s="19"/>
      <c r="VZP24" s="19"/>
      <c r="VZQ24" s="19"/>
      <c r="VZR24" s="19"/>
      <c r="VZS24" s="19"/>
      <c r="VZT24" s="19"/>
      <c r="VZU24" s="19"/>
      <c r="VZV24" s="19"/>
      <c r="VZW24" s="19"/>
      <c r="VZX24" s="19"/>
      <c r="VZY24" s="19"/>
      <c r="VZZ24" s="19"/>
      <c r="WAA24" s="19"/>
      <c r="WAB24" s="19"/>
      <c r="WAC24" s="19"/>
      <c r="WAD24" s="19"/>
      <c r="WAE24" s="19"/>
      <c r="WAF24" s="19"/>
      <c r="WAG24" s="19"/>
      <c r="WAH24" s="19"/>
      <c r="WAI24" s="19"/>
      <c r="WAJ24" s="19"/>
      <c r="WAK24" s="19"/>
      <c r="WAL24" s="19"/>
      <c r="WAM24" s="19"/>
      <c r="WAN24" s="19"/>
      <c r="WAO24" s="19"/>
      <c r="WAP24" s="19"/>
      <c r="WAQ24" s="19"/>
      <c r="WAR24" s="19"/>
      <c r="WAS24" s="19"/>
      <c r="WAT24" s="19"/>
      <c r="WAU24" s="19"/>
      <c r="WAV24" s="19"/>
      <c r="WAW24" s="19"/>
      <c r="WAX24" s="19"/>
      <c r="WAY24" s="19"/>
      <c r="WAZ24" s="19"/>
      <c r="WBA24" s="19"/>
      <c r="WBB24" s="19"/>
      <c r="WBC24" s="19"/>
      <c r="WBD24" s="19"/>
      <c r="WBE24" s="19"/>
      <c r="WBF24" s="19"/>
      <c r="WBG24" s="19"/>
      <c r="WBH24" s="19"/>
      <c r="WBI24" s="19"/>
      <c r="WBJ24" s="19"/>
      <c r="WBK24" s="19"/>
      <c r="WBL24" s="19"/>
      <c r="WBM24" s="19"/>
      <c r="WBN24" s="19"/>
      <c r="WBO24" s="19"/>
      <c r="WBP24" s="19"/>
      <c r="WBQ24" s="19"/>
      <c r="WBR24" s="19"/>
      <c r="WBS24" s="19"/>
      <c r="WBT24" s="19"/>
      <c r="WBU24" s="19"/>
      <c r="WBV24" s="19"/>
      <c r="WBW24" s="19"/>
      <c r="WBX24" s="19"/>
      <c r="WBY24" s="19"/>
      <c r="WBZ24" s="19"/>
      <c r="WCA24" s="19"/>
      <c r="WCB24" s="19"/>
      <c r="WCC24" s="19"/>
      <c r="WCD24" s="19"/>
      <c r="WCE24" s="19"/>
      <c r="WCF24" s="19"/>
      <c r="WCG24" s="19"/>
      <c r="WCH24" s="19"/>
      <c r="WCI24" s="19"/>
      <c r="WCJ24" s="19"/>
      <c r="WCK24" s="19"/>
      <c r="WCL24" s="19"/>
      <c r="WCM24" s="19"/>
      <c r="WCN24" s="19"/>
      <c r="WCO24" s="19"/>
      <c r="WCP24" s="19"/>
      <c r="WCQ24" s="19"/>
      <c r="WCR24" s="19"/>
      <c r="WCS24" s="19"/>
      <c r="WCT24" s="19"/>
      <c r="WCU24" s="19"/>
      <c r="WCV24" s="19"/>
      <c r="WCW24" s="19"/>
      <c r="WCX24" s="19"/>
      <c r="WCY24" s="19"/>
      <c r="WCZ24" s="19"/>
      <c r="WDA24" s="19"/>
      <c r="WDB24" s="19"/>
      <c r="WDC24" s="19"/>
      <c r="WDD24" s="19"/>
      <c r="WDE24" s="19"/>
      <c r="WDF24" s="19"/>
      <c r="WDG24" s="19"/>
      <c r="WDH24" s="19"/>
      <c r="WDI24" s="19"/>
      <c r="WDJ24" s="19"/>
      <c r="WDK24" s="19"/>
      <c r="WDL24" s="19"/>
      <c r="WDM24" s="19"/>
      <c r="WDN24" s="19"/>
      <c r="WDO24" s="19"/>
      <c r="WDP24" s="19"/>
      <c r="WDQ24" s="19"/>
      <c r="WDR24" s="19"/>
      <c r="WDS24" s="19"/>
      <c r="WDT24" s="19"/>
      <c r="WDU24" s="19"/>
      <c r="WDV24" s="19"/>
      <c r="WDW24" s="19"/>
      <c r="WDX24" s="19"/>
      <c r="WDY24" s="19"/>
      <c r="WDZ24" s="19"/>
      <c r="WEA24" s="19"/>
      <c r="WEB24" s="19"/>
      <c r="WEC24" s="19"/>
      <c r="WED24" s="19"/>
      <c r="WEE24" s="19"/>
      <c r="WEF24" s="19"/>
      <c r="WEG24" s="19"/>
      <c r="WEH24" s="19"/>
      <c r="WEI24" s="19"/>
      <c r="WEJ24" s="19"/>
      <c r="WEK24" s="19"/>
      <c r="WEL24" s="19"/>
      <c r="WEM24" s="19"/>
      <c r="WEN24" s="19"/>
      <c r="WEO24" s="19"/>
      <c r="WEP24" s="19"/>
      <c r="WEQ24" s="19"/>
      <c r="WER24" s="19"/>
      <c r="WES24" s="19"/>
      <c r="WET24" s="19"/>
      <c r="WEU24" s="19"/>
      <c r="WEV24" s="19"/>
      <c r="WEW24" s="19"/>
      <c r="WEX24" s="19"/>
      <c r="WEY24" s="19"/>
      <c r="WEZ24" s="19"/>
      <c r="WFA24" s="19"/>
      <c r="WFB24" s="19"/>
      <c r="WFC24" s="19"/>
      <c r="WFD24" s="19"/>
      <c r="WFE24" s="19"/>
      <c r="WFF24" s="19"/>
      <c r="WFG24" s="19"/>
      <c r="WFH24" s="19"/>
      <c r="WFI24" s="19"/>
      <c r="WFJ24" s="19"/>
      <c r="WFK24" s="19"/>
      <c r="WFL24" s="19"/>
      <c r="WFM24" s="19"/>
      <c r="WFN24" s="19"/>
      <c r="WFO24" s="19"/>
      <c r="WFP24" s="19"/>
      <c r="WFQ24" s="19"/>
      <c r="WFR24" s="19"/>
      <c r="WFS24" s="19"/>
      <c r="WFT24" s="19"/>
      <c r="WFU24" s="19"/>
      <c r="WFV24" s="19"/>
      <c r="WFW24" s="19"/>
      <c r="WFX24" s="19"/>
      <c r="WFY24" s="19"/>
      <c r="WFZ24" s="19"/>
      <c r="WGA24" s="19"/>
      <c r="WGB24" s="19"/>
      <c r="WGC24" s="19"/>
      <c r="WGD24" s="19"/>
      <c r="WGE24" s="19"/>
      <c r="WGF24" s="19"/>
      <c r="WGG24" s="19"/>
      <c r="WGH24" s="19"/>
      <c r="WGI24" s="19"/>
      <c r="WGJ24" s="19"/>
      <c r="WGK24" s="19"/>
      <c r="WGL24" s="19"/>
      <c r="WGM24" s="19"/>
      <c r="WGN24" s="19"/>
      <c r="WGO24" s="19"/>
      <c r="WGP24" s="19"/>
      <c r="WGQ24" s="19"/>
      <c r="WGR24" s="19"/>
      <c r="WGS24" s="19"/>
      <c r="WGT24" s="19"/>
      <c r="WGU24" s="19"/>
      <c r="WGV24" s="19"/>
      <c r="WGW24" s="19"/>
      <c r="WGX24" s="19"/>
      <c r="WGY24" s="19"/>
      <c r="WGZ24" s="19"/>
      <c r="WHA24" s="19"/>
      <c r="WHB24" s="19"/>
      <c r="WHC24" s="19"/>
      <c r="WHD24" s="19"/>
      <c r="WHE24" s="19"/>
      <c r="WHF24" s="19"/>
      <c r="WHG24" s="19"/>
      <c r="WHH24" s="19"/>
      <c r="WHI24" s="19"/>
      <c r="WHJ24" s="19"/>
      <c r="WHK24" s="19"/>
      <c r="WHL24" s="19"/>
      <c r="WHM24" s="19"/>
      <c r="WHN24" s="19"/>
      <c r="WHO24" s="19"/>
      <c r="WHP24" s="19"/>
      <c r="WHQ24" s="19"/>
      <c r="WHR24" s="19"/>
      <c r="WHS24" s="19"/>
      <c r="WHT24" s="19"/>
      <c r="WHU24" s="19"/>
      <c r="WHV24" s="19"/>
      <c r="WHW24" s="19"/>
      <c r="WHX24" s="19"/>
      <c r="WHY24" s="19"/>
      <c r="WHZ24" s="19"/>
      <c r="WIA24" s="19"/>
      <c r="WIB24" s="19"/>
      <c r="WIC24" s="19"/>
      <c r="WID24" s="19"/>
      <c r="WIE24" s="19"/>
      <c r="WIF24" s="19"/>
      <c r="WIG24" s="19"/>
      <c r="WIH24" s="19"/>
      <c r="WII24" s="19"/>
      <c r="WIJ24" s="19"/>
      <c r="WIK24" s="19"/>
      <c r="WIL24" s="19"/>
      <c r="WIM24" s="19"/>
      <c r="WIN24" s="19"/>
      <c r="WIO24" s="19"/>
      <c r="WIP24" s="19"/>
      <c r="WIQ24" s="19"/>
      <c r="WIR24" s="19"/>
      <c r="WIS24" s="19"/>
      <c r="WIT24" s="19"/>
      <c r="WIU24" s="19"/>
      <c r="WIV24" s="19"/>
      <c r="WIW24" s="19"/>
      <c r="WIX24" s="19"/>
      <c r="WIY24" s="19"/>
      <c r="WIZ24" s="19"/>
      <c r="WJA24" s="19"/>
      <c r="WJB24" s="19"/>
      <c r="WJC24" s="19"/>
      <c r="WJD24" s="19"/>
      <c r="WJE24" s="19"/>
      <c r="WJF24" s="19"/>
      <c r="WJG24" s="19"/>
      <c r="WJH24" s="19"/>
      <c r="WJI24" s="19"/>
      <c r="WJJ24" s="19"/>
      <c r="WJK24" s="19"/>
      <c r="WJL24" s="19"/>
      <c r="WJM24" s="19"/>
      <c r="WJN24" s="19"/>
      <c r="WJO24" s="19"/>
      <c r="WJP24" s="19"/>
      <c r="WJQ24" s="19"/>
      <c r="WJR24" s="19"/>
      <c r="WJS24" s="19"/>
      <c r="WJT24" s="19"/>
      <c r="WJU24" s="19"/>
      <c r="WJV24" s="19"/>
      <c r="WJW24" s="19"/>
      <c r="WJX24" s="19"/>
      <c r="WJY24" s="19"/>
      <c r="WJZ24" s="19"/>
      <c r="WKA24" s="19"/>
      <c r="WKB24" s="19"/>
      <c r="WKC24" s="19"/>
      <c r="WKD24" s="19"/>
      <c r="WKE24" s="19"/>
      <c r="WKF24" s="19"/>
      <c r="WKG24" s="19"/>
      <c r="WKH24" s="19"/>
      <c r="WKI24" s="19"/>
      <c r="WKJ24" s="19"/>
      <c r="WKK24" s="19"/>
      <c r="WKL24" s="19"/>
      <c r="WKM24" s="19"/>
      <c r="WKN24" s="19"/>
      <c r="WKO24" s="19"/>
      <c r="WKP24" s="19"/>
      <c r="WKQ24" s="19"/>
      <c r="WKR24" s="19"/>
      <c r="WKS24" s="19"/>
      <c r="WKT24" s="19"/>
      <c r="WKU24" s="19"/>
      <c r="WKV24" s="19"/>
      <c r="WKW24" s="19"/>
      <c r="WKX24" s="19"/>
      <c r="WKY24" s="19"/>
      <c r="WKZ24" s="19"/>
      <c r="WLA24" s="19"/>
      <c r="WLB24" s="19"/>
      <c r="WLC24" s="19"/>
      <c r="WLD24" s="19"/>
      <c r="WLE24" s="19"/>
      <c r="WLF24" s="19"/>
      <c r="WLG24" s="19"/>
      <c r="WLH24" s="19"/>
      <c r="WLI24" s="19"/>
      <c r="WLJ24" s="19"/>
      <c r="WLK24" s="19"/>
      <c r="WLL24" s="19"/>
      <c r="WLM24" s="19"/>
      <c r="WLN24" s="19"/>
      <c r="WLO24" s="19"/>
      <c r="WLP24" s="19"/>
      <c r="WLQ24" s="19"/>
      <c r="WLR24" s="19"/>
      <c r="WLS24" s="19"/>
      <c r="WLT24" s="19"/>
      <c r="WLU24" s="19"/>
      <c r="WLV24" s="19"/>
      <c r="WLW24" s="19"/>
      <c r="WLX24" s="19"/>
      <c r="WLY24" s="19"/>
      <c r="WLZ24" s="19"/>
      <c r="WMA24" s="19"/>
      <c r="WMB24" s="19"/>
      <c r="WMC24" s="19"/>
      <c r="WMD24" s="19"/>
      <c r="WME24" s="19"/>
      <c r="WMF24" s="19"/>
      <c r="WMG24" s="19"/>
      <c r="WMH24" s="19"/>
      <c r="WMI24" s="19"/>
      <c r="WMJ24" s="19"/>
      <c r="WMK24" s="19"/>
      <c r="WML24" s="19"/>
      <c r="WMM24" s="19"/>
      <c r="WMN24" s="19"/>
      <c r="WMO24" s="19"/>
      <c r="WMP24" s="19"/>
      <c r="WMQ24" s="19"/>
      <c r="WMR24" s="19"/>
      <c r="WMS24" s="19"/>
      <c r="WMT24" s="19"/>
      <c r="WMU24" s="19"/>
      <c r="WMV24" s="19"/>
      <c r="WMW24" s="19"/>
      <c r="WMX24" s="19"/>
      <c r="WMY24" s="19"/>
      <c r="WMZ24" s="19"/>
      <c r="WNA24" s="19"/>
      <c r="WNB24" s="19"/>
      <c r="WNC24" s="19"/>
      <c r="WND24" s="19"/>
      <c r="WNE24" s="19"/>
      <c r="WNF24" s="19"/>
      <c r="WNG24" s="19"/>
      <c r="WNH24" s="19"/>
      <c r="WNI24" s="19"/>
      <c r="WNJ24" s="19"/>
      <c r="WNK24" s="19"/>
      <c r="WNL24" s="19"/>
      <c r="WNM24" s="19"/>
      <c r="WNN24" s="19"/>
      <c r="WNO24" s="19"/>
      <c r="WNP24" s="19"/>
      <c r="WNQ24" s="19"/>
      <c r="WNR24" s="19"/>
      <c r="WNS24" s="19"/>
      <c r="WNT24" s="19"/>
      <c r="WNU24" s="19"/>
      <c r="WNV24" s="19"/>
      <c r="WNW24" s="19"/>
      <c r="WNX24" s="19"/>
      <c r="WNY24" s="19"/>
      <c r="WNZ24" s="19"/>
      <c r="WOA24" s="19"/>
      <c r="WOB24" s="19"/>
      <c r="WOC24" s="19"/>
      <c r="WOD24" s="19"/>
      <c r="WOE24" s="19"/>
      <c r="WOF24" s="19"/>
      <c r="WOG24" s="19"/>
      <c r="WOH24" s="19"/>
      <c r="WOI24" s="19"/>
      <c r="WOJ24" s="19"/>
      <c r="WOK24" s="19"/>
      <c r="WOL24" s="19"/>
      <c r="WOM24" s="19"/>
      <c r="WON24" s="19"/>
      <c r="WOO24" s="19"/>
      <c r="WOP24" s="19"/>
      <c r="WOQ24" s="19"/>
      <c r="WOR24" s="19"/>
      <c r="WOS24" s="19"/>
      <c r="WOT24" s="19"/>
      <c r="WOU24" s="19"/>
      <c r="WOV24" s="19"/>
      <c r="WOW24" s="19"/>
      <c r="WOX24" s="19"/>
      <c r="WOY24" s="19"/>
      <c r="WOZ24" s="19"/>
      <c r="WPA24" s="19"/>
      <c r="WPB24" s="19"/>
      <c r="WPC24" s="19"/>
      <c r="WPD24" s="19"/>
      <c r="WPE24" s="19"/>
      <c r="WPF24" s="19"/>
      <c r="WPG24" s="19"/>
      <c r="WPH24" s="19"/>
      <c r="WPI24" s="19"/>
      <c r="WPJ24" s="19"/>
      <c r="WPK24" s="19"/>
      <c r="WPL24" s="19"/>
      <c r="WPM24" s="19"/>
      <c r="WPN24" s="19"/>
      <c r="WPO24" s="19"/>
      <c r="WPP24" s="19"/>
      <c r="WPQ24" s="19"/>
      <c r="WPR24" s="19"/>
      <c r="WPS24" s="19"/>
      <c r="WPT24" s="19"/>
      <c r="WPU24" s="19"/>
      <c r="WPV24" s="19"/>
      <c r="WPW24" s="19"/>
      <c r="WPX24" s="19"/>
      <c r="WPY24" s="19"/>
      <c r="WPZ24" s="19"/>
      <c r="WQA24" s="19"/>
      <c r="WQB24" s="19"/>
      <c r="WQC24" s="19"/>
      <c r="WQD24" s="19"/>
      <c r="WQE24" s="19"/>
      <c r="WQF24" s="19"/>
      <c r="WQG24" s="19"/>
      <c r="WQH24" s="19"/>
      <c r="WQI24" s="19"/>
      <c r="WQJ24" s="19"/>
      <c r="WQK24" s="19"/>
      <c r="WQL24" s="19"/>
      <c r="WQM24" s="19"/>
      <c r="WQN24" s="19"/>
      <c r="WQO24" s="19"/>
      <c r="WQP24" s="19"/>
      <c r="WQQ24" s="19"/>
      <c r="WQR24" s="19"/>
      <c r="WQS24" s="19"/>
      <c r="WQT24" s="19"/>
      <c r="WQU24" s="19"/>
      <c r="WQV24" s="19"/>
      <c r="WQW24" s="19"/>
      <c r="WQX24" s="19"/>
      <c r="WQY24" s="19"/>
      <c r="WQZ24" s="19"/>
      <c r="WRA24" s="19"/>
      <c r="WRB24" s="19"/>
      <c r="WRC24" s="19"/>
      <c r="WRD24" s="19"/>
      <c r="WRE24" s="19"/>
      <c r="WRF24" s="19"/>
      <c r="WRG24" s="19"/>
      <c r="WRH24" s="19"/>
      <c r="WRI24" s="19"/>
      <c r="WRJ24" s="19"/>
      <c r="WRK24" s="19"/>
      <c r="WRL24" s="19"/>
      <c r="WRM24" s="19"/>
      <c r="WRN24" s="19"/>
      <c r="WRO24" s="19"/>
      <c r="WRP24" s="19"/>
      <c r="WRQ24" s="19"/>
      <c r="WRR24" s="19"/>
      <c r="WRS24" s="19"/>
      <c r="WRT24" s="19"/>
      <c r="WRU24" s="19"/>
      <c r="WRV24" s="19"/>
      <c r="WRW24" s="19"/>
      <c r="WRX24" s="19"/>
      <c r="WRY24" s="19"/>
      <c r="WRZ24" s="19"/>
      <c r="WSA24" s="19"/>
      <c r="WSB24" s="19"/>
      <c r="WSC24" s="19"/>
      <c r="WSD24" s="19"/>
      <c r="WSE24" s="19"/>
      <c r="WSF24" s="19"/>
      <c r="WSG24" s="19"/>
      <c r="WSH24" s="19"/>
      <c r="WSI24" s="19"/>
      <c r="WSJ24" s="19"/>
      <c r="WSK24" s="19"/>
      <c r="WSL24" s="19"/>
      <c r="WSM24" s="19"/>
      <c r="WSN24" s="19"/>
      <c r="WSO24" s="19"/>
      <c r="WSP24" s="19"/>
      <c r="WSQ24" s="19"/>
      <c r="WSR24" s="19"/>
      <c r="WSS24" s="19"/>
      <c r="WST24" s="19"/>
      <c r="WSU24" s="19"/>
      <c r="WSV24" s="19"/>
      <c r="WSW24" s="19"/>
      <c r="WSX24" s="19"/>
      <c r="WSY24" s="19"/>
      <c r="WSZ24" s="19"/>
      <c r="WTA24" s="19"/>
      <c r="WTB24" s="19"/>
      <c r="WTC24" s="19"/>
      <c r="WTD24" s="19"/>
      <c r="WTE24" s="19"/>
      <c r="WTF24" s="19"/>
      <c r="WTG24" s="19"/>
      <c r="WTH24" s="19"/>
      <c r="WTI24" s="19"/>
      <c r="WTJ24" s="19"/>
      <c r="WTK24" s="19"/>
      <c r="WTL24" s="19"/>
      <c r="WTM24" s="19"/>
      <c r="WTN24" s="19"/>
      <c r="WTO24" s="19"/>
      <c r="WTP24" s="19"/>
      <c r="WTQ24" s="19"/>
      <c r="WTR24" s="19"/>
      <c r="WTS24" s="19"/>
      <c r="WTT24" s="19"/>
      <c r="WTU24" s="19"/>
      <c r="WTV24" s="19"/>
      <c r="WTW24" s="19"/>
      <c r="WTX24" s="19"/>
      <c r="WTY24" s="19"/>
      <c r="WTZ24" s="19"/>
      <c r="WUA24" s="19"/>
      <c r="WUB24" s="19"/>
      <c r="WUC24" s="19"/>
      <c r="WUD24" s="19"/>
      <c r="WUE24" s="19"/>
      <c r="WUF24" s="19"/>
      <c r="WUG24" s="19"/>
      <c r="WUH24" s="19"/>
      <c r="WUI24" s="19"/>
      <c r="WUJ24" s="19"/>
      <c r="WUK24" s="19"/>
      <c r="WUL24" s="19"/>
      <c r="WUM24" s="19"/>
      <c r="WUN24" s="19"/>
      <c r="WUO24" s="19"/>
      <c r="WUP24" s="19"/>
      <c r="WUQ24" s="19"/>
      <c r="WUR24" s="19"/>
      <c r="WUS24" s="19"/>
      <c r="WUT24" s="19"/>
      <c r="WUU24" s="19"/>
      <c r="WUV24" s="19"/>
      <c r="WUW24" s="19"/>
      <c r="WUX24" s="19"/>
      <c r="WUY24" s="19"/>
      <c r="WUZ24" s="19"/>
      <c r="WVA24" s="19"/>
      <c r="WVB24" s="19"/>
      <c r="WVC24" s="19"/>
      <c r="WVD24" s="19"/>
      <c r="WVE24" s="19"/>
      <c r="WVF24" s="19"/>
      <c r="WVG24" s="19"/>
      <c r="WVH24" s="19"/>
      <c r="WVI24" s="19"/>
      <c r="WVJ24" s="19"/>
      <c r="WVK24" s="19"/>
      <c r="WVL24" s="19"/>
      <c r="WVM24" s="19"/>
      <c r="WVN24" s="19"/>
      <c r="WVO24" s="19"/>
      <c r="WVP24" s="19"/>
      <c r="WVQ24" s="19"/>
      <c r="WVR24" s="19"/>
      <c r="WVS24" s="19"/>
      <c r="WVT24" s="19"/>
      <c r="WVU24" s="19"/>
      <c r="WVV24" s="19"/>
      <c r="WVW24" s="19"/>
      <c r="WVX24" s="19"/>
      <c r="WVY24" s="19"/>
      <c r="WVZ24" s="19"/>
      <c r="WWA24" s="19"/>
      <c r="WWB24" s="19"/>
      <c r="WWC24" s="19"/>
      <c r="WWD24" s="19"/>
      <c r="WWE24" s="19"/>
      <c r="WWF24" s="19"/>
      <c r="WWG24" s="19"/>
      <c r="WWH24" s="19"/>
      <c r="WWI24" s="19"/>
      <c r="WWJ24" s="19"/>
      <c r="WWK24" s="19"/>
      <c r="WWL24" s="19"/>
      <c r="WWM24" s="19"/>
      <c r="WWN24" s="19"/>
      <c r="WWO24" s="19"/>
      <c r="WWP24" s="19"/>
      <c r="WWQ24" s="19"/>
      <c r="WWR24" s="19"/>
      <c r="WWS24" s="19"/>
      <c r="WWT24" s="19"/>
      <c r="WWU24" s="19"/>
      <c r="WWV24" s="19"/>
      <c r="WWW24" s="19"/>
      <c r="WWX24" s="19"/>
      <c r="WWY24" s="19"/>
      <c r="WWZ24" s="19"/>
      <c r="WXA24" s="19"/>
      <c r="WXB24" s="19"/>
      <c r="WXC24" s="19"/>
      <c r="WXD24" s="19"/>
      <c r="WXE24" s="19"/>
      <c r="WXF24" s="19"/>
      <c r="WXG24" s="19"/>
      <c r="WXH24" s="19"/>
      <c r="WXI24" s="19"/>
      <c r="WXJ24" s="19"/>
      <c r="WXK24" s="19"/>
      <c r="WXL24" s="19"/>
      <c r="WXM24" s="19"/>
      <c r="WXN24" s="19"/>
      <c r="WXO24" s="19"/>
      <c r="WXP24" s="19"/>
      <c r="WXQ24" s="19"/>
      <c r="WXR24" s="19"/>
      <c r="WXS24" s="19"/>
      <c r="WXT24" s="19"/>
      <c r="WXU24" s="19"/>
      <c r="WXV24" s="19"/>
      <c r="WXW24" s="19"/>
      <c r="WXX24" s="19"/>
      <c r="WXY24" s="19"/>
      <c r="WXZ24" s="19"/>
      <c r="WYA24" s="19"/>
      <c r="WYB24" s="19"/>
      <c r="WYC24" s="19"/>
      <c r="WYD24" s="19"/>
      <c r="WYE24" s="19"/>
      <c r="WYF24" s="19"/>
      <c r="WYG24" s="19"/>
      <c r="WYH24" s="19"/>
      <c r="WYI24" s="19"/>
      <c r="WYJ24" s="19"/>
      <c r="WYK24" s="19"/>
      <c r="WYL24" s="19"/>
      <c r="WYM24" s="19"/>
      <c r="WYN24" s="19"/>
      <c r="WYO24" s="19"/>
      <c r="WYP24" s="19"/>
      <c r="WYQ24" s="19"/>
      <c r="WYR24" s="19"/>
      <c r="WYS24" s="19"/>
      <c r="WYT24" s="19"/>
      <c r="WYU24" s="19"/>
      <c r="WYV24" s="19"/>
      <c r="WYW24" s="19"/>
      <c r="WYX24" s="19"/>
      <c r="WYY24" s="19"/>
      <c r="WYZ24" s="19"/>
      <c r="WZA24" s="19"/>
      <c r="WZB24" s="19"/>
      <c r="WZC24" s="19"/>
      <c r="WZD24" s="19"/>
      <c r="WZE24" s="19"/>
      <c r="WZF24" s="19"/>
      <c r="WZG24" s="19"/>
      <c r="WZH24" s="19"/>
      <c r="WZI24" s="19"/>
      <c r="WZJ24" s="19"/>
      <c r="WZK24" s="19"/>
      <c r="WZL24" s="19"/>
      <c r="WZM24" s="19"/>
      <c r="WZN24" s="19"/>
      <c r="WZO24" s="19"/>
      <c r="WZP24" s="19"/>
      <c r="WZQ24" s="19"/>
      <c r="WZR24" s="19"/>
      <c r="WZS24" s="19"/>
      <c r="WZT24" s="19"/>
      <c r="WZU24" s="19"/>
      <c r="WZV24" s="19"/>
      <c r="WZW24" s="19"/>
      <c r="WZX24" s="19"/>
      <c r="WZY24" s="19"/>
      <c r="WZZ24" s="19"/>
      <c r="XAA24" s="19"/>
      <c r="XAB24" s="19"/>
      <c r="XAC24" s="19"/>
      <c r="XAD24" s="19"/>
      <c r="XAE24" s="19"/>
      <c r="XAF24" s="19"/>
      <c r="XAG24" s="19"/>
      <c r="XAH24" s="19"/>
      <c r="XAI24" s="19"/>
      <c r="XAJ24" s="19"/>
      <c r="XAK24" s="19"/>
      <c r="XAL24" s="19"/>
      <c r="XAM24" s="19"/>
      <c r="XAN24" s="19"/>
      <c r="XAO24" s="19"/>
      <c r="XAP24" s="19"/>
      <c r="XAQ24" s="19"/>
      <c r="XAR24" s="19"/>
      <c r="XAS24" s="19"/>
      <c r="XAT24" s="19"/>
      <c r="XAU24" s="19"/>
      <c r="XAV24" s="19"/>
      <c r="XAW24" s="19"/>
      <c r="XAX24" s="19"/>
      <c r="XAY24" s="19"/>
      <c r="XAZ24" s="19"/>
      <c r="XBA24" s="19"/>
      <c r="XBB24" s="19"/>
      <c r="XBC24" s="19"/>
      <c r="XBD24" s="19"/>
      <c r="XBE24" s="19"/>
      <c r="XBF24" s="19"/>
      <c r="XBG24" s="19"/>
      <c r="XBH24" s="19"/>
      <c r="XBI24" s="19"/>
      <c r="XBJ24" s="19"/>
      <c r="XBK24" s="19"/>
      <c r="XBL24" s="19"/>
      <c r="XBM24" s="19"/>
      <c r="XBN24" s="19"/>
      <c r="XBO24" s="19"/>
      <c r="XBP24" s="19"/>
      <c r="XBQ24" s="19"/>
      <c r="XBR24" s="19"/>
      <c r="XBS24" s="19"/>
      <c r="XBT24" s="19"/>
      <c r="XBU24" s="19"/>
      <c r="XBV24" s="19"/>
      <c r="XBW24" s="19"/>
      <c r="XBX24" s="19"/>
      <c r="XBY24" s="19"/>
      <c r="XBZ24" s="19"/>
      <c r="XCA24" s="19"/>
      <c r="XCB24" s="19"/>
      <c r="XCC24" s="19"/>
      <c r="XCD24" s="19"/>
      <c r="XCE24" s="19"/>
      <c r="XCF24" s="19"/>
      <c r="XCG24" s="19"/>
      <c r="XCH24" s="19"/>
      <c r="XCI24" s="19"/>
      <c r="XCJ24" s="19"/>
      <c r="XCK24" s="19"/>
      <c r="XCL24" s="19"/>
      <c r="XCM24" s="19"/>
      <c r="XCN24" s="19"/>
      <c r="XCO24" s="19"/>
      <c r="XCP24" s="19"/>
      <c r="XCQ24" s="19"/>
      <c r="XCR24" s="19"/>
      <c r="XCS24" s="19"/>
      <c r="XCT24" s="19"/>
      <c r="XCU24" s="19"/>
      <c r="XCV24" s="19"/>
      <c r="XCW24" s="19"/>
      <c r="XCX24" s="19"/>
      <c r="XCY24" s="19"/>
      <c r="XCZ24" s="19"/>
      <c r="XDA24" s="19"/>
      <c r="XDB24" s="19"/>
      <c r="XDC24" s="19"/>
      <c r="XDD24" s="19"/>
      <c r="XDE24" s="19"/>
      <c r="XDF24" s="19"/>
      <c r="XDG24" s="19"/>
      <c r="XDH24" s="19"/>
      <c r="XDI24" s="19"/>
      <c r="XDJ24" s="19"/>
      <c r="XDK24" s="19"/>
      <c r="XDL24" s="19"/>
      <c r="XDM24" s="19"/>
      <c r="XDN24" s="19"/>
      <c r="XDO24" s="19"/>
      <c r="XDP24" s="19"/>
      <c r="XDQ24" s="19"/>
      <c r="XDR24" s="19"/>
      <c r="XDS24" s="19"/>
      <c r="XDT24" s="19"/>
      <c r="XDU24" s="19"/>
      <c r="XDV24" s="19"/>
      <c r="XDW24" s="19"/>
      <c r="XDX24" s="19"/>
      <c r="XDY24" s="19"/>
      <c r="XDZ24" s="19"/>
      <c r="XEA24" s="19"/>
      <c r="XEB24" s="19"/>
      <c r="XEC24" s="19"/>
      <c r="XED24" s="19"/>
      <c r="XEE24" s="19"/>
      <c r="XEF24" s="19"/>
      <c r="XEG24" s="19"/>
      <c r="XEH24" s="19"/>
      <c r="XEI24" s="19"/>
      <c r="XEJ24" s="19"/>
      <c r="XEK24" s="19"/>
      <c r="XEL24" s="19"/>
      <c r="XEM24" s="19"/>
      <c r="XEN24" s="19"/>
      <c r="XEO24" s="19"/>
      <c r="XEP24" s="19"/>
      <c r="XEQ24" s="19"/>
      <c r="XER24" s="19"/>
      <c r="XES24" s="19"/>
      <c r="XET24" s="19"/>
      <c r="XEU24" s="19"/>
      <c r="XEV24" s="19"/>
      <c r="XEW24" s="19"/>
      <c r="XEX24" s="19"/>
      <c r="XEY24" s="19"/>
      <c r="XEZ24" s="19"/>
      <c r="XFA24" s="19"/>
      <c r="XFB24" s="19"/>
    </row>
    <row r="25" spans="1:16382" s="18" customFormat="1" ht="15" customHeight="1" x14ac:dyDescent="0.25"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  <c r="AAB25" s="19"/>
      <c r="AAC25" s="19"/>
      <c r="AAD25" s="19"/>
      <c r="AAE25" s="19"/>
      <c r="AAF25" s="19"/>
      <c r="AAG25" s="19"/>
      <c r="AAH25" s="19"/>
      <c r="AAI25" s="19"/>
      <c r="AAJ25" s="19"/>
      <c r="AAK25" s="19"/>
      <c r="AAL25" s="19"/>
      <c r="AAM25" s="19"/>
      <c r="AAN25" s="19"/>
      <c r="AAO25" s="19"/>
      <c r="AAP25" s="19"/>
      <c r="AAQ25" s="19"/>
      <c r="AAR25" s="19"/>
      <c r="AAS25" s="19"/>
      <c r="AAT25" s="19"/>
      <c r="AAU25" s="19"/>
      <c r="AAV25" s="19"/>
      <c r="AAW25" s="19"/>
      <c r="AAX25" s="19"/>
      <c r="AAY25" s="19"/>
      <c r="AAZ25" s="19"/>
      <c r="ABA25" s="19"/>
      <c r="ABB25" s="19"/>
      <c r="ABC25" s="19"/>
      <c r="ABD25" s="19"/>
      <c r="ABE25" s="19"/>
      <c r="ABF25" s="19"/>
      <c r="ABG25" s="19"/>
      <c r="ABH25" s="19"/>
      <c r="ABI25" s="19"/>
      <c r="ABJ25" s="19"/>
      <c r="ABK25" s="19"/>
      <c r="ABL25" s="19"/>
      <c r="ABM25" s="19"/>
      <c r="ABN25" s="19"/>
      <c r="ABO25" s="19"/>
      <c r="ABP25" s="19"/>
      <c r="ABQ25" s="19"/>
      <c r="ABR25" s="19"/>
      <c r="ABS25" s="19"/>
      <c r="ABT25" s="19"/>
      <c r="ABU25" s="19"/>
      <c r="ABV25" s="19"/>
      <c r="ABW25" s="19"/>
      <c r="ABX25" s="19"/>
      <c r="ABY25" s="19"/>
      <c r="ABZ25" s="19"/>
      <c r="ACA25" s="19"/>
      <c r="ACB25" s="19"/>
      <c r="ACC25" s="19"/>
      <c r="ACD25" s="19"/>
      <c r="ACE25" s="19"/>
      <c r="ACF25" s="19"/>
      <c r="ACG25" s="19"/>
      <c r="ACH25" s="19"/>
      <c r="ACI25" s="19"/>
      <c r="ACJ25" s="19"/>
      <c r="ACK25" s="19"/>
      <c r="ACL25" s="19"/>
      <c r="ACM25" s="19"/>
      <c r="ACN25" s="19"/>
      <c r="ACO25" s="19"/>
      <c r="ACP25" s="19"/>
      <c r="ACQ25" s="19"/>
      <c r="ACR25" s="19"/>
      <c r="ACS25" s="19"/>
      <c r="ACT25" s="19"/>
      <c r="ACU25" s="19"/>
      <c r="ACV25" s="19"/>
      <c r="ACW25" s="19"/>
      <c r="ACX25" s="19"/>
      <c r="ACY25" s="19"/>
      <c r="ACZ25" s="19"/>
      <c r="ADA25" s="19"/>
      <c r="ADB25" s="19"/>
      <c r="ADC25" s="19"/>
      <c r="ADD25" s="19"/>
      <c r="ADE25" s="19"/>
      <c r="ADF25" s="19"/>
      <c r="ADG25" s="19"/>
      <c r="ADH25" s="19"/>
      <c r="ADI25" s="19"/>
      <c r="ADJ25" s="19"/>
      <c r="ADK25" s="19"/>
      <c r="ADL25" s="19"/>
      <c r="ADM25" s="19"/>
      <c r="ADN25" s="19"/>
      <c r="ADO25" s="19"/>
      <c r="ADP25" s="19"/>
      <c r="ADQ25" s="19"/>
      <c r="ADR25" s="19"/>
      <c r="ADS25" s="19"/>
      <c r="ADT25" s="19"/>
      <c r="ADU25" s="19"/>
      <c r="ADV25" s="19"/>
      <c r="ADW25" s="19"/>
      <c r="ADX25" s="19"/>
      <c r="ADY25" s="19"/>
      <c r="ADZ25" s="19"/>
      <c r="AEA25" s="19"/>
      <c r="AEB25" s="19"/>
      <c r="AEC25" s="19"/>
      <c r="AED25" s="19"/>
      <c r="AEE25" s="19"/>
      <c r="AEF25" s="19"/>
      <c r="AEG25" s="19"/>
      <c r="AEH25" s="19"/>
      <c r="AEI25" s="19"/>
      <c r="AEJ25" s="19"/>
      <c r="AEK25" s="19"/>
      <c r="AEL25" s="19"/>
      <c r="AEM25" s="19"/>
      <c r="AEN25" s="19"/>
      <c r="AEO25" s="19"/>
      <c r="AEP25" s="19"/>
      <c r="AEQ25" s="19"/>
      <c r="AER25" s="19"/>
      <c r="AES25" s="19"/>
      <c r="AET25" s="19"/>
      <c r="AEU25" s="19"/>
      <c r="AEV25" s="19"/>
      <c r="AEW25" s="19"/>
      <c r="AEX25" s="19"/>
      <c r="AEY25" s="19"/>
      <c r="AEZ25" s="19"/>
      <c r="AFA25" s="19"/>
      <c r="AFB25" s="19"/>
      <c r="AFC25" s="19"/>
      <c r="AFD25" s="19"/>
      <c r="AFE25" s="19"/>
      <c r="AFF25" s="19"/>
      <c r="AFG25" s="19"/>
      <c r="AFH25" s="19"/>
      <c r="AFI25" s="19"/>
      <c r="AFJ25" s="19"/>
      <c r="AFK25" s="19"/>
      <c r="AFL25" s="19"/>
      <c r="AFM25" s="19"/>
      <c r="AFN25" s="19"/>
      <c r="AFO25" s="19"/>
      <c r="AFP25" s="19"/>
      <c r="AFQ25" s="19"/>
      <c r="AFR25" s="19"/>
      <c r="AFS25" s="19"/>
      <c r="AFT25" s="19"/>
      <c r="AFU25" s="19"/>
      <c r="AFV25" s="19"/>
      <c r="AFW25" s="19"/>
      <c r="AFX25" s="19"/>
      <c r="AFY25" s="19"/>
      <c r="AFZ25" s="19"/>
      <c r="AGA25" s="19"/>
      <c r="AGB25" s="19"/>
      <c r="AGC25" s="19"/>
      <c r="AGD25" s="19"/>
      <c r="AGE25" s="19"/>
      <c r="AGF25" s="19"/>
      <c r="AGG25" s="19"/>
      <c r="AGH25" s="19"/>
      <c r="AGI25" s="19"/>
      <c r="AGJ25" s="19"/>
      <c r="AGK25" s="19"/>
      <c r="AGL25" s="19"/>
      <c r="AGM25" s="19"/>
      <c r="AGN25" s="19"/>
      <c r="AGO25" s="19"/>
      <c r="AGP25" s="19"/>
      <c r="AGQ25" s="19"/>
      <c r="AGR25" s="19"/>
      <c r="AGS25" s="19"/>
      <c r="AGT25" s="19"/>
      <c r="AGU25" s="19"/>
      <c r="AGV25" s="19"/>
      <c r="AGW25" s="19"/>
      <c r="AGX25" s="19"/>
      <c r="AGY25" s="19"/>
      <c r="AGZ25" s="19"/>
      <c r="AHA25" s="19"/>
      <c r="AHB25" s="19"/>
      <c r="AHC25" s="19"/>
      <c r="AHD25" s="19"/>
      <c r="AHE25" s="19"/>
      <c r="AHF25" s="19"/>
      <c r="AHG25" s="19"/>
      <c r="AHH25" s="19"/>
      <c r="AHI25" s="19"/>
      <c r="AHJ25" s="19"/>
      <c r="AHK25" s="19"/>
      <c r="AHL25" s="19"/>
      <c r="AHM25" s="19"/>
      <c r="AHN25" s="19"/>
      <c r="AHO25" s="19"/>
      <c r="AHP25" s="19"/>
      <c r="AHQ25" s="19"/>
      <c r="AHR25" s="19"/>
      <c r="AHS25" s="19"/>
      <c r="AHT25" s="19"/>
      <c r="AHU25" s="19"/>
      <c r="AHV25" s="19"/>
      <c r="AHW25" s="19"/>
      <c r="AHX25" s="19"/>
      <c r="AHY25" s="19"/>
      <c r="AHZ25" s="19"/>
      <c r="AIA25" s="19"/>
      <c r="AIB25" s="19"/>
      <c r="AIC25" s="19"/>
      <c r="AID25" s="19"/>
      <c r="AIE25" s="19"/>
      <c r="AIF25" s="19"/>
      <c r="AIG25" s="19"/>
      <c r="AIH25" s="19"/>
      <c r="AII25" s="19"/>
      <c r="AIJ25" s="19"/>
      <c r="AIK25" s="19"/>
      <c r="AIL25" s="19"/>
      <c r="AIM25" s="19"/>
      <c r="AIN25" s="19"/>
      <c r="AIO25" s="19"/>
      <c r="AIP25" s="19"/>
      <c r="AIQ25" s="19"/>
      <c r="AIR25" s="19"/>
      <c r="AIS25" s="19"/>
      <c r="AIT25" s="19"/>
      <c r="AIU25" s="19"/>
      <c r="AIV25" s="19"/>
      <c r="AIW25" s="19"/>
      <c r="AIX25" s="19"/>
      <c r="AIY25" s="19"/>
      <c r="AIZ25" s="19"/>
      <c r="AJA25" s="19"/>
      <c r="AJB25" s="19"/>
      <c r="AJC25" s="19"/>
      <c r="AJD25" s="19"/>
      <c r="AJE25" s="19"/>
      <c r="AJF25" s="19"/>
      <c r="AJG25" s="19"/>
      <c r="AJH25" s="19"/>
      <c r="AJI25" s="19"/>
      <c r="AJJ25" s="19"/>
      <c r="AJK25" s="19"/>
      <c r="AJL25" s="19"/>
      <c r="AJM25" s="19"/>
      <c r="AJN25" s="19"/>
      <c r="AJO25" s="19"/>
      <c r="AJP25" s="19"/>
      <c r="AJQ25" s="19"/>
      <c r="AJR25" s="19"/>
      <c r="AJS25" s="19"/>
      <c r="AJT25" s="19"/>
      <c r="AJU25" s="19"/>
      <c r="AJV25" s="19"/>
      <c r="AJW25" s="19"/>
      <c r="AJX25" s="19"/>
      <c r="AJY25" s="19"/>
      <c r="AJZ25" s="19"/>
      <c r="AKA25" s="19"/>
      <c r="AKB25" s="19"/>
      <c r="AKC25" s="19"/>
      <c r="AKD25" s="19"/>
      <c r="AKE25" s="19"/>
      <c r="AKF25" s="19"/>
      <c r="AKG25" s="19"/>
      <c r="AKH25" s="19"/>
      <c r="AKI25" s="19"/>
      <c r="AKJ25" s="19"/>
      <c r="AKK25" s="19"/>
      <c r="AKL25" s="19"/>
      <c r="AKM25" s="19"/>
      <c r="AKN25" s="19"/>
      <c r="AKO25" s="19"/>
      <c r="AKP25" s="19"/>
      <c r="AKQ25" s="19"/>
      <c r="AKR25" s="19"/>
      <c r="AKS25" s="19"/>
      <c r="AKT25" s="19"/>
      <c r="AKU25" s="19"/>
      <c r="AKV25" s="19"/>
      <c r="AKW25" s="19"/>
      <c r="AKX25" s="19"/>
      <c r="AKY25" s="19"/>
      <c r="AKZ25" s="19"/>
      <c r="ALA25" s="19"/>
      <c r="ALB25" s="19"/>
      <c r="ALC25" s="19"/>
      <c r="ALD25" s="19"/>
      <c r="ALE25" s="19"/>
      <c r="ALF25" s="19"/>
      <c r="ALG25" s="19"/>
      <c r="ALH25" s="19"/>
      <c r="ALI25" s="19"/>
      <c r="ALJ25" s="19"/>
      <c r="ALK25" s="19"/>
      <c r="ALL25" s="19"/>
      <c r="ALM25" s="19"/>
      <c r="ALN25" s="19"/>
      <c r="ALO25" s="19"/>
      <c r="ALP25" s="19"/>
      <c r="ALQ25" s="19"/>
      <c r="ALR25" s="19"/>
      <c r="ALS25" s="19"/>
      <c r="ALT25" s="19"/>
      <c r="ALU25" s="19"/>
      <c r="ALV25" s="19"/>
      <c r="ALW25" s="19"/>
      <c r="ALX25" s="19"/>
      <c r="ALY25" s="19"/>
      <c r="ALZ25" s="19"/>
      <c r="AMA25" s="19"/>
      <c r="AMB25" s="19"/>
      <c r="AMC25" s="19"/>
      <c r="AMD25" s="19"/>
      <c r="AME25" s="19"/>
      <c r="AMF25" s="19"/>
      <c r="AMG25" s="19"/>
      <c r="AMH25" s="19"/>
      <c r="AMI25" s="19"/>
      <c r="AMJ25" s="19"/>
      <c r="AMK25" s="19"/>
      <c r="AML25" s="19"/>
      <c r="AMM25" s="19"/>
      <c r="AMN25" s="19"/>
      <c r="AMO25" s="19"/>
      <c r="AMP25" s="19"/>
      <c r="AMQ25" s="19"/>
      <c r="AMR25" s="19"/>
      <c r="AMS25" s="19"/>
      <c r="AMT25" s="19"/>
      <c r="AMU25" s="19"/>
      <c r="AMV25" s="19"/>
      <c r="AMW25" s="19"/>
      <c r="AMX25" s="19"/>
      <c r="AMY25" s="19"/>
      <c r="AMZ25" s="19"/>
      <c r="ANA25" s="19"/>
      <c r="ANB25" s="19"/>
      <c r="ANC25" s="19"/>
      <c r="AND25" s="19"/>
      <c r="ANE25" s="19"/>
      <c r="ANF25" s="19"/>
      <c r="ANG25" s="19"/>
      <c r="ANH25" s="19"/>
      <c r="ANI25" s="19"/>
      <c r="ANJ25" s="19"/>
      <c r="ANK25" s="19"/>
      <c r="ANL25" s="19"/>
      <c r="ANM25" s="19"/>
      <c r="ANN25" s="19"/>
      <c r="ANO25" s="19"/>
      <c r="ANP25" s="19"/>
      <c r="ANQ25" s="19"/>
      <c r="ANR25" s="19"/>
      <c r="ANS25" s="19"/>
      <c r="ANT25" s="19"/>
      <c r="ANU25" s="19"/>
      <c r="ANV25" s="19"/>
      <c r="ANW25" s="19"/>
      <c r="ANX25" s="19"/>
      <c r="ANY25" s="19"/>
      <c r="ANZ25" s="19"/>
      <c r="AOA25" s="19"/>
      <c r="AOB25" s="19"/>
      <c r="AOC25" s="19"/>
      <c r="AOD25" s="19"/>
      <c r="AOE25" s="19"/>
      <c r="AOF25" s="19"/>
      <c r="AOG25" s="19"/>
      <c r="AOH25" s="19"/>
      <c r="AOI25" s="19"/>
      <c r="AOJ25" s="19"/>
      <c r="AOK25" s="19"/>
      <c r="AOL25" s="19"/>
      <c r="AOM25" s="19"/>
      <c r="AON25" s="19"/>
      <c r="AOO25" s="19"/>
      <c r="AOP25" s="19"/>
      <c r="AOQ25" s="19"/>
      <c r="AOR25" s="19"/>
      <c r="AOS25" s="19"/>
      <c r="AOT25" s="19"/>
      <c r="AOU25" s="19"/>
      <c r="AOV25" s="19"/>
      <c r="AOW25" s="19"/>
      <c r="AOX25" s="19"/>
      <c r="AOY25" s="19"/>
      <c r="AOZ25" s="19"/>
      <c r="APA25" s="19"/>
      <c r="APB25" s="19"/>
      <c r="APC25" s="19"/>
      <c r="APD25" s="19"/>
      <c r="APE25" s="19"/>
      <c r="APF25" s="19"/>
      <c r="APG25" s="19"/>
      <c r="APH25" s="19"/>
      <c r="API25" s="19"/>
      <c r="APJ25" s="19"/>
      <c r="APK25" s="19"/>
      <c r="APL25" s="19"/>
      <c r="APM25" s="19"/>
      <c r="APN25" s="19"/>
      <c r="APO25" s="19"/>
      <c r="APP25" s="19"/>
      <c r="APQ25" s="19"/>
      <c r="APR25" s="19"/>
      <c r="APS25" s="19"/>
      <c r="APT25" s="19"/>
      <c r="APU25" s="19"/>
      <c r="APV25" s="19"/>
      <c r="APW25" s="19"/>
      <c r="APX25" s="19"/>
      <c r="APY25" s="19"/>
      <c r="APZ25" s="19"/>
      <c r="AQA25" s="19"/>
      <c r="AQB25" s="19"/>
      <c r="AQC25" s="19"/>
      <c r="AQD25" s="19"/>
      <c r="AQE25" s="19"/>
      <c r="AQF25" s="19"/>
      <c r="AQG25" s="19"/>
      <c r="AQH25" s="19"/>
      <c r="AQI25" s="19"/>
      <c r="AQJ25" s="19"/>
      <c r="AQK25" s="19"/>
      <c r="AQL25" s="19"/>
      <c r="AQM25" s="19"/>
      <c r="AQN25" s="19"/>
      <c r="AQO25" s="19"/>
      <c r="AQP25" s="19"/>
      <c r="AQQ25" s="19"/>
      <c r="AQR25" s="19"/>
      <c r="AQS25" s="19"/>
      <c r="AQT25" s="19"/>
      <c r="AQU25" s="19"/>
      <c r="AQV25" s="19"/>
      <c r="AQW25" s="19"/>
      <c r="AQX25" s="19"/>
      <c r="AQY25" s="19"/>
      <c r="AQZ25" s="19"/>
      <c r="ARA25" s="19"/>
      <c r="ARB25" s="19"/>
      <c r="ARC25" s="19"/>
      <c r="ARD25" s="19"/>
      <c r="ARE25" s="19"/>
      <c r="ARF25" s="19"/>
      <c r="ARG25" s="19"/>
      <c r="ARH25" s="19"/>
      <c r="ARI25" s="19"/>
      <c r="ARJ25" s="19"/>
      <c r="ARK25" s="19"/>
      <c r="ARL25" s="19"/>
      <c r="ARM25" s="19"/>
      <c r="ARN25" s="19"/>
      <c r="ARO25" s="19"/>
      <c r="ARP25" s="19"/>
      <c r="ARQ25" s="19"/>
      <c r="ARR25" s="19"/>
      <c r="ARS25" s="19"/>
      <c r="ART25" s="19"/>
      <c r="ARU25" s="19"/>
      <c r="ARV25" s="19"/>
      <c r="ARW25" s="19"/>
      <c r="ARX25" s="19"/>
      <c r="ARY25" s="19"/>
      <c r="ARZ25" s="19"/>
      <c r="ASA25" s="19"/>
      <c r="ASB25" s="19"/>
      <c r="ASC25" s="19"/>
      <c r="ASD25" s="19"/>
      <c r="ASE25" s="19"/>
      <c r="ASF25" s="19"/>
      <c r="ASG25" s="19"/>
      <c r="ASH25" s="19"/>
      <c r="ASI25" s="19"/>
      <c r="ASJ25" s="19"/>
      <c r="ASK25" s="19"/>
      <c r="ASL25" s="19"/>
      <c r="ASM25" s="19"/>
      <c r="ASN25" s="19"/>
      <c r="ASO25" s="19"/>
      <c r="ASP25" s="19"/>
      <c r="ASQ25" s="19"/>
      <c r="ASR25" s="19"/>
      <c r="ASS25" s="19"/>
      <c r="AST25" s="19"/>
      <c r="ASU25" s="19"/>
      <c r="ASV25" s="19"/>
      <c r="ASW25" s="19"/>
      <c r="ASX25" s="19"/>
      <c r="ASY25" s="19"/>
      <c r="ASZ25" s="19"/>
      <c r="ATA25" s="19"/>
      <c r="ATB25" s="19"/>
      <c r="ATC25" s="19"/>
      <c r="ATD25" s="19"/>
      <c r="ATE25" s="19"/>
      <c r="ATF25" s="19"/>
      <c r="ATG25" s="19"/>
      <c r="ATH25" s="19"/>
      <c r="ATI25" s="19"/>
      <c r="ATJ25" s="19"/>
      <c r="ATK25" s="19"/>
      <c r="ATL25" s="19"/>
      <c r="ATM25" s="19"/>
      <c r="ATN25" s="19"/>
      <c r="ATO25" s="19"/>
      <c r="ATP25" s="19"/>
      <c r="ATQ25" s="19"/>
      <c r="ATR25" s="19"/>
      <c r="ATS25" s="19"/>
      <c r="ATT25" s="19"/>
      <c r="ATU25" s="19"/>
      <c r="ATV25" s="19"/>
      <c r="ATW25" s="19"/>
      <c r="ATX25" s="19"/>
      <c r="ATY25" s="19"/>
      <c r="ATZ25" s="19"/>
      <c r="AUA25" s="19"/>
      <c r="AUB25" s="19"/>
      <c r="AUC25" s="19"/>
      <c r="AUD25" s="19"/>
      <c r="AUE25" s="19"/>
      <c r="AUF25" s="19"/>
      <c r="AUG25" s="19"/>
      <c r="AUH25" s="19"/>
      <c r="AUI25" s="19"/>
      <c r="AUJ25" s="19"/>
      <c r="AUK25" s="19"/>
      <c r="AUL25" s="19"/>
      <c r="AUM25" s="19"/>
      <c r="AUN25" s="19"/>
      <c r="AUO25" s="19"/>
      <c r="AUP25" s="19"/>
      <c r="AUQ25" s="19"/>
      <c r="AUR25" s="19"/>
      <c r="AUS25" s="19"/>
      <c r="AUT25" s="19"/>
      <c r="AUU25" s="19"/>
      <c r="AUV25" s="19"/>
      <c r="AUW25" s="19"/>
      <c r="AUX25" s="19"/>
      <c r="AUY25" s="19"/>
      <c r="AUZ25" s="19"/>
      <c r="AVA25" s="19"/>
      <c r="AVB25" s="19"/>
      <c r="AVC25" s="19"/>
      <c r="AVD25" s="19"/>
      <c r="AVE25" s="19"/>
      <c r="AVF25" s="19"/>
      <c r="AVG25" s="19"/>
      <c r="AVH25" s="19"/>
      <c r="AVI25" s="19"/>
      <c r="AVJ25" s="19"/>
      <c r="AVK25" s="19"/>
      <c r="AVL25" s="19"/>
      <c r="AVM25" s="19"/>
      <c r="AVN25" s="19"/>
      <c r="AVO25" s="19"/>
      <c r="AVP25" s="19"/>
      <c r="AVQ25" s="19"/>
      <c r="AVR25" s="19"/>
      <c r="AVS25" s="19"/>
      <c r="AVT25" s="19"/>
      <c r="AVU25" s="19"/>
      <c r="AVV25" s="19"/>
      <c r="AVW25" s="19"/>
      <c r="AVX25" s="19"/>
      <c r="AVY25" s="19"/>
      <c r="AVZ25" s="19"/>
      <c r="AWA25" s="19"/>
      <c r="AWB25" s="19"/>
      <c r="AWC25" s="19"/>
      <c r="AWD25" s="19"/>
      <c r="AWE25" s="19"/>
      <c r="AWF25" s="19"/>
      <c r="AWG25" s="19"/>
      <c r="AWH25" s="19"/>
      <c r="AWI25" s="19"/>
      <c r="AWJ25" s="19"/>
      <c r="AWK25" s="19"/>
      <c r="AWL25" s="19"/>
      <c r="AWM25" s="19"/>
      <c r="AWN25" s="19"/>
      <c r="AWO25" s="19"/>
      <c r="AWP25" s="19"/>
      <c r="AWQ25" s="19"/>
      <c r="AWR25" s="19"/>
      <c r="AWS25" s="19"/>
      <c r="AWT25" s="19"/>
      <c r="AWU25" s="19"/>
      <c r="AWV25" s="19"/>
      <c r="AWW25" s="19"/>
      <c r="AWX25" s="19"/>
      <c r="AWY25" s="19"/>
      <c r="AWZ25" s="19"/>
      <c r="AXA25" s="19"/>
      <c r="AXB25" s="19"/>
      <c r="AXC25" s="19"/>
      <c r="AXD25" s="19"/>
      <c r="AXE25" s="19"/>
      <c r="AXF25" s="19"/>
      <c r="AXG25" s="19"/>
      <c r="AXH25" s="19"/>
      <c r="AXI25" s="19"/>
      <c r="AXJ25" s="19"/>
      <c r="AXK25" s="19"/>
      <c r="AXL25" s="19"/>
      <c r="AXM25" s="19"/>
      <c r="AXN25" s="19"/>
      <c r="AXO25" s="19"/>
      <c r="AXP25" s="19"/>
      <c r="AXQ25" s="19"/>
      <c r="AXR25" s="19"/>
      <c r="AXS25" s="19"/>
      <c r="AXT25" s="19"/>
      <c r="AXU25" s="19"/>
      <c r="AXV25" s="19"/>
      <c r="AXW25" s="19"/>
      <c r="AXX25" s="19"/>
      <c r="AXY25" s="19"/>
      <c r="AXZ25" s="19"/>
      <c r="AYA25" s="19"/>
      <c r="AYB25" s="19"/>
      <c r="AYC25" s="19"/>
      <c r="AYD25" s="19"/>
      <c r="AYE25" s="19"/>
      <c r="AYF25" s="19"/>
      <c r="AYG25" s="19"/>
      <c r="AYH25" s="19"/>
      <c r="AYI25" s="19"/>
      <c r="AYJ25" s="19"/>
      <c r="AYK25" s="19"/>
      <c r="AYL25" s="19"/>
      <c r="AYM25" s="19"/>
      <c r="AYN25" s="19"/>
      <c r="AYO25" s="19"/>
      <c r="AYP25" s="19"/>
      <c r="AYQ25" s="19"/>
      <c r="AYR25" s="19"/>
      <c r="AYS25" s="19"/>
      <c r="AYT25" s="19"/>
      <c r="AYU25" s="19"/>
      <c r="AYV25" s="19"/>
      <c r="AYW25" s="19"/>
      <c r="AYX25" s="19"/>
      <c r="AYY25" s="19"/>
      <c r="AYZ25" s="19"/>
      <c r="AZA25" s="19"/>
      <c r="AZB25" s="19"/>
      <c r="AZC25" s="19"/>
      <c r="AZD25" s="19"/>
      <c r="AZE25" s="19"/>
      <c r="AZF25" s="19"/>
      <c r="AZG25" s="19"/>
      <c r="AZH25" s="19"/>
      <c r="AZI25" s="19"/>
      <c r="AZJ25" s="19"/>
      <c r="AZK25" s="19"/>
      <c r="AZL25" s="19"/>
      <c r="AZM25" s="19"/>
      <c r="AZN25" s="19"/>
      <c r="AZO25" s="19"/>
      <c r="AZP25" s="19"/>
      <c r="AZQ25" s="19"/>
      <c r="AZR25" s="19"/>
      <c r="AZS25" s="19"/>
      <c r="AZT25" s="19"/>
      <c r="AZU25" s="19"/>
      <c r="AZV25" s="19"/>
      <c r="AZW25" s="19"/>
      <c r="AZX25" s="19"/>
      <c r="AZY25" s="19"/>
      <c r="AZZ25" s="19"/>
      <c r="BAA25" s="19"/>
      <c r="BAB25" s="19"/>
      <c r="BAC25" s="19"/>
      <c r="BAD25" s="19"/>
      <c r="BAE25" s="19"/>
      <c r="BAF25" s="19"/>
      <c r="BAG25" s="19"/>
      <c r="BAH25" s="19"/>
      <c r="BAI25" s="19"/>
      <c r="BAJ25" s="19"/>
      <c r="BAK25" s="19"/>
      <c r="BAL25" s="19"/>
      <c r="BAM25" s="19"/>
      <c r="BAN25" s="19"/>
      <c r="BAO25" s="19"/>
      <c r="BAP25" s="19"/>
      <c r="BAQ25" s="19"/>
      <c r="BAR25" s="19"/>
      <c r="BAS25" s="19"/>
      <c r="BAT25" s="19"/>
      <c r="BAU25" s="19"/>
      <c r="BAV25" s="19"/>
      <c r="BAW25" s="19"/>
      <c r="BAX25" s="19"/>
      <c r="BAY25" s="19"/>
      <c r="BAZ25" s="19"/>
      <c r="BBA25" s="19"/>
      <c r="BBB25" s="19"/>
      <c r="BBC25" s="19"/>
      <c r="BBD25" s="19"/>
      <c r="BBE25" s="19"/>
      <c r="BBF25" s="19"/>
      <c r="BBG25" s="19"/>
      <c r="BBH25" s="19"/>
      <c r="BBI25" s="19"/>
      <c r="BBJ25" s="19"/>
      <c r="BBK25" s="19"/>
      <c r="BBL25" s="19"/>
      <c r="BBM25" s="19"/>
      <c r="BBN25" s="19"/>
      <c r="BBO25" s="19"/>
      <c r="BBP25" s="19"/>
      <c r="BBQ25" s="19"/>
      <c r="BBR25" s="19"/>
      <c r="BBS25" s="19"/>
      <c r="BBT25" s="19"/>
      <c r="BBU25" s="19"/>
      <c r="BBV25" s="19"/>
      <c r="BBW25" s="19"/>
      <c r="BBX25" s="19"/>
      <c r="BBY25" s="19"/>
      <c r="BBZ25" s="19"/>
      <c r="BCA25" s="19"/>
      <c r="BCB25" s="19"/>
      <c r="BCC25" s="19"/>
      <c r="BCD25" s="19"/>
      <c r="BCE25" s="19"/>
      <c r="BCF25" s="19"/>
      <c r="BCG25" s="19"/>
      <c r="BCH25" s="19"/>
      <c r="BCI25" s="19"/>
      <c r="BCJ25" s="19"/>
      <c r="BCK25" s="19"/>
      <c r="BCL25" s="19"/>
      <c r="BCM25" s="19"/>
      <c r="BCN25" s="19"/>
      <c r="BCO25" s="19"/>
      <c r="BCP25" s="19"/>
      <c r="BCQ25" s="19"/>
      <c r="BCR25" s="19"/>
      <c r="BCS25" s="19"/>
      <c r="BCT25" s="19"/>
      <c r="BCU25" s="19"/>
      <c r="BCV25" s="19"/>
      <c r="BCW25" s="19"/>
      <c r="BCX25" s="19"/>
      <c r="BCY25" s="19"/>
      <c r="BCZ25" s="19"/>
      <c r="BDA25" s="19"/>
      <c r="BDB25" s="19"/>
      <c r="BDC25" s="19"/>
      <c r="BDD25" s="19"/>
      <c r="BDE25" s="19"/>
      <c r="BDF25" s="19"/>
      <c r="BDG25" s="19"/>
      <c r="BDH25" s="19"/>
      <c r="BDI25" s="19"/>
      <c r="BDJ25" s="19"/>
      <c r="BDK25" s="19"/>
      <c r="BDL25" s="19"/>
      <c r="BDM25" s="19"/>
      <c r="BDN25" s="19"/>
      <c r="BDO25" s="19"/>
      <c r="BDP25" s="19"/>
      <c r="BDQ25" s="19"/>
      <c r="BDR25" s="19"/>
      <c r="BDS25" s="19"/>
      <c r="BDT25" s="19"/>
      <c r="BDU25" s="19"/>
      <c r="BDV25" s="19"/>
      <c r="BDW25" s="19"/>
      <c r="BDX25" s="19"/>
      <c r="BDY25" s="19"/>
      <c r="BDZ25" s="19"/>
      <c r="BEA25" s="19"/>
      <c r="BEB25" s="19"/>
      <c r="BEC25" s="19"/>
      <c r="BED25" s="19"/>
      <c r="BEE25" s="19"/>
      <c r="BEF25" s="19"/>
      <c r="BEG25" s="19"/>
      <c r="BEH25" s="19"/>
      <c r="BEI25" s="19"/>
      <c r="BEJ25" s="19"/>
      <c r="BEK25" s="19"/>
      <c r="BEL25" s="19"/>
      <c r="BEM25" s="19"/>
      <c r="BEN25" s="19"/>
      <c r="BEO25" s="19"/>
      <c r="BEP25" s="19"/>
      <c r="BEQ25" s="19"/>
      <c r="BER25" s="19"/>
      <c r="BES25" s="19"/>
      <c r="BET25" s="19"/>
      <c r="BEU25" s="19"/>
      <c r="BEV25" s="19"/>
      <c r="BEW25" s="19"/>
      <c r="BEX25" s="19"/>
      <c r="BEY25" s="19"/>
      <c r="BEZ25" s="19"/>
      <c r="BFA25" s="19"/>
      <c r="BFB25" s="19"/>
      <c r="BFC25" s="19"/>
      <c r="BFD25" s="19"/>
      <c r="BFE25" s="19"/>
      <c r="BFF25" s="19"/>
      <c r="BFG25" s="19"/>
      <c r="BFH25" s="19"/>
      <c r="BFI25" s="19"/>
      <c r="BFJ25" s="19"/>
      <c r="BFK25" s="19"/>
      <c r="BFL25" s="19"/>
      <c r="BFM25" s="19"/>
      <c r="BFN25" s="19"/>
      <c r="BFO25" s="19"/>
      <c r="BFP25" s="19"/>
      <c r="BFQ25" s="19"/>
      <c r="BFR25" s="19"/>
      <c r="BFS25" s="19"/>
      <c r="BFT25" s="19"/>
      <c r="BFU25" s="19"/>
      <c r="BFV25" s="19"/>
      <c r="BFW25" s="19"/>
      <c r="BFX25" s="19"/>
      <c r="BFY25" s="19"/>
      <c r="BFZ25" s="19"/>
      <c r="BGA25" s="19"/>
      <c r="BGB25" s="19"/>
      <c r="BGC25" s="19"/>
      <c r="BGD25" s="19"/>
      <c r="BGE25" s="19"/>
      <c r="BGF25" s="19"/>
      <c r="BGG25" s="19"/>
      <c r="BGH25" s="19"/>
      <c r="BGI25" s="19"/>
      <c r="BGJ25" s="19"/>
      <c r="BGK25" s="19"/>
      <c r="BGL25" s="19"/>
      <c r="BGM25" s="19"/>
      <c r="BGN25" s="19"/>
      <c r="BGO25" s="19"/>
      <c r="BGP25" s="19"/>
      <c r="BGQ25" s="19"/>
      <c r="BGR25" s="19"/>
      <c r="BGS25" s="19"/>
      <c r="BGT25" s="19"/>
      <c r="BGU25" s="19"/>
      <c r="BGV25" s="19"/>
      <c r="BGW25" s="19"/>
      <c r="BGX25" s="19"/>
      <c r="BGY25" s="19"/>
      <c r="BGZ25" s="19"/>
      <c r="BHA25" s="19"/>
      <c r="BHB25" s="19"/>
      <c r="BHC25" s="19"/>
      <c r="BHD25" s="19"/>
      <c r="BHE25" s="19"/>
      <c r="BHF25" s="19"/>
      <c r="BHG25" s="19"/>
      <c r="BHH25" s="19"/>
      <c r="BHI25" s="19"/>
      <c r="BHJ25" s="19"/>
      <c r="BHK25" s="19"/>
      <c r="BHL25" s="19"/>
      <c r="BHM25" s="19"/>
      <c r="BHN25" s="19"/>
      <c r="BHO25" s="19"/>
      <c r="BHP25" s="19"/>
      <c r="BHQ25" s="19"/>
      <c r="BHR25" s="19"/>
      <c r="BHS25" s="19"/>
      <c r="BHT25" s="19"/>
      <c r="BHU25" s="19"/>
      <c r="BHV25" s="19"/>
      <c r="BHW25" s="19"/>
      <c r="BHX25" s="19"/>
      <c r="BHY25" s="19"/>
      <c r="BHZ25" s="19"/>
      <c r="BIA25" s="19"/>
      <c r="BIB25" s="19"/>
      <c r="BIC25" s="19"/>
      <c r="BID25" s="19"/>
      <c r="BIE25" s="19"/>
      <c r="BIF25" s="19"/>
      <c r="BIG25" s="19"/>
      <c r="BIH25" s="19"/>
      <c r="BII25" s="19"/>
      <c r="BIJ25" s="19"/>
      <c r="BIK25" s="19"/>
      <c r="BIL25" s="19"/>
      <c r="BIM25" s="19"/>
      <c r="BIN25" s="19"/>
      <c r="BIO25" s="19"/>
      <c r="BIP25" s="19"/>
      <c r="BIQ25" s="19"/>
      <c r="BIR25" s="19"/>
      <c r="BIS25" s="19"/>
      <c r="BIT25" s="19"/>
      <c r="BIU25" s="19"/>
      <c r="BIV25" s="19"/>
      <c r="BIW25" s="19"/>
      <c r="BIX25" s="19"/>
      <c r="BIY25" s="19"/>
      <c r="BIZ25" s="19"/>
      <c r="BJA25" s="19"/>
      <c r="BJB25" s="19"/>
      <c r="BJC25" s="19"/>
      <c r="BJD25" s="19"/>
      <c r="BJE25" s="19"/>
      <c r="BJF25" s="19"/>
      <c r="BJG25" s="19"/>
      <c r="BJH25" s="19"/>
      <c r="BJI25" s="19"/>
      <c r="BJJ25" s="19"/>
      <c r="BJK25" s="19"/>
      <c r="BJL25" s="19"/>
      <c r="BJM25" s="19"/>
      <c r="BJN25" s="19"/>
      <c r="BJO25" s="19"/>
      <c r="BJP25" s="19"/>
      <c r="BJQ25" s="19"/>
      <c r="BJR25" s="19"/>
      <c r="BJS25" s="19"/>
      <c r="BJT25" s="19"/>
      <c r="BJU25" s="19"/>
      <c r="BJV25" s="19"/>
      <c r="BJW25" s="19"/>
      <c r="BJX25" s="19"/>
      <c r="BJY25" s="19"/>
      <c r="BJZ25" s="19"/>
      <c r="BKA25" s="19"/>
      <c r="BKB25" s="19"/>
      <c r="BKC25" s="19"/>
      <c r="BKD25" s="19"/>
      <c r="BKE25" s="19"/>
      <c r="BKF25" s="19"/>
      <c r="BKG25" s="19"/>
      <c r="BKH25" s="19"/>
      <c r="BKI25" s="19"/>
      <c r="BKJ25" s="19"/>
      <c r="BKK25" s="19"/>
      <c r="BKL25" s="19"/>
      <c r="BKM25" s="19"/>
      <c r="BKN25" s="19"/>
      <c r="BKO25" s="19"/>
      <c r="BKP25" s="19"/>
      <c r="BKQ25" s="19"/>
      <c r="BKR25" s="19"/>
      <c r="BKS25" s="19"/>
      <c r="BKT25" s="19"/>
      <c r="BKU25" s="19"/>
      <c r="BKV25" s="19"/>
      <c r="BKW25" s="19"/>
      <c r="BKX25" s="19"/>
      <c r="BKY25" s="19"/>
      <c r="BKZ25" s="19"/>
      <c r="BLA25" s="19"/>
      <c r="BLB25" s="19"/>
      <c r="BLC25" s="19"/>
      <c r="BLD25" s="19"/>
      <c r="BLE25" s="19"/>
      <c r="BLF25" s="19"/>
      <c r="BLG25" s="19"/>
      <c r="BLH25" s="19"/>
      <c r="BLI25" s="19"/>
      <c r="BLJ25" s="19"/>
      <c r="BLK25" s="19"/>
      <c r="BLL25" s="19"/>
      <c r="BLM25" s="19"/>
      <c r="BLN25" s="19"/>
      <c r="BLO25" s="19"/>
      <c r="BLP25" s="19"/>
      <c r="BLQ25" s="19"/>
      <c r="BLR25" s="19"/>
      <c r="BLS25" s="19"/>
      <c r="BLT25" s="19"/>
      <c r="BLU25" s="19"/>
      <c r="BLV25" s="19"/>
      <c r="BLW25" s="19"/>
      <c r="BLX25" s="19"/>
      <c r="BLY25" s="19"/>
      <c r="BLZ25" s="19"/>
      <c r="BMA25" s="19"/>
      <c r="BMB25" s="19"/>
      <c r="BMC25" s="19"/>
      <c r="BMD25" s="19"/>
      <c r="BME25" s="19"/>
      <c r="BMF25" s="19"/>
      <c r="BMG25" s="19"/>
      <c r="BMH25" s="19"/>
      <c r="BMI25" s="19"/>
      <c r="BMJ25" s="19"/>
      <c r="BMK25" s="19"/>
      <c r="BML25" s="19"/>
      <c r="BMM25" s="19"/>
      <c r="BMN25" s="19"/>
      <c r="BMO25" s="19"/>
      <c r="BMP25" s="19"/>
      <c r="BMQ25" s="19"/>
      <c r="BMR25" s="19"/>
      <c r="BMS25" s="19"/>
      <c r="BMT25" s="19"/>
      <c r="BMU25" s="19"/>
      <c r="BMV25" s="19"/>
      <c r="BMW25" s="19"/>
      <c r="BMX25" s="19"/>
      <c r="BMY25" s="19"/>
      <c r="BMZ25" s="19"/>
      <c r="BNA25" s="19"/>
      <c r="BNB25" s="19"/>
      <c r="BNC25" s="19"/>
      <c r="BND25" s="19"/>
      <c r="BNE25" s="19"/>
      <c r="BNF25" s="19"/>
      <c r="BNG25" s="19"/>
      <c r="BNH25" s="19"/>
      <c r="BNI25" s="19"/>
      <c r="BNJ25" s="19"/>
      <c r="BNK25" s="19"/>
      <c r="BNL25" s="19"/>
      <c r="BNM25" s="19"/>
      <c r="BNN25" s="19"/>
      <c r="BNO25" s="19"/>
      <c r="BNP25" s="19"/>
      <c r="BNQ25" s="19"/>
      <c r="BNR25" s="19"/>
      <c r="BNS25" s="19"/>
      <c r="BNT25" s="19"/>
      <c r="BNU25" s="19"/>
      <c r="BNV25" s="19"/>
      <c r="BNW25" s="19"/>
      <c r="BNX25" s="19"/>
      <c r="BNY25" s="19"/>
      <c r="BNZ25" s="19"/>
      <c r="BOA25" s="19"/>
      <c r="BOB25" s="19"/>
      <c r="BOC25" s="19"/>
      <c r="BOD25" s="19"/>
      <c r="BOE25" s="19"/>
      <c r="BOF25" s="19"/>
      <c r="BOG25" s="19"/>
      <c r="BOH25" s="19"/>
      <c r="BOI25" s="19"/>
      <c r="BOJ25" s="19"/>
      <c r="BOK25" s="19"/>
      <c r="BOL25" s="19"/>
      <c r="BOM25" s="19"/>
      <c r="BON25" s="19"/>
      <c r="BOO25" s="19"/>
      <c r="BOP25" s="19"/>
      <c r="BOQ25" s="19"/>
      <c r="BOR25" s="19"/>
      <c r="BOS25" s="19"/>
      <c r="BOT25" s="19"/>
      <c r="BOU25" s="19"/>
      <c r="BOV25" s="19"/>
      <c r="BOW25" s="19"/>
      <c r="BOX25" s="19"/>
      <c r="BOY25" s="19"/>
      <c r="BOZ25" s="19"/>
      <c r="BPA25" s="19"/>
      <c r="BPB25" s="19"/>
      <c r="BPC25" s="19"/>
      <c r="BPD25" s="19"/>
      <c r="BPE25" s="19"/>
      <c r="BPF25" s="19"/>
      <c r="BPG25" s="19"/>
      <c r="BPH25" s="19"/>
      <c r="BPI25" s="19"/>
      <c r="BPJ25" s="19"/>
      <c r="BPK25" s="19"/>
      <c r="BPL25" s="19"/>
      <c r="BPM25" s="19"/>
      <c r="BPN25" s="19"/>
      <c r="BPO25" s="19"/>
      <c r="BPP25" s="19"/>
      <c r="BPQ25" s="19"/>
      <c r="BPR25" s="19"/>
      <c r="BPS25" s="19"/>
      <c r="BPT25" s="19"/>
      <c r="BPU25" s="19"/>
      <c r="BPV25" s="19"/>
      <c r="BPW25" s="19"/>
      <c r="BPX25" s="19"/>
      <c r="BPY25" s="19"/>
      <c r="BPZ25" s="19"/>
      <c r="BQA25" s="19"/>
      <c r="BQB25" s="19"/>
      <c r="BQC25" s="19"/>
      <c r="BQD25" s="19"/>
      <c r="BQE25" s="19"/>
      <c r="BQF25" s="19"/>
      <c r="BQG25" s="19"/>
      <c r="BQH25" s="19"/>
      <c r="BQI25" s="19"/>
      <c r="BQJ25" s="19"/>
      <c r="BQK25" s="19"/>
      <c r="BQL25" s="19"/>
      <c r="BQM25" s="19"/>
      <c r="BQN25" s="19"/>
      <c r="BQO25" s="19"/>
      <c r="BQP25" s="19"/>
      <c r="BQQ25" s="19"/>
      <c r="BQR25" s="19"/>
      <c r="BQS25" s="19"/>
      <c r="BQT25" s="19"/>
      <c r="BQU25" s="19"/>
      <c r="BQV25" s="19"/>
      <c r="BQW25" s="19"/>
      <c r="BQX25" s="19"/>
      <c r="BQY25" s="19"/>
      <c r="BQZ25" s="19"/>
      <c r="BRA25" s="19"/>
      <c r="BRB25" s="19"/>
      <c r="BRC25" s="19"/>
      <c r="BRD25" s="19"/>
      <c r="BRE25" s="19"/>
      <c r="BRF25" s="19"/>
      <c r="BRG25" s="19"/>
      <c r="BRH25" s="19"/>
      <c r="BRI25" s="19"/>
      <c r="BRJ25" s="19"/>
      <c r="BRK25" s="19"/>
      <c r="BRL25" s="19"/>
      <c r="BRM25" s="19"/>
      <c r="BRN25" s="19"/>
      <c r="BRO25" s="19"/>
      <c r="BRP25" s="19"/>
      <c r="BRQ25" s="19"/>
      <c r="BRR25" s="19"/>
      <c r="BRS25" s="19"/>
      <c r="BRT25" s="19"/>
      <c r="BRU25" s="19"/>
      <c r="BRV25" s="19"/>
      <c r="BRW25" s="19"/>
      <c r="BRX25" s="19"/>
      <c r="BRY25" s="19"/>
      <c r="BRZ25" s="19"/>
      <c r="BSA25" s="19"/>
      <c r="BSB25" s="19"/>
      <c r="BSC25" s="19"/>
      <c r="BSD25" s="19"/>
      <c r="BSE25" s="19"/>
      <c r="BSF25" s="19"/>
      <c r="BSG25" s="19"/>
      <c r="BSH25" s="19"/>
      <c r="BSI25" s="19"/>
      <c r="BSJ25" s="19"/>
      <c r="BSK25" s="19"/>
      <c r="BSL25" s="19"/>
      <c r="BSM25" s="19"/>
      <c r="BSN25" s="19"/>
      <c r="BSO25" s="19"/>
      <c r="BSP25" s="19"/>
      <c r="BSQ25" s="19"/>
      <c r="BSR25" s="19"/>
      <c r="BSS25" s="19"/>
      <c r="BST25" s="19"/>
      <c r="BSU25" s="19"/>
      <c r="BSV25" s="19"/>
      <c r="BSW25" s="19"/>
      <c r="BSX25" s="19"/>
      <c r="BSY25" s="19"/>
      <c r="BSZ25" s="19"/>
      <c r="BTA25" s="19"/>
      <c r="BTB25" s="19"/>
      <c r="BTC25" s="19"/>
      <c r="BTD25" s="19"/>
      <c r="BTE25" s="19"/>
      <c r="BTF25" s="19"/>
      <c r="BTG25" s="19"/>
      <c r="BTH25" s="19"/>
      <c r="BTI25" s="19"/>
      <c r="BTJ25" s="19"/>
      <c r="BTK25" s="19"/>
      <c r="BTL25" s="19"/>
      <c r="BTM25" s="19"/>
      <c r="BTN25" s="19"/>
      <c r="BTO25" s="19"/>
      <c r="BTP25" s="19"/>
      <c r="BTQ25" s="19"/>
      <c r="BTR25" s="19"/>
      <c r="BTS25" s="19"/>
      <c r="BTT25" s="19"/>
      <c r="BTU25" s="19"/>
      <c r="BTV25" s="19"/>
      <c r="BTW25" s="19"/>
      <c r="BTX25" s="19"/>
      <c r="BTY25" s="19"/>
      <c r="BTZ25" s="19"/>
      <c r="BUA25" s="19"/>
      <c r="BUB25" s="19"/>
      <c r="BUC25" s="19"/>
      <c r="BUD25" s="19"/>
      <c r="BUE25" s="19"/>
      <c r="BUF25" s="19"/>
      <c r="BUG25" s="19"/>
      <c r="BUH25" s="19"/>
      <c r="BUI25" s="19"/>
      <c r="BUJ25" s="19"/>
      <c r="BUK25" s="19"/>
      <c r="BUL25" s="19"/>
      <c r="BUM25" s="19"/>
      <c r="BUN25" s="19"/>
      <c r="BUO25" s="19"/>
      <c r="BUP25" s="19"/>
      <c r="BUQ25" s="19"/>
      <c r="BUR25" s="19"/>
      <c r="BUS25" s="19"/>
      <c r="BUT25" s="19"/>
      <c r="BUU25" s="19"/>
      <c r="BUV25" s="19"/>
      <c r="BUW25" s="19"/>
      <c r="BUX25" s="19"/>
      <c r="BUY25" s="19"/>
      <c r="BUZ25" s="19"/>
      <c r="BVA25" s="19"/>
      <c r="BVB25" s="19"/>
      <c r="BVC25" s="19"/>
      <c r="BVD25" s="19"/>
      <c r="BVE25" s="19"/>
      <c r="BVF25" s="19"/>
      <c r="BVG25" s="19"/>
      <c r="BVH25" s="19"/>
      <c r="BVI25" s="19"/>
      <c r="BVJ25" s="19"/>
      <c r="BVK25" s="19"/>
      <c r="BVL25" s="19"/>
      <c r="BVM25" s="19"/>
      <c r="BVN25" s="19"/>
      <c r="BVO25" s="19"/>
      <c r="BVP25" s="19"/>
      <c r="BVQ25" s="19"/>
      <c r="BVR25" s="19"/>
      <c r="BVS25" s="19"/>
      <c r="BVT25" s="19"/>
      <c r="BVU25" s="19"/>
      <c r="BVV25" s="19"/>
      <c r="BVW25" s="19"/>
      <c r="BVX25" s="19"/>
      <c r="BVY25" s="19"/>
      <c r="BVZ25" s="19"/>
      <c r="BWA25" s="19"/>
      <c r="BWB25" s="19"/>
      <c r="BWC25" s="19"/>
      <c r="BWD25" s="19"/>
      <c r="BWE25" s="19"/>
      <c r="BWF25" s="19"/>
      <c r="BWG25" s="19"/>
      <c r="BWH25" s="19"/>
      <c r="BWI25" s="19"/>
      <c r="BWJ25" s="19"/>
      <c r="BWK25" s="19"/>
      <c r="BWL25" s="19"/>
      <c r="BWM25" s="19"/>
      <c r="BWN25" s="19"/>
      <c r="BWO25" s="19"/>
      <c r="BWP25" s="19"/>
      <c r="BWQ25" s="19"/>
      <c r="BWR25" s="19"/>
      <c r="BWS25" s="19"/>
      <c r="BWT25" s="19"/>
      <c r="BWU25" s="19"/>
      <c r="BWV25" s="19"/>
      <c r="BWW25" s="19"/>
      <c r="BWX25" s="19"/>
      <c r="BWY25" s="19"/>
      <c r="BWZ25" s="19"/>
      <c r="BXA25" s="19"/>
      <c r="BXB25" s="19"/>
      <c r="BXC25" s="19"/>
      <c r="BXD25" s="19"/>
      <c r="BXE25" s="19"/>
      <c r="BXF25" s="19"/>
      <c r="BXG25" s="19"/>
      <c r="BXH25" s="19"/>
      <c r="BXI25" s="19"/>
      <c r="BXJ25" s="19"/>
      <c r="BXK25" s="19"/>
      <c r="BXL25" s="19"/>
      <c r="BXM25" s="19"/>
      <c r="BXN25" s="19"/>
      <c r="BXO25" s="19"/>
      <c r="BXP25" s="19"/>
      <c r="BXQ25" s="19"/>
      <c r="BXR25" s="19"/>
      <c r="BXS25" s="19"/>
      <c r="BXT25" s="19"/>
      <c r="BXU25" s="19"/>
      <c r="BXV25" s="19"/>
      <c r="BXW25" s="19"/>
      <c r="BXX25" s="19"/>
      <c r="BXY25" s="19"/>
      <c r="BXZ25" s="19"/>
      <c r="BYA25" s="19"/>
      <c r="BYB25" s="19"/>
      <c r="BYC25" s="19"/>
      <c r="BYD25" s="19"/>
      <c r="BYE25" s="19"/>
      <c r="BYF25" s="19"/>
      <c r="BYG25" s="19"/>
      <c r="BYH25" s="19"/>
      <c r="BYI25" s="19"/>
      <c r="BYJ25" s="19"/>
      <c r="BYK25" s="19"/>
      <c r="BYL25" s="19"/>
      <c r="BYM25" s="19"/>
      <c r="BYN25" s="19"/>
      <c r="BYO25" s="19"/>
      <c r="BYP25" s="19"/>
      <c r="BYQ25" s="19"/>
      <c r="BYR25" s="19"/>
      <c r="BYS25" s="19"/>
      <c r="BYT25" s="19"/>
      <c r="BYU25" s="19"/>
      <c r="BYV25" s="19"/>
      <c r="BYW25" s="19"/>
      <c r="BYX25" s="19"/>
      <c r="BYY25" s="19"/>
      <c r="BYZ25" s="19"/>
      <c r="BZA25" s="19"/>
      <c r="BZB25" s="19"/>
      <c r="BZC25" s="19"/>
      <c r="BZD25" s="19"/>
      <c r="BZE25" s="19"/>
      <c r="BZF25" s="19"/>
      <c r="BZG25" s="19"/>
      <c r="BZH25" s="19"/>
      <c r="BZI25" s="19"/>
      <c r="BZJ25" s="19"/>
      <c r="BZK25" s="19"/>
      <c r="BZL25" s="19"/>
      <c r="BZM25" s="19"/>
      <c r="BZN25" s="19"/>
      <c r="BZO25" s="19"/>
      <c r="BZP25" s="19"/>
      <c r="BZQ25" s="19"/>
      <c r="BZR25" s="19"/>
      <c r="BZS25" s="19"/>
      <c r="BZT25" s="19"/>
      <c r="BZU25" s="19"/>
      <c r="BZV25" s="19"/>
      <c r="BZW25" s="19"/>
      <c r="BZX25" s="19"/>
      <c r="BZY25" s="19"/>
      <c r="BZZ25" s="19"/>
      <c r="CAA25" s="19"/>
      <c r="CAB25" s="19"/>
      <c r="CAC25" s="19"/>
      <c r="CAD25" s="19"/>
      <c r="CAE25" s="19"/>
      <c r="CAF25" s="19"/>
      <c r="CAG25" s="19"/>
      <c r="CAH25" s="19"/>
      <c r="CAI25" s="19"/>
      <c r="CAJ25" s="19"/>
      <c r="CAK25" s="19"/>
      <c r="CAL25" s="19"/>
      <c r="CAM25" s="19"/>
      <c r="CAN25" s="19"/>
      <c r="CAO25" s="19"/>
      <c r="CAP25" s="19"/>
      <c r="CAQ25" s="19"/>
      <c r="CAR25" s="19"/>
      <c r="CAS25" s="19"/>
      <c r="CAT25" s="19"/>
      <c r="CAU25" s="19"/>
      <c r="CAV25" s="19"/>
      <c r="CAW25" s="19"/>
      <c r="CAX25" s="19"/>
      <c r="CAY25" s="19"/>
      <c r="CAZ25" s="19"/>
      <c r="CBA25" s="19"/>
      <c r="CBB25" s="19"/>
      <c r="CBC25" s="19"/>
      <c r="CBD25" s="19"/>
      <c r="CBE25" s="19"/>
      <c r="CBF25" s="19"/>
      <c r="CBG25" s="19"/>
      <c r="CBH25" s="19"/>
      <c r="CBI25" s="19"/>
      <c r="CBJ25" s="19"/>
      <c r="CBK25" s="19"/>
      <c r="CBL25" s="19"/>
      <c r="CBM25" s="19"/>
      <c r="CBN25" s="19"/>
      <c r="CBO25" s="19"/>
      <c r="CBP25" s="19"/>
      <c r="CBQ25" s="19"/>
      <c r="CBR25" s="19"/>
      <c r="CBS25" s="19"/>
      <c r="CBT25" s="19"/>
      <c r="CBU25" s="19"/>
      <c r="CBV25" s="19"/>
      <c r="CBW25" s="19"/>
      <c r="CBX25" s="19"/>
      <c r="CBY25" s="19"/>
      <c r="CBZ25" s="19"/>
      <c r="CCA25" s="19"/>
      <c r="CCB25" s="19"/>
      <c r="CCC25" s="19"/>
      <c r="CCD25" s="19"/>
      <c r="CCE25" s="19"/>
      <c r="CCF25" s="19"/>
      <c r="CCG25" s="19"/>
      <c r="CCH25" s="19"/>
      <c r="CCI25" s="19"/>
      <c r="CCJ25" s="19"/>
      <c r="CCK25" s="19"/>
      <c r="CCL25" s="19"/>
      <c r="CCM25" s="19"/>
      <c r="CCN25" s="19"/>
      <c r="CCO25" s="19"/>
      <c r="CCP25" s="19"/>
      <c r="CCQ25" s="19"/>
      <c r="CCR25" s="19"/>
      <c r="CCS25" s="19"/>
      <c r="CCT25" s="19"/>
      <c r="CCU25" s="19"/>
      <c r="CCV25" s="19"/>
      <c r="CCW25" s="19"/>
      <c r="CCX25" s="19"/>
      <c r="CCY25" s="19"/>
      <c r="CCZ25" s="19"/>
      <c r="CDA25" s="19"/>
      <c r="CDB25" s="19"/>
      <c r="CDC25" s="19"/>
      <c r="CDD25" s="19"/>
      <c r="CDE25" s="19"/>
      <c r="CDF25" s="19"/>
      <c r="CDG25" s="19"/>
      <c r="CDH25" s="19"/>
      <c r="CDI25" s="19"/>
      <c r="CDJ25" s="19"/>
      <c r="CDK25" s="19"/>
      <c r="CDL25" s="19"/>
      <c r="CDM25" s="19"/>
      <c r="CDN25" s="19"/>
      <c r="CDO25" s="19"/>
      <c r="CDP25" s="19"/>
      <c r="CDQ25" s="19"/>
      <c r="CDR25" s="19"/>
      <c r="CDS25" s="19"/>
      <c r="CDT25" s="19"/>
      <c r="CDU25" s="19"/>
      <c r="CDV25" s="19"/>
      <c r="CDW25" s="19"/>
      <c r="CDX25" s="19"/>
      <c r="CDY25" s="19"/>
      <c r="CDZ25" s="19"/>
      <c r="CEA25" s="19"/>
      <c r="CEB25" s="19"/>
      <c r="CEC25" s="19"/>
      <c r="CED25" s="19"/>
      <c r="CEE25" s="19"/>
      <c r="CEF25" s="19"/>
      <c r="CEG25" s="19"/>
      <c r="CEH25" s="19"/>
      <c r="CEI25" s="19"/>
      <c r="CEJ25" s="19"/>
      <c r="CEK25" s="19"/>
      <c r="CEL25" s="19"/>
      <c r="CEM25" s="19"/>
      <c r="CEN25" s="19"/>
      <c r="CEO25" s="19"/>
      <c r="CEP25" s="19"/>
      <c r="CEQ25" s="19"/>
      <c r="CER25" s="19"/>
      <c r="CES25" s="19"/>
      <c r="CET25" s="19"/>
      <c r="CEU25" s="19"/>
      <c r="CEV25" s="19"/>
      <c r="CEW25" s="19"/>
      <c r="CEX25" s="19"/>
      <c r="CEY25" s="19"/>
      <c r="CEZ25" s="19"/>
      <c r="CFA25" s="19"/>
      <c r="CFB25" s="19"/>
      <c r="CFC25" s="19"/>
      <c r="CFD25" s="19"/>
      <c r="CFE25" s="19"/>
      <c r="CFF25" s="19"/>
      <c r="CFG25" s="19"/>
      <c r="CFH25" s="19"/>
      <c r="CFI25" s="19"/>
      <c r="CFJ25" s="19"/>
      <c r="CFK25" s="19"/>
      <c r="CFL25" s="19"/>
      <c r="CFM25" s="19"/>
      <c r="CFN25" s="19"/>
      <c r="CFO25" s="19"/>
      <c r="CFP25" s="19"/>
      <c r="CFQ25" s="19"/>
      <c r="CFR25" s="19"/>
      <c r="CFS25" s="19"/>
      <c r="CFT25" s="19"/>
      <c r="CFU25" s="19"/>
      <c r="CFV25" s="19"/>
      <c r="CFW25" s="19"/>
      <c r="CFX25" s="19"/>
      <c r="CFY25" s="19"/>
      <c r="CFZ25" s="19"/>
      <c r="CGA25" s="19"/>
      <c r="CGB25" s="19"/>
      <c r="CGC25" s="19"/>
      <c r="CGD25" s="19"/>
      <c r="CGE25" s="19"/>
      <c r="CGF25" s="19"/>
      <c r="CGG25" s="19"/>
      <c r="CGH25" s="19"/>
      <c r="CGI25" s="19"/>
      <c r="CGJ25" s="19"/>
      <c r="CGK25" s="19"/>
      <c r="CGL25" s="19"/>
      <c r="CGM25" s="19"/>
      <c r="CGN25" s="19"/>
      <c r="CGO25" s="19"/>
      <c r="CGP25" s="19"/>
      <c r="CGQ25" s="19"/>
      <c r="CGR25" s="19"/>
      <c r="CGS25" s="19"/>
      <c r="CGT25" s="19"/>
      <c r="CGU25" s="19"/>
      <c r="CGV25" s="19"/>
      <c r="CGW25" s="19"/>
      <c r="CGX25" s="19"/>
      <c r="CGY25" s="19"/>
      <c r="CGZ25" s="19"/>
      <c r="CHA25" s="19"/>
      <c r="CHB25" s="19"/>
      <c r="CHC25" s="19"/>
      <c r="CHD25" s="19"/>
      <c r="CHE25" s="19"/>
      <c r="CHF25" s="19"/>
      <c r="CHG25" s="19"/>
      <c r="CHH25" s="19"/>
      <c r="CHI25" s="19"/>
      <c r="CHJ25" s="19"/>
      <c r="CHK25" s="19"/>
      <c r="CHL25" s="19"/>
      <c r="CHM25" s="19"/>
      <c r="CHN25" s="19"/>
      <c r="CHO25" s="19"/>
      <c r="CHP25" s="19"/>
      <c r="CHQ25" s="19"/>
      <c r="CHR25" s="19"/>
      <c r="CHS25" s="19"/>
      <c r="CHT25" s="19"/>
      <c r="CHU25" s="19"/>
      <c r="CHV25" s="19"/>
      <c r="CHW25" s="19"/>
      <c r="CHX25" s="19"/>
      <c r="CHY25" s="19"/>
      <c r="CHZ25" s="19"/>
      <c r="CIA25" s="19"/>
      <c r="CIB25" s="19"/>
      <c r="CIC25" s="19"/>
      <c r="CID25" s="19"/>
      <c r="CIE25" s="19"/>
      <c r="CIF25" s="19"/>
      <c r="CIG25" s="19"/>
      <c r="CIH25" s="19"/>
      <c r="CII25" s="19"/>
      <c r="CIJ25" s="19"/>
      <c r="CIK25" s="19"/>
      <c r="CIL25" s="19"/>
      <c r="CIM25" s="19"/>
      <c r="CIN25" s="19"/>
      <c r="CIO25" s="19"/>
      <c r="CIP25" s="19"/>
      <c r="CIQ25" s="19"/>
      <c r="CIR25" s="19"/>
      <c r="CIS25" s="19"/>
      <c r="CIT25" s="19"/>
      <c r="CIU25" s="19"/>
      <c r="CIV25" s="19"/>
      <c r="CIW25" s="19"/>
      <c r="CIX25" s="19"/>
      <c r="CIY25" s="19"/>
      <c r="CIZ25" s="19"/>
      <c r="CJA25" s="19"/>
      <c r="CJB25" s="19"/>
      <c r="CJC25" s="19"/>
      <c r="CJD25" s="19"/>
      <c r="CJE25" s="19"/>
      <c r="CJF25" s="19"/>
      <c r="CJG25" s="19"/>
      <c r="CJH25" s="19"/>
      <c r="CJI25" s="19"/>
      <c r="CJJ25" s="19"/>
      <c r="CJK25" s="19"/>
      <c r="CJL25" s="19"/>
      <c r="CJM25" s="19"/>
      <c r="CJN25" s="19"/>
      <c r="CJO25" s="19"/>
      <c r="CJP25" s="19"/>
      <c r="CJQ25" s="19"/>
      <c r="CJR25" s="19"/>
      <c r="CJS25" s="19"/>
      <c r="CJT25" s="19"/>
      <c r="CJU25" s="19"/>
      <c r="CJV25" s="19"/>
      <c r="CJW25" s="19"/>
      <c r="CJX25" s="19"/>
      <c r="CJY25" s="19"/>
      <c r="CJZ25" s="19"/>
      <c r="CKA25" s="19"/>
      <c r="CKB25" s="19"/>
      <c r="CKC25" s="19"/>
      <c r="CKD25" s="19"/>
      <c r="CKE25" s="19"/>
      <c r="CKF25" s="19"/>
      <c r="CKG25" s="19"/>
      <c r="CKH25" s="19"/>
      <c r="CKI25" s="19"/>
      <c r="CKJ25" s="19"/>
      <c r="CKK25" s="19"/>
      <c r="CKL25" s="19"/>
      <c r="CKM25" s="19"/>
      <c r="CKN25" s="19"/>
      <c r="CKO25" s="19"/>
      <c r="CKP25" s="19"/>
      <c r="CKQ25" s="19"/>
      <c r="CKR25" s="19"/>
      <c r="CKS25" s="19"/>
      <c r="CKT25" s="19"/>
      <c r="CKU25" s="19"/>
      <c r="CKV25" s="19"/>
      <c r="CKW25" s="19"/>
      <c r="CKX25" s="19"/>
      <c r="CKY25" s="19"/>
      <c r="CKZ25" s="19"/>
      <c r="CLA25" s="19"/>
      <c r="CLB25" s="19"/>
      <c r="CLC25" s="19"/>
      <c r="CLD25" s="19"/>
      <c r="CLE25" s="19"/>
      <c r="CLF25" s="19"/>
      <c r="CLG25" s="19"/>
      <c r="CLH25" s="19"/>
      <c r="CLI25" s="19"/>
      <c r="CLJ25" s="19"/>
      <c r="CLK25" s="19"/>
      <c r="CLL25" s="19"/>
      <c r="CLM25" s="19"/>
      <c r="CLN25" s="19"/>
      <c r="CLO25" s="19"/>
      <c r="CLP25" s="19"/>
      <c r="CLQ25" s="19"/>
      <c r="CLR25" s="19"/>
      <c r="CLS25" s="19"/>
      <c r="CLT25" s="19"/>
      <c r="CLU25" s="19"/>
      <c r="CLV25" s="19"/>
      <c r="CLW25" s="19"/>
      <c r="CLX25" s="19"/>
      <c r="CLY25" s="19"/>
      <c r="CLZ25" s="19"/>
      <c r="CMA25" s="19"/>
      <c r="CMB25" s="19"/>
      <c r="CMC25" s="19"/>
      <c r="CMD25" s="19"/>
      <c r="CME25" s="19"/>
      <c r="CMF25" s="19"/>
      <c r="CMG25" s="19"/>
      <c r="CMH25" s="19"/>
      <c r="CMI25" s="19"/>
      <c r="CMJ25" s="19"/>
      <c r="CMK25" s="19"/>
      <c r="CML25" s="19"/>
      <c r="CMM25" s="19"/>
      <c r="CMN25" s="19"/>
      <c r="CMO25" s="19"/>
      <c r="CMP25" s="19"/>
      <c r="CMQ25" s="19"/>
      <c r="CMR25" s="19"/>
      <c r="CMS25" s="19"/>
      <c r="CMT25" s="19"/>
      <c r="CMU25" s="19"/>
      <c r="CMV25" s="19"/>
      <c r="CMW25" s="19"/>
      <c r="CMX25" s="19"/>
      <c r="CMY25" s="19"/>
      <c r="CMZ25" s="19"/>
      <c r="CNA25" s="19"/>
      <c r="CNB25" s="19"/>
      <c r="CNC25" s="19"/>
      <c r="CND25" s="19"/>
      <c r="CNE25" s="19"/>
      <c r="CNF25" s="19"/>
      <c r="CNG25" s="19"/>
      <c r="CNH25" s="19"/>
      <c r="CNI25" s="19"/>
      <c r="CNJ25" s="19"/>
      <c r="CNK25" s="19"/>
      <c r="CNL25" s="19"/>
      <c r="CNM25" s="19"/>
      <c r="CNN25" s="19"/>
      <c r="CNO25" s="19"/>
      <c r="CNP25" s="19"/>
      <c r="CNQ25" s="19"/>
      <c r="CNR25" s="19"/>
      <c r="CNS25" s="19"/>
      <c r="CNT25" s="19"/>
      <c r="CNU25" s="19"/>
      <c r="CNV25" s="19"/>
      <c r="CNW25" s="19"/>
      <c r="CNX25" s="19"/>
      <c r="CNY25" s="19"/>
      <c r="CNZ25" s="19"/>
      <c r="COA25" s="19"/>
      <c r="COB25" s="19"/>
      <c r="COC25" s="19"/>
      <c r="COD25" s="19"/>
      <c r="COE25" s="19"/>
      <c r="COF25" s="19"/>
      <c r="COG25" s="19"/>
      <c r="COH25" s="19"/>
      <c r="COI25" s="19"/>
      <c r="COJ25" s="19"/>
      <c r="COK25" s="19"/>
      <c r="COL25" s="19"/>
      <c r="COM25" s="19"/>
      <c r="CON25" s="19"/>
      <c r="COO25" s="19"/>
      <c r="COP25" s="19"/>
      <c r="COQ25" s="19"/>
      <c r="COR25" s="19"/>
      <c r="COS25" s="19"/>
      <c r="COT25" s="19"/>
      <c r="COU25" s="19"/>
      <c r="COV25" s="19"/>
      <c r="COW25" s="19"/>
      <c r="COX25" s="19"/>
      <c r="COY25" s="19"/>
      <c r="COZ25" s="19"/>
      <c r="CPA25" s="19"/>
      <c r="CPB25" s="19"/>
      <c r="CPC25" s="19"/>
      <c r="CPD25" s="19"/>
      <c r="CPE25" s="19"/>
      <c r="CPF25" s="19"/>
      <c r="CPG25" s="19"/>
      <c r="CPH25" s="19"/>
      <c r="CPI25" s="19"/>
      <c r="CPJ25" s="19"/>
      <c r="CPK25" s="19"/>
      <c r="CPL25" s="19"/>
      <c r="CPM25" s="19"/>
      <c r="CPN25" s="19"/>
      <c r="CPO25" s="19"/>
      <c r="CPP25" s="19"/>
      <c r="CPQ25" s="19"/>
      <c r="CPR25" s="19"/>
      <c r="CPS25" s="19"/>
      <c r="CPT25" s="19"/>
      <c r="CPU25" s="19"/>
      <c r="CPV25" s="19"/>
      <c r="CPW25" s="19"/>
      <c r="CPX25" s="19"/>
      <c r="CPY25" s="19"/>
      <c r="CPZ25" s="19"/>
      <c r="CQA25" s="19"/>
      <c r="CQB25" s="19"/>
      <c r="CQC25" s="19"/>
      <c r="CQD25" s="19"/>
      <c r="CQE25" s="19"/>
      <c r="CQF25" s="19"/>
      <c r="CQG25" s="19"/>
      <c r="CQH25" s="19"/>
      <c r="CQI25" s="19"/>
      <c r="CQJ25" s="19"/>
      <c r="CQK25" s="19"/>
      <c r="CQL25" s="19"/>
      <c r="CQM25" s="19"/>
      <c r="CQN25" s="19"/>
      <c r="CQO25" s="19"/>
      <c r="CQP25" s="19"/>
      <c r="CQQ25" s="19"/>
      <c r="CQR25" s="19"/>
      <c r="CQS25" s="19"/>
      <c r="CQT25" s="19"/>
      <c r="CQU25" s="19"/>
      <c r="CQV25" s="19"/>
      <c r="CQW25" s="19"/>
      <c r="CQX25" s="19"/>
      <c r="CQY25" s="19"/>
      <c r="CQZ25" s="19"/>
      <c r="CRA25" s="19"/>
      <c r="CRB25" s="19"/>
      <c r="CRC25" s="19"/>
      <c r="CRD25" s="19"/>
      <c r="CRE25" s="19"/>
      <c r="CRF25" s="19"/>
      <c r="CRG25" s="19"/>
      <c r="CRH25" s="19"/>
      <c r="CRI25" s="19"/>
      <c r="CRJ25" s="19"/>
      <c r="CRK25" s="19"/>
      <c r="CRL25" s="19"/>
      <c r="CRM25" s="19"/>
      <c r="CRN25" s="19"/>
      <c r="CRO25" s="19"/>
      <c r="CRP25" s="19"/>
      <c r="CRQ25" s="19"/>
      <c r="CRR25" s="19"/>
      <c r="CRS25" s="19"/>
      <c r="CRT25" s="19"/>
      <c r="CRU25" s="19"/>
      <c r="CRV25" s="19"/>
      <c r="CRW25" s="19"/>
      <c r="CRX25" s="19"/>
      <c r="CRY25" s="19"/>
      <c r="CRZ25" s="19"/>
      <c r="CSA25" s="19"/>
      <c r="CSB25" s="19"/>
      <c r="CSC25" s="19"/>
      <c r="CSD25" s="19"/>
      <c r="CSE25" s="19"/>
      <c r="CSF25" s="19"/>
      <c r="CSG25" s="19"/>
      <c r="CSH25" s="19"/>
      <c r="CSI25" s="19"/>
      <c r="CSJ25" s="19"/>
      <c r="CSK25" s="19"/>
      <c r="CSL25" s="19"/>
      <c r="CSM25" s="19"/>
      <c r="CSN25" s="19"/>
      <c r="CSO25" s="19"/>
      <c r="CSP25" s="19"/>
      <c r="CSQ25" s="19"/>
      <c r="CSR25" s="19"/>
      <c r="CSS25" s="19"/>
      <c r="CST25" s="19"/>
      <c r="CSU25" s="19"/>
      <c r="CSV25" s="19"/>
      <c r="CSW25" s="19"/>
      <c r="CSX25" s="19"/>
      <c r="CSY25" s="19"/>
      <c r="CSZ25" s="19"/>
      <c r="CTA25" s="19"/>
      <c r="CTB25" s="19"/>
      <c r="CTC25" s="19"/>
      <c r="CTD25" s="19"/>
      <c r="CTE25" s="19"/>
      <c r="CTF25" s="19"/>
      <c r="CTG25" s="19"/>
      <c r="CTH25" s="19"/>
      <c r="CTI25" s="19"/>
      <c r="CTJ25" s="19"/>
      <c r="CTK25" s="19"/>
      <c r="CTL25" s="19"/>
      <c r="CTM25" s="19"/>
      <c r="CTN25" s="19"/>
      <c r="CTO25" s="19"/>
      <c r="CTP25" s="19"/>
      <c r="CTQ25" s="19"/>
      <c r="CTR25" s="19"/>
      <c r="CTS25" s="19"/>
      <c r="CTT25" s="19"/>
      <c r="CTU25" s="19"/>
      <c r="CTV25" s="19"/>
      <c r="CTW25" s="19"/>
      <c r="CTX25" s="19"/>
      <c r="CTY25" s="19"/>
      <c r="CTZ25" s="19"/>
      <c r="CUA25" s="19"/>
      <c r="CUB25" s="19"/>
      <c r="CUC25" s="19"/>
      <c r="CUD25" s="19"/>
      <c r="CUE25" s="19"/>
      <c r="CUF25" s="19"/>
      <c r="CUG25" s="19"/>
      <c r="CUH25" s="19"/>
      <c r="CUI25" s="19"/>
      <c r="CUJ25" s="19"/>
      <c r="CUK25" s="19"/>
      <c r="CUL25" s="19"/>
      <c r="CUM25" s="19"/>
      <c r="CUN25" s="19"/>
      <c r="CUO25" s="19"/>
      <c r="CUP25" s="19"/>
      <c r="CUQ25" s="19"/>
      <c r="CUR25" s="19"/>
      <c r="CUS25" s="19"/>
      <c r="CUT25" s="19"/>
      <c r="CUU25" s="19"/>
      <c r="CUV25" s="19"/>
      <c r="CUW25" s="19"/>
      <c r="CUX25" s="19"/>
      <c r="CUY25" s="19"/>
      <c r="CUZ25" s="19"/>
      <c r="CVA25" s="19"/>
      <c r="CVB25" s="19"/>
      <c r="CVC25" s="19"/>
      <c r="CVD25" s="19"/>
      <c r="CVE25" s="19"/>
      <c r="CVF25" s="19"/>
      <c r="CVG25" s="19"/>
      <c r="CVH25" s="19"/>
      <c r="CVI25" s="19"/>
      <c r="CVJ25" s="19"/>
      <c r="CVK25" s="19"/>
      <c r="CVL25" s="19"/>
      <c r="CVM25" s="19"/>
      <c r="CVN25" s="19"/>
      <c r="CVO25" s="19"/>
      <c r="CVP25" s="19"/>
      <c r="CVQ25" s="19"/>
      <c r="CVR25" s="19"/>
      <c r="CVS25" s="19"/>
      <c r="CVT25" s="19"/>
      <c r="CVU25" s="19"/>
      <c r="CVV25" s="19"/>
      <c r="CVW25" s="19"/>
      <c r="CVX25" s="19"/>
      <c r="CVY25" s="19"/>
      <c r="CVZ25" s="19"/>
      <c r="CWA25" s="19"/>
      <c r="CWB25" s="19"/>
      <c r="CWC25" s="19"/>
      <c r="CWD25" s="19"/>
      <c r="CWE25" s="19"/>
      <c r="CWF25" s="19"/>
      <c r="CWG25" s="19"/>
      <c r="CWH25" s="19"/>
      <c r="CWI25" s="19"/>
      <c r="CWJ25" s="19"/>
      <c r="CWK25" s="19"/>
      <c r="CWL25" s="19"/>
      <c r="CWM25" s="19"/>
      <c r="CWN25" s="19"/>
      <c r="CWO25" s="19"/>
      <c r="CWP25" s="19"/>
      <c r="CWQ25" s="19"/>
      <c r="CWR25" s="19"/>
      <c r="CWS25" s="19"/>
      <c r="CWT25" s="19"/>
      <c r="CWU25" s="19"/>
      <c r="CWV25" s="19"/>
      <c r="CWW25" s="19"/>
      <c r="CWX25" s="19"/>
      <c r="CWY25" s="19"/>
      <c r="CWZ25" s="19"/>
      <c r="CXA25" s="19"/>
      <c r="CXB25" s="19"/>
      <c r="CXC25" s="19"/>
      <c r="CXD25" s="19"/>
      <c r="CXE25" s="19"/>
      <c r="CXF25" s="19"/>
      <c r="CXG25" s="19"/>
      <c r="CXH25" s="19"/>
      <c r="CXI25" s="19"/>
      <c r="CXJ25" s="19"/>
      <c r="CXK25" s="19"/>
      <c r="CXL25" s="19"/>
      <c r="CXM25" s="19"/>
      <c r="CXN25" s="19"/>
      <c r="CXO25" s="19"/>
      <c r="CXP25" s="19"/>
      <c r="CXQ25" s="19"/>
      <c r="CXR25" s="19"/>
      <c r="CXS25" s="19"/>
      <c r="CXT25" s="19"/>
      <c r="CXU25" s="19"/>
      <c r="CXV25" s="19"/>
      <c r="CXW25" s="19"/>
      <c r="CXX25" s="19"/>
      <c r="CXY25" s="19"/>
      <c r="CXZ25" s="19"/>
      <c r="CYA25" s="19"/>
      <c r="CYB25" s="19"/>
      <c r="CYC25" s="19"/>
      <c r="CYD25" s="19"/>
      <c r="CYE25" s="19"/>
      <c r="CYF25" s="19"/>
      <c r="CYG25" s="19"/>
      <c r="CYH25" s="19"/>
      <c r="CYI25" s="19"/>
      <c r="CYJ25" s="19"/>
      <c r="CYK25" s="19"/>
      <c r="CYL25" s="19"/>
      <c r="CYM25" s="19"/>
      <c r="CYN25" s="19"/>
      <c r="CYO25" s="19"/>
      <c r="CYP25" s="19"/>
      <c r="CYQ25" s="19"/>
      <c r="CYR25" s="19"/>
      <c r="CYS25" s="19"/>
      <c r="CYT25" s="19"/>
      <c r="CYU25" s="19"/>
      <c r="CYV25" s="19"/>
      <c r="CYW25" s="19"/>
      <c r="CYX25" s="19"/>
      <c r="CYY25" s="19"/>
      <c r="CYZ25" s="19"/>
      <c r="CZA25" s="19"/>
      <c r="CZB25" s="19"/>
      <c r="CZC25" s="19"/>
      <c r="CZD25" s="19"/>
      <c r="CZE25" s="19"/>
      <c r="CZF25" s="19"/>
      <c r="CZG25" s="19"/>
      <c r="CZH25" s="19"/>
      <c r="CZI25" s="19"/>
      <c r="CZJ25" s="19"/>
      <c r="CZK25" s="19"/>
      <c r="CZL25" s="19"/>
      <c r="CZM25" s="19"/>
      <c r="CZN25" s="19"/>
      <c r="CZO25" s="19"/>
      <c r="CZP25" s="19"/>
      <c r="CZQ25" s="19"/>
      <c r="CZR25" s="19"/>
      <c r="CZS25" s="19"/>
      <c r="CZT25" s="19"/>
      <c r="CZU25" s="19"/>
      <c r="CZV25" s="19"/>
      <c r="CZW25" s="19"/>
      <c r="CZX25" s="19"/>
      <c r="CZY25" s="19"/>
      <c r="CZZ25" s="19"/>
      <c r="DAA25" s="19"/>
      <c r="DAB25" s="19"/>
      <c r="DAC25" s="19"/>
      <c r="DAD25" s="19"/>
      <c r="DAE25" s="19"/>
      <c r="DAF25" s="19"/>
      <c r="DAG25" s="19"/>
      <c r="DAH25" s="19"/>
      <c r="DAI25" s="19"/>
      <c r="DAJ25" s="19"/>
      <c r="DAK25" s="19"/>
      <c r="DAL25" s="19"/>
      <c r="DAM25" s="19"/>
      <c r="DAN25" s="19"/>
      <c r="DAO25" s="19"/>
      <c r="DAP25" s="19"/>
      <c r="DAQ25" s="19"/>
      <c r="DAR25" s="19"/>
      <c r="DAS25" s="19"/>
      <c r="DAT25" s="19"/>
      <c r="DAU25" s="19"/>
      <c r="DAV25" s="19"/>
      <c r="DAW25" s="19"/>
      <c r="DAX25" s="19"/>
      <c r="DAY25" s="19"/>
      <c r="DAZ25" s="19"/>
      <c r="DBA25" s="19"/>
      <c r="DBB25" s="19"/>
      <c r="DBC25" s="19"/>
      <c r="DBD25" s="19"/>
      <c r="DBE25" s="19"/>
      <c r="DBF25" s="19"/>
      <c r="DBG25" s="19"/>
      <c r="DBH25" s="19"/>
      <c r="DBI25" s="19"/>
      <c r="DBJ25" s="19"/>
      <c r="DBK25" s="19"/>
      <c r="DBL25" s="19"/>
      <c r="DBM25" s="19"/>
      <c r="DBN25" s="19"/>
      <c r="DBO25" s="19"/>
      <c r="DBP25" s="19"/>
      <c r="DBQ25" s="19"/>
      <c r="DBR25" s="19"/>
      <c r="DBS25" s="19"/>
      <c r="DBT25" s="19"/>
      <c r="DBU25" s="19"/>
      <c r="DBV25" s="19"/>
      <c r="DBW25" s="19"/>
      <c r="DBX25" s="19"/>
      <c r="DBY25" s="19"/>
      <c r="DBZ25" s="19"/>
      <c r="DCA25" s="19"/>
      <c r="DCB25" s="19"/>
      <c r="DCC25" s="19"/>
      <c r="DCD25" s="19"/>
      <c r="DCE25" s="19"/>
      <c r="DCF25" s="19"/>
      <c r="DCG25" s="19"/>
      <c r="DCH25" s="19"/>
      <c r="DCI25" s="19"/>
      <c r="DCJ25" s="19"/>
      <c r="DCK25" s="19"/>
      <c r="DCL25" s="19"/>
      <c r="DCM25" s="19"/>
      <c r="DCN25" s="19"/>
      <c r="DCO25" s="19"/>
      <c r="DCP25" s="19"/>
      <c r="DCQ25" s="19"/>
      <c r="DCR25" s="19"/>
      <c r="DCS25" s="19"/>
      <c r="DCT25" s="19"/>
      <c r="DCU25" s="19"/>
      <c r="DCV25" s="19"/>
      <c r="DCW25" s="19"/>
      <c r="DCX25" s="19"/>
      <c r="DCY25" s="19"/>
      <c r="DCZ25" s="19"/>
      <c r="DDA25" s="19"/>
      <c r="DDB25" s="19"/>
      <c r="DDC25" s="19"/>
      <c r="DDD25" s="19"/>
      <c r="DDE25" s="19"/>
      <c r="DDF25" s="19"/>
      <c r="DDG25" s="19"/>
      <c r="DDH25" s="19"/>
      <c r="DDI25" s="19"/>
      <c r="DDJ25" s="19"/>
      <c r="DDK25" s="19"/>
      <c r="DDL25" s="19"/>
      <c r="DDM25" s="19"/>
      <c r="DDN25" s="19"/>
      <c r="DDO25" s="19"/>
      <c r="DDP25" s="19"/>
      <c r="DDQ25" s="19"/>
      <c r="DDR25" s="19"/>
      <c r="DDS25" s="19"/>
      <c r="DDT25" s="19"/>
      <c r="DDU25" s="19"/>
      <c r="DDV25" s="19"/>
      <c r="DDW25" s="19"/>
      <c r="DDX25" s="19"/>
      <c r="DDY25" s="19"/>
      <c r="DDZ25" s="19"/>
      <c r="DEA25" s="19"/>
      <c r="DEB25" s="19"/>
      <c r="DEC25" s="19"/>
      <c r="DED25" s="19"/>
      <c r="DEE25" s="19"/>
      <c r="DEF25" s="19"/>
      <c r="DEG25" s="19"/>
      <c r="DEH25" s="19"/>
      <c r="DEI25" s="19"/>
      <c r="DEJ25" s="19"/>
      <c r="DEK25" s="19"/>
      <c r="DEL25" s="19"/>
      <c r="DEM25" s="19"/>
      <c r="DEN25" s="19"/>
      <c r="DEO25" s="19"/>
      <c r="DEP25" s="19"/>
      <c r="DEQ25" s="19"/>
      <c r="DER25" s="19"/>
      <c r="DES25" s="19"/>
      <c r="DET25" s="19"/>
      <c r="DEU25" s="19"/>
      <c r="DEV25" s="19"/>
      <c r="DEW25" s="19"/>
      <c r="DEX25" s="19"/>
      <c r="DEY25" s="19"/>
      <c r="DEZ25" s="19"/>
      <c r="DFA25" s="19"/>
      <c r="DFB25" s="19"/>
      <c r="DFC25" s="19"/>
      <c r="DFD25" s="19"/>
      <c r="DFE25" s="19"/>
      <c r="DFF25" s="19"/>
      <c r="DFG25" s="19"/>
      <c r="DFH25" s="19"/>
      <c r="DFI25" s="19"/>
      <c r="DFJ25" s="19"/>
      <c r="DFK25" s="19"/>
      <c r="DFL25" s="19"/>
      <c r="DFM25" s="19"/>
      <c r="DFN25" s="19"/>
      <c r="DFO25" s="19"/>
      <c r="DFP25" s="19"/>
      <c r="DFQ25" s="19"/>
      <c r="DFR25" s="19"/>
      <c r="DFS25" s="19"/>
      <c r="DFT25" s="19"/>
      <c r="DFU25" s="19"/>
      <c r="DFV25" s="19"/>
      <c r="DFW25" s="19"/>
      <c r="DFX25" s="19"/>
      <c r="DFY25" s="19"/>
      <c r="DFZ25" s="19"/>
      <c r="DGA25" s="19"/>
      <c r="DGB25" s="19"/>
      <c r="DGC25" s="19"/>
      <c r="DGD25" s="19"/>
      <c r="DGE25" s="19"/>
      <c r="DGF25" s="19"/>
      <c r="DGG25" s="19"/>
      <c r="DGH25" s="19"/>
      <c r="DGI25" s="19"/>
      <c r="DGJ25" s="19"/>
      <c r="DGK25" s="19"/>
      <c r="DGL25" s="19"/>
      <c r="DGM25" s="19"/>
      <c r="DGN25" s="19"/>
      <c r="DGO25" s="19"/>
      <c r="DGP25" s="19"/>
      <c r="DGQ25" s="19"/>
      <c r="DGR25" s="19"/>
      <c r="DGS25" s="19"/>
      <c r="DGT25" s="19"/>
      <c r="DGU25" s="19"/>
      <c r="DGV25" s="19"/>
      <c r="DGW25" s="19"/>
      <c r="DGX25" s="19"/>
      <c r="DGY25" s="19"/>
      <c r="DGZ25" s="19"/>
      <c r="DHA25" s="19"/>
      <c r="DHB25" s="19"/>
      <c r="DHC25" s="19"/>
      <c r="DHD25" s="19"/>
      <c r="DHE25" s="19"/>
      <c r="DHF25" s="19"/>
      <c r="DHG25" s="19"/>
      <c r="DHH25" s="19"/>
      <c r="DHI25" s="19"/>
      <c r="DHJ25" s="19"/>
      <c r="DHK25" s="19"/>
      <c r="DHL25" s="19"/>
      <c r="DHM25" s="19"/>
      <c r="DHN25" s="19"/>
      <c r="DHO25" s="19"/>
      <c r="DHP25" s="19"/>
      <c r="DHQ25" s="19"/>
      <c r="DHR25" s="19"/>
      <c r="DHS25" s="19"/>
      <c r="DHT25" s="19"/>
      <c r="DHU25" s="19"/>
      <c r="DHV25" s="19"/>
      <c r="DHW25" s="19"/>
      <c r="DHX25" s="19"/>
      <c r="DHY25" s="19"/>
      <c r="DHZ25" s="19"/>
      <c r="DIA25" s="19"/>
      <c r="DIB25" s="19"/>
      <c r="DIC25" s="19"/>
      <c r="DID25" s="19"/>
      <c r="DIE25" s="19"/>
      <c r="DIF25" s="19"/>
      <c r="DIG25" s="19"/>
      <c r="DIH25" s="19"/>
      <c r="DII25" s="19"/>
      <c r="DIJ25" s="19"/>
      <c r="DIK25" s="19"/>
      <c r="DIL25" s="19"/>
      <c r="DIM25" s="19"/>
      <c r="DIN25" s="19"/>
      <c r="DIO25" s="19"/>
      <c r="DIP25" s="19"/>
      <c r="DIQ25" s="19"/>
      <c r="DIR25" s="19"/>
      <c r="DIS25" s="19"/>
      <c r="DIT25" s="19"/>
      <c r="DIU25" s="19"/>
      <c r="DIV25" s="19"/>
      <c r="DIW25" s="19"/>
      <c r="DIX25" s="19"/>
      <c r="DIY25" s="19"/>
      <c r="DIZ25" s="19"/>
      <c r="DJA25" s="19"/>
      <c r="DJB25" s="19"/>
      <c r="DJC25" s="19"/>
      <c r="DJD25" s="19"/>
      <c r="DJE25" s="19"/>
      <c r="DJF25" s="19"/>
      <c r="DJG25" s="19"/>
      <c r="DJH25" s="19"/>
      <c r="DJI25" s="19"/>
      <c r="DJJ25" s="19"/>
      <c r="DJK25" s="19"/>
      <c r="DJL25" s="19"/>
      <c r="DJM25" s="19"/>
      <c r="DJN25" s="19"/>
      <c r="DJO25" s="19"/>
      <c r="DJP25" s="19"/>
      <c r="DJQ25" s="19"/>
      <c r="DJR25" s="19"/>
      <c r="DJS25" s="19"/>
      <c r="DJT25" s="19"/>
      <c r="DJU25" s="19"/>
      <c r="DJV25" s="19"/>
      <c r="DJW25" s="19"/>
      <c r="DJX25" s="19"/>
      <c r="DJY25" s="19"/>
      <c r="DJZ25" s="19"/>
      <c r="DKA25" s="19"/>
      <c r="DKB25" s="19"/>
      <c r="DKC25" s="19"/>
      <c r="DKD25" s="19"/>
      <c r="DKE25" s="19"/>
      <c r="DKF25" s="19"/>
      <c r="DKG25" s="19"/>
      <c r="DKH25" s="19"/>
      <c r="DKI25" s="19"/>
      <c r="DKJ25" s="19"/>
      <c r="DKK25" s="19"/>
      <c r="DKL25" s="19"/>
      <c r="DKM25" s="19"/>
      <c r="DKN25" s="19"/>
      <c r="DKO25" s="19"/>
      <c r="DKP25" s="19"/>
      <c r="DKQ25" s="19"/>
      <c r="DKR25" s="19"/>
      <c r="DKS25" s="19"/>
      <c r="DKT25" s="19"/>
      <c r="DKU25" s="19"/>
      <c r="DKV25" s="19"/>
      <c r="DKW25" s="19"/>
      <c r="DKX25" s="19"/>
      <c r="DKY25" s="19"/>
      <c r="DKZ25" s="19"/>
      <c r="DLA25" s="19"/>
      <c r="DLB25" s="19"/>
      <c r="DLC25" s="19"/>
      <c r="DLD25" s="19"/>
      <c r="DLE25" s="19"/>
      <c r="DLF25" s="19"/>
      <c r="DLG25" s="19"/>
      <c r="DLH25" s="19"/>
      <c r="DLI25" s="19"/>
      <c r="DLJ25" s="19"/>
      <c r="DLK25" s="19"/>
      <c r="DLL25" s="19"/>
      <c r="DLM25" s="19"/>
      <c r="DLN25" s="19"/>
      <c r="DLO25" s="19"/>
      <c r="DLP25" s="19"/>
      <c r="DLQ25" s="19"/>
      <c r="DLR25" s="19"/>
      <c r="DLS25" s="19"/>
      <c r="DLT25" s="19"/>
      <c r="DLU25" s="19"/>
      <c r="DLV25" s="19"/>
      <c r="DLW25" s="19"/>
      <c r="DLX25" s="19"/>
      <c r="DLY25" s="19"/>
      <c r="DLZ25" s="19"/>
      <c r="DMA25" s="19"/>
      <c r="DMB25" s="19"/>
      <c r="DMC25" s="19"/>
      <c r="DMD25" s="19"/>
      <c r="DME25" s="19"/>
      <c r="DMF25" s="19"/>
      <c r="DMG25" s="19"/>
      <c r="DMH25" s="19"/>
      <c r="DMI25" s="19"/>
      <c r="DMJ25" s="19"/>
      <c r="DMK25" s="19"/>
      <c r="DML25" s="19"/>
      <c r="DMM25" s="19"/>
      <c r="DMN25" s="19"/>
      <c r="DMO25" s="19"/>
      <c r="DMP25" s="19"/>
      <c r="DMQ25" s="19"/>
      <c r="DMR25" s="19"/>
      <c r="DMS25" s="19"/>
      <c r="DMT25" s="19"/>
      <c r="DMU25" s="19"/>
      <c r="DMV25" s="19"/>
      <c r="DMW25" s="19"/>
      <c r="DMX25" s="19"/>
      <c r="DMY25" s="19"/>
      <c r="DMZ25" s="19"/>
      <c r="DNA25" s="19"/>
      <c r="DNB25" s="19"/>
      <c r="DNC25" s="19"/>
      <c r="DND25" s="19"/>
      <c r="DNE25" s="19"/>
      <c r="DNF25" s="19"/>
      <c r="DNG25" s="19"/>
      <c r="DNH25" s="19"/>
      <c r="DNI25" s="19"/>
      <c r="DNJ25" s="19"/>
      <c r="DNK25" s="19"/>
      <c r="DNL25" s="19"/>
      <c r="DNM25" s="19"/>
      <c r="DNN25" s="19"/>
      <c r="DNO25" s="19"/>
      <c r="DNP25" s="19"/>
      <c r="DNQ25" s="19"/>
      <c r="DNR25" s="19"/>
      <c r="DNS25" s="19"/>
      <c r="DNT25" s="19"/>
      <c r="DNU25" s="19"/>
      <c r="DNV25" s="19"/>
      <c r="DNW25" s="19"/>
      <c r="DNX25" s="19"/>
      <c r="DNY25" s="19"/>
      <c r="DNZ25" s="19"/>
      <c r="DOA25" s="19"/>
      <c r="DOB25" s="19"/>
      <c r="DOC25" s="19"/>
      <c r="DOD25" s="19"/>
      <c r="DOE25" s="19"/>
      <c r="DOF25" s="19"/>
      <c r="DOG25" s="19"/>
      <c r="DOH25" s="19"/>
      <c r="DOI25" s="19"/>
      <c r="DOJ25" s="19"/>
      <c r="DOK25" s="19"/>
      <c r="DOL25" s="19"/>
      <c r="DOM25" s="19"/>
      <c r="DON25" s="19"/>
      <c r="DOO25" s="19"/>
      <c r="DOP25" s="19"/>
      <c r="DOQ25" s="19"/>
      <c r="DOR25" s="19"/>
      <c r="DOS25" s="19"/>
      <c r="DOT25" s="19"/>
      <c r="DOU25" s="19"/>
      <c r="DOV25" s="19"/>
      <c r="DOW25" s="19"/>
      <c r="DOX25" s="19"/>
      <c r="DOY25" s="19"/>
      <c r="DOZ25" s="19"/>
      <c r="DPA25" s="19"/>
      <c r="DPB25" s="19"/>
      <c r="DPC25" s="19"/>
      <c r="DPD25" s="19"/>
      <c r="DPE25" s="19"/>
      <c r="DPF25" s="19"/>
      <c r="DPG25" s="19"/>
      <c r="DPH25" s="19"/>
      <c r="DPI25" s="19"/>
      <c r="DPJ25" s="19"/>
      <c r="DPK25" s="19"/>
      <c r="DPL25" s="19"/>
      <c r="DPM25" s="19"/>
      <c r="DPN25" s="19"/>
      <c r="DPO25" s="19"/>
      <c r="DPP25" s="19"/>
      <c r="DPQ25" s="19"/>
      <c r="DPR25" s="19"/>
      <c r="DPS25" s="19"/>
      <c r="DPT25" s="19"/>
      <c r="DPU25" s="19"/>
      <c r="DPV25" s="19"/>
      <c r="DPW25" s="19"/>
      <c r="DPX25" s="19"/>
      <c r="DPY25" s="19"/>
      <c r="DPZ25" s="19"/>
      <c r="DQA25" s="19"/>
      <c r="DQB25" s="19"/>
      <c r="DQC25" s="19"/>
      <c r="DQD25" s="19"/>
      <c r="DQE25" s="19"/>
      <c r="DQF25" s="19"/>
      <c r="DQG25" s="19"/>
      <c r="DQH25" s="19"/>
      <c r="DQI25" s="19"/>
      <c r="DQJ25" s="19"/>
      <c r="DQK25" s="19"/>
      <c r="DQL25" s="19"/>
      <c r="DQM25" s="19"/>
      <c r="DQN25" s="19"/>
      <c r="DQO25" s="19"/>
      <c r="DQP25" s="19"/>
      <c r="DQQ25" s="19"/>
      <c r="DQR25" s="19"/>
      <c r="DQS25" s="19"/>
      <c r="DQT25" s="19"/>
      <c r="DQU25" s="19"/>
      <c r="DQV25" s="19"/>
      <c r="DQW25" s="19"/>
      <c r="DQX25" s="19"/>
      <c r="DQY25" s="19"/>
      <c r="DQZ25" s="19"/>
      <c r="DRA25" s="19"/>
      <c r="DRB25" s="19"/>
      <c r="DRC25" s="19"/>
      <c r="DRD25" s="19"/>
      <c r="DRE25" s="19"/>
      <c r="DRF25" s="19"/>
      <c r="DRG25" s="19"/>
      <c r="DRH25" s="19"/>
      <c r="DRI25" s="19"/>
      <c r="DRJ25" s="19"/>
      <c r="DRK25" s="19"/>
      <c r="DRL25" s="19"/>
      <c r="DRM25" s="19"/>
      <c r="DRN25" s="19"/>
      <c r="DRO25" s="19"/>
      <c r="DRP25" s="19"/>
      <c r="DRQ25" s="19"/>
      <c r="DRR25" s="19"/>
      <c r="DRS25" s="19"/>
      <c r="DRT25" s="19"/>
      <c r="DRU25" s="19"/>
      <c r="DRV25" s="19"/>
      <c r="DRW25" s="19"/>
      <c r="DRX25" s="19"/>
      <c r="DRY25" s="19"/>
      <c r="DRZ25" s="19"/>
      <c r="DSA25" s="19"/>
      <c r="DSB25" s="19"/>
      <c r="DSC25" s="19"/>
      <c r="DSD25" s="19"/>
      <c r="DSE25" s="19"/>
      <c r="DSF25" s="19"/>
      <c r="DSG25" s="19"/>
      <c r="DSH25" s="19"/>
      <c r="DSI25" s="19"/>
      <c r="DSJ25" s="19"/>
      <c r="DSK25" s="19"/>
      <c r="DSL25" s="19"/>
      <c r="DSM25" s="19"/>
      <c r="DSN25" s="19"/>
      <c r="DSO25" s="19"/>
      <c r="DSP25" s="19"/>
      <c r="DSQ25" s="19"/>
      <c r="DSR25" s="19"/>
      <c r="DSS25" s="19"/>
      <c r="DST25" s="19"/>
      <c r="DSU25" s="19"/>
      <c r="DSV25" s="19"/>
      <c r="DSW25" s="19"/>
      <c r="DSX25" s="19"/>
      <c r="DSY25" s="19"/>
      <c r="DSZ25" s="19"/>
      <c r="DTA25" s="19"/>
      <c r="DTB25" s="19"/>
      <c r="DTC25" s="19"/>
      <c r="DTD25" s="19"/>
      <c r="DTE25" s="19"/>
      <c r="DTF25" s="19"/>
      <c r="DTG25" s="19"/>
      <c r="DTH25" s="19"/>
      <c r="DTI25" s="19"/>
      <c r="DTJ25" s="19"/>
      <c r="DTK25" s="19"/>
      <c r="DTL25" s="19"/>
      <c r="DTM25" s="19"/>
      <c r="DTN25" s="19"/>
      <c r="DTO25" s="19"/>
      <c r="DTP25" s="19"/>
      <c r="DTQ25" s="19"/>
      <c r="DTR25" s="19"/>
      <c r="DTS25" s="19"/>
      <c r="DTT25" s="19"/>
      <c r="DTU25" s="19"/>
      <c r="DTV25" s="19"/>
      <c r="DTW25" s="19"/>
      <c r="DTX25" s="19"/>
      <c r="DTY25" s="19"/>
      <c r="DTZ25" s="19"/>
      <c r="DUA25" s="19"/>
      <c r="DUB25" s="19"/>
      <c r="DUC25" s="19"/>
      <c r="DUD25" s="19"/>
      <c r="DUE25" s="19"/>
      <c r="DUF25" s="19"/>
      <c r="DUG25" s="19"/>
      <c r="DUH25" s="19"/>
      <c r="DUI25" s="19"/>
      <c r="DUJ25" s="19"/>
      <c r="DUK25" s="19"/>
      <c r="DUL25" s="19"/>
      <c r="DUM25" s="19"/>
      <c r="DUN25" s="19"/>
      <c r="DUO25" s="19"/>
      <c r="DUP25" s="19"/>
      <c r="DUQ25" s="19"/>
      <c r="DUR25" s="19"/>
      <c r="DUS25" s="19"/>
      <c r="DUT25" s="19"/>
      <c r="DUU25" s="19"/>
      <c r="DUV25" s="19"/>
      <c r="DUW25" s="19"/>
      <c r="DUX25" s="19"/>
      <c r="DUY25" s="19"/>
      <c r="DUZ25" s="19"/>
      <c r="DVA25" s="19"/>
      <c r="DVB25" s="19"/>
      <c r="DVC25" s="19"/>
      <c r="DVD25" s="19"/>
      <c r="DVE25" s="19"/>
      <c r="DVF25" s="19"/>
      <c r="DVG25" s="19"/>
      <c r="DVH25" s="19"/>
      <c r="DVI25" s="19"/>
      <c r="DVJ25" s="19"/>
      <c r="DVK25" s="19"/>
      <c r="DVL25" s="19"/>
      <c r="DVM25" s="19"/>
      <c r="DVN25" s="19"/>
      <c r="DVO25" s="19"/>
      <c r="DVP25" s="19"/>
      <c r="DVQ25" s="19"/>
      <c r="DVR25" s="19"/>
      <c r="DVS25" s="19"/>
      <c r="DVT25" s="19"/>
      <c r="DVU25" s="19"/>
      <c r="DVV25" s="19"/>
      <c r="DVW25" s="19"/>
      <c r="DVX25" s="19"/>
      <c r="DVY25" s="19"/>
      <c r="DVZ25" s="19"/>
      <c r="DWA25" s="19"/>
      <c r="DWB25" s="19"/>
      <c r="DWC25" s="19"/>
      <c r="DWD25" s="19"/>
      <c r="DWE25" s="19"/>
      <c r="DWF25" s="19"/>
      <c r="DWG25" s="19"/>
      <c r="DWH25" s="19"/>
      <c r="DWI25" s="19"/>
      <c r="DWJ25" s="19"/>
      <c r="DWK25" s="19"/>
      <c r="DWL25" s="19"/>
      <c r="DWM25" s="19"/>
      <c r="DWN25" s="19"/>
      <c r="DWO25" s="19"/>
      <c r="DWP25" s="19"/>
      <c r="DWQ25" s="19"/>
      <c r="DWR25" s="19"/>
      <c r="DWS25" s="19"/>
      <c r="DWT25" s="19"/>
      <c r="DWU25" s="19"/>
      <c r="DWV25" s="19"/>
      <c r="DWW25" s="19"/>
      <c r="DWX25" s="19"/>
      <c r="DWY25" s="19"/>
      <c r="DWZ25" s="19"/>
      <c r="DXA25" s="19"/>
      <c r="DXB25" s="19"/>
      <c r="DXC25" s="19"/>
      <c r="DXD25" s="19"/>
      <c r="DXE25" s="19"/>
      <c r="DXF25" s="19"/>
      <c r="DXG25" s="19"/>
      <c r="DXH25" s="19"/>
      <c r="DXI25" s="19"/>
      <c r="DXJ25" s="19"/>
      <c r="DXK25" s="19"/>
      <c r="DXL25" s="19"/>
      <c r="DXM25" s="19"/>
      <c r="DXN25" s="19"/>
      <c r="DXO25" s="19"/>
      <c r="DXP25" s="19"/>
      <c r="DXQ25" s="19"/>
      <c r="DXR25" s="19"/>
      <c r="DXS25" s="19"/>
      <c r="DXT25" s="19"/>
      <c r="DXU25" s="19"/>
      <c r="DXV25" s="19"/>
      <c r="DXW25" s="19"/>
      <c r="DXX25" s="19"/>
      <c r="DXY25" s="19"/>
      <c r="DXZ25" s="19"/>
      <c r="DYA25" s="19"/>
      <c r="DYB25" s="19"/>
      <c r="DYC25" s="19"/>
      <c r="DYD25" s="19"/>
      <c r="DYE25" s="19"/>
      <c r="DYF25" s="19"/>
      <c r="DYG25" s="19"/>
      <c r="DYH25" s="19"/>
      <c r="DYI25" s="19"/>
      <c r="DYJ25" s="19"/>
      <c r="DYK25" s="19"/>
      <c r="DYL25" s="19"/>
      <c r="DYM25" s="19"/>
      <c r="DYN25" s="19"/>
      <c r="DYO25" s="19"/>
      <c r="DYP25" s="19"/>
      <c r="DYQ25" s="19"/>
      <c r="DYR25" s="19"/>
      <c r="DYS25" s="19"/>
      <c r="DYT25" s="19"/>
      <c r="DYU25" s="19"/>
      <c r="DYV25" s="19"/>
      <c r="DYW25" s="19"/>
      <c r="DYX25" s="19"/>
      <c r="DYY25" s="19"/>
      <c r="DYZ25" s="19"/>
      <c r="DZA25" s="19"/>
      <c r="DZB25" s="19"/>
      <c r="DZC25" s="19"/>
      <c r="DZD25" s="19"/>
      <c r="DZE25" s="19"/>
      <c r="DZF25" s="19"/>
      <c r="DZG25" s="19"/>
      <c r="DZH25" s="19"/>
      <c r="DZI25" s="19"/>
      <c r="DZJ25" s="19"/>
      <c r="DZK25" s="19"/>
      <c r="DZL25" s="19"/>
      <c r="DZM25" s="19"/>
      <c r="DZN25" s="19"/>
      <c r="DZO25" s="19"/>
      <c r="DZP25" s="19"/>
      <c r="DZQ25" s="19"/>
      <c r="DZR25" s="19"/>
      <c r="DZS25" s="19"/>
      <c r="DZT25" s="19"/>
      <c r="DZU25" s="19"/>
      <c r="DZV25" s="19"/>
      <c r="DZW25" s="19"/>
      <c r="DZX25" s="19"/>
      <c r="DZY25" s="19"/>
      <c r="DZZ25" s="19"/>
      <c r="EAA25" s="19"/>
      <c r="EAB25" s="19"/>
      <c r="EAC25" s="19"/>
      <c r="EAD25" s="19"/>
      <c r="EAE25" s="19"/>
      <c r="EAF25" s="19"/>
      <c r="EAG25" s="19"/>
      <c r="EAH25" s="19"/>
      <c r="EAI25" s="19"/>
      <c r="EAJ25" s="19"/>
      <c r="EAK25" s="19"/>
      <c r="EAL25" s="19"/>
      <c r="EAM25" s="19"/>
      <c r="EAN25" s="19"/>
      <c r="EAO25" s="19"/>
      <c r="EAP25" s="19"/>
      <c r="EAQ25" s="19"/>
      <c r="EAR25" s="19"/>
      <c r="EAS25" s="19"/>
      <c r="EAT25" s="19"/>
      <c r="EAU25" s="19"/>
      <c r="EAV25" s="19"/>
      <c r="EAW25" s="19"/>
      <c r="EAX25" s="19"/>
      <c r="EAY25" s="19"/>
      <c r="EAZ25" s="19"/>
      <c r="EBA25" s="19"/>
      <c r="EBB25" s="19"/>
      <c r="EBC25" s="19"/>
      <c r="EBD25" s="19"/>
      <c r="EBE25" s="19"/>
      <c r="EBF25" s="19"/>
      <c r="EBG25" s="19"/>
      <c r="EBH25" s="19"/>
      <c r="EBI25" s="19"/>
      <c r="EBJ25" s="19"/>
      <c r="EBK25" s="19"/>
      <c r="EBL25" s="19"/>
      <c r="EBM25" s="19"/>
      <c r="EBN25" s="19"/>
      <c r="EBO25" s="19"/>
      <c r="EBP25" s="19"/>
      <c r="EBQ25" s="19"/>
      <c r="EBR25" s="19"/>
      <c r="EBS25" s="19"/>
      <c r="EBT25" s="19"/>
      <c r="EBU25" s="19"/>
      <c r="EBV25" s="19"/>
      <c r="EBW25" s="19"/>
      <c r="EBX25" s="19"/>
      <c r="EBY25" s="19"/>
      <c r="EBZ25" s="19"/>
      <c r="ECA25" s="19"/>
      <c r="ECB25" s="19"/>
      <c r="ECC25" s="19"/>
      <c r="ECD25" s="19"/>
      <c r="ECE25" s="19"/>
      <c r="ECF25" s="19"/>
      <c r="ECG25" s="19"/>
      <c r="ECH25" s="19"/>
      <c r="ECI25" s="19"/>
      <c r="ECJ25" s="19"/>
      <c r="ECK25" s="19"/>
      <c r="ECL25" s="19"/>
      <c r="ECM25" s="19"/>
      <c r="ECN25" s="19"/>
      <c r="ECO25" s="19"/>
      <c r="ECP25" s="19"/>
      <c r="ECQ25" s="19"/>
      <c r="ECR25" s="19"/>
      <c r="ECS25" s="19"/>
      <c r="ECT25" s="19"/>
      <c r="ECU25" s="19"/>
      <c r="ECV25" s="19"/>
      <c r="ECW25" s="19"/>
      <c r="ECX25" s="19"/>
      <c r="ECY25" s="19"/>
      <c r="ECZ25" s="19"/>
      <c r="EDA25" s="19"/>
      <c r="EDB25" s="19"/>
      <c r="EDC25" s="19"/>
      <c r="EDD25" s="19"/>
      <c r="EDE25" s="19"/>
      <c r="EDF25" s="19"/>
      <c r="EDG25" s="19"/>
      <c r="EDH25" s="19"/>
      <c r="EDI25" s="19"/>
      <c r="EDJ25" s="19"/>
      <c r="EDK25" s="19"/>
      <c r="EDL25" s="19"/>
      <c r="EDM25" s="19"/>
      <c r="EDN25" s="19"/>
      <c r="EDO25" s="19"/>
      <c r="EDP25" s="19"/>
      <c r="EDQ25" s="19"/>
      <c r="EDR25" s="19"/>
      <c r="EDS25" s="19"/>
      <c r="EDT25" s="19"/>
      <c r="EDU25" s="19"/>
      <c r="EDV25" s="19"/>
      <c r="EDW25" s="19"/>
      <c r="EDX25" s="19"/>
      <c r="EDY25" s="19"/>
      <c r="EDZ25" s="19"/>
      <c r="EEA25" s="19"/>
      <c r="EEB25" s="19"/>
      <c r="EEC25" s="19"/>
      <c r="EED25" s="19"/>
      <c r="EEE25" s="19"/>
      <c r="EEF25" s="19"/>
      <c r="EEG25" s="19"/>
      <c r="EEH25" s="19"/>
      <c r="EEI25" s="19"/>
      <c r="EEJ25" s="19"/>
      <c r="EEK25" s="19"/>
      <c r="EEL25" s="19"/>
      <c r="EEM25" s="19"/>
      <c r="EEN25" s="19"/>
      <c r="EEO25" s="19"/>
      <c r="EEP25" s="19"/>
      <c r="EEQ25" s="19"/>
      <c r="EER25" s="19"/>
      <c r="EES25" s="19"/>
      <c r="EET25" s="19"/>
      <c r="EEU25" s="19"/>
      <c r="EEV25" s="19"/>
      <c r="EEW25" s="19"/>
      <c r="EEX25" s="19"/>
      <c r="EEY25" s="19"/>
      <c r="EEZ25" s="19"/>
      <c r="EFA25" s="19"/>
      <c r="EFB25" s="19"/>
      <c r="EFC25" s="19"/>
      <c r="EFD25" s="19"/>
      <c r="EFE25" s="19"/>
      <c r="EFF25" s="19"/>
      <c r="EFG25" s="19"/>
      <c r="EFH25" s="19"/>
      <c r="EFI25" s="19"/>
      <c r="EFJ25" s="19"/>
      <c r="EFK25" s="19"/>
      <c r="EFL25" s="19"/>
      <c r="EFM25" s="19"/>
      <c r="EFN25" s="19"/>
      <c r="EFO25" s="19"/>
      <c r="EFP25" s="19"/>
      <c r="EFQ25" s="19"/>
      <c r="EFR25" s="19"/>
      <c r="EFS25" s="19"/>
      <c r="EFT25" s="19"/>
      <c r="EFU25" s="19"/>
      <c r="EFV25" s="19"/>
      <c r="EFW25" s="19"/>
      <c r="EFX25" s="19"/>
      <c r="EFY25" s="19"/>
      <c r="EFZ25" s="19"/>
      <c r="EGA25" s="19"/>
      <c r="EGB25" s="19"/>
      <c r="EGC25" s="19"/>
      <c r="EGD25" s="19"/>
      <c r="EGE25" s="19"/>
      <c r="EGF25" s="19"/>
      <c r="EGG25" s="19"/>
      <c r="EGH25" s="19"/>
      <c r="EGI25" s="19"/>
      <c r="EGJ25" s="19"/>
      <c r="EGK25" s="19"/>
      <c r="EGL25" s="19"/>
      <c r="EGM25" s="19"/>
      <c r="EGN25" s="19"/>
      <c r="EGO25" s="19"/>
      <c r="EGP25" s="19"/>
      <c r="EGQ25" s="19"/>
      <c r="EGR25" s="19"/>
      <c r="EGS25" s="19"/>
      <c r="EGT25" s="19"/>
      <c r="EGU25" s="19"/>
      <c r="EGV25" s="19"/>
      <c r="EGW25" s="19"/>
      <c r="EGX25" s="19"/>
      <c r="EGY25" s="19"/>
      <c r="EGZ25" s="19"/>
      <c r="EHA25" s="19"/>
      <c r="EHB25" s="19"/>
      <c r="EHC25" s="19"/>
      <c r="EHD25" s="19"/>
      <c r="EHE25" s="19"/>
      <c r="EHF25" s="19"/>
      <c r="EHG25" s="19"/>
      <c r="EHH25" s="19"/>
      <c r="EHI25" s="19"/>
      <c r="EHJ25" s="19"/>
      <c r="EHK25" s="19"/>
      <c r="EHL25" s="19"/>
      <c r="EHM25" s="19"/>
      <c r="EHN25" s="19"/>
      <c r="EHO25" s="19"/>
      <c r="EHP25" s="19"/>
      <c r="EHQ25" s="19"/>
      <c r="EHR25" s="19"/>
      <c r="EHS25" s="19"/>
      <c r="EHT25" s="19"/>
      <c r="EHU25" s="19"/>
      <c r="EHV25" s="19"/>
      <c r="EHW25" s="19"/>
      <c r="EHX25" s="19"/>
      <c r="EHY25" s="19"/>
      <c r="EHZ25" s="19"/>
      <c r="EIA25" s="19"/>
      <c r="EIB25" s="19"/>
      <c r="EIC25" s="19"/>
      <c r="EID25" s="19"/>
      <c r="EIE25" s="19"/>
      <c r="EIF25" s="19"/>
      <c r="EIG25" s="19"/>
      <c r="EIH25" s="19"/>
      <c r="EII25" s="19"/>
      <c r="EIJ25" s="19"/>
      <c r="EIK25" s="19"/>
      <c r="EIL25" s="19"/>
      <c r="EIM25" s="19"/>
      <c r="EIN25" s="19"/>
      <c r="EIO25" s="19"/>
      <c r="EIP25" s="19"/>
      <c r="EIQ25" s="19"/>
      <c r="EIR25" s="19"/>
      <c r="EIS25" s="19"/>
      <c r="EIT25" s="19"/>
      <c r="EIU25" s="19"/>
      <c r="EIV25" s="19"/>
      <c r="EIW25" s="19"/>
      <c r="EIX25" s="19"/>
      <c r="EIY25" s="19"/>
      <c r="EIZ25" s="19"/>
      <c r="EJA25" s="19"/>
      <c r="EJB25" s="19"/>
      <c r="EJC25" s="19"/>
      <c r="EJD25" s="19"/>
      <c r="EJE25" s="19"/>
      <c r="EJF25" s="19"/>
      <c r="EJG25" s="19"/>
      <c r="EJH25" s="19"/>
      <c r="EJI25" s="19"/>
      <c r="EJJ25" s="19"/>
      <c r="EJK25" s="19"/>
      <c r="EJL25" s="19"/>
      <c r="EJM25" s="19"/>
      <c r="EJN25" s="19"/>
      <c r="EJO25" s="19"/>
      <c r="EJP25" s="19"/>
      <c r="EJQ25" s="19"/>
      <c r="EJR25" s="19"/>
      <c r="EJS25" s="19"/>
      <c r="EJT25" s="19"/>
      <c r="EJU25" s="19"/>
      <c r="EJV25" s="19"/>
      <c r="EJW25" s="19"/>
      <c r="EJX25" s="19"/>
      <c r="EJY25" s="19"/>
      <c r="EJZ25" s="19"/>
      <c r="EKA25" s="19"/>
      <c r="EKB25" s="19"/>
      <c r="EKC25" s="19"/>
      <c r="EKD25" s="19"/>
      <c r="EKE25" s="19"/>
      <c r="EKF25" s="19"/>
      <c r="EKG25" s="19"/>
      <c r="EKH25" s="19"/>
      <c r="EKI25" s="19"/>
      <c r="EKJ25" s="19"/>
      <c r="EKK25" s="19"/>
      <c r="EKL25" s="19"/>
      <c r="EKM25" s="19"/>
      <c r="EKN25" s="19"/>
      <c r="EKO25" s="19"/>
      <c r="EKP25" s="19"/>
      <c r="EKQ25" s="19"/>
      <c r="EKR25" s="19"/>
      <c r="EKS25" s="19"/>
      <c r="EKT25" s="19"/>
      <c r="EKU25" s="19"/>
      <c r="EKV25" s="19"/>
      <c r="EKW25" s="19"/>
      <c r="EKX25" s="19"/>
      <c r="EKY25" s="19"/>
      <c r="EKZ25" s="19"/>
      <c r="ELA25" s="19"/>
      <c r="ELB25" s="19"/>
      <c r="ELC25" s="19"/>
      <c r="ELD25" s="19"/>
      <c r="ELE25" s="19"/>
      <c r="ELF25" s="19"/>
      <c r="ELG25" s="19"/>
      <c r="ELH25" s="19"/>
      <c r="ELI25" s="19"/>
      <c r="ELJ25" s="19"/>
      <c r="ELK25" s="19"/>
      <c r="ELL25" s="19"/>
      <c r="ELM25" s="19"/>
      <c r="ELN25" s="19"/>
      <c r="ELO25" s="19"/>
      <c r="ELP25" s="19"/>
      <c r="ELQ25" s="19"/>
      <c r="ELR25" s="19"/>
      <c r="ELS25" s="19"/>
      <c r="ELT25" s="19"/>
      <c r="ELU25" s="19"/>
      <c r="ELV25" s="19"/>
      <c r="ELW25" s="19"/>
      <c r="ELX25" s="19"/>
      <c r="ELY25" s="19"/>
      <c r="ELZ25" s="19"/>
      <c r="EMA25" s="19"/>
      <c r="EMB25" s="19"/>
      <c r="EMC25" s="19"/>
      <c r="EMD25" s="19"/>
      <c r="EME25" s="19"/>
      <c r="EMF25" s="19"/>
      <c r="EMG25" s="19"/>
      <c r="EMH25" s="19"/>
      <c r="EMI25" s="19"/>
      <c r="EMJ25" s="19"/>
      <c r="EMK25" s="19"/>
      <c r="EML25" s="19"/>
      <c r="EMM25" s="19"/>
      <c r="EMN25" s="19"/>
      <c r="EMO25" s="19"/>
      <c r="EMP25" s="19"/>
      <c r="EMQ25" s="19"/>
      <c r="EMR25" s="19"/>
      <c r="EMS25" s="19"/>
      <c r="EMT25" s="19"/>
      <c r="EMU25" s="19"/>
      <c r="EMV25" s="19"/>
      <c r="EMW25" s="19"/>
      <c r="EMX25" s="19"/>
      <c r="EMY25" s="19"/>
      <c r="EMZ25" s="19"/>
      <c r="ENA25" s="19"/>
      <c r="ENB25" s="19"/>
      <c r="ENC25" s="19"/>
      <c r="END25" s="19"/>
      <c r="ENE25" s="19"/>
      <c r="ENF25" s="19"/>
      <c r="ENG25" s="19"/>
      <c r="ENH25" s="19"/>
      <c r="ENI25" s="19"/>
      <c r="ENJ25" s="19"/>
      <c r="ENK25" s="19"/>
      <c r="ENL25" s="19"/>
      <c r="ENM25" s="19"/>
      <c r="ENN25" s="19"/>
      <c r="ENO25" s="19"/>
      <c r="ENP25" s="19"/>
      <c r="ENQ25" s="19"/>
      <c r="ENR25" s="19"/>
      <c r="ENS25" s="19"/>
      <c r="ENT25" s="19"/>
      <c r="ENU25" s="19"/>
      <c r="ENV25" s="19"/>
      <c r="ENW25" s="19"/>
      <c r="ENX25" s="19"/>
      <c r="ENY25" s="19"/>
      <c r="ENZ25" s="19"/>
      <c r="EOA25" s="19"/>
      <c r="EOB25" s="19"/>
      <c r="EOC25" s="19"/>
      <c r="EOD25" s="19"/>
      <c r="EOE25" s="19"/>
      <c r="EOF25" s="19"/>
      <c r="EOG25" s="19"/>
      <c r="EOH25" s="19"/>
      <c r="EOI25" s="19"/>
      <c r="EOJ25" s="19"/>
      <c r="EOK25" s="19"/>
      <c r="EOL25" s="19"/>
      <c r="EOM25" s="19"/>
      <c r="EON25" s="19"/>
      <c r="EOO25" s="19"/>
      <c r="EOP25" s="19"/>
      <c r="EOQ25" s="19"/>
      <c r="EOR25" s="19"/>
      <c r="EOS25" s="19"/>
      <c r="EOT25" s="19"/>
      <c r="EOU25" s="19"/>
      <c r="EOV25" s="19"/>
      <c r="EOW25" s="19"/>
      <c r="EOX25" s="19"/>
      <c r="EOY25" s="19"/>
      <c r="EOZ25" s="19"/>
      <c r="EPA25" s="19"/>
      <c r="EPB25" s="19"/>
      <c r="EPC25" s="19"/>
      <c r="EPD25" s="19"/>
      <c r="EPE25" s="19"/>
      <c r="EPF25" s="19"/>
      <c r="EPG25" s="19"/>
      <c r="EPH25" s="19"/>
      <c r="EPI25" s="19"/>
      <c r="EPJ25" s="19"/>
      <c r="EPK25" s="19"/>
      <c r="EPL25" s="19"/>
      <c r="EPM25" s="19"/>
      <c r="EPN25" s="19"/>
      <c r="EPO25" s="19"/>
      <c r="EPP25" s="19"/>
      <c r="EPQ25" s="19"/>
      <c r="EPR25" s="19"/>
      <c r="EPS25" s="19"/>
      <c r="EPT25" s="19"/>
      <c r="EPU25" s="19"/>
      <c r="EPV25" s="19"/>
      <c r="EPW25" s="19"/>
      <c r="EPX25" s="19"/>
      <c r="EPY25" s="19"/>
      <c r="EPZ25" s="19"/>
      <c r="EQA25" s="19"/>
      <c r="EQB25" s="19"/>
      <c r="EQC25" s="19"/>
      <c r="EQD25" s="19"/>
      <c r="EQE25" s="19"/>
      <c r="EQF25" s="19"/>
      <c r="EQG25" s="19"/>
      <c r="EQH25" s="19"/>
      <c r="EQI25" s="19"/>
      <c r="EQJ25" s="19"/>
      <c r="EQK25" s="19"/>
      <c r="EQL25" s="19"/>
      <c r="EQM25" s="19"/>
      <c r="EQN25" s="19"/>
      <c r="EQO25" s="19"/>
      <c r="EQP25" s="19"/>
      <c r="EQQ25" s="19"/>
      <c r="EQR25" s="19"/>
      <c r="EQS25" s="19"/>
      <c r="EQT25" s="19"/>
      <c r="EQU25" s="19"/>
      <c r="EQV25" s="19"/>
      <c r="EQW25" s="19"/>
      <c r="EQX25" s="19"/>
      <c r="EQY25" s="19"/>
      <c r="EQZ25" s="19"/>
      <c r="ERA25" s="19"/>
      <c r="ERB25" s="19"/>
      <c r="ERC25" s="19"/>
      <c r="ERD25" s="19"/>
      <c r="ERE25" s="19"/>
      <c r="ERF25" s="19"/>
      <c r="ERG25" s="19"/>
      <c r="ERH25" s="19"/>
      <c r="ERI25" s="19"/>
      <c r="ERJ25" s="19"/>
      <c r="ERK25" s="19"/>
      <c r="ERL25" s="19"/>
      <c r="ERM25" s="19"/>
      <c r="ERN25" s="19"/>
      <c r="ERO25" s="19"/>
      <c r="ERP25" s="19"/>
      <c r="ERQ25" s="19"/>
      <c r="ERR25" s="19"/>
      <c r="ERS25" s="19"/>
      <c r="ERT25" s="19"/>
      <c r="ERU25" s="19"/>
      <c r="ERV25" s="19"/>
      <c r="ERW25" s="19"/>
      <c r="ERX25" s="19"/>
      <c r="ERY25" s="19"/>
      <c r="ERZ25" s="19"/>
      <c r="ESA25" s="19"/>
      <c r="ESB25" s="19"/>
      <c r="ESC25" s="19"/>
      <c r="ESD25" s="19"/>
      <c r="ESE25" s="19"/>
      <c r="ESF25" s="19"/>
      <c r="ESG25" s="19"/>
      <c r="ESH25" s="19"/>
      <c r="ESI25" s="19"/>
      <c r="ESJ25" s="19"/>
      <c r="ESK25" s="19"/>
      <c r="ESL25" s="19"/>
      <c r="ESM25" s="19"/>
      <c r="ESN25" s="19"/>
      <c r="ESO25" s="19"/>
      <c r="ESP25" s="19"/>
      <c r="ESQ25" s="19"/>
      <c r="ESR25" s="19"/>
      <c r="ESS25" s="19"/>
      <c r="EST25" s="19"/>
      <c r="ESU25" s="19"/>
      <c r="ESV25" s="19"/>
      <c r="ESW25" s="19"/>
      <c r="ESX25" s="19"/>
      <c r="ESY25" s="19"/>
      <c r="ESZ25" s="19"/>
      <c r="ETA25" s="19"/>
      <c r="ETB25" s="19"/>
      <c r="ETC25" s="19"/>
      <c r="ETD25" s="19"/>
      <c r="ETE25" s="19"/>
      <c r="ETF25" s="19"/>
      <c r="ETG25" s="19"/>
      <c r="ETH25" s="19"/>
      <c r="ETI25" s="19"/>
      <c r="ETJ25" s="19"/>
      <c r="ETK25" s="19"/>
      <c r="ETL25" s="19"/>
      <c r="ETM25" s="19"/>
      <c r="ETN25" s="19"/>
      <c r="ETO25" s="19"/>
      <c r="ETP25" s="19"/>
      <c r="ETQ25" s="19"/>
      <c r="ETR25" s="19"/>
      <c r="ETS25" s="19"/>
      <c r="ETT25" s="19"/>
      <c r="ETU25" s="19"/>
      <c r="ETV25" s="19"/>
      <c r="ETW25" s="19"/>
      <c r="ETX25" s="19"/>
      <c r="ETY25" s="19"/>
      <c r="ETZ25" s="19"/>
      <c r="EUA25" s="19"/>
      <c r="EUB25" s="19"/>
      <c r="EUC25" s="19"/>
      <c r="EUD25" s="19"/>
      <c r="EUE25" s="19"/>
      <c r="EUF25" s="19"/>
      <c r="EUG25" s="19"/>
      <c r="EUH25" s="19"/>
      <c r="EUI25" s="19"/>
      <c r="EUJ25" s="19"/>
      <c r="EUK25" s="19"/>
      <c r="EUL25" s="19"/>
      <c r="EUM25" s="19"/>
      <c r="EUN25" s="19"/>
      <c r="EUO25" s="19"/>
      <c r="EUP25" s="19"/>
      <c r="EUQ25" s="19"/>
      <c r="EUR25" s="19"/>
      <c r="EUS25" s="19"/>
      <c r="EUT25" s="19"/>
      <c r="EUU25" s="19"/>
      <c r="EUV25" s="19"/>
      <c r="EUW25" s="19"/>
      <c r="EUX25" s="19"/>
      <c r="EUY25" s="19"/>
      <c r="EUZ25" s="19"/>
      <c r="EVA25" s="19"/>
      <c r="EVB25" s="19"/>
      <c r="EVC25" s="19"/>
      <c r="EVD25" s="19"/>
      <c r="EVE25" s="19"/>
      <c r="EVF25" s="19"/>
      <c r="EVG25" s="19"/>
      <c r="EVH25" s="19"/>
      <c r="EVI25" s="19"/>
      <c r="EVJ25" s="19"/>
      <c r="EVK25" s="19"/>
      <c r="EVL25" s="19"/>
      <c r="EVM25" s="19"/>
      <c r="EVN25" s="19"/>
      <c r="EVO25" s="19"/>
      <c r="EVP25" s="19"/>
      <c r="EVQ25" s="19"/>
      <c r="EVR25" s="19"/>
      <c r="EVS25" s="19"/>
      <c r="EVT25" s="19"/>
      <c r="EVU25" s="19"/>
      <c r="EVV25" s="19"/>
      <c r="EVW25" s="19"/>
      <c r="EVX25" s="19"/>
      <c r="EVY25" s="19"/>
      <c r="EVZ25" s="19"/>
      <c r="EWA25" s="19"/>
      <c r="EWB25" s="19"/>
      <c r="EWC25" s="19"/>
      <c r="EWD25" s="19"/>
      <c r="EWE25" s="19"/>
      <c r="EWF25" s="19"/>
      <c r="EWG25" s="19"/>
      <c r="EWH25" s="19"/>
      <c r="EWI25" s="19"/>
      <c r="EWJ25" s="19"/>
      <c r="EWK25" s="19"/>
      <c r="EWL25" s="19"/>
      <c r="EWM25" s="19"/>
      <c r="EWN25" s="19"/>
      <c r="EWO25" s="19"/>
      <c r="EWP25" s="19"/>
      <c r="EWQ25" s="19"/>
      <c r="EWR25" s="19"/>
      <c r="EWS25" s="19"/>
      <c r="EWT25" s="19"/>
      <c r="EWU25" s="19"/>
      <c r="EWV25" s="19"/>
      <c r="EWW25" s="19"/>
      <c r="EWX25" s="19"/>
      <c r="EWY25" s="19"/>
      <c r="EWZ25" s="19"/>
      <c r="EXA25" s="19"/>
      <c r="EXB25" s="19"/>
      <c r="EXC25" s="19"/>
      <c r="EXD25" s="19"/>
      <c r="EXE25" s="19"/>
      <c r="EXF25" s="19"/>
      <c r="EXG25" s="19"/>
      <c r="EXH25" s="19"/>
      <c r="EXI25" s="19"/>
      <c r="EXJ25" s="19"/>
      <c r="EXK25" s="19"/>
      <c r="EXL25" s="19"/>
      <c r="EXM25" s="19"/>
      <c r="EXN25" s="19"/>
      <c r="EXO25" s="19"/>
      <c r="EXP25" s="19"/>
      <c r="EXQ25" s="19"/>
      <c r="EXR25" s="19"/>
      <c r="EXS25" s="19"/>
      <c r="EXT25" s="19"/>
      <c r="EXU25" s="19"/>
      <c r="EXV25" s="19"/>
      <c r="EXW25" s="19"/>
      <c r="EXX25" s="19"/>
      <c r="EXY25" s="19"/>
      <c r="EXZ25" s="19"/>
      <c r="EYA25" s="19"/>
      <c r="EYB25" s="19"/>
      <c r="EYC25" s="19"/>
      <c r="EYD25" s="19"/>
      <c r="EYE25" s="19"/>
      <c r="EYF25" s="19"/>
      <c r="EYG25" s="19"/>
      <c r="EYH25" s="19"/>
      <c r="EYI25" s="19"/>
      <c r="EYJ25" s="19"/>
      <c r="EYK25" s="19"/>
      <c r="EYL25" s="19"/>
      <c r="EYM25" s="19"/>
      <c r="EYN25" s="19"/>
      <c r="EYO25" s="19"/>
      <c r="EYP25" s="19"/>
      <c r="EYQ25" s="19"/>
      <c r="EYR25" s="19"/>
      <c r="EYS25" s="19"/>
      <c r="EYT25" s="19"/>
      <c r="EYU25" s="19"/>
      <c r="EYV25" s="19"/>
      <c r="EYW25" s="19"/>
      <c r="EYX25" s="19"/>
      <c r="EYY25" s="19"/>
      <c r="EYZ25" s="19"/>
      <c r="EZA25" s="19"/>
      <c r="EZB25" s="19"/>
      <c r="EZC25" s="19"/>
      <c r="EZD25" s="19"/>
      <c r="EZE25" s="19"/>
      <c r="EZF25" s="19"/>
      <c r="EZG25" s="19"/>
      <c r="EZH25" s="19"/>
      <c r="EZI25" s="19"/>
      <c r="EZJ25" s="19"/>
      <c r="EZK25" s="19"/>
      <c r="EZL25" s="19"/>
      <c r="EZM25" s="19"/>
      <c r="EZN25" s="19"/>
      <c r="EZO25" s="19"/>
      <c r="EZP25" s="19"/>
      <c r="EZQ25" s="19"/>
      <c r="EZR25" s="19"/>
      <c r="EZS25" s="19"/>
      <c r="EZT25" s="19"/>
      <c r="EZU25" s="19"/>
      <c r="EZV25" s="19"/>
      <c r="EZW25" s="19"/>
      <c r="EZX25" s="19"/>
      <c r="EZY25" s="19"/>
      <c r="EZZ25" s="19"/>
      <c r="FAA25" s="19"/>
      <c r="FAB25" s="19"/>
      <c r="FAC25" s="19"/>
      <c r="FAD25" s="19"/>
      <c r="FAE25" s="19"/>
      <c r="FAF25" s="19"/>
      <c r="FAG25" s="19"/>
      <c r="FAH25" s="19"/>
      <c r="FAI25" s="19"/>
      <c r="FAJ25" s="19"/>
      <c r="FAK25" s="19"/>
      <c r="FAL25" s="19"/>
      <c r="FAM25" s="19"/>
      <c r="FAN25" s="19"/>
      <c r="FAO25" s="19"/>
      <c r="FAP25" s="19"/>
      <c r="FAQ25" s="19"/>
      <c r="FAR25" s="19"/>
      <c r="FAS25" s="19"/>
      <c r="FAT25" s="19"/>
      <c r="FAU25" s="19"/>
      <c r="FAV25" s="19"/>
      <c r="FAW25" s="19"/>
      <c r="FAX25" s="19"/>
      <c r="FAY25" s="19"/>
      <c r="FAZ25" s="19"/>
      <c r="FBA25" s="19"/>
      <c r="FBB25" s="19"/>
      <c r="FBC25" s="19"/>
      <c r="FBD25" s="19"/>
      <c r="FBE25" s="19"/>
      <c r="FBF25" s="19"/>
      <c r="FBG25" s="19"/>
      <c r="FBH25" s="19"/>
      <c r="FBI25" s="19"/>
      <c r="FBJ25" s="19"/>
      <c r="FBK25" s="19"/>
      <c r="FBL25" s="19"/>
      <c r="FBM25" s="19"/>
      <c r="FBN25" s="19"/>
      <c r="FBO25" s="19"/>
      <c r="FBP25" s="19"/>
      <c r="FBQ25" s="19"/>
      <c r="FBR25" s="19"/>
      <c r="FBS25" s="19"/>
      <c r="FBT25" s="19"/>
      <c r="FBU25" s="19"/>
      <c r="FBV25" s="19"/>
      <c r="FBW25" s="19"/>
      <c r="FBX25" s="19"/>
      <c r="FBY25" s="19"/>
      <c r="FBZ25" s="19"/>
      <c r="FCA25" s="19"/>
      <c r="FCB25" s="19"/>
      <c r="FCC25" s="19"/>
      <c r="FCD25" s="19"/>
      <c r="FCE25" s="19"/>
      <c r="FCF25" s="19"/>
      <c r="FCG25" s="19"/>
      <c r="FCH25" s="19"/>
      <c r="FCI25" s="19"/>
      <c r="FCJ25" s="19"/>
      <c r="FCK25" s="19"/>
      <c r="FCL25" s="19"/>
      <c r="FCM25" s="19"/>
      <c r="FCN25" s="19"/>
      <c r="FCO25" s="19"/>
      <c r="FCP25" s="19"/>
      <c r="FCQ25" s="19"/>
      <c r="FCR25" s="19"/>
      <c r="FCS25" s="19"/>
      <c r="FCT25" s="19"/>
      <c r="FCU25" s="19"/>
      <c r="FCV25" s="19"/>
      <c r="FCW25" s="19"/>
      <c r="FCX25" s="19"/>
      <c r="FCY25" s="19"/>
      <c r="FCZ25" s="19"/>
      <c r="FDA25" s="19"/>
      <c r="FDB25" s="19"/>
      <c r="FDC25" s="19"/>
      <c r="FDD25" s="19"/>
      <c r="FDE25" s="19"/>
      <c r="FDF25" s="19"/>
      <c r="FDG25" s="19"/>
      <c r="FDH25" s="19"/>
      <c r="FDI25" s="19"/>
      <c r="FDJ25" s="19"/>
      <c r="FDK25" s="19"/>
      <c r="FDL25" s="19"/>
      <c r="FDM25" s="19"/>
      <c r="FDN25" s="19"/>
      <c r="FDO25" s="19"/>
      <c r="FDP25" s="19"/>
      <c r="FDQ25" s="19"/>
      <c r="FDR25" s="19"/>
      <c r="FDS25" s="19"/>
      <c r="FDT25" s="19"/>
      <c r="FDU25" s="19"/>
      <c r="FDV25" s="19"/>
      <c r="FDW25" s="19"/>
      <c r="FDX25" s="19"/>
      <c r="FDY25" s="19"/>
      <c r="FDZ25" s="19"/>
      <c r="FEA25" s="19"/>
      <c r="FEB25" s="19"/>
      <c r="FEC25" s="19"/>
      <c r="FED25" s="19"/>
      <c r="FEE25" s="19"/>
      <c r="FEF25" s="19"/>
      <c r="FEG25" s="19"/>
      <c r="FEH25" s="19"/>
      <c r="FEI25" s="19"/>
      <c r="FEJ25" s="19"/>
      <c r="FEK25" s="19"/>
      <c r="FEL25" s="19"/>
      <c r="FEM25" s="19"/>
      <c r="FEN25" s="19"/>
      <c r="FEO25" s="19"/>
      <c r="FEP25" s="19"/>
      <c r="FEQ25" s="19"/>
      <c r="FER25" s="19"/>
      <c r="FES25" s="19"/>
      <c r="FET25" s="19"/>
      <c r="FEU25" s="19"/>
      <c r="FEV25" s="19"/>
      <c r="FEW25" s="19"/>
      <c r="FEX25" s="19"/>
      <c r="FEY25" s="19"/>
      <c r="FEZ25" s="19"/>
      <c r="FFA25" s="19"/>
      <c r="FFB25" s="19"/>
      <c r="FFC25" s="19"/>
      <c r="FFD25" s="19"/>
      <c r="FFE25" s="19"/>
      <c r="FFF25" s="19"/>
      <c r="FFG25" s="19"/>
      <c r="FFH25" s="19"/>
      <c r="FFI25" s="19"/>
      <c r="FFJ25" s="19"/>
      <c r="FFK25" s="19"/>
      <c r="FFL25" s="19"/>
      <c r="FFM25" s="19"/>
      <c r="FFN25" s="19"/>
      <c r="FFO25" s="19"/>
      <c r="FFP25" s="19"/>
      <c r="FFQ25" s="19"/>
      <c r="FFR25" s="19"/>
      <c r="FFS25" s="19"/>
      <c r="FFT25" s="19"/>
      <c r="FFU25" s="19"/>
      <c r="FFV25" s="19"/>
      <c r="FFW25" s="19"/>
      <c r="FFX25" s="19"/>
      <c r="FFY25" s="19"/>
      <c r="FFZ25" s="19"/>
      <c r="FGA25" s="19"/>
      <c r="FGB25" s="19"/>
      <c r="FGC25" s="19"/>
      <c r="FGD25" s="19"/>
      <c r="FGE25" s="19"/>
      <c r="FGF25" s="19"/>
      <c r="FGG25" s="19"/>
      <c r="FGH25" s="19"/>
      <c r="FGI25" s="19"/>
      <c r="FGJ25" s="19"/>
      <c r="FGK25" s="19"/>
      <c r="FGL25" s="19"/>
      <c r="FGM25" s="19"/>
      <c r="FGN25" s="19"/>
      <c r="FGO25" s="19"/>
      <c r="FGP25" s="19"/>
      <c r="FGQ25" s="19"/>
      <c r="FGR25" s="19"/>
      <c r="FGS25" s="19"/>
      <c r="FGT25" s="19"/>
      <c r="FGU25" s="19"/>
      <c r="FGV25" s="19"/>
      <c r="FGW25" s="19"/>
      <c r="FGX25" s="19"/>
      <c r="FGY25" s="19"/>
      <c r="FGZ25" s="19"/>
      <c r="FHA25" s="19"/>
      <c r="FHB25" s="19"/>
      <c r="FHC25" s="19"/>
      <c r="FHD25" s="19"/>
      <c r="FHE25" s="19"/>
      <c r="FHF25" s="19"/>
      <c r="FHG25" s="19"/>
      <c r="FHH25" s="19"/>
      <c r="FHI25" s="19"/>
      <c r="FHJ25" s="19"/>
      <c r="FHK25" s="19"/>
      <c r="FHL25" s="19"/>
      <c r="FHM25" s="19"/>
      <c r="FHN25" s="19"/>
      <c r="FHO25" s="19"/>
      <c r="FHP25" s="19"/>
      <c r="FHQ25" s="19"/>
      <c r="FHR25" s="19"/>
      <c r="FHS25" s="19"/>
      <c r="FHT25" s="19"/>
      <c r="FHU25" s="19"/>
      <c r="FHV25" s="19"/>
      <c r="FHW25" s="19"/>
      <c r="FHX25" s="19"/>
      <c r="FHY25" s="19"/>
      <c r="FHZ25" s="19"/>
      <c r="FIA25" s="19"/>
      <c r="FIB25" s="19"/>
      <c r="FIC25" s="19"/>
      <c r="FID25" s="19"/>
      <c r="FIE25" s="19"/>
      <c r="FIF25" s="19"/>
      <c r="FIG25" s="19"/>
      <c r="FIH25" s="19"/>
      <c r="FII25" s="19"/>
      <c r="FIJ25" s="19"/>
      <c r="FIK25" s="19"/>
      <c r="FIL25" s="19"/>
      <c r="FIM25" s="19"/>
      <c r="FIN25" s="19"/>
      <c r="FIO25" s="19"/>
      <c r="FIP25" s="19"/>
      <c r="FIQ25" s="19"/>
      <c r="FIR25" s="19"/>
      <c r="FIS25" s="19"/>
      <c r="FIT25" s="19"/>
      <c r="FIU25" s="19"/>
      <c r="FIV25" s="19"/>
      <c r="FIW25" s="19"/>
      <c r="FIX25" s="19"/>
      <c r="FIY25" s="19"/>
      <c r="FIZ25" s="19"/>
      <c r="FJA25" s="19"/>
      <c r="FJB25" s="19"/>
      <c r="FJC25" s="19"/>
      <c r="FJD25" s="19"/>
      <c r="FJE25" s="19"/>
      <c r="FJF25" s="19"/>
      <c r="FJG25" s="19"/>
      <c r="FJH25" s="19"/>
      <c r="FJI25" s="19"/>
      <c r="FJJ25" s="19"/>
      <c r="FJK25" s="19"/>
      <c r="FJL25" s="19"/>
      <c r="FJM25" s="19"/>
      <c r="FJN25" s="19"/>
      <c r="FJO25" s="19"/>
      <c r="FJP25" s="19"/>
      <c r="FJQ25" s="19"/>
      <c r="FJR25" s="19"/>
      <c r="FJS25" s="19"/>
      <c r="FJT25" s="19"/>
      <c r="FJU25" s="19"/>
      <c r="FJV25" s="19"/>
      <c r="FJW25" s="19"/>
      <c r="FJX25" s="19"/>
      <c r="FJY25" s="19"/>
      <c r="FJZ25" s="19"/>
      <c r="FKA25" s="19"/>
      <c r="FKB25" s="19"/>
      <c r="FKC25" s="19"/>
      <c r="FKD25" s="19"/>
      <c r="FKE25" s="19"/>
      <c r="FKF25" s="19"/>
      <c r="FKG25" s="19"/>
      <c r="FKH25" s="19"/>
      <c r="FKI25" s="19"/>
      <c r="FKJ25" s="19"/>
      <c r="FKK25" s="19"/>
      <c r="FKL25" s="19"/>
      <c r="FKM25" s="19"/>
      <c r="FKN25" s="19"/>
      <c r="FKO25" s="19"/>
      <c r="FKP25" s="19"/>
      <c r="FKQ25" s="19"/>
      <c r="FKR25" s="19"/>
      <c r="FKS25" s="19"/>
      <c r="FKT25" s="19"/>
      <c r="FKU25" s="19"/>
      <c r="FKV25" s="19"/>
      <c r="FKW25" s="19"/>
      <c r="FKX25" s="19"/>
      <c r="FKY25" s="19"/>
      <c r="FKZ25" s="19"/>
      <c r="FLA25" s="19"/>
      <c r="FLB25" s="19"/>
      <c r="FLC25" s="19"/>
      <c r="FLD25" s="19"/>
      <c r="FLE25" s="19"/>
      <c r="FLF25" s="19"/>
      <c r="FLG25" s="19"/>
      <c r="FLH25" s="19"/>
      <c r="FLI25" s="19"/>
      <c r="FLJ25" s="19"/>
      <c r="FLK25" s="19"/>
      <c r="FLL25" s="19"/>
      <c r="FLM25" s="19"/>
      <c r="FLN25" s="19"/>
      <c r="FLO25" s="19"/>
      <c r="FLP25" s="19"/>
      <c r="FLQ25" s="19"/>
      <c r="FLR25" s="19"/>
      <c r="FLS25" s="19"/>
      <c r="FLT25" s="19"/>
      <c r="FLU25" s="19"/>
      <c r="FLV25" s="19"/>
      <c r="FLW25" s="19"/>
      <c r="FLX25" s="19"/>
      <c r="FLY25" s="19"/>
      <c r="FLZ25" s="19"/>
      <c r="FMA25" s="19"/>
      <c r="FMB25" s="19"/>
      <c r="FMC25" s="19"/>
      <c r="FMD25" s="19"/>
      <c r="FME25" s="19"/>
      <c r="FMF25" s="19"/>
      <c r="FMG25" s="19"/>
      <c r="FMH25" s="19"/>
      <c r="FMI25" s="19"/>
      <c r="FMJ25" s="19"/>
      <c r="FMK25" s="19"/>
      <c r="FML25" s="19"/>
      <c r="FMM25" s="19"/>
      <c r="FMN25" s="19"/>
      <c r="FMO25" s="19"/>
      <c r="FMP25" s="19"/>
      <c r="FMQ25" s="19"/>
      <c r="FMR25" s="19"/>
      <c r="FMS25" s="19"/>
      <c r="FMT25" s="19"/>
      <c r="FMU25" s="19"/>
      <c r="FMV25" s="19"/>
      <c r="FMW25" s="19"/>
      <c r="FMX25" s="19"/>
      <c r="FMY25" s="19"/>
      <c r="FMZ25" s="19"/>
      <c r="FNA25" s="19"/>
      <c r="FNB25" s="19"/>
      <c r="FNC25" s="19"/>
      <c r="FND25" s="19"/>
      <c r="FNE25" s="19"/>
      <c r="FNF25" s="19"/>
      <c r="FNG25" s="19"/>
      <c r="FNH25" s="19"/>
      <c r="FNI25" s="19"/>
      <c r="FNJ25" s="19"/>
      <c r="FNK25" s="19"/>
      <c r="FNL25" s="19"/>
      <c r="FNM25" s="19"/>
      <c r="FNN25" s="19"/>
      <c r="FNO25" s="19"/>
      <c r="FNP25" s="19"/>
      <c r="FNQ25" s="19"/>
      <c r="FNR25" s="19"/>
      <c r="FNS25" s="19"/>
      <c r="FNT25" s="19"/>
      <c r="FNU25" s="19"/>
      <c r="FNV25" s="19"/>
      <c r="FNW25" s="19"/>
      <c r="FNX25" s="19"/>
      <c r="FNY25" s="19"/>
      <c r="FNZ25" s="19"/>
      <c r="FOA25" s="19"/>
      <c r="FOB25" s="19"/>
      <c r="FOC25" s="19"/>
      <c r="FOD25" s="19"/>
      <c r="FOE25" s="19"/>
      <c r="FOF25" s="19"/>
      <c r="FOG25" s="19"/>
      <c r="FOH25" s="19"/>
      <c r="FOI25" s="19"/>
      <c r="FOJ25" s="19"/>
      <c r="FOK25" s="19"/>
      <c r="FOL25" s="19"/>
      <c r="FOM25" s="19"/>
      <c r="FON25" s="19"/>
      <c r="FOO25" s="19"/>
      <c r="FOP25" s="19"/>
      <c r="FOQ25" s="19"/>
      <c r="FOR25" s="19"/>
      <c r="FOS25" s="19"/>
      <c r="FOT25" s="19"/>
      <c r="FOU25" s="19"/>
      <c r="FOV25" s="19"/>
      <c r="FOW25" s="19"/>
      <c r="FOX25" s="19"/>
      <c r="FOY25" s="19"/>
      <c r="FOZ25" s="19"/>
      <c r="FPA25" s="19"/>
      <c r="FPB25" s="19"/>
      <c r="FPC25" s="19"/>
      <c r="FPD25" s="19"/>
      <c r="FPE25" s="19"/>
      <c r="FPF25" s="19"/>
      <c r="FPG25" s="19"/>
      <c r="FPH25" s="19"/>
      <c r="FPI25" s="19"/>
      <c r="FPJ25" s="19"/>
      <c r="FPK25" s="19"/>
      <c r="FPL25" s="19"/>
      <c r="FPM25" s="19"/>
      <c r="FPN25" s="19"/>
      <c r="FPO25" s="19"/>
      <c r="FPP25" s="19"/>
      <c r="FPQ25" s="19"/>
      <c r="FPR25" s="19"/>
      <c r="FPS25" s="19"/>
      <c r="FPT25" s="19"/>
      <c r="FPU25" s="19"/>
      <c r="FPV25" s="19"/>
      <c r="FPW25" s="19"/>
      <c r="FPX25" s="19"/>
      <c r="FPY25" s="19"/>
      <c r="FPZ25" s="19"/>
      <c r="FQA25" s="19"/>
      <c r="FQB25" s="19"/>
      <c r="FQC25" s="19"/>
      <c r="FQD25" s="19"/>
      <c r="FQE25" s="19"/>
      <c r="FQF25" s="19"/>
      <c r="FQG25" s="19"/>
      <c r="FQH25" s="19"/>
      <c r="FQI25" s="19"/>
      <c r="FQJ25" s="19"/>
      <c r="FQK25" s="19"/>
      <c r="FQL25" s="19"/>
      <c r="FQM25" s="19"/>
      <c r="FQN25" s="19"/>
      <c r="FQO25" s="19"/>
      <c r="FQP25" s="19"/>
      <c r="FQQ25" s="19"/>
      <c r="FQR25" s="19"/>
      <c r="FQS25" s="19"/>
      <c r="FQT25" s="19"/>
      <c r="FQU25" s="19"/>
      <c r="FQV25" s="19"/>
      <c r="FQW25" s="19"/>
      <c r="FQX25" s="19"/>
      <c r="FQY25" s="19"/>
      <c r="FQZ25" s="19"/>
      <c r="FRA25" s="19"/>
      <c r="FRB25" s="19"/>
      <c r="FRC25" s="19"/>
      <c r="FRD25" s="19"/>
      <c r="FRE25" s="19"/>
      <c r="FRF25" s="19"/>
      <c r="FRG25" s="19"/>
      <c r="FRH25" s="19"/>
      <c r="FRI25" s="19"/>
      <c r="FRJ25" s="19"/>
      <c r="FRK25" s="19"/>
      <c r="FRL25" s="19"/>
      <c r="FRM25" s="19"/>
      <c r="FRN25" s="19"/>
      <c r="FRO25" s="19"/>
      <c r="FRP25" s="19"/>
      <c r="FRQ25" s="19"/>
      <c r="FRR25" s="19"/>
      <c r="FRS25" s="19"/>
      <c r="FRT25" s="19"/>
      <c r="FRU25" s="19"/>
      <c r="FRV25" s="19"/>
      <c r="FRW25" s="19"/>
      <c r="FRX25" s="19"/>
      <c r="FRY25" s="19"/>
      <c r="FRZ25" s="19"/>
      <c r="FSA25" s="19"/>
      <c r="FSB25" s="19"/>
      <c r="FSC25" s="19"/>
      <c r="FSD25" s="19"/>
      <c r="FSE25" s="19"/>
      <c r="FSF25" s="19"/>
      <c r="FSG25" s="19"/>
      <c r="FSH25" s="19"/>
      <c r="FSI25" s="19"/>
      <c r="FSJ25" s="19"/>
      <c r="FSK25" s="19"/>
      <c r="FSL25" s="19"/>
      <c r="FSM25" s="19"/>
      <c r="FSN25" s="19"/>
      <c r="FSO25" s="19"/>
      <c r="FSP25" s="19"/>
      <c r="FSQ25" s="19"/>
      <c r="FSR25" s="19"/>
      <c r="FSS25" s="19"/>
      <c r="FST25" s="19"/>
      <c r="FSU25" s="19"/>
      <c r="FSV25" s="19"/>
      <c r="FSW25" s="19"/>
      <c r="FSX25" s="19"/>
      <c r="FSY25" s="19"/>
      <c r="FSZ25" s="19"/>
      <c r="FTA25" s="19"/>
      <c r="FTB25" s="19"/>
      <c r="FTC25" s="19"/>
      <c r="FTD25" s="19"/>
      <c r="FTE25" s="19"/>
      <c r="FTF25" s="19"/>
      <c r="FTG25" s="19"/>
      <c r="FTH25" s="19"/>
      <c r="FTI25" s="19"/>
      <c r="FTJ25" s="19"/>
      <c r="FTK25" s="19"/>
      <c r="FTL25" s="19"/>
      <c r="FTM25" s="19"/>
      <c r="FTN25" s="19"/>
      <c r="FTO25" s="19"/>
      <c r="FTP25" s="19"/>
      <c r="FTQ25" s="19"/>
      <c r="FTR25" s="19"/>
      <c r="FTS25" s="19"/>
      <c r="FTT25" s="19"/>
      <c r="FTU25" s="19"/>
      <c r="FTV25" s="19"/>
      <c r="FTW25" s="19"/>
      <c r="FTX25" s="19"/>
      <c r="FTY25" s="19"/>
      <c r="FTZ25" s="19"/>
      <c r="FUA25" s="19"/>
      <c r="FUB25" s="19"/>
      <c r="FUC25" s="19"/>
      <c r="FUD25" s="19"/>
      <c r="FUE25" s="19"/>
      <c r="FUF25" s="19"/>
      <c r="FUG25" s="19"/>
      <c r="FUH25" s="19"/>
      <c r="FUI25" s="19"/>
      <c r="FUJ25" s="19"/>
      <c r="FUK25" s="19"/>
      <c r="FUL25" s="19"/>
      <c r="FUM25" s="19"/>
      <c r="FUN25" s="19"/>
      <c r="FUO25" s="19"/>
      <c r="FUP25" s="19"/>
      <c r="FUQ25" s="19"/>
      <c r="FUR25" s="19"/>
      <c r="FUS25" s="19"/>
      <c r="FUT25" s="19"/>
      <c r="FUU25" s="19"/>
      <c r="FUV25" s="19"/>
      <c r="FUW25" s="19"/>
      <c r="FUX25" s="19"/>
      <c r="FUY25" s="19"/>
      <c r="FUZ25" s="19"/>
      <c r="FVA25" s="19"/>
      <c r="FVB25" s="19"/>
      <c r="FVC25" s="19"/>
      <c r="FVD25" s="19"/>
      <c r="FVE25" s="19"/>
      <c r="FVF25" s="19"/>
      <c r="FVG25" s="19"/>
      <c r="FVH25" s="19"/>
      <c r="FVI25" s="19"/>
      <c r="FVJ25" s="19"/>
      <c r="FVK25" s="19"/>
      <c r="FVL25" s="19"/>
      <c r="FVM25" s="19"/>
      <c r="FVN25" s="19"/>
      <c r="FVO25" s="19"/>
      <c r="FVP25" s="19"/>
      <c r="FVQ25" s="19"/>
      <c r="FVR25" s="19"/>
      <c r="FVS25" s="19"/>
      <c r="FVT25" s="19"/>
      <c r="FVU25" s="19"/>
      <c r="FVV25" s="19"/>
      <c r="FVW25" s="19"/>
      <c r="FVX25" s="19"/>
      <c r="FVY25" s="19"/>
      <c r="FVZ25" s="19"/>
      <c r="FWA25" s="19"/>
      <c r="FWB25" s="19"/>
      <c r="FWC25" s="19"/>
      <c r="FWD25" s="19"/>
      <c r="FWE25" s="19"/>
      <c r="FWF25" s="19"/>
      <c r="FWG25" s="19"/>
      <c r="FWH25" s="19"/>
      <c r="FWI25" s="19"/>
      <c r="FWJ25" s="19"/>
      <c r="FWK25" s="19"/>
      <c r="FWL25" s="19"/>
      <c r="FWM25" s="19"/>
      <c r="FWN25" s="19"/>
      <c r="FWO25" s="19"/>
      <c r="FWP25" s="19"/>
      <c r="FWQ25" s="19"/>
      <c r="FWR25" s="19"/>
      <c r="FWS25" s="19"/>
      <c r="FWT25" s="19"/>
      <c r="FWU25" s="19"/>
      <c r="FWV25" s="19"/>
      <c r="FWW25" s="19"/>
      <c r="FWX25" s="19"/>
      <c r="FWY25" s="19"/>
      <c r="FWZ25" s="19"/>
      <c r="FXA25" s="19"/>
      <c r="FXB25" s="19"/>
      <c r="FXC25" s="19"/>
      <c r="FXD25" s="19"/>
      <c r="FXE25" s="19"/>
      <c r="FXF25" s="19"/>
      <c r="FXG25" s="19"/>
      <c r="FXH25" s="19"/>
      <c r="FXI25" s="19"/>
      <c r="FXJ25" s="19"/>
      <c r="FXK25" s="19"/>
      <c r="FXL25" s="19"/>
      <c r="FXM25" s="19"/>
      <c r="FXN25" s="19"/>
      <c r="FXO25" s="19"/>
      <c r="FXP25" s="19"/>
      <c r="FXQ25" s="19"/>
      <c r="FXR25" s="19"/>
      <c r="FXS25" s="19"/>
      <c r="FXT25" s="19"/>
      <c r="FXU25" s="19"/>
      <c r="FXV25" s="19"/>
      <c r="FXW25" s="19"/>
      <c r="FXX25" s="19"/>
      <c r="FXY25" s="19"/>
      <c r="FXZ25" s="19"/>
      <c r="FYA25" s="19"/>
      <c r="FYB25" s="19"/>
      <c r="FYC25" s="19"/>
      <c r="FYD25" s="19"/>
      <c r="FYE25" s="19"/>
      <c r="FYF25" s="19"/>
      <c r="FYG25" s="19"/>
      <c r="FYH25" s="19"/>
      <c r="FYI25" s="19"/>
      <c r="FYJ25" s="19"/>
      <c r="FYK25" s="19"/>
      <c r="FYL25" s="19"/>
      <c r="FYM25" s="19"/>
      <c r="FYN25" s="19"/>
      <c r="FYO25" s="19"/>
      <c r="FYP25" s="19"/>
      <c r="FYQ25" s="19"/>
      <c r="FYR25" s="19"/>
      <c r="FYS25" s="19"/>
      <c r="FYT25" s="19"/>
      <c r="FYU25" s="19"/>
      <c r="FYV25" s="19"/>
      <c r="FYW25" s="19"/>
      <c r="FYX25" s="19"/>
      <c r="FYY25" s="19"/>
      <c r="FYZ25" s="19"/>
      <c r="FZA25" s="19"/>
      <c r="FZB25" s="19"/>
      <c r="FZC25" s="19"/>
      <c r="FZD25" s="19"/>
      <c r="FZE25" s="19"/>
      <c r="FZF25" s="19"/>
      <c r="FZG25" s="19"/>
      <c r="FZH25" s="19"/>
      <c r="FZI25" s="19"/>
      <c r="FZJ25" s="19"/>
      <c r="FZK25" s="19"/>
      <c r="FZL25" s="19"/>
      <c r="FZM25" s="19"/>
      <c r="FZN25" s="19"/>
      <c r="FZO25" s="19"/>
      <c r="FZP25" s="19"/>
      <c r="FZQ25" s="19"/>
      <c r="FZR25" s="19"/>
      <c r="FZS25" s="19"/>
      <c r="FZT25" s="19"/>
      <c r="FZU25" s="19"/>
      <c r="FZV25" s="19"/>
      <c r="FZW25" s="19"/>
      <c r="FZX25" s="19"/>
      <c r="FZY25" s="19"/>
      <c r="FZZ25" s="19"/>
      <c r="GAA25" s="19"/>
      <c r="GAB25" s="19"/>
      <c r="GAC25" s="19"/>
      <c r="GAD25" s="19"/>
      <c r="GAE25" s="19"/>
      <c r="GAF25" s="19"/>
      <c r="GAG25" s="19"/>
      <c r="GAH25" s="19"/>
      <c r="GAI25" s="19"/>
      <c r="GAJ25" s="19"/>
      <c r="GAK25" s="19"/>
      <c r="GAL25" s="19"/>
      <c r="GAM25" s="19"/>
      <c r="GAN25" s="19"/>
      <c r="GAO25" s="19"/>
      <c r="GAP25" s="19"/>
      <c r="GAQ25" s="19"/>
      <c r="GAR25" s="19"/>
      <c r="GAS25" s="19"/>
      <c r="GAT25" s="19"/>
      <c r="GAU25" s="19"/>
      <c r="GAV25" s="19"/>
      <c r="GAW25" s="19"/>
      <c r="GAX25" s="19"/>
      <c r="GAY25" s="19"/>
      <c r="GAZ25" s="19"/>
      <c r="GBA25" s="19"/>
      <c r="GBB25" s="19"/>
      <c r="GBC25" s="19"/>
      <c r="GBD25" s="19"/>
      <c r="GBE25" s="19"/>
      <c r="GBF25" s="19"/>
      <c r="GBG25" s="19"/>
      <c r="GBH25" s="19"/>
      <c r="GBI25" s="19"/>
      <c r="GBJ25" s="19"/>
      <c r="GBK25" s="19"/>
      <c r="GBL25" s="19"/>
      <c r="GBM25" s="19"/>
      <c r="GBN25" s="19"/>
      <c r="GBO25" s="19"/>
      <c r="GBP25" s="19"/>
      <c r="GBQ25" s="19"/>
      <c r="GBR25" s="19"/>
      <c r="GBS25" s="19"/>
      <c r="GBT25" s="19"/>
      <c r="GBU25" s="19"/>
      <c r="GBV25" s="19"/>
      <c r="GBW25" s="19"/>
      <c r="GBX25" s="19"/>
      <c r="GBY25" s="19"/>
      <c r="GBZ25" s="19"/>
      <c r="GCA25" s="19"/>
      <c r="GCB25" s="19"/>
      <c r="GCC25" s="19"/>
      <c r="GCD25" s="19"/>
      <c r="GCE25" s="19"/>
      <c r="GCF25" s="19"/>
      <c r="GCG25" s="19"/>
      <c r="GCH25" s="19"/>
      <c r="GCI25" s="19"/>
      <c r="GCJ25" s="19"/>
      <c r="GCK25" s="19"/>
      <c r="GCL25" s="19"/>
      <c r="GCM25" s="19"/>
      <c r="GCN25" s="19"/>
      <c r="GCO25" s="19"/>
      <c r="GCP25" s="19"/>
      <c r="GCQ25" s="19"/>
      <c r="GCR25" s="19"/>
      <c r="GCS25" s="19"/>
      <c r="GCT25" s="19"/>
      <c r="GCU25" s="19"/>
      <c r="GCV25" s="19"/>
      <c r="GCW25" s="19"/>
      <c r="GCX25" s="19"/>
      <c r="GCY25" s="19"/>
      <c r="GCZ25" s="19"/>
      <c r="GDA25" s="19"/>
      <c r="GDB25" s="19"/>
      <c r="GDC25" s="19"/>
      <c r="GDD25" s="19"/>
      <c r="GDE25" s="19"/>
      <c r="GDF25" s="19"/>
      <c r="GDG25" s="19"/>
      <c r="GDH25" s="19"/>
      <c r="GDI25" s="19"/>
      <c r="GDJ25" s="19"/>
      <c r="GDK25" s="19"/>
      <c r="GDL25" s="19"/>
      <c r="GDM25" s="19"/>
      <c r="GDN25" s="19"/>
      <c r="GDO25" s="19"/>
      <c r="GDP25" s="19"/>
      <c r="GDQ25" s="19"/>
      <c r="GDR25" s="19"/>
      <c r="GDS25" s="19"/>
      <c r="GDT25" s="19"/>
      <c r="GDU25" s="19"/>
      <c r="GDV25" s="19"/>
      <c r="GDW25" s="19"/>
      <c r="GDX25" s="19"/>
      <c r="GDY25" s="19"/>
      <c r="GDZ25" s="19"/>
      <c r="GEA25" s="19"/>
      <c r="GEB25" s="19"/>
      <c r="GEC25" s="19"/>
      <c r="GED25" s="19"/>
      <c r="GEE25" s="19"/>
      <c r="GEF25" s="19"/>
      <c r="GEG25" s="19"/>
      <c r="GEH25" s="19"/>
      <c r="GEI25" s="19"/>
      <c r="GEJ25" s="19"/>
      <c r="GEK25" s="19"/>
      <c r="GEL25" s="19"/>
      <c r="GEM25" s="19"/>
      <c r="GEN25" s="19"/>
      <c r="GEO25" s="19"/>
      <c r="GEP25" s="19"/>
      <c r="GEQ25" s="19"/>
      <c r="GER25" s="19"/>
      <c r="GES25" s="19"/>
      <c r="GET25" s="19"/>
      <c r="GEU25" s="19"/>
      <c r="GEV25" s="19"/>
      <c r="GEW25" s="19"/>
      <c r="GEX25" s="19"/>
      <c r="GEY25" s="19"/>
      <c r="GEZ25" s="19"/>
      <c r="GFA25" s="19"/>
      <c r="GFB25" s="19"/>
      <c r="GFC25" s="19"/>
      <c r="GFD25" s="19"/>
      <c r="GFE25" s="19"/>
      <c r="GFF25" s="19"/>
      <c r="GFG25" s="19"/>
      <c r="GFH25" s="19"/>
      <c r="GFI25" s="19"/>
      <c r="GFJ25" s="19"/>
      <c r="GFK25" s="19"/>
      <c r="GFL25" s="19"/>
      <c r="GFM25" s="19"/>
      <c r="GFN25" s="19"/>
      <c r="GFO25" s="19"/>
      <c r="GFP25" s="19"/>
      <c r="GFQ25" s="19"/>
      <c r="GFR25" s="19"/>
      <c r="GFS25" s="19"/>
      <c r="GFT25" s="19"/>
      <c r="GFU25" s="19"/>
      <c r="GFV25" s="19"/>
      <c r="GFW25" s="19"/>
      <c r="GFX25" s="19"/>
      <c r="GFY25" s="19"/>
      <c r="GFZ25" s="19"/>
      <c r="GGA25" s="19"/>
      <c r="GGB25" s="19"/>
      <c r="GGC25" s="19"/>
      <c r="GGD25" s="19"/>
      <c r="GGE25" s="19"/>
      <c r="GGF25" s="19"/>
      <c r="GGG25" s="19"/>
      <c r="GGH25" s="19"/>
      <c r="GGI25" s="19"/>
      <c r="GGJ25" s="19"/>
      <c r="GGK25" s="19"/>
      <c r="GGL25" s="19"/>
      <c r="GGM25" s="19"/>
      <c r="GGN25" s="19"/>
      <c r="GGO25" s="19"/>
      <c r="GGP25" s="19"/>
      <c r="GGQ25" s="19"/>
      <c r="GGR25" s="19"/>
      <c r="GGS25" s="19"/>
      <c r="GGT25" s="19"/>
      <c r="GGU25" s="19"/>
      <c r="GGV25" s="19"/>
      <c r="GGW25" s="19"/>
      <c r="GGX25" s="19"/>
      <c r="GGY25" s="19"/>
      <c r="GGZ25" s="19"/>
      <c r="GHA25" s="19"/>
      <c r="GHB25" s="19"/>
      <c r="GHC25" s="19"/>
      <c r="GHD25" s="19"/>
      <c r="GHE25" s="19"/>
      <c r="GHF25" s="19"/>
      <c r="GHG25" s="19"/>
      <c r="GHH25" s="19"/>
      <c r="GHI25" s="19"/>
      <c r="GHJ25" s="19"/>
      <c r="GHK25" s="19"/>
      <c r="GHL25" s="19"/>
      <c r="GHM25" s="19"/>
      <c r="GHN25" s="19"/>
      <c r="GHO25" s="19"/>
      <c r="GHP25" s="19"/>
      <c r="GHQ25" s="19"/>
      <c r="GHR25" s="19"/>
      <c r="GHS25" s="19"/>
      <c r="GHT25" s="19"/>
      <c r="GHU25" s="19"/>
      <c r="GHV25" s="19"/>
      <c r="GHW25" s="19"/>
      <c r="GHX25" s="19"/>
      <c r="GHY25" s="19"/>
      <c r="GHZ25" s="19"/>
      <c r="GIA25" s="19"/>
      <c r="GIB25" s="19"/>
      <c r="GIC25" s="19"/>
      <c r="GID25" s="19"/>
      <c r="GIE25" s="19"/>
      <c r="GIF25" s="19"/>
      <c r="GIG25" s="19"/>
      <c r="GIH25" s="19"/>
      <c r="GII25" s="19"/>
      <c r="GIJ25" s="19"/>
      <c r="GIK25" s="19"/>
      <c r="GIL25" s="19"/>
      <c r="GIM25" s="19"/>
      <c r="GIN25" s="19"/>
      <c r="GIO25" s="19"/>
      <c r="GIP25" s="19"/>
      <c r="GIQ25" s="19"/>
      <c r="GIR25" s="19"/>
      <c r="GIS25" s="19"/>
      <c r="GIT25" s="19"/>
      <c r="GIU25" s="19"/>
      <c r="GIV25" s="19"/>
      <c r="GIW25" s="19"/>
      <c r="GIX25" s="19"/>
      <c r="GIY25" s="19"/>
      <c r="GIZ25" s="19"/>
      <c r="GJA25" s="19"/>
      <c r="GJB25" s="19"/>
      <c r="GJC25" s="19"/>
      <c r="GJD25" s="19"/>
      <c r="GJE25" s="19"/>
      <c r="GJF25" s="19"/>
      <c r="GJG25" s="19"/>
      <c r="GJH25" s="19"/>
      <c r="GJI25" s="19"/>
      <c r="GJJ25" s="19"/>
      <c r="GJK25" s="19"/>
      <c r="GJL25" s="19"/>
      <c r="GJM25" s="19"/>
      <c r="GJN25" s="19"/>
      <c r="GJO25" s="19"/>
      <c r="GJP25" s="19"/>
      <c r="GJQ25" s="19"/>
      <c r="GJR25" s="19"/>
      <c r="GJS25" s="19"/>
      <c r="GJT25" s="19"/>
      <c r="GJU25" s="19"/>
      <c r="GJV25" s="19"/>
      <c r="GJW25" s="19"/>
      <c r="GJX25" s="19"/>
      <c r="GJY25" s="19"/>
      <c r="GJZ25" s="19"/>
      <c r="GKA25" s="19"/>
      <c r="GKB25" s="19"/>
      <c r="GKC25" s="19"/>
      <c r="GKD25" s="19"/>
      <c r="GKE25" s="19"/>
      <c r="GKF25" s="19"/>
      <c r="GKG25" s="19"/>
      <c r="GKH25" s="19"/>
      <c r="GKI25" s="19"/>
      <c r="GKJ25" s="19"/>
      <c r="GKK25" s="19"/>
      <c r="GKL25" s="19"/>
      <c r="GKM25" s="19"/>
      <c r="GKN25" s="19"/>
      <c r="GKO25" s="19"/>
      <c r="GKP25" s="19"/>
      <c r="GKQ25" s="19"/>
      <c r="GKR25" s="19"/>
      <c r="GKS25" s="19"/>
      <c r="GKT25" s="19"/>
      <c r="GKU25" s="19"/>
      <c r="GKV25" s="19"/>
      <c r="GKW25" s="19"/>
      <c r="GKX25" s="19"/>
      <c r="GKY25" s="19"/>
      <c r="GKZ25" s="19"/>
      <c r="GLA25" s="19"/>
      <c r="GLB25" s="19"/>
      <c r="GLC25" s="19"/>
      <c r="GLD25" s="19"/>
      <c r="GLE25" s="19"/>
      <c r="GLF25" s="19"/>
      <c r="GLG25" s="19"/>
      <c r="GLH25" s="19"/>
      <c r="GLI25" s="19"/>
      <c r="GLJ25" s="19"/>
      <c r="GLK25" s="19"/>
      <c r="GLL25" s="19"/>
      <c r="GLM25" s="19"/>
      <c r="GLN25" s="19"/>
      <c r="GLO25" s="19"/>
      <c r="GLP25" s="19"/>
      <c r="GLQ25" s="19"/>
      <c r="GLR25" s="19"/>
      <c r="GLS25" s="19"/>
      <c r="GLT25" s="19"/>
      <c r="GLU25" s="19"/>
      <c r="GLV25" s="19"/>
      <c r="GLW25" s="19"/>
      <c r="GLX25" s="19"/>
      <c r="GLY25" s="19"/>
      <c r="GLZ25" s="19"/>
      <c r="GMA25" s="19"/>
      <c r="GMB25" s="19"/>
      <c r="GMC25" s="19"/>
      <c r="GMD25" s="19"/>
      <c r="GME25" s="19"/>
      <c r="GMF25" s="19"/>
      <c r="GMG25" s="19"/>
      <c r="GMH25" s="19"/>
      <c r="GMI25" s="19"/>
      <c r="GMJ25" s="19"/>
      <c r="GMK25" s="19"/>
      <c r="GML25" s="19"/>
      <c r="GMM25" s="19"/>
      <c r="GMN25" s="19"/>
      <c r="GMO25" s="19"/>
      <c r="GMP25" s="19"/>
      <c r="GMQ25" s="19"/>
      <c r="GMR25" s="19"/>
      <c r="GMS25" s="19"/>
      <c r="GMT25" s="19"/>
      <c r="GMU25" s="19"/>
      <c r="GMV25" s="19"/>
      <c r="GMW25" s="19"/>
      <c r="GMX25" s="19"/>
      <c r="GMY25" s="19"/>
      <c r="GMZ25" s="19"/>
      <c r="GNA25" s="19"/>
      <c r="GNB25" s="19"/>
      <c r="GNC25" s="19"/>
      <c r="GND25" s="19"/>
      <c r="GNE25" s="19"/>
      <c r="GNF25" s="19"/>
      <c r="GNG25" s="19"/>
      <c r="GNH25" s="19"/>
      <c r="GNI25" s="19"/>
      <c r="GNJ25" s="19"/>
      <c r="GNK25" s="19"/>
      <c r="GNL25" s="19"/>
      <c r="GNM25" s="19"/>
      <c r="GNN25" s="19"/>
      <c r="GNO25" s="19"/>
      <c r="GNP25" s="19"/>
      <c r="GNQ25" s="19"/>
      <c r="GNR25" s="19"/>
      <c r="GNS25" s="19"/>
      <c r="GNT25" s="19"/>
      <c r="GNU25" s="19"/>
      <c r="GNV25" s="19"/>
      <c r="GNW25" s="19"/>
      <c r="GNX25" s="19"/>
      <c r="GNY25" s="19"/>
      <c r="GNZ25" s="19"/>
      <c r="GOA25" s="19"/>
      <c r="GOB25" s="19"/>
      <c r="GOC25" s="19"/>
      <c r="GOD25" s="19"/>
      <c r="GOE25" s="19"/>
      <c r="GOF25" s="19"/>
      <c r="GOG25" s="19"/>
      <c r="GOH25" s="19"/>
      <c r="GOI25" s="19"/>
      <c r="GOJ25" s="19"/>
      <c r="GOK25" s="19"/>
      <c r="GOL25" s="19"/>
      <c r="GOM25" s="19"/>
      <c r="GON25" s="19"/>
      <c r="GOO25" s="19"/>
      <c r="GOP25" s="19"/>
      <c r="GOQ25" s="19"/>
      <c r="GOR25" s="19"/>
      <c r="GOS25" s="19"/>
      <c r="GOT25" s="19"/>
      <c r="GOU25" s="19"/>
      <c r="GOV25" s="19"/>
      <c r="GOW25" s="19"/>
      <c r="GOX25" s="19"/>
      <c r="GOY25" s="19"/>
      <c r="GOZ25" s="19"/>
      <c r="GPA25" s="19"/>
      <c r="GPB25" s="19"/>
      <c r="GPC25" s="19"/>
      <c r="GPD25" s="19"/>
      <c r="GPE25" s="19"/>
      <c r="GPF25" s="19"/>
      <c r="GPG25" s="19"/>
      <c r="GPH25" s="19"/>
      <c r="GPI25" s="19"/>
      <c r="GPJ25" s="19"/>
      <c r="GPK25" s="19"/>
      <c r="GPL25" s="19"/>
      <c r="GPM25" s="19"/>
      <c r="GPN25" s="19"/>
      <c r="GPO25" s="19"/>
      <c r="GPP25" s="19"/>
      <c r="GPQ25" s="19"/>
      <c r="GPR25" s="19"/>
      <c r="GPS25" s="19"/>
      <c r="GPT25" s="19"/>
      <c r="GPU25" s="19"/>
      <c r="GPV25" s="19"/>
      <c r="GPW25" s="19"/>
      <c r="GPX25" s="19"/>
      <c r="GPY25" s="19"/>
      <c r="GPZ25" s="19"/>
      <c r="GQA25" s="19"/>
      <c r="GQB25" s="19"/>
      <c r="GQC25" s="19"/>
      <c r="GQD25" s="19"/>
      <c r="GQE25" s="19"/>
      <c r="GQF25" s="19"/>
      <c r="GQG25" s="19"/>
      <c r="GQH25" s="19"/>
      <c r="GQI25" s="19"/>
      <c r="GQJ25" s="19"/>
      <c r="GQK25" s="19"/>
      <c r="GQL25" s="19"/>
      <c r="GQM25" s="19"/>
      <c r="GQN25" s="19"/>
      <c r="GQO25" s="19"/>
      <c r="GQP25" s="19"/>
      <c r="GQQ25" s="19"/>
      <c r="GQR25" s="19"/>
      <c r="GQS25" s="19"/>
      <c r="GQT25" s="19"/>
      <c r="GQU25" s="19"/>
      <c r="GQV25" s="19"/>
      <c r="GQW25" s="19"/>
      <c r="GQX25" s="19"/>
      <c r="GQY25" s="19"/>
      <c r="GQZ25" s="19"/>
      <c r="GRA25" s="19"/>
      <c r="GRB25" s="19"/>
      <c r="GRC25" s="19"/>
      <c r="GRD25" s="19"/>
      <c r="GRE25" s="19"/>
      <c r="GRF25" s="19"/>
      <c r="GRG25" s="19"/>
      <c r="GRH25" s="19"/>
      <c r="GRI25" s="19"/>
      <c r="GRJ25" s="19"/>
      <c r="GRK25" s="19"/>
      <c r="GRL25" s="19"/>
      <c r="GRM25" s="19"/>
      <c r="GRN25" s="19"/>
      <c r="GRO25" s="19"/>
      <c r="GRP25" s="19"/>
      <c r="GRQ25" s="19"/>
      <c r="GRR25" s="19"/>
      <c r="GRS25" s="19"/>
      <c r="GRT25" s="19"/>
      <c r="GRU25" s="19"/>
      <c r="GRV25" s="19"/>
      <c r="GRW25" s="19"/>
      <c r="GRX25" s="19"/>
      <c r="GRY25" s="19"/>
      <c r="GRZ25" s="19"/>
      <c r="GSA25" s="19"/>
      <c r="GSB25" s="19"/>
      <c r="GSC25" s="19"/>
      <c r="GSD25" s="19"/>
      <c r="GSE25" s="19"/>
      <c r="GSF25" s="19"/>
      <c r="GSG25" s="19"/>
      <c r="GSH25" s="19"/>
      <c r="GSI25" s="19"/>
      <c r="GSJ25" s="19"/>
      <c r="GSK25" s="19"/>
      <c r="GSL25" s="19"/>
      <c r="GSM25" s="19"/>
      <c r="GSN25" s="19"/>
      <c r="GSO25" s="19"/>
      <c r="GSP25" s="19"/>
      <c r="GSQ25" s="19"/>
      <c r="GSR25" s="19"/>
      <c r="GSS25" s="19"/>
      <c r="GST25" s="19"/>
      <c r="GSU25" s="19"/>
      <c r="GSV25" s="19"/>
      <c r="GSW25" s="19"/>
      <c r="GSX25" s="19"/>
      <c r="GSY25" s="19"/>
      <c r="GSZ25" s="19"/>
      <c r="GTA25" s="19"/>
      <c r="GTB25" s="19"/>
      <c r="GTC25" s="19"/>
      <c r="GTD25" s="19"/>
      <c r="GTE25" s="19"/>
      <c r="GTF25" s="19"/>
      <c r="GTG25" s="19"/>
      <c r="GTH25" s="19"/>
      <c r="GTI25" s="19"/>
      <c r="GTJ25" s="19"/>
      <c r="GTK25" s="19"/>
      <c r="GTL25" s="19"/>
      <c r="GTM25" s="19"/>
      <c r="GTN25" s="19"/>
      <c r="GTO25" s="19"/>
      <c r="GTP25" s="19"/>
      <c r="GTQ25" s="19"/>
      <c r="GTR25" s="19"/>
      <c r="GTS25" s="19"/>
      <c r="GTT25" s="19"/>
      <c r="GTU25" s="19"/>
      <c r="GTV25" s="19"/>
      <c r="GTW25" s="19"/>
      <c r="GTX25" s="19"/>
      <c r="GTY25" s="19"/>
      <c r="GTZ25" s="19"/>
      <c r="GUA25" s="19"/>
      <c r="GUB25" s="19"/>
      <c r="GUC25" s="19"/>
      <c r="GUD25" s="19"/>
      <c r="GUE25" s="19"/>
      <c r="GUF25" s="19"/>
      <c r="GUG25" s="19"/>
      <c r="GUH25" s="19"/>
      <c r="GUI25" s="19"/>
      <c r="GUJ25" s="19"/>
      <c r="GUK25" s="19"/>
      <c r="GUL25" s="19"/>
      <c r="GUM25" s="19"/>
      <c r="GUN25" s="19"/>
      <c r="GUO25" s="19"/>
      <c r="GUP25" s="19"/>
      <c r="GUQ25" s="19"/>
      <c r="GUR25" s="19"/>
      <c r="GUS25" s="19"/>
      <c r="GUT25" s="19"/>
      <c r="GUU25" s="19"/>
      <c r="GUV25" s="19"/>
      <c r="GUW25" s="19"/>
      <c r="GUX25" s="19"/>
      <c r="GUY25" s="19"/>
      <c r="GUZ25" s="19"/>
      <c r="GVA25" s="19"/>
      <c r="GVB25" s="19"/>
      <c r="GVC25" s="19"/>
      <c r="GVD25" s="19"/>
      <c r="GVE25" s="19"/>
      <c r="GVF25" s="19"/>
      <c r="GVG25" s="19"/>
      <c r="GVH25" s="19"/>
      <c r="GVI25" s="19"/>
      <c r="GVJ25" s="19"/>
      <c r="GVK25" s="19"/>
      <c r="GVL25" s="19"/>
      <c r="GVM25" s="19"/>
      <c r="GVN25" s="19"/>
      <c r="GVO25" s="19"/>
      <c r="GVP25" s="19"/>
      <c r="GVQ25" s="19"/>
      <c r="GVR25" s="19"/>
      <c r="GVS25" s="19"/>
      <c r="GVT25" s="19"/>
      <c r="GVU25" s="19"/>
      <c r="GVV25" s="19"/>
      <c r="GVW25" s="19"/>
      <c r="GVX25" s="19"/>
      <c r="GVY25" s="19"/>
      <c r="GVZ25" s="19"/>
      <c r="GWA25" s="19"/>
      <c r="GWB25" s="19"/>
      <c r="GWC25" s="19"/>
      <c r="GWD25" s="19"/>
      <c r="GWE25" s="19"/>
      <c r="GWF25" s="19"/>
      <c r="GWG25" s="19"/>
      <c r="GWH25" s="19"/>
      <c r="GWI25" s="19"/>
      <c r="GWJ25" s="19"/>
      <c r="GWK25" s="19"/>
      <c r="GWL25" s="19"/>
      <c r="GWM25" s="19"/>
      <c r="GWN25" s="19"/>
      <c r="GWO25" s="19"/>
      <c r="GWP25" s="19"/>
      <c r="GWQ25" s="19"/>
      <c r="GWR25" s="19"/>
      <c r="GWS25" s="19"/>
      <c r="GWT25" s="19"/>
      <c r="GWU25" s="19"/>
      <c r="GWV25" s="19"/>
      <c r="GWW25" s="19"/>
      <c r="GWX25" s="19"/>
      <c r="GWY25" s="19"/>
      <c r="GWZ25" s="19"/>
      <c r="GXA25" s="19"/>
      <c r="GXB25" s="19"/>
      <c r="GXC25" s="19"/>
      <c r="GXD25" s="19"/>
      <c r="GXE25" s="19"/>
      <c r="GXF25" s="19"/>
      <c r="GXG25" s="19"/>
      <c r="GXH25" s="19"/>
      <c r="GXI25" s="19"/>
      <c r="GXJ25" s="19"/>
      <c r="GXK25" s="19"/>
      <c r="GXL25" s="19"/>
      <c r="GXM25" s="19"/>
      <c r="GXN25" s="19"/>
      <c r="GXO25" s="19"/>
      <c r="GXP25" s="19"/>
      <c r="GXQ25" s="19"/>
      <c r="GXR25" s="19"/>
      <c r="GXS25" s="19"/>
      <c r="GXT25" s="19"/>
      <c r="GXU25" s="19"/>
      <c r="GXV25" s="19"/>
      <c r="GXW25" s="19"/>
      <c r="GXX25" s="19"/>
      <c r="GXY25" s="19"/>
      <c r="GXZ25" s="19"/>
      <c r="GYA25" s="19"/>
      <c r="GYB25" s="19"/>
      <c r="GYC25" s="19"/>
      <c r="GYD25" s="19"/>
      <c r="GYE25" s="19"/>
      <c r="GYF25" s="19"/>
      <c r="GYG25" s="19"/>
      <c r="GYH25" s="19"/>
      <c r="GYI25" s="19"/>
      <c r="GYJ25" s="19"/>
      <c r="GYK25" s="19"/>
      <c r="GYL25" s="19"/>
      <c r="GYM25" s="19"/>
      <c r="GYN25" s="19"/>
      <c r="GYO25" s="19"/>
      <c r="GYP25" s="19"/>
      <c r="GYQ25" s="19"/>
      <c r="GYR25" s="19"/>
      <c r="GYS25" s="19"/>
      <c r="GYT25" s="19"/>
      <c r="GYU25" s="19"/>
      <c r="GYV25" s="19"/>
      <c r="GYW25" s="19"/>
      <c r="GYX25" s="19"/>
      <c r="GYY25" s="19"/>
      <c r="GYZ25" s="19"/>
      <c r="GZA25" s="19"/>
      <c r="GZB25" s="19"/>
      <c r="GZC25" s="19"/>
      <c r="GZD25" s="19"/>
      <c r="GZE25" s="19"/>
      <c r="GZF25" s="19"/>
      <c r="GZG25" s="19"/>
      <c r="GZH25" s="19"/>
      <c r="GZI25" s="19"/>
      <c r="GZJ25" s="19"/>
      <c r="GZK25" s="19"/>
      <c r="GZL25" s="19"/>
      <c r="GZM25" s="19"/>
      <c r="GZN25" s="19"/>
      <c r="GZO25" s="19"/>
      <c r="GZP25" s="19"/>
      <c r="GZQ25" s="19"/>
      <c r="GZR25" s="19"/>
      <c r="GZS25" s="19"/>
      <c r="GZT25" s="19"/>
      <c r="GZU25" s="19"/>
      <c r="GZV25" s="19"/>
      <c r="GZW25" s="19"/>
      <c r="GZX25" s="19"/>
      <c r="GZY25" s="19"/>
      <c r="GZZ25" s="19"/>
      <c r="HAA25" s="19"/>
      <c r="HAB25" s="19"/>
      <c r="HAC25" s="19"/>
      <c r="HAD25" s="19"/>
      <c r="HAE25" s="19"/>
      <c r="HAF25" s="19"/>
      <c r="HAG25" s="19"/>
      <c r="HAH25" s="19"/>
      <c r="HAI25" s="19"/>
      <c r="HAJ25" s="19"/>
      <c r="HAK25" s="19"/>
      <c r="HAL25" s="19"/>
      <c r="HAM25" s="19"/>
      <c r="HAN25" s="19"/>
      <c r="HAO25" s="19"/>
      <c r="HAP25" s="19"/>
      <c r="HAQ25" s="19"/>
      <c r="HAR25" s="19"/>
      <c r="HAS25" s="19"/>
      <c r="HAT25" s="19"/>
      <c r="HAU25" s="19"/>
      <c r="HAV25" s="19"/>
      <c r="HAW25" s="19"/>
      <c r="HAX25" s="19"/>
      <c r="HAY25" s="19"/>
      <c r="HAZ25" s="19"/>
      <c r="HBA25" s="19"/>
      <c r="HBB25" s="19"/>
      <c r="HBC25" s="19"/>
      <c r="HBD25" s="19"/>
      <c r="HBE25" s="19"/>
      <c r="HBF25" s="19"/>
      <c r="HBG25" s="19"/>
      <c r="HBH25" s="19"/>
      <c r="HBI25" s="19"/>
      <c r="HBJ25" s="19"/>
      <c r="HBK25" s="19"/>
      <c r="HBL25" s="19"/>
      <c r="HBM25" s="19"/>
      <c r="HBN25" s="19"/>
      <c r="HBO25" s="19"/>
      <c r="HBP25" s="19"/>
      <c r="HBQ25" s="19"/>
      <c r="HBR25" s="19"/>
      <c r="HBS25" s="19"/>
      <c r="HBT25" s="19"/>
      <c r="HBU25" s="19"/>
      <c r="HBV25" s="19"/>
      <c r="HBW25" s="19"/>
      <c r="HBX25" s="19"/>
      <c r="HBY25" s="19"/>
      <c r="HBZ25" s="19"/>
      <c r="HCA25" s="19"/>
      <c r="HCB25" s="19"/>
      <c r="HCC25" s="19"/>
      <c r="HCD25" s="19"/>
      <c r="HCE25" s="19"/>
      <c r="HCF25" s="19"/>
      <c r="HCG25" s="19"/>
      <c r="HCH25" s="19"/>
      <c r="HCI25" s="19"/>
      <c r="HCJ25" s="19"/>
      <c r="HCK25" s="19"/>
      <c r="HCL25" s="19"/>
      <c r="HCM25" s="19"/>
      <c r="HCN25" s="19"/>
      <c r="HCO25" s="19"/>
      <c r="HCP25" s="19"/>
      <c r="HCQ25" s="19"/>
      <c r="HCR25" s="19"/>
      <c r="HCS25" s="19"/>
      <c r="HCT25" s="19"/>
      <c r="HCU25" s="19"/>
      <c r="HCV25" s="19"/>
      <c r="HCW25" s="19"/>
      <c r="HCX25" s="19"/>
      <c r="HCY25" s="19"/>
      <c r="HCZ25" s="19"/>
      <c r="HDA25" s="19"/>
      <c r="HDB25" s="19"/>
      <c r="HDC25" s="19"/>
      <c r="HDD25" s="19"/>
      <c r="HDE25" s="19"/>
      <c r="HDF25" s="19"/>
      <c r="HDG25" s="19"/>
      <c r="HDH25" s="19"/>
      <c r="HDI25" s="19"/>
      <c r="HDJ25" s="19"/>
      <c r="HDK25" s="19"/>
      <c r="HDL25" s="19"/>
      <c r="HDM25" s="19"/>
      <c r="HDN25" s="19"/>
      <c r="HDO25" s="19"/>
      <c r="HDP25" s="19"/>
      <c r="HDQ25" s="19"/>
      <c r="HDR25" s="19"/>
      <c r="HDS25" s="19"/>
      <c r="HDT25" s="19"/>
      <c r="HDU25" s="19"/>
      <c r="HDV25" s="19"/>
      <c r="HDW25" s="19"/>
      <c r="HDX25" s="19"/>
      <c r="HDY25" s="19"/>
      <c r="HDZ25" s="19"/>
      <c r="HEA25" s="19"/>
      <c r="HEB25" s="19"/>
      <c r="HEC25" s="19"/>
      <c r="HED25" s="19"/>
      <c r="HEE25" s="19"/>
      <c r="HEF25" s="19"/>
      <c r="HEG25" s="19"/>
      <c r="HEH25" s="19"/>
      <c r="HEI25" s="19"/>
      <c r="HEJ25" s="19"/>
      <c r="HEK25" s="19"/>
      <c r="HEL25" s="19"/>
      <c r="HEM25" s="19"/>
      <c r="HEN25" s="19"/>
      <c r="HEO25" s="19"/>
      <c r="HEP25" s="19"/>
      <c r="HEQ25" s="19"/>
      <c r="HER25" s="19"/>
      <c r="HES25" s="19"/>
      <c r="HET25" s="19"/>
      <c r="HEU25" s="19"/>
      <c r="HEV25" s="19"/>
      <c r="HEW25" s="19"/>
      <c r="HEX25" s="19"/>
      <c r="HEY25" s="19"/>
      <c r="HEZ25" s="19"/>
      <c r="HFA25" s="19"/>
      <c r="HFB25" s="19"/>
      <c r="HFC25" s="19"/>
      <c r="HFD25" s="19"/>
      <c r="HFE25" s="19"/>
      <c r="HFF25" s="19"/>
      <c r="HFG25" s="19"/>
      <c r="HFH25" s="19"/>
      <c r="HFI25" s="19"/>
      <c r="HFJ25" s="19"/>
      <c r="HFK25" s="19"/>
      <c r="HFL25" s="19"/>
      <c r="HFM25" s="19"/>
      <c r="HFN25" s="19"/>
      <c r="HFO25" s="19"/>
      <c r="HFP25" s="19"/>
      <c r="HFQ25" s="19"/>
      <c r="HFR25" s="19"/>
      <c r="HFS25" s="19"/>
      <c r="HFT25" s="19"/>
      <c r="HFU25" s="19"/>
      <c r="HFV25" s="19"/>
      <c r="HFW25" s="19"/>
      <c r="HFX25" s="19"/>
      <c r="HFY25" s="19"/>
      <c r="HFZ25" s="19"/>
      <c r="HGA25" s="19"/>
      <c r="HGB25" s="19"/>
      <c r="HGC25" s="19"/>
      <c r="HGD25" s="19"/>
      <c r="HGE25" s="19"/>
      <c r="HGF25" s="19"/>
      <c r="HGG25" s="19"/>
      <c r="HGH25" s="19"/>
      <c r="HGI25" s="19"/>
      <c r="HGJ25" s="19"/>
      <c r="HGK25" s="19"/>
      <c r="HGL25" s="19"/>
      <c r="HGM25" s="19"/>
      <c r="HGN25" s="19"/>
      <c r="HGO25" s="19"/>
      <c r="HGP25" s="19"/>
      <c r="HGQ25" s="19"/>
      <c r="HGR25" s="19"/>
      <c r="HGS25" s="19"/>
      <c r="HGT25" s="19"/>
      <c r="HGU25" s="19"/>
      <c r="HGV25" s="19"/>
      <c r="HGW25" s="19"/>
      <c r="HGX25" s="19"/>
      <c r="HGY25" s="19"/>
      <c r="HGZ25" s="19"/>
      <c r="HHA25" s="19"/>
      <c r="HHB25" s="19"/>
      <c r="HHC25" s="19"/>
      <c r="HHD25" s="19"/>
      <c r="HHE25" s="19"/>
      <c r="HHF25" s="19"/>
      <c r="HHG25" s="19"/>
      <c r="HHH25" s="19"/>
      <c r="HHI25" s="19"/>
      <c r="HHJ25" s="19"/>
      <c r="HHK25" s="19"/>
      <c r="HHL25" s="19"/>
      <c r="HHM25" s="19"/>
      <c r="HHN25" s="19"/>
      <c r="HHO25" s="19"/>
      <c r="HHP25" s="19"/>
      <c r="HHQ25" s="19"/>
      <c r="HHR25" s="19"/>
      <c r="HHS25" s="19"/>
      <c r="HHT25" s="19"/>
      <c r="HHU25" s="19"/>
      <c r="HHV25" s="19"/>
      <c r="HHW25" s="19"/>
      <c r="HHX25" s="19"/>
      <c r="HHY25" s="19"/>
      <c r="HHZ25" s="19"/>
      <c r="HIA25" s="19"/>
      <c r="HIB25" s="19"/>
      <c r="HIC25" s="19"/>
      <c r="HID25" s="19"/>
      <c r="HIE25" s="19"/>
      <c r="HIF25" s="19"/>
      <c r="HIG25" s="19"/>
      <c r="HIH25" s="19"/>
      <c r="HII25" s="19"/>
      <c r="HIJ25" s="19"/>
      <c r="HIK25" s="19"/>
      <c r="HIL25" s="19"/>
      <c r="HIM25" s="19"/>
      <c r="HIN25" s="19"/>
      <c r="HIO25" s="19"/>
      <c r="HIP25" s="19"/>
      <c r="HIQ25" s="19"/>
      <c r="HIR25" s="19"/>
      <c r="HIS25" s="19"/>
      <c r="HIT25" s="19"/>
      <c r="HIU25" s="19"/>
      <c r="HIV25" s="19"/>
      <c r="HIW25" s="19"/>
      <c r="HIX25" s="19"/>
      <c r="HIY25" s="19"/>
      <c r="HIZ25" s="19"/>
      <c r="HJA25" s="19"/>
      <c r="HJB25" s="19"/>
      <c r="HJC25" s="19"/>
      <c r="HJD25" s="19"/>
      <c r="HJE25" s="19"/>
      <c r="HJF25" s="19"/>
      <c r="HJG25" s="19"/>
      <c r="HJH25" s="19"/>
      <c r="HJI25" s="19"/>
      <c r="HJJ25" s="19"/>
      <c r="HJK25" s="19"/>
      <c r="HJL25" s="19"/>
      <c r="HJM25" s="19"/>
      <c r="HJN25" s="19"/>
      <c r="HJO25" s="19"/>
      <c r="HJP25" s="19"/>
      <c r="HJQ25" s="19"/>
      <c r="HJR25" s="19"/>
      <c r="HJS25" s="19"/>
      <c r="HJT25" s="19"/>
      <c r="HJU25" s="19"/>
      <c r="HJV25" s="19"/>
      <c r="HJW25" s="19"/>
      <c r="HJX25" s="19"/>
      <c r="HJY25" s="19"/>
      <c r="HJZ25" s="19"/>
      <c r="HKA25" s="19"/>
      <c r="HKB25" s="19"/>
      <c r="HKC25" s="19"/>
      <c r="HKD25" s="19"/>
      <c r="HKE25" s="19"/>
      <c r="HKF25" s="19"/>
      <c r="HKG25" s="19"/>
      <c r="HKH25" s="19"/>
      <c r="HKI25" s="19"/>
      <c r="HKJ25" s="19"/>
      <c r="HKK25" s="19"/>
      <c r="HKL25" s="19"/>
      <c r="HKM25" s="19"/>
      <c r="HKN25" s="19"/>
      <c r="HKO25" s="19"/>
      <c r="HKP25" s="19"/>
      <c r="HKQ25" s="19"/>
      <c r="HKR25" s="19"/>
      <c r="HKS25" s="19"/>
      <c r="HKT25" s="19"/>
      <c r="HKU25" s="19"/>
      <c r="HKV25" s="19"/>
      <c r="HKW25" s="19"/>
      <c r="HKX25" s="19"/>
      <c r="HKY25" s="19"/>
      <c r="HKZ25" s="19"/>
      <c r="HLA25" s="19"/>
      <c r="HLB25" s="19"/>
      <c r="HLC25" s="19"/>
      <c r="HLD25" s="19"/>
      <c r="HLE25" s="19"/>
      <c r="HLF25" s="19"/>
      <c r="HLG25" s="19"/>
      <c r="HLH25" s="19"/>
      <c r="HLI25" s="19"/>
      <c r="HLJ25" s="19"/>
      <c r="HLK25" s="19"/>
      <c r="HLL25" s="19"/>
      <c r="HLM25" s="19"/>
      <c r="HLN25" s="19"/>
      <c r="HLO25" s="19"/>
      <c r="HLP25" s="19"/>
      <c r="HLQ25" s="19"/>
      <c r="HLR25" s="19"/>
      <c r="HLS25" s="19"/>
      <c r="HLT25" s="19"/>
      <c r="HLU25" s="19"/>
      <c r="HLV25" s="19"/>
      <c r="HLW25" s="19"/>
      <c r="HLX25" s="19"/>
      <c r="HLY25" s="19"/>
      <c r="HLZ25" s="19"/>
      <c r="HMA25" s="19"/>
      <c r="HMB25" s="19"/>
      <c r="HMC25" s="19"/>
      <c r="HMD25" s="19"/>
      <c r="HME25" s="19"/>
      <c r="HMF25" s="19"/>
      <c r="HMG25" s="19"/>
      <c r="HMH25" s="19"/>
      <c r="HMI25" s="19"/>
      <c r="HMJ25" s="19"/>
      <c r="HMK25" s="19"/>
      <c r="HML25" s="19"/>
      <c r="HMM25" s="19"/>
      <c r="HMN25" s="19"/>
      <c r="HMO25" s="19"/>
      <c r="HMP25" s="19"/>
      <c r="HMQ25" s="19"/>
      <c r="HMR25" s="19"/>
      <c r="HMS25" s="19"/>
      <c r="HMT25" s="19"/>
      <c r="HMU25" s="19"/>
      <c r="HMV25" s="19"/>
      <c r="HMW25" s="19"/>
      <c r="HMX25" s="19"/>
      <c r="HMY25" s="19"/>
      <c r="HMZ25" s="19"/>
      <c r="HNA25" s="19"/>
      <c r="HNB25" s="19"/>
      <c r="HNC25" s="19"/>
      <c r="HND25" s="19"/>
      <c r="HNE25" s="19"/>
      <c r="HNF25" s="19"/>
      <c r="HNG25" s="19"/>
      <c r="HNH25" s="19"/>
      <c r="HNI25" s="19"/>
      <c r="HNJ25" s="19"/>
      <c r="HNK25" s="19"/>
      <c r="HNL25" s="19"/>
      <c r="HNM25" s="19"/>
      <c r="HNN25" s="19"/>
      <c r="HNO25" s="19"/>
      <c r="HNP25" s="19"/>
      <c r="HNQ25" s="19"/>
      <c r="HNR25" s="19"/>
      <c r="HNS25" s="19"/>
      <c r="HNT25" s="19"/>
      <c r="HNU25" s="19"/>
      <c r="HNV25" s="19"/>
      <c r="HNW25" s="19"/>
      <c r="HNX25" s="19"/>
      <c r="HNY25" s="19"/>
      <c r="HNZ25" s="19"/>
      <c r="HOA25" s="19"/>
      <c r="HOB25" s="19"/>
      <c r="HOC25" s="19"/>
      <c r="HOD25" s="19"/>
      <c r="HOE25" s="19"/>
      <c r="HOF25" s="19"/>
      <c r="HOG25" s="19"/>
      <c r="HOH25" s="19"/>
      <c r="HOI25" s="19"/>
      <c r="HOJ25" s="19"/>
      <c r="HOK25" s="19"/>
      <c r="HOL25" s="19"/>
      <c r="HOM25" s="19"/>
      <c r="HON25" s="19"/>
      <c r="HOO25" s="19"/>
      <c r="HOP25" s="19"/>
      <c r="HOQ25" s="19"/>
      <c r="HOR25" s="19"/>
      <c r="HOS25" s="19"/>
      <c r="HOT25" s="19"/>
      <c r="HOU25" s="19"/>
      <c r="HOV25" s="19"/>
      <c r="HOW25" s="19"/>
      <c r="HOX25" s="19"/>
      <c r="HOY25" s="19"/>
      <c r="HOZ25" s="19"/>
      <c r="HPA25" s="19"/>
      <c r="HPB25" s="19"/>
      <c r="HPC25" s="19"/>
      <c r="HPD25" s="19"/>
      <c r="HPE25" s="19"/>
      <c r="HPF25" s="19"/>
      <c r="HPG25" s="19"/>
      <c r="HPH25" s="19"/>
      <c r="HPI25" s="19"/>
      <c r="HPJ25" s="19"/>
      <c r="HPK25" s="19"/>
      <c r="HPL25" s="19"/>
      <c r="HPM25" s="19"/>
      <c r="HPN25" s="19"/>
      <c r="HPO25" s="19"/>
      <c r="HPP25" s="19"/>
      <c r="HPQ25" s="19"/>
      <c r="HPR25" s="19"/>
      <c r="HPS25" s="19"/>
      <c r="HPT25" s="19"/>
      <c r="HPU25" s="19"/>
      <c r="HPV25" s="19"/>
      <c r="HPW25" s="19"/>
      <c r="HPX25" s="19"/>
      <c r="HPY25" s="19"/>
      <c r="HPZ25" s="19"/>
      <c r="HQA25" s="19"/>
      <c r="HQB25" s="19"/>
      <c r="HQC25" s="19"/>
      <c r="HQD25" s="19"/>
      <c r="HQE25" s="19"/>
      <c r="HQF25" s="19"/>
      <c r="HQG25" s="19"/>
      <c r="HQH25" s="19"/>
      <c r="HQI25" s="19"/>
      <c r="HQJ25" s="19"/>
      <c r="HQK25" s="19"/>
      <c r="HQL25" s="19"/>
      <c r="HQM25" s="19"/>
      <c r="HQN25" s="19"/>
      <c r="HQO25" s="19"/>
      <c r="HQP25" s="19"/>
      <c r="HQQ25" s="19"/>
      <c r="HQR25" s="19"/>
      <c r="HQS25" s="19"/>
      <c r="HQT25" s="19"/>
      <c r="HQU25" s="19"/>
      <c r="HQV25" s="19"/>
      <c r="HQW25" s="19"/>
      <c r="HQX25" s="19"/>
      <c r="HQY25" s="19"/>
      <c r="HQZ25" s="19"/>
      <c r="HRA25" s="19"/>
      <c r="HRB25" s="19"/>
      <c r="HRC25" s="19"/>
      <c r="HRD25" s="19"/>
      <c r="HRE25" s="19"/>
      <c r="HRF25" s="19"/>
      <c r="HRG25" s="19"/>
      <c r="HRH25" s="19"/>
      <c r="HRI25" s="19"/>
      <c r="HRJ25" s="19"/>
      <c r="HRK25" s="19"/>
      <c r="HRL25" s="19"/>
      <c r="HRM25" s="19"/>
      <c r="HRN25" s="19"/>
      <c r="HRO25" s="19"/>
      <c r="HRP25" s="19"/>
      <c r="HRQ25" s="19"/>
      <c r="HRR25" s="19"/>
      <c r="HRS25" s="19"/>
      <c r="HRT25" s="19"/>
      <c r="HRU25" s="19"/>
      <c r="HRV25" s="19"/>
      <c r="HRW25" s="19"/>
      <c r="HRX25" s="19"/>
      <c r="HRY25" s="19"/>
      <c r="HRZ25" s="19"/>
      <c r="HSA25" s="19"/>
      <c r="HSB25" s="19"/>
      <c r="HSC25" s="19"/>
      <c r="HSD25" s="19"/>
      <c r="HSE25" s="19"/>
      <c r="HSF25" s="19"/>
      <c r="HSG25" s="19"/>
      <c r="HSH25" s="19"/>
      <c r="HSI25" s="19"/>
      <c r="HSJ25" s="19"/>
      <c r="HSK25" s="19"/>
      <c r="HSL25" s="19"/>
      <c r="HSM25" s="19"/>
      <c r="HSN25" s="19"/>
      <c r="HSO25" s="19"/>
      <c r="HSP25" s="19"/>
      <c r="HSQ25" s="19"/>
      <c r="HSR25" s="19"/>
      <c r="HSS25" s="19"/>
      <c r="HST25" s="19"/>
      <c r="HSU25" s="19"/>
      <c r="HSV25" s="19"/>
      <c r="HSW25" s="19"/>
      <c r="HSX25" s="19"/>
      <c r="HSY25" s="19"/>
      <c r="HSZ25" s="19"/>
      <c r="HTA25" s="19"/>
      <c r="HTB25" s="19"/>
      <c r="HTC25" s="19"/>
      <c r="HTD25" s="19"/>
      <c r="HTE25" s="19"/>
      <c r="HTF25" s="19"/>
      <c r="HTG25" s="19"/>
      <c r="HTH25" s="19"/>
      <c r="HTI25" s="19"/>
      <c r="HTJ25" s="19"/>
      <c r="HTK25" s="19"/>
      <c r="HTL25" s="19"/>
      <c r="HTM25" s="19"/>
      <c r="HTN25" s="19"/>
      <c r="HTO25" s="19"/>
      <c r="HTP25" s="19"/>
      <c r="HTQ25" s="19"/>
      <c r="HTR25" s="19"/>
      <c r="HTS25" s="19"/>
      <c r="HTT25" s="19"/>
      <c r="HTU25" s="19"/>
      <c r="HTV25" s="19"/>
      <c r="HTW25" s="19"/>
      <c r="HTX25" s="19"/>
      <c r="HTY25" s="19"/>
      <c r="HTZ25" s="19"/>
      <c r="HUA25" s="19"/>
      <c r="HUB25" s="19"/>
      <c r="HUC25" s="19"/>
      <c r="HUD25" s="19"/>
      <c r="HUE25" s="19"/>
      <c r="HUF25" s="19"/>
      <c r="HUG25" s="19"/>
      <c r="HUH25" s="19"/>
      <c r="HUI25" s="19"/>
      <c r="HUJ25" s="19"/>
      <c r="HUK25" s="19"/>
      <c r="HUL25" s="19"/>
      <c r="HUM25" s="19"/>
      <c r="HUN25" s="19"/>
      <c r="HUO25" s="19"/>
      <c r="HUP25" s="19"/>
      <c r="HUQ25" s="19"/>
      <c r="HUR25" s="19"/>
      <c r="HUS25" s="19"/>
      <c r="HUT25" s="19"/>
      <c r="HUU25" s="19"/>
      <c r="HUV25" s="19"/>
      <c r="HUW25" s="19"/>
      <c r="HUX25" s="19"/>
      <c r="HUY25" s="19"/>
      <c r="HUZ25" s="19"/>
      <c r="HVA25" s="19"/>
      <c r="HVB25" s="19"/>
      <c r="HVC25" s="19"/>
      <c r="HVD25" s="19"/>
      <c r="HVE25" s="19"/>
      <c r="HVF25" s="19"/>
      <c r="HVG25" s="19"/>
      <c r="HVH25" s="19"/>
      <c r="HVI25" s="19"/>
      <c r="HVJ25" s="19"/>
      <c r="HVK25" s="19"/>
      <c r="HVL25" s="19"/>
      <c r="HVM25" s="19"/>
      <c r="HVN25" s="19"/>
      <c r="HVO25" s="19"/>
      <c r="HVP25" s="19"/>
      <c r="HVQ25" s="19"/>
      <c r="HVR25" s="19"/>
      <c r="HVS25" s="19"/>
      <c r="HVT25" s="19"/>
      <c r="HVU25" s="19"/>
      <c r="HVV25" s="19"/>
      <c r="HVW25" s="19"/>
      <c r="HVX25" s="19"/>
      <c r="HVY25" s="19"/>
      <c r="HVZ25" s="19"/>
      <c r="HWA25" s="19"/>
      <c r="HWB25" s="19"/>
      <c r="HWC25" s="19"/>
      <c r="HWD25" s="19"/>
      <c r="HWE25" s="19"/>
      <c r="HWF25" s="19"/>
      <c r="HWG25" s="19"/>
      <c r="HWH25" s="19"/>
      <c r="HWI25" s="19"/>
      <c r="HWJ25" s="19"/>
      <c r="HWK25" s="19"/>
      <c r="HWL25" s="19"/>
      <c r="HWM25" s="19"/>
      <c r="HWN25" s="19"/>
      <c r="HWO25" s="19"/>
      <c r="HWP25" s="19"/>
      <c r="HWQ25" s="19"/>
      <c r="HWR25" s="19"/>
      <c r="HWS25" s="19"/>
      <c r="HWT25" s="19"/>
      <c r="HWU25" s="19"/>
      <c r="HWV25" s="19"/>
      <c r="HWW25" s="19"/>
      <c r="HWX25" s="19"/>
      <c r="HWY25" s="19"/>
      <c r="HWZ25" s="19"/>
      <c r="HXA25" s="19"/>
      <c r="HXB25" s="19"/>
      <c r="HXC25" s="19"/>
      <c r="HXD25" s="19"/>
      <c r="HXE25" s="19"/>
      <c r="HXF25" s="19"/>
      <c r="HXG25" s="19"/>
      <c r="HXH25" s="19"/>
      <c r="HXI25" s="19"/>
      <c r="HXJ25" s="19"/>
      <c r="HXK25" s="19"/>
      <c r="HXL25" s="19"/>
      <c r="HXM25" s="19"/>
      <c r="HXN25" s="19"/>
      <c r="HXO25" s="19"/>
      <c r="HXP25" s="19"/>
      <c r="HXQ25" s="19"/>
      <c r="HXR25" s="19"/>
      <c r="HXS25" s="19"/>
      <c r="HXT25" s="19"/>
      <c r="HXU25" s="19"/>
      <c r="HXV25" s="19"/>
      <c r="HXW25" s="19"/>
      <c r="HXX25" s="19"/>
      <c r="HXY25" s="19"/>
      <c r="HXZ25" s="19"/>
      <c r="HYA25" s="19"/>
      <c r="HYB25" s="19"/>
      <c r="HYC25" s="19"/>
      <c r="HYD25" s="19"/>
      <c r="HYE25" s="19"/>
      <c r="HYF25" s="19"/>
      <c r="HYG25" s="19"/>
      <c r="HYH25" s="19"/>
      <c r="HYI25" s="19"/>
      <c r="HYJ25" s="19"/>
      <c r="HYK25" s="19"/>
      <c r="HYL25" s="19"/>
      <c r="HYM25" s="19"/>
      <c r="HYN25" s="19"/>
      <c r="HYO25" s="19"/>
      <c r="HYP25" s="19"/>
      <c r="HYQ25" s="19"/>
      <c r="HYR25" s="19"/>
      <c r="HYS25" s="19"/>
      <c r="HYT25" s="19"/>
      <c r="HYU25" s="19"/>
      <c r="HYV25" s="19"/>
      <c r="HYW25" s="19"/>
      <c r="HYX25" s="19"/>
      <c r="HYY25" s="19"/>
      <c r="HYZ25" s="19"/>
      <c r="HZA25" s="19"/>
      <c r="HZB25" s="19"/>
      <c r="HZC25" s="19"/>
      <c r="HZD25" s="19"/>
      <c r="HZE25" s="19"/>
      <c r="HZF25" s="19"/>
      <c r="HZG25" s="19"/>
      <c r="HZH25" s="19"/>
      <c r="HZI25" s="19"/>
      <c r="HZJ25" s="19"/>
      <c r="HZK25" s="19"/>
      <c r="HZL25" s="19"/>
      <c r="HZM25" s="19"/>
      <c r="HZN25" s="19"/>
      <c r="HZO25" s="19"/>
      <c r="HZP25" s="19"/>
      <c r="HZQ25" s="19"/>
      <c r="HZR25" s="19"/>
      <c r="HZS25" s="19"/>
      <c r="HZT25" s="19"/>
      <c r="HZU25" s="19"/>
      <c r="HZV25" s="19"/>
      <c r="HZW25" s="19"/>
      <c r="HZX25" s="19"/>
      <c r="HZY25" s="19"/>
      <c r="HZZ25" s="19"/>
      <c r="IAA25" s="19"/>
      <c r="IAB25" s="19"/>
      <c r="IAC25" s="19"/>
      <c r="IAD25" s="19"/>
      <c r="IAE25" s="19"/>
      <c r="IAF25" s="19"/>
      <c r="IAG25" s="19"/>
      <c r="IAH25" s="19"/>
      <c r="IAI25" s="19"/>
      <c r="IAJ25" s="19"/>
      <c r="IAK25" s="19"/>
      <c r="IAL25" s="19"/>
      <c r="IAM25" s="19"/>
      <c r="IAN25" s="19"/>
      <c r="IAO25" s="19"/>
      <c r="IAP25" s="19"/>
      <c r="IAQ25" s="19"/>
      <c r="IAR25" s="19"/>
      <c r="IAS25" s="19"/>
      <c r="IAT25" s="19"/>
      <c r="IAU25" s="19"/>
      <c r="IAV25" s="19"/>
      <c r="IAW25" s="19"/>
      <c r="IAX25" s="19"/>
      <c r="IAY25" s="19"/>
      <c r="IAZ25" s="19"/>
      <c r="IBA25" s="19"/>
      <c r="IBB25" s="19"/>
      <c r="IBC25" s="19"/>
      <c r="IBD25" s="19"/>
      <c r="IBE25" s="19"/>
      <c r="IBF25" s="19"/>
      <c r="IBG25" s="19"/>
      <c r="IBH25" s="19"/>
      <c r="IBI25" s="19"/>
      <c r="IBJ25" s="19"/>
      <c r="IBK25" s="19"/>
      <c r="IBL25" s="19"/>
      <c r="IBM25" s="19"/>
      <c r="IBN25" s="19"/>
      <c r="IBO25" s="19"/>
      <c r="IBP25" s="19"/>
      <c r="IBQ25" s="19"/>
      <c r="IBR25" s="19"/>
      <c r="IBS25" s="19"/>
      <c r="IBT25" s="19"/>
      <c r="IBU25" s="19"/>
      <c r="IBV25" s="19"/>
      <c r="IBW25" s="19"/>
      <c r="IBX25" s="19"/>
      <c r="IBY25" s="19"/>
      <c r="IBZ25" s="19"/>
      <c r="ICA25" s="19"/>
      <c r="ICB25" s="19"/>
      <c r="ICC25" s="19"/>
      <c r="ICD25" s="19"/>
      <c r="ICE25" s="19"/>
      <c r="ICF25" s="19"/>
      <c r="ICG25" s="19"/>
      <c r="ICH25" s="19"/>
      <c r="ICI25" s="19"/>
      <c r="ICJ25" s="19"/>
      <c r="ICK25" s="19"/>
      <c r="ICL25" s="19"/>
      <c r="ICM25" s="19"/>
      <c r="ICN25" s="19"/>
      <c r="ICO25" s="19"/>
      <c r="ICP25" s="19"/>
      <c r="ICQ25" s="19"/>
      <c r="ICR25" s="19"/>
      <c r="ICS25" s="19"/>
      <c r="ICT25" s="19"/>
      <c r="ICU25" s="19"/>
      <c r="ICV25" s="19"/>
      <c r="ICW25" s="19"/>
      <c r="ICX25" s="19"/>
      <c r="ICY25" s="19"/>
      <c r="ICZ25" s="19"/>
      <c r="IDA25" s="19"/>
      <c r="IDB25" s="19"/>
      <c r="IDC25" s="19"/>
      <c r="IDD25" s="19"/>
      <c r="IDE25" s="19"/>
      <c r="IDF25" s="19"/>
      <c r="IDG25" s="19"/>
      <c r="IDH25" s="19"/>
      <c r="IDI25" s="19"/>
      <c r="IDJ25" s="19"/>
      <c r="IDK25" s="19"/>
      <c r="IDL25" s="19"/>
      <c r="IDM25" s="19"/>
      <c r="IDN25" s="19"/>
      <c r="IDO25" s="19"/>
      <c r="IDP25" s="19"/>
      <c r="IDQ25" s="19"/>
      <c r="IDR25" s="19"/>
      <c r="IDS25" s="19"/>
      <c r="IDT25" s="19"/>
      <c r="IDU25" s="19"/>
      <c r="IDV25" s="19"/>
      <c r="IDW25" s="19"/>
      <c r="IDX25" s="19"/>
      <c r="IDY25" s="19"/>
      <c r="IDZ25" s="19"/>
      <c r="IEA25" s="19"/>
      <c r="IEB25" s="19"/>
      <c r="IEC25" s="19"/>
      <c r="IED25" s="19"/>
      <c r="IEE25" s="19"/>
      <c r="IEF25" s="19"/>
      <c r="IEG25" s="19"/>
      <c r="IEH25" s="19"/>
      <c r="IEI25" s="19"/>
      <c r="IEJ25" s="19"/>
      <c r="IEK25" s="19"/>
      <c r="IEL25" s="19"/>
      <c r="IEM25" s="19"/>
      <c r="IEN25" s="19"/>
      <c r="IEO25" s="19"/>
      <c r="IEP25" s="19"/>
      <c r="IEQ25" s="19"/>
      <c r="IER25" s="19"/>
      <c r="IES25" s="19"/>
      <c r="IET25" s="19"/>
      <c r="IEU25" s="19"/>
      <c r="IEV25" s="19"/>
      <c r="IEW25" s="19"/>
      <c r="IEX25" s="19"/>
      <c r="IEY25" s="19"/>
      <c r="IEZ25" s="19"/>
      <c r="IFA25" s="19"/>
      <c r="IFB25" s="19"/>
      <c r="IFC25" s="19"/>
      <c r="IFD25" s="19"/>
      <c r="IFE25" s="19"/>
      <c r="IFF25" s="19"/>
      <c r="IFG25" s="19"/>
      <c r="IFH25" s="19"/>
      <c r="IFI25" s="19"/>
      <c r="IFJ25" s="19"/>
      <c r="IFK25" s="19"/>
      <c r="IFL25" s="19"/>
      <c r="IFM25" s="19"/>
      <c r="IFN25" s="19"/>
      <c r="IFO25" s="19"/>
      <c r="IFP25" s="19"/>
      <c r="IFQ25" s="19"/>
      <c r="IFR25" s="19"/>
      <c r="IFS25" s="19"/>
      <c r="IFT25" s="19"/>
      <c r="IFU25" s="19"/>
      <c r="IFV25" s="19"/>
      <c r="IFW25" s="19"/>
      <c r="IFX25" s="19"/>
      <c r="IFY25" s="19"/>
      <c r="IFZ25" s="19"/>
      <c r="IGA25" s="19"/>
      <c r="IGB25" s="19"/>
      <c r="IGC25" s="19"/>
      <c r="IGD25" s="19"/>
      <c r="IGE25" s="19"/>
      <c r="IGF25" s="19"/>
      <c r="IGG25" s="19"/>
      <c r="IGH25" s="19"/>
      <c r="IGI25" s="19"/>
      <c r="IGJ25" s="19"/>
      <c r="IGK25" s="19"/>
      <c r="IGL25" s="19"/>
      <c r="IGM25" s="19"/>
      <c r="IGN25" s="19"/>
      <c r="IGO25" s="19"/>
      <c r="IGP25" s="19"/>
      <c r="IGQ25" s="19"/>
      <c r="IGR25" s="19"/>
      <c r="IGS25" s="19"/>
      <c r="IGT25" s="19"/>
      <c r="IGU25" s="19"/>
      <c r="IGV25" s="19"/>
      <c r="IGW25" s="19"/>
      <c r="IGX25" s="19"/>
      <c r="IGY25" s="19"/>
      <c r="IGZ25" s="19"/>
      <c r="IHA25" s="19"/>
      <c r="IHB25" s="19"/>
      <c r="IHC25" s="19"/>
      <c r="IHD25" s="19"/>
      <c r="IHE25" s="19"/>
      <c r="IHF25" s="19"/>
      <c r="IHG25" s="19"/>
      <c r="IHH25" s="19"/>
      <c r="IHI25" s="19"/>
      <c r="IHJ25" s="19"/>
      <c r="IHK25" s="19"/>
      <c r="IHL25" s="19"/>
      <c r="IHM25" s="19"/>
      <c r="IHN25" s="19"/>
      <c r="IHO25" s="19"/>
      <c r="IHP25" s="19"/>
      <c r="IHQ25" s="19"/>
      <c r="IHR25" s="19"/>
      <c r="IHS25" s="19"/>
      <c r="IHT25" s="19"/>
      <c r="IHU25" s="19"/>
      <c r="IHV25" s="19"/>
      <c r="IHW25" s="19"/>
      <c r="IHX25" s="19"/>
      <c r="IHY25" s="19"/>
      <c r="IHZ25" s="19"/>
      <c r="IIA25" s="19"/>
      <c r="IIB25" s="19"/>
      <c r="IIC25" s="19"/>
      <c r="IID25" s="19"/>
      <c r="IIE25" s="19"/>
      <c r="IIF25" s="19"/>
      <c r="IIG25" s="19"/>
      <c r="IIH25" s="19"/>
      <c r="III25" s="19"/>
      <c r="IIJ25" s="19"/>
      <c r="IIK25" s="19"/>
      <c r="IIL25" s="19"/>
      <c r="IIM25" s="19"/>
      <c r="IIN25" s="19"/>
      <c r="IIO25" s="19"/>
      <c r="IIP25" s="19"/>
      <c r="IIQ25" s="19"/>
      <c r="IIR25" s="19"/>
      <c r="IIS25" s="19"/>
      <c r="IIT25" s="19"/>
      <c r="IIU25" s="19"/>
      <c r="IIV25" s="19"/>
      <c r="IIW25" s="19"/>
      <c r="IIX25" s="19"/>
      <c r="IIY25" s="19"/>
      <c r="IIZ25" s="19"/>
      <c r="IJA25" s="19"/>
      <c r="IJB25" s="19"/>
      <c r="IJC25" s="19"/>
      <c r="IJD25" s="19"/>
      <c r="IJE25" s="19"/>
      <c r="IJF25" s="19"/>
      <c r="IJG25" s="19"/>
      <c r="IJH25" s="19"/>
      <c r="IJI25" s="19"/>
      <c r="IJJ25" s="19"/>
      <c r="IJK25" s="19"/>
      <c r="IJL25" s="19"/>
      <c r="IJM25" s="19"/>
      <c r="IJN25" s="19"/>
      <c r="IJO25" s="19"/>
      <c r="IJP25" s="19"/>
      <c r="IJQ25" s="19"/>
      <c r="IJR25" s="19"/>
      <c r="IJS25" s="19"/>
      <c r="IJT25" s="19"/>
      <c r="IJU25" s="19"/>
      <c r="IJV25" s="19"/>
      <c r="IJW25" s="19"/>
      <c r="IJX25" s="19"/>
      <c r="IJY25" s="19"/>
      <c r="IJZ25" s="19"/>
      <c r="IKA25" s="19"/>
      <c r="IKB25" s="19"/>
      <c r="IKC25" s="19"/>
      <c r="IKD25" s="19"/>
      <c r="IKE25" s="19"/>
      <c r="IKF25" s="19"/>
      <c r="IKG25" s="19"/>
      <c r="IKH25" s="19"/>
      <c r="IKI25" s="19"/>
      <c r="IKJ25" s="19"/>
      <c r="IKK25" s="19"/>
      <c r="IKL25" s="19"/>
      <c r="IKM25" s="19"/>
      <c r="IKN25" s="19"/>
      <c r="IKO25" s="19"/>
      <c r="IKP25" s="19"/>
      <c r="IKQ25" s="19"/>
      <c r="IKR25" s="19"/>
      <c r="IKS25" s="19"/>
      <c r="IKT25" s="19"/>
      <c r="IKU25" s="19"/>
      <c r="IKV25" s="19"/>
      <c r="IKW25" s="19"/>
      <c r="IKX25" s="19"/>
      <c r="IKY25" s="19"/>
      <c r="IKZ25" s="19"/>
      <c r="ILA25" s="19"/>
      <c r="ILB25" s="19"/>
      <c r="ILC25" s="19"/>
      <c r="ILD25" s="19"/>
      <c r="ILE25" s="19"/>
      <c r="ILF25" s="19"/>
      <c r="ILG25" s="19"/>
      <c r="ILH25" s="19"/>
      <c r="ILI25" s="19"/>
      <c r="ILJ25" s="19"/>
      <c r="ILK25" s="19"/>
      <c r="ILL25" s="19"/>
      <c r="ILM25" s="19"/>
      <c r="ILN25" s="19"/>
      <c r="ILO25" s="19"/>
      <c r="ILP25" s="19"/>
      <c r="ILQ25" s="19"/>
      <c r="ILR25" s="19"/>
      <c r="ILS25" s="19"/>
      <c r="ILT25" s="19"/>
      <c r="ILU25" s="19"/>
      <c r="ILV25" s="19"/>
      <c r="ILW25" s="19"/>
      <c r="ILX25" s="19"/>
      <c r="ILY25" s="19"/>
      <c r="ILZ25" s="19"/>
      <c r="IMA25" s="19"/>
      <c r="IMB25" s="19"/>
      <c r="IMC25" s="19"/>
      <c r="IMD25" s="19"/>
      <c r="IME25" s="19"/>
      <c r="IMF25" s="19"/>
      <c r="IMG25" s="19"/>
      <c r="IMH25" s="19"/>
      <c r="IMI25" s="19"/>
      <c r="IMJ25" s="19"/>
      <c r="IMK25" s="19"/>
      <c r="IML25" s="19"/>
      <c r="IMM25" s="19"/>
      <c r="IMN25" s="19"/>
      <c r="IMO25" s="19"/>
      <c r="IMP25" s="19"/>
      <c r="IMQ25" s="19"/>
      <c r="IMR25" s="19"/>
      <c r="IMS25" s="19"/>
      <c r="IMT25" s="19"/>
      <c r="IMU25" s="19"/>
      <c r="IMV25" s="19"/>
      <c r="IMW25" s="19"/>
      <c r="IMX25" s="19"/>
      <c r="IMY25" s="19"/>
      <c r="IMZ25" s="19"/>
      <c r="INA25" s="19"/>
      <c r="INB25" s="19"/>
      <c r="INC25" s="19"/>
      <c r="IND25" s="19"/>
      <c r="INE25" s="19"/>
      <c r="INF25" s="19"/>
      <c r="ING25" s="19"/>
      <c r="INH25" s="19"/>
      <c r="INI25" s="19"/>
      <c r="INJ25" s="19"/>
      <c r="INK25" s="19"/>
      <c r="INL25" s="19"/>
      <c r="INM25" s="19"/>
      <c r="INN25" s="19"/>
      <c r="INO25" s="19"/>
      <c r="INP25" s="19"/>
      <c r="INQ25" s="19"/>
      <c r="INR25" s="19"/>
      <c r="INS25" s="19"/>
      <c r="INT25" s="19"/>
      <c r="INU25" s="19"/>
      <c r="INV25" s="19"/>
      <c r="INW25" s="19"/>
      <c r="INX25" s="19"/>
      <c r="INY25" s="19"/>
      <c r="INZ25" s="19"/>
      <c r="IOA25" s="19"/>
      <c r="IOB25" s="19"/>
      <c r="IOC25" s="19"/>
      <c r="IOD25" s="19"/>
      <c r="IOE25" s="19"/>
      <c r="IOF25" s="19"/>
      <c r="IOG25" s="19"/>
      <c r="IOH25" s="19"/>
      <c r="IOI25" s="19"/>
      <c r="IOJ25" s="19"/>
      <c r="IOK25" s="19"/>
      <c r="IOL25" s="19"/>
      <c r="IOM25" s="19"/>
      <c r="ION25" s="19"/>
      <c r="IOO25" s="19"/>
      <c r="IOP25" s="19"/>
      <c r="IOQ25" s="19"/>
      <c r="IOR25" s="19"/>
      <c r="IOS25" s="19"/>
      <c r="IOT25" s="19"/>
      <c r="IOU25" s="19"/>
      <c r="IOV25" s="19"/>
      <c r="IOW25" s="19"/>
      <c r="IOX25" s="19"/>
      <c r="IOY25" s="19"/>
      <c r="IOZ25" s="19"/>
      <c r="IPA25" s="19"/>
      <c r="IPB25" s="19"/>
      <c r="IPC25" s="19"/>
      <c r="IPD25" s="19"/>
      <c r="IPE25" s="19"/>
      <c r="IPF25" s="19"/>
      <c r="IPG25" s="19"/>
      <c r="IPH25" s="19"/>
      <c r="IPI25" s="19"/>
      <c r="IPJ25" s="19"/>
      <c r="IPK25" s="19"/>
      <c r="IPL25" s="19"/>
      <c r="IPM25" s="19"/>
      <c r="IPN25" s="19"/>
      <c r="IPO25" s="19"/>
      <c r="IPP25" s="19"/>
      <c r="IPQ25" s="19"/>
      <c r="IPR25" s="19"/>
      <c r="IPS25" s="19"/>
      <c r="IPT25" s="19"/>
      <c r="IPU25" s="19"/>
      <c r="IPV25" s="19"/>
      <c r="IPW25" s="19"/>
      <c r="IPX25" s="19"/>
      <c r="IPY25" s="19"/>
      <c r="IPZ25" s="19"/>
      <c r="IQA25" s="19"/>
      <c r="IQB25" s="19"/>
      <c r="IQC25" s="19"/>
      <c r="IQD25" s="19"/>
      <c r="IQE25" s="19"/>
      <c r="IQF25" s="19"/>
      <c r="IQG25" s="19"/>
      <c r="IQH25" s="19"/>
      <c r="IQI25" s="19"/>
      <c r="IQJ25" s="19"/>
      <c r="IQK25" s="19"/>
      <c r="IQL25" s="19"/>
      <c r="IQM25" s="19"/>
      <c r="IQN25" s="19"/>
      <c r="IQO25" s="19"/>
      <c r="IQP25" s="19"/>
      <c r="IQQ25" s="19"/>
      <c r="IQR25" s="19"/>
      <c r="IQS25" s="19"/>
      <c r="IQT25" s="19"/>
      <c r="IQU25" s="19"/>
      <c r="IQV25" s="19"/>
      <c r="IQW25" s="19"/>
      <c r="IQX25" s="19"/>
      <c r="IQY25" s="19"/>
      <c r="IQZ25" s="19"/>
      <c r="IRA25" s="19"/>
      <c r="IRB25" s="19"/>
      <c r="IRC25" s="19"/>
      <c r="IRD25" s="19"/>
      <c r="IRE25" s="19"/>
      <c r="IRF25" s="19"/>
      <c r="IRG25" s="19"/>
      <c r="IRH25" s="19"/>
      <c r="IRI25" s="19"/>
      <c r="IRJ25" s="19"/>
      <c r="IRK25" s="19"/>
      <c r="IRL25" s="19"/>
      <c r="IRM25" s="19"/>
      <c r="IRN25" s="19"/>
      <c r="IRO25" s="19"/>
      <c r="IRP25" s="19"/>
      <c r="IRQ25" s="19"/>
      <c r="IRR25" s="19"/>
      <c r="IRS25" s="19"/>
      <c r="IRT25" s="19"/>
      <c r="IRU25" s="19"/>
      <c r="IRV25" s="19"/>
      <c r="IRW25" s="19"/>
      <c r="IRX25" s="19"/>
      <c r="IRY25" s="19"/>
      <c r="IRZ25" s="19"/>
      <c r="ISA25" s="19"/>
      <c r="ISB25" s="19"/>
      <c r="ISC25" s="19"/>
      <c r="ISD25" s="19"/>
      <c r="ISE25" s="19"/>
      <c r="ISF25" s="19"/>
      <c r="ISG25" s="19"/>
      <c r="ISH25" s="19"/>
      <c r="ISI25" s="19"/>
      <c r="ISJ25" s="19"/>
      <c r="ISK25" s="19"/>
      <c r="ISL25" s="19"/>
      <c r="ISM25" s="19"/>
      <c r="ISN25" s="19"/>
      <c r="ISO25" s="19"/>
      <c r="ISP25" s="19"/>
      <c r="ISQ25" s="19"/>
      <c r="ISR25" s="19"/>
      <c r="ISS25" s="19"/>
      <c r="IST25" s="19"/>
      <c r="ISU25" s="19"/>
      <c r="ISV25" s="19"/>
      <c r="ISW25" s="19"/>
      <c r="ISX25" s="19"/>
      <c r="ISY25" s="19"/>
      <c r="ISZ25" s="19"/>
      <c r="ITA25" s="19"/>
      <c r="ITB25" s="19"/>
      <c r="ITC25" s="19"/>
      <c r="ITD25" s="19"/>
      <c r="ITE25" s="19"/>
      <c r="ITF25" s="19"/>
      <c r="ITG25" s="19"/>
      <c r="ITH25" s="19"/>
      <c r="ITI25" s="19"/>
      <c r="ITJ25" s="19"/>
      <c r="ITK25" s="19"/>
      <c r="ITL25" s="19"/>
      <c r="ITM25" s="19"/>
      <c r="ITN25" s="19"/>
      <c r="ITO25" s="19"/>
      <c r="ITP25" s="19"/>
      <c r="ITQ25" s="19"/>
      <c r="ITR25" s="19"/>
      <c r="ITS25" s="19"/>
      <c r="ITT25" s="19"/>
      <c r="ITU25" s="19"/>
      <c r="ITV25" s="19"/>
      <c r="ITW25" s="19"/>
      <c r="ITX25" s="19"/>
      <c r="ITY25" s="19"/>
      <c r="ITZ25" s="19"/>
      <c r="IUA25" s="19"/>
      <c r="IUB25" s="19"/>
      <c r="IUC25" s="19"/>
      <c r="IUD25" s="19"/>
      <c r="IUE25" s="19"/>
      <c r="IUF25" s="19"/>
      <c r="IUG25" s="19"/>
      <c r="IUH25" s="19"/>
      <c r="IUI25" s="19"/>
      <c r="IUJ25" s="19"/>
      <c r="IUK25" s="19"/>
      <c r="IUL25" s="19"/>
      <c r="IUM25" s="19"/>
      <c r="IUN25" s="19"/>
      <c r="IUO25" s="19"/>
      <c r="IUP25" s="19"/>
      <c r="IUQ25" s="19"/>
      <c r="IUR25" s="19"/>
      <c r="IUS25" s="19"/>
      <c r="IUT25" s="19"/>
      <c r="IUU25" s="19"/>
      <c r="IUV25" s="19"/>
      <c r="IUW25" s="19"/>
      <c r="IUX25" s="19"/>
      <c r="IUY25" s="19"/>
      <c r="IUZ25" s="19"/>
      <c r="IVA25" s="19"/>
      <c r="IVB25" s="19"/>
      <c r="IVC25" s="19"/>
      <c r="IVD25" s="19"/>
      <c r="IVE25" s="19"/>
      <c r="IVF25" s="19"/>
      <c r="IVG25" s="19"/>
      <c r="IVH25" s="19"/>
      <c r="IVI25" s="19"/>
      <c r="IVJ25" s="19"/>
      <c r="IVK25" s="19"/>
      <c r="IVL25" s="19"/>
      <c r="IVM25" s="19"/>
      <c r="IVN25" s="19"/>
      <c r="IVO25" s="19"/>
      <c r="IVP25" s="19"/>
      <c r="IVQ25" s="19"/>
      <c r="IVR25" s="19"/>
      <c r="IVS25" s="19"/>
      <c r="IVT25" s="19"/>
      <c r="IVU25" s="19"/>
      <c r="IVV25" s="19"/>
      <c r="IVW25" s="19"/>
      <c r="IVX25" s="19"/>
      <c r="IVY25" s="19"/>
      <c r="IVZ25" s="19"/>
      <c r="IWA25" s="19"/>
      <c r="IWB25" s="19"/>
      <c r="IWC25" s="19"/>
      <c r="IWD25" s="19"/>
      <c r="IWE25" s="19"/>
      <c r="IWF25" s="19"/>
      <c r="IWG25" s="19"/>
      <c r="IWH25" s="19"/>
      <c r="IWI25" s="19"/>
      <c r="IWJ25" s="19"/>
      <c r="IWK25" s="19"/>
      <c r="IWL25" s="19"/>
      <c r="IWM25" s="19"/>
      <c r="IWN25" s="19"/>
      <c r="IWO25" s="19"/>
      <c r="IWP25" s="19"/>
      <c r="IWQ25" s="19"/>
      <c r="IWR25" s="19"/>
      <c r="IWS25" s="19"/>
      <c r="IWT25" s="19"/>
      <c r="IWU25" s="19"/>
      <c r="IWV25" s="19"/>
      <c r="IWW25" s="19"/>
      <c r="IWX25" s="19"/>
      <c r="IWY25" s="19"/>
      <c r="IWZ25" s="19"/>
      <c r="IXA25" s="19"/>
      <c r="IXB25" s="19"/>
      <c r="IXC25" s="19"/>
      <c r="IXD25" s="19"/>
      <c r="IXE25" s="19"/>
      <c r="IXF25" s="19"/>
      <c r="IXG25" s="19"/>
      <c r="IXH25" s="19"/>
      <c r="IXI25" s="19"/>
      <c r="IXJ25" s="19"/>
      <c r="IXK25" s="19"/>
      <c r="IXL25" s="19"/>
      <c r="IXM25" s="19"/>
      <c r="IXN25" s="19"/>
      <c r="IXO25" s="19"/>
      <c r="IXP25" s="19"/>
      <c r="IXQ25" s="19"/>
      <c r="IXR25" s="19"/>
      <c r="IXS25" s="19"/>
      <c r="IXT25" s="19"/>
      <c r="IXU25" s="19"/>
      <c r="IXV25" s="19"/>
      <c r="IXW25" s="19"/>
      <c r="IXX25" s="19"/>
      <c r="IXY25" s="19"/>
      <c r="IXZ25" s="19"/>
      <c r="IYA25" s="19"/>
      <c r="IYB25" s="19"/>
      <c r="IYC25" s="19"/>
      <c r="IYD25" s="19"/>
      <c r="IYE25" s="19"/>
      <c r="IYF25" s="19"/>
      <c r="IYG25" s="19"/>
      <c r="IYH25" s="19"/>
      <c r="IYI25" s="19"/>
      <c r="IYJ25" s="19"/>
      <c r="IYK25" s="19"/>
      <c r="IYL25" s="19"/>
      <c r="IYM25" s="19"/>
      <c r="IYN25" s="19"/>
      <c r="IYO25" s="19"/>
      <c r="IYP25" s="19"/>
      <c r="IYQ25" s="19"/>
      <c r="IYR25" s="19"/>
      <c r="IYS25" s="19"/>
      <c r="IYT25" s="19"/>
      <c r="IYU25" s="19"/>
      <c r="IYV25" s="19"/>
      <c r="IYW25" s="19"/>
      <c r="IYX25" s="19"/>
      <c r="IYY25" s="19"/>
      <c r="IYZ25" s="19"/>
      <c r="IZA25" s="19"/>
      <c r="IZB25" s="19"/>
      <c r="IZC25" s="19"/>
      <c r="IZD25" s="19"/>
      <c r="IZE25" s="19"/>
      <c r="IZF25" s="19"/>
      <c r="IZG25" s="19"/>
      <c r="IZH25" s="19"/>
      <c r="IZI25" s="19"/>
      <c r="IZJ25" s="19"/>
      <c r="IZK25" s="19"/>
      <c r="IZL25" s="19"/>
      <c r="IZM25" s="19"/>
      <c r="IZN25" s="19"/>
      <c r="IZO25" s="19"/>
      <c r="IZP25" s="19"/>
      <c r="IZQ25" s="19"/>
      <c r="IZR25" s="19"/>
      <c r="IZS25" s="19"/>
      <c r="IZT25" s="19"/>
      <c r="IZU25" s="19"/>
      <c r="IZV25" s="19"/>
      <c r="IZW25" s="19"/>
      <c r="IZX25" s="19"/>
      <c r="IZY25" s="19"/>
      <c r="IZZ25" s="19"/>
      <c r="JAA25" s="19"/>
      <c r="JAB25" s="19"/>
      <c r="JAC25" s="19"/>
      <c r="JAD25" s="19"/>
      <c r="JAE25" s="19"/>
      <c r="JAF25" s="19"/>
      <c r="JAG25" s="19"/>
      <c r="JAH25" s="19"/>
      <c r="JAI25" s="19"/>
      <c r="JAJ25" s="19"/>
      <c r="JAK25" s="19"/>
      <c r="JAL25" s="19"/>
      <c r="JAM25" s="19"/>
      <c r="JAN25" s="19"/>
      <c r="JAO25" s="19"/>
      <c r="JAP25" s="19"/>
      <c r="JAQ25" s="19"/>
      <c r="JAR25" s="19"/>
      <c r="JAS25" s="19"/>
      <c r="JAT25" s="19"/>
      <c r="JAU25" s="19"/>
      <c r="JAV25" s="19"/>
      <c r="JAW25" s="19"/>
      <c r="JAX25" s="19"/>
      <c r="JAY25" s="19"/>
      <c r="JAZ25" s="19"/>
      <c r="JBA25" s="19"/>
      <c r="JBB25" s="19"/>
      <c r="JBC25" s="19"/>
      <c r="JBD25" s="19"/>
      <c r="JBE25" s="19"/>
      <c r="JBF25" s="19"/>
      <c r="JBG25" s="19"/>
      <c r="JBH25" s="19"/>
      <c r="JBI25" s="19"/>
      <c r="JBJ25" s="19"/>
      <c r="JBK25" s="19"/>
      <c r="JBL25" s="19"/>
      <c r="JBM25" s="19"/>
      <c r="JBN25" s="19"/>
      <c r="JBO25" s="19"/>
      <c r="JBP25" s="19"/>
      <c r="JBQ25" s="19"/>
      <c r="JBR25" s="19"/>
      <c r="JBS25" s="19"/>
      <c r="JBT25" s="19"/>
      <c r="JBU25" s="19"/>
      <c r="JBV25" s="19"/>
      <c r="JBW25" s="19"/>
      <c r="JBX25" s="19"/>
      <c r="JBY25" s="19"/>
      <c r="JBZ25" s="19"/>
      <c r="JCA25" s="19"/>
      <c r="JCB25" s="19"/>
      <c r="JCC25" s="19"/>
      <c r="JCD25" s="19"/>
      <c r="JCE25" s="19"/>
      <c r="JCF25" s="19"/>
      <c r="JCG25" s="19"/>
      <c r="JCH25" s="19"/>
      <c r="JCI25" s="19"/>
      <c r="JCJ25" s="19"/>
      <c r="JCK25" s="19"/>
      <c r="JCL25" s="19"/>
      <c r="JCM25" s="19"/>
      <c r="JCN25" s="19"/>
      <c r="JCO25" s="19"/>
      <c r="JCP25" s="19"/>
      <c r="JCQ25" s="19"/>
      <c r="JCR25" s="19"/>
      <c r="JCS25" s="19"/>
      <c r="JCT25" s="19"/>
      <c r="JCU25" s="19"/>
      <c r="JCV25" s="19"/>
      <c r="JCW25" s="19"/>
      <c r="JCX25" s="19"/>
      <c r="JCY25" s="19"/>
      <c r="JCZ25" s="19"/>
      <c r="JDA25" s="19"/>
      <c r="JDB25" s="19"/>
      <c r="JDC25" s="19"/>
      <c r="JDD25" s="19"/>
      <c r="JDE25" s="19"/>
      <c r="JDF25" s="19"/>
      <c r="JDG25" s="19"/>
      <c r="JDH25" s="19"/>
      <c r="JDI25" s="19"/>
      <c r="JDJ25" s="19"/>
      <c r="JDK25" s="19"/>
      <c r="JDL25" s="19"/>
      <c r="JDM25" s="19"/>
      <c r="JDN25" s="19"/>
      <c r="JDO25" s="19"/>
      <c r="JDP25" s="19"/>
      <c r="JDQ25" s="19"/>
      <c r="JDR25" s="19"/>
      <c r="JDS25" s="19"/>
      <c r="JDT25" s="19"/>
      <c r="JDU25" s="19"/>
      <c r="JDV25" s="19"/>
      <c r="JDW25" s="19"/>
      <c r="JDX25" s="19"/>
      <c r="JDY25" s="19"/>
      <c r="JDZ25" s="19"/>
      <c r="JEA25" s="19"/>
      <c r="JEB25" s="19"/>
      <c r="JEC25" s="19"/>
      <c r="JED25" s="19"/>
      <c r="JEE25" s="19"/>
      <c r="JEF25" s="19"/>
      <c r="JEG25" s="19"/>
      <c r="JEH25" s="19"/>
      <c r="JEI25" s="19"/>
      <c r="JEJ25" s="19"/>
      <c r="JEK25" s="19"/>
      <c r="JEL25" s="19"/>
      <c r="JEM25" s="19"/>
      <c r="JEN25" s="19"/>
      <c r="JEO25" s="19"/>
      <c r="JEP25" s="19"/>
      <c r="JEQ25" s="19"/>
      <c r="JER25" s="19"/>
      <c r="JES25" s="19"/>
      <c r="JET25" s="19"/>
      <c r="JEU25" s="19"/>
      <c r="JEV25" s="19"/>
      <c r="JEW25" s="19"/>
      <c r="JEX25" s="19"/>
      <c r="JEY25" s="19"/>
      <c r="JEZ25" s="19"/>
      <c r="JFA25" s="19"/>
      <c r="JFB25" s="19"/>
      <c r="JFC25" s="19"/>
      <c r="JFD25" s="19"/>
      <c r="JFE25" s="19"/>
      <c r="JFF25" s="19"/>
      <c r="JFG25" s="19"/>
      <c r="JFH25" s="19"/>
      <c r="JFI25" s="19"/>
      <c r="JFJ25" s="19"/>
      <c r="JFK25" s="19"/>
      <c r="JFL25" s="19"/>
      <c r="JFM25" s="19"/>
      <c r="JFN25" s="19"/>
      <c r="JFO25" s="19"/>
      <c r="JFP25" s="19"/>
      <c r="JFQ25" s="19"/>
      <c r="JFR25" s="19"/>
      <c r="JFS25" s="19"/>
      <c r="JFT25" s="19"/>
      <c r="JFU25" s="19"/>
      <c r="JFV25" s="19"/>
      <c r="JFW25" s="19"/>
      <c r="JFX25" s="19"/>
      <c r="JFY25" s="19"/>
      <c r="JFZ25" s="19"/>
      <c r="JGA25" s="19"/>
      <c r="JGB25" s="19"/>
      <c r="JGC25" s="19"/>
      <c r="JGD25" s="19"/>
      <c r="JGE25" s="19"/>
      <c r="JGF25" s="19"/>
      <c r="JGG25" s="19"/>
      <c r="JGH25" s="19"/>
      <c r="JGI25" s="19"/>
      <c r="JGJ25" s="19"/>
      <c r="JGK25" s="19"/>
      <c r="JGL25" s="19"/>
      <c r="JGM25" s="19"/>
      <c r="JGN25" s="19"/>
      <c r="JGO25" s="19"/>
      <c r="JGP25" s="19"/>
      <c r="JGQ25" s="19"/>
      <c r="JGR25" s="19"/>
      <c r="JGS25" s="19"/>
      <c r="JGT25" s="19"/>
      <c r="JGU25" s="19"/>
      <c r="JGV25" s="19"/>
      <c r="JGW25" s="19"/>
      <c r="JGX25" s="19"/>
      <c r="JGY25" s="19"/>
      <c r="JGZ25" s="19"/>
      <c r="JHA25" s="19"/>
      <c r="JHB25" s="19"/>
      <c r="JHC25" s="19"/>
      <c r="JHD25" s="19"/>
      <c r="JHE25" s="19"/>
      <c r="JHF25" s="19"/>
      <c r="JHG25" s="19"/>
      <c r="JHH25" s="19"/>
      <c r="JHI25" s="19"/>
      <c r="JHJ25" s="19"/>
      <c r="JHK25" s="19"/>
      <c r="JHL25" s="19"/>
      <c r="JHM25" s="19"/>
      <c r="JHN25" s="19"/>
      <c r="JHO25" s="19"/>
      <c r="JHP25" s="19"/>
      <c r="JHQ25" s="19"/>
      <c r="JHR25" s="19"/>
      <c r="JHS25" s="19"/>
      <c r="JHT25" s="19"/>
      <c r="JHU25" s="19"/>
      <c r="JHV25" s="19"/>
      <c r="JHW25" s="19"/>
      <c r="JHX25" s="19"/>
      <c r="JHY25" s="19"/>
      <c r="JHZ25" s="19"/>
      <c r="JIA25" s="19"/>
      <c r="JIB25" s="19"/>
      <c r="JIC25" s="19"/>
      <c r="JID25" s="19"/>
      <c r="JIE25" s="19"/>
      <c r="JIF25" s="19"/>
      <c r="JIG25" s="19"/>
      <c r="JIH25" s="19"/>
      <c r="JII25" s="19"/>
      <c r="JIJ25" s="19"/>
      <c r="JIK25" s="19"/>
      <c r="JIL25" s="19"/>
      <c r="JIM25" s="19"/>
      <c r="JIN25" s="19"/>
      <c r="JIO25" s="19"/>
      <c r="JIP25" s="19"/>
      <c r="JIQ25" s="19"/>
      <c r="JIR25" s="19"/>
      <c r="JIS25" s="19"/>
      <c r="JIT25" s="19"/>
      <c r="JIU25" s="19"/>
      <c r="JIV25" s="19"/>
      <c r="JIW25" s="19"/>
      <c r="JIX25" s="19"/>
      <c r="JIY25" s="19"/>
      <c r="JIZ25" s="19"/>
      <c r="JJA25" s="19"/>
      <c r="JJB25" s="19"/>
      <c r="JJC25" s="19"/>
      <c r="JJD25" s="19"/>
      <c r="JJE25" s="19"/>
      <c r="JJF25" s="19"/>
      <c r="JJG25" s="19"/>
      <c r="JJH25" s="19"/>
      <c r="JJI25" s="19"/>
      <c r="JJJ25" s="19"/>
      <c r="JJK25" s="19"/>
      <c r="JJL25" s="19"/>
      <c r="JJM25" s="19"/>
      <c r="JJN25" s="19"/>
      <c r="JJO25" s="19"/>
      <c r="JJP25" s="19"/>
      <c r="JJQ25" s="19"/>
      <c r="JJR25" s="19"/>
      <c r="JJS25" s="19"/>
      <c r="JJT25" s="19"/>
      <c r="JJU25" s="19"/>
      <c r="JJV25" s="19"/>
      <c r="JJW25" s="19"/>
      <c r="JJX25" s="19"/>
      <c r="JJY25" s="19"/>
      <c r="JJZ25" s="19"/>
      <c r="JKA25" s="19"/>
      <c r="JKB25" s="19"/>
      <c r="JKC25" s="19"/>
      <c r="JKD25" s="19"/>
      <c r="JKE25" s="19"/>
      <c r="JKF25" s="19"/>
      <c r="JKG25" s="19"/>
      <c r="JKH25" s="19"/>
      <c r="JKI25" s="19"/>
      <c r="JKJ25" s="19"/>
      <c r="JKK25" s="19"/>
      <c r="JKL25" s="19"/>
      <c r="JKM25" s="19"/>
      <c r="JKN25" s="19"/>
      <c r="JKO25" s="19"/>
      <c r="JKP25" s="19"/>
      <c r="JKQ25" s="19"/>
      <c r="JKR25" s="19"/>
      <c r="JKS25" s="19"/>
      <c r="JKT25" s="19"/>
      <c r="JKU25" s="19"/>
      <c r="JKV25" s="19"/>
      <c r="JKW25" s="19"/>
      <c r="JKX25" s="19"/>
      <c r="JKY25" s="19"/>
      <c r="JKZ25" s="19"/>
      <c r="JLA25" s="19"/>
      <c r="JLB25" s="19"/>
      <c r="JLC25" s="19"/>
      <c r="JLD25" s="19"/>
      <c r="JLE25" s="19"/>
      <c r="JLF25" s="19"/>
      <c r="JLG25" s="19"/>
      <c r="JLH25" s="19"/>
      <c r="JLI25" s="19"/>
      <c r="JLJ25" s="19"/>
      <c r="JLK25" s="19"/>
      <c r="JLL25" s="19"/>
      <c r="JLM25" s="19"/>
      <c r="JLN25" s="19"/>
      <c r="JLO25" s="19"/>
      <c r="JLP25" s="19"/>
      <c r="JLQ25" s="19"/>
      <c r="JLR25" s="19"/>
      <c r="JLS25" s="19"/>
      <c r="JLT25" s="19"/>
      <c r="JLU25" s="19"/>
      <c r="JLV25" s="19"/>
      <c r="JLW25" s="19"/>
      <c r="JLX25" s="19"/>
      <c r="JLY25" s="19"/>
      <c r="JLZ25" s="19"/>
      <c r="JMA25" s="19"/>
      <c r="JMB25" s="19"/>
      <c r="JMC25" s="19"/>
      <c r="JMD25" s="19"/>
      <c r="JME25" s="19"/>
      <c r="JMF25" s="19"/>
      <c r="JMG25" s="19"/>
      <c r="JMH25" s="19"/>
      <c r="JMI25" s="19"/>
      <c r="JMJ25" s="19"/>
      <c r="JMK25" s="19"/>
      <c r="JML25" s="19"/>
      <c r="JMM25" s="19"/>
      <c r="JMN25" s="19"/>
      <c r="JMO25" s="19"/>
      <c r="JMP25" s="19"/>
      <c r="JMQ25" s="19"/>
      <c r="JMR25" s="19"/>
      <c r="JMS25" s="19"/>
      <c r="JMT25" s="19"/>
      <c r="JMU25" s="19"/>
      <c r="JMV25" s="19"/>
      <c r="JMW25" s="19"/>
      <c r="JMX25" s="19"/>
      <c r="JMY25" s="19"/>
      <c r="JMZ25" s="19"/>
      <c r="JNA25" s="19"/>
      <c r="JNB25" s="19"/>
      <c r="JNC25" s="19"/>
      <c r="JND25" s="19"/>
      <c r="JNE25" s="19"/>
      <c r="JNF25" s="19"/>
      <c r="JNG25" s="19"/>
      <c r="JNH25" s="19"/>
      <c r="JNI25" s="19"/>
      <c r="JNJ25" s="19"/>
      <c r="JNK25" s="19"/>
      <c r="JNL25" s="19"/>
      <c r="JNM25" s="19"/>
      <c r="JNN25" s="19"/>
      <c r="JNO25" s="19"/>
      <c r="JNP25" s="19"/>
      <c r="JNQ25" s="19"/>
      <c r="JNR25" s="19"/>
      <c r="JNS25" s="19"/>
      <c r="JNT25" s="19"/>
      <c r="JNU25" s="19"/>
      <c r="JNV25" s="19"/>
      <c r="JNW25" s="19"/>
      <c r="JNX25" s="19"/>
      <c r="JNY25" s="19"/>
      <c r="JNZ25" s="19"/>
      <c r="JOA25" s="19"/>
      <c r="JOB25" s="19"/>
      <c r="JOC25" s="19"/>
      <c r="JOD25" s="19"/>
      <c r="JOE25" s="19"/>
      <c r="JOF25" s="19"/>
      <c r="JOG25" s="19"/>
      <c r="JOH25" s="19"/>
      <c r="JOI25" s="19"/>
      <c r="JOJ25" s="19"/>
      <c r="JOK25" s="19"/>
      <c r="JOL25" s="19"/>
      <c r="JOM25" s="19"/>
      <c r="JON25" s="19"/>
      <c r="JOO25" s="19"/>
      <c r="JOP25" s="19"/>
      <c r="JOQ25" s="19"/>
      <c r="JOR25" s="19"/>
      <c r="JOS25" s="19"/>
      <c r="JOT25" s="19"/>
      <c r="JOU25" s="19"/>
      <c r="JOV25" s="19"/>
      <c r="JOW25" s="19"/>
      <c r="JOX25" s="19"/>
      <c r="JOY25" s="19"/>
      <c r="JOZ25" s="19"/>
      <c r="JPA25" s="19"/>
      <c r="JPB25" s="19"/>
      <c r="JPC25" s="19"/>
      <c r="JPD25" s="19"/>
      <c r="JPE25" s="19"/>
      <c r="JPF25" s="19"/>
      <c r="JPG25" s="19"/>
      <c r="JPH25" s="19"/>
      <c r="JPI25" s="19"/>
      <c r="JPJ25" s="19"/>
      <c r="JPK25" s="19"/>
      <c r="JPL25" s="19"/>
      <c r="JPM25" s="19"/>
      <c r="JPN25" s="19"/>
      <c r="JPO25" s="19"/>
      <c r="JPP25" s="19"/>
      <c r="JPQ25" s="19"/>
      <c r="JPR25" s="19"/>
      <c r="JPS25" s="19"/>
      <c r="JPT25" s="19"/>
      <c r="JPU25" s="19"/>
      <c r="JPV25" s="19"/>
      <c r="JPW25" s="19"/>
      <c r="JPX25" s="19"/>
      <c r="JPY25" s="19"/>
      <c r="JPZ25" s="19"/>
      <c r="JQA25" s="19"/>
      <c r="JQB25" s="19"/>
      <c r="JQC25" s="19"/>
      <c r="JQD25" s="19"/>
      <c r="JQE25" s="19"/>
      <c r="JQF25" s="19"/>
      <c r="JQG25" s="19"/>
      <c r="JQH25" s="19"/>
      <c r="JQI25" s="19"/>
      <c r="JQJ25" s="19"/>
      <c r="JQK25" s="19"/>
      <c r="JQL25" s="19"/>
      <c r="JQM25" s="19"/>
      <c r="JQN25" s="19"/>
      <c r="JQO25" s="19"/>
      <c r="JQP25" s="19"/>
      <c r="JQQ25" s="19"/>
      <c r="JQR25" s="19"/>
      <c r="JQS25" s="19"/>
      <c r="JQT25" s="19"/>
      <c r="JQU25" s="19"/>
      <c r="JQV25" s="19"/>
      <c r="JQW25" s="19"/>
      <c r="JQX25" s="19"/>
      <c r="JQY25" s="19"/>
      <c r="JQZ25" s="19"/>
      <c r="JRA25" s="19"/>
      <c r="JRB25" s="19"/>
      <c r="JRC25" s="19"/>
      <c r="JRD25" s="19"/>
      <c r="JRE25" s="19"/>
      <c r="JRF25" s="19"/>
      <c r="JRG25" s="19"/>
      <c r="JRH25" s="19"/>
      <c r="JRI25" s="19"/>
      <c r="JRJ25" s="19"/>
      <c r="JRK25" s="19"/>
      <c r="JRL25" s="19"/>
      <c r="JRM25" s="19"/>
      <c r="JRN25" s="19"/>
      <c r="JRO25" s="19"/>
      <c r="JRP25" s="19"/>
      <c r="JRQ25" s="19"/>
      <c r="JRR25" s="19"/>
      <c r="JRS25" s="19"/>
      <c r="JRT25" s="19"/>
      <c r="JRU25" s="19"/>
      <c r="JRV25" s="19"/>
      <c r="JRW25" s="19"/>
      <c r="JRX25" s="19"/>
      <c r="JRY25" s="19"/>
      <c r="JRZ25" s="19"/>
      <c r="JSA25" s="19"/>
      <c r="JSB25" s="19"/>
      <c r="JSC25" s="19"/>
      <c r="JSD25" s="19"/>
      <c r="JSE25" s="19"/>
      <c r="JSF25" s="19"/>
      <c r="JSG25" s="19"/>
      <c r="JSH25" s="19"/>
      <c r="JSI25" s="19"/>
      <c r="JSJ25" s="19"/>
      <c r="JSK25" s="19"/>
      <c r="JSL25" s="19"/>
      <c r="JSM25" s="19"/>
      <c r="JSN25" s="19"/>
      <c r="JSO25" s="19"/>
      <c r="JSP25" s="19"/>
      <c r="JSQ25" s="19"/>
      <c r="JSR25" s="19"/>
      <c r="JSS25" s="19"/>
      <c r="JST25" s="19"/>
      <c r="JSU25" s="19"/>
      <c r="JSV25" s="19"/>
      <c r="JSW25" s="19"/>
      <c r="JSX25" s="19"/>
      <c r="JSY25" s="19"/>
      <c r="JSZ25" s="19"/>
      <c r="JTA25" s="19"/>
      <c r="JTB25" s="19"/>
      <c r="JTC25" s="19"/>
      <c r="JTD25" s="19"/>
      <c r="JTE25" s="19"/>
      <c r="JTF25" s="19"/>
      <c r="JTG25" s="19"/>
      <c r="JTH25" s="19"/>
      <c r="JTI25" s="19"/>
      <c r="JTJ25" s="19"/>
      <c r="JTK25" s="19"/>
      <c r="JTL25" s="19"/>
      <c r="JTM25" s="19"/>
      <c r="JTN25" s="19"/>
      <c r="JTO25" s="19"/>
      <c r="JTP25" s="19"/>
      <c r="JTQ25" s="19"/>
      <c r="JTR25" s="19"/>
      <c r="JTS25" s="19"/>
      <c r="JTT25" s="19"/>
      <c r="JTU25" s="19"/>
      <c r="JTV25" s="19"/>
      <c r="JTW25" s="19"/>
      <c r="JTX25" s="19"/>
      <c r="JTY25" s="19"/>
      <c r="JTZ25" s="19"/>
      <c r="JUA25" s="19"/>
      <c r="JUB25" s="19"/>
      <c r="JUC25" s="19"/>
      <c r="JUD25" s="19"/>
      <c r="JUE25" s="19"/>
      <c r="JUF25" s="19"/>
      <c r="JUG25" s="19"/>
      <c r="JUH25" s="19"/>
      <c r="JUI25" s="19"/>
      <c r="JUJ25" s="19"/>
      <c r="JUK25" s="19"/>
      <c r="JUL25" s="19"/>
      <c r="JUM25" s="19"/>
      <c r="JUN25" s="19"/>
      <c r="JUO25" s="19"/>
      <c r="JUP25" s="19"/>
      <c r="JUQ25" s="19"/>
      <c r="JUR25" s="19"/>
      <c r="JUS25" s="19"/>
      <c r="JUT25" s="19"/>
      <c r="JUU25" s="19"/>
      <c r="JUV25" s="19"/>
      <c r="JUW25" s="19"/>
      <c r="JUX25" s="19"/>
      <c r="JUY25" s="19"/>
      <c r="JUZ25" s="19"/>
      <c r="JVA25" s="19"/>
      <c r="JVB25" s="19"/>
      <c r="JVC25" s="19"/>
      <c r="JVD25" s="19"/>
      <c r="JVE25" s="19"/>
      <c r="JVF25" s="19"/>
      <c r="JVG25" s="19"/>
      <c r="JVH25" s="19"/>
      <c r="JVI25" s="19"/>
      <c r="JVJ25" s="19"/>
      <c r="JVK25" s="19"/>
      <c r="JVL25" s="19"/>
      <c r="JVM25" s="19"/>
      <c r="JVN25" s="19"/>
      <c r="JVO25" s="19"/>
      <c r="JVP25" s="19"/>
      <c r="JVQ25" s="19"/>
      <c r="JVR25" s="19"/>
      <c r="JVS25" s="19"/>
      <c r="JVT25" s="19"/>
      <c r="JVU25" s="19"/>
      <c r="JVV25" s="19"/>
      <c r="JVW25" s="19"/>
      <c r="JVX25" s="19"/>
      <c r="JVY25" s="19"/>
      <c r="JVZ25" s="19"/>
      <c r="JWA25" s="19"/>
      <c r="JWB25" s="19"/>
      <c r="JWC25" s="19"/>
      <c r="JWD25" s="19"/>
      <c r="JWE25" s="19"/>
      <c r="JWF25" s="19"/>
      <c r="JWG25" s="19"/>
      <c r="JWH25" s="19"/>
      <c r="JWI25" s="19"/>
      <c r="JWJ25" s="19"/>
      <c r="JWK25" s="19"/>
      <c r="JWL25" s="19"/>
      <c r="JWM25" s="19"/>
      <c r="JWN25" s="19"/>
      <c r="JWO25" s="19"/>
      <c r="JWP25" s="19"/>
      <c r="JWQ25" s="19"/>
      <c r="JWR25" s="19"/>
      <c r="JWS25" s="19"/>
      <c r="JWT25" s="19"/>
      <c r="JWU25" s="19"/>
      <c r="JWV25" s="19"/>
      <c r="JWW25" s="19"/>
      <c r="JWX25" s="19"/>
      <c r="JWY25" s="19"/>
      <c r="JWZ25" s="19"/>
      <c r="JXA25" s="19"/>
      <c r="JXB25" s="19"/>
      <c r="JXC25" s="19"/>
      <c r="JXD25" s="19"/>
      <c r="JXE25" s="19"/>
      <c r="JXF25" s="19"/>
      <c r="JXG25" s="19"/>
      <c r="JXH25" s="19"/>
      <c r="JXI25" s="19"/>
      <c r="JXJ25" s="19"/>
      <c r="JXK25" s="19"/>
      <c r="JXL25" s="19"/>
      <c r="JXM25" s="19"/>
      <c r="JXN25" s="19"/>
      <c r="JXO25" s="19"/>
      <c r="JXP25" s="19"/>
      <c r="JXQ25" s="19"/>
      <c r="JXR25" s="19"/>
      <c r="JXS25" s="19"/>
      <c r="JXT25" s="19"/>
      <c r="JXU25" s="19"/>
      <c r="JXV25" s="19"/>
      <c r="JXW25" s="19"/>
      <c r="JXX25" s="19"/>
      <c r="JXY25" s="19"/>
      <c r="JXZ25" s="19"/>
      <c r="JYA25" s="19"/>
      <c r="JYB25" s="19"/>
      <c r="JYC25" s="19"/>
      <c r="JYD25" s="19"/>
      <c r="JYE25" s="19"/>
      <c r="JYF25" s="19"/>
      <c r="JYG25" s="19"/>
      <c r="JYH25" s="19"/>
      <c r="JYI25" s="19"/>
      <c r="JYJ25" s="19"/>
      <c r="JYK25" s="19"/>
      <c r="JYL25" s="19"/>
      <c r="JYM25" s="19"/>
      <c r="JYN25" s="19"/>
      <c r="JYO25" s="19"/>
      <c r="JYP25" s="19"/>
      <c r="JYQ25" s="19"/>
      <c r="JYR25" s="19"/>
      <c r="JYS25" s="19"/>
      <c r="JYT25" s="19"/>
      <c r="JYU25" s="19"/>
      <c r="JYV25" s="19"/>
      <c r="JYW25" s="19"/>
      <c r="JYX25" s="19"/>
      <c r="JYY25" s="19"/>
      <c r="JYZ25" s="19"/>
      <c r="JZA25" s="19"/>
      <c r="JZB25" s="19"/>
      <c r="JZC25" s="19"/>
      <c r="JZD25" s="19"/>
      <c r="JZE25" s="19"/>
      <c r="JZF25" s="19"/>
      <c r="JZG25" s="19"/>
      <c r="JZH25" s="19"/>
      <c r="JZI25" s="19"/>
      <c r="JZJ25" s="19"/>
      <c r="JZK25" s="19"/>
      <c r="JZL25" s="19"/>
      <c r="JZM25" s="19"/>
      <c r="JZN25" s="19"/>
      <c r="JZO25" s="19"/>
      <c r="JZP25" s="19"/>
      <c r="JZQ25" s="19"/>
      <c r="JZR25" s="19"/>
      <c r="JZS25" s="19"/>
      <c r="JZT25" s="19"/>
      <c r="JZU25" s="19"/>
      <c r="JZV25" s="19"/>
      <c r="JZW25" s="19"/>
      <c r="JZX25" s="19"/>
      <c r="JZY25" s="19"/>
      <c r="JZZ25" s="19"/>
      <c r="KAA25" s="19"/>
      <c r="KAB25" s="19"/>
      <c r="KAC25" s="19"/>
      <c r="KAD25" s="19"/>
      <c r="KAE25" s="19"/>
      <c r="KAF25" s="19"/>
      <c r="KAG25" s="19"/>
      <c r="KAH25" s="19"/>
      <c r="KAI25" s="19"/>
      <c r="KAJ25" s="19"/>
      <c r="KAK25" s="19"/>
      <c r="KAL25" s="19"/>
      <c r="KAM25" s="19"/>
      <c r="KAN25" s="19"/>
      <c r="KAO25" s="19"/>
      <c r="KAP25" s="19"/>
      <c r="KAQ25" s="19"/>
      <c r="KAR25" s="19"/>
      <c r="KAS25" s="19"/>
      <c r="KAT25" s="19"/>
      <c r="KAU25" s="19"/>
      <c r="KAV25" s="19"/>
      <c r="KAW25" s="19"/>
      <c r="KAX25" s="19"/>
      <c r="KAY25" s="19"/>
      <c r="KAZ25" s="19"/>
      <c r="KBA25" s="19"/>
      <c r="KBB25" s="19"/>
      <c r="KBC25" s="19"/>
      <c r="KBD25" s="19"/>
      <c r="KBE25" s="19"/>
      <c r="KBF25" s="19"/>
      <c r="KBG25" s="19"/>
      <c r="KBH25" s="19"/>
      <c r="KBI25" s="19"/>
      <c r="KBJ25" s="19"/>
      <c r="KBK25" s="19"/>
      <c r="KBL25" s="19"/>
      <c r="KBM25" s="19"/>
      <c r="KBN25" s="19"/>
      <c r="KBO25" s="19"/>
      <c r="KBP25" s="19"/>
      <c r="KBQ25" s="19"/>
      <c r="KBR25" s="19"/>
      <c r="KBS25" s="19"/>
      <c r="KBT25" s="19"/>
      <c r="KBU25" s="19"/>
      <c r="KBV25" s="19"/>
      <c r="KBW25" s="19"/>
      <c r="KBX25" s="19"/>
      <c r="KBY25" s="19"/>
      <c r="KBZ25" s="19"/>
      <c r="KCA25" s="19"/>
      <c r="KCB25" s="19"/>
      <c r="KCC25" s="19"/>
      <c r="KCD25" s="19"/>
      <c r="KCE25" s="19"/>
      <c r="KCF25" s="19"/>
      <c r="KCG25" s="19"/>
      <c r="KCH25" s="19"/>
      <c r="KCI25" s="19"/>
      <c r="KCJ25" s="19"/>
      <c r="KCK25" s="19"/>
      <c r="KCL25" s="19"/>
      <c r="KCM25" s="19"/>
      <c r="KCN25" s="19"/>
      <c r="KCO25" s="19"/>
      <c r="KCP25" s="19"/>
      <c r="KCQ25" s="19"/>
      <c r="KCR25" s="19"/>
      <c r="KCS25" s="19"/>
      <c r="KCT25" s="19"/>
      <c r="KCU25" s="19"/>
      <c r="KCV25" s="19"/>
      <c r="KCW25" s="19"/>
      <c r="KCX25" s="19"/>
      <c r="KCY25" s="19"/>
      <c r="KCZ25" s="19"/>
      <c r="KDA25" s="19"/>
      <c r="KDB25" s="19"/>
      <c r="KDC25" s="19"/>
      <c r="KDD25" s="19"/>
      <c r="KDE25" s="19"/>
      <c r="KDF25" s="19"/>
      <c r="KDG25" s="19"/>
      <c r="KDH25" s="19"/>
      <c r="KDI25" s="19"/>
      <c r="KDJ25" s="19"/>
      <c r="KDK25" s="19"/>
      <c r="KDL25" s="19"/>
      <c r="KDM25" s="19"/>
      <c r="KDN25" s="19"/>
      <c r="KDO25" s="19"/>
      <c r="KDP25" s="19"/>
      <c r="KDQ25" s="19"/>
      <c r="KDR25" s="19"/>
      <c r="KDS25" s="19"/>
      <c r="KDT25" s="19"/>
      <c r="KDU25" s="19"/>
      <c r="KDV25" s="19"/>
      <c r="KDW25" s="19"/>
      <c r="KDX25" s="19"/>
      <c r="KDY25" s="19"/>
      <c r="KDZ25" s="19"/>
      <c r="KEA25" s="19"/>
      <c r="KEB25" s="19"/>
      <c r="KEC25" s="19"/>
      <c r="KED25" s="19"/>
      <c r="KEE25" s="19"/>
      <c r="KEF25" s="19"/>
      <c r="KEG25" s="19"/>
      <c r="KEH25" s="19"/>
      <c r="KEI25" s="19"/>
      <c r="KEJ25" s="19"/>
      <c r="KEK25" s="19"/>
      <c r="KEL25" s="19"/>
      <c r="KEM25" s="19"/>
      <c r="KEN25" s="19"/>
      <c r="KEO25" s="19"/>
      <c r="KEP25" s="19"/>
      <c r="KEQ25" s="19"/>
      <c r="KER25" s="19"/>
      <c r="KES25" s="19"/>
      <c r="KET25" s="19"/>
      <c r="KEU25" s="19"/>
      <c r="KEV25" s="19"/>
      <c r="KEW25" s="19"/>
      <c r="KEX25" s="19"/>
      <c r="KEY25" s="19"/>
      <c r="KEZ25" s="19"/>
      <c r="KFA25" s="19"/>
      <c r="KFB25" s="19"/>
      <c r="KFC25" s="19"/>
      <c r="KFD25" s="19"/>
      <c r="KFE25" s="19"/>
      <c r="KFF25" s="19"/>
      <c r="KFG25" s="19"/>
      <c r="KFH25" s="19"/>
      <c r="KFI25" s="19"/>
      <c r="KFJ25" s="19"/>
      <c r="KFK25" s="19"/>
      <c r="KFL25" s="19"/>
      <c r="KFM25" s="19"/>
      <c r="KFN25" s="19"/>
      <c r="KFO25" s="19"/>
      <c r="KFP25" s="19"/>
      <c r="KFQ25" s="19"/>
      <c r="KFR25" s="19"/>
      <c r="KFS25" s="19"/>
      <c r="KFT25" s="19"/>
      <c r="KFU25" s="19"/>
      <c r="KFV25" s="19"/>
      <c r="KFW25" s="19"/>
      <c r="KFX25" s="19"/>
      <c r="KFY25" s="19"/>
      <c r="KFZ25" s="19"/>
      <c r="KGA25" s="19"/>
      <c r="KGB25" s="19"/>
      <c r="KGC25" s="19"/>
      <c r="KGD25" s="19"/>
      <c r="KGE25" s="19"/>
      <c r="KGF25" s="19"/>
      <c r="KGG25" s="19"/>
      <c r="KGH25" s="19"/>
      <c r="KGI25" s="19"/>
      <c r="KGJ25" s="19"/>
      <c r="KGK25" s="19"/>
      <c r="KGL25" s="19"/>
      <c r="KGM25" s="19"/>
      <c r="KGN25" s="19"/>
      <c r="KGO25" s="19"/>
      <c r="KGP25" s="19"/>
      <c r="KGQ25" s="19"/>
      <c r="KGR25" s="19"/>
      <c r="KGS25" s="19"/>
      <c r="KGT25" s="19"/>
      <c r="KGU25" s="19"/>
      <c r="KGV25" s="19"/>
      <c r="KGW25" s="19"/>
      <c r="KGX25" s="19"/>
      <c r="KGY25" s="19"/>
      <c r="KGZ25" s="19"/>
      <c r="KHA25" s="19"/>
      <c r="KHB25" s="19"/>
      <c r="KHC25" s="19"/>
      <c r="KHD25" s="19"/>
      <c r="KHE25" s="19"/>
      <c r="KHF25" s="19"/>
      <c r="KHG25" s="19"/>
      <c r="KHH25" s="19"/>
      <c r="KHI25" s="19"/>
      <c r="KHJ25" s="19"/>
      <c r="KHK25" s="19"/>
      <c r="KHL25" s="19"/>
      <c r="KHM25" s="19"/>
      <c r="KHN25" s="19"/>
      <c r="KHO25" s="19"/>
      <c r="KHP25" s="19"/>
      <c r="KHQ25" s="19"/>
      <c r="KHR25" s="19"/>
      <c r="KHS25" s="19"/>
      <c r="KHT25" s="19"/>
      <c r="KHU25" s="19"/>
      <c r="KHV25" s="19"/>
      <c r="KHW25" s="19"/>
      <c r="KHX25" s="19"/>
      <c r="KHY25" s="19"/>
      <c r="KHZ25" s="19"/>
      <c r="KIA25" s="19"/>
      <c r="KIB25" s="19"/>
      <c r="KIC25" s="19"/>
      <c r="KID25" s="19"/>
      <c r="KIE25" s="19"/>
      <c r="KIF25" s="19"/>
      <c r="KIG25" s="19"/>
      <c r="KIH25" s="19"/>
      <c r="KII25" s="19"/>
      <c r="KIJ25" s="19"/>
      <c r="KIK25" s="19"/>
      <c r="KIL25" s="19"/>
      <c r="KIM25" s="19"/>
      <c r="KIN25" s="19"/>
      <c r="KIO25" s="19"/>
      <c r="KIP25" s="19"/>
      <c r="KIQ25" s="19"/>
      <c r="KIR25" s="19"/>
      <c r="KIS25" s="19"/>
      <c r="KIT25" s="19"/>
      <c r="KIU25" s="19"/>
      <c r="KIV25" s="19"/>
      <c r="KIW25" s="19"/>
      <c r="KIX25" s="19"/>
      <c r="KIY25" s="19"/>
      <c r="KIZ25" s="19"/>
      <c r="KJA25" s="19"/>
      <c r="KJB25" s="19"/>
      <c r="KJC25" s="19"/>
      <c r="KJD25" s="19"/>
      <c r="KJE25" s="19"/>
      <c r="KJF25" s="19"/>
      <c r="KJG25" s="19"/>
      <c r="KJH25" s="19"/>
      <c r="KJI25" s="19"/>
      <c r="KJJ25" s="19"/>
      <c r="KJK25" s="19"/>
      <c r="KJL25" s="19"/>
      <c r="KJM25" s="19"/>
      <c r="KJN25" s="19"/>
      <c r="KJO25" s="19"/>
      <c r="KJP25" s="19"/>
      <c r="KJQ25" s="19"/>
      <c r="KJR25" s="19"/>
      <c r="KJS25" s="19"/>
      <c r="KJT25" s="19"/>
      <c r="KJU25" s="19"/>
      <c r="KJV25" s="19"/>
      <c r="KJW25" s="19"/>
      <c r="KJX25" s="19"/>
      <c r="KJY25" s="19"/>
      <c r="KJZ25" s="19"/>
      <c r="KKA25" s="19"/>
      <c r="KKB25" s="19"/>
      <c r="KKC25" s="19"/>
      <c r="KKD25" s="19"/>
      <c r="KKE25" s="19"/>
      <c r="KKF25" s="19"/>
      <c r="KKG25" s="19"/>
      <c r="KKH25" s="19"/>
      <c r="KKI25" s="19"/>
      <c r="KKJ25" s="19"/>
      <c r="KKK25" s="19"/>
      <c r="KKL25" s="19"/>
      <c r="KKM25" s="19"/>
      <c r="KKN25" s="19"/>
      <c r="KKO25" s="19"/>
      <c r="KKP25" s="19"/>
      <c r="KKQ25" s="19"/>
      <c r="KKR25" s="19"/>
      <c r="KKS25" s="19"/>
      <c r="KKT25" s="19"/>
      <c r="KKU25" s="19"/>
      <c r="KKV25" s="19"/>
      <c r="KKW25" s="19"/>
      <c r="KKX25" s="19"/>
      <c r="KKY25" s="19"/>
      <c r="KKZ25" s="19"/>
      <c r="KLA25" s="19"/>
      <c r="KLB25" s="19"/>
      <c r="KLC25" s="19"/>
      <c r="KLD25" s="19"/>
      <c r="KLE25" s="19"/>
      <c r="KLF25" s="19"/>
      <c r="KLG25" s="19"/>
      <c r="KLH25" s="19"/>
      <c r="KLI25" s="19"/>
      <c r="KLJ25" s="19"/>
      <c r="KLK25" s="19"/>
      <c r="KLL25" s="19"/>
      <c r="KLM25" s="19"/>
      <c r="KLN25" s="19"/>
      <c r="KLO25" s="19"/>
      <c r="KLP25" s="19"/>
      <c r="KLQ25" s="19"/>
      <c r="KLR25" s="19"/>
      <c r="KLS25" s="19"/>
      <c r="KLT25" s="19"/>
      <c r="KLU25" s="19"/>
      <c r="KLV25" s="19"/>
      <c r="KLW25" s="19"/>
      <c r="KLX25" s="19"/>
      <c r="KLY25" s="19"/>
      <c r="KLZ25" s="19"/>
      <c r="KMA25" s="19"/>
      <c r="KMB25" s="19"/>
      <c r="KMC25" s="19"/>
      <c r="KMD25" s="19"/>
      <c r="KME25" s="19"/>
      <c r="KMF25" s="19"/>
      <c r="KMG25" s="19"/>
      <c r="KMH25" s="19"/>
      <c r="KMI25" s="19"/>
      <c r="KMJ25" s="19"/>
      <c r="KMK25" s="19"/>
      <c r="KML25" s="19"/>
      <c r="KMM25" s="19"/>
      <c r="KMN25" s="19"/>
      <c r="KMO25" s="19"/>
      <c r="KMP25" s="19"/>
      <c r="KMQ25" s="19"/>
      <c r="KMR25" s="19"/>
      <c r="KMS25" s="19"/>
      <c r="KMT25" s="19"/>
      <c r="KMU25" s="19"/>
      <c r="KMV25" s="19"/>
      <c r="KMW25" s="19"/>
      <c r="KMX25" s="19"/>
      <c r="KMY25" s="19"/>
      <c r="KMZ25" s="19"/>
      <c r="KNA25" s="19"/>
      <c r="KNB25" s="19"/>
      <c r="KNC25" s="19"/>
      <c r="KND25" s="19"/>
      <c r="KNE25" s="19"/>
      <c r="KNF25" s="19"/>
      <c r="KNG25" s="19"/>
      <c r="KNH25" s="19"/>
      <c r="KNI25" s="19"/>
      <c r="KNJ25" s="19"/>
      <c r="KNK25" s="19"/>
      <c r="KNL25" s="19"/>
      <c r="KNM25" s="19"/>
      <c r="KNN25" s="19"/>
      <c r="KNO25" s="19"/>
      <c r="KNP25" s="19"/>
      <c r="KNQ25" s="19"/>
      <c r="KNR25" s="19"/>
      <c r="KNS25" s="19"/>
      <c r="KNT25" s="19"/>
      <c r="KNU25" s="19"/>
      <c r="KNV25" s="19"/>
      <c r="KNW25" s="19"/>
      <c r="KNX25" s="19"/>
      <c r="KNY25" s="19"/>
      <c r="KNZ25" s="19"/>
      <c r="KOA25" s="19"/>
      <c r="KOB25" s="19"/>
      <c r="KOC25" s="19"/>
      <c r="KOD25" s="19"/>
      <c r="KOE25" s="19"/>
      <c r="KOF25" s="19"/>
      <c r="KOG25" s="19"/>
      <c r="KOH25" s="19"/>
      <c r="KOI25" s="19"/>
      <c r="KOJ25" s="19"/>
      <c r="KOK25" s="19"/>
      <c r="KOL25" s="19"/>
      <c r="KOM25" s="19"/>
      <c r="KON25" s="19"/>
      <c r="KOO25" s="19"/>
      <c r="KOP25" s="19"/>
      <c r="KOQ25" s="19"/>
      <c r="KOR25" s="19"/>
      <c r="KOS25" s="19"/>
      <c r="KOT25" s="19"/>
      <c r="KOU25" s="19"/>
      <c r="KOV25" s="19"/>
      <c r="KOW25" s="19"/>
      <c r="KOX25" s="19"/>
      <c r="KOY25" s="19"/>
      <c r="KOZ25" s="19"/>
      <c r="KPA25" s="19"/>
      <c r="KPB25" s="19"/>
      <c r="KPC25" s="19"/>
      <c r="KPD25" s="19"/>
      <c r="KPE25" s="19"/>
      <c r="KPF25" s="19"/>
      <c r="KPG25" s="19"/>
      <c r="KPH25" s="19"/>
      <c r="KPI25" s="19"/>
      <c r="KPJ25" s="19"/>
      <c r="KPK25" s="19"/>
      <c r="KPL25" s="19"/>
      <c r="KPM25" s="19"/>
      <c r="KPN25" s="19"/>
      <c r="KPO25" s="19"/>
      <c r="KPP25" s="19"/>
      <c r="KPQ25" s="19"/>
      <c r="KPR25" s="19"/>
      <c r="KPS25" s="19"/>
      <c r="KPT25" s="19"/>
      <c r="KPU25" s="19"/>
      <c r="KPV25" s="19"/>
      <c r="KPW25" s="19"/>
      <c r="KPX25" s="19"/>
      <c r="KPY25" s="19"/>
      <c r="KPZ25" s="19"/>
      <c r="KQA25" s="19"/>
      <c r="KQB25" s="19"/>
      <c r="KQC25" s="19"/>
      <c r="KQD25" s="19"/>
      <c r="KQE25" s="19"/>
      <c r="KQF25" s="19"/>
      <c r="KQG25" s="19"/>
      <c r="KQH25" s="19"/>
      <c r="KQI25" s="19"/>
      <c r="KQJ25" s="19"/>
      <c r="KQK25" s="19"/>
      <c r="KQL25" s="19"/>
      <c r="KQM25" s="19"/>
      <c r="KQN25" s="19"/>
      <c r="KQO25" s="19"/>
      <c r="KQP25" s="19"/>
      <c r="KQQ25" s="19"/>
      <c r="KQR25" s="19"/>
      <c r="KQS25" s="19"/>
      <c r="KQT25" s="19"/>
      <c r="KQU25" s="19"/>
      <c r="KQV25" s="19"/>
      <c r="KQW25" s="19"/>
      <c r="KQX25" s="19"/>
      <c r="KQY25" s="19"/>
      <c r="KQZ25" s="19"/>
      <c r="KRA25" s="19"/>
      <c r="KRB25" s="19"/>
      <c r="KRC25" s="19"/>
      <c r="KRD25" s="19"/>
      <c r="KRE25" s="19"/>
      <c r="KRF25" s="19"/>
      <c r="KRG25" s="19"/>
      <c r="KRH25" s="19"/>
      <c r="KRI25" s="19"/>
      <c r="KRJ25" s="19"/>
      <c r="KRK25" s="19"/>
      <c r="KRL25" s="19"/>
      <c r="KRM25" s="19"/>
      <c r="KRN25" s="19"/>
      <c r="KRO25" s="19"/>
      <c r="KRP25" s="19"/>
      <c r="KRQ25" s="19"/>
      <c r="KRR25" s="19"/>
      <c r="KRS25" s="19"/>
      <c r="KRT25" s="19"/>
      <c r="KRU25" s="19"/>
      <c r="KRV25" s="19"/>
      <c r="KRW25" s="19"/>
      <c r="KRX25" s="19"/>
      <c r="KRY25" s="19"/>
      <c r="KRZ25" s="19"/>
      <c r="KSA25" s="19"/>
      <c r="KSB25" s="19"/>
      <c r="KSC25" s="19"/>
      <c r="KSD25" s="19"/>
      <c r="KSE25" s="19"/>
      <c r="KSF25" s="19"/>
      <c r="KSG25" s="19"/>
      <c r="KSH25" s="19"/>
      <c r="KSI25" s="19"/>
      <c r="KSJ25" s="19"/>
      <c r="KSK25" s="19"/>
      <c r="KSL25" s="19"/>
      <c r="KSM25" s="19"/>
      <c r="KSN25" s="19"/>
      <c r="KSO25" s="19"/>
      <c r="KSP25" s="19"/>
      <c r="KSQ25" s="19"/>
      <c r="KSR25" s="19"/>
      <c r="KSS25" s="19"/>
      <c r="KST25" s="19"/>
      <c r="KSU25" s="19"/>
      <c r="KSV25" s="19"/>
      <c r="KSW25" s="19"/>
      <c r="KSX25" s="19"/>
      <c r="KSY25" s="19"/>
      <c r="KSZ25" s="19"/>
      <c r="KTA25" s="19"/>
      <c r="KTB25" s="19"/>
      <c r="KTC25" s="19"/>
      <c r="KTD25" s="19"/>
      <c r="KTE25" s="19"/>
      <c r="KTF25" s="19"/>
      <c r="KTG25" s="19"/>
      <c r="KTH25" s="19"/>
      <c r="KTI25" s="19"/>
      <c r="KTJ25" s="19"/>
      <c r="KTK25" s="19"/>
      <c r="KTL25" s="19"/>
      <c r="KTM25" s="19"/>
      <c r="KTN25" s="19"/>
      <c r="KTO25" s="19"/>
      <c r="KTP25" s="19"/>
      <c r="KTQ25" s="19"/>
      <c r="KTR25" s="19"/>
      <c r="KTS25" s="19"/>
      <c r="KTT25" s="19"/>
      <c r="KTU25" s="19"/>
      <c r="KTV25" s="19"/>
      <c r="KTW25" s="19"/>
      <c r="KTX25" s="19"/>
      <c r="KTY25" s="19"/>
      <c r="KTZ25" s="19"/>
      <c r="KUA25" s="19"/>
      <c r="KUB25" s="19"/>
      <c r="KUC25" s="19"/>
      <c r="KUD25" s="19"/>
      <c r="KUE25" s="19"/>
      <c r="KUF25" s="19"/>
      <c r="KUG25" s="19"/>
      <c r="KUH25" s="19"/>
      <c r="KUI25" s="19"/>
      <c r="KUJ25" s="19"/>
      <c r="KUK25" s="19"/>
      <c r="KUL25" s="19"/>
      <c r="KUM25" s="19"/>
      <c r="KUN25" s="19"/>
      <c r="KUO25" s="19"/>
      <c r="KUP25" s="19"/>
      <c r="KUQ25" s="19"/>
      <c r="KUR25" s="19"/>
      <c r="KUS25" s="19"/>
      <c r="KUT25" s="19"/>
      <c r="KUU25" s="19"/>
      <c r="KUV25" s="19"/>
      <c r="KUW25" s="19"/>
      <c r="KUX25" s="19"/>
      <c r="KUY25" s="19"/>
      <c r="KUZ25" s="19"/>
      <c r="KVA25" s="19"/>
      <c r="KVB25" s="19"/>
      <c r="KVC25" s="19"/>
      <c r="KVD25" s="19"/>
      <c r="KVE25" s="19"/>
      <c r="KVF25" s="19"/>
      <c r="KVG25" s="19"/>
      <c r="KVH25" s="19"/>
      <c r="KVI25" s="19"/>
      <c r="KVJ25" s="19"/>
      <c r="KVK25" s="19"/>
      <c r="KVL25" s="19"/>
      <c r="KVM25" s="19"/>
      <c r="KVN25" s="19"/>
      <c r="KVO25" s="19"/>
      <c r="KVP25" s="19"/>
      <c r="KVQ25" s="19"/>
      <c r="KVR25" s="19"/>
      <c r="KVS25" s="19"/>
      <c r="KVT25" s="19"/>
      <c r="KVU25" s="19"/>
      <c r="KVV25" s="19"/>
      <c r="KVW25" s="19"/>
      <c r="KVX25" s="19"/>
      <c r="KVY25" s="19"/>
      <c r="KVZ25" s="19"/>
      <c r="KWA25" s="19"/>
      <c r="KWB25" s="19"/>
      <c r="KWC25" s="19"/>
      <c r="KWD25" s="19"/>
      <c r="KWE25" s="19"/>
      <c r="KWF25" s="19"/>
      <c r="KWG25" s="19"/>
      <c r="KWH25" s="19"/>
      <c r="KWI25" s="19"/>
      <c r="KWJ25" s="19"/>
      <c r="KWK25" s="19"/>
      <c r="KWL25" s="19"/>
      <c r="KWM25" s="19"/>
      <c r="KWN25" s="19"/>
      <c r="KWO25" s="19"/>
      <c r="KWP25" s="19"/>
      <c r="KWQ25" s="19"/>
      <c r="KWR25" s="19"/>
      <c r="KWS25" s="19"/>
      <c r="KWT25" s="19"/>
      <c r="KWU25" s="19"/>
      <c r="KWV25" s="19"/>
      <c r="KWW25" s="19"/>
      <c r="KWX25" s="19"/>
      <c r="KWY25" s="19"/>
      <c r="KWZ25" s="19"/>
      <c r="KXA25" s="19"/>
      <c r="KXB25" s="19"/>
      <c r="KXC25" s="19"/>
      <c r="KXD25" s="19"/>
      <c r="KXE25" s="19"/>
      <c r="KXF25" s="19"/>
      <c r="KXG25" s="19"/>
      <c r="KXH25" s="19"/>
      <c r="KXI25" s="19"/>
      <c r="KXJ25" s="19"/>
      <c r="KXK25" s="19"/>
      <c r="KXL25" s="19"/>
      <c r="KXM25" s="19"/>
      <c r="KXN25" s="19"/>
      <c r="KXO25" s="19"/>
      <c r="KXP25" s="19"/>
      <c r="KXQ25" s="19"/>
      <c r="KXR25" s="19"/>
      <c r="KXS25" s="19"/>
      <c r="KXT25" s="19"/>
      <c r="KXU25" s="19"/>
      <c r="KXV25" s="19"/>
      <c r="KXW25" s="19"/>
      <c r="KXX25" s="19"/>
      <c r="KXY25" s="19"/>
      <c r="KXZ25" s="19"/>
      <c r="KYA25" s="19"/>
      <c r="KYB25" s="19"/>
      <c r="KYC25" s="19"/>
      <c r="KYD25" s="19"/>
      <c r="KYE25" s="19"/>
      <c r="KYF25" s="19"/>
      <c r="KYG25" s="19"/>
      <c r="KYH25" s="19"/>
      <c r="KYI25" s="19"/>
      <c r="KYJ25" s="19"/>
      <c r="KYK25" s="19"/>
      <c r="KYL25" s="19"/>
      <c r="KYM25" s="19"/>
      <c r="KYN25" s="19"/>
      <c r="KYO25" s="19"/>
      <c r="KYP25" s="19"/>
      <c r="KYQ25" s="19"/>
      <c r="KYR25" s="19"/>
      <c r="KYS25" s="19"/>
      <c r="KYT25" s="19"/>
      <c r="KYU25" s="19"/>
      <c r="KYV25" s="19"/>
      <c r="KYW25" s="19"/>
      <c r="KYX25" s="19"/>
      <c r="KYY25" s="19"/>
      <c r="KYZ25" s="19"/>
      <c r="KZA25" s="19"/>
      <c r="KZB25" s="19"/>
      <c r="KZC25" s="19"/>
      <c r="KZD25" s="19"/>
      <c r="KZE25" s="19"/>
      <c r="KZF25" s="19"/>
      <c r="KZG25" s="19"/>
      <c r="KZH25" s="19"/>
      <c r="KZI25" s="19"/>
      <c r="KZJ25" s="19"/>
      <c r="KZK25" s="19"/>
      <c r="KZL25" s="19"/>
      <c r="KZM25" s="19"/>
      <c r="KZN25" s="19"/>
      <c r="KZO25" s="19"/>
      <c r="KZP25" s="19"/>
      <c r="KZQ25" s="19"/>
      <c r="KZR25" s="19"/>
      <c r="KZS25" s="19"/>
      <c r="KZT25" s="19"/>
      <c r="KZU25" s="19"/>
      <c r="KZV25" s="19"/>
      <c r="KZW25" s="19"/>
      <c r="KZX25" s="19"/>
      <c r="KZY25" s="19"/>
      <c r="KZZ25" s="19"/>
      <c r="LAA25" s="19"/>
      <c r="LAB25" s="19"/>
      <c r="LAC25" s="19"/>
      <c r="LAD25" s="19"/>
      <c r="LAE25" s="19"/>
      <c r="LAF25" s="19"/>
      <c r="LAG25" s="19"/>
      <c r="LAH25" s="19"/>
      <c r="LAI25" s="19"/>
      <c r="LAJ25" s="19"/>
      <c r="LAK25" s="19"/>
      <c r="LAL25" s="19"/>
      <c r="LAM25" s="19"/>
      <c r="LAN25" s="19"/>
      <c r="LAO25" s="19"/>
      <c r="LAP25" s="19"/>
      <c r="LAQ25" s="19"/>
      <c r="LAR25" s="19"/>
      <c r="LAS25" s="19"/>
      <c r="LAT25" s="19"/>
      <c r="LAU25" s="19"/>
      <c r="LAV25" s="19"/>
      <c r="LAW25" s="19"/>
      <c r="LAX25" s="19"/>
      <c r="LAY25" s="19"/>
      <c r="LAZ25" s="19"/>
      <c r="LBA25" s="19"/>
      <c r="LBB25" s="19"/>
      <c r="LBC25" s="19"/>
      <c r="LBD25" s="19"/>
      <c r="LBE25" s="19"/>
      <c r="LBF25" s="19"/>
      <c r="LBG25" s="19"/>
      <c r="LBH25" s="19"/>
      <c r="LBI25" s="19"/>
      <c r="LBJ25" s="19"/>
      <c r="LBK25" s="19"/>
      <c r="LBL25" s="19"/>
      <c r="LBM25" s="19"/>
      <c r="LBN25" s="19"/>
      <c r="LBO25" s="19"/>
      <c r="LBP25" s="19"/>
      <c r="LBQ25" s="19"/>
      <c r="LBR25" s="19"/>
      <c r="LBS25" s="19"/>
      <c r="LBT25" s="19"/>
      <c r="LBU25" s="19"/>
      <c r="LBV25" s="19"/>
      <c r="LBW25" s="19"/>
      <c r="LBX25" s="19"/>
      <c r="LBY25" s="19"/>
      <c r="LBZ25" s="19"/>
      <c r="LCA25" s="19"/>
      <c r="LCB25" s="19"/>
      <c r="LCC25" s="19"/>
      <c r="LCD25" s="19"/>
      <c r="LCE25" s="19"/>
      <c r="LCF25" s="19"/>
      <c r="LCG25" s="19"/>
      <c r="LCH25" s="19"/>
      <c r="LCI25" s="19"/>
      <c r="LCJ25" s="19"/>
      <c r="LCK25" s="19"/>
      <c r="LCL25" s="19"/>
      <c r="LCM25" s="19"/>
      <c r="LCN25" s="19"/>
      <c r="LCO25" s="19"/>
      <c r="LCP25" s="19"/>
      <c r="LCQ25" s="19"/>
      <c r="LCR25" s="19"/>
      <c r="LCS25" s="19"/>
      <c r="LCT25" s="19"/>
      <c r="LCU25" s="19"/>
      <c r="LCV25" s="19"/>
      <c r="LCW25" s="19"/>
      <c r="LCX25" s="19"/>
      <c r="LCY25" s="19"/>
      <c r="LCZ25" s="19"/>
      <c r="LDA25" s="19"/>
      <c r="LDB25" s="19"/>
      <c r="LDC25" s="19"/>
      <c r="LDD25" s="19"/>
      <c r="LDE25" s="19"/>
      <c r="LDF25" s="19"/>
      <c r="LDG25" s="19"/>
      <c r="LDH25" s="19"/>
      <c r="LDI25" s="19"/>
      <c r="LDJ25" s="19"/>
      <c r="LDK25" s="19"/>
      <c r="LDL25" s="19"/>
      <c r="LDM25" s="19"/>
      <c r="LDN25" s="19"/>
      <c r="LDO25" s="19"/>
      <c r="LDP25" s="19"/>
      <c r="LDQ25" s="19"/>
      <c r="LDR25" s="19"/>
      <c r="LDS25" s="19"/>
      <c r="LDT25" s="19"/>
      <c r="LDU25" s="19"/>
      <c r="LDV25" s="19"/>
      <c r="LDW25" s="19"/>
      <c r="LDX25" s="19"/>
      <c r="LDY25" s="19"/>
      <c r="LDZ25" s="19"/>
      <c r="LEA25" s="19"/>
      <c r="LEB25" s="19"/>
      <c r="LEC25" s="19"/>
      <c r="LED25" s="19"/>
      <c r="LEE25" s="19"/>
      <c r="LEF25" s="19"/>
      <c r="LEG25" s="19"/>
      <c r="LEH25" s="19"/>
      <c r="LEI25" s="19"/>
      <c r="LEJ25" s="19"/>
      <c r="LEK25" s="19"/>
      <c r="LEL25" s="19"/>
      <c r="LEM25" s="19"/>
      <c r="LEN25" s="19"/>
      <c r="LEO25" s="19"/>
      <c r="LEP25" s="19"/>
      <c r="LEQ25" s="19"/>
      <c r="LER25" s="19"/>
      <c r="LES25" s="19"/>
      <c r="LET25" s="19"/>
      <c r="LEU25" s="19"/>
      <c r="LEV25" s="19"/>
      <c r="LEW25" s="19"/>
      <c r="LEX25" s="19"/>
      <c r="LEY25" s="19"/>
      <c r="LEZ25" s="19"/>
      <c r="LFA25" s="19"/>
      <c r="LFB25" s="19"/>
      <c r="LFC25" s="19"/>
      <c r="LFD25" s="19"/>
      <c r="LFE25" s="19"/>
      <c r="LFF25" s="19"/>
      <c r="LFG25" s="19"/>
      <c r="LFH25" s="19"/>
      <c r="LFI25" s="19"/>
      <c r="LFJ25" s="19"/>
      <c r="LFK25" s="19"/>
      <c r="LFL25" s="19"/>
      <c r="LFM25" s="19"/>
      <c r="LFN25" s="19"/>
      <c r="LFO25" s="19"/>
      <c r="LFP25" s="19"/>
      <c r="LFQ25" s="19"/>
      <c r="LFR25" s="19"/>
      <c r="LFS25" s="19"/>
      <c r="LFT25" s="19"/>
      <c r="LFU25" s="19"/>
      <c r="LFV25" s="19"/>
      <c r="LFW25" s="19"/>
      <c r="LFX25" s="19"/>
      <c r="LFY25" s="19"/>
      <c r="LFZ25" s="19"/>
      <c r="LGA25" s="19"/>
      <c r="LGB25" s="19"/>
      <c r="LGC25" s="19"/>
      <c r="LGD25" s="19"/>
      <c r="LGE25" s="19"/>
      <c r="LGF25" s="19"/>
      <c r="LGG25" s="19"/>
      <c r="LGH25" s="19"/>
      <c r="LGI25" s="19"/>
      <c r="LGJ25" s="19"/>
      <c r="LGK25" s="19"/>
      <c r="LGL25" s="19"/>
      <c r="LGM25" s="19"/>
      <c r="LGN25" s="19"/>
      <c r="LGO25" s="19"/>
      <c r="LGP25" s="19"/>
      <c r="LGQ25" s="19"/>
      <c r="LGR25" s="19"/>
      <c r="LGS25" s="19"/>
      <c r="LGT25" s="19"/>
      <c r="LGU25" s="19"/>
      <c r="LGV25" s="19"/>
      <c r="LGW25" s="19"/>
      <c r="LGX25" s="19"/>
      <c r="LGY25" s="19"/>
      <c r="LGZ25" s="19"/>
      <c r="LHA25" s="19"/>
      <c r="LHB25" s="19"/>
      <c r="LHC25" s="19"/>
      <c r="LHD25" s="19"/>
      <c r="LHE25" s="19"/>
      <c r="LHF25" s="19"/>
      <c r="LHG25" s="19"/>
      <c r="LHH25" s="19"/>
      <c r="LHI25" s="19"/>
      <c r="LHJ25" s="19"/>
      <c r="LHK25" s="19"/>
      <c r="LHL25" s="19"/>
      <c r="LHM25" s="19"/>
      <c r="LHN25" s="19"/>
      <c r="LHO25" s="19"/>
      <c r="LHP25" s="19"/>
      <c r="LHQ25" s="19"/>
      <c r="LHR25" s="19"/>
      <c r="LHS25" s="19"/>
      <c r="LHT25" s="19"/>
      <c r="LHU25" s="19"/>
      <c r="LHV25" s="19"/>
      <c r="LHW25" s="19"/>
      <c r="LHX25" s="19"/>
      <c r="LHY25" s="19"/>
      <c r="LHZ25" s="19"/>
      <c r="LIA25" s="19"/>
      <c r="LIB25" s="19"/>
      <c r="LIC25" s="19"/>
      <c r="LID25" s="19"/>
      <c r="LIE25" s="19"/>
      <c r="LIF25" s="19"/>
      <c r="LIG25" s="19"/>
      <c r="LIH25" s="19"/>
      <c r="LII25" s="19"/>
      <c r="LIJ25" s="19"/>
      <c r="LIK25" s="19"/>
      <c r="LIL25" s="19"/>
      <c r="LIM25" s="19"/>
      <c r="LIN25" s="19"/>
      <c r="LIO25" s="19"/>
      <c r="LIP25" s="19"/>
      <c r="LIQ25" s="19"/>
      <c r="LIR25" s="19"/>
      <c r="LIS25" s="19"/>
      <c r="LIT25" s="19"/>
      <c r="LIU25" s="19"/>
      <c r="LIV25" s="19"/>
      <c r="LIW25" s="19"/>
      <c r="LIX25" s="19"/>
      <c r="LIY25" s="19"/>
      <c r="LIZ25" s="19"/>
      <c r="LJA25" s="19"/>
      <c r="LJB25" s="19"/>
      <c r="LJC25" s="19"/>
      <c r="LJD25" s="19"/>
      <c r="LJE25" s="19"/>
      <c r="LJF25" s="19"/>
      <c r="LJG25" s="19"/>
      <c r="LJH25" s="19"/>
      <c r="LJI25" s="19"/>
      <c r="LJJ25" s="19"/>
      <c r="LJK25" s="19"/>
      <c r="LJL25" s="19"/>
      <c r="LJM25" s="19"/>
      <c r="LJN25" s="19"/>
      <c r="LJO25" s="19"/>
      <c r="LJP25" s="19"/>
      <c r="LJQ25" s="19"/>
      <c r="LJR25" s="19"/>
      <c r="LJS25" s="19"/>
      <c r="LJT25" s="19"/>
      <c r="LJU25" s="19"/>
      <c r="LJV25" s="19"/>
      <c r="LJW25" s="19"/>
      <c r="LJX25" s="19"/>
      <c r="LJY25" s="19"/>
      <c r="LJZ25" s="19"/>
      <c r="LKA25" s="19"/>
      <c r="LKB25" s="19"/>
      <c r="LKC25" s="19"/>
      <c r="LKD25" s="19"/>
      <c r="LKE25" s="19"/>
      <c r="LKF25" s="19"/>
      <c r="LKG25" s="19"/>
      <c r="LKH25" s="19"/>
      <c r="LKI25" s="19"/>
      <c r="LKJ25" s="19"/>
      <c r="LKK25" s="19"/>
      <c r="LKL25" s="19"/>
      <c r="LKM25" s="19"/>
      <c r="LKN25" s="19"/>
      <c r="LKO25" s="19"/>
      <c r="LKP25" s="19"/>
      <c r="LKQ25" s="19"/>
      <c r="LKR25" s="19"/>
      <c r="LKS25" s="19"/>
      <c r="LKT25" s="19"/>
      <c r="LKU25" s="19"/>
      <c r="LKV25" s="19"/>
      <c r="LKW25" s="19"/>
      <c r="LKX25" s="19"/>
      <c r="LKY25" s="19"/>
      <c r="LKZ25" s="19"/>
      <c r="LLA25" s="19"/>
      <c r="LLB25" s="19"/>
      <c r="LLC25" s="19"/>
      <c r="LLD25" s="19"/>
      <c r="LLE25" s="19"/>
      <c r="LLF25" s="19"/>
      <c r="LLG25" s="19"/>
      <c r="LLH25" s="19"/>
      <c r="LLI25" s="19"/>
      <c r="LLJ25" s="19"/>
      <c r="LLK25" s="19"/>
      <c r="LLL25" s="19"/>
      <c r="LLM25" s="19"/>
      <c r="LLN25" s="19"/>
      <c r="LLO25" s="19"/>
      <c r="LLP25" s="19"/>
      <c r="LLQ25" s="19"/>
      <c r="LLR25" s="19"/>
      <c r="LLS25" s="19"/>
      <c r="LLT25" s="19"/>
      <c r="LLU25" s="19"/>
      <c r="LLV25" s="19"/>
      <c r="LLW25" s="19"/>
      <c r="LLX25" s="19"/>
      <c r="LLY25" s="19"/>
      <c r="LLZ25" s="19"/>
      <c r="LMA25" s="19"/>
      <c r="LMB25" s="19"/>
      <c r="LMC25" s="19"/>
      <c r="LMD25" s="19"/>
      <c r="LME25" s="19"/>
      <c r="LMF25" s="19"/>
      <c r="LMG25" s="19"/>
      <c r="LMH25" s="19"/>
      <c r="LMI25" s="19"/>
      <c r="LMJ25" s="19"/>
      <c r="LMK25" s="19"/>
      <c r="LML25" s="19"/>
      <c r="LMM25" s="19"/>
      <c r="LMN25" s="19"/>
      <c r="LMO25" s="19"/>
      <c r="LMP25" s="19"/>
      <c r="LMQ25" s="19"/>
      <c r="LMR25" s="19"/>
      <c r="LMS25" s="19"/>
      <c r="LMT25" s="19"/>
      <c r="LMU25" s="19"/>
      <c r="LMV25" s="19"/>
      <c r="LMW25" s="19"/>
      <c r="LMX25" s="19"/>
      <c r="LMY25" s="19"/>
      <c r="LMZ25" s="19"/>
      <c r="LNA25" s="19"/>
      <c r="LNB25" s="19"/>
      <c r="LNC25" s="19"/>
      <c r="LND25" s="19"/>
      <c r="LNE25" s="19"/>
      <c r="LNF25" s="19"/>
      <c r="LNG25" s="19"/>
      <c r="LNH25" s="19"/>
      <c r="LNI25" s="19"/>
      <c r="LNJ25" s="19"/>
      <c r="LNK25" s="19"/>
      <c r="LNL25" s="19"/>
      <c r="LNM25" s="19"/>
      <c r="LNN25" s="19"/>
      <c r="LNO25" s="19"/>
      <c r="LNP25" s="19"/>
      <c r="LNQ25" s="19"/>
      <c r="LNR25" s="19"/>
      <c r="LNS25" s="19"/>
      <c r="LNT25" s="19"/>
      <c r="LNU25" s="19"/>
      <c r="LNV25" s="19"/>
      <c r="LNW25" s="19"/>
      <c r="LNX25" s="19"/>
      <c r="LNY25" s="19"/>
      <c r="LNZ25" s="19"/>
      <c r="LOA25" s="19"/>
      <c r="LOB25" s="19"/>
      <c r="LOC25" s="19"/>
      <c r="LOD25" s="19"/>
      <c r="LOE25" s="19"/>
      <c r="LOF25" s="19"/>
      <c r="LOG25" s="19"/>
      <c r="LOH25" s="19"/>
      <c r="LOI25" s="19"/>
      <c r="LOJ25" s="19"/>
      <c r="LOK25" s="19"/>
      <c r="LOL25" s="19"/>
      <c r="LOM25" s="19"/>
      <c r="LON25" s="19"/>
      <c r="LOO25" s="19"/>
      <c r="LOP25" s="19"/>
      <c r="LOQ25" s="19"/>
      <c r="LOR25" s="19"/>
      <c r="LOS25" s="19"/>
      <c r="LOT25" s="19"/>
      <c r="LOU25" s="19"/>
      <c r="LOV25" s="19"/>
      <c r="LOW25" s="19"/>
      <c r="LOX25" s="19"/>
      <c r="LOY25" s="19"/>
      <c r="LOZ25" s="19"/>
      <c r="LPA25" s="19"/>
      <c r="LPB25" s="19"/>
      <c r="LPC25" s="19"/>
      <c r="LPD25" s="19"/>
      <c r="LPE25" s="19"/>
      <c r="LPF25" s="19"/>
      <c r="LPG25" s="19"/>
      <c r="LPH25" s="19"/>
      <c r="LPI25" s="19"/>
      <c r="LPJ25" s="19"/>
      <c r="LPK25" s="19"/>
      <c r="LPL25" s="19"/>
      <c r="LPM25" s="19"/>
      <c r="LPN25" s="19"/>
      <c r="LPO25" s="19"/>
      <c r="LPP25" s="19"/>
      <c r="LPQ25" s="19"/>
      <c r="LPR25" s="19"/>
      <c r="LPS25" s="19"/>
      <c r="LPT25" s="19"/>
      <c r="LPU25" s="19"/>
      <c r="LPV25" s="19"/>
      <c r="LPW25" s="19"/>
      <c r="LPX25" s="19"/>
      <c r="LPY25" s="19"/>
      <c r="LPZ25" s="19"/>
      <c r="LQA25" s="19"/>
      <c r="LQB25" s="19"/>
      <c r="LQC25" s="19"/>
      <c r="LQD25" s="19"/>
      <c r="LQE25" s="19"/>
      <c r="LQF25" s="19"/>
      <c r="LQG25" s="19"/>
      <c r="LQH25" s="19"/>
      <c r="LQI25" s="19"/>
      <c r="LQJ25" s="19"/>
      <c r="LQK25" s="19"/>
      <c r="LQL25" s="19"/>
      <c r="LQM25" s="19"/>
      <c r="LQN25" s="19"/>
      <c r="LQO25" s="19"/>
      <c r="LQP25" s="19"/>
      <c r="LQQ25" s="19"/>
      <c r="LQR25" s="19"/>
      <c r="LQS25" s="19"/>
      <c r="LQT25" s="19"/>
      <c r="LQU25" s="19"/>
      <c r="LQV25" s="19"/>
      <c r="LQW25" s="19"/>
      <c r="LQX25" s="19"/>
      <c r="LQY25" s="19"/>
      <c r="LQZ25" s="19"/>
      <c r="LRA25" s="19"/>
      <c r="LRB25" s="19"/>
      <c r="LRC25" s="19"/>
      <c r="LRD25" s="19"/>
      <c r="LRE25" s="19"/>
      <c r="LRF25" s="19"/>
      <c r="LRG25" s="19"/>
      <c r="LRH25" s="19"/>
      <c r="LRI25" s="19"/>
      <c r="LRJ25" s="19"/>
      <c r="LRK25" s="19"/>
      <c r="LRL25" s="19"/>
      <c r="LRM25" s="19"/>
      <c r="LRN25" s="19"/>
      <c r="LRO25" s="19"/>
      <c r="LRP25" s="19"/>
      <c r="LRQ25" s="19"/>
      <c r="LRR25" s="19"/>
      <c r="LRS25" s="19"/>
      <c r="LRT25" s="19"/>
      <c r="LRU25" s="19"/>
      <c r="LRV25" s="19"/>
      <c r="LRW25" s="19"/>
      <c r="LRX25" s="19"/>
      <c r="LRY25" s="19"/>
      <c r="LRZ25" s="19"/>
      <c r="LSA25" s="19"/>
      <c r="LSB25" s="19"/>
      <c r="LSC25" s="19"/>
      <c r="LSD25" s="19"/>
      <c r="LSE25" s="19"/>
      <c r="LSF25" s="19"/>
      <c r="LSG25" s="19"/>
      <c r="LSH25" s="19"/>
      <c r="LSI25" s="19"/>
      <c r="LSJ25" s="19"/>
      <c r="LSK25" s="19"/>
      <c r="LSL25" s="19"/>
      <c r="LSM25" s="19"/>
      <c r="LSN25" s="19"/>
      <c r="LSO25" s="19"/>
      <c r="LSP25" s="19"/>
      <c r="LSQ25" s="19"/>
      <c r="LSR25" s="19"/>
      <c r="LSS25" s="19"/>
      <c r="LST25" s="19"/>
      <c r="LSU25" s="19"/>
      <c r="LSV25" s="19"/>
      <c r="LSW25" s="19"/>
      <c r="LSX25" s="19"/>
      <c r="LSY25" s="19"/>
      <c r="LSZ25" s="19"/>
      <c r="LTA25" s="19"/>
      <c r="LTB25" s="19"/>
      <c r="LTC25" s="19"/>
      <c r="LTD25" s="19"/>
      <c r="LTE25" s="19"/>
      <c r="LTF25" s="19"/>
      <c r="LTG25" s="19"/>
      <c r="LTH25" s="19"/>
      <c r="LTI25" s="19"/>
      <c r="LTJ25" s="19"/>
      <c r="LTK25" s="19"/>
      <c r="LTL25" s="19"/>
      <c r="LTM25" s="19"/>
      <c r="LTN25" s="19"/>
      <c r="LTO25" s="19"/>
      <c r="LTP25" s="19"/>
      <c r="LTQ25" s="19"/>
      <c r="LTR25" s="19"/>
      <c r="LTS25" s="19"/>
      <c r="LTT25" s="19"/>
      <c r="LTU25" s="19"/>
      <c r="LTV25" s="19"/>
      <c r="LTW25" s="19"/>
      <c r="LTX25" s="19"/>
      <c r="LTY25" s="19"/>
      <c r="LTZ25" s="19"/>
      <c r="LUA25" s="19"/>
      <c r="LUB25" s="19"/>
      <c r="LUC25" s="19"/>
      <c r="LUD25" s="19"/>
      <c r="LUE25" s="19"/>
      <c r="LUF25" s="19"/>
      <c r="LUG25" s="19"/>
      <c r="LUH25" s="19"/>
      <c r="LUI25" s="19"/>
      <c r="LUJ25" s="19"/>
      <c r="LUK25" s="19"/>
      <c r="LUL25" s="19"/>
      <c r="LUM25" s="19"/>
      <c r="LUN25" s="19"/>
      <c r="LUO25" s="19"/>
      <c r="LUP25" s="19"/>
      <c r="LUQ25" s="19"/>
      <c r="LUR25" s="19"/>
      <c r="LUS25" s="19"/>
      <c r="LUT25" s="19"/>
      <c r="LUU25" s="19"/>
      <c r="LUV25" s="19"/>
      <c r="LUW25" s="19"/>
      <c r="LUX25" s="19"/>
      <c r="LUY25" s="19"/>
      <c r="LUZ25" s="19"/>
      <c r="LVA25" s="19"/>
      <c r="LVB25" s="19"/>
      <c r="LVC25" s="19"/>
      <c r="LVD25" s="19"/>
      <c r="LVE25" s="19"/>
      <c r="LVF25" s="19"/>
      <c r="LVG25" s="19"/>
      <c r="LVH25" s="19"/>
      <c r="LVI25" s="19"/>
      <c r="LVJ25" s="19"/>
      <c r="LVK25" s="19"/>
      <c r="LVL25" s="19"/>
      <c r="LVM25" s="19"/>
      <c r="LVN25" s="19"/>
      <c r="LVO25" s="19"/>
      <c r="LVP25" s="19"/>
      <c r="LVQ25" s="19"/>
      <c r="LVR25" s="19"/>
      <c r="LVS25" s="19"/>
      <c r="LVT25" s="19"/>
      <c r="LVU25" s="19"/>
      <c r="LVV25" s="19"/>
      <c r="LVW25" s="19"/>
      <c r="LVX25" s="19"/>
      <c r="LVY25" s="19"/>
      <c r="LVZ25" s="19"/>
      <c r="LWA25" s="19"/>
      <c r="LWB25" s="19"/>
      <c r="LWC25" s="19"/>
      <c r="LWD25" s="19"/>
      <c r="LWE25" s="19"/>
      <c r="LWF25" s="19"/>
      <c r="LWG25" s="19"/>
      <c r="LWH25" s="19"/>
      <c r="LWI25" s="19"/>
      <c r="LWJ25" s="19"/>
      <c r="LWK25" s="19"/>
      <c r="LWL25" s="19"/>
      <c r="LWM25" s="19"/>
      <c r="LWN25" s="19"/>
      <c r="LWO25" s="19"/>
      <c r="LWP25" s="19"/>
      <c r="LWQ25" s="19"/>
      <c r="LWR25" s="19"/>
      <c r="LWS25" s="19"/>
      <c r="LWT25" s="19"/>
      <c r="LWU25" s="19"/>
      <c r="LWV25" s="19"/>
      <c r="LWW25" s="19"/>
      <c r="LWX25" s="19"/>
      <c r="LWY25" s="19"/>
      <c r="LWZ25" s="19"/>
      <c r="LXA25" s="19"/>
      <c r="LXB25" s="19"/>
      <c r="LXC25" s="19"/>
      <c r="LXD25" s="19"/>
      <c r="LXE25" s="19"/>
      <c r="LXF25" s="19"/>
      <c r="LXG25" s="19"/>
      <c r="LXH25" s="19"/>
      <c r="LXI25" s="19"/>
      <c r="LXJ25" s="19"/>
      <c r="LXK25" s="19"/>
      <c r="LXL25" s="19"/>
      <c r="LXM25" s="19"/>
      <c r="LXN25" s="19"/>
      <c r="LXO25" s="19"/>
      <c r="LXP25" s="19"/>
      <c r="LXQ25" s="19"/>
      <c r="LXR25" s="19"/>
      <c r="LXS25" s="19"/>
      <c r="LXT25" s="19"/>
      <c r="LXU25" s="19"/>
      <c r="LXV25" s="19"/>
      <c r="LXW25" s="19"/>
      <c r="LXX25" s="19"/>
      <c r="LXY25" s="19"/>
      <c r="LXZ25" s="19"/>
      <c r="LYA25" s="19"/>
      <c r="LYB25" s="19"/>
      <c r="LYC25" s="19"/>
      <c r="LYD25" s="19"/>
      <c r="LYE25" s="19"/>
      <c r="LYF25" s="19"/>
      <c r="LYG25" s="19"/>
      <c r="LYH25" s="19"/>
      <c r="LYI25" s="19"/>
      <c r="LYJ25" s="19"/>
      <c r="LYK25" s="19"/>
      <c r="LYL25" s="19"/>
      <c r="LYM25" s="19"/>
      <c r="LYN25" s="19"/>
      <c r="LYO25" s="19"/>
      <c r="LYP25" s="19"/>
      <c r="LYQ25" s="19"/>
      <c r="LYR25" s="19"/>
      <c r="LYS25" s="19"/>
      <c r="LYT25" s="19"/>
      <c r="LYU25" s="19"/>
      <c r="LYV25" s="19"/>
      <c r="LYW25" s="19"/>
      <c r="LYX25" s="19"/>
      <c r="LYY25" s="19"/>
      <c r="LYZ25" s="19"/>
      <c r="LZA25" s="19"/>
      <c r="LZB25" s="19"/>
      <c r="LZC25" s="19"/>
      <c r="LZD25" s="19"/>
      <c r="LZE25" s="19"/>
      <c r="LZF25" s="19"/>
      <c r="LZG25" s="19"/>
      <c r="LZH25" s="19"/>
      <c r="LZI25" s="19"/>
      <c r="LZJ25" s="19"/>
      <c r="LZK25" s="19"/>
      <c r="LZL25" s="19"/>
      <c r="LZM25" s="19"/>
      <c r="LZN25" s="19"/>
      <c r="LZO25" s="19"/>
      <c r="LZP25" s="19"/>
      <c r="LZQ25" s="19"/>
      <c r="LZR25" s="19"/>
      <c r="LZS25" s="19"/>
      <c r="LZT25" s="19"/>
      <c r="LZU25" s="19"/>
      <c r="LZV25" s="19"/>
      <c r="LZW25" s="19"/>
      <c r="LZX25" s="19"/>
      <c r="LZY25" s="19"/>
      <c r="LZZ25" s="19"/>
      <c r="MAA25" s="19"/>
      <c r="MAB25" s="19"/>
      <c r="MAC25" s="19"/>
      <c r="MAD25" s="19"/>
      <c r="MAE25" s="19"/>
      <c r="MAF25" s="19"/>
      <c r="MAG25" s="19"/>
      <c r="MAH25" s="19"/>
      <c r="MAI25" s="19"/>
      <c r="MAJ25" s="19"/>
      <c r="MAK25" s="19"/>
      <c r="MAL25" s="19"/>
      <c r="MAM25" s="19"/>
      <c r="MAN25" s="19"/>
      <c r="MAO25" s="19"/>
      <c r="MAP25" s="19"/>
      <c r="MAQ25" s="19"/>
      <c r="MAR25" s="19"/>
      <c r="MAS25" s="19"/>
      <c r="MAT25" s="19"/>
      <c r="MAU25" s="19"/>
      <c r="MAV25" s="19"/>
      <c r="MAW25" s="19"/>
      <c r="MAX25" s="19"/>
      <c r="MAY25" s="19"/>
      <c r="MAZ25" s="19"/>
      <c r="MBA25" s="19"/>
      <c r="MBB25" s="19"/>
      <c r="MBC25" s="19"/>
      <c r="MBD25" s="19"/>
      <c r="MBE25" s="19"/>
      <c r="MBF25" s="19"/>
      <c r="MBG25" s="19"/>
      <c r="MBH25" s="19"/>
      <c r="MBI25" s="19"/>
      <c r="MBJ25" s="19"/>
      <c r="MBK25" s="19"/>
      <c r="MBL25" s="19"/>
      <c r="MBM25" s="19"/>
      <c r="MBN25" s="19"/>
      <c r="MBO25" s="19"/>
      <c r="MBP25" s="19"/>
      <c r="MBQ25" s="19"/>
      <c r="MBR25" s="19"/>
      <c r="MBS25" s="19"/>
      <c r="MBT25" s="19"/>
      <c r="MBU25" s="19"/>
      <c r="MBV25" s="19"/>
      <c r="MBW25" s="19"/>
      <c r="MBX25" s="19"/>
      <c r="MBY25" s="19"/>
      <c r="MBZ25" s="19"/>
      <c r="MCA25" s="19"/>
      <c r="MCB25" s="19"/>
      <c r="MCC25" s="19"/>
      <c r="MCD25" s="19"/>
      <c r="MCE25" s="19"/>
      <c r="MCF25" s="19"/>
      <c r="MCG25" s="19"/>
      <c r="MCH25" s="19"/>
      <c r="MCI25" s="19"/>
      <c r="MCJ25" s="19"/>
      <c r="MCK25" s="19"/>
      <c r="MCL25" s="19"/>
      <c r="MCM25" s="19"/>
      <c r="MCN25" s="19"/>
      <c r="MCO25" s="19"/>
      <c r="MCP25" s="19"/>
      <c r="MCQ25" s="19"/>
      <c r="MCR25" s="19"/>
      <c r="MCS25" s="19"/>
      <c r="MCT25" s="19"/>
      <c r="MCU25" s="19"/>
      <c r="MCV25" s="19"/>
      <c r="MCW25" s="19"/>
      <c r="MCX25" s="19"/>
      <c r="MCY25" s="19"/>
      <c r="MCZ25" s="19"/>
      <c r="MDA25" s="19"/>
      <c r="MDB25" s="19"/>
      <c r="MDC25" s="19"/>
      <c r="MDD25" s="19"/>
      <c r="MDE25" s="19"/>
      <c r="MDF25" s="19"/>
      <c r="MDG25" s="19"/>
      <c r="MDH25" s="19"/>
      <c r="MDI25" s="19"/>
      <c r="MDJ25" s="19"/>
      <c r="MDK25" s="19"/>
      <c r="MDL25" s="19"/>
      <c r="MDM25" s="19"/>
      <c r="MDN25" s="19"/>
      <c r="MDO25" s="19"/>
      <c r="MDP25" s="19"/>
      <c r="MDQ25" s="19"/>
      <c r="MDR25" s="19"/>
      <c r="MDS25" s="19"/>
      <c r="MDT25" s="19"/>
      <c r="MDU25" s="19"/>
      <c r="MDV25" s="19"/>
      <c r="MDW25" s="19"/>
      <c r="MDX25" s="19"/>
      <c r="MDY25" s="19"/>
      <c r="MDZ25" s="19"/>
      <c r="MEA25" s="19"/>
      <c r="MEB25" s="19"/>
      <c r="MEC25" s="19"/>
      <c r="MED25" s="19"/>
      <c r="MEE25" s="19"/>
      <c r="MEF25" s="19"/>
      <c r="MEG25" s="19"/>
      <c r="MEH25" s="19"/>
      <c r="MEI25" s="19"/>
      <c r="MEJ25" s="19"/>
      <c r="MEK25" s="19"/>
      <c r="MEL25" s="19"/>
      <c r="MEM25" s="19"/>
      <c r="MEN25" s="19"/>
      <c r="MEO25" s="19"/>
      <c r="MEP25" s="19"/>
      <c r="MEQ25" s="19"/>
      <c r="MER25" s="19"/>
      <c r="MES25" s="19"/>
      <c r="MET25" s="19"/>
      <c r="MEU25" s="19"/>
      <c r="MEV25" s="19"/>
      <c r="MEW25" s="19"/>
      <c r="MEX25" s="19"/>
      <c r="MEY25" s="19"/>
      <c r="MEZ25" s="19"/>
      <c r="MFA25" s="19"/>
      <c r="MFB25" s="19"/>
      <c r="MFC25" s="19"/>
      <c r="MFD25" s="19"/>
      <c r="MFE25" s="19"/>
      <c r="MFF25" s="19"/>
      <c r="MFG25" s="19"/>
      <c r="MFH25" s="19"/>
      <c r="MFI25" s="19"/>
      <c r="MFJ25" s="19"/>
      <c r="MFK25" s="19"/>
      <c r="MFL25" s="19"/>
      <c r="MFM25" s="19"/>
      <c r="MFN25" s="19"/>
      <c r="MFO25" s="19"/>
      <c r="MFP25" s="19"/>
      <c r="MFQ25" s="19"/>
      <c r="MFR25" s="19"/>
      <c r="MFS25" s="19"/>
      <c r="MFT25" s="19"/>
      <c r="MFU25" s="19"/>
      <c r="MFV25" s="19"/>
      <c r="MFW25" s="19"/>
      <c r="MFX25" s="19"/>
      <c r="MFY25" s="19"/>
      <c r="MFZ25" s="19"/>
      <c r="MGA25" s="19"/>
      <c r="MGB25" s="19"/>
      <c r="MGC25" s="19"/>
      <c r="MGD25" s="19"/>
      <c r="MGE25" s="19"/>
      <c r="MGF25" s="19"/>
      <c r="MGG25" s="19"/>
      <c r="MGH25" s="19"/>
      <c r="MGI25" s="19"/>
      <c r="MGJ25" s="19"/>
      <c r="MGK25" s="19"/>
      <c r="MGL25" s="19"/>
      <c r="MGM25" s="19"/>
      <c r="MGN25" s="19"/>
      <c r="MGO25" s="19"/>
      <c r="MGP25" s="19"/>
      <c r="MGQ25" s="19"/>
      <c r="MGR25" s="19"/>
      <c r="MGS25" s="19"/>
      <c r="MGT25" s="19"/>
      <c r="MGU25" s="19"/>
      <c r="MGV25" s="19"/>
      <c r="MGW25" s="19"/>
      <c r="MGX25" s="19"/>
      <c r="MGY25" s="19"/>
      <c r="MGZ25" s="19"/>
      <c r="MHA25" s="19"/>
      <c r="MHB25" s="19"/>
      <c r="MHC25" s="19"/>
      <c r="MHD25" s="19"/>
      <c r="MHE25" s="19"/>
      <c r="MHF25" s="19"/>
      <c r="MHG25" s="19"/>
      <c r="MHH25" s="19"/>
      <c r="MHI25" s="19"/>
      <c r="MHJ25" s="19"/>
      <c r="MHK25" s="19"/>
      <c r="MHL25" s="19"/>
      <c r="MHM25" s="19"/>
      <c r="MHN25" s="19"/>
      <c r="MHO25" s="19"/>
      <c r="MHP25" s="19"/>
      <c r="MHQ25" s="19"/>
      <c r="MHR25" s="19"/>
      <c r="MHS25" s="19"/>
      <c r="MHT25" s="19"/>
      <c r="MHU25" s="19"/>
      <c r="MHV25" s="19"/>
      <c r="MHW25" s="19"/>
      <c r="MHX25" s="19"/>
      <c r="MHY25" s="19"/>
      <c r="MHZ25" s="19"/>
      <c r="MIA25" s="19"/>
      <c r="MIB25" s="19"/>
      <c r="MIC25" s="19"/>
      <c r="MID25" s="19"/>
      <c r="MIE25" s="19"/>
      <c r="MIF25" s="19"/>
      <c r="MIG25" s="19"/>
      <c r="MIH25" s="19"/>
      <c r="MII25" s="19"/>
      <c r="MIJ25" s="19"/>
      <c r="MIK25" s="19"/>
      <c r="MIL25" s="19"/>
      <c r="MIM25" s="19"/>
      <c r="MIN25" s="19"/>
      <c r="MIO25" s="19"/>
      <c r="MIP25" s="19"/>
      <c r="MIQ25" s="19"/>
      <c r="MIR25" s="19"/>
      <c r="MIS25" s="19"/>
      <c r="MIT25" s="19"/>
      <c r="MIU25" s="19"/>
      <c r="MIV25" s="19"/>
      <c r="MIW25" s="19"/>
      <c r="MIX25" s="19"/>
      <c r="MIY25" s="19"/>
      <c r="MIZ25" s="19"/>
      <c r="MJA25" s="19"/>
      <c r="MJB25" s="19"/>
      <c r="MJC25" s="19"/>
      <c r="MJD25" s="19"/>
      <c r="MJE25" s="19"/>
      <c r="MJF25" s="19"/>
      <c r="MJG25" s="19"/>
      <c r="MJH25" s="19"/>
      <c r="MJI25" s="19"/>
      <c r="MJJ25" s="19"/>
      <c r="MJK25" s="19"/>
      <c r="MJL25" s="19"/>
      <c r="MJM25" s="19"/>
      <c r="MJN25" s="19"/>
      <c r="MJO25" s="19"/>
      <c r="MJP25" s="19"/>
      <c r="MJQ25" s="19"/>
      <c r="MJR25" s="19"/>
      <c r="MJS25" s="19"/>
      <c r="MJT25" s="19"/>
      <c r="MJU25" s="19"/>
      <c r="MJV25" s="19"/>
      <c r="MJW25" s="19"/>
      <c r="MJX25" s="19"/>
      <c r="MJY25" s="19"/>
      <c r="MJZ25" s="19"/>
      <c r="MKA25" s="19"/>
      <c r="MKB25" s="19"/>
      <c r="MKC25" s="19"/>
      <c r="MKD25" s="19"/>
      <c r="MKE25" s="19"/>
      <c r="MKF25" s="19"/>
      <c r="MKG25" s="19"/>
      <c r="MKH25" s="19"/>
      <c r="MKI25" s="19"/>
      <c r="MKJ25" s="19"/>
      <c r="MKK25" s="19"/>
      <c r="MKL25" s="19"/>
      <c r="MKM25" s="19"/>
      <c r="MKN25" s="19"/>
      <c r="MKO25" s="19"/>
      <c r="MKP25" s="19"/>
      <c r="MKQ25" s="19"/>
      <c r="MKR25" s="19"/>
      <c r="MKS25" s="19"/>
      <c r="MKT25" s="19"/>
      <c r="MKU25" s="19"/>
      <c r="MKV25" s="19"/>
      <c r="MKW25" s="19"/>
      <c r="MKX25" s="19"/>
      <c r="MKY25" s="19"/>
      <c r="MKZ25" s="19"/>
      <c r="MLA25" s="19"/>
      <c r="MLB25" s="19"/>
      <c r="MLC25" s="19"/>
      <c r="MLD25" s="19"/>
      <c r="MLE25" s="19"/>
      <c r="MLF25" s="19"/>
      <c r="MLG25" s="19"/>
      <c r="MLH25" s="19"/>
      <c r="MLI25" s="19"/>
      <c r="MLJ25" s="19"/>
      <c r="MLK25" s="19"/>
      <c r="MLL25" s="19"/>
      <c r="MLM25" s="19"/>
      <c r="MLN25" s="19"/>
      <c r="MLO25" s="19"/>
      <c r="MLP25" s="19"/>
      <c r="MLQ25" s="19"/>
      <c r="MLR25" s="19"/>
      <c r="MLS25" s="19"/>
      <c r="MLT25" s="19"/>
      <c r="MLU25" s="19"/>
      <c r="MLV25" s="19"/>
      <c r="MLW25" s="19"/>
      <c r="MLX25" s="19"/>
      <c r="MLY25" s="19"/>
      <c r="MLZ25" s="19"/>
      <c r="MMA25" s="19"/>
      <c r="MMB25" s="19"/>
      <c r="MMC25" s="19"/>
      <c r="MMD25" s="19"/>
      <c r="MME25" s="19"/>
      <c r="MMF25" s="19"/>
      <c r="MMG25" s="19"/>
      <c r="MMH25" s="19"/>
      <c r="MMI25" s="19"/>
      <c r="MMJ25" s="19"/>
      <c r="MMK25" s="19"/>
      <c r="MML25" s="19"/>
      <c r="MMM25" s="19"/>
      <c r="MMN25" s="19"/>
      <c r="MMO25" s="19"/>
      <c r="MMP25" s="19"/>
      <c r="MMQ25" s="19"/>
      <c r="MMR25" s="19"/>
      <c r="MMS25" s="19"/>
      <c r="MMT25" s="19"/>
      <c r="MMU25" s="19"/>
      <c r="MMV25" s="19"/>
      <c r="MMW25" s="19"/>
      <c r="MMX25" s="19"/>
      <c r="MMY25" s="19"/>
      <c r="MMZ25" s="19"/>
      <c r="MNA25" s="19"/>
      <c r="MNB25" s="19"/>
      <c r="MNC25" s="19"/>
      <c r="MND25" s="19"/>
      <c r="MNE25" s="19"/>
      <c r="MNF25" s="19"/>
      <c r="MNG25" s="19"/>
      <c r="MNH25" s="19"/>
      <c r="MNI25" s="19"/>
      <c r="MNJ25" s="19"/>
      <c r="MNK25" s="19"/>
      <c r="MNL25" s="19"/>
      <c r="MNM25" s="19"/>
      <c r="MNN25" s="19"/>
      <c r="MNO25" s="19"/>
      <c r="MNP25" s="19"/>
      <c r="MNQ25" s="19"/>
      <c r="MNR25" s="19"/>
      <c r="MNS25" s="19"/>
      <c r="MNT25" s="19"/>
      <c r="MNU25" s="19"/>
      <c r="MNV25" s="19"/>
      <c r="MNW25" s="19"/>
      <c r="MNX25" s="19"/>
      <c r="MNY25" s="19"/>
      <c r="MNZ25" s="19"/>
      <c r="MOA25" s="19"/>
      <c r="MOB25" s="19"/>
      <c r="MOC25" s="19"/>
      <c r="MOD25" s="19"/>
      <c r="MOE25" s="19"/>
      <c r="MOF25" s="19"/>
      <c r="MOG25" s="19"/>
      <c r="MOH25" s="19"/>
      <c r="MOI25" s="19"/>
      <c r="MOJ25" s="19"/>
      <c r="MOK25" s="19"/>
      <c r="MOL25" s="19"/>
      <c r="MOM25" s="19"/>
      <c r="MON25" s="19"/>
      <c r="MOO25" s="19"/>
      <c r="MOP25" s="19"/>
      <c r="MOQ25" s="19"/>
      <c r="MOR25" s="19"/>
      <c r="MOS25" s="19"/>
      <c r="MOT25" s="19"/>
      <c r="MOU25" s="19"/>
      <c r="MOV25" s="19"/>
      <c r="MOW25" s="19"/>
      <c r="MOX25" s="19"/>
      <c r="MOY25" s="19"/>
      <c r="MOZ25" s="19"/>
      <c r="MPA25" s="19"/>
      <c r="MPB25" s="19"/>
      <c r="MPC25" s="19"/>
      <c r="MPD25" s="19"/>
      <c r="MPE25" s="19"/>
      <c r="MPF25" s="19"/>
      <c r="MPG25" s="19"/>
      <c r="MPH25" s="19"/>
      <c r="MPI25" s="19"/>
      <c r="MPJ25" s="19"/>
      <c r="MPK25" s="19"/>
      <c r="MPL25" s="19"/>
      <c r="MPM25" s="19"/>
      <c r="MPN25" s="19"/>
      <c r="MPO25" s="19"/>
      <c r="MPP25" s="19"/>
      <c r="MPQ25" s="19"/>
      <c r="MPR25" s="19"/>
      <c r="MPS25" s="19"/>
      <c r="MPT25" s="19"/>
      <c r="MPU25" s="19"/>
      <c r="MPV25" s="19"/>
      <c r="MPW25" s="19"/>
      <c r="MPX25" s="19"/>
      <c r="MPY25" s="19"/>
      <c r="MPZ25" s="19"/>
      <c r="MQA25" s="19"/>
      <c r="MQB25" s="19"/>
      <c r="MQC25" s="19"/>
      <c r="MQD25" s="19"/>
      <c r="MQE25" s="19"/>
      <c r="MQF25" s="19"/>
      <c r="MQG25" s="19"/>
      <c r="MQH25" s="19"/>
      <c r="MQI25" s="19"/>
      <c r="MQJ25" s="19"/>
      <c r="MQK25" s="19"/>
      <c r="MQL25" s="19"/>
      <c r="MQM25" s="19"/>
      <c r="MQN25" s="19"/>
      <c r="MQO25" s="19"/>
      <c r="MQP25" s="19"/>
      <c r="MQQ25" s="19"/>
      <c r="MQR25" s="19"/>
      <c r="MQS25" s="19"/>
      <c r="MQT25" s="19"/>
      <c r="MQU25" s="19"/>
      <c r="MQV25" s="19"/>
      <c r="MQW25" s="19"/>
      <c r="MQX25" s="19"/>
      <c r="MQY25" s="19"/>
      <c r="MQZ25" s="19"/>
      <c r="MRA25" s="19"/>
      <c r="MRB25" s="19"/>
      <c r="MRC25" s="19"/>
      <c r="MRD25" s="19"/>
      <c r="MRE25" s="19"/>
      <c r="MRF25" s="19"/>
      <c r="MRG25" s="19"/>
      <c r="MRH25" s="19"/>
      <c r="MRI25" s="19"/>
      <c r="MRJ25" s="19"/>
      <c r="MRK25" s="19"/>
      <c r="MRL25" s="19"/>
      <c r="MRM25" s="19"/>
      <c r="MRN25" s="19"/>
      <c r="MRO25" s="19"/>
      <c r="MRP25" s="19"/>
      <c r="MRQ25" s="19"/>
      <c r="MRR25" s="19"/>
      <c r="MRS25" s="19"/>
      <c r="MRT25" s="19"/>
      <c r="MRU25" s="19"/>
      <c r="MRV25" s="19"/>
      <c r="MRW25" s="19"/>
      <c r="MRX25" s="19"/>
      <c r="MRY25" s="19"/>
      <c r="MRZ25" s="19"/>
      <c r="MSA25" s="19"/>
      <c r="MSB25" s="19"/>
      <c r="MSC25" s="19"/>
      <c r="MSD25" s="19"/>
      <c r="MSE25" s="19"/>
      <c r="MSF25" s="19"/>
      <c r="MSG25" s="19"/>
      <c r="MSH25" s="19"/>
      <c r="MSI25" s="19"/>
      <c r="MSJ25" s="19"/>
      <c r="MSK25" s="19"/>
      <c r="MSL25" s="19"/>
      <c r="MSM25" s="19"/>
      <c r="MSN25" s="19"/>
      <c r="MSO25" s="19"/>
      <c r="MSP25" s="19"/>
      <c r="MSQ25" s="19"/>
      <c r="MSR25" s="19"/>
      <c r="MSS25" s="19"/>
      <c r="MST25" s="19"/>
      <c r="MSU25" s="19"/>
      <c r="MSV25" s="19"/>
      <c r="MSW25" s="19"/>
      <c r="MSX25" s="19"/>
      <c r="MSY25" s="19"/>
      <c r="MSZ25" s="19"/>
      <c r="MTA25" s="19"/>
      <c r="MTB25" s="19"/>
      <c r="MTC25" s="19"/>
      <c r="MTD25" s="19"/>
      <c r="MTE25" s="19"/>
      <c r="MTF25" s="19"/>
      <c r="MTG25" s="19"/>
      <c r="MTH25" s="19"/>
      <c r="MTI25" s="19"/>
      <c r="MTJ25" s="19"/>
      <c r="MTK25" s="19"/>
      <c r="MTL25" s="19"/>
      <c r="MTM25" s="19"/>
      <c r="MTN25" s="19"/>
      <c r="MTO25" s="19"/>
      <c r="MTP25" s="19"/>
      <c r="MTQ25" s="19"/>
      <c r="MTR25" s="19"/>
      <c r="MTS25" s="19"/>
      <c r="MTT25" s="19"/>
      <c r="MTU25" s="19"/>
      <c r="MTV25" s="19"/>
      <c r="MTW25" s="19"/>
      <c r="MTX25" s="19"/>
      <c r="MTY25" s="19"/>
      <c r="MTZ25" s="19"/>
      <c r="MUA25" s="19"/>
      <c r="MUB25" s="19"/>
      <c r="MUC25" s="19"/>
      <c r="MUD25" s="19"/>
      <c r="MUE25" s="19"/>
      <c r="MUF25" s="19"/>
      <c r="MUG25" s="19"/>
      <c r="MUH25" s="19"/>
      <c r="MUI25" s="19"/>
      <c r="MUJ25" s="19"/>
      <c r="MUK25" s="19"/>
      <c r="MUL25" s="19"/>
      <c r="MUM25" s="19"/>
      <c r="MUN25" s="19"/>
      <c r="MUO25" s="19"/>
      <c r="MUP25" s="19"/>
      <c r="MUQ25" s="19"/>
      <c r="MUR25" s="19"/>
      <c r="MUS25" s="19"/>
      <c r="MUT25" s="19"/>
      <c r="MUU25" s="19"/>
      <c r="MUV25" s="19"/>
      <c r="MUW25" s="19"/>
      <c r="MUX25" s="19"/>
      <c r="MUY25" s="19"/>
      <c r="MUZ25" s="19"/>
      <c r="MVA25" s="19"/>
      <c r="MVB25" s="19"/>
      <c r="MVC25" s="19"/>
      <c r="MVD25" s="19"/>
      <c r="MVE25" s="19"/>
      <c r="MVF25" s="19"/>
      <c r="MVG25" s="19"/>
      <c r="MVH25" s="19"/>
      <c r="MVI25" s="19"/>
      <c r="MVJ25" s="19"/>
      <c r="MVK25" s="19"/>
      <c r="MVL25" s="19"/>
      <c r="MVM25" s="19"/>
      <c r="MVN25" s="19"/>
      <c r="MVO25" s="19"/>
      <c r="MVP25" s="19"/>
      <c r="MVQ25" s="19"/>
      <c r="MVR25" s="19"/>
      <c r="MVS25" s="19"/>
      <c r="MVT25" s="19"/>
      <c r="MVU25" s="19"/>
      <c r="MVV25" s="19"/>
      <c r="MVW25" s="19"/>
      <c r="MVX25" s="19"/>
      <c r="MVY25" s="19"/>
      <c r="MVZ25" s="19"/>
      <c r="MWA25" s="19"/>
      <c r="MWB25" s="19"/>
      <c r="MWC25" s="19"/>
      <c r="MWD25" s="19"/>
      <c r="MWE25" s="19"/>
      <c r="MWF25" s="19"/>
      <c r="MWG25" s="19"/>
      <c r="MWH25" s="19"/>
      <c r="MWI25" s="19"/>
      <c r="MWJ25" s="19"/>
      <c r="MWK25" s="19"/>
      <c r="MWL25" s="19"/>
      <c r="MWM25" s="19"/>
      <c r="MWN25" s="19"/>
      <c r="MWO25" s="19"/>
      <c r="MWP25" s="19"/>
      <c r="MWQ25" s="19"/>
      <c r="MWR25" s="19"/>
      <c r="MWS25" s="19"/>
      <c r="MWT25" s="19"/>
      <c r="MWU25" s="19"/>
      <c r="MWV25" s="19"/>
      <c r="MWW25" s="19"/>
      <c r="MWX25" s="19"/>
      <c r="MWY25" s="19"/>
      <c r="MWZ25" s="19"/>
      <c r="MXA25" s="19"/>
      <c r="MXB25" s="19"/>
      <c r="MXC25" s="19"/>
      <c r="MXD25" s="19"/>
      <c r="MXE25" s="19"/>
      <c r="MXF25" s="19"/>
      <c r="MXG25" s="19"/>
      <c r="MXH25" s="19"/>
      <c r="MXI25" s="19"/>
      <c r="MXJ25" s="19"/>
      <c r="MXK25" s="19"/>
      <c r="MXL25" s="19"/>
      <c r="MXM25" s="19"/>
      <c r="MXN25" s="19"/>
      <c r="MXO25" s="19"/>
      <c r="MXP25" s="19"/>
      <c r="MXQ25" s="19"/>
      <c r="MXR25" s="19"/>
      <c r="MXS25" s="19"/>
      <c r="MXT25" s="19"/>
      <c r="MXU25" s="19"/>
      <c r="MXV25" s="19"/>
      <c r="MXW25" s="19"/>
      <c r="MXX25" s="19"/>
      <c r="MXY25" s="19"/>
      <c r="MXZ25" s="19"/>
      <c r="MYA25" s="19"/>
      <c r="MYB25" s="19"/>
      <c r="MYC25" s="19"/>
      <c r="MYD25" s="19"/>
      <c r="MYE25" s="19"/>
      <c r="MYF25" s="19"/>
      <c r="MYG25" s="19"/>
      <c r="MYH25" s="19"/>
      <c r="MYI25" s="19"/>
      <c r="MYJ25" s="19"/>
      <c r="MYK25" s="19"/>
      <c r="MYL25" s="19"/>
      <c r="MYM25" s="19"/>
      <c r="MYN25" s="19"/>
      <c r="MYO25" s="19"/>
      <c r="MYP25" s="19"/>
      <c r="MYQ25" s="19"/>
      <c r="MYR25" s="19"/>
      <c r="MYS25" s="19"/>
      <c r="MYT25" s="19"/>
      <c r="MYU25" s="19"/>
      <c r="MYV25" s="19"/>
      <c r="MYW25" s="19"/>
      <c r="MYX25" s="19"/>
      <c r="MYY25" s="19"/>
      <c r="MYZ25" s="19"/>
      <c r="MZA25" s="19"/>
      <c r="MZB25" s="19"/>
      <c r="MZC25" s="19"/>
      <c r="MZD25" s="19"/>
      <c r="MZE25" s="19"/>
      <c r="MZF25" s="19"/>
      <c r="MZG25" s="19"/>
      <c r="MZH25" s="19"/>
      <c r="MZI25" s="19"/>
      <c r="MZJ25" s="19"/>
      <c r="MZK25" s="19"/>
      <c r="MZL25" s="19"/>
      <c r="MZM25" s="19"/>
      <c r="MZN25" s="19"/>
      <c r="MZO25" s="19"/>
      <c r="MZP25" s="19"/>
      <c r="MZQ25" s="19"/>
      <c r="MZR25" s="19"/>
      <c r="MZS25" s="19"/>
      <c r="MZT25" s="19"/>
      <c r="MZU25" s="19"/>
      <c r="MZV25" s="19"/>
      <c r="MZW25" s="19"/>
      <c r="MZX25" s="19"/>
      <c r="MZY25" s="19"/>
      <c r="MZZ25" s="19"/>
      <c r="NAA25" s="19"/>
      <c r="NAB25" s="19"/>
      <c r="NAC25" s="19"/>
      <c r="NAD25" s="19"/>
      <c r="NAE25" s="19"/>
      <c r="NAF25" s="19"/>
      <c r="NAG25" s="19"/>
      <c r="NAH25" s="19"/>
      <c r="NAI25" s="19"/>
      <c r="NAJ25" s="19"/>
      <c r="NAK25" s="19"/>
      <c r="NAL25" s="19"/>
      <c r="NAM25" s="19"/>
      <c r="NAN25" s="19"/>
      <c r="NAO25" s="19"/>
      <c r="NAP25" s="19"/>
      <c r="NAQ25" s="19"/>
      <c r="NAR25" s="19"/>
      <c r="NAS25" s="19"/>
      <c r="NAT25" s="19"/>
      <c r="NAU25" s="19"/>
      <c r="NAV25" s="19"/>
      <c r="NAW25" s="19"/>
      <c r="NAX25" s="19"/>
      <c r="NAY25" s="19"/>
      <c r="NAZ25" s="19"/>
      <c r="NBA25" s="19"/>
      <c r="NBB25" s="19"/>
      <c r="NBC25" s="19"/>
      <c r="NBD25" s="19"/>
      <c r="NBE25" s="19"/>
      <c r="NBF25" s="19"/>
      <c r="NBG25" s="19"/>
      <c r="NBH25" s="19"/>
      <c r="NBI25" s="19"/>
      <c r="NBJ25" s="19"/>
      <c r="NBK25" s="19"/>
      <c r="NBL25" s="19"/>
      <c r="NBM25" s="19"/>
      <c r="NBN25" s="19"/>
      <c r="NBO25" s="19"/>
      <c r="NBP25" s="19"/>
      <c r="NBQ25" s="19"/>
      <c r="NBR25" s="19"/>
      <c r="NBS25" s="19"/>
      <c r="NBT25" s="19"/>
      <c r="NBU25" s="19"/>
      <c r="NBV25" s="19"/>
      <c r="NBW25" s="19"/>
      <c r="NBX25" s="19"/>
      <c r="NBY25" s="19"/>
      <c r="NBZ25" s="19"/>
      <c r="NCA25" s="19"/>
      <c r="NCB25" s="19"/>
      <c r="NCC25" s="19"/>
      <c r="NCD25" s="19"/>
      <c r="NCE25" s="19"/>
      <c r="NCF25" s="19"/>
      <c r="NCG25" s="19"/>
      <c r="NCH25" s="19"/>
      <c r="NCI25" s="19"/>
      <c r="NCJ25" s="19"/>
      <c r="NCK25" s="19"/>
      <c r="NCL25" s="19"/>
      <c r="NCM25" s="19"/>
      <c r="NCN25" s="19"/>
      <c r="NCO25" s="19"/>
      <c r="NCP25" s="19"/>
      <c r="NCQ25" s="19"/>
      <c r="NCR25" s="19"/>
      <c r="NCS25" s="19"/>
      <c r="NCT25" s="19"/>
      <c r="NCU25" s="19"/>
      <c r="NCV25" s="19"/>
      <c r="NCW25" s="19"/>
      <c r="NCX25" s="19"/>
      <c r="NCY25" s="19"/>
      <c r="NCZ25" s="19"/>
      <c r="NDA25" s="19"/>
      <c r="NDB25" s="19"/>
      <c r="NDC25" s="19"/>
      <c r="NDD25" s="19"/>
      <c r="NDE25" s="19"/>
      <c r="NDF25" s="19"/>
      <c r="NDG25" s="19"/>
      <c r="NDH25" s="19"/>
      <c r="NDI25" s="19"/>
      <c r="NDJ25" s="19"/>
      <c r="NDK25" s="19"/>
      <c r="NDL25" s="19"/>
      <c r="NDM25" s="19"/>
      <c r="NDN25" s="19"/>
      <c r="NDO25" s="19"/>
      <c r="NDP25" s="19"/>
      <c r="NDQ25" s="19"/>
      <c r="NDR25" s="19"/>
      <c r="NDS25" s="19"/>
      <c r="NDT25" s="19"/>
      <c r="NDU25" s="19"/>
      <c r="NDV25" s="19"/>
      <c r="NDW25" s="19"/>
      <c r="NDX25" s="19"/>
      <c r="NDY25" s="19"/>
      <c r="NDZ25" s="19"/>
      <c r="NEA25" s="19"/>
      <c r="NEB25" s="19"/>
      <c r="NEC25" s="19"/>
      <c r="NED25" s="19"/>
      <c r="NEE25" s="19"/>
      <c r="NEF25" s="19"/>
      <c r="NEG25" s="19"/>
      <c r="NEH25" s="19"/>
      <c r="NEI25" s="19"/>
      <c r="NEJ25" s="19"/>
      <c r="NEK25" s="19"/>
      <c r="NEL25" s="19"/>
      <c r="NEM25" s="19"/>
      <c r="NEN25" s="19"/>
      <c r="NEO25" s="19"/>
      <c r="NEP25" s="19"/>
      <c r="NEQ25" s="19"/>
      <c r="NER25" s="19"/>
      <c r="NES25" s="19"/>
      <c r="NET25" s="19"/>
      <c r="NEU25" s="19"/>
      <c r="NEV25" s="19"/>
      <c r="NEW25" s="19"/>
      <c r="NEX25" s="19"/>
      <c r="NEY25" s="19"/>
      <c r="NEZ25" s="19"/>
      <c r="NFA25" s="19"/>
      <c r="NFB25" s="19"/>
      <c r="NFC25" s="19"/>
      <c r="NFD25" s="19"/>
      <c r="NFE25" s="19"/>
      <c r="NFF25" s="19"/>
      <c r="NFG25" s="19"/>
      <c r="NFH25" s="19"/>
      <c r="NFI25" s="19"/>
      <c r="NFJ25" s="19"/>
      <c r="NFK25" s="19"/>
      <c r="NFL25" s="19"/>
      <c r="NFM25" s="19"/>
      <c r="NFN25" s="19"/>
      <c r="NFO25" s="19"/>
      <c r="NFP25" s="19"/>
      <c r="NFQ25" s="19"/>
      <c r="NFR25" s="19"/>
      <c r="NFS25" s="19"/>
      <c r="NFT25" s="19"/>
      <c r="NFU25" s="19"/>
      <c r="NFV25" s="19"/>
      <c r="NFW25" s="19"/>
      <c r="NFX25" s="19"/>
      <c r="NFY25" s="19"/>
      <c r="NFZ25" s="19"/>
      <c r="NGA25" s="19"/>
      <c r="NGB25" s="19"/>
      <c r="NGC25" s="19"/>
      <c r="NGD25" s="19"/>
      <c r="NGE25" s="19"/>
      <c r="NGF25" s="19"/>
      <c r="NGG25" s="19"/>
      <c r="NGH25" s="19"/>
      <c r="NGI25" s="19"/>
      <c r="NGJ25" s="19"/>
      <c r="NGK25" s="19"/>
      <c r="NGL25" s="19"/>
      <c r="NGM25" s="19"/>
      <c r="NGN25" s="19"/>
      <c r="NGO25" s="19"/>
      <c r="NGP25" s="19"/>
      <c r="NGQ25" s="19"/>
      <c r="NGR25" s="19"/>
      <c r="NGS25" s="19"/>
      <c r="NGT25" s="19"/>
      <c r="NGU25" s="19"/>
      <c r="NGV25" s="19"/>
      <c r="NGW25" s="19"/>
      <c r="NGX25" s="19"/>
      <c r="NGY25" s="19"/>
      <c r="NGZ25" s="19"/>
      <c r="NHA25" s="19"/>
      <c r="NHB25" s="19"/>
      <c r="NHC25" s="19"/>
      <c r="NHD25" s="19"/>
      <c r="NHE25" s="19"/>
      <c r="NHF25" s="19"/>
      <c r="NHG25" s="19"/>
      <c r="NHH25" s="19"/>
      <c r="NHI25" s="19"/>
      <c r="NHJ25" s="19"/>
      <c r="NHK25" s="19"/>
      <c r="NHL25" s="19"/>
      <c r="NHM25" s="19"/>
      <c r="NHN25" s="19"/>
      <c r="NHO25" s="19"/>
      <c r="NHP25" s="19"/>
      <c r="NHQ25" s="19"/>
      <c r="NHR25" s="19"/>
      <c r="NHS25" s="19"/>
      <c r="NHT25" s="19"/>
      <c r="NHU25" s="19"/>
      <c r="NHV25" s="19"/>
      <c r="NHW25" s="19"/>
      <c r="NHX25" s="19"/>
      <c r="NHY25" s="19"/>
      <c r="NHZ25" s="19"/>
      <c r="NIA25" s="19"/>
      <c r="NIB25" s="19"/>
      <c r="NIC25" s="19"/>
      <c r="NID25" s="19"/>
      <c r="NIE25" s="19"/>
      <c r="NIF25" s="19"/>
      <c r="NIG25" s="19"/>
      <c r="NIH25" s="19"/>
      <c r="NII25" s="19"/>
      <c r="NIJ25" s="19"/>
      <c r="NIK25" s="19"/>
      <c r="NIL25" s="19"/>
      <c r="NIM25" s="19"/>
      <c r="NIN25" s="19"/>
      <c r="NIO25" s="19"/>
      <c r="NIP25" s="19"/>
      <c r="NIQ25" s="19"/>
      <c r="NIR25" s="19"/>
      <c r="NIS25" s="19"/>
      <c r="NIT25" s="19"/>
      <c r="NIU25" s="19"/>
      <c r="NIV25" s="19"/>
      <c r="NIW25" s="19"/>
      <c r="NIX25" s="19"/>
      <c r="NIY25" s="19"/>
      <c r="NIZ25" s="19"/>
      <c r="NJA25" s="19"/>
      <c r="NJB25" s="19"/>
      <c r="NJC25" s="19"/>
      <c r="NJD25" s="19"/>
      <c r="NJE25" s="19"/>
      <c r="NJF25" s="19"/>
      <c r="NJG25" s="19"/>
      <c r="NJH25" s="19"/>
      <c r="NJI25" s="19"/>
      <c r="NJJ25" s="19"/>
      <c r="NJK25" s="19"/>
      <c r="NJL25" s="19"/>
      <c r="NJM25" s="19"/>
      <c r="NJN25" s="19"/>
      <c r="NJO25" s="19"/>
      <c r="NJP25" s="19"/>
      <c r="NJQ25" s="19"/>
      <c r="NJR25" s="19"/>
      <c r="NJS25" s="19"/>
      <c r="NJT25" s="19"/>
      <c r="NJU25" s="19"/>
      <c r="NJV25" s="19"/>
      <c r="NJW25" s="19"/>
      <c r="NJX25" s="19"/>
      <c r="NJY25" s="19"/>
      <c r="NJZ25" s="19"/>
      <c r="NKA25" s="19"/>
      <c r="NKB25" s="19"/>
      <c r="NKC25" s="19"/>
      <c r="NKD25" s="19"/>
      <c r="NKE25" s="19"/>
      <c r="NKF25" s="19"/>
      <c r="NKG25" s="19"/>
      <c r="NKH25" s="19"/>
      <c r="NKI25" s="19"/>
      <c r="NKJ25" s="19"/>
      <c r="NKK25" s="19"/>
      <c r="NKL25" s="19"/>
      <c r="NKM25" s="19"/>
      <c r="NKN25" s="19"/>
      <c r="NKO25" s="19"/>
      <c r="NKP25" s="19"/>
      <c r="NKQ25" s="19"/>
      <c r="NKR25" s="19"/>
      <c r="NKS25" s="19"/>
      <c r="NKT25" s="19"/>
      <c r="NKU25" s="19"/>
      <c r="NKV25" s="19"/>
      <c r="NKW25" s="19"/>
      <c r="NKX25" s="19"/>
      <c r="NKY25" s="19"/>
      <c r="NKZ25" s="19"/>
      <c r="NLA25" s="19"/>
      <c r="NLB25" s="19"/>
      <c r="NLC25" s="19"/>
      <c r="NLD25" s="19"/>
      <c r="NLE25" s="19"/>
      <c r="NLF25" s="19"/>
      <c r="NLG25" s="19"/>
      <c r="NLH25" s="19"/>
      <c r="NLI25" s="19"/>
      <c r="NLJ25" s="19"/>
      <c r="NLK25" s="19"/>
      <c r="NLL25" s="19"/>
      <c r="NLM25" s="19"/>
      <c r="NLN25" s="19"/>
      <c r="NLO25" s="19"/>
      <c r="NLP25" s="19"/>
      <c r="NLQ25" s="19"/>
      <c r="NLR25" s="19"/>
      <c r="NLS25" s="19"/>
      <c r="NLT25" s="19"/>
      <c r="NLU25" s="19"/>
      <c r="NLV25" s="19"/>
      <c r="NLW25" s="19"/>
      <c r="NLX25" s="19"/>
      <c r="NLY25" s="19"/>
      <c r="NLZ25" s="19"/>
      <c r="NMA25" s="19"/>
      <c r="NMB25" s="19"/>
      <c r="NMC25" s="19"/>
      <c r="NMD25" s="19"/>
      <c r="NME25" s="19"/>
      <c r="NMF25" s="19"/>
      <c r="NMG25" s="19"/>
      <c r="NMH25" s="19"/>
      <c r="NMI25" s="19"/>
      <c r="NMJ25" s="19"/>
      <c r="NMK25" s="19"/>
      <c r="NML25" s="19"/>
      <c r="NMM25" s="19"/>
      <c r="NMN25" s="19"/>
      <c r="NMO25" s="19"/>
      <c r="NMP25" s="19"/>
      <c r="NMQ25" s="19"/>
      <c r="NMR25" s="19"/>
      <c r="NMS25" s="19"/>
      <c r="NMT25" s="19"/>
      <c r="NMU25" s="19"/>
      <c r="NMV25" s="19"/>
      <c r="NMW25" s="19"/>
      <c r="NMX25" s="19"/>
      <c r="NMY25" s="19"/>
      <c r="NMZ25" s="19"/>
      <c r="NNA25" s="19"/>
      <c r="NNB25" s="19"/>
      <c r="NNC25" s="19"/>
      <c r="NND25" s="19"/>
      <c r="NNE25" s="19"/>
      <c r="NNF25" s="19"/>
      <c r="NNG25" s="19"/>
      <c r="NNH25" s="19"/>
      <c r="NNI25" s="19"/>
      <c r="NNJ25" s="19"/>
      <c r="NNK25" s="19"/>
      <c r="NNL25" s="19"/>
      <c r="NNM25" s="19"/>
      <c r="NNN25" s="19"/>
      <c r="NNO25" s="19"/>
      <c r="NNP25" s="19"/>
      <c r="NNQ25" s="19"/>
      <c r="NNR25" s="19"/>
      <c r="NNS25" s="19"/>
      <c r="NNT25" s="19"/>
      <c r="NNU25" s="19"/>
      <c r="NNV25" s="19"/>
      <c r="NNW25" s="19"/>
      <c r="NNX25" s="19"/>
      <c r="NNY25" s="19"/>
      <c r="NNZ25" s="19"/>
      <c r="NOA25" s="19"/>
      <c r="NOB25" s="19"/>
      <c r="NOC25" s="19"/>
      <c r="NOD25" s="19"/>
      <c r="NOE25" s="19"/>
      <c r="NOF25" s="19"/>
      <c r="NOG25" s="19"/>
      <c r="NOH25" s="19"/>
      <c r="NOI25" s="19"/>
      <c r="NOJ25" s="19"/>
      <c r="NOK25" s="19"/>
      <c r="NOL25" s="19"/>
      <c r="NOM25" s="19"/>
      <c r="NON25" s="19"/>
      <c r="NOO25" s="19"/>
      <c r="NOP25" s="19"/>
      <c r="NOQ25" s="19"/>
      <c r="NOR25" s="19"/>
      <c r="NOS25" s="19"/>
      <c r="NOT25" s="19"/>
      <c r="NOU25" s="19"/>
      <c r="NOV25" s="19"/>
      <c r="NOW25" s="19"/>
      <c r="NOX25" s="19"/>
      <c r="NOY25" s="19"/>
      <c r="NOZ25" s="19"/>
      <c r="NPA25" s="19"/>
      <c r="NPB25" s="19"/>
      <c r="NPC25" s="19"/>
      <c r="NPD25" s="19"/>
      <c r="NPE25" s="19"/>
      <c r="NPF25" s="19"/>
      <c r="NPG25" s="19"/>
      <c r="NPH25" s="19"/>
      <c r="NPI25" s="19"/>
      <c r="NPJ25" s="19"/>
      <c r="NPK25" s="19"/>
      <c r="NPL25" s="19"/>
      <c r="NPM25" s="19"/>
      <c r="NPN25" s="19"/>
      <c r="NPO25" s="19"/>
      <c r="NPP25" s="19"/>
      <c r="NPQ25" s="19"/>
      <c r="NPR25" s="19"/>
      <c r="NPS25" s="19"/>
      <c r="NPT25" s="19"/>
      <c r="NPU25" s="19"/>
      <c r="NPV25" s="19"/>
      <c r="NPW25" s="19"/>
      <c r="NPX25" s="19"/>
      <c r="NPY25" s="19"/>
      <c r="NPZ25" s="19"/>
      <c r="NQA25" s="19"/>
      <c r="NQB25" s="19"/>
      <c r="NQC25" s="19"/>
      <c r="NQD25" s="19"/>
      <c r="NQE25" s="19"/>
      <c r="NQF25" s="19"/>
      <c r="NQG25" s="19"/>
      <c r="NQH25" s="19"/>
      <c r="NQI25" s="19"/>
      <c r="NQJ25" s="19"/>
      <c r="NQK25" s="19"/>
      <c r="NQL25" s="19"/>
      <c r="NQM25" s="19"/>
      <c r="NQN25" s="19"/>
      <c r="NQO25" s="19"/>
      <c r="NQP25" s="19"/>
      <c r="NQQ25" s="19"/>
      <c r="NQR25" s="19"/>
      <c r="NQS25" s="19"/>
      <c r="NQT25" s="19"/>
      <c r="NQU25" s="19"/>
      <c r="NQV25" s="19"/>
      <c r="NQW25" s="19"/>
      <c r="NQX25" s="19"/>
      <c r="NQY25" s="19"/>
      <c r="NQZ25" s="19"/>
      <c r="NRA25" s="19"/>
      <c r="NRB25" s="19"/>
      <c r="NRC25" s="19"/>
      <c r="NRD25" s="19"/>
      <c r="NRE25" s="19"/>
      <c r="NRF25" s="19"/>
      <c r="NRG25" s="19"/>
      <c r="NRH25" s="19"/>
      <c r="NRI25" s="19"/>
      <c r="NRJ25" s="19"/>
      <c r="NRK25" s="19"/>
      <c r="NRL25" s="19"/>
      <c r="NRM25" s="19"/>
      <c r="NRN25" s="19"/>
      <c r="NRO25" s="19"/>
      <c r="NRP25" s="19"/>
      <c r="NRQ25" s="19"/>
      <c r="NRR25" s="19"/>
      <c r="NRS25" s="19"/>
      <c r="NRT25" s="19"/>
      <c r="NRU25" s="19"/>
      <c r="NRV25" s="19"/>
      <c r="NRW25" s="19"/>
      <c r="NRX25" s="19"/>
      <c r="NRY25" s="19"/>
      <c r="NRZ25" s="19"/>
      <c r="NSA25" s="19"/>
      <c r="NSB25" s="19"/>
      <c r="NSC25" s="19"/>
      <c r="NSD25" s="19"/>
      <c r="NSE25" s="19"/>
      <c r="NSF25" s="19"/>
      <c r="NSG25" s="19"/>
      <c r="NSH25" s="19"/>
      <c r="NSI25" s="19"/>
      <c r="NSJ25" s="19"/>
      <c r="NSK25" s="19"/>
      <c r="NSL25" s="19"/>
      <c r="NSM25" s="19"/>
      <c r="NSN25" s="19"/>
      <c r="NSO25" s="19"/>
      <c r="NSP25" s="19"/>
      <c r="NSQ25" s="19"/>
      <c r="NSR25" s="19"/>
      <c r="NSS25" s="19"/>
      <c r="NST25" s="19"/>
      <c r="NSU25" s="19"/>
      <c r="NSV25" s="19"/>
      <c r="NSW25" s="19"/>
      <c r="NSX25" s="19"/>
      <c r="NSY25" s="19"/>
      <c r="NSZ25" s="19"/>
      <c r="NTA25" s="19"/>
      <c r="NTB25" s="19"/>
      <c r="NTC25" s="19"/>
      <c r="NTD25" s="19"/>
      <c r="NTE25" s="19"/>
      <c r="NTF25" s="19"/>
      <c r="NTG25" s="19"/>
      <c r="NTH25" s="19"/>
      <c r="NTI25" s="19"/>
      <c r="NTJ25" s="19"/>
      <c r="NTK25" s="19"/>
      <c r="NTL25" s="19"/>
      <c r="NTM25" s="19"/>
      <c r="NTN25" s="19"/>
      <c r="NTO25" s="19"/>
      <c r="NTP25" s="19"/>
      <c r="NTQ25" s="19"/>
      <c r="NTR25" s="19"/>
      <c r="NTS25" s="19"/>
      <c r="NTT25" s="19"/>
      <c r="NTU25" s="19"/>
      <c r="NTV25" s="19"/>
      <c r="NTW25" s="19"/>
      <c r="NTX25" s="19"/>
      <c r="NTY25" s="19"/>
      <c r="NTZ25" s="19"/>
      <c r="NUA25" s="19"/>
      <c r="NUB25" s="19"/>
      <c r="NUC25" s="19"/>
      <c r="NUD25" s="19"/>
      <c r="NUE25" s="19"/>
      <c r="NUF25" s="19"/>
      <c r="NUG25" s="19"/>
      <c r="NUH25" s="19"/>
      <c r="NUI25" s="19"/>
      <c r="NUJ25" s="19"/>
      <c r="NUK25" s="19"/>
      <c r="NUL25" s="19"/>
      <c r="NUM25" s="19"/>
      <c r="NUN25" s="19"/>
      <c r="NUO25" s="19"/>
      <c r="NUP25" s="19"/>
      <c r="NUQ25" s="19"/>
      <c r="NUR25" s="19"/>
      <c r="NUS25" s="19"/>
      <c r="NUT25" s="19"/>
      <c r="NUU25" s="19"/>
      <c r="NUV25" s="19"/>
      <c r="NUW25" s="19"/>
      <c r="NUX25" s="19"/>
      <c r="NUY25" s="19"/>
      <c r="NUZ25" s="19"/>
      <c r="NVA25" s="19"/>
      <c r="NVB25" s="19"/>
      <c r="NVC25" s="19"/>
      <c r="NVD25" s="19"/>
      <c r="NVE25" s="19"/>
      <c r="NVF25" s="19"/>
      <c r="NVG25" s="19"/>
      <c r="NVH25" s="19"/>
      <c r="NVI25" s="19"/>
      <c r="NVJ25" s="19"/>
      <c r="NVK25" s="19"/>
      <c r="NVL25" s="19"/>
      <c r="NVM25" s="19"/>
      <c r="NVN25" s="19"/>
      <c r="NVO25" s="19"/>
      <c r="NVP25" s="19"/>
      <c r="NVQ25" s="19"/>
      <c r="NVR25" s="19"/>
      <c r="NVS25" s="19"/>
      <c r="NVT25" s="19"/>
      <c r="NVU25" s="19"/>
      <c r="NVV25" s="19"/>
      <c r="NVW25" s="19"/>
      <c r="NVX25" s="19"/>
      <c r="NVY25" s="19"/>
      <c r="NVZ25" s="19"/>
      <c r="NWA25" s="19"/>
      <c r="NWB25" s="19"/>
      <c r="NWC25" s="19"/>
      <c r="NWD25" s="19"/>
      <c r="NWE25" s="19"/>
      <c r="NWF25" s="19"/>
      <c r="NWG25" s="19"/>
      <c r="NWH25" s="19"/>
      <c r="NWI25" s="19"/>
      <c r="NWJ25" s="19"/>
      <c r="NWK25" s="19"/>
      <c r="NWL25" s="19"/>
      <c r="NWM25" s="19"/>
      <c r="NWN25" s="19"/>
      <c r="NWO25" s="19"/>
      <c r="NWP25" s="19"/>
      <c r="NWQ25" s="19"/>
      <c r="NWR25" s="19"/>
      <c r="NWS25" s="19"/>
      <c r="NWT25" s="19"/>
      <c r="NWU25" s="19"/>
      <c r="NWV25" s="19"/>
      <c r="NWW25" s="19"/>
      <c r="NWX25" s="19"/>
      <c r="NWY25" s="19"/>
      <c r="NWZ25" s="19"/>
      <c r="NXA25" s="19"/>
      <c r="NXB25" s="19"/>
      <c r="NXC25" s="19"/>
      <c r="NXD25" s="19"/>
      <c r="NXE25" s="19"/>
      <c r="NXF25" s="19"/>
      <c r="NXG25" s="19"/>
      <c r="NXH25" s="19"/>
      <c r="NXI25" s="19"/>
      <c r="NXJ25" s="19"/>
      <c r="NXK25" s="19"/>
      <c r="NXL25" s="19"/>
      <c r="NXM25" s="19"/>
      <c r="NXN25" s="19"/>
      <c r="NXO25" s="19"/>
      <c r="NXP25" s="19"/>
      <c r="NXQ25" s="19"/>
      <c r="NXR25" s="19"/>
      <c r="NXS25" s="19"/>
      <c r="NXT25" s="19"/>
      <c r="NXU25" s="19"/>
      <c r="NXV25" s="19"/>
      <c r="NXW25" s="19"/>
      <c r="NXX25" s="19"/>
      <c r="NXY25" s="19"/>
      <c r="NXZ25" s="19"/>
      <c r="NYA25" s="19"/>
      <c r="NYB25" s="19"/>
      <c r="NYC25" s="19"/>
      <c r="NYD25" s="19"/>
      <c r="NYE25" s="19"/>
      <c r="NYF25" s="19"/>
      <c r="NYG25" s="19"/>
      <c r="NYH25" s="19"/>
      <c r="NYI25" s="19"/>
      <c r="NYJ25" s="19"/>
      <c r="NYK25" s="19"/>
      <c r="NYL25" s="19"/>
      <c r="NYM25" s="19"/>
      <c r="NYN25" s="19"/>
      <c r="NYO25" s="19"/>
      <c r="NYP25" s="19"/>
      <c r="NYQ25" s="19"/>
      <c r="NYR25" s="19"/>
      <c r="NYS25" s="19"/>
      <c r="NYT25" s="19"/>
      <c r="NYU25" s="19"/>
      <c r="NYV25" s="19"/>
      <c r="NYW25" s="19"/>
      <c r="NYX25" s="19"/>
      <c r="NYY25" s="19"/>
      <c r="NYZ25" s="19"/>
      <c r="NZA25" s="19"/>
      <c r="NZB25" s="19"/>
      <c r="NZC25" s="19"/>
      <c r="NZD25" s="19"/>
      <c r="NZE25" s="19"/>
      <c r="NZF25" s="19"/>
      <c r="NZG25" s="19"/>
      <c r="NZH25" s="19"/>
      <c r="NZI25" s="19"/>
      <c r="NZJ25" s="19"/>
      <c r="NZK25" s="19"/>
      <c r="NZL25" s="19"/>
      <c r="NZM25" s="19"/>
      <c r="NZN25" s="19"/>
      <c r="NZO25" s="19"/>
      <c r="NZP25" s="19"/>
      <c r="NZQ25" s="19"/>
      <c r="NZR25" s="19"/>
      <c r="NZS25" s="19"/>
      <c r="NZT25" s="19"/>
      <c r="NZU25" s="19"/>
      <c r="NZV25" s="19"/>
      <c r="NZW25" s="19"/>
      <c r="NZX25" s="19"/>
      <c r="NZY25" s="19"/>
      <c r="NZZ25" s="19"/>
      <c r="OAA25" s="19"/>
      <c r="OAB25" s="19"/>
      <c r="OAC25" s="19"/>
      <c r="OAD25" s="19"/>
      <c r="OAE25" s="19"/>
      <c r="OAF25" s="19"/>
      <c r="OAG25" s="19"/>
      <c r="OAH25" s="19"/>
      <c r="OAI25" s="19"/>
      <c r="OAJ25" s="19"/>
      <c r="OAK25" s="19"/>
      <c r="OAL25" s="19"/>
      <c r="OAM25" s="19"/>
      <c r="OAN25" s="19"/>
      <c r="OAO25" s="19"/>
      <c r="OAP25" s="19"/>
      <c r="OAQ25" s="19"/>
      <c r="OAR25" s="19"/>
      <c r="OAS25" s="19"/>
      <c r="OAT25" s="19"/>
      <c r="OAU25" s="19"/>
      <c r="OAV25" s="19"/>
      <c r="OAW25" s="19"/>
      <c r="OAX25" s="19"/>
      <c r="OAY25" s="19"/>
      <c r="OAZ25" s="19"/>
      <c r="OBA25" s="19"/>
      <c r="OBB25" s="19"/>
      <c r="OBC25" s="19"/>
      <c r="OBD25" s="19"/>
      <c r="OBE25" s="19"/>
      <c r="OBF25" s="19"/>
      <c r="OBG25" s="19"/>
      <c r="OBH25" s="19"/>
      <c r="OBI25" s="19"/>
      <c r="OBJ25" s="19"/>
      <c r="OBK25" s="19"/>
      <c r="OBL25" s="19"/>
      <c r="OBM25" s="19"/>
      <c r="OBN25" s="19"/>
      <c r="OBO25" s="19"/>
      <c r="OBP25" s="19"/>
      <c r="OBQ25" s="19"/>
      <c r="OBR25" s="19"/>
      <c r="OBS25" s="19"/>
      <c r="OBT25" s="19"/>
      <c r="OBU25" s="19"/>
      <c r="OBV25" s="19"/>
      <c r="OBW25" s="19"/>
      <c r="OBX25" s="19"/>
      <c r="OBY25" s="19"/>
      <c r="OBZ25" s="19"/>
      <c r="OCA25" s="19"/>
      <c r="OCB25" s="19"/>
      <c r="OCC25" s="19"/>
      <c r="OCD25" s="19"/>
      <c r="OCE25" s="19"/>
      <c r="OCF25" s="19"/>
      <c r="OCG25" s="19"/>
      <c r="OCH25" s="19"/>
      <c r="OCI25" s="19"/>
      <c r="OCJ25" s="19"/>
      <c r="OCK25" s="19"/>
      <c r="OCL25" s="19"/>
      <c r="OCM25" s="19"/>
      <c r="OCN25" s="19"/>
      <c r="OCO25" s="19"/>
      <c r="OCP25" s="19"/>
      <c r="OCQ25" s="19"/>
      <c r="OCR25" s="19"/>
      <c r="OCS25" s="19"/>
      <c r="OCT25" s="19"/>
      <c r="OCU25" s="19"/>
      <c r="OCV25" s="19"/>
      <c r="OCW25" s="19"/>
      <c r="OCX25" s="19"/>
      <c r="OCY25" s="19"/>
      <c r="OCZ25" s="19"/>
      <c r="ODA25" s="19"/>
      <c r="ODB25" s="19"/>
      <c r="ODC25" s="19"/>
      <c r="ODD25" s="19"/>
      <c r="ODE25" s="19"/>
      <c r="ODF25" s="19"/>
      <c r="ODG25" s="19"/>
      <c r="ODH25" s="19"/>
      <c r="ODI25" s="19"/>
      <c r="ODJ25" s="19"/>
      <c r="ODK25" s="19"/>
      <c r="ODL25" s="19"/>
      <c r="ODM25" s="19"/>
      <c r="ODN25" s="19"/>
      <c r="ODO25" s="19"/>
      <c r="ODP25" s="19"/>
      <c r="ODQ25" s="19"/>
      <c r="ODR25" s="19"/>
      <c r="ODS25" s="19"/>
      <c r="ODT25" s="19"/>
      <c r="ODU25" s="19"/>
      <c r="ODV25" s="19"/>
      <c r="ODW25" s="19"/>
      <c r="ODX25" s="19"/>
      <c r="ODY25" s="19"/>
      <c r="ODZ25" s="19"/>
      <c r="OEA25" s="19"/>
      <c r="OEB25" s="19"/>
      <c r="OEC25" s="19"/>
      <c r="OED25" s="19"/>
      <c r="OEE25" s="19"/>
      <c r="OEF25" s="19"/>
      <c r="OEG25" s="19"/>
      <c r="OEH25" s="19"/>
      <c r="OEI25" s="19"/>
      <c r="OEJ25" s="19"/>
      <c r="OEK25" s="19"/>
      <c r="OEL25" s="19"/>
      <c r="OEM25" s="19"/>
      <c r="OEN25" s="19"/>
      <c r="OEO25" s="19"/>
      <c r="OEP25" s="19"/>
      <c r="OEQ25" s="19"/>
      <c r="OER25" s="19"/>
      <c r="OES25" s="19"/>
      <c r="OET25" s="19"/>
      <c r="OEU25" s="19"/>
      <c r="OEV25" s="19"/>
      <c r="OEW25" s="19"/>
      <c r="OEX25" s="19"/>
      <c r="OEY25" s="19"/>
      <c r="OEZ25" s="19"/>
      <c r="OFA25" s="19"/>
      <c r="OFB25" s="19"/>
      <c r="OFC25" s="19"/>
      <c r="OFD25" s="19"/>
      <c r="OFE25" s="19"/>
      <c r="OFF25" s="19"/>
      <c r="OFG25" s="19"/>
      <c r="OFH25" s="19"/>
      <c r="OFI25" s="19"/>
      <c r="OFJ25" s="19"/>
      <c r="OFK25" s="19"/>
      <c r="OFL25" s="19"/>
      <c r="OFM25" s="19"/>
      <c r="OFN25" s="19"/>
      <c r="OFO25" s="19"/>
      <c r="OFP25" s="19"/>
      <c r="OFQ25" s="19"/>
      <c r="OFR25" s="19"/>
      <c r="OFS25" s="19"/>
      <c r="OFT25" s="19"/>
      <c r="OFU25" s="19"/>
      <c r="OFV25" s="19"/>
      <c r="OFW25" s="19"/>
      <c r="OFX25" s="19"/>
      <c r="OFY25" s="19"/>
      <c r="OFZ25" s="19"/>
      <c r="OGA25" s="19"/>
      <c r="OGB25" s="19"/>
      <c r="OGC25" s="19"/>
      <c r="OGD25" s="19"/>
      <c r="OGE25" s="19"/>
      <c r="OGF25" s="19"/>
      <c r="OGG25" s="19"/>
      <c r="OGH25" s="19"/>
      <c r="OGI25" s="19"/>
      <c r="OGJ25" s="19"/>
      <c r="OGK25" s="19"/>
      <c r="OGL25" s="19"/>
      <c r="OGM25" s="19"/>
      <c r="OGN25" s="19"/>
      <c r="OGO25" s="19"/>
      <c r="OGP25" s="19"/>
      <c r="OGQ25" s="19"/>
      <c r="OGR25" s="19"/>
      <c r="OGS25" s="19"/>
      <c r="OGT25" s="19"/>
      <c r="OGU25" s="19"/>
      <c r="OGV25" s="19"/>
      <c r="OGW25" s="19"/>
      <c r="OGX25" s="19"/>
      <c r="OGY25" s="19"/>
      <c r="OGZ25" s="19"/>
      <c r="OHA25" s="19"/>
      <c r="OHB25" s="19"/>
      <c r="OHC25" s="19"/>
      <c r="OHD25" s="19"/>
      <c r="OHE25" s="19"/>
      <c r="OHF25" s="19"/>
      <c r="OHG25" s="19"/>
      <c r="OHH25" s="19"/>
      <c r="OHI25" s="19"/>
      <c r="OHJ25" s="19"/>
      <c r="OHK25" s="19"/>
      <c r="OHL25" s="19"/>
      <c r="OHM25" s="19"/>
      <c r="OHN25" s="19"/>
      <c r="OHO25" s="19"/>
      <c r="OHP25" s="19"/>
      <c r="OHQ25" s="19"/>
      <c r="OHR25" s="19"/>
      <c r="OHS25" s="19"/>
      <c r="OHT25" s="19"/>
      <c r="OHU25" s="19"/>
      <c r="OHV25" s="19"/>
      <c r="OHW25" s="19"/>
      <c r="OHX25" s="19"/>
      <c r="OHY25" s="19"/>
      <c r="OHZ25" s="19"/>
      <c r="OIA25" s="19"/>
      <c r="OIB25" s="19"/>
      <c r="OIC25" s="19"/>
      <c r="OID25" s="19"/>
      <c r="OIE25" s="19"/>
      <c r="OIF25" s="19"/>
      <c r="OIG25" s="19"/>
      <c r="OIH25" s="19"/>
      <c r="OII25" s="19"/>
      <c r="OIJ25" s="19"/>
      <c r="OIK25" s="19"/>
      <c r="OIL25" s="19"/>
      <c r="OIM25" s="19"/>
      <c r="OIN25" s="19"/>
      <c r="OIO25" s="19"/>
      <c r="OIP25" s="19"/>
      <c r="OIQ25" s="19"/>
      <c r="OIR25" s="19"/>
      <c r="OIS25" s="19"/>
      <c r="OIT25" s="19"/>
      <c r="OIU25" s="19"/>
      <c r="OIV25" s="19"/>
      <c r="OIW25" s="19"/>
      <c r="OIX25" s="19"/>
      <c r="OIY25" s="19"/>
      <c r="OIZ25" s="19"/>
      <c r="OJA25" s="19"/>
      <c r="OJB25" s="19"/>
      <c r="OJC25" s="19"/>
      <c r="OJD25" s="19"/>
      <c r="OJE25" s="19"/>
      <c r="OJF25" s="19"/>
      <c r="OJG25" s="19"/>
      <c r="OJH25" s="19"/>
      <c r="OJI25" s="19"/>
      <c r="OJJ25" s="19"/>
      <c r="OJK25" s="19"/>
      <c r="OJL25" s="19"/>
      <c r="OJM25" s="19"/>
      <c r="OJN25" s="19"/>
      <c r="OJO25" s="19"/>
      <c r="OJP25" s="19"/>
      <c r="OJQ25" s="19"/>
      <c r="OJR25" s="19"/>
      <c r="OJS25" s="19"/>
      <c r="OJT25" s="19"/>
      <c r="OJU25" s="19"/>
      <c r="OJV25" s="19"/>
      <c r="OJW25" s="19"/>
      <c r="OJX25" s="19"/>
      <c r="OJY25" s="19"/>
      <c r="OJZ25" s="19"/>
      <c r="OKA25" s="19"/>
      <c r="OKB25" s="19"/>
      <c r="OKC25" s="19"/>
      <c r="OKD25" s="19"/>
      <c r="OKE25" s="19"/>
      <c r="OKF25" s="19"/>
      <c r="OKG25" s="19"/>
      <c r="OKH25" s="19"/>
      <c r="OKI25" s="19"/>
      <c r="OKJ25" s="19"/>
      <c r="OKK25" s="19"/>
      <c r="OKL25" s="19"/>
      <c r="OKM25" s="19"/>
      <c r="OKN25" s="19"/>
      <c r="OKO25" s="19"/>
      <c r="OKP25" s="19"/>
      <c r="OKQ25" s="19"/>
      <c r="OKR25" s="19"/>
      <c r="OKS25" s="19"/>
      <c r="OKT25" s="19"/>
      <c r="OKU25" s="19"/>
      <c r="OKV25" s="19"/>
      <c r="OKW25" s="19"/>
      <c r="OKX25" s="19"/>
      <c r="OKY25" s="19"/>
      <c r="OKZ25" s="19"/>
      <c r="OLA25" s="19"/>
      <c r="OLB25" s="19"/>
      <c r="OLC25" s="19"/>
      <c r="OLD25" s="19"/>
      <c r="OLE25" s="19"/>
      <c r="OLF25" s="19"/>
      <c r="OLG25" s="19"/>
      <c r="OLH25" s="19"/>
      <c r="OLI25" s="19"/>
      <c r="OLJ25" s="19"/>
      <c r="OLK25" s="19"/>
      <c r="OLL25" s="19"/>
      <c r="OLM25" s="19"/>
      <c r="OLN25" s="19"/>
      <c r="OLO25" s="19"/>
      <c r="OLP25" s="19"/>
      <c r="OLQ25" s="19"/>
      <c r="OLR25" s="19"/>
      <c r="OLS25" s="19"/>
      <c r="OLT25" s="19"/>
      <c r="OLU25" s="19"/>
      <c r="OLV25" s="19"/>
      <c r="OLW25" s="19"/>
      <c r="OLX25" s="19"/>
      <c r="OLY25" s="19"/>
      <c r="OLZ25" s="19"/>
      <c r="OMA25" s="19"/>
      <c r="OMB25" s="19"/>
      <c r="OMC25" s="19"/>
      <c r="OMD25" s="19"/>
      <c r="OME25" s="19"/>
      <c r="OMF25" s="19"/>
      <c r="OMG25" s="19"/>
      <c r="OMH25" s="19"/>
      <c r="OMI25" s="19"/>
      <c r="OMJ25" s="19"/>
      <c r="OMK25" s="19"/>
      <c r="OML25" s="19"/>
      <c r="OMM25" s="19"/>
      <c r="OMN25" s="19"/>
      <c r="OMO25" s="19"/>
      <c r="OMP25" s="19"/>
      <c r="OMQ25" s="19"/>
      <c r="OMR25" s="19"/>
      <c r="OMS25" s="19"/>
      <c r="OMT25" s="19"/>
      <c r="OMU25" s="19"/>
      <c r="OMV25" s="19"/>
      <c r="OMW25" s="19"/>
      <c r="OMX25" s="19"/>
      <c r="OMY25" s="19"/>
      <c r="OMZ25" s="19"/>
      <c r="ONA25" s="19"/>
      <c r="ONB25" s="19"/>
      <c r="ONC25" s="19"/>
      <c r="OND25" s="19"/>
      <c r="ONE25" s="19"/>
      <c r="ONF25" s="19"/>
      <c r="ONG25" s="19"/>
      <c r="ONH25" s="19"/>
      <c r="ONI25" s="19"/>
      <c r="ONJ25" s="19"/>
      <c r="ONK25" s="19"/>
      <c r="ONL25" s="19"/>
      <c r="ONM25" s="19"/>
      <c r="ONN25" s="19"/>
      <c r="ONO25" s="19"/>
      <c r="ONP25" s="19"/>
      <c r="ONQ25" s="19"/>
      <c r="ONR25" s="19"/>
      <c r="ONS25" s="19"/>
      <c r="ONT25" s="19"/>
      <c r="ONU25" s="19"/>
      <c r="ONV25" s="19"/>
      <c r="ONW25" s="19"/>
      <c r="ONX25" s="19"/>
      <c r="ONY25" s="19"/>
      <c r="ONZ25" s="19"/>
      <c r="OOA25" s="19"/>
      <c r="OOB25" s="19"/>
      <c r="OOC25" s="19"/>
      <c r="OOD25" s="19"/>
      <c r="OOE25" s="19"/>
      <c r="OOF25" s="19"/>
      <c r="OOG25" s="19"/>
      <c r="OOH25" s="19"/>
      <c r="OOI25" s="19"/>
      <c r="OOJ25" s="19"/>
      <c r="OOK25" s="19"/>
      <c r="OOL25" s="19"/>
      <c r="OOM25" s="19"/>
      <c r="OON25" s="19"/>
      <c r="OOO25" s="19"/>
      <c r="OOP25" s="19"/>
      <c r="OOQ25" s="19"/>
      <c r="OOR25" s="19"/>
      <c r="OOS25" s="19"/>
      <c r="OOT25" s="19"/>
      <c r="OOU25" s="19"/>
      <c r="OOV25" s="19"/>
      <c r="OOW25" s="19"/>
      <c r="OOX25" s="19"/>
      <c r="OOY25" s="19"/>
      <c r="OOZ25" s="19"/>
      <c r="OPA25" s="19"/>
      <c r="OPB25" s="19"/>
      <c r="OPC25" s="19"/>
      <c r="OPD25" s="19"/>
      <c r="OPE25" s="19"/>
      <c r="OPF25" s="19"/>
      <c r="OPG25" s="19"/>
      <c r="OPH25" s="19"/>
      <c r="OPI25" s="19"/>
      <c r="OPJ25" s="19"/>
      <c r="OPK25" s="19"/>
      <c r="OPL25" s="19"/>
      <c r="OPM25" s="19"/>
      <c r="OPN25" s="19"/>
      <c r="OPO25" s="19"/>
      <c r="OPP25" s="19"/>
      <c r="OPQ25" s="19"/>
      <c r="OPR25" s="19"/>
      <c r="OPS25" s="19"/>
      <c r="OPT25" s="19"/>
      <c r="OPU25" s="19"/>
      <c r="OPV25" s="19"/>
      <c r="OPW25" s="19"/>
      <c r="OPX25" s="19"/>
      <c r="OPY25" s="19"/>
      <c r="OPZ25" s="19"/>
      <c r="OQA25" s="19"/>
      <c r="OQB25" s="19"/>
      <c r="OQC25" s="19"/>
      <c r="OQD25" s="19"/>
      <c r="OQE25" s="19"/>
      <c r="OQF25" s="19"/>
      <c r="OQG25" s="19"/>
      <c r="OQH25" s="19"/>
      <c r="OQI25" s="19"/>
      <c r="OQJ25" s="19"/>
      <c r="OQK25" s="19"/>
      <c r="OQL25" s="19"/>
      <c r="OQM25" s="19"/>
      <c r="OQN25" s="19"/>
      <c r="OQO25" s="19"/>
      <c r="OQP25" s="19"/>
      <c r="OQQ25" s="19"/>
      <c r="OQR25" s="19"/>
      <c r="OQS25" s="19"/>
      <c r="OQT25" s="19"/>
      <c r="OQU25" s="19"/>
      <c r="OQV25" s="19"/>
      <c r="OQW25" s="19"/>
      <c r="OQX25" s="19"/>
      <c r="OQY25" s="19"/>
      <c r="OQZ25" s="19"/>
      <c r="ORA25" s="19"/>
      <c r="ORB25" s="19"/>
      <c r="ORC25" s="19"/>
      <c r="ORD25" s="19"/>
      <c r="ORE25" s="19"/>
      <c r="ORF25" s="19"/>
      <c r="ORG25" s="19"/>
      <c r="ORH25" s="19"/>
      <c r="ORI25" s="19"/>
      <c r="ORJ25" s="19"/>
      <c r="ORK25" s="19"/>
      <c r="ORL25" s="19"/>
      <c r="ORM25" s="19"/>
      <c r="ORN25" s="19"/>
      <c r="ORO25" s="19"/>
      <c r="ORP25" s="19"/>
      <c r="ORQ25" s="19"/>
      <c r="ORR25" s="19"/>
      <c r="ORS25" s="19"/>
      <c r="ORT25" s="19"/>
      <c r="ORU25" s="19"/>
      <c r="ORV25" s="19"/>
      <c r="ORW25" s="19"/>
      <c r="ORX25" s="19"/>
      <c r="ORY25" s="19"/>
      <c r="ORZ25" s="19"/>
      <c r="OSA25" s="19"/>
      <c r="OSB25" s="19"/>
      <c r="OSC25" s="19"/>
      <c r="OSD25" s="19"/>
      <c r="OSE25" s="19"/>
      <c r="OSF25" s="19"/>
      <c r="OSG25" s="19"/>
      <c r="OSH25" s="19"/>
      <c r="OSI25" s="19"/>
      <c r="OSJ25" s="19"/>
      <c r="OSK25" s="19"/>
      <c r="OSL25" s="19"/>
      <c r="OSM25" s="19"/>
      <c r="OSN25" s="19"/>
      <c r="OSO25" s="19"/>
      <c r="OSP25" s="19"/>
      <c r="OSQ25" s="19"/>
      <c r="OSR25" s="19"/>
      <c r="OSS25" s="19"/>
      <c r="OST25" s="19"/>
      <c r="OSU25" s="19"/>
      <c r="OSV25" s="19"/>
      <c r="OSW25" s="19"/>
      <c r="OSX25" s="19"/>
      <c r="OSY25" s="19"/>
      <c r="OSZ25" s="19"/>
      <c r="OTA25" s="19"/>
      <c r="OTB25" s="19"/>
      <c r="OTC25" s="19"/>
      <c r="OTD25" s="19"/>
      <c r="OTE25" s="19"/>
      <c r="OTF25" s="19"/>
      <c r="OTG25" s="19"/>
      <c r="OTH25" s="19"/>
      <c r="OTI25" s="19"/>
      <c r="OTJ25" s="19"/>
      <c r="OTK25" s="19"/>
      <c r="OTL25" s="19"/>
      <c r="OTM25" s="19"/>
      <c r="OTN25" s="19"/>
      <c r="OTO25" s="19"/>
      <c r="OTP25" s="19"/>
      <c r="OTQ25" s="19"/>
      <c r="OTR25" s="19"/>
      <c r="OTS25" s="19"/>
      <c r="OTT25" s="19"/>
      <c r="OTU25" s="19"/>
      <c r="OTV25" s="19"/>
      <c r="OTW25" s="19"/>
      <c r="OTX25" s="19"/>
      <c r="OTY25" s="19"/>
      <c r="OTZ25" s="19"/>
      <c r="OUA25" s="19"/>
      <c r="OUB25" s="19"/>
      <c r="OUC25" s="19"/>
      <c r="OUD25" s="19"/>
      <c r="OUE25" s="19"/>
      <c r="OUF25" s="19"/>
      <c r="OUG25" s="19"/>
      <c r="OUH25" s="19"/>
      <c r="OUI25" s="19"/>
      <c r="OUJ25" s="19"/>
      <c r="OUK25" s="19"/>
      <c r="OUL25" s="19"/>
      <c r="OUM25" s="19"/>
      <c r="OUN25" s="19"/>
      <c r="OUO25" s="19"/>
      <c r="OUP25" s="19"/>
      <c r="OUQ25" s="19"/>
      <c r="OUR25" s="19"/>
      <c r="OUS25" s="19"/>
      <c r="OUT25" s="19"/>
      <c r="OUU25" s="19"/>
      <c r="OUV25" s="19"/>
      <c r="OUW25" s="19"/>
      <c r="OUX25" s="19"/>
      <c r="OUY25" s="19"/>
      <c r="OUZ25" s="19"/>
      <c r="OVA25" s="19"/>
      <c r="OVB25" s="19"/>
      <c r="OVC25" s="19"/>
      <c r="OVD25" s="19"/>
      <c r="OVE25" s="19"/>
      <c r="OVF25" s="19"/>
      <c r="OVG25" s="19"/>
      <c r="OVH25" s="19"/>
      <c r="OVI25" s="19"/>
      <c r="OVJ25" s="19"/>
      <c r="OVK25" s="19"/>
      <c r="OVL25" s="19"/>
      <c r="OVM25" s="19"/>
      <c r="OVN25" s="19"/>
      <c r="OVO25" s="19"/>
      <c r="OVP25" s="19"/>
      <c r="OVQ25" s="19"/>
      <c r="OVR25" s="19"/>
      <c r="OVS25" s="19"/>
      <c r="OVT25" s="19"/>
      <c r="OVU25" s="19"/>
      <c r="OVV25" s="19"/>
      <c r="OVW25" s="19"/>
      <c r="OVX25" s="19"/>
      <c r="OVY25" s="19"/>
      <c r="OVZ25" s="19"/>
      <c r="OWA25" s="19"/>
      <c r="OWB25" s="19"/>
      <c r="OWC25" s="19"/>
      <c r="OWD25" s="19"/>
      <c r="OWE25" s="19"/>
      <c r="OWF25" s="19"/>
      <c r="OWG25" s="19"/>
      <c r="OWH25" s="19"/>
      <c r="OWI25" s="19"/>
      <c r="OWJ25" s="19"/>
      <c r="OWK25" s="19"/>
      <c r="OWL25" s="19"/>
      <c r="OWM25" s="19"/>
      <c r="OWN25" s="19"/>
      <c r="OWO25" s="19"/>
      <c r="OWP25" s="19"/>
      <c r="OWQ25" s="19"/>
      <c r="OWR25" s="19"/>
      <c r="OWS25" s="19"/>
      <c r="OWT25" s="19"/>
      <c r="OWU25" s="19"/>
      <c r="OWV25" s="19"/>
      <c r="OWW25" s="19"/>
      <c r="OWX25" s="19"/>
      <c r="OWY25" s="19"/>
      <c r="OWZ25" s="19"/>
      <c r="OXA25" s="19"/>
      <c r="OXB25" s="19"/>
      <c r="OXC25" s="19"/>
      <c r="OXD25" s="19"/>
      <c r="OXE25" s="19"/>
      <c r="OXF25" s="19"/>
      <c r="OXG25" s="19"/>
      <c r="OXH25" s="19"/>
      <c r="OXI25" s="19"/>
      <c r="OXJ25" s="19"/>
      <c r="OXK25" s="19"/>
      <c r="OXL25" s="19"/>
      <c r="OXM25" s="19"/>
      <c r="OXN25" s="19"/>
      <c r="OXO25" s="19"/>
      <c r="OXP25" s="19"/>
      <c r="OXQ25" s="19"/>
      <c r="OXR25" s="19"/>
      <c r="OXS25" s="19"/>
      <c r="OXT25" s="19"/>
      <c r="OXU25" s="19"/>
      <c r="OXV25" s="19"/>
      <c r="OXW25" s="19"/>
      <c r="OXX25" s="19"/>
      <c r="OXY25" s="19"/>
      <c r="OXZ25" s="19"/>
      <c r="OYA25" s="19"/>
      <c r="OYB25" s="19"/>
      <c r="OYC25" s="19"/>
      <c r="OYD25" s="19"/>
      <c r="OYE25" s="19"/>
      <c r="OYF25" s="19"/>
      <c r="OYG25" s="19"/>
      <c r="OYH25" s="19"/>
      <c r="OYI25" s="19"/>
      <c r="OYJ25" s="19"/>
      <c r="OYK25" s="19"/>
      <c r="OYL25" s="19"/>
      <c r="OYM25" s="19"/>
      <c r="OYN25" s="19"/>
      <c r="OYO25" s="19"/>
      <c r="OYP25" s="19"/>
      <c r="OYQ25" s="19"/>
      <c r="OYR25" s="19"/>
      <c r="OYS25" s="19"/>
      <c r="OYT25" s="19"/>
      <c r="OYU25" s="19"/>
      <c r="OYV25" s="19"/>
      <c r="OYW25" s="19"/>
      <c r="OYX25" s="19"/>
      <c r="OYY25" s="19"/>
      <c r="OYZ25" s="19"/>
      <c r="OZA25" s="19"/>
      <c r="OZB25" s="19"/>
      <c r="OZC25" s="19"/>
      <c r="OZD25" s="19"/>
      <c r="OZE25" s="19"/>
      <c r="OZF25" s="19"/>
      <c r="OZG25" s="19"/>
      <c r="OZH25" s="19"/>
      <c r="OZI25" s="19"/>
      <c r="OZJ25" s="19"/>
      <c r="OZK25" s="19"/>
      <c r="OZL25" s="19"/>
      <c r="OZM25" s="19"/>
      <c r="OZN25" s="19"/>
      <c r="OZO25" s="19"/>
      <c r="OZP25" s="19"/>
      <c r="OZQ25" s="19"/>
      <c r="OZR25" s="19"/>
      <c r="OZS25" s="19"/>
      <c r="OZT25" s="19"/>
      <c r="OZU25" s="19"/>
      <c r="OZV25" s="19"/>
      <c r="OZW25" s="19"/>
      <c r="OZX25" s="19"/>
      <c r="OZY25" s="19"/>
      <c r="OZZ25" s="19"/>
      <c r="PAA25" s="19"/>
      <c r="PAB25" s="19"/>
      <c r="PAC25" s="19"/>
      <c r="PAD25" s="19"/>
      <c r="PAE25" s="19"/>
      <c r="PAF25" s="19"/>
      <c r="PAG25" s="19"/>
      <c r="PAH25" s="19"/>
      <c r="PAI25" s="19"/>
      <c r="PAJ25" s="19"/>
      <c r="PAK25" s="19"/>
      <c r="PAL25" s="19"/>
      <c r="PAM25" s="19"/>
      <c r="PAN25" s="19"/>
      <c r="PAO25" s="19"/>
      <c r="PAP25" s="19"/>
      <c r="PAQ25" s="19"/>
      <c r="PAR25" s="19"/>
      <c r="PAS25" s="19"/>
      <c r="PAT25" s="19"/>
      <c r="PAU25" s="19"/>
      <c r="PAV25" s="19"/>
      <c r="PAW25" s="19"/>
      <c r="PAX25" s="19"/>
      <c r="PAY25" s="19"/>
      <c r="PAZ25" s="19"/>
      <c r="PBA25" s="19"/>
      <c r="PBB25" s="19"/>
      <c r="PBC25" s="19"/>
      <c r="PBD25" s="19"/>
      <c r="PBE25" s="19"/>
      <c r="PBF25" s="19"/>
      <c r="PBG25" s="19"/>
      <c r="PBH25" s="19"/>
      <c r="PBI25" s="19"/>
      <c r="PBJ25" s="19"/>
      <c r="PBK25" s="19"/>
      <c r="PBL25" s="19"/>
      <c r="PBM25" s="19"/>
      <c r="PBN25" s="19"/>
      <c r="PBO25" s="19"/>
      <c r="PBP25" s="19"/>
      <c r="PBQ25" s="19"/>
      <c r="PBR25" s="19"/>
      <c r="PBS25" s="19"/>
      <c r="PBT25" s="19"/>
      <c r="PBU25" s="19"/>
      <c r="PBV25" s="19"/>
      <c r="PBW25" s="19"/>
      <c r="PBX25" s="19"/>
      <c r="PBY25" s="19"/>
      <c r="PBZ25" s="19"/>
      <c r="PCA25" s="19"/>
      <c r="PCB25" s="19"/>
      <c r="PCC25" s="19"/>
      <c r="PCD25" s="19"/>
      <c r="PCE25" s="19"/>
      <c r="PCF25" s="19"/>
      <c r="PCG25" s="19"/>
      <c r="PCH25" s="19"/>
      <c r="PCI25" s="19"/>
      <c r="PCJ25" s="19"/>
      <c r="PCK25" s="19"/>
      <c r="PCL25" s="19"/>
      <c r="PCM25" s="19"/>
      <c r="PCN25" s="19"/>
      <c r="PCO25" s="19"/>
      <c r="PCP25" s="19"/>
      <c r="PCQ25" s="19"/>
      <c r="PCR25" s="19"/>
      <c r="PCS25" s="19"/>
      <c r="PCT25" s="19"/>
      <c r="PCU25" s="19"/>
      <c r="PCV25" s="19"/>
      <c r="PCW25" s="19"/>
      <c r="PCX25" s="19"/>
      <c r="PCY25" s="19"/>
      <c r="PCZ25" s="19"/>
      <c r="PDA25" s="19"/>
      <c r="PDB25" s="19"/>
      <c r="PDC25" s="19"/>
      <c r="PDD25" s="19"/>
      <c r="PDE25" s="19"/>
      <c r="PDF25" s="19"/>
      <c r="PDG25" s="19"/>
      <c r="PDH25" s="19"/>
      <c r="PDI25" s="19"/>
      <c r="PDJ25" s="19"/>
      <c r="PDK25" s="19"/>
      <c r="PDL25" s="19"/>
      <c r="PDM25" s="19"/>
      <c r="PDN25" s="19"/>
      <c r="PDO25" s="19"/>
      <c r="PDP25" s="19"/>
      <c r="PDQ25" s="19"/>
      <c r="PDR25" s="19"/>
      <c r="PDS25" s="19"/>
      <c r="PDT25" s="19"/>
      <c r="PDU25" s="19"/>
      <c r="PDV25" s="19"/>
      <c r="PDW25" s="19"/>
      <c r="PDX25" s="19"/>
      <c r="PDY25" s="19"/>
      <c r="PDZ25" s="19"/>
      <c r="PEA25" s="19"/>
      <c r="PEB25" s="19"/>
      <c r="PEC25" s="19"/>
      <c r="PED25" s="19"/>
      <c r="PEE25" s="19"/>
      <c r="PEF25" s="19"/>
      <c r="PEG25" s="19"/>
      <c r="PEH25" s="19"/>
      <c r="PEI25" s="19"/>
      <c r="PEJ25" s="19"/>
      <c r="PEK25" s="19"/>
      <c r="PEL25" s="19"/>
      <c r="PEM25" s="19"/>
      <c r="PEN25" s="19"/>
      <c r="PEO25" s="19"/>
      <c r="PEP25" s="19"/>
      <c r="PEQ25" s="19"/>
      <c r="PER25" s="19"/>
      <c r="PES25" s="19"/>
      <c r="PET25" s="19"/>
      <c r="PEU25" s="19"/>
      <c r="PEV25" s="19"/>
      <c r="PEW25" s="19"/>
      <c r="PEX25" s="19"/>
      <c r="PEY25" s="19"/>
      <c r="PEZ25" s="19"/>
      <c r="PFA25" s="19"/>
      <c r="PFB25" s="19"/>
      <c r="PFC25" s="19"/>
      <c r="PFD25" s="19"/>
      <c r="PFE25" s="19"/>
      <c r="PFF25" s="19"/>
      <c r="PFG25" s="19"/>
      <c r="PFH25" s="19"/>
      <c r="PFI25" s="19"/>
      <c r="PFJ25" s="19"/>
      <c r="PFK25" s="19"/>
      <c r="PFL25" s="19"/>
      <c r="PFM25" s="19"/>
      <c r="PFN25" s="19"/>
      <c r="PFO25" s="19"/>
      <c r="PFP25" s="19"/>
      <c r="PFQ25" s="19"/>
      <c r="PFR25" s="19"/>
      <c r="PFS25" s="19"/>
      <c r="PFT25" s="19"/>
      <c r="PFU25" s="19"/>
      <c r="PFV25" s="19"/>
      <c r="PFW25" s="19"/>
      <c r="PFX25" s="19"/>
      <c r="PFY25" s="19"/>
      <c r="PFZ25" s="19"/>
      <c r="PGA25" s="19"/>
      <c r="PGB25" s="19"/>
      <c r="PGC25" s="19"/>
      <c r="PGD25" s="19"/>
      <c r="PGE25" s="19"/>
      <c r="PGF25" s="19"/>
      <c r="PGG25" s="19"/>
      <c r="PGH25" s="19"/>
      <c r="PGI25" s="19"/>
      <c r="PGJ25" s="19"/>
      <c r="PGK25" s="19"/>
      <c r="PGL25" s="19"/>
      <c r="PGM25" s="19"/>
      <c r="PGN25" s="19"/>
      <c r="PGO25" s="19"/>
      <c r="PGP25" s="19"/>
      <c r="PGQ25" s="19"/>
      <c r="PGR25" s="19"/>
      <c r="PGS25" s="19"/>
      <c r="PGT25" s="19"/>
      <c r="PGU25" s="19"/>
      <c r="PGV25" s="19"/>
      <c r="PGW25" s="19"/>
      <c r="PGX25" s="19"/>
      <c r="PGY25" s="19"/>
      <c r="PGZ25" s="19"/>
      <c r="PHA25" s="19"/>
      <c r="PHB25" s="19"/>
      <c r="PHC25" s="19"/>
      <c r="PHD25" s="19"/>
      <c r="PHE25" s="19"/>
      <c r="PHF25" s="19"/>
      <c r="PHG25" s="19"/>
      <c r="PHH25" s="19"/>
      <c r="PHI25" s="19"/>
      <c r="PHJ25" s="19"/>
      <c r="PHK25" s="19"/>
      <c r="PHL25" s="19"/>
      <c r="PHM25" s="19"/>
      <c r="PHN25" s="19"/>
      <c r="PHO25" s="19"/>
      <c r="PHP25" s="19"/>
      <c r="PHQ25" s="19"/>
      <c r="PHR25" s="19"/>
      <c r="PHS25" s="19"/>
      <c r="PHT25" s="19"/>
      <c r="PHU25" s="19"/>
      <c r="PHV25" s="19"/>
      <c r="PHW25" s="19"/>
      <c r="PHX25" s="19"/>
      <c r="PHY25" s="19"/>
      <c r="PHZ25" s="19"/>
      <c r="PIA25" s="19"/>
      <c r="PIB25" s="19"/>
      <c r="PIC25" s="19"/>
      <c r="PID25" s="19"/>
      <c r="PIE25" s="19"/>
      <c r="PIF25" s="19"/>
      <c r="PIG25" s="19"/>
      <c r="PIH25" s="19"/>
      <c r="PII25" s="19"/>
      <c r="PIJ25" s="19"/>
      <c r="PIK25" s="19"/>
      <c r="PIL25" s="19"/>
      <c r="PIM25" s="19"/>
      <c r="PIN25" s="19"/>
      <c r="PIO25" s="19"/>
      <c r="PIP25" s="19"/>
      <c r="PIQ25" s="19"/>
      <c r="PIR25" s="19"/>
      <c r="PIS25" s="19"/>
      <c r="PIT25" s="19"/>
      <c r="PIU25" s="19"/>
      <c r="PIV25" s="19"/>
      <c r="PIW25" s="19"/>
      <c r="PIX25" s="19"/>
      <c r="PIY25" s="19"/>
      <c r="PIZ25" s="19"/>
      <c r="PJA25" s="19"/>
      <c r="PJB25" s="19"/>
      <c r="PJC25" s="19"/>
      <c r="PJD25" s="19"/>
      <c r="PJE25" s="19"/>
      <c r="PJF25" s="19"/>
      <c r="PJG25" s="19"/>
      <c r="PJH25" s="19"/>
      <c r="PJI25" s="19"/>
      <c r="PJJ25" s="19"/>
      <c r="PJK25" s="19"/>
      <c r="PJL25" s="19"/>
      <c r="PJM25" s="19"/>
      <c r="PJN25" s="19"/>
      <c r="PJO25" s="19"/>
      <c r="PJP25" s="19"/>
      <c r="PJQ25" s="19"/>
      <c r="PJR25" s="19"/>
      <c r="PJS25" s="19"/>
      <c r="PJT25" s="19"/>
      <c r="PJU25" s="19"/>
      <c r="PJV25" s="19"/>
      <c r="PJW25" s="19"/>
      <c r="PJX25" s="19"/>
      <c r="PJY25" s="19"/>
      <c r="PJZ25" s="19"/>
      <c r="PKA25" s="19"/>
      <c r="PKB25" s="19"/>
      <c r="PKC25" s="19"/>
      <c r="PKD25" s="19"/>
      <c r="PKE25" s="19"/>
      <c r="PKF25" s="19"/>
      <c r="PKG25" s="19"/>
      <c r="PKH25" s="19"/>
      <c r="PKI25" s="19"/>
      <c r="PKJ25" s="19"/>
      <c r="PKK25" s="19"/>
      <c r="PKL25" s="19"/>
      <c r="PKM25" s="19"/>
      <c r="PKN25" s="19"/>
      <c r="PKO25" s="19"/>
      <c r="PKP25" s="19"/>
      <c r="PKQ25" s="19"/>
      <c r="PKR25" s="19"/>
      <c r="PKS25" s="19"/>
      <c r="PKT25" s="19"/>
      <c r="PKU25" s="19"/>
      <c r="PKV25" s="19"/>
      <c r="PKW25" s="19"/>
      <c r="PKX25" s="19"/>
      <c r="PKY25" s="19"/>
      <c r="PKZ25" s="19"/>
      <c r="PLA25" s="19"/>
      <c r="PLB25" s="19"/>
      <c r="PLC25" s="19"/>
      <c r="PLD25" s="19"/>
      <c r="PLE25" s="19"/>
      <c r="PLF25" s="19"/>
      <c r="PLG25" s="19"/>
      <c r="PLH25" s="19"/>
      <c r="PLI25" s="19"/>
      <c r="PLJ25" s="19"/>
      <c r="PLK25" s="19"/>
      <c r="PLL25" s="19"/>
      <c r="PLM25" s="19"/>
      <c r="PLN25" s="19"/>
      <c r="PLO25" s="19"/>
      <c r="PLP25" s="19"/>
      <c r="PLQ25" s="19"/>
      <c r="PLR25" s="19"/>
      <c r="PLS25" s="19"/>
      <c r="PLT25" s="19"/>
      <c r="PLU25" s="19"/>
      <c r="PLV25" s="19"/>
      <c r="PLW25" s="19"/>
      <c r="PLX25" s="19"/>
      <c r="PLY25" s="19"/>
      <c r="PLZ25" s="19"/>
      <c r="PMA25" s="19"/>
      <c r="PMB25" s="19"/>
      <c r="PMC25" s="19"/>
      <c r="PMD25" s="19"/>
      <c r="PME25" s="19"/>
      <c r="PMF25" s="19"/>
      <c r="PMG25" s="19"/>
      <c r="PMH25" s="19"/>
      <c r="PMI25" s="19"/>
      <c r="PMJ25" s="19"/>
      <c r="PMK25" s="19"/>
      <c r="PML25" s="19"/>
      <c r="PMM25" s="19"/>
      <c r="PMN25" s="19"/>
      <c r="PMO25" s="19"/>
      <c r="PMP25" s="19"/>
      <c r="PMQ25" s="19"/>
      <c r="PMR25" s="19"/>
      <c r="PMS25" s="19"/>
      <c r="PMT25" s="19"/>
      <c r="PMU25" s="19"/>
      <c r="PMV25" s="19"/>
      <c r="PMW25" s="19"/>
      <c r="PMX25" s="19"/>
      <c r="PMY25" s="19"/>
      <c r="PMZ25" s="19"/>
      <c r="PNA25" s="19"/>
      <c r="PNB25" s="19"/>
      <c r="PNC25" s="19"/>
      <c r="PND25" s="19"/>
      <c r="PNE25" s="19"/>
      <c r="PNF25" s="19"/>
      <c r="PNG25" s="19"/>
      <c r="PNH25" s="19"/>
      <c r="PNI25" s="19"/>
      <c r="PNJ25" s="19"/>
      <c r="PNK25" s="19"/>
      <c r="PNL25" s="19"/>
      <c r="PNM25" s="19"/>
      <c r="PNN25" s="19"/>
      <c r="PNO25" s="19"/>
      <c r="PNP25" s="19"/>
      <c r="PNQ25" s="19"/>
      <c r="PNR25" s="19"/>
      <c r="PNS25" s="19"/>
      <c r="PNT25" s="19"/>
      <c r="PNU25" s="19"/>
      <c r="PNV25" s="19"/>
      <c r="PNW25" s="19"/>
      <c r="PNX25" s="19"/>
      <c r="PNY25" s="19"/>
      <c r="PNZ25" s="19"/>
      <c r="POA25" s="19"/>
      <c r="POB25" s="19"/>
      <c r="POC25" s="19"/>
      <c r="POD25" s="19"/>
      <c r="POE25" s="19"/>
      <c r="POF25" s="19"/>
      <c r="POG25" s="19"/>
      <c r="POH25" s="19"/>
      <c r="POI25" s="19"/>
      <c r="POJ25" s="19"/>
      <c r="POK25" s="19"/>
      <c r="POL25" s="19"/>
      <c r="POM25" s="19"/>
      <c r="PON25" s="19"/>
      <c r="POO25" s="19"/>
      <c r="POP25" s="19"/>
      <c r="POQ25" s="19"/>
      <c r="POR25" s="19"/>
      <c r="POS25" s="19"/>
      <c r="POT25" s="19"/>
      <c r="POU25" s="19"/>
      <c r="POV25" s="19"/>
      <c r="POW25" s="19"/>
      <c r="POX25" s="19"/>
      <c r="POY25" s="19"/>
      <c r="POZ25" s="19"/>
      <c r="PPA25" s="19"/>
      <c r="PPB25" s="19"/>
      <c r="PPC25" s="19"/>
      <c r="PPD25" s="19"/>
      <c r="PPE25" s="19"/>
      <c r="PPF25" s="19"/>
      <c r="PPG25" s="19"/>
      <c r="PPH25" s="19"/>
      <c r="PPI25" s="19"/>
      <c r="PPJ25" s="19"/>
      <c r="PPK25" s="19"/>
      <c r="PPL25" s="19"/>
      <c r="PPM25" s="19"/>
      <c r="PPN25" s="19"/>
      <c r="PPO25" s="19"/>
      <c r="PPP25" s="19"/>
      <c r="PPQ25" s="19"/>
      <c r="PPR25" s="19"/>
      <c r="PPS25" s="19"/>
      <c r="PPT25" s="19"/>
      <c r="PPU25" s="19"/>
      <c r="PPV25" s="19"/>
      <c r="PPW25" s="19"/>
      <c r="PPX25" s="19"/>
      <c r="PPY25" s="19"/>
      <c r="PPZ25" s="19"/>
      <c r="PQA25" s="19"/>
      <c r="PQB25" s="19"/>
      <c r="PQC25" s="19"/>
      <c r="PQD25" s="19"/>
      <c r="PQE25" s="19"/>
      <c r="PQF25" s="19"/>
      <c r="PQG25" s="19"/>
      <c r="PQH25" s="19"/>
      <c r="PQI25" s="19"/>
      <c r="PQJ25" s="19"/>
      <c r="PQK25" s="19"/>
      <c r="PQL25" s="19"/>
      <c r="PQM25" s="19"/>
      <c r="PQN25" s="19"/>
      <c r="PQO25" s="19"/>
      <c r="PQP25" s="19"/>
      <c r="PQQ25" s="19"/>
      <c r="PQR25" s="19"/>
      <c r="PQS25" s="19"/>
      <c r="PQT25" s="19"/>
      <c r="PQU25" s="19"/>
      <c r="PQV25" s="19"/>
      <c r="PQW25" s="19"/>
      <c r="PQX25" s="19"/>
      <c r="PQY25" s="19"/>
      <c r="PQZ25" s="19"/>
      <c r="PRA25" s="19"/>
      <c r="PRB25" s="19"/>
      <c r="PRC25" s="19"/>
      <c r="PRD25" s="19"/>
      <c r="PRE25" s="19"/>
      <c r="PRF25" s="19"/>
      <c r="PRG25" s="19"/>
      <c r="PRH25" s="19"/>
      <c r="PRI25" s="19"/>
      <c r="PRJ25" s="19"/>
      <c r="PRK25" s="19"/>
      <c r="PRL25" s="19"/>
      <c r="PRM25" s="19"/>
      <c r="PRN25" s="19"/>
      <c r="PRO25" s="19"/>
      <c r="PRP25" s="19"/>
      <c r="PRQ25" s="19"/>
      <c r="PRR25" s="19"/>
      <c r="PRS25" s="19"/>
      <c r="PRT25" s="19"/>
      <c r="PRU25" s="19"/>
      <c r="PRV25" s="19"/>
      <c r="PRW25" s="19"/>
      <c r="PRX25" s="19"/>
      <c r="PRY25" s="19"/>
      <c r="PRZ25" s="19"/>
      <c r="PSA25" s="19"/>
      <c r="PSB25" s="19"/>
      <c r="PSC25" s="19"/>
      <c r="PSD25" s="19"/>
      <c r="PSE25" s="19"/>
      <c r="PSF25" s="19"/>
      <c r="PSG25" s="19"/>
      <c r="PSH25" s="19"/>
      <c r="PSI25" s="19"/>
      <c r="PSJ25" s="19"/>
      <c r="PSK25" s="19"/>
      <c r="PSL25" s="19"/>
      <c r="PSM25" s="19"/>
      <c r="PSN25" s="19"/>
      <c r="PSO25" s="19"/>
      <c r="PSP25" s="19"/>
      <c r="PSQ25" s="19"/>
      <c r="PSR25" s="19"/>
      <c r="PSS25" s="19"/>
      <c r="PST25" s="19"/>
      <c r="PSU25" s="19"/>
      <c r="PSV25" s="19"/>
      <c r="PSW25" s="19"/>
      <c r="PSX25" s="19"/>
      <c r="PSY25" s="19"/>
      <c r="PSZ25" s="19"/>
      <c r="PTA25" s="19"/>
      <c r="PTB25" s="19"/>
      <c r="PTC25" s="19"/>
      <c r="PTD25" s="19"/>
      <c r="PTE25" s="19"/>
      <c r="PTF25" s="19"/>
      <c r="PTG25" s="19"/>
      <c r="PTH25" s="19"/>
      <c r="PTI25" s="19"/>
      <c r="PTJ25" s="19"/>
      <c r="PTK25" s="19"/>
      <c r="PTL25" s="19"/>
      <c r="PTM25" s="19"/>
      <c r="PTN25" s="19"/>
      <c r="PTO25" s="19"/>
      <c r="PTP25" s="19"/>
      <c r="PTQ25" s="19"/>
      <c r="PTR25" s="19"/>
      <c r="PTS25" s="19"/>
      <c r="PTT25" s="19"/>
      <c r="PTU25" s="19"/>
      <c r="PTV25" s="19"/>
      <c r="PTW25" s="19"/>
      <c r="PTX25" s="19"/>
      <c r="PTY25" s="19"/>
      <c r="PTZ25" s="19"/>
      <c r="PUA25" s="19"/>
      <c r="PUB25" s="19"/>
      <c r="PUC25" s="19"/>
      <c r="PUD25" s="19"/>
      <c r="PUE25" s="19"/>
      <c r="PUF25" s="19"/>
      <c r="PUG25" s="19"/>
      <c r="PUH25" s="19"/>
      <c r="PUI25" s="19"/>
      <c r="PUJ25" s="19"/>
      <c r="PUK25" s="19"/>
      <c r="PUL25" s="19"/>
      <c r="PUM25" s="19"/>
      <c r="PUN25" s="19"/>
      <c r="PUO25" s="19"/>
      <c r="PUP25" s="19"/>
      <c r="PUQ25" s="19"/>
      <c r="PUR25" s="19"/>
      <c r="PUS25" s="19"/>
      <c r="PUT25" s="19"/>
      <c r="PUU25" s="19"/>
      <c r="PUV25" s="19"/>
      <c r="PUW25" s="19"/>
      <c r="PUX25" s="19"/>
      <c r="PUY25" s="19"/>
      <c r="PUZ25" s="19"/>
      <c r="PVA25" s="19"/>
      <c r="PVB25" s="19"/>
      <c r="PVC25" s="19"/>
      <c r="PVD25" s="19"/>
      <c r="PVE25" s="19"/>
      <c r="PVF25" s="19"/>
      <c r="PVG25" s="19"/>
      <c r="PVH25" s="19"/>
      <c r="PVI25" s="19"/>
      <c r="PVJ25" s="19"/>
      <c r="PVK25" s="19"/>
      <c r="PVL25" s="19"/>
      <c r="PVM25" s="19"/>
      <c r="PVN25" s="19"/>
      <c r="PVO25" s="19"/>
      <c r="PVP25" s="19"/>
      <c r="PVQ25" s="19"/>
      <c r="PVR25" s="19"/>
      <c r="PVS25" s="19"/>
      <c r="PVT25" s="19"/>
      <c r="PVU25" s="19"/>
      <c r="PVV25" s="19"/>
      <c r="PVW25" s="19"/>
      <c r="PVX25" s="19"/>
      <c r="PVY25" s="19"/>
      <c r="PVZ25" s="19"/>
      <c r="PWA25" s="19"/>
      <c r="PWB25" s="19"/>
      <c r="PWC25" s="19"/>
      <c r="PWD25" s="19"/>
      <c r="PWE25" s="19"/>
      <c r="PWF25" s="19"/>
      <c r="PWG25" s="19"/>
      <c r="PWH25" s="19"/>
      <c r="PWI25" s="19"/>
      <c r="PWJ25" s="19"/>
      <c r="PWK25" s="19"/>
      <c r="PWL25" s="19"/>
      <c r="PWM25" s="19"/>
      <c r="PWN25" s="19"/>
      <c r="PWO25" s="19"/>
      <c r="PWP25" s="19"/>
      <c r="PWQ25" s="19"/>
      <c r="PWR25" s="19"/>
      <c r="PWS25" s="19"/>
      <c r="PWT25" s="19"/>
      <c r="PWU25" s="19"/>
      <c r="PWV25" s="19"/>
      <c r="PWW25" s="19"/>
      <c r="PWX25" s="19"/>
      <c r="PWY25" s="19"/>
      <c r="PWZ25" s="19"/>
      <c r="PXA25" s="19"/>
      <c r="PXB25" s="19"/>
      <c r="PXC25" s="19"/>
      <c r="PXD25" s="19"/>
      <c r="PXE25" s="19"/>
      <c r="PXF25" s="19"/>
      <c r="PXG25" s="19"/>
      <c r="PXH25" s="19"/>
      <c r="PXI25" s="19"/>
      <c r="PXJ25" s="19"/>
      <c r="PXK25" s="19"/>
      <c r="PXL25" s="19"/>
      <c r="PXM25" s="19"/>
      <c r="PXN25" s="19"/>
      <c r="PXO25" s="19"/>
      <c r="PXP25" s="19"/>
      <c r="PXQ25" s="19"/>
      <c r="PXR25" s="19"/>
      <c r="PXS25" s="19"/>
      <c r="PXT25" s="19"/>
      <c r="PXU25" s="19"/>
      <c r="PXV25" s="19"/>
      <c r="PXW25" s="19"/>
      <c r="PXX25" s="19"/>
      <c r="PXY25" s="19"/>
      <c r="PXZ25" s="19"/>
      <c r="PYA25" s="19"/>
      <c r="PYB25" s="19"/>
      <c r="PYC25" s="19"/>
      <c r="PYD25" s="19"/>
      <c r="PYE25" s="19"/>
      <c r="PYF25" s="19"/>
      <c r="PYG25" s="19"/>
      <c r="PYH25" s="19"/>
      <c r="PYI25" s="19"/>
      <c r="PYJ25" s="19"/>
      <c r="PYK25" s="19"/>
      <c r="PYL25" s="19"/>
      <c r="PYM25" s="19"/>
      <c r="PYN25" s="19"/>
      <c r="PYO25" s="19"/>
      <c r="PYP25" s="19"/>
      <c r="PYQ25" s="19"/>
      <c r="PYR25" s="19"/>
      <c r="PYS25" s="19"/>
      <c r="PYT25" s="19"/>
      <c r="PYU25" s="19"/>
      <c r="PYV25" s="19"/>
      <c r="PYW25" s="19"/>
      <c r="PYX25" s="19"/>
      <c r="PYY25" s="19"/>
      <c r="PYZ25" s="19"/>
      <c r="PZA25" s="19"/>
      <c r="PZB25" s="19"/>
      <c r="PZC25" s="19"/>
      <c r="PZD25" s="19"/>
      <c r="PZE25" s="19"/>
      <c r="PZF25" s="19"/>
      <c r="PZG25" s="19"/>
      <c r="PZH25" s="19"/>
      <c r="PZI25" s="19"/>
      <c r="PZJ25" s="19"/>
      <c r="PZK25" s="19"/>
      <c r="PZL25" s="19"/>
      <c r="PZM25" s="19"/>
      <c r="PZN25" s="19"/>
      <c r="PZO25" s="19"/>
      <c r="PZP25" s="19"/>
      <c r="PZQ25" s="19"/>
      <c r="PZR25" s="19"/>
      <c r="PZS25" s="19"/>
      <c r="PZT25" s="19"/>
      <c r="PZU25" s="19"/>
      <c r="PZV25" s="19"/>
      <c r="PZW25" s="19"/>
      <c r="PZX25" s="19"/>
      <c r="PZY25" s="19"/>
      <c r="PZZ25" s="19"/>
      <c r="QAA25" s="19"/>
      <c r="QAB25" s="19"/>
      <c r="QAC25" s="19"/>
      <c r="QAD25" s="19"/>
      <c r="QAE25" s="19"/>
      <c r="QAF25" s="19"/>
      <c r="QAG25" s="19"/>
      <c r="QAH25" s="19"/>
      <c r="QAI25" s="19"/>
      <c r="QAJ25" s="19"/>
      <c r="QAK25" s="19"/>
      <c r="QAL25" s="19"/>
      <c r="QAM25" s="19"/>
      <c r="QAN25" s="19"/>
      <c r="QAO25" s="19"/>
      <c r="QAP25" s="19"/>
      <c r="QAQ25" s="19"/>
      <c r="QAR25" s="19"/>
      <c r="QAS25" s="19"/>
      <c r="QAT25" s="19"/>
      <c r="QAU25" s="19"/>
      <c r="QAV25" s="19"/>
      <c r="QAW25" s="19"/>
      <c r="QAX25" s="19"/>
      <c r="QAY25" s="19"/>
      <c r="QAZ25" s="19"/>
      <c r="QBA25" s="19"/>
      <c r="QBB25" s="19"/>
      <c r="QBC25" s="19"/>
      <c r="QBD25" s="19"/>
      <c r="QBE25" s="19"/>
      <c r="QBF25" s="19"/>
      <c r="QBG25" s="19"/>
      <c r="QBH25" s="19"/>
      <c r="QBI25" s="19"/>
      <c r="QBJ25" s="19"/>
      <c r="QBK25" s="19"/>
      <c r="QBL25" s="19"/>
      <c r="QBM25" s="19"/>
      <c r="QBN25" s="19"/>
      <c r="QBO25" s="19"/>
      <c r="QBP25" s="19"/>
      <c r="QBQ25" s="19"/>
      <c r="QBR25" s="19"/>
      <c r="QBS25" s="19"/>
      <c r="QBT25" s="19"/>
      <c r="QBU25" s="19"/>
      <c r="QBV25" s="19"/>
      <c r="QBW25" s="19"/>
      <c r="QBX25" s="19"/>
      <c r="QBY25" s="19"/>
      <c r="QBZ25" s="19"/>
      <c r="QCA25" s="19"/>
      <c r="QCB25" s="19"/>
      <c r="QCC25" s="19"/>
      <c r="QCD25" s="19"/>
      <c r="QCE25" s="19"/>
      <c r="QCF25" s="19"/>
      <c r="QCG25" s="19"/>
      <c r="QCH25" s="19"/>
      <c r="QCI25" s="19"/>
      <c r="QCJ25" s="19"/>
      <c r="QCK25" s="19"/>
      <c r="QCL25" s="19"/>
      <c r="QCM25" s="19"/>
      <c r="QCN25" s="19"/>
      <c r="QCO25" s="19"/>
      <c r="QCP25" s="19"/>
      <c r="QCQ25" s="19"/>
      <c r="QCR25" s="19"/>
      <c r="QCS25" s="19"/>
      <c r="QCT25" s="19"/>
      <c r="QCU25" s="19"/>
      <c r="QCV25" s="19"/>
      <c r="QCW25" s="19"/>
      <c r="QCX25" s="19"/>
      <c r="QCY25" s="19"/>
      <c r="QCZ25" s="19"/>
      <c r="QDA25" s="19"/>
      <c r="QDB25" s="19"/>
      <c r="QDC25" s="19"/>
      <c r="QDD25" s="19"/>
      <c r="QDE25" s="19"/>
      <c r="QDF25" s="19"/>
      <c r="QDG25" s="19"/>
      <c r="QDH25" s="19"/>
      <c r="QDI25" s="19"/>
      <c r="QDJ25" s="19"/>
      <c r="QDK25" s="19"/>
      <c r="QDL25" s="19"/>
      <c r="QDM25" s="19"/>
      <c r="QDN25" s="19"/>
      <c r="QDO25" s="19"/>
      <c r="QDP25" s="19"/>
      <c r="QDQ25" s="19"/>
      <c r="QDR25" s="19"/>
      <c r="QDS25" s="19"/>
      <c r="QDT25" s="19"/>
      <c r="QDU25" s="19"/>
      <c r="QDV25" s="19"/>
      <c r="QDW25" s="19"/>
      <c r="QDX25" s="19"/>
      <c r="QDY25" s="19"/>
      <c r="QDZ25" s="19"/>
      <c r="QEA25" s="19"/>
      <c r="QEB25" s="19"/>
      <c r="QEC25" s="19"/>
      <c r="QED25" s="19"/>
      <c r="QEE25" s="19"/>
      <c r="QEF25" s="19"/>
      <c r="QEG25" s="19"/>
      <c r="QEH25" s="19"/>
      <c r="QEI25" s="19"/>
      <c r="QEJ25" s="19"/>
      <c r="QEK25" s="19"/>
      <c r="QEL25" s="19"/>
      <c r="QEM25" s="19"/>
      <c r="QEN25" s="19"/>
      <c r="QEO25" s="19"/>
      <c r="QEP25" s="19"/>
      <c r="QEQ25" s="19"/>
      <c r="QER25" s="19"/>
      <c r="QES25" s="19"/>
      <c r="QET25" s="19"/>
      <c r="QEU25" s="19"/>
      <c r="QEV25" s="19"/>
      <c r="QEW25" s="19"/>
      <c r="QEX25" s="19"/>
      <c r="QEY25" s="19"/>
      <c r="QEZ25" s="19"/>
      <c r="QFA25" s="19"/>
      <c r="QFB25" s="19"/>
      <c r="QFC25" s="19"/>
      <c r="QFD25" s="19"/>
      <c r="QFE25" s="19"/>
      <c r="QFF25" s="19"/>
      <c r="QFG25" s="19"/>
      <c r="QFH25" s="19"/>
      <c r="QFI25" s="19"/>
      <c r="QFJ25" s="19"/>
      <c r="QFK25" s="19"/>
      <c r="QFL25" s="19"/>
      <c r="QFM25" s="19"/>
      <c r="QFN25" s="19"/>
      <c r="QFO25" s="19"/>
      <c r="QFP25" s="19"/>
      <c r="QFQ25" s="19"/>
      <c r="QFR25" s="19"/>
      <c r="QFS25" s="19"/>
      <c r="QFT25" s="19"/>
      <c r="QFU25" s="19"/>
      <c r="QFV25" s="19"/>
      <c r="QFW25" s="19"/>
      <c r="QFX25" s="19"/>
      <c r="QFY25" s="19"/>
      <c r="QFZ25" s="19"/>
      <c r="QGA25" s="19"/>
      <c r="QGB25" s="19"/>
      <c r="QGC25" s="19"/>
      <c r="QGD25" s="19"/>
      <c r="QGE25" s="19"/>
      <c r="QGF25" s="19"/>
      <c r="QGG25" s="19"/>
      <c r="QGH25" s="19"/>
      <c r="QGI25" s="19"/>
      <c r="QGJ25" s="19"/>
      <c r="QGK25" s="19"/>
      <c r="QGL25" s="19"/>
      <c r="QGM25" s="19"/>
      <c r="QGN25" s="19"/>
      <c r="QGO25" s="19"/>
      <c r="QGP25" s="19"/>
      <c r="QGQ25" s="19"/>
      <c r="QGR25" s="19"/>
      <c r="QGS25" s="19"/>
      <c r="QGT25" s="19"/>
      <c r="QGU25" s="19"/>
      <c r="QGV25" s="19"/>
      <c r="QGW25" s="19"/>
      <c r="QGX25" s="19"/>
      <c r="QGY25" s="19"/>
      <c r="QGZ25" s="19"/>
      <c r="QHA25" s="19"/>
      <c r="QHB25" s="19"/>
      <c r="QHC25" s="19"/>
      <c r="QHD25" s="19"/>
      <c r="QHE25" s="19"/>
      <c r="QHF25" s="19"/>
      <c r="QHG25" s="19"/>
      <c r="QHH25" s="19"/>
      <c r="QHI25" s="19"/>
      <c r="QHJ25" s="19"/>
      <c r="QHK25" s="19"/>
      <c r="QHL25" s="19"/>
      <c r="QHM25" s="19"/>
      <c r="QHN25" s="19"/>
      <c r="QHO25" s="19"/>
      <c r="QHP25" s="19"/>
      <c r="QHQ25" s="19"/>
      <c r="QHR25" s="19"/>
      <c r="QHS25" s="19"/>
      <c r="QHT25" s="19"/>
      <c r="QHU25" s="19"/>
      <c r="QHV25" s="19"/>
      <c r="QHW25" s="19"/>
      <c r="QHX25" s="19"/>
      <c r="QHY25" s="19"/>
      <c r="QHZ25" s="19"/>
      <c r="QIA25" s="19"/>
      <c r="QIB25" s="19"/>
      <c r="QIC25" s="19"/>
      <c r="QID25" s="19"/>
      <c r="QIE25" s="19"/>
      <c r="QIF25" s="19"/>
      <c r="QIG25" s="19"/>
      <c r="QIH25" s="19"/>
      <c r="QII25" s="19"/>
      <c r="QIJ25" s="19"/>
      <c r="QIK25" s="19"/>
      <c r="QIL25" s="19"/>
      <c r="QIM25" s="19"/>
      <c r="QIN25" s="19"/>
      <c r="QIO25" s="19"/>
      <c r="QIP25" s="19"/>
      <c r="QIQ25" s="19"/>
      <c r="QIR25" s="19"/>
      <c r="QIS25" s="19"/>
      <c r="QIT25" s="19"/>
      <c r="QIU25" s="19"/>
      <c r="QIV25" s="19"/>
      <c r="QIW25" s="19"/>
      <c r="QIX25" s="19"/>
      <c r="QIY25" s="19"/>
      <c r="QIZ25" s="19"/>
      <c r="QJA25" s="19"/>
      <c r="QJB25" s="19"/>
      <c r="QJC25" s="19"/>
      <c r="QJD25" s="19"/>
      <c r="QJE25" s="19"/>
      <c r="QJF25" s="19"/>
      <c r="QJG25" s="19"/>
      <c r="QJH25" s="19"/>
      <c r="QJI25" s="19"/>
      <c r="QJJ25" s="19"/>
      <c r="QJK25" s="19"/>
      <c r="QJL25" s="19"/>
      <c r="QJM25" s="19"/>
      <c r="QJN25" s="19"/>
      <c r="QJO25" s="19"/>
      <c r="QJP25" s="19"/>
      <c r="QJQ25" s="19"/>
      <c r="QJR25" s="19"/>
      <c r="QJS25" s="19"/>
      <c r="QJT25" s="19"/>
      <c r="QJU25" s="19"/>
      <c r="QJV25" s="19"/>
      <c r="QJW25" s="19"/>
      <c r="QJX25" s="19"/>
      <c r="QJY25" s="19"/>
      <c r="QJZ25" s="19"/>
      <c r="QKA25" s="19"/>
      <c r="QKB25" s="19"/>
      <c r="QKC25" s="19"/>
      <c r="QKD25" s="19"/>
      <c r="QKE25" s="19"/>
      <c r="QKF25" s="19"/>
      <c r="QKG25" s="19"/>
      <c r="QKH25" s="19"/>
      <c r="QKI25" s="19"/>
      <c r="QKJ25" s="19"/>
      <c r="QKK25" s="19"/>
      <c r="QKL25" s="19"/>
      <c r="QKM25" s="19"/>
      <c r="QKN25" s="19"/>
      <c r="QKO25" s="19"/>
      <c r="QKP25" s="19"/>
      <c r="QKQ25" s="19"/>
      <c r="QKR25" s="19"/>
      <c r="QKS25" s="19"/>
      <c r="QKT25" s="19"/>
      <c r="QKU25" s="19"/>
      <c r="QKV25" s="19"/>
      <c r="QKW25" s="19"/>
      <c r="QKX25" s="19"/>
      <c r="QKY25" s="19"/>
      <c r="QKZ25" s="19"/>
      <c r="QLA25" s="19"/>
      <c r="QLB25" s="19"/>
      <c r="QLC25" s="19"/>
      <c r="QLD25" s="19"/>
      <c r="QLE25" s="19"/>
      <c r="QLF25" s="19"/>
      <c r="QLG25" s="19"/>
      <c r="QLH25" s="19"/>
      <c r="QLI25" s="19"/>
      <c r="QLJ25" s="19"/>
      <c r="QLK25" s="19"/>
      <c r="QLL25" s="19"/>
      <c r="QLM25" s="19"/>
      <c r="QLN25" s="19"/>
      <c r="QLO25" s="19"/>
      <c r="QLP25" s="19"/>
      <c r="QLQ25" s="19"/>
      <c r="QLR25" s="19"/>
      <c r="QLS25" s="19"/>
      <c r="QLT25" s="19"/>
      <c r="QLU25" s="19"/>
      <c r="QLV25" s="19"/>
      <c r="QLW25" s="19"/>
      <c r="QLX25" s="19"/>
      <c r="QLY25" s="19"/>
      <c r="QLZ25" s="19"/>
      <c r="QMA25" s="19"/>
      <c r="QMB25" s="19"/>
      <c r="QMC25" s="19"/>
      <c r="QMD25" s="19"/>
      <c r="QME25" s="19"/>
      <c r="QMF25" s="19"/>
      <c r="QMG25" s="19"/>
      <c r="QMH25" s="19"/>
      <c r="QMI25" s="19"/>
      <c r="QMJ25" s="19"/>
      <c r="QMK25" s="19"/>
      <c r="QML25" s="19"/>
      <c r="QMM25" s="19"/>
      <c r="QMN25" s="19"/>
      <c r="QMO25" s="19"/>
      <c r="QMP25" s="19"/>
      <c r="QMQ25" s="19"/>
      <c r="QMR25" s="19"/>
      <c r="QMS25" s="19"/>
      <c r="QMT25" s="19"/>
      <c r="QMU25" s="19"/>
      <c r="QMV25" s="19"/>
      <c r="QMW25" s="19"/>
      <c r="QMX25" s="19"/>
      <c r="QMY25" s="19"/>
      <c r="QMZ25" s="19"/>
      <c r="QNA25" s="19"/>
      <c r="QNB25" s="19"/>
      <c r="QNC25" s="19"/>
      <c r="QND25" s="19"/>
      <c r="QNE25" s="19"/>
      <c r="QNF25" s="19"/>
      <c r="QNG25" s="19"/>
      <c r="QNH25" s="19"/>
      <c r="QNI25" s="19"/>
      <c r="QNJ25" s="19"/>
      <c r="QNK25" s="19"/>
      <c r="QNL25" s="19"/>
      <c r="QNM25" s="19"/>
      <c r="QNN25" s="19"/>
      <c r="QNO25" s="19"/>
      <c r="QNP25" s="19"/>
      <c r="QNQ25" s="19"/>
      <c r="QNR25" s="19"/>
      <c r="QNS25" s="19"/>
      <c r="QNT25" s="19"/>
      <c r="QNU25" s="19"/>
      <c r="QNV25" s="19"/>
      <c r="QNW25" s="19"/>
      <c r="QNX25" s="19"/>
      <c r="QNY25" s="19"/>
      <c r="QNZ25" s="19"/>
      <c r="QOA25" s="19"/>
      <c r="QOB25" s="19"/>
      <c r="QOC25" s="19"/>
      <c r="QOD25" s="19"/>
      <c r="QOE25" s="19"/>
      <c r="QOF25" s="19"/>
      <c r="QOG25" s="19"/>
      <c r="QOH25" s="19"/>
      <c r="QOI25" s="19"/>
      <c r="QOJ25" s="19"/>
      <c r="QOK25" s="19"/>
      <c r="QOL25" s="19"/>
      <c r="QOM25" s="19"/>
      <c r="QON25" s="19"/>
      <c r="QOO25" s="19"/>
      <c r="QOP25" s="19"/>
      <c r="QOQ25" s="19"/>
      <c r="QOR25" s="19"/>
      <c r="QOS25" s="19"/>
      <c r="QOT25" s="19"/>
      <c r="QOU25" s="19"/>
      <c r="QOV25" s="19"/>
      <c r="QOW25" s="19"/>
      <c r="QOX25" s="19"/>
      <c r="QOY25" s="19"/>
      <c r="QOZ25" s="19"/>
      <c r="QPA25" s="19"/>
      <c r="QPB25" s="19"/>
      <c r="QPC25" s="19"/>
      <c r="QPD25" s="19"/>
      <c r="QPE25" s="19"/>
      <c r="QPF25" s="19"/>
      <c r="QPG25" s="19"/>
      <c r="QPH25" s="19"/>
      <c r="QPI25" s="19"/>
      <c r="QPJ25" s="19"/>
      <c r="QPK25" s="19"/>
      <c r="QPL25" s="19"/>
      <c r="QPM25" s="19"/>
      <c r="QPN25" s="19"/>
      <c r="QPO25" s="19"/>
      <c r="QPP25" s="19"/>
      <c r="QPQ25" s="19"/>
      <c r="QPR25" s="19"/>
      <c r="QPS25" s="19"/>
      <c r="QPT25" s="19"/>
      <c r="QPU25" s="19"/>
      <c r="QPV25" s="19"/>
      <c r="QPW25" s="19"/>
      <c r="QPX25" s="19"/>
      <c r="QPY25" s="19"/>
      <c r="QPZ25" s="19"/>
      <c r="QQA25" s="19"/>
      <c r="QQB25" s="19"/>
      <c r="QQC25" s="19"/>
      <c r="QQD25" s="19"/>
      <c r="QQE25" s="19"/>
      <c r="QQF25" s="19"/>
      <c r="QQG25" s="19"/>
      <c r="QQH25" s="19"/>
      <c r="QQI25" s="19"/>
      <c r="QQJ25" s="19"/>
      <c r="QQK25" s="19"/>
      <c r="QQL25" s="19"/>
      <c r="QQM25" s="19"/>
      <c r="QQN25" s="19"/>
      <c r="QQO25" s="19"/>
      <c r="QQP25" s="19"/>
      <c r="QQQ25" s="19"/>
      <c r="QQR25" s="19"/>
      <c r="QQS25" s="19"/>
      <c r="QQT25" s="19"/>
      <c r="QQU25" s="19"/>
      <c r="QQV25" s="19"/>
      <c r="QQW25" s="19"/>
      <c r="QQX25" s="19"/>
      <c r="QQY25" s="19"/>
      <c r="QQZ25" s="19"/>
      <c r="QRA25" s="19"/>
      <c r="QRB25" s="19"/>
      <c r="QRC25" s="19"/>
      <c r="QRD25" s="19"/>
      <c r="QRE25" s="19"/>
      <c r="QRF25" s="19"/>
      <c r="QRG25" s="19"/>
      <c r="QRH25" s="19"/>
      <c r="QRI25" s="19"/>
      <c r="QRJ25" s="19"/>
      <c r="QRK25" s="19"/>
      <c r="QRL25" s="19"/>
      <c r="QRM25" s="19"/>
      <c r="QRN25" s="19"/>
      <c r="QRO25" s="19"/>
      <c r="QRP25" s="19"/>
      <c r="QRQ25" s="19"/>
      <c r="QRR25" s="19"/>
      <c r="QRS25" s="19"/>
      <c r="QRT25" s="19"/>
      <c r="QRU25" s="19"/>
      <c r="QRV25" s="19"/>
      <c r="QRW25" s="19"/>
      <c r="QRX25" s="19"/>
      <c r="QRY25" s="19"/>
      <c r="QRZ25" s="19"/>
      <c r="QSA25" s="19"/>
      <c r="QSB25" s="19"/>
      <c r="QSC25" s="19"/>
      <c r="QSD25" s="19"/>
      <c r="QSE25" s="19"/>
      <c r="QSF25" s="19"/>
      <c r="QSG25" s="19"/>
      <c r="QSH25" s="19"/>
      <c r="QSI25" s="19"/>
      <c r="QSJ25" s="19"/>
      <c r="QSK25" s="19"/>
      <c r="QSL25" s="19"/>
      <c r="QSM25" s="19"/>
      <c r="QSN25" s="19"/>
      <c r="QSO25" s="19"/>
      <c r="QSP25" s="19"/>
      <c r="QSQ25" s="19"/>
      <c r="QSR25" s="19"/>
      <c r="QSS25" s="19"/>
      <c r="QST25" s="19"/>
      <c r="QSU25" s="19"/>
      <c r="QSV25" s="19"/>
      <c r="QSW25" s="19"/>
      <c r="QSX25" s="19"/>
      <c r="QSY25" s="19"/>
      <c r="QSZ25" s="19"/>
      <c r="QTA25" s="19"/>
      <c r="QTB25" s="19"/>
      <c r="QTC25" s="19"/>
      <c r="QTD25" s="19"/>
      <c r="QTE25" s="19"/>
      <c r="QTF25" s="19"/>
      <c r="QTG25" s="19"/>
      <c r="QTH25" s="19"/>
      <c r="QTI25" s="19"/>
      <c r="QTJ25" s="19"/>
      <c r="QTK25" s="19"/>
      <c r="QTL25" s="19"/>
      <c r="QTM25" s="19"/>
      <c r="QTN25" s="19"/>
      <c r="QTO25" s="19"/>
      <c r="QTP25" s="19"/>
      <c r="QTQ25" s="19"/>
      <c r="QTR25" s="19"/>
      <c r="QTS25" s="19"/>
      <c r="QTT25" s="19"/>
      <c r="QTU25" s="19"/>
      <c r="QTV25" s="19"/>
      <c r="QTW25" s="19"/>
      <c r="QTX25" s="19"/>
      <c r="QTY25" s="19"/>
      <c r="QTZ25" s="19"/>
      <c r="QUA25" s="19"/>
      <c r="QUB25" s="19"/>
      <c r="QUC25" s="19"/>
      <c r="QUD25" s="19"/>
      <c r="QUE25" s="19"/>
      <c r="QUF25" s="19"/>
      <c r="QUG25" s="19"/>
      <c r="QUH25" s="19"/>
      <c r="QUI25" s="19"/>
      <c r="QUJ25" s="19"/>
      <c r="QUK25" s="19"/>
      <c r="QUL25" s="19"/>
      <c r="QUM25" s="19"/>
      <c r="QUN25" s="19"/>
      <c r="QUO25" s="19"/>
      <c r="QUP25" s="19"/>
      <c r="QUQ25" s="19"/>
      <c r="QUR25" s="19"/>
      <c r="QUS25" s="19"/>
      <c r="QUT25" s="19"/>
      <c r="QUU25" s="19"/>
      <c r="QUV25" s="19"/>
      <c r="QUW25" s="19"/>
      <c r="QUX25" s="19"/>
      <c r="QUY25" s="19"/>
      <c r="QUZ25" s="19"/>
      <c r="QVA25" s="19"/>
      <c r="QVB25" s="19"/>
      <c r="QVC25" s="19"/>
      <c r="QVD25" s="19"/>
      <c r="QVE25" s="19"/>
      <c r="QVF25" s="19"/>
      <c r="QVG25" s="19"/>
      <c r="QVH25" s="19"/>
      <c r="QVI25" s="19"/>
      <c r="QVJ25" s="19"/>
      <c r="QVK25" s="19"/>
      <c r="QVL25" s="19"/>
      <c r="QVM25" s="19"/>
      <c r="QVN25" s="19"/>
      <c r="QVO25" s="19"/>
      <c r="QVP25" s="19"/>
      <c r="QVQ25" s="19"/>
      <c r="QVR25" s="19"/>
      <c r="QVS25" s="19"/>
      <c r="QVT25" s="19"/>
      <c r="QVU25" s="19"/>
      <c r="QVV25" s="19"/>
      <c r="QVW25" s="19"/>
      <c r="QVX25" s="19"/>
      <c r="QVY25" s="19"/>
      <c r="QVZ25" s="19"/>
      <c r="QWA25" s="19"/>
      <c r="QWB25" s="19"/>
      <c r="QWC25" s="19"/>
      <c r="QWD25" s="19"/>
      <c r="QWE25" s="19"/>
      <c r="QWF25" s="19"/>
      <c r="QWG25" s="19"/>
      <c r="QWH25" s="19"/>
      <c r="QWI25" s="19"/>
      <c r="QWJ25" s="19"/>
      <c r="QWK25" s="19"/>
      <c r="QWL25" s="19"/>
      <c r="QWM25" s="19"/>
      <c r="QWN25" s="19"/>
      <c r="QWO25" s="19"/>
      <c r="QWP25" s="19"/>
      <c r="QWQ25" s="19"/>
      <c r="QWR25" s="19"/>
      <c r="QWS25" s="19"/>
      <c r="QWT25" s="19"/>
      <c r="QWU25" s="19"/>
      <c r="QWV25" s="19"/>
      <c r="QWW25" s="19"/>
      <c r="QWX25" s="19"/>
      <c r="QWY25" s="19"/>
      <c r="QWZ25" s="19"/>
      <c r="QXA25" s="19"/>
      <c r="QXB25" s="19"/>
      <c r="QXC25" s="19"/>
      <c r="QXD25" s="19"/>
      <c r="QXE25" s="19"/>
      <c r="QXF25" s="19"/>
      <c r="QXG25" s="19"/>
      <c r="QXH25" s="19"/>
      <c r="QXI25" s="19"/>
      <c r="QXJ25" s="19"/>
      <c r="QXK25" s="19"/>
      <c r="QXL25" s="19"/>
      <c r="QXM25" s="19"/>
      <c r="QXN25" s="19"/>
      <c r="QXO25" s="19"/>
      <c r="QXP25" s="19"/>
      <c r="QXQ25" s="19"/>
      <c r="QXR25" s="19"/>
      <c r="QXS25" s="19"/>
      <c r="QXT25" s="19"/>
      <c r="QXU25" s="19"/>
      <c r="QXV25" s="19"/>
      <c r="QXW25" s="19"/>
      <c r="QXX25" s="19"/>
      <c r="QXY25" s="19"/>
      <c r="QXZ25" s="19"/>
      <c r="QYA25" s="19"/>
      <c r="QYB25" s="19"/>
      <c r="QYC25" s="19"/>
      <c r="QYD25" s="19"/>
      <c r="QYE25" s="19"/>
      <c r="QYF25" s="19"/>
      <c r="QYG25" s="19"/>
      <c r="QYH25" s="19"/>
      <c r="QYI25" s="19"/>
      <c r="QYJ25" s="19"/>
      <c r="QYK25" s="19"/>
      <c r="QYL25" s="19"/>
      <c r="QYM25" s="19"/>
      <c r="QYN25" s="19"/>
      <c r="QYO25" s="19"/>
      <c r="QYP25" s="19"/>
      <c r="QYQ25" s="19"/>
      <c r="QYR25" s="19"/>
      <c r="QYS25" s="19"/>
      <c r="QYT25" s="19"/>
      <c r="QYU25" s="19"/>
      <c r="QYV25" s="19"/>
      <c r="QYW25" s="19"/>
      <c r="QYX25" s="19"/>
      <c r="QYY25" s="19"/>
      <c r="QYZ25" s="19"/>
      <c r="QZA25" s="19"/>
      <c r="QZB25" s="19"/>
      <c r="QZC25" s="19"/>
      <c r="QZD25" s="19"/>
      <c r="QZE25" s="19"/>
      <c r="QZF25" s="19"/>
      <c r="QZG25" s="19"/>
      <c r="QZH25" s="19"/>
      <c r="QZI25" s="19"/>
      <c r="QZJ25" s="19"/>
      <c r="QZK25" s="19"/>
      <c r="QZL25" s="19"/>
      <c r="QZM25" s="19"/>
      <c r="QZN25" s="19"/>
      <c r="QZO25" s="19"/>
      <c r="QZP25" s="19"/>
      <c r="QZQ25" s="19"/>
      <c r="QZR25" s="19"/>
      <c r="QZS25" s="19"/>
      <c r="QZT25" s="19"/>
      <c r="QZU25" s="19"/>
      <c r="QZV25" s="19"/>
      <c r="QZW25" s="19"/>
      <c r="QZX25" s="19"/>
      <c r="QZY25" s="19"/>
      <c r="QZZ25" s="19"/>
      <c r="RAA25" s="19"/>
      <c r="RAB25" s="19"/>
      <c r="RAC25" s="19"/>
      <c r="RAD25" s="19"/>
      <c r="RAE25" s="19"/>
      <c r="RAF25" s="19"/>
      <c r="RAG25" s="19"/>
      <c r="RAH25" s="19"/>
      <c r="RAI25" s="19"/>
      <c r="RAJ25" s="19"/>
      <c r="RAK25" s="19"/>
      <c r="RAL25" s="19"/>
      <c r="RAM25" s="19"/>
      <c r="RAN25" s="19"/>
      <c r="RAO25" s="19"/>
      <c r="RAP25" s="19"/>
      <c r="RAQ25" s="19"/>
      <c r="RAR25" s="19"/>
      <c r="RAS25" s="19"/>
      <c r="RAT25" s="19"/>
      <c r="RAU25" s="19"/>
      <c r="RAV25" s="19"/>
      <c r="RAW25" s="19"/>
      <c r="RAX25" s="19"/>
      <c r="RAY25" s="19"/>
      <c r="RAZ25" s="19"/>
      <c r="RBA25" s="19"/>
      <c r="RBB25" s="19"/>
      <c r="RBC25" s="19"/>
      <c r="RBD25" s="19"/>
      <c r="RBE25" s="19"/>
      <c r="RBF25" s="19"/>
      <c r="RBG25" s="19"/>
      <c r="RBH25" s="19"/>
      <c r="RBI25" s="19"/>
      <c r="RBJ25" s="19"/>
      <c r="RBK25" s="19"/>
      <c r="RBL25" s="19"/>
      <c r="RBM25" s="19"/>
      <c r="RBN25" s="19"/>
      <c r="RBO25" s="19"/>
      <c r="RBP25" s="19"/>
      <c r="RBQ25" s="19"/>
      <c r="RBR25" s="19"/>
      <c r="RBS25" s="19"/>
      <c r="RBT25" s="19"/>
      <c r="RBU25" s="19"/>
      <c r="RBV25" s="19"/>
      <c r="RBW25" s="19"/>
      <c r="RBX25" s="19"/>
      <c r="RBY25" s="19"/>
      <c r="RBZ25" s="19"/>
      <c r="RCA25" s="19"/>
      <c r="RCB25" s="19"/>
      <c r="RCC25" s="19"/>
      <c r="RCD25" s="19"/>
      <c r="RCE25" s="19"/>
      <c r="RCF25" s="19"/>
      <c r="RCG25" s="19"/>
      <c r="RCH25" s="19"/>
      <c r="RCI25" s="19"/>
      <c r="RCJ25" s="19"/>
      <c r="RCK25" s="19"/>
      <c r="RCL25" s="19"/>
      <c r="RCM25" s="19"/>
      <c r="RCN25" s="19"/>
      <c r="RCO25" s="19"/>
      <c r="RCP25" s="19"/>
      <c r="RCQ25" s="19"/>
      <c r="RCR25" s="19"/>
      <c r="RCS25" s="19"/>
      <c r="RCT25" s="19"/>
      <c r="RCU25" s="19"/>
      <c r="RCV25" s="19"/>
      <c r="RCW25" s="19"/>
      <c r="RCX25" s="19"/>
      <c r="RCY25" s="19"/>
      <c r="RCZ25" s="19"/>
      <c r="RDA25" s="19"/>
      <c r="RDB25" s="19"/>
      <c r="RDC25" s="19"/>
      <c r="RDD25" s="19"/>
      <c r="RDE25" s="19"/>
      <c r="RDF25" s="19"/>
      <c r="RDG25" s="19"/>
      <c r="RDH25" s="19"/>
      <c r="RDI25" s="19"/>
      <c r="RDJ25" s="19"/>
      <c r="RDK25" s="19"/>
      <c r="RDL25" s="19"/>
      <c r="RDM25" s="19"/>
      <c r="RDN25" s="19"/>
      <c r="RDO25" s="19"/>
      <c r="RDP25" s="19"/>
      <c r="RDQ25" s="19"/>
      <c r="RDR25" s="19"/>
      <c r="RDS25" s="19"/>
      <c r="RDT25" s="19"/>
      <c r="RDU25" s="19"/>
      <c r="RDV25" s="19"/>
      <c r="RDW25" s="19"/>
      <c r="RDX25" s="19"/>
      <c r="RDY25" s="19"/>
      <c r="RDZ25" s="19"/>
      <c r="REA25" s="19"/>
      <c r="REB25" s="19"/>
      <c r="REC25" s="19"/>
      <c r="RED25" s="19"/>
      <c r="REE25" s="19"/>
      <c r="REF25" s="19"/>
      <c r="REG25" s="19"/>
      <c r="REH25" s="19"/>
      <c r="REI25" s="19"/>
      <c r="REJ25" s="19"/>
      <c r="REK25" s="19"/>
      <c r="REL25" s="19"/>
      <c r="REM25" s="19"/>
      <c r="REN25" s="19"/>
      <c r="REO25" s="19"/>
      <c r="REP25" s="19"/>
      <c r="REQ25" s="19"/>
      <c r="RER25" s="19"/>
      <c r="RES25" s="19"/>
      <c r="RET25" s="19"/>
      <c r="REU25" s="19"/>
      <c r="REV25" s="19"/>
      <c r="REW25" s="19"/>
      <c r="REX25" s="19"/>
      <c r="REY25" s="19"/>
      <c r="REZ25" s="19"/>
      <c r="RFA25" s="19"/>
      <c r="RFB25" s="19"/>
      <c r="RFC25" s="19"/>
      <c r="RFD25" s="19"/>
      <c r="RFE25" s="19"/>
      <c r="RFF25" s="19"/>
      <c r="RFG25" s="19"/>
      <c r="RFH25" s="19"/>
      <c r="RFI25" s="19"/>
      <c r="RFJ25" s="19"/>
      <c r="RFK25" s="19"/>
      <c r="RFL25" s="19"/>
      <c r="RFM25" s="19"/>
      <c r="RFN25" s="19"/>
      <c r="RFO25" s="19"/>
      <c r="RFP25" s="19"/>
      <c r="RFQ25" s="19"/>
      <c r="RFR25" s="19"/>
      <c r="RFS25" s="19"/>
      <c r="RFT25" s="19"/>
      <c r="RFU25" s="19"/>
      <c r="RFV25" s="19"/>
      <c r="RFW25" s="19"/>
      <c r="RFX25" s="19"/>
      <c r="RFY25" s="19"/>
      <c r="RFZ25" s="19"/>
      <c r="RGA25" s="19"/>
      <c r="RGB25" s="19"/>
      <c r="RGC25" s="19"/>
      <c r="RGD25" s="19"/>
      <c r="RGE25" s="19"/>
      <c r="RGF25" s="19"/>
      <c r="RGG25" s="19"/>
      <c r="RGH25" s="19"/>
      <c r="RGI25" s="19"/>
      <c r="RGJ25" s="19"/>
      <c r="RGK25" s="19"/>
      <c r="RGL25" s="19"/>
      <c r="RGM25" s="19"/>
      <c r="RGN25" s="19"/>
      <c r="RGO25" s="19"/>
      <c r="RGP25" s="19"/>
      <c r="RGQ25" s="19"/>
      <c r="RGR25" s="19"/>
      <c r="RGS25" s="19"/>
      <c r="RGT25" s="19"/>
      <c r="RGU25" s="19"/>
      <c r="RGV25" s="19"/>
      <c r="RGW25" s="19"/>
      <c r="RGX25" s="19"/>
      <c r="RGY25" s="19"/>
      <c r="RGZ25" s="19"/>
      <c r="RHA25" s="19"/>
      <c r="RHB25" s="19"/>
      <c r="RHC25" s="19"/>
      <c r="RHD25" s="19"/>
      <c r="RHE25" s="19"/>
      <c r="RHF25" s="19"/>
      <c r="RHG25" s="19"/>
      <c r="RHH25" s="19"/>
      <c r="RHI25" s="19"/>
      <c r="RHJ25" s="19"/>
      <c r="RHK25" s="19"/>
      <c r="RHL25" s="19"/>
      <c r="RHM25" s="19"/>
      <c r="RHN25" s="19"/>
      <c r="RHO25" s="19"/>
      <c r="RHP25" s="19"/>
      <c r="RHQ25" s="19"/>
      <c r="RHR25" s="19"/>
      <c r="RHS25" s="19"/>
      <c r="RHT25" s="19"/>
      <c r="RHU25" s="19"/>
      <c r="RHV25" s="19"/>
      <c r="RHW25" s="19"/>
      <c r="RHX25" s="19"/>
      <c r="RHY25" s="19"/>
      <c r="RHZ25" s="19"/>
      <c r="RIA25" s="19"/>
      <c r="RIB25" s="19"/>
      <c r="RIC25" s="19"/>
      <c r="RID25" s="19"/>
      <c r="RIE25" s="19"/>
      <c r="RIF25" s="19"/>
      <c r="RIG25" s="19"/>
      <c r="RIH25" s="19"/>
      <c r="RII25" s="19"/>
      <c r="RIJ25" s="19"/>
      <c r="RIK25" s="19"/>
      <c r="RIL25" s="19"/>
      <c r="RIM25" s="19"/>
      <c r="RIN25" s="19"/>
      <c r="RIO25" s="19"/>
      <c r="RIP25" s="19"/>
      <c r="RIQ25" s="19"/>
      <c r="RIR25" s="19"/>
      <c r="RIS25" s="19"/>
      <c r="RIT25" s="19"/>
      <c r="RIU25" s="19"/>
      <c r="RIV25" s="19"/>
      <c r="RIW25" s="19"/>
      <c r="RIX25" s="19"/>
      <c r="RIY25" s="19"/>
      <c r="RIZ25" s="19"/>
      <c r="RJA25" s="19"/>
      <c r="RJB25" s="19"/>
      <c r="RJC25" s="19"/>
      <c r="RJD25" s="19"/>
      <c r="RJE25" s="19"/>
      <c r="RJF25" s="19"/>
      <c r="RJG25" s="19"/>
      <c r="RJH25" s="19"/>
      <c r="RJI25" s="19"/>
      <c r="RJJ25" s="19"/>
      <c r="RJK25" s="19"/>
      <c r="RJL25" s="19"/>
      <c r="RJM25" s="19"/>
      <c r="RJN25" s="19"/>
      <c r="RJO25" s="19"/>
      <c r="RJP25" s="19"/>
      <c r="RJQ25" s="19"/>
      <c r="RJR25" s="19"/>
      <c r="RJS25" s="19"/>
      <c r="RJT25" s="19"/>
      <c r="RJU25" s="19"/>
      <c r="RJV25" s="19"/>
      <c r="RJW25" s="19"/>
      <c r="RJX25" s="19"/>
      <c r="RJY25" s="19"/>
      <c r="RJZ25" s="19"/>
      <c r="RKA25" s="19"/>
      <c r="RKB25" s="19"/>
      <c r="RKC25" s="19"/>
      <c r="RKD25" s="19"/>
      <c r="RKE25" s="19"/>
      <c r="RKF25" s="19"/>
      <c r="RKG25" s="19"/>
      <c r="RKH25" s="19"/>
      <c r="RKI25" s="19"/>
      <c r="RKJ25" s="19"/>
      <c r="RKK25" s="19"/>
      <c r="RKL25" s="19"/>
      <c r="RKM25" s="19"/>
      <c r="RKN25" s="19"/>
      <c r="RKO25" s="19"/>
      <c r="RKP25" s="19"/>
      <c r="RKQ25" s="19"/>
      <c r="RKR25" s="19"/>
      <c r="RKS25" s="19"/>
      <c r="RKT25" s="19"/>
      <c r="RKU25" s="19"/>
      <c r="RKV25" s="19"/>
      <c r="RKW25" s="19"/>
      <c r="RKX25" s="19"/>
      <c r="RKY25" s="19"/>
      <c r="RKZ25" s="19"/>
      <c r="RLA25" s="19"/>
      <c r="RLB25" s="19"/>
      <c r="RLC25" s="19"/>
      <c r="RLD25" s="19"/>
      <c r="RLE25" s="19"/>
      <c r="RLF25" s="19"/>
      <c r="RLG25" s="19"/>
      <c r="RLH25" s="19"/>
      <c r="RLI25" s="19"/>
      <c r="RLJ25" s="19"/>
      <c r="RLK25" s="19"/>
      <c r="RLL25" s="19"/>
      <c r="RLM25" s="19"/>
      <c r="RLN25" s="19"/>
      <c r="RLO25" s="19"/>
      <c r="RLP25" s="19"/>
      <c r="RLQ25" s="19"/>
      <c r="RLR25" s="19"/>
      <c r="RLS25" s="19"/>
      <c r="RLT25" s="19"/>
      <c r="RLU25" s="19"/>
      <c r="RLV25" s="19"/>
      <c r="RLW25" s="19"/>
      <c r="RLX25" s="19"/>
      <c r="RLY25" s="19"/>
      <c r="RLZ25" s="19"/>
      <c r="RMA25" s="19"/>
      <c r="RMB25" s="19"/>
      <c r="RMC25" s="19"/>
      <c r="RMD25" s="19"/>
      <c r="RME25" s="19"/>
      <c r="RMF25" s="19"/>
      <c r="RMG25" s="19"/>
      <c r="RMH25" s="19"/>
      <c r="RMI25" s="19"/>
      <c r="RMJ25" s="19"/>
      <c r="RMK25" s="19"/>
      <c r="RML25" s="19"/>
      <c r="RMM25" s="19"/>
      <c r="RMN25" s="19"/>
      <c r="RMO25" s="19"/>
      <c r="RMP25" s="19"/>
      <c r="RMQ25" s="19"/>
      <c r="RMR25" s="19"/>
      <c r="RMS25" s="19"/>
      <c r="RMT25" s="19"/>
      <c r="RMU25" s="19"/>
      <c r="RMV25" s="19"/>
      <c r="RMW25" s="19"/>
      <c r="RMX25" s="19"/>
      <c r="RMY25" s="19"/>
      <c r="RMZ25" s="19"/>
      <c r="RNA25" s="19"/>
      <c r="RNB25" s="19"/>
      <c r="RNC25" s="19"/>
      <c r="RND25" s="19"/>
      <c r="RNE25" s="19"/>
      <c r="RNF25" s="19"/>
      <c r="RNG25" s="19"/>
      <c r="RNH25" s="19"/>
      <c r="RNI25" s="19"/>
      <c r="RNJ25" s="19"/>
      <c r="RNK25" s="19"/>
      <c r="RNL25" s="19"/>
      <c r="RNM25" s="19"/>
      <c r="RNN25" s="19"/>
      <c r="RNO25" s="19"/>
      <c r="RNP25" s="19"/>
      <c r="RNQ25" s="19"/>
      <c r="RNR25" s="19"/>
      <c r="RNS25" s="19"/>
      <c r="RNT25" s="19"/>
      <c r="RNU25" s="19"/>
      <c r="RNV25" s="19"/>
      <c r="RNW25" s="19"/>
      <c r="RNX25" s="19"/>
      <c r="RNY25" s="19"/>
      <c r="RNZ25" s="19"/>
      <c r="ROA25" s="19"/>
      <c r="ROB25" s="19"/>
      <c r="ROC25" s="19"/>
      <c r="ROD25" s="19"/>
      <c r="ROE25" s="19"/>
      <c r="ROF25" s="19"/>
      <c r="ROG25" s="19"/>
      <c r="ROH25" s="19"/>
      <c r="ROI25" s="19"/>
      <c r="ROJ25" s="19"/>
      <c r="ROK25" s="19"/>
      <c r="ROL25" s="19"/>
      <c r="ROM25" s="19"/>
      <c r="RON25" s="19"/>
      <c r="ROO25" s="19"/>
      <c r="ROP25" s="19"/>
      <c r="ROQ25" s="19"/>
      <c r="ROR25" s="19"/>
      <c r="ROS25" s="19"/>
      <c r="ROT25" s="19"/>
      <c r="ROU25" s="19"/>
      <c r="ROV25" s="19"/>
      <c r="ROW25" s="19"/>
      <c r="ROX25" s="19"/>
      <c r="ROY25" s="19"/>
      <c r="ROZ25" s="19"/>
      <c r="RPA25" s="19"/>
      <c r="RPB25" s="19"/>
      <c r="RPC25" s="19"/>
      <c r="RPD25" s="19"/>
      <c r="RPE25" s="19"/>
      <c r="RPF25" s="19"/>
      <c r="RPG25" s="19"/>
      <c r="RPH25" s="19"/>
      <c r="RPI25" s="19"/>
      <c r="RPJ25" s="19"/>
      <c r="RPK25" s="19"/>
      <c r="RPL25" s="19"/>
      <c r="RPM25" s="19"/>
      <c r="RPN25" s="19"/>
      <c r="RPO25" s="19"/>
      <c r="RPP25" s="19"/>
      <c r="RPQ25" s="19"/>
      <c r="RPR25" s="19"/>
      <c r="RPS25" s="19"/>
      <c r="RPT25" s="19"/>
      <c r="RPU25" s="19"/>
      <c r="RPV25" s="19"/>
      <c r="RPW25" s="19"/>
      <c r="RPX25" s="19"/>
      <c r="RPY25" s="19"/>
      <c r="RPZ25" s="19"/>
      <c r="RQA25" s="19"/>
      <c r="RQB25" s="19"/>
      <c r="RQC25" s="19"/>
      <c r="RQD25" s="19"/>
      <c r="RQE25" s="19"/>
      <c r="RQF25" s="19"/>
      <c r="RQG25" s="19"/>
      <c r="RQH25" s="19"/>
      <c r="RQI25" s="19"/>
      <c r="RQJ25" s="19"/>
      <c r="RQK25" s="19"/>
      <c r="RQL25" s="19"/>
      <c r="RQM25" s="19"/>
      <c r="RQN25" s="19"/>
      <c r="RQO25" s="19"/>
      <c r="RQP25" s="19"/>
      <c r="RQQ25" s="19"/>
      <c r="RQR25" s="19"/>
      <c r="RQS25" s="19"/>
      <c r="RQT25" s="19"/>
      <c r="RQU25" s="19"/>
      <c r="RQV25" s="19"/>
      <c r="RQW25" s="19"/>
      <c r="RQX25" s="19"/>
      <c r="RQY25" s="19"/>
      <c r="RQZ25" s="19"/>
      <c r="RRA25" s="19"/>
      <c r="RRB25" s="19"/>
      <c r="RRC25" s="19"/>
      <c r="RRD25" s="19"/>
      <c r="RRE25" s="19"/>
      <c r="RRF25" s="19"/>
      <c r="RRG25" s="19"/>
      <c r="RRH25" s="19"/>
      <c r="RRI25" s="19"/>
      <c r="RRJ25" s="19"/>
      <c r="RRK25" s="19"/>
      <c r="RRL25" s="19"/>
      <c r="RRM25" s="19"/>
      <c r="RRN25" s="19"/>
      <c r="RRO25" s="19"/>
      <c r="RRP25" s="19"/>
      <c r="RRQ25" s="19"/>
      <c r="RRR25" s="19"/>
      <c r="RRS25" s="19"/>
      <c r="RRT25" s="19"/>
      <c r="RRU25" s="19"/>
      <c r="RRV25" s="19"/>
      <c r="RRW25" s="19"/>
      <c r="RRX25" s="19"/>
      <c r="RRY25" s="19"/>
      <c r="RRZ25" s="19"/>
      <c r="RSA25" s="19"/>
      <c r="RSB25" s="19"/>
      <c r="RSC25" s="19"/>
      <c r="RSD25" s="19"/>
      <c r="RSE25" s="19"/>
      <c r="RSF25" s="19"/>
      <c r="RSG25" s="19"/>
      <c r="RSH25" s="19"/>
      <c r="RSI25" s="19"/>
      <c r="RSJ25" s="19"/>
      <c r="RSK25" s="19"/>
      <c r="RSL25" s="19"/>
      <c r="RSM25" s="19"/>
      <c r="RSN25" s="19"/>
      <c r="RSO25" s="19"/>
      <c r="RSP25" s="19"/>
      <c r="RSQ25" s="19"/>
      <c r="RSR25" s="19"/>
      <c r="RSS25" s="19"/>
      <c r="RST25" s="19"/>
      <c r="RSU25" s="19"/>
      <c r="RSV25" s="19"/>
      <c r="RSW25" s="19"/>
      <c r="RSX25" s="19"/>
      <c r="RSY25" s="19"/>
      <c r="RSZ25" s="19"/>
      <c r="RTA25" s="19"/>
      <c r="RTB25" s="19"/>
      <c r="RTC25" s="19"/>
      <c r="RTD25" s="19"/>
      <c r="RTE25" s="19"/>
      <c r="RTF25" s="19"/>
      <c r="RTG25" s="19"/>
      <c r="RTH25" s="19"/>
      <c r="RTI25" s="19"/>
      <c r="RTJ25" s="19"/>
      <c r="RTK25" s="19"/>
      <c r="RTL25" s="19"/>
      <c r="RTM25" s="19"/>
      <c r="RTN25" s="19"/>
      <c r="RTO25" s="19"/>
      <c r="RTP25" s="19"/>
      <c r="RTQ25" s="19"/>
      <c r="RTR25" s="19"/>
      <c r="RTS25" s="19"/>
      <c r="RTT25" s="19"/>
      <c r="RTU25" s="19"/>
      <c r="RTV25" s="19"/>
      <c r="RTW25" s="19"/>
      <c r="RTX25" s="19"/>
      <c r="RTY25" s="19"/>
      <c r="RTZ25" s="19"/>
      <c r="RUA25" s="19"/>
      <c r="RUB25" s="19"/>
      <c r="RUC25" s="19"/>
      <c r="RUD25" s="19"/>
      <c r="RUE25" s="19"/>
      <c r="RUF25" s="19"/>
      <c r="RUG25" s="19"/>
      <c r="RUH25" s="19"/>
      <c r="RUI25" s="19"/>
      <c r="RUJ25" s="19"/>
      <c r="RUK25" s="19"/>
      <c r="RUL25" s="19"/>
      <c r="RUM25" s="19"/>
      <c r="RUN25" s="19"/>
      <c r="RUO25" s="19"/>
      <c r="RUP25" s="19"/>
      <c r="RUQ25" s="19"/>
      <c r="RUR25" s="19"/>
      <c r="RUS25" s="19"/>
      <c r="RUT25" s="19"/>
      <c r="RUU25" s="19"/>
      <c r="RUV25" s="19"/>
      <c r="RUW25" s="19"/>
      <c r="RUX25" s="19"/>
      <c r="RUY25" s="19"/>
      <c r="RUZ25" s="19"/>
      <c r="RVA25" s="19"/>
      <c r="RVB25" s="19"/>
      <c r="RVC25" s="19"/>
      <c r="RVD25" s="19"/>
      <c r="RVE25" s="19"/>
      <c r="RVF25" s="19"/>
      <c r="RVG25" s="19"/>
      <c r="RVH25" s="19"/>
      <c r="RVI25" s="19"/>
      <c r="RVJ25" s="19"/>
      <c r="RVK25" s="19"/>
      <c r="RVL25" s="19"/>
      <c r="RVM25" s="19"/>
      <c r="RVN25" s="19"/>
      <c r="RVO25" s="19"/>
      <c r="RVP25" s="19"/>
      <c r="RVQ25" s="19"/>
      <c r="RVR25" s="19"/>
      <c r="RVS25" s="19"/>
      <c r="RVT25" s="19"/>
      <c r="RVU25" s="19"/>
      <c r="RVV25" s="19"/>
      <c r="RVW25" s="19"/>
      <c r="RVX25" s="19"/>
      <c r="RVY25" s="19"/>
      <c r="RVZ25" s="19"/>
      <c r="RWA25" s="19"/>
      <c r="RWB25" s="19"/>
      <c r="RWC25" s="19"/>
      <c r="RWD25" s="19"/>
      <c r="RWE25" s="19"/>
      <c r="RWF25" s="19"/>
      <c r="RWG25" s="19"/>
      <c r="RWH25" s="19"/>
      <c r="RWI25" s="19"/>
      <c r="RWJ25" s="19"/>
      <c r="RWK25" s="19"/>
      <c r="RWL25" s="19"/>
      <c r="RWM25" s="19"/>
      <c r="RWN25" s="19"/>
      <c r="RWO25" s="19"/>
      <c r="RWP25" s="19"/>
      <c r="RWQ25" s="19"/>
      <c r="RWR25" s="19"/>
      <c r="RWS25" s="19"/>
      <c r="RWT25" s="19"/>
      <c r="RWU25" s="19"/>
      <c r="RWV25" s="19"/>
      <c r="RWW25" s="19"/>
      <c r="RWX25" s="19"/>
      <c r="RWY25" s="19"/>
      <c r="RWZ25" s="19"/>
      <c r="RXA25" s="19"/>
      <c r="RXB25" s="19"/>
      <c r="RXC25" s="19"/>
      <c r="RXD25" s="19"/>
      <c r="RXE25" s="19"/>
      <c r="RXF25" s="19"/>
      <c r="RXG25" s="19"/>
      <c r="RXH25" s="19"/>
      <c r="RXI25" s="19"/>
      <c r="RXJ25" s="19"/>
      <c r="RXK25" s="19"/>
      <c r="RXL25" s="19"/>
      <c r="RXM25" s="19"/>
      <c r="RXN25" s="19"/>
      <c r="RXO25" s="19"/>
      <c r="RXP25" s="19"/>
      <c r="RXQ25" s="19"/>
      <c r="RXR25" s="19"/>
      <c r="RXS25" s="19"/>
      <c r="RXT25" s="19"/>
      <c r="RXU25" s="19"/>
      <c r="RXV25" s="19"/>
      <c r="RXW25" s="19"/>
      <c r="RXX25" s="19"/>
      <c r="RXY25" s="19"/>
      <c r="RXZ25" s="19"/>
      <c r="RYA25" s="19"/>
      <c r="RYB25" s="19"/>
      <c r="RYC25" s="19"/>
      <c r="RYD25" s="19"/>
      <c r="RYE25" s="19"/>
      <c r="RYF25" s="19"/>
      <c r="RYG25" s="19"/>
      <c r="RYH25" s="19"/>
      <c r="RYI25" s="19"/>
      <c r="RYJ25" s="19"/>
      <c r="RYK25" s="19"/>
      <c r="RYL25" s="19"/>
      <c r="RYM25" s="19"/>
      <c r="RYN25" s="19"/>
      <c r="RYO25" s="19"/>
      <c r="RYP25" s="19"/>
      <c r="RYQ25" s="19"/>
      <c r="RYR25" s="19"/>
      <c r="RYS25" s="19"/>
      <c r="RYT25" s="19"/>
      <c r="RYU25" s="19"/>
      <c r="RYV25" s="19"/>
      <c r="RYW25" s="19"/>
      <c r="RYX25" s="19"/>
      <c r="RYY25" s="19"/>
      <c r="RYZ25" s="19"/>
      <c r="RZA25" s="19"/>
      <c r="RZB25" s="19"/>
      <c r="RZC25" s="19"/>
      <c r="RZD25" s="19"/>
      <c r="RZE25" s="19"/>
      <c r="RZF25" s="19"/>
      <c r="RZG25" s="19"/>
      <c r="RZH25" s="19"/>
      <c r="RZI25" s="19"/>
      <c r="RZJ25" s="19"/>
      <c r="RZK25" s="19"/>
      <c r="RZL25" s="19"/>
      <c r="RZM25" s="19"/>
      <c r="RZN25" s="19"/>
      <c r="RZO25" s="19"/>
      <c r="RZP25" s="19"/>
      <c r="RZQ25" s="19"/>
      <c r="RZR25" s="19"/>
      <c r="RZS25" s="19"/>
      <c r="RZT25" s="19"/>
      <c r="RZU25" s="19"/>
      <c r="RZV25" s="19"/>
      <c r="RZW25" s="19"/>
      <c r="RZX25" s="19"/>
      <c r="RZY25" s="19"/>
      <c r="RZZ25" s="19"/>
      <c r="SAA25" s="19"/>
      <c r="SAB25" s="19"/>
      <c r="SAC25" s="19"/>
      <c r="SAD25" s="19"/>
      <c r="SAE25" s="19"/>
      <c r="SAF25" s="19"/>
      <c r="SAG25" s="19"/>
      <c r="SAH25" s="19"/>
      <c r="SAI25" s="19"/>
      <c r="SAJ25" s="19"/>
      <c r="SAK25" s="19"/>
      <c r="SAL25" s="19"/>
      <c r="SAM25" s="19"/>
      <c r="SAN25" s="19"/>
      <c r="SAO25" s="19"/>
      <c r="SAP25" s="19"/>
      <c r="SAQ25" s="19"/>
      <c r="SAR25" s="19"/>
      <c r="SAS25" s="19"/>
      <c r="SAT25" s="19"/>
      <c r="SAU25" s="19"/>
      <c r="SAV25" s="19"/>
      <c r="SAW25" s="19"/>
      <c r="SAX25" s="19"/>
      <c r="SAY25" s="19"/>
      <c r="SAZ25" s="19"/>
      <c r="SBA25" s="19"/>
      <c r="SBB25" s="19"/>
      <c r="SBC25" s="19"/>
      <c r="SBD25" s="19"/>
      <c r="SBE25" s="19"/>
      <c r="SBF25" s="19"/>
      <c r="SBG25" s="19"/>
      <c r="SBH25" s="19"/>
      <c r="SBI25" s="19"/>
      <c r="SBJ25" s="19"/>
      <c r="SBK25" s="19"/>
      <c r="SBL25" s="19"/>
      <c r="SBM25" s="19"/>
      <c r="SBN25" s="19"/>
      <c r="SBO25" s="19"/>
      <c r="SBP25" s="19"/>
      <c r="SBQ25" s="19"/>
      <c r="SBR25" s="19"/>
      <c r="SBS25" s="19"/>
      <c r="SBT25" s="19"/>
      <c r="SBU25" s="19"/>
      <c r="SBV25" s="19"/>
      <c r="SBW25" s="19"/>
      <c r="SBX25" s="19"/>
      <c r="SBY25" s="19"/>
      <c r="SBZ25" s="19"/>
      <c r="SCA25" s="19"/>
      <c r="SCB25" s="19"/>
      <c r="SCC25" s="19"/>
      <c r="SCD25" s="19"/>
      <c r="SCE25" s="19"/>
      <c r="SCF25" s="19"/>
      <c r="SCG25" s="19"/>
      <c r="SCH25" s="19"/>
      <c r="SCI25" s="19"/>
      <c r="SCJ25" s="19"/>
      <c r="SCK25" s="19"/>
      <c r="SCL25" s="19"/>
      <c r="SCM25" s="19"/>
      <c r="SCN25" s="19"/>
      <c r="SCO25" s="19"/>
      <c r="SCP25" s="19"/>
      <c r="SCQ25" s="19"/>
      <c r="SCR25" s="19"/>
      <c r="SCS25" s="19"/>
      <c r="SCT25" s="19"/>
      <c r="SCU25" s="19"/>
      <c r="SCV25" s="19"/>
      <c r="SCW25" s="19"/>
      <c r="SCX25" s="19"/>
      <c r="SCY25" s="19"/>
      <c r="SCZ25" s="19"/>
      <c r="SDA25" s="19"/>
      <c r="SDB25" s="19"/>
      <c r="SDC25" s="19"/>
      <c r="SDD25" s="19"/>
      <c r="SDE25" s="19"/>
      <c r="SDF25" s="19"/>
      <c r="SDG25" s="19"/>
      <c r="SDH25" s="19"/>
      <c r="SDI25" s="19"/>
      <c r="SDJ25" s="19"/>
      <c r="SDK25" s="19"/>
      <c r="SDL25" s="19"/>
      <c r="SDM25" s="19"/>
      <c r="SDN25" s="19"/>
      <c r="SDO25" s="19"/>
      <c r="SDP25" s="19"/>
      <c r="SDQ25" s="19"/>
      <c r="SDR25" s="19"/>
      <c r="SDS25" s="19"/>
      <c r="SDT25" s="19"/>
      <c r="SDU25" s="19"/>
      <c r="SDV25" s="19"/>
      <c r="SDW25" s="19"/>
      <c r="SDX25" s="19"/>
      <c r="SDY25" s="19"/>
      <c r="SDZ25" s="19"/>
      <c r="SEA25" s="19"/>
      <c r="SEB25" s="19"/>
      <c r="SEC25" s="19"/>
      <c r="SED25" s="19"/>
      <c r="SEE25" s="19"/>
      <c r="SEF25" s="19"/>
      <c r="SEG25" s="19"/>
      <c r="SEH25" s="19"/>
      <c r="SEI25" s="19"/>
      <c r="SEJ25" s="19"/>
      <c r="SEK25" s="19"/>
      <c r="SEL25" s="19"/>
      <c r="SEM25" s="19"/>
      <c r="SEN25" s="19"/>
      <c r="SEO25" s="19"/>
      <c r="SEP25" s="19"/>
      <c r="SEQ25" s="19"/>
      <c r="SER25" s="19"/>
      <c r="SES25" s="19"/>
      <c r="SET25" s="19"/>
      <c r="SEU25" s="19"/>
      <c r="SEV25" s="19"/>
      <c r="SEW25" s="19"/>
      <c r="SEX25" s="19"/>
      <c r="SEY25" s="19"/>
      <c r="SEZ25" s="19"/>
      <c r="SFA25" s="19"/>
      <c r="SFB25" s="19"/>
      <c r="SFC25" s="19"/>
      <c r="SFD25" s="19"/>
      <c r="SFE25" s="19"/>
      <c r="SFF25" s="19"/>
      <c r="SFG25" s="19"/>
      <c r="SFH25" s="19"/>
      <c r="SFI25" s="19"/>
      <c r="SFJ25" s="19"/>
      <c r="SFK25" s="19"/>
      <c r="SFL25" s="19"/>
      <c r="SFM25" s="19"/>
      <c r="SFN25" s="19"/>
      <c r="SFO25" s="19"/>
      <c r="SFP25" s="19"/>
      <c r="SFQ25" s="19"/>
      <c r="SFR25" s="19"/>
      <c r="SFS25" s="19"/>
      <c r="SFT25" s="19"/>
      <c r="SFU25" s="19"/>
      <c r="SFV25" s="19"/>
      <c r="SFW25" s="19"/>
      <c r="SFX25" s="19"/>
      <c r="SFY25" s="19"/>
      <c r="SFZ25" s="19"/>
      <c r="SGA25" s="19"/>
      <c r="SGB25" s="19"/>
      <c r="SGC25" s="19"/>
      <c r="SGD25" s="19"/>
      <c r="SGE25" s="19"/>
      <c r="SGF25" s="19"/>
      <c r="SGG25" s="19"/>
      <c r="SGH25" s="19"/>
      <c r="SGI25" s="19"/>
      <c r="SGJ25" s="19"/>
      <c r="SGK25" s="19"/>
      <c r="SGL25" s="19"/>
      <c r="SGM25" s="19"/>
      <c r="SGN25" s="19"/>
      <c r="SGO25" s="19"/>
      <c r="SGP25" s="19"/>
      <c r="SGQ25" s="19"/>
      <c r="SGR25" s="19"/>
      <c r="SGS25" s="19"/>
      <c r="SGT25" s="19"/>
      <c r="SGU25" s="19"/>
      <c r="SGV25" s="19"/>
      <c r="SGW25" s="19"/>
      <c r="SGX25" s="19"/>
      <c r="SGY25" s="19"/>
      <c r="SGZ25" s="19"/>
      <c r="SHA25" s="19"/>
      <c r="SHB25" s="19"/>
      <c r="SHC25" s="19"/>
      <c r="SHD25" s="19"/>
      <c r="SHE25" s="19"/>
      <c r="SHF25" s="19"/>
      <c r="SHG25" s="19"/>
      <c r="SHH25" s="19"/>
      <c r="SHI25" s="19"/>
      <c r="SHJ25" s="19"/>
      <c r="SHK25" s="19"/>
      <c r="SHL25" s="19"/>
      <c r="SHM25" s="19"/>
      <c r="SHN25" s="19"/>
      <c r="SHO25" s="19"/>
      <c r="SHP25" s="19"/>
      <c r="SHQ25" s="19"/>
      <c r="SHR25" s="19"/>
      <c r="SHS25" s="19"/>
      <c r="SHT25" s="19"/>
      <c r="SHU25" s="19"/>
      <c r="SHV25" s="19"/>
      <c r="SHW25" s="19"/>
      <c r="SHX25" s="19"/>
      <c r="SHY25" s="19"/>
      <c r="SHZ25" s="19"/>
      <c r="SIA25" s="19"/>
      <c r="SIB25" s="19"/>
      <c r="SIC25" s="19"/>
      <c r="SID25" s="19"/>
      <c r="SIE25" s="19"/>
      <c r="SIF25" s="19"/>
      <c r="SIG25" s="19"/>
      <c r="SIH25" s="19"/>
      <c r="SII25" s="19"/>
      <c r="SIJ25" s="19"/>
      <c r="SIK25" s="19"/>
      <c r="SIL25" s="19"/>
      <c r="SIM25" s="19"/>
      <c r="SIN25" s="19"/>
      <c r="SIO25" s="19"/>
      <c r="SIP25" s="19"/>
      <c r="SIQ25" s="19"/>
      <c r="SIR25" s="19"/>
      <c r="SIS25" s="19"/>
      <c r="SIT25" s="19"/>
      <c r="SIU25" s="19"/>
      <c r="SIV25" s="19"/>
      <c r="SIW25" s="19"/>
      <c r="SIX25" s="19"/>
      <c r="SIY25" s="19"/>
      <c r="SIZ25" s="19"/>
      <c r="SJA25" s="19"/>
      <c r="SJB25" s="19"/>
      <c r="SJC25" s="19"/>
      <c r="SJD25" s="19"/>
      <c r="SJE25" s="19"/>
      <c r="SJF25" s="19"/>
      <c r="SJG25" s="19"/>
      <c r="SJH25" s="19"/>
      <c r="SJI25" s="19"/>
      <c r="SJJ25" s="19"/>
      <c r="SJK25" s="19"/>
      <c r="SJL25" s="19"/>
      <c r="SJM25" s="19"/>
      <c r="SJN25" s="19"/>
      <c r="SJO25" s="19"/>
      <c r="SJP25" s="19"/>
      <c r="SJQ25" s="19"/>
      <c r="SJR25" s="19"/>
      <c r="SJS25" s="19"/>
      <c r="SJT25" s="19"/>
      <c r="SJU25" s="19"/>
      <c r="SJV25" s="19"/>
      <c r="SJW25" s="19"/>
      <c r="SJX25" s="19"/>
      <c r="SJY25" s="19"/>
      <c r="SJZ25" s="19"/>
      <c r="SKA25" s="19"/>
      <c r="SKB25" s="19"/>
      <c r="SKC25" s="19"/>
      <c r="SKD25" s="19"/>
      <c r="SKE25" s="19"/>
      <c r="SKF25" s="19"/>
      <c r="SKG25" s="19"/>
      <c r="SKH25" s="19"/>
      <c r="SKI25" s="19"/>
      <c r="SKJ25" s="19"/>
      <c r="SKK25" s="19"/>
      <c r="SKL25" s="19"/>
      <c r="SKM25" s="19"/>
      <c r="SKN25" s="19"/>
      <c r="SKO25" s="19"/>
      <c r="SKP25" s="19"/>
      <c r="SKQ25" s="19"/>
      <c r="SKR25" s="19"/>
      <c r="SKS25" s="19"/>
      <c r="SKT25" s="19"/>
      <c r="SKU25" s="19"/>
      <c r="SKV25" s="19"/>
      <c r="SKW25" s="19"/>
      <c r="SKX25" s="19"/>
      <c r="SKY25" s="19"/>
      <c r="SKZ25" s="19"/>
      <c r="SLA25" s="19"/>
      <c r="SLB25" s="19"/>
      <c r="SLC25" s="19"/>
      <c r="SLD25" s="19"/>
      <c r="SLE25" s="19"/>
      <c r="SLF25" s="19"/>
      <c r="SLG25" s="19"/>
      <c r="SLH25" s="19"/>
      <c r="SLI25" s="19"/>
      <c r="SLJ25" s="19"/>
      <c r="SLK25" s="19"/>
      <c r="SLL25" s="19"/>
      <c r="SLM25" s="19"/>
      <c r="SLN25" s="19"/>
      <c r="SLO25" s="19"/>
      <c r="SLP25" s="19"/>
      <c r="SLQ25" s="19"/>
      <c r="SLR25" s="19"/>
      <c r="SLS25" s="19"/>
      <c r="SLT25" s="19"/>
      <c r="SLU25" s="19"/>
      <c r="SLV25" s="19"/>
      <c r="SLW25" s="19"/>
      <c r="SLX25" s="19"/>
      <c r="SLY25" s="19"/>
      <c r="SLZ25" s="19"/>
      <c r="SMA25" s="19"/>
      <c r="SMB25" s="19"/>
      <c r="SMC25" s="19"/>
      <c r="SMD25" s="19"/>
      <c r="SME25" s="19"/>
      <c r="SMF25" s="19"/>
      <c r="SMG25" s="19"/>
      <c r="SMH25" s="19"/>
      <c r="SMI25" s="19"/>
      <c r="SMJ25" s="19"/>
      <c r="SMK25" s="19"/>
      <c r="SML25" s="19"/>
      <c r="SMM25" s="19"/>
      <c r="SMN25" s="19"/>
      <c r="SMO25" s="19"/>
      <c r="SMP25" s="19"/>
      <c r="SMQ25" s="19"/>
      <c r="SMR25" s="19"/>
      <c r="SMS25" s="19"/>
      <c r="SMT25" s="19"/>
      <c r="SMU25" s="19"/>
      <c r="SMV25" s="19"/>
      <c r="SMW25" s="19"/>
      <c r="SMX25" s="19"/>
      <c r="SMY25" s="19"/>
      <c r="SMZ25" s="19"/>
      <c r="SNA25" s="19"/>
      <c r="SNB25" s="19"/>
      <c r="SNC25" s="19"/>
      <c r="SND25" s="19"/>
      <c r="SNE25" s="19"/>
      <c r="SNF25" s="19"/>
      <c r="SNG25" s="19"/>
      <c r="SNH25" s="19"/>
      <c r="SNI25" s="19"/>
      <c r="SNJ25" s="19"/>
      <c r="SNK25" s="19"/>
      <c r="SNL25" s="19"/>
      <c r="SNM25" s="19"/>
      <c r="SNN25" s="19"/>
      <c r="SNO25" s="19"/>
      <c r="SNP25" s="19"/>
      <c r="SNQ25" s="19"/>
      <c r="SNR25" s="19"/>
      <c r="SNS25" s="19"/>
      <c r="SNT25" s="19"/>
      <c r="SNU25" s="19"/>
      <c r="SNV25" s="19"/>
      <c r="SNW25" s="19"/>
      <c r="SNX25" s="19"/>
      <c r="SNY25" s="19"/>
      <c r="SNZ25" s="19"/>
      <c r="SOA25" s="19"/>
      <c r="SOB25" s="19"/>
      <c r="SOC25" s="19"/>
      <c r="SOD25" s="19"/>
      <c r="SOE25" s="19"/>
      <c r="SOF25" s="19"/>
      <c r="SOG25" s="19"/>
      <c r="SOH25" s="19"/>
      <c r="SOI25" s="19"/>
      <c r="SOJ25" s="19"/>
      <c r="SOK25" s="19"/>
      <c r="SOL25" s="19"/>
      <c r="SOM25" s="19"/>
      <c r="SON25" s="19"/>
      <c r="SOO25" s="19"/>
      <c r="SOP25" s="19"/>
      <c r="SOQ25" s="19"/>
      <c r="SOR25" s="19"/>
      <c r="SOS25" s="19"/>
      <c r="SOT25" s="19"/>
      <c r="SOU25" s="19"/>
      <c r="SOV25" s="19"/>
      <c r="SOW25" s="19"/>
      <c r="SOX25" s="19"/>
      <c r="SOY25" s="19"/>
      <c r="SOZ25" s="19"/>
      <c r="SPA25" s="19"/>
      <c r="SPB25" s="19"/>
      <c r="SPC25" s="19"/>
      <c r="SPD25" s="19"/>
      <c r="SPE25" s="19"/>
      <c r="SPF25" s="19"/>
      <c r="SPG25" s="19"/>
      <c r="SPH25" s="19"/>
      <c r="SPI25" s="19"/>
      <c r="SPJ25" s="19"/>
      <c r="SPK25" s="19"/>
      <c r="SPL25" s="19"/>
      <c r="SPM25" s="19"/>
      <c r="SPN25" s="19"/>
      <c r="SPO25" s="19"/>
      <c r="SPP25" s="19"/>
      <c r="SPQ25" s="19"/>
      <c r="SPR25" s="19"/>
      <c r="SPS25" s="19"/>
      <c r="SPT25" s="19"/>
      <c r="SPU25" s="19"/>
      <c r="SPV25" s="19"/>
      <c r="SPW25" s="19"/>
      <c r="SPX25" s="19"/>
      <c r="SPY25" s="19"/>
      <c r="SPZ25" s="19"/>
      <c r="SQA25" s="19"/>
      <c r="SQB25" s="19"/>
      <c r="SQC25" s="19"/>
      <c r="SQD25" s="19"/>
      <c r="SQE25" s="19"/>
      <c r="SQF25" s="19"/>
      <c r="SQG25" s="19"/>
      <c r="SQH25" s="19"/>
      <c r="SQI25" s="19"/>
      <c r="SQJ25" s="19"/>
      <c r="SQK25" s="19"/>
      <c r="SQL25" s="19"/>
      <c r="SQM25" s="19"/>
      <c r="SQN25" s="19"/>
      <c r="SQO25" s="19"/>
      <c r="SQP25" s="19"/>
      <c r="SQQ25" s="19"/>
      <c r="SQR25" s="19"/>
      <c r="SQS25" s="19"/>
      <c r="SQT25" s="19"/>
      <c r="SQU25" s="19"/>
      <c r="SQV25" s="19"/>
      <c r="SQW25" s="19"/>
      <c r="SQX25" s="19"/>
      <c r="SQY25" s="19"/>
      <c r="SQZ25" s="19"/>
      <c r="SRA25" s="19"/>
      <c r="SRB25" s="19"/>
      <c r="SRC25" s="19"/>
      <c r="SRD25" s="19"/>
      <c r="SRE25" s="19"/>
      <c r="SRF25" s="19"/>
      <c r="SRG25" s="19"/>
      <c r="SRH25" s="19"/>
      <c r="SRI25" s="19"/>
      <c r="SRJ25" s="19"/>
      <c r="SRK25" s="19"/>
      <c r="SRL25" s="19"/>
      <c r="SRM25" s="19"/>
      <c r="SRN25" s="19"/>
      <c r="SRO25" s="19"/>
      <c r="SRP25" s="19"/>
      <c r="SRQ25" s="19"/>
      <c r="SRR25" s="19"/>
      <c r="SRS25" s="19"/>
      <c r="SRT25" s="19"/>
      <c r="SRU25" s="19"/>
      <c r="SRV25" s="19"/>
      <c r="SRW25" s="19"/>
      <c r="SRX25" s="19"/>
      <c r="SRY25" s="19"/>
      <c r="SRZ25" s="19"/>
      <c r="SSA25" s="19"/>
      <c r="SSB25" s="19"/>
      <c r="SSC25" s="19"/>
      <c r="SSD25" s="19"/>
      <c r="SSE25" s="19"/>
      <c r="SSF25" s="19"/>
      <c r="SSG25" s="19"/>
      <c r="SSH25" s="19"/>
      <c r="SSI25" s="19"/>
      <c r="SSJ25" s="19"/>
      <c r="SSK25" s="19"/>
      <c r="SSL25" s="19"/>
      <c r="SSM25" s="19"/>
      <c r="SSN25" s="19"/>
      <c r="SSO25" s="19"/>
      <c r="SSP25" s="19"/>
      <c r="SSQ25" s="19"/>
      <c r="SSR25" s="19"/>
      <c r="SSS25" s="19"/>
      <c r="SST25" s="19"/>
      <c r="SSU25" s="19"/>
      <c r="SSV25" s="19"/>
      <c r="SSW25" s="19"/>
      <c r="SSX25" s="19"/>
      <c r="SSY25" s="19"/>
      <c r="SSZ25" s="19"/>
      <c r="STA25" s="19"/>
      <c r="STB25" s="19"/>
      <c r="STC25" s="19"/>
      <c r="STD25" s="19"/>
      <c r="STE25" s="19"/>
      <c r="STF25" s="19"/>
      <c r="STG25" s="19"/>
      <c r="STH25" s="19"/>
      <c r="STI25" s="19"/>
      <c r="STJ25" s="19"/>
      <c r="STK25" s="19"/>
      <c r="STL25" s="19"/>
      <c r="STM25" s="19"/>
      <c r="STN25" s="19"/>
      <c r="STO25" s="19"/>
      <c r="STP25" s="19"/>
      <c r="STQ25" s="19"/>
      <c r="STR25" s="19"/>
      <c r="STS25" s="19"/>
      <c r="STT25" s="19"/>
      <c r="STU25" s="19"/>
      <c r="STV25" s="19"/>
      <c r="STW25" s="19"/>
      <c r="STX25" s="19"/>
      <c r="STY25" s="19"/>
      <c r="STZ25" s="19"/>
      <c r="SUA25" s="19"/>
      <c r="SUB25" s="19"/>
      <c r="SUC25" s="19"/>
      <c r="SUD25" s="19"/>
      <c r="SUE25" s="19"/>
      <c r="SUF25" s="19"/>
      <c r="SUG25" s="19"/>
      <c r="SUH25" s="19"/>
      <c r="SUI25" s="19"/>
      <c r="SUJ25" s="19"/>
      <c r="SUK25" s="19"/>
      <c r="SUL25" s="19"/>
      <c r="SUM25" s="19"/>
      <c r="SUN25" s="19"/>
      <c r="SUO25" s="19"/>
      <c r="SUP25" s="19"/>
      <c r="SUQ25" s="19"/>
      <c r="SUR25" s="19"/>
      <c r="SUS25" s="19"/>
      <c r="SUT25" s="19"/>
      <c r="SUU25" s="19"/>
      <c r="SUV25" s="19"/>
      <c r="SUW25" s="19"/>
      <c r="SUX25" s="19"/>
      <c r="SUY25" s="19"/>
      <c r="SUZ25" s="19"/>
      <c r="SVA25" s="19"/>
      <c r="SVB25" s="19"/>
      <c r="SVC25" s="19"/>
      <c r="SVD25" s="19"/>
      <c r="SVE25" s="19"/>
      <c r="SVF25" s="19"/>
      <c r="SVG25" s="19"/>
      <c r="SVH25" s="19"/>
      <c r="SVI25" s="19"/>
      <c r="SVJ25" s="19"/>
      <c r="SVK25" s="19"/>
      <c r="SVL25" s="19"/>
      <c r="SVM25" s="19"/>
      <c r="SVN25" s="19"/>
      <c r="SVO25" s="19"/>
      <c r="SVP25" s="19"/>
      <c r="SVQ25" s="19"/>
      <c r="SVR25" s="19"/>
      <c r="SVS25" s="19"/>
      <c r="SVT25" s="19"/>
      <c r="SVU25" s="19"/>
      <c r="SVV25" s="19"/>
      <c r="SVW25" s="19"/>
      <c r="SVX25" s="19"/>
      <c r="SVY25" s="19"/>
      <c r="SVZ25" s="19"/>
      <c r="SWA25" s="19"/>
      <c r="SWB25" s="19"/>
      <c r="SWC25" s="19"/>
      <c r="SWD25" s="19"/>
      <c r="SWE25" s="19"/>
      <c r="SWF25" s="19"/>
      <c r="SWG25" s="19"/>
      <c r="SWH25" s="19"/>
      <c r="SWI25" s="19"/>
      <c r="SWJ25" s="19"/>
      <c r="SWK25" s="19"/>
      <c r="SWL25" s="19"/>
      <c r="SWM25" s="19"/>
      <c r="SWN25" s="19"/>
      <c r="SWO25" s="19"/>
      <c r="SWP25" s="19"/>
      <c r="SWQ25" s="19"/>
      <c r="SWR25" s="19"/>
      <c r="SWS25" s="19"/>
      <c r="SWT25" s="19"/>
      <c r="SWU25" s="19"/>
      <c r="SWV25" s="19"/>
      <c r="SWW25" s="19"/>
      <c r="SWX25" s="19"/>
      <c r="SWY25" s="19"/>
      <c r="SWZ25" s="19"/>
      <c r="SXA25" s="19"/>
      <c r="SXB25" s="19"/>
      <c r="SXC25" s="19"/>
      <c r="SXD25" s="19"/>
      <c r="SXE25" s="19"/>
      <c r="SXF25" s="19"/>
      <c r="SXG25" s="19"/>
      <c r="SXH25" s="19"/>
      <c r="SXI25" s="19"/>
      <c r="SXJ25" s="19"/>
      <c r="SXK25" s="19"/>
      <c r="SXL25" s="19"/>
      <c r="SXM25" s="19"/>
      <c r="SXN25" s="19"/>
      <c r="SXO25" s="19"/>
      <c r="SXP25" s="19"/>
      <c r="SXQ25" s="19"/>
      <c r="SXR25" s="19"/>
      <c r="SXS25" s="19"/>
      <c r="SXT25" s="19"/>
      <c r="SXU25" s="19"/>
      <c r="SXV25" s="19"/>
      <c r="SXW25" s="19"/>
      <c r="SXX25" s="19"/>
      <c r="SXY25" s="19"/>
      <c r="SXZ25" s="19"/>
      <c r="SYA25" s="19"/>
      <c r="SYB25" s="19"/>
      <c r="SYC25" s="19"/>
      <c r="SYD25" s="19"/>
      <c r="SYE25" s="19"/>
      <c r="SYF25" s="19"/>
      <c r="SYG25" s="19"/>
      <c r="SYH25" s="19"/>
      <c r="SYI25" s="19"/>
      <c r="SYJ25" s="19"/>
      <c r="SYK25" s="19"/>
      <c r="SYL25" s="19"/>
      <c r="SYM25" s="19"/>
      <c r="SYN25" s="19"/>
      <c r="SYO25" s="19"/>
      <c r="SYP25" s="19"/>
      <c r="SYQ25" s="19"/>
      <c r="SYR25" s="19"/>
      <c r="SYS25" s="19"/>
      <c r="SYT25" s="19"/>
      <c r="SYU25" s="19"/>
      <c r="SYV25" s="19"/>
      <c r="SYW25" s="19"/>
      <c r="SYX25" s="19"/>
      <c r="SYY25" s="19"/>
      <c r="SYZ25" s="19"/>
      <c r="SZA25" s="19"/>
      <c r="SZB25" s="19"/>
      <c r="SZC25" s="19"/>
      <c r="SZD25" s="19"/>
      <c r="SZE25" s="19"/>
      <c r="SZF25" s="19"/>
      <c r="SZG25" s="19"/>
      <c r="SZH25" s="19"/>
      <c r="SZI25" s="19"/>
      <c r="SZJ25" s="19"/>
      <c r="SZK25" s="19"/>
      <c r="SZL25" s="19"/>
      <c r="SZM25" s="19"/>
      <c r="SZN25" s="19"/>
      <c r="SZO25" s="19"/>
      <c r="SZP25" s="19"/>
      <c r="SZQ25" s="19"/>
      <c r="SZR25" s="19"/>
      <c r="SZS25" s="19"/>
      <c r="SZT25" s="19"/>
      <c r="SZU25" s="19"/>
      <c r="SZV25" s="19"/>
      <c r="SZW25" s="19"/>
      <c r="SZX25" s="19"/>
      <c r="SZY25" s="19"/>
      <c r="SZZ25" s="19"/>
      <c r="TAA25" s="19"/>
      <c r="TAB25" s="19"/>
      <c r="TAC25" s="19"/>
      <c r="TAD25" s="19"/>
      <c r="TAE25" s="19"/>
      <c r="TAF25" s="19"/>
      <c r="TAG25" s="19"/>
      <c r="TAH25" s="19"/>
      <c r="TAI25" s="19"/>
      <c r="TAJ25" s="19"/>
      <c r="TAK25" s="19"/>
      <c r="TAL25" s="19"/>
      <c r="TAM25" s="19"/>
      <c r="TAN25" s="19"/>
      <c r="TAO25" s="19"/>
      <c r="TAP25" s="19"/>
      <c r="TAQ25" s="19"/>
      <c r="TAR25" s="19"/>
      <c r="TAS25" s="19"/>
      <c r="TAT25" s="19"/>
      <c r="TAU25" s="19"/>
      <c r="TAV25" s="19"/>
      <c r="TAW25" s="19"/>
      <c r="TAX25" s="19"/>
      <c r="TAY25" s="19"/>
      <c r="TAZ25" s="19"/>
      <c r="TBA25" s="19"/>
      <c r="TBB25" s="19"/>
      <c r="TBC25" s="19"/>
      <c r="TBD25" s="19"/>
      <c r="TBE25" s="19"/>
      <c r="TBF25" s="19"/>
      <c r="TBG25" s="19"/>
      <c r="TBH25" s="19"/>
      <c r="TBI25" s="19"/>
      <c r="TBJ25" s="19"/>
      <c r="TBK25" s="19"/>
      <c r="TBL25" s="19"/>
      <c r="TBM25" s="19"/>
      <c r="TBN25" s="19"/>
      <c r="TBO25" s="19"/>
      <c r="TBP25" s="19"/>
      <c r="TBQ25" s="19"/>
      <c r="TBR25" s="19"/>
      <c r="TBS25" s="19"/>
      <c r="TBT25" s="19"/>
      <c r="TBU25" s="19"/>
      <c r="TBV25" s="19"/>
      <c r="TBW25" s="19"/>
      <c r="TBX25" s="19"/>
      <c r="TBY25" s="19"/>
      <c r="TBZ25" s="19"/>
      <c r="TCA25" s="19"/>
      <c r="TCB25" s="19"/>
      <c r="TCC25" s="19"/>
      <c r="TCD25" s="19"/>
      <c r="TCE25" s="19"/>
      <c r="TCF25" s="19"/>
      <c r="TCG25" s="19"/>
      <c r="TCH25" s="19"/>
      <c r="TCI25" s="19"/>
      <c r="TCJ25" s="19"/>
      <c r="TCK25" s="19"/>
      <c r="TCL25" s="19"/>
      <c r="TCM25" s="19"/>
      <c r="TCN25" s="19"/>
      <c r="TCO25" s="19"/>
      <c r="TCP25" s="19"/>
      <c r="TCQ25" s="19"/>
      <c r="TCR25" s="19"/>
      <c r="TCS25" s="19"/>
      <c r="TCT25" s="19"/>
      <c r="TCU25" s="19"/>
      <c r="TCV25" s="19"/>
      <c r="TCW25" s="19"/>
      <c r="TCX25" s="19"/>
      <c r="TCY25" s="19"/>
      <c r="TCZ25" s="19"/>
      <c r="TDA25" s="19"/>
      <c r="TDB25" s="19"/>
      <c r="TDC25" s="19"/>
      <c r="TDD25" s="19"/>
      <c r="TDE25" s="19"/>
      <c r="TDF25" s="19"/>
      <c r="TDG25" s="19"/>
      <c r="TDH25" s="19"/>
      <c r="TDI25" s="19"/>
      <c r="TDJ25" s="19"/>
      <c r="TDK25" s="19"/>
      <c r="TDL25" s="19"/>
      <c r="TDM25" s="19"/>
      <c r="TDN25" s="19"/>
      <c r="TDO25" s="19"/>
      <c r="TDP25" s="19"/>
      <c r="TDQ25" s="19"/>
      <c r="TDR25" s="19"/>
      <c r="TDS25" s="19"/>
      <c r="TDT25" s="19"/>
      <c r="TDU25" s="19"/>
      <c r="TDV25" s="19"/>
      <c r="TDW25" s="19"/>
      <c r="TDX25" s="19"/>
      <c r="TDY25" s="19"/>
      <c r="TDZ25" s="19"/>
      <c r="TEA25" s="19"/>
      <c r="TEB25" s="19"/>
      <c r="TEC25" s="19"/>
      <c r="TED25" s="19"/>
      <c r="TEE25" s="19"/>
      <c r="TEF25" s="19"/>
      <c r="TEG25" s="19"/>
      <c r="TEH25" s="19"/>
      <c r="TEI25" s="19"/>
      <c r="TEJ25" s="19"/>
      <c r="TEK25" s="19"/>
      <c r="TEL25" s="19"/>
      <c r="TEM25" s="19"/>
      <c r="TEN25" s="19"/>
      <c r="TEO25" s="19"/>
      <c r="TEP25" s="19"/>
      <c r="TEQ25" s="19"/>
      <c r="TER25" s="19"/>
      <c r="TES25" s="19"/>
      <c r="TET25" s="19"/>
      <c r="TEU25" s="19"/>
      <c r="TEV25" s="19"/>
      <c r="TEW25" s="19"/>
      <c r="TEX25" s="19"/>
      <c r="TEY25" s="19"/>
      <c r="TEZ25" s="19"/>
      <c r="TFA25" s="19"/>
      <c r="TFB25" s="19"/>
      <c r="TFC25" s="19"/>
      <c r="TFD25" s="19"/>
      <c r="TFE25" s="19"/>
      <c r="TFF25" s="19"/>
      <c r="TFG25" s="19"/>
      <c r="TFH25" s="19"/>
      <c r="TFI25" s="19"/>
      <c r="TFJ25" s="19"/>
      <c r="TFK25" s="19"/>
      <c r="TFL25" s="19"/>
      <c r="TFM25" s="19"/>
      <c r="TFN25" s="19"/>
      <c r="TFO25" s="19"/>
      <c r="TFP25" s="19"/>
      <c r="TFQ25" s="19"/>
      <c r="TFR25" s="19"/>
      <c r="TFS25" s="19"/>
      <c r="TFT25" s="19"/>
      <c r="TFU25" s="19"/>
      <c r="TFV25" s="19"/>
      <c r="TFW25" s="19"/>
      <c r="TFX25" s="19"/>
      <c r="TFY25" s="19"/>
      <c r="TFZ25" s="19"/>
      <c r="TGA25" s="19"/>
      <c r="TGB25" s="19"/>
      <c r="TGC25" s="19"/>
      <c r="TGD25" s="19"/>
      <c r="TGE25" s="19"/>
      <c r="TGF25" s="19"/>
      <c r="TGG25" s="19"/>
      <c r="TGH25" s="19"/>
      <c r="TGI25" s="19"/>
      <c r="TGJ25" s="19"/>
      <c r="TGK25" s="19"/>
      <c r="TGL25" s="19"/>
      <c r="TGM25" s="19"/>
      <c r="TGN25" s="19"/>
      <c r="TGO25" s="19"/>
      <c r="TGP25" s="19"/>
      <c r="TGQ25" s="19"/>
      <c r="TGR25" s="19"/>
      <c r="TGS25" s="19"/>
      <c r="TGT25" s="19"/>
      <c r="TGU25" s="19"/>
      <c r="TGV25" s="19"/>
      <c r="TGW25" s="19"/>
      <c r="TGX25" s="19"/>
      <c r="TGY25" s="19"/>
      <c r="TGZ25" s="19"/>
      <c r="THA25" s="19"/>
      <c r="THB25" s="19"/>
      <c r="THC25" s="19"/>
      <c r="THD25" s="19"/>
      <c r="THE25" s="19"/>
      <c r="THF25" s="19"/>
      <c r="THG25" s="19"/>
      <c r="THH25" s="19"/>
      <c r="THI25" s="19"/>
      <c r="THJ25" s="19"/>
      <c r="THK25" s="19"/>
      <c r="THL25" s="19"/>
      <c r="THM25" s="19"/>
      <c r="THN25" s="19"/>
      <c r="THO25" s="19"/>
      <c r="THP25" s="19"/>
      <c r="THQ25" s="19"/>
      <c r="THR25" s="19"/>
      <c r="THS25" s="19"/>
      <c r="THT25" s="19"/>
      <c r="THU25" s="19"/>
      <c r="THV25" s="19"/>
      <c r="THW25" s="19"/>
      <c r="THX25" s="19"/>
      <c r="THY25" s="19"/>
      <c r="THZ25" s="19"/>
      <c r="TIA25" s="19"/>
      <c r="TIB25" s="19"/>
      <c r="TIC25" s="19"/>
      <c r="TID25" s="19"/>
      <c r="TIE25" s="19"/>
      <c r="TIF25" s="19"/>
      <c r="TIG25" s="19"/>
      <c r="TIH25" s="19"/>
      <c r="TII25" s="19"/>
      <c r="TIJ25" s="19"/>
      <c r="TIK25" s="19"/>
      <c r="TIL25" s="19"/>
      <c r="TIM25" s="19"/>
      <c r="TIN25" s="19"/>
      <c r="TIO25" s="19"/>
      <c r="TIP25" s="19"/>
      <c r="TIQ25" s="19"/>
      <c r="TIR25" s="19"/>
      <c r="TIS25" s="19"/>
      <c r="TIT25" s="19"/>
      <c r="TIU25" s="19"/>
      <c r="TIV25" s="19"/>
      <c r="TIW25" s="19"/>
      <c r="TIX25" s="19"/>
      <c r="TIY25" s="19"/>
      <c r="TIZ25" s="19"/>
      <c r="TJA25" s="19"/>
      <c r="TJB25" s="19"/>
      <c r="TJC25" s="19"/>
      <c r="TJD25" s="19"/>
      <c r="TJE25" s="19"/>
      <c r="TJF25" s="19"/>
      <c r="TJG25" s="19"/>
      <c r="TJH25" s="19"/>
      <c r="TJI25" s="19"/>
      <c r="TJJ25" s="19"/>
      <c r="TJK25" s="19"/>
      <c r="TJL25" s="19"/>
      <c r="TJM25" s="19"/>
      <c r="TJN25" s="19"/>
      <c r="TJO25" s="19"/>
      <c r="TJP25" s="19"/>
      <c r="TJQ25" s="19"/>
      <c r="TJR25" s="19"/>
      <c r="TJS25" s="19"/>
      <c r="TJT25" s="19"/>
      <c r="TJU25" s="19"/>
      <c r="TJV25" s="19"/>
      <c r="TJW25" s="19"/>
      <c r="TJX25" s="19"/>
      <c r="TJY25" s="19"/>
      <c r="TJZ25" s="19"/>
      <c r="TKA25" s="19"/>
      <c r="TKB25" s="19"/>
      <c r="TKC25" s="19"/>
      <c r="TKD25" s="19"/>
      <c r="TKE25" s="19"/>
      <c r="TKF25" s="19"/>
      <c r="TKG25" s="19"/>
      <c r="TKH25" s="19"/>
      <c r="TKI25" s="19"/>
      <c r="TKJ25" s="19"/>
      <c r="TKK25" s="19"/>
      <c r="TKL25" s="19"/>
      <c r="TKM25" s="19"/>
      <c r="TKN25" s="19"/>
      <c r="TKO25" s="19"/>
      <c r="TKP25" s="19"/>
      <c r="TKQ25" s="19"/>
      <c r="TKR25" s="19"/>
      <c r="TKS25" s="19"/>
      <c r="TKT25" s="19"/>
      <c r="TKU25" s="19"/>
      <c r="TKV25" s="19"/>
      <c r="TKW25" s="19"/>
      <c r="TKX25" s="19"/>
      <c r="TKY25" s="19"/>
      <c r="TKZ25" s="19"/>
      <c r="TLA25" s="19"/>
      <c r="TLB25" s="19"/>
      <c r="TLC25" s="19"/>
      <c r="TLD25" s="19"/>
      <c r="TLE25" s="19"/>
      <c r="TLF25" s="19"/>
      <c r="TLG25" s="19"/>
      <c r="TLH25" s="19"/>
      <c r="TLI25" s="19"/>
      <c r="TLJ25" s="19"/>
      <c r="TLK25" s="19"/>
      <c r="TLL25" s="19"/>
      <c r="TLM25" s="19"/>
      <c r="TLN25" s="19"/>
      <c r="TLO25" s="19"/>
      <c r="TLP25" s="19"/>
      <c r="TLQ25" s="19"/>
      <c r="TLR25" s="19"/>
      <c r="TLS25" s="19"/>
      <c r="TLT25" s="19"/>
      <c r="TLU25" s="19"/>
      <c r="TLV25" s="19"/>
      <c r="TLW25" s="19"/>
      <c r="TLX25" s="19"/>
      <c r="TLY25" s="19"/>
      <c r="TLZ25" s="19"/>
      <c r="TMA25" s="19"/>
      <c r="TMB25" s="19"/>
      <c r="TMC25" s="19"/>
      <c r="TMD25" s="19"/>
      <c r="TME25" s="19"/>
      <c r="TMF25" s="19"/>
      <c r="TMG25" s="19"/>
      <c r="TMH25" s="19"/>
      <c r="TMI25" s="19"/>
      <c r="TMJ25" s="19"/>
      <c r="TMK25" s="19"/>
      <c r="TML25" s="19"/>
      <c r="TMM25" s="19"/>
      <c r="TMN25" s="19"/>
      <c r="TMO25" s="19"/>
      <c r="TMP25" s="19"/>
      <c r="TMQ25" s="19"/>
      <c r="TMR25" s="19"/>
      <c r="TMS25" s="19"/>
      <c r="TMT25" s="19"/>
      <c r="TMU25" s="19"/>
      <c r="TMV25" s="19"/>
      <c r="TMW25" s="19"/>
      <c r="TMX25" s="19"/>
      <c r="TMY25" s="19"/>
      <c r="TMZ25" s="19"/>
      <c r="TNA25" s="19"/>
      <c r="TNB25" s="19"/>
      <c r="TNC25" s="19"/>
      <c r="TND25" s="19"/>
      <c r="TNE25" s="19"/>
      <c r="TNF25" s="19"/>
      <c r="TNG25" s="19"/>
      <c r="TNH25" s="19"/>
      <c r="TNI25" s="19"/>
      <c r="TNJ25" s="19"/>
      <c r="TNK25" s="19"/>
      <c r="TNL25" s="19"/>
      <c r="TNM25" s="19"/>
      <c r="TNN25" s="19"/>
      <c r="TNO25" s="19"/>
      <c r="TNP25" s="19"/>
      <c r="TNQ25" s="19"/>
      <c r="TNR25" s="19"/>
      <c r="TNS25" s="19"/>
      <c r="TNT25" s="19"/>
      <c r="TNU25" s="19"/>
      <c r="TNV25" s="19"/>
      <c r="TNW25" s="19"/>
      <c r="TNX25" s="19"/>
      <c r="TNY25" s="19"/>
      <c r="TNZ25" s="19"/>
      <c r="TOA25" s="19"/>
      <c r="TOB25" s="19"/>
      <c r="TOC25" s="19"/>
      <c r="TOD25" s="19"/>
      <c r="TOE25" s="19"/>
      <c r="TOF25" s="19"/>
      <c r="TOG25" s="19"/>
      <c r="TOH25" s="19"/>
      <c r="TOI25" s="19"/>
      <c r="TOJ25" s="19"/>
      <c r="TOK25" s="19"/>
      <c r="TOL25" s="19"/>
      <c r="TOM25" s="19"/>
      <c r="TON25" s="19"/>
      <c r="TOO25" s="19"/>
      <c r="TOP25" s="19"/>
      <c r="TOQ25" s="19"/>
      <c r="TOR25" s="19"/>
      <c r="TOS25" s="19"/>
      <c r="TOT25" s="19"/>
      <c r="TOU25" s="19"/>
      <c r="TOV25" s="19"/>
      <c r="TOW25" s="19"/>
      <c r="TOX25" s="19"/>
      <c r="TOY25" s="19"/>
      <c r="TOZ25" s="19"/>
      <c r="TPA25" s="19"/>
      <c r="TPB25" s="19"/>
      <c r="TPC25" s="19"/>
      <c r="TPD25" s="19"/>
      <c r="TPE25" s="19"/>
      <c r="TPF25" s="19"/>
      <c r="TPG25" s="19"/>
      <c r="TPH25" s="19"/>
      <c r="TPI25" s="19"/>
      <c r="TPJ25" s="19"/>
      <c r="TPK25" s="19"/>
      <c r="TPL25" s="19"/>
      <c r="TPM25" s="19"/>
      <c r="TPN25" s="19"/>
      <c r="TPO25" s="19"/>
      <c r="TPP25" s="19"/>
      <c r="TPQ25" s="19"/>
      <c r="TPR25" s="19"/>
      <c r="TPS25" s="19"/>
      <c r="TPT25" s="19"/>
      <c r="TPU25" s="19"/>
      <c r="TPV25" s="19"/>
      <c r="TPW25" s="19"/>
      <c r="TPX25" s="19"/>
      <c r="TPY25" s="19"/>
      <c r="TPZ25" s="19"/>
      <c r="TQA25" s="19"/>
      <c r="TQB25" s="19"/>
      <c r="TQC25" s="19"/>
      <c r="TQD25" s="19"/>
      <c r="TQE25" s="19"/>
      <c r="TQF25" s="19"/>
      <c r="TQG25" s="19"/>
      <c r="TQH25" s="19"/>
      <c r="TQI25" s="19"/>
      <c r="TQJ25" s="19"/>
      <c r="TQK25" s="19"/>
      <c r="TQL25" s="19"/>
      <c r="TQM25" s="19"/>
      <c r="TQN25" s="19"/>
      <c r="TQO25" s="19"/>
      <c r="TQP25" s="19"/>
      <c r="TQQ25" s="19"/>
      <c r="TQR25" s="19"/>
      <c r="TQS25" s="19"/>
      <c r="TQT25" s="19"/>
      <c r="TQU25" s="19"/>
      <c r="TQV25" s="19"/>
      <c r="TQW25" s="19"/>
      <c r="TQX25" s="19"/>
      <c r="TQY25" s="19"/>
      <c r="TQZ25" s="19"/>
      <c r="TRA25" s="19"/>
      <c r="TRB25" s="19"/>
      <c r="TRC25" s="19"/>
      <c r="TRD25" s="19"/>
      <c r="TRE25" s="19"/>
      <c r="TRF25" s="19"/>
      <c r="TRG25" s="19"/>
      <c r="TRH25" s="19"/>
      <c r="TRI25" s="19"/>
      <c r="TRJ25" s="19"/>
      <c r="TRK25" s="19"/>
      <c r="TRL25" s="19"/>
      <c r="TRM25" s="19"/>
      <c r="TRN25" s="19"/>
      <c r="TRO25" s="19"/>
      <c r="TRP25" s="19"/>
      <c r="TRQ25" s="19"/>
      <c r="TRR25" s="19"/>
      <c r="TRS25" s="19"/>
      <c r="TRT25" s="19"/>
      <c r="TRU25" s="19"/>
      <c r="TRV25" s="19"/>
      <c r="TRW25" s="19"/>
      <c r="TRX25" s="19"/>
      <c r="TRY25" s="19"/>
      <c r="TRZ25" s="19"/>
      <c r="TSA25" s="19"/>
      <c r="TSB25" s="19"/>
      <c r="TSC25" s="19"/>
      <c r="TSD25" s="19"/>
      <c r="TSE25" s="19"/>
      <c r="TSF25" s="19"/>
      <c r="TSG25" s="19"/>
      <c r="TSH25" s="19"/>
      <c r="TSI25" s="19"/>
      <c r="TSJ25" s="19"/>
      <c r="TSK25" s="19"/>
      <c r="TSL25" s="19"/>
      <c r="TSM25" s="19"/>
      <c r="TSN25" s="19"/>
      <c r="TSO25" s="19"/>
      <c r="TSP25" s="19"/>
      <c r="TSQ25" s="19"/>
      <c r="TSR25" s="19"/>
      <c r="TSS25" s="19"/>
      <c r="TST25" s="19"/>
      <c r="TSU25" s="19"/>
      <c r="TSV25" s="19"/>
      <c r="TSW25" s="19"/>
      <c r="TSX25" s="19"/>
      <c r="TSY25" s="19"/>
      <c r="TSZ25" s="19"/>
      <c r="TTA25" s="19"/>
      <c r="TTB25" s="19"/>
      <c r="TTC25" s="19"/>
      <c r="TTD25" s="19"/>
      <c r="TTE25" s="19"/>
      <c r="TTF25" s="19"/>
      <c r="TTG25" s="19"/>
      <c r="TTH25" s="19"/>
      <c r="TTI25" s="19"/>
      <c r="TTJ25" s="19"/>
      <c r="TTK25" s="19"/>
      <c r="TTL25" s="19"/>
      <c r="TTM25" s="19"/>
      <c r="TTN25" s="19"/>
      <c r="TTO25" s="19"/>
      <c r="TTP25" s="19"/>
      <c r="TTQ25" s="19"/>
      <c r="TTR25" s="19"/>
      <c r="TTS25" s="19"/>
      <c r="TTT25" s="19"/>
      <c r="TTU25" s="19"/>
      <c r="TTV25" s="19"/>
      <c r="TTW25" s="19"/>
      <c r="TTX25" s="19"/>
      <c r="TTY25" s="19"/>
      <c r="TTZ25" s="19"/>
      <c r="TUA25" s="19"/>
      <c r="TUB25" s="19"/>
      <c r="TUC25" s="19"/>
      <c r="TUD25" s="19"/>
      <c r="TUE25" s="19"/>
      <c r="TUF25" s="19"/>
      <c r="TUG25" s="19"/>
      <c r="TUH25" s="19"/>
      <c r="TUI25" s="19"/>
      <c r="TUJ25" s="19"/>
      <c r="TUK25" s="19"/>
      <c r="TUL25" s="19"/>
      <c r="TUM25" s="19"/>
      <c r="TUN25" s="19"/>
      <c r="TUO25" s="19"/>
      <c r="TUP25" s="19"/>
      <c r="TUQ25" s="19"/>
      <c r="TUR25" s="19"/>
      <c r="TUS25" s="19"/>
      <c r="TUT25" s="19"/>
      <c r="TUU25" s="19"/>
      <c r="TUV25" s="19"/>
      <c r="TUW25" s="19"/>
      <c r="TUX25" s="19"/>
      <c r="TUY25" s="19"/>
      <c r="TUZ25" s="19"/>
      <c r="TVA25" s="19"/>
      <c r="TVB25" s="19"/>
      <c r="TVC25" s="19"/>
      <c r="TVD25" s="19"/>
      <c r="TVE25" s="19"/>
      <c r="TVF25" s="19"/>
      <c r="TVG25" s="19"/>
      <c r="TVH25" s="19"/>
      <c r="TVI25" s="19"/>
      <c r="TVJ25" s="19"/>
      <c r="TVK25" s="19"/>
      <c r="TVL25" s="19"/>
      <c r="TVM25" s="19"/>
      <c r="TVN25" s="19"/>
      <c r="TVO25" s="19"/>
      <c r="TVP25" s="19"/>
      <c r="TVQ25" s="19"/>
      <c r="TVR25" s="19"/>
      <c r="TVS25" s="19"/>
      <c r="TVT25" s="19"/>
      <c r="TVU25" s="19"/>
      <c r="TVV25" s="19"/>
      <c r="TVW25" s="19"/>
      <c r="TVX25" s="19"/>
      <c r="TVY25" s="19"/>
      <c r="TVZ25" s="19"/>
      <c r="TWA25" s="19"/>
      <c r="TWB25" s="19"/>
      <c r="TWC25" s="19"/>
      <c r="TWD25" s="19"/>
      <c r="TWE25" s="19"/>
      <c r="TWF25" s="19"/>
      <c r="TWG25" s="19"/>
      <c r="TWH25" s="19"/>
      <c r="TWI25" s="19"/>
      <c r="TWJ25" s="19"/>
      <c r="TWK25" s="19"/>
      <c r="TWL25" s="19"/>
      <c r="TWM25" s="19"/>
      <c r="TWN25" s="19"/>
      <c r="TWO25" s="19"/>
      <c r="TWP25" s="19"/>
      <c r="TWQ25" s="19"/>
      <c r="TWR25" s="19"/>
      <c r="TWS25" s="19"/>
      <c r="TWT25" s="19"/>
      <c r="TWU25" s="19"/>
      <c r="TWV25" s="19"/>
      <c r="TWW25" s="19"/>
      <c r="TWX25" s="19"/>
      <c r="TWY25" s="19"/>
      <c r="TWZ25" s="19"/>
      <c r="TXA25" s="19"/>
      <c r="TXB25" s="19"/>
      <c r="TXC25" s="19"/>
      <c r="TXD25" s="19"/>
      <c r="TXE25" s="19"/>
      <c r="TXF25" s="19"/>
      <c r="TXG25" s="19"/>
      <c r="TXH25" s="19"/>
      <c r="TXI25" s="19"/>
      <c r="TXJ25" s="19"/>
      <c r="TXK25" s="19"/>
      <c r="TXL25" s="19"/>
      <c r="TXM25" s="19"/>
      <c r="TXN25" s="19"/>
      <c r="TXO25" s="19"/>
      <c r="TXP25" s="19"/>
      <c r="TXQ25" s="19"/>
      <c r="TXR25" s="19"/>
      <c r="TXS25" s="19"/>
      <c r="TXT25" s="19"/>
      <c r="TXU25" s="19"/>
      <c r="TXV25" s="19"/>
      <c r="TXW25" s="19"/>
      <c r="TXX25" s="19"/>
      <c r="TXY25" s="19"/>
      <c r="TXZ25" s="19"/>
      <c r="TYA25" s="19"/>
      <c r="TYB25" s="19"/>
      <c r="TYC25" s="19"/>
      <c r="TYD25" s="19"/>
      <c r="TYE25" s="19"/>
      <c r="TYF25" s="19"/>
      <c r="TYG25" s="19"/>
      <c r="TYH25" s="19"/>
      <c r="TYI25" s="19"/>
      <c r="TYJ25" s="19"/>
      <c r="TYK25" s="19"/>
      <c r="TYL25" s="19"/>
      <c r="TYM25" s="19"/>
      <c r="TYN25" s="19"/>
      <c r="TYO25" s="19"/>
      <c r="TYP25" s="19"/>
      <c r="TYQ25" s="19"/>
      <c r="TYR25" s="19"/>
      <c r="TYS25" s="19"/>
      <c r="TYT25" s="19"/>
      <c r="TYU25" s="19"/>
      <c r="TYV25" s="19"/>
      <c r="TYW25" s="19"/>
      <c r="TYX25" s="19"/>
      <c r="TYY25" s="19"/>
      <c r="TYZ25" s="19"/>
      <c r="TZA25" s="19"/>
      <c r="TZB25" s="19"/>
      <c r="TZC25" s="19"/>
      <c r="TZD25" s="19"/>
      <c r="TZE25" s="19"/>
      <c r="TZF25" s="19"/>
      <c r="TZG25" s="19"/>
      <c r="TZH25" s="19"/>
      <c r="TZI25" s="19"/>
      <c r="TZJ25" s="19"/>
      <c r="TZK25" s="19"/>
      <c r="TZL25" s="19"/>
      <c r="TZM25" s="19"/>
      <c r="TZN25" s="19"/>
      <c r="TZO25" s="19"/>
      <c r="TZP25" s="19"/>
      <c r="TZQ25" s="19"/>
      <c r="TZR25" s="19"/>
      <c r="TZS25" s="19"/>
      <c r="TZT25" s="19"/>
      <c r="TZU25" s="19"/>
      <c r="TZV25" s="19"/>
      <c r="TZW25" s="19"/>
      <c r="TZX25" s="19"/>
      <c r="TZY25" s="19"/>
      <c r="TZZ25" s="19"/>
      <c r="UAA25" s="19"/>
      <c r="UAB25" s="19"/>
      <c r="UAC25" s="19"/>
      <c r="UAD25" s="19"/>
      <c r="UAE25" s="19"/>
      <c r="UAF25" s="19"/>
      <c r="UAG25" s="19"/>
      <c r="UAH25" s="19"/>
      <c r="UAI25" s="19"/>
      <c r="UAJ25" s="19"/>
      <c r="UAK25" s="19"/>
      <c r="UAL25" s="19"/>
      <c r="UAM25" s="19"/>
      <c r="UAN25" s="19"/>
      <c r="UAO25" s="19"/>
      <c r="UAP25" s="19"/>
      <c r="UAQ25" s="19"/>
      <c r="UAR25" s="19"/>
      <c r="UAS25" s="19"/>
      <c r="UAT25" s="19"/>
      <c r="UAU25" s="19"/>
      <c r="UAV25" s="19"/>
      <c r="UAW25" s="19"/>
      <c r="UAX25" s="19"/>
      <c r="UAY25" s="19"/>
      <c r="UAZ25" s="19"/>
      <c r="UBA25" s="19"/>
      <c r="UBB25" s="19"/>
      <c r="UBC25" s="19"/>
      <c r="UBD25" s="19"/>
      <c r="UBE25" s="19"/>
      <c r="UBF25" s="19"/>
      <c r="UBG25" s="19"/>
      <c r="UBH25" s="19"/>
      <c r="UBI25" s="19"/>
      <c r="UBJ25" s="19"/>
      <c r="UBK25" s="19"/>
      <c r="UBL25" s="19"/>
      <c r="UBM25" s="19"/>
      <c r="UBN25" s="19"/>
      <c r="UBO25" s="19"/>
      <c r="UBP25" s="19"/>
      <c r="UBQ25" s="19"/>
      <c r="UBR25" s="19"/>
      <c r="UBS25" s="19"/>
      <c r="UBT25" s="19"/>
      <c r="UBU25" s="19"/>
      <c r="UBV25" s="19"/>
      <c r="UBW25" s="19"/>
      <c r="UBX25" s="19"/>
      <c r="UBY25" s="19"/>
      <c r="UBZ25" s="19"/>
      <c r="UCA25" s="19"/>
      <c r="UCB25" s="19"/>
      <c r="UCC25" s="19"/>
      <c r="UCD25" s="19"/>
      <c r="UCE25" s="19"/>
      <c r="UCF25" s="19"/>
      <c r="UCG25" s="19"/>
      <c r="UCH25" s="19"/>
      <c r="UCI25" s="19"/>
      <c r="UCJ25" s="19"/>
      <c r="UCK25" s="19"/>
      <c r="UCL25" s="19"/>
      <c r="UCM25" s="19"/>
      <c r="UCN25" s="19"/>
      <c r="UCO25" s="19"/>
      <c r="UCP25" s="19"/>
      <c r="UCQ25" s="19"/>
      <c r="UCR25" s="19"/>
      <c r="UCS25" s="19"/>
      <c r="UCT25" s="19"/>
      <c r="UCU25" s="19"/>
      <c r="UCV25" s="19"/>
      <c r="UCW25" s="19"/>
      <c r="UCX25" s="19"/>
      <c r="UCY25" s="19"/>
      <c r="UCZ25" s="19"/>
      <c r="UDA25" s="19"/>
      <c r="UDB25" s="19"/>
      <c r="UDC25" s="19"/>
      <c r="UDD25" s="19"/>
      <c r="UDE25" s="19"/>
      <c r="UDF25" s="19"/>
      <c r="UDG25" s="19"/>
      <c r="UDH25" s="19"/>
      <c r="UDI25" s="19"/>
      <c r="UDJ25" s="19"/>
      <c r="UDK25" s="19"/>
      <c r="UDL25" s="19"/>
      <c r="UDM25" s="19"/>
      <c r="UDN25" s="19"/>
      <c r="UDO25" s="19"/>
      <c r="UDP25" s="19"/>
      <c r="UDQ25" s="19"/>
      <c r="UDR25" s="19"/>
      <c r="UDS25" s="19"/>
      <c r="UDT25" s="19"/>
      <c r="UDU25" s="19"/>
      <c r="UDV25" s="19"/>
      <c r="UDW25" s="19"/>
      <c r="UDX25" s="19"/>
      <c r="UDY25" s="19"/>
      <c r="UDZ25" s="19"/>
      <c r="UEA25" s="19"/>
      <c r="UEB25" s="19"/>
      <c r="UEC25" s="19"/>
      <c r="UED25" s="19"/>
      <c r="UEE25" s="19"/>
      <c r="UEF25" s="19"/>
      <c r="UEG25" s="19"/>
      <c r="UEH25" s="19"/>
      <c r="UEI25" s="19"/>
      <c r="UEJ25" s="19"/>
      <c r="UEK25" s="19"/>
      <c r="UEL25" s="19"/>
      <c r="UEM25" s="19"/>
      <c r="UEN25" s="19"/>
      <c r="UEO25" s="19"/>
      <c r="UEP25" s="19"/>
      <c r="UEQ25" s="19"/>
      <c r="UER25" s="19"/>
      <c r="UES25" s="19"/>
      <c r="UET25" s="19"/>
      <c r="UEU25" s="19"/>
      <c r="UEV25" s="19"/>
      <c r="UEW25" s="19"/>
      <c r="UEX25" s="19"/>
      <c r="UEY25" s="19"/>
      <c r="UEZ25" s="19"/>
      <c r="UFA25" s="19"/>
      <c r="UFB25" s="19"/>
      <c r="UFC25" s="19"/>
      <c r="UFD25" s="19"/>
      <c r="UFE25" s="19"/>
      <c r="UFF25" s="19"/>
      <c r="UFG25" s="19"/>
      <c r="UFH25" s="19"/>
      <c r="UFI25" s="19"/>
      <c r="UFJ25" s="19"/>
      <c r="UFK25" s="19"/>
      <c r="UFL25" s="19"/>
      <c r="UFM25" s="19"/>
      <c r="UFN25" s="19"/>
      <c r="UFO25" s="19"/>
      <c r="UFP25" s="19"/>
      <c r="UFQ25" s="19"/>
      <c r="UFR25" s="19"/>
      <c r="UFS25" s="19"/>
      <c r="UFT25" s="19"/>
      <c r="UFU25" s="19"/>
      <c r="UFV25" s="19"/>
      <c r="UFW25" s="19"/>
      <c r="UFX25" s="19"/>
      <c r="UFY25" s="19"/>
      <c r="UFZ25" s="19"/>
      <c r="UGA25" s="19"/>
      <c r="UGB25" s="19"/>
      <c r="UGC25" s="19"/>
      <c r="UGD25" s="19"/>
      <c r="UGE25" s="19"/>
      <c r="UGF25" s="19"/>
      <c r="UGG25" s="19"/>
      <c r="UGH25" s="19"/>
      <c r="UGI25" s="19"/>
      <c r="UGJ25" s="19"/>
      <c r="UGK25" s="19"/>
      <c r="UGL25" s="19"/>
      <c r="UGM25" s="19"/>
      <c r="UGN25" s="19"/>
      <c r="UGO25" s="19"/>
      <c r="UGP25" s="19"/>
      <c r="UGQ25" s="19"/>
      <c r="UGR25" s="19"/>
      <c r="UGS25" s="19"/>
      <c r="UGT25" s="19"/>
      <c r="UGU25" s="19"/>
      <c r="UGV25" s="19"/>
      <c r="UGW25" s="19"/>
      <c r="UGX25" s="19"/>
      <c r="UGY25" s="19"/>
      <c r="UGZ25" s="19"/>
      <c r="UHA25" s="19"/>
      <c r="UHB25" s="19"/>
      <c r="UHC25" s="19"/>
      <c r="UHD25" s="19"/>
      <c r="UHE25" s="19"/>
      <c r="UHF25" s="19"/>
      <c r="UHG25" s="19"/>
      <c r="UHH25" s="19"/>
      <c r="UHI25" s="19"/>
      <c r="UHJ25" s="19"/>
      <c r="UHK25" s="19"/>
      <c r="UHL25" s="19"/>
      <c r="UHM25" s="19"/>
      <c r="UHN25" s="19"/>
      <c r="UHO25" s="19"/>
      <c r="UHP25" s="19"/>
      <c r="UHQ25" s="19"/>
      <c r="UHR25" s="19"/>
      <c r="UHS25" s="19"/>
      <c r="UHT25" s="19"/>
      <c r="UHU25" s="19"/>
      <c r="UHV25" s="19"/>
      <c r="UHW25" s="19"/>
      <c r="UHX25" s="19"/>
      <c r="UHY25" s="19"/>
      <c r="UHZ25" s="19"/>
      <c r="UIA25" s="19"/>
      <c r="UIB25" s="19"/>
      <c r="UIC25" s="19"/>
      <c r="UID25" s="19"/>
      <c r="UIE25" s="19"/>
      <c r="UIF25" s="19"/>
      <c r="UIG25" s="19"/>
      <c r="UIH25" s="19"/>
      <c r="UII25" s="19"/>
      <c r="UIJ25" s="19"/>
      <c r="UIK25" s="19"/>
      <c r="UIL25" s="19"/>
      <c r="UIM25" s="19"/>
      <c r="UIN25" s="19"/>
      <c r="UIO25" s="19"/>
      <c r="UIP25" s="19"/>
      <c r="UIQ25" s="19"/>
      <c r="UIR25" s="19"/>
      <c r="UIS25" s="19"/>
      <c r="UIT25" s="19"/>
      <c r="UIU25" s="19"/>
      <c r="UIV25" s="19"/>
      <c r="UIW25" s="19"/>
      <c r="UIX25" s="19"/>
      <c r="UIY25" s="19"/>
      <c r="UIZ25" s="19"/>
      <c r="UJA25" s="19"/>
      <c r="UJB25" s="19"/>
      <c r="UJC25" s="19"/>
      <c r="UJD25" s="19"/>
      <c r="UJE25" s="19"/>
      <c r="UJF25" s="19"/>
      <c r="UJG25" s="19"/>
      <c r="UJH25" s="19"/>
      <c r="UJI25" s="19"/>
      <c r="UJJ25" s="19"/>
      <c r="UJK25" s="19"/>
      <c r="UJL25" s="19"/>
      <c r="UJM25" s="19"/>
      <c r="UJN25" s="19"/>
      <c r="UJO25" s="19"/>
      <c r="UJP25" s="19"/>
      <c r="UJQ25" s="19"/>
      <c r="UJR25" s="19"/>
      <c r="UJS25" s="19"/>
      <c r="UJT25" s="19"/>
      <c r="UJU25" s="19"/>
      <c r="UJV25" s="19"/>
      <c r="UJW25" s="19"/>
      <c r="UJX25" s="19"/>
      <c r="UJY25" s="19"/>
      <c r="UJZ25" s="19"/>
      <c r="UKA25" s="19"/>
      <c r="UKB25" s="19"/>
      <c r="UKC25" s="19"/>
      <c r="UKD25" s="19"/>
      <c r="UKE25" s="19"/>
      <c r="UKF25" s="19"/>
      <c r="UKG25" s="19"/>
      <c r="UKH25" s="19"/>
      <c r="UKI25" s="19"/>
      <c r="UKJ25" s="19"/>
      <c r="UKK25" s="19"/>
      <c r="UKL25" s="19"/>
      <c r="UKM25" s="19"/>
      <c r="UKN25" s="19"/>
      <c r="UKO25" s="19"/>
      <c r="UKP25" s="19"/>
      <c r="UKQ25" s="19"/>
      <c r="UKR25" s="19"/>
      <c r="UKS25" s="19"/>
      <c r="UKT25" s="19"/>
      <c r="UKU25" s="19"/>
      <c r="UKV25" s="19"/>
      <c r="UKW25" s="19"/>
      <c r="UKX25" s="19"/>
      <c r="UKY25" s="19"/>
      <c r="UKZ25" s="19"/>
      <c r="ULA25" s="19"/>
      <c r="ULB25" s="19"/>
      <c r="ULC25" s="19"/>
      <c r="ULD25" s="19"/>
      <c r="ULE25" s="19"/>
      <c r="ULF25" s="19"/>
      <c r="ULG25" s="19"/>
      <c r="ULH25" s="19"/>
      <c r="ULI25" s="19"/>
      <c r="ULJ25" s="19"/>
      <c r="ULK25" s="19"/>
      <c r="ULL25" s="19"/>
      <c r="ULM25" s="19"/>
      <c r="ULN25" s="19"/>
      <c r="ULO25" s="19"/>
      <c r="ULP25" s="19"/>
      <c r="ULQ25" s="19"/>
      <c r="ULR25" s="19"/>
      <c r="ULS25" s="19"/>
      <c r="ULT25" s="19"/>
      <c r="ULU25" s="19"/>
      <c r="ULV25" s="19"/>
      <c r="ULW25" s="19"/>
      <c r="ULX25" s="19"/>
      <c r="ULY25" s="19"/>
      <c r="ULZ25" s="19"/>
      <c r="UMA25" s="19"/>
      <c r="UMB25" s="19"/>
      <c r="UMC25" s="19"/>
      <c r="UMD25" s="19"/>
      <c r="UME25" s="19"/>
      <c r="UMF25" s="19"/>
      <c r="UMG25" s="19"/>
      <c r="UMH25" s="19"/>
      <c r="UMI25" s="19"/>
      <c r="UMJ25" s="19"/>
      <c r="UMK25" s="19"/>
      <c r="UML25" s="19"/>
      <c r="UMM25" s="19"/>
      <c r="UMN25" s="19"/>
      <c r="UMO25" s="19"/>
      <c r="UMP25" s="19"/>
      <c r="UMQ25" s="19"/>
      <c r="UMR25" s="19"/>
      <c r="UMS25" s="19"/>
      <c r="UMT25" s="19"/>
      <c r="UMU25" s="19"/>
      <c r="UMV25" s="19"/>
      <c r="UMW25" s="19"/>
      <c r="UMX25" s="19"/>
      <c r="UMY25" s="19"/>
      <c r="UMZ25" s="19"/>
      <c r="UNA25" s="19"/>
      <c r="UNB25" s="19"/>
      <c r="UNC25" s="19"/>
      <c r="UND25" s="19"/>
      <c r="UNE25" s="19"/>
      <c r="UNF25" s="19"/>
      <c r="UNG25" s="19"/>
      <c r="UNH25" s="19"/>
      <c r="UNI25" s="19"/>
      <c r="UNJ25" s="19"/>
      <c r="UNK25" s="19"/>
      <c r="UNL25" s="19"/>
      <c r="UNM25" s="19"/>
      <c r="UNN25" s="19"/>
      <c r="UNO25" s="19"/>
      <c r="UNP25" s="19"/>
      <c r="UNQ25" s="19"/>
      <c r="UNR25" s="19"/>
      <c r="UNS25" s="19"/>
      <c r="UNT25" s="19"/>
      <c r="UNU25" s="19"/>
      <c r="UNV25" s="19"/>
      <c r="UNW25" s="19"/>
      <c r="UNX25" s="19"/>
      <c r="UNY25" s="19"/>
      <c r="UNZ25" s="19"/>
      <c r="UOA25" s="19"/>
      <c r="UOB25" s="19"/>
      <c r="UOC25" s="19"/>
      <c r="UOD25" s="19"/>
      <c r="UOE25" s="19"/>
      <c r="UOF25" s="19"/>
      <c r="UOG25" s="19"/>
      <c r="UOH25" s="19"/>
      <c r="UOI25" s="19"/>
      <c r="UOJ25" s="19"/>
      <c r="UOK25" s="19"/>
      <c r="UOL25" s="19"/>
      <c r="UOM25" s="19"/>
      <c r="UON25" s="19"/>
      <c r="UOO25" s="19"/>
      <c r="UOP25" s="19"/>
      <c r="UOQ25" s="19"/>
      <c r="UOR25" s="19"/>
      <c r="UOS25" s="19"/>
      <c r="UOT25" s="19"/>
      <c r="UOU25" s="19"/>
      <c r="UOV25" s="19"/>
      <c r="UOW25" s="19"/>
      <c r="UOX25" s="19"/>
      <c r="UOY25" s="19"/>
      <c r="UOZ25" s="19"/>
      <c r="UPA25" s="19"/>
      <c r="UPB25" s="19"/>
      <c r="UPC25" s="19"/>
      <c r="UPD25" s="19"/>
      <c r="UPE25" s="19"/>
      <c r="UPF25" s="19"/>
      <c r="UPG25" s="19"/>
      <c r="UPH25" s="19"/>
      <c r="UPI25" s="19"/>
      <c r="UPJ25" s="19"/>
      <c r="UPK25" s="19"/>
      <c r="UPL25" s="19"/>
      <c r="UPM25" s="19"/>
      <c r="UPN25" s="19"/>
      <c r="UPO25" s="19"/>
      <c r="UPP25" s="19"/>
      <c r="UPQ25" s="19"/>
      <c r="UPR25" s="19"/>
      <c r="UPS25" s="19"/>
      <c r="UPT25" s="19"/>
      <c r="UPU25" s="19"/>
      <c r="UPV25" s="19"/>
      <c r="UPW25" s="19"/>
      <c r="UPX25" s="19"/>
      <c r="UPY25" s="19"/>
      <c r="UPZ25" s="19"/>
      <c r="UQA25" s="19"/>
      <c r="UQB25" s="19"/>
      <c r="UQC25" s="19"/>
      <c r="UQD25" s="19"/>
      <c r="UQE25" s="19"/>
      <c r="UQF25" s="19"/>
      <c r="UQG25" s="19"/>
      <c r="UQH25" s="19"/>
      <c r="UQI25" s="19"/>
      <c r="UQJ25" s="19"/>
      <c r="UQK25" s="19"/>
      <c r="UQL25" s="19"/>
      <c r="UQM25" s="19"/>
      <c r="UQN25" s="19"/>
      <c r="UQO25" s="19"/>
      <c r="UQP25" s="19"/>
      <c r="UQQ25" s="19"/>
      <c r="UQR25" s="19"/>
      <c r="UQS25" s="19"/>
      <c r="UQT25" s="19"/>
      <c r="UQU25" s="19"/>
      <c r="UQV25" s="19"/>
      <c r="UQW25" s="19"/>
      <c r="UQX25" s="19"/>
      <c r="UQY25" s="19"/>
      <c r="UQZ25" s="19"/>
      <c r="URA25" s="19"/>
      <c r="URB25" s="19"/>
      <c r="URC25" s="19"/>
      <c r="URD25" s="19"/>
      <c r="URE25" s="19"/>
      <c r="URF25" s="19"/>
      <c r="URG25" s="19"/>
      <c r="URH25" s="19"/>
      <c r="URI25" s="19"/>
      <c r="URJ25" s="19"/>
      <c r="URK25" s="19"/>
      <c r="URL25" s="19"/>
      <c r="URM25" s="19"/>
      <c r="URN25" s="19"/>
      <c r="URO25" s="19"/>
      <c r="URP25" s="19"/>
      <c r="URQ25" s="19"/>
      <c r="URR25" s="19"/>
      <c r="URS25" s="19"/>
      <c r="URT25" s="19"/>
      <c r="URU25" s="19"/>
      <c r="URV25" s="19"/>
      <c r="URW25" s="19"/>
      <c r="URX25" s="19"/>
      <c r="URY25" s="19"/>
      <c r="URZ25" s="19"/>
      <c r="USA25" s="19"/>
      <c r="USB25" s="19"/>
      <c r="USC25" s="19"/>
      <c r="USD25" s="19"/>
      <c r="USE25" s="19"/>
      <c r="USF25" s="19"/>
      <c r="USG25" s="19"/>
      <c r="USH25" s="19"/>
      <c r="USI25" s="19"/>
      <c r="USJ25" s="19"/>
      <c r="USK25" s="19"/>
      <c r="USL25" s="19"/>
      <c r="USM25" s="19"/>
      <c r="USN25" s="19"/>
      <c r="USO25" s="19"/>
      <c r="USP25" s="19"/>
      <c r="USQ25" s="19"/>
      <c r="USR25" s="19"/>
      <c r="USS25" s="19"/>
      <c r="UST25" s="19"/>
      <c r="USU25" s="19"/>
      <c r="USV25" s="19"/>
      <c r="USW25" s="19"/>
      <c r="USX25" s="19"/>
      <c r="USY25" s="19"/>
      <c r="USZ25" s="19"/>
      <c r="UTA25" s="19"/>
      <c r="UTB25" s="19"/>
      <c r="UTC25" s="19"/>
      <c r="UTD25" s="19"/>
      <c r="UTE25" s="19"/>
      <c r="UTF25" s="19"/>
      <c r="UTG25" s="19"/>
      <c r="UTH25" s="19"/>
      <c r="UTI25" s="19"/>
      <c r="UTJ25" s="19"/>
      <c r="UTK25" s="19"/>
      <c r="UTL25" s="19"/>
      <c r="UTM25" s="19"/>
      <c r="UTN25" s="19"/>
      <c r="UTO25" s="19"/>
      <c r="UTP25" s="19"/>
      <c r="UTQ25" s="19"/>
      <c r="UTR25" s="19"/>
      <c r="UTS25" s="19"/>
      <c r="UTT25" s="19"/>
      <c r="UTU25" s="19"/>
      <c r="UTV25" s="19"/>
      <c r="UTW25" s="19"/>
      <c r="UTX25" s="19"/>
      <c r="UTY25" s="19"/>
      <c r="UTZ25" s="19"/>
      <c r="UUA25" s="19"/>
      <c r="UUB25" s="19"/>
      <c r="UUC25" s="19"/>
      <c r="UUD25" s="19"/>
      <c r="UUE25" s="19"/>
      <c r="UUF25" s="19"/>
      <c r="UUG25" s="19"/>
      <c r="UUH25" s="19"/>
      <c r="UUI25" s="19"/>
      <c r="UUJ25" s="19"/>
      <c r="UUK25" s="19"/>
      <c r="UUL25" s="19"/>
      <c r="UUM25" s="19"/>
      <c r="UUN25" s="19"/>
      <c r="UUO25" s="19"/>
      <c r="UUP25" s="19"/>
      <c r="UUQ25" s="19"/>
      <c r="UUR25" s="19"/>
      <c r="UUS25" s="19"/>
      <c r="UUT25" s="19"/>
      <c r="UUU25" s="19"/>
      <c r="UUV25" s="19"/>
      <c r="UUW25" s="19"/>
      <c r="UUX25" s="19"/>
      <c r="UUY25" s="19"/>
      <c r="UUZ25" s="19"/>
      <c r="UVA25" s="19"/>
      <c r="UVB25" s="19"/>
      <c r="UVC25" s="19"/>
      <c r="UVD25" s="19"/>
      <c r="UVE25" s="19"/>
      <c r="UVF25" s="19"/>
      <c r="UVG25" s="19"/>
      <c r="UVH25" s="19"/>
      <c r="UVI25" s="19"/>
      <c r="UVJ25" s="19"/>
      <c r="UVK25" s="19"/>
      <c r="UVL25" s="19"/>
      <c r="UVM25" s="19"/>
      <c r="UVN25" s="19"/>
      <c r="UVO25" s="19"/>
      <c r="UVP25" s="19"/>
      <c r="UVQ25" s="19"/>
      <c r="UVR25" s="19"/>
      <c r="UVS25" s="19"/>
      <c r="UVT25" s="19"/>
      <c r="UVU25" s="19"/>
      <c r="UVV25" s="19"/>
      <c r="UVW25" s="19"/>
      <c r="UVX25" s="19"/>
      <c r="UVY25" s="19"/>
      <c r="UVZ25" s="19"/>
      <c r="UWA25" s="19"/>
      <c r="UWB25" s="19"/>
      <c r="UWC25" s="19"/>
      <c r="UWD25" s="19"/>
      <c r="UWE25" s="19"/>
      <c r="UWF25" s="19"/>
      <c r="UWG25" s="19"/>
      <c r="UWH25" s="19"/>
      <c r="UWI25" s="19"/>
      <c r="UWJ25" s="19"/>
      <c r="UWK25" s="19"/>
      <c r="UWL25" s="19"/>
      <c r="UWM25" s="19"/>
      <c r="UWN25" s="19"/>
      <c r="UWO25" s="19"/>
      <c r="UWP25" s="19"/>
      <c r="UWQ25" s="19"/>
      <c r="UWR25" s="19"/>
      <c r="UWS25" s="19"/>
      <c r="UWT25" s="19"/>
      <c r="UWU25" s="19"/>
      <c r="UWV25" s="19"/>
      <c r="UWW25" s="19"/>
      <c r="UWX25" s="19"/>
      <c r="UWY25" s="19"/>
      <c r="UWZ25" s="19"/>
      <c r="UXA25" s="19"/>
      <c r="UXB25" s="19"/>
      <c r="UXC25" s="19"/>
      <c r="UXD25" s="19"/>
      <c r="UXE25" s="19"/>
      <c r="UXF25" s="19"/>
      <c r="UXG25" s="19"/>
      <c r="UXH25" s="19"/>
      <c r="UXI25" s="19"/>
      <c r="UXJ25" s="19"/>
      <c r="UXK25" s="19"/>
      <c r="UXL25" s="19"/>
      <c r="UXM25" s="19"/>
      <c r="UXN25" s="19"/>
      <c r="UXO25" s="19"/>
      <c r="UXP25" s="19"/>
      <c r="UXQ25" s="19"/>
      <c r="UXR25" s="19"/>
      <c r="UXS25" s="19"/>
      <c r="UXT25" s="19"/>
      <c r="UXU25" s="19"/>
      <c r="UXV25" s="19"/>
      <c r="UXW25" s="19"/>
      <c r="UXX25" s="19"/>
      <c r="UXY25" s="19"/>
      <c r="UXZ25" s="19"/>
      <c r="UYA25" s="19"/>
      <c r="UYB25" s="19"/>
      <c r="UYC25" s="19"/>
      <c r="UYD25" s="19"/>
      <c r="UYE25" s="19"/>
      <c r="UYF25" s="19"/>
      <c r="UYG25" s="19"/>
      <c r="UYH25" s="19"/>
      <c r="UYI25" s="19"/>
      <c r="UYJ25" s="19"/>
      <c r="UYK25" s="19"/>
      <c r="UYL25" s="19"/>
      <c r="UYM25" s="19"/>
      <c r="UYN25" s="19"/>
      <c r="UYO25" s="19"/>
      <c r="UYP25" s="19"/>
      <c r="UYQ25" s="19"/>
      <c r="UYR25" s="19"/>
      <c r="UYS25" s="19"/>
      <c r="UYT25" s="19"/>
      <c r="UYU25" s="19"/>
      <c r="UYV25" s="19"/>
      <c r="UYW25" s="19"/>
      <c r="UYX25" s="19"/>
      <c r="UYY25" s="19"/>
      <c r="UYZ25" s="19"/>
      <c r="UZA25" s="19"/>
      <c r="UZB25" s="19"/>
      <c r="UZC25" s="19"/>
      <c r="UZD25" s="19"/>
      <c r="UZE25" s="19"/>
      <c r="UZF25" s="19"/>
      <c r="UZG25" s="19"/>
      <c r="UZH25" s="19"/>
      <c r="UZI25" s="19"/>
      <c r="UZJ25" s="19"/>
      <c r="UZK25" s="19"/>
      <c r="UZL25" s="19"/>
      <c r="UZM25" s="19"/>
      <c r="UZN25" s="19"/>
      <c r="UZO25" s="19"/>
      <c r="UZP25" s="19"/>
      <c r="UZQ25" s="19"/>
      <c r="UZR25" s="19"/>
      <c r="UZS25" s="19"/>
      <c r="UZT25" s="19"/>
      <c r="UZU25" s="19"/>
      <c r="UZV25" s="19"/>
      <c r="UZW25" s="19"/>
      <c r="UZX25" s="19"/>
      <c r="UZY25" s="19"/>
      <c r="UZZ25" s="19"/>
      <c r="VAA25" s="19"/>
      <c r="VAB25" s="19"/>
      <c r="VAC25" s="19"/>
      <c r="VAD25" s="19"/>
      <c r="VAE25" s="19"/>
      <c r="VAF25" s="19"/>
      <c r="VAG25" s="19"/>
      <c r="VAH25" s="19"/>
      <c r="VAI25" s="19"/>
      <c r="VAJ25" s="19"/>
      <c r="VAK25" s="19"/>
      <c r="VAL25" s="19"/>
      <c r="VAM25" s="19"/>
      <c r="VAN25" s="19"/>
      <c r="VAO25" s="19"/>
      <c r="VAP25" s="19"/>
      <c r="VAQ25" s="19"/>
      <c r="VAR25" s="19"/>
      <c r="VAS25" s="19"/>
      <c r="VAT25" s="19"/>
      <c r="VAU25" s="19"/>
      <c r="VAV25" s="19"/>
      <c r="VAW25" s="19"/>
      <c r="VAX25" s="19"/>
      <c r="VAY25" s="19"/>
      <c r="VAZ25" s="19"/>
      <c r="VBA25" s="19"/>
      <c r="VBB25" s="19"/>
      <c r="VBC25" s="19"/>
      <c r="VBD25" s="19"/>
      <c r="VBE25" s="19"/>
      <c r="VBF25" s="19"/>
      <c r="VBG25" s="19"/>
      <c r="VBH25" s="19"/>
      <c r="VBI25" s="19"/>
      <c r="VBJ25" s="19"/>
      <c r="VBK25" s="19"/>
      <c r="VBL25" s="19"/>
      <c r="VBM25" s="19"/>
      <c r="VBN25" s="19"/>
      <c r="VBO25" s="19"/>
      <c r="VBP25" s="19"/>
      <c r="VBQ25" s="19"/>
      <c r="VBR25" s="19"/>
      <c r="VBS25" s="19"/>
      <c r="VBT25" s="19"/>
      <c r="VBU25" s="19"/>
      <c r="VBV25" s="19"/>
      <c r="VBW25" s="19"/>
      <c r="VBX25" s="19"/>
      <c r="VBY25" s="19"/>
      <c r="VBZ25" s="19"/>
      <c r="VCA25" s="19"/>
      <c r="VCB25" s="19"/>
      <c r="VCC25" s="19"/>
      <c r="VCD25" s="19"/>
      <c r="VCE25" s="19"/>
      <c r="VCF25" s="19"/>
      <c r="VCG25" s="19"/>
      <c r="VCH25" s="19"/>
      <c r="VCI25" s="19"/>
      <c r="VCJ25" s="19"/>
      <c r="VCK25" s="19"/>
      <c r="VCL25" s="19"/>
      <c r="VCM25" s="19"/>
      <c r="VCN25" s="19"/>
      <c r="VCO25" s="19"/>
      <c r="VCP25" s="19"/>
      <c r="VCQ25" s="19"/>
      <c r="VCR25" s="19"/>
      <c r="VCS25" s="19"/>
      <c r="VCT25" s="19"/>
      <c r="VCU25" s="19"/>
      <c r="VCV25" s="19"/>
      <c r="VCW25" s="19"/>
      <c r="VCX25" s="19"/>
      <c r="VCY25" s="19"/>
      <c r="VCZ25" s="19"/>
      <c r="VDA25" s="19"/>
      <c r="VDB25" s="19"/>
      <c r="VDC25" s="19"/>
      <c r="VDD25" s="19"/>
      <c r="VDE25" s="19"/>
      <c r="VDF25" s="19"/>
      <c r="VDG25" s="19"/>
      <c r="VDH25" s="19"/>
      <c r="VDI25" s="19"/>
      <c r="VDJ25" s="19"/>
      <c r="VDK25" s="19"/>
      <c r="VDL25" s="19"/>
      <c r="VDM25" s="19"/>
      <c r="VDN25" s="19"/>
      <c r="VDO25" s="19"/>
      <c r="VDP25" s="19"/>
      <c r="VDQ25" s="19"/>
      <c r="VDR25" s="19"/>
      <c r="VDS25" s="19"/>
      <c r="VDT25" s="19"/>
      <c r="VDU25" s="19"/>
      <c r="VDV25" s="19"/>
      <c r="VDW25" s="19"/>
      <c r="VDX25" s="19"/>
      <c r="VDY25" s="19"/>
      <c r="VDZ25" s="19"/>
      <c r="VEA25" s="19"/>
      <c r="VEB25" s="19"/>
      <c r="VEC25" s="19"/>
      <c r="VED25" s="19"/>
      <c r="VEE25" s="19"/>
      <c r="VEF25" s="19"/>
      <c r="VEG25" s="19"/>
      <c r="VEH25" s="19"/>
      <c r="VEI25" s="19"/>
      <c r="VEJ25" s="19"/>
      <c r="VEK25" s="19"/>
      <c r="VEL25" s="19"/>
      <c r="VEM25" s="19"/>
      <c r="VEN25" s="19"/>
      <c r="VEO25" s="19"/>
      <c r="VEP25" s="19"/>
      <c r="VEQ25" s="19"/>
      <c r="VER25" s="19"/>
      <c r="VES25" s="19"/>
      <c r="VET25" s="19"/>
      <c r="VEU25" s="19"/>
      <c r="VEV25" s="19"/>
      <c r="VEW25" s="19"/>
      <c r="VEX25" s="19"/>
      <c r="VEY25" s="19"/>
      <c r="VEZ25" s="19"/>
      <c r="VFA25" s="19"/>
      <c r="VFB25" s="19"/>
      <c r="VFC25" s="19"/>
      <c r="VFD25" s="19"/>
      <c r="VFE25" s="19"/>
      <c r="VFF25" s="19"/>
      <c r="VFG25" s="19"/>
      <c r="VFH25" s="19"/>
      <c r="VFI25" s="19"/>
      <c r="VFJ25" s="19"/>
      <c r="VFK25" s="19"/>
      <c r="VFL25" s="19"/>
      <c r="VFM25" s="19"/>
      <c r="VFN25" s="19"/>
      <c r="VFO25" s="19"/>
      <c r="VFP25" s="19"/>
      <c r="VFQ25" s="19"/>
      <c r="VFR25" s="19"/>
      <c r="VFS25" s="19"/>
      <c r="VFT25" s="19"/>
      <c r="VFU25" s="19"/>
      <c r="VFV25" s="19"/>
      <c r="VFW25" s="19"/>
      <c r="VFX25" s="19"/>
      <c r="VFY25" s="19"/>
      <c r="VFZ25" s="19"/>
      <c r="VGA25" s="19"/>
      <c r="VGB25" s="19"/>
      <c r="VGC25" s="19"/>
      <c r="VGD25" s="19"/>
      <c r="VGE25" s="19"/>
      <c r="VGF25" s="19"/>
      <c r="VGG25" s="19"/>
      <c r="VGH25" s="19"/>
      <c r="VGI25" s="19"/>
      <c r="VGJ25" s="19"/>
      <c r="VGK25" s="19"/>
      <c r="VGL25" s="19"/>
      <c r="VGM25" s="19"/>
      <c r="VGN25" s="19"/>
      <c r="VGO25" s="19"/>
      <c r="VGP25" s="19"/>
      <c r="VGQ25" s="19"/>
      <c r="VGR25" s="19"/>
      <c r="VGS25" s="19"/>
      <c r="VGT25" s="19"/>
      <c r="VGU25" s="19"/>
      <c r="VGV25" s="19"/>
      <c r="VGW25" s="19"/>
      <c r="VGX25" s="19"/>
      <c r="VGY25" s="19"/>
      <c r="VGZ25" s="19"/>
      <c r="VHA25" s="19"/>
      <c r="VHB25" s="19"/>
      <c r="VHC25" s="19"/>
      <c r="VHD25" s="19"/>
      <c r="VHE25" s="19"/>
      <c r="VHF25" s="19"/>
      <c r="VHG25" s="19"/>
      <c r="VHH25" s="19"/>
      <c r="VHI25" s="19"/>
      <c r="VHJ25" s="19"/>
      <c r="VHK25" s="19"/>
      <c r="VHL25" s="19"/>
      <c r="VHM25" s="19"/>
      <c r="VHN25" s="19"/>
      <c r="VHO25" s="19"/>
      <c r="VHP25" s="19"/>
      <c r="VHQ25" s="19"/>
      <c r="VHR25" s="19"/>
      <c r="VHS25" s="19"/>
      <c r="VHT25" s="19"/>
      <c r="VHU25" s="19"/>
      <c r="VHV25" s="19"/>
      <c r="VHW25" s="19"/>
      <c r="VHX25" s="19"/>
      <c r="VHY25" s="19"/>
      <c r="VHZ25" s="19"/>
      <c r="VIA25" s="19"/>
      <c r="VIB25" s="19"/>
      <c r="VIC25" s="19"/>
      <c r="VID25" s="19"/>
      <c r="VIE25" s="19"/>
      <c r="VIF25" s="19"/>
      <c r="VIG25" s="19"/>
      <c r="VIH25" s="19"/>
      <c r="VII25" s="19"/>
      <c r="VIJ25" s="19"/>
      <c r="VIK25" s="19"/>
      <c r="VIL25" s="19"/>
      <c r="VIM25" s="19"/>
      <c r="VIN25" s="19"/>
      <c r="VIO25" s="19"/>
      <c r="VIP25" s="19"/>
      <c r="VIQ25" s="19"/>
      <c r="VIR25" s="19"/>
      <c r="VIS25" s="19"/>
      <c r="VIT25" s="19"/>
      <c r="VIU25" s="19"/>
      <c r="VIV25" s="19"/>
      <c r="VIW25" s="19"/>
      <c r="VIX25" s="19"/>
      <c r="VIY25" s="19"/>
      <c r="VIZ25" s="19"/>
      <c r="VJA25" s="19"/>
      <c r="VJB25" s="19"/>
      <c r="VJC25" s="19"/>
      <c r="VJD25" s="19"/>
      <c r="VJE25" s="19"/>
      <c r="VJF25" s="19"/>
      <c r="VJG25" s="19"/>
      <c r="VJH25" s="19"/>
      <c r="VJI25" s="19"/>
      <c r="VJJ25" s="19"/>
      <c r="VJK25" s="19"/>
      <c r="VJL25" s="19"/>
      <c r="VJM25" s="19"/>
      <c r="VJN25" s="19"/>
      <c r="VJO25" s="19"/>
      <c r="VJP25" s="19"/>
      <c r="VJQ25" s="19"/>
      <c r="VJR25" s="19"/>
      <c r="VJS25" s="19"/>
      <c r="VJT25" s="19"/>
      <c r="VJU25" s="19"/>
      <c r="VJV25" s="19"/>
      <c r="VJW25" s="19"/>
      <c r="VJX25" s="19"/>
      <c r="VJY25" s="19"/>
      <c r="VJZ25" s="19"/>
      <c r="VKA25" s="19"/>
      <c r="VKB25" s="19"/>
      <c r="VKC25" s="19"/>
      <c r="VKD25" s="19"/>
      <c r="VKE25" s="19"/>
      <c r="VKF25" s="19"/>
      <c r="VKG25" s="19"/>
      <c r="VKH25" s="19"/>
      <c r="VKI25" s="19"/>
      <c r="VKJ25" s="19"/>
      <c r="VKK25" s="19"/>
      <c r="VKL25" s="19"/>
      <c r="VKM25" s="19"/>
      <c r="VKN25" s="19"/>
      <c r="VKO25" s="19"/>
      <c r="VKP25" s="19"/>
      <c r="VKQ25" s="19"/>
      <c r="VKR25" s="19"/>
      <c r="VKS25" s="19"/>
      <c r="VKT25" s="19"/>
      <c r="VKU25" s="19"/>
      <c r="VKV25" s="19"/>
      <c r="VKW25" s="19"/>
      <c r="VKX25" s="19"/>
      <c r="VKY25" s="19"/>
      <c r="VKZ25" s="19"/>
      <c r="VLA25" s="19"/>
      <c r="VLB25" s="19"/>
      <c r="VLC25" s="19"/>
      <c r="VLD25" s="19"/>
      <c r="VLE25" s="19"/>
      <c r="VLF25" s="19"/>
      <c r="VLG25" s="19"/>
      <c r="VLH25" s="19"/>
      <c r="VLI25" s="19"/>
      <c r="VLJ25" s="19"/>
      <c r="VLK25" s="19"/>
      <c r="VLL25" s="19"/>
      <c r="VLM25" s="19"/>
      <c r="VLN25" s="19"/>
      <c r="VLO25" s="19"/>
      <c r="VLP25" s="19"/>
      <c r="VLQ25" s="19"/>
      <c r="VLR25" s="19"/>
      <c r="VLS25" s="19"/>
      <c r="VLT25" s="19"/>
      <c r="VLU25" s="19"/>
      <c r="VLV25" s="19"/>
      <c r="VLW25" s="19"/>
      <c r="VLX25" s="19"/>
      <c r="VLY25" s="19"/>
      <c r="VLZ25" s="19"/>
      <c r="VMA25" s="19"/>
      <c r="VMB25" s="19"/>
      <c r="VMC25" s="19"/>
      <c r="VMD25" s="19"/>
      <c r="VME25" s="19"/>
      <c r="VMF25" s="19"/>
      <c r="VMG25" s="19"/>
      <c r="VMH25" s="19"/>
      <c r="VMI25" s="19"/>
      <c r="VMJ25" s="19"/>
      <c r="VMK25" s="19"/>
      <c r="VML25" s="19"/>
      <c r="VMM25" s="19"/>
      <c r="VMN25" s="19"/>
      <c r="VMO25" s="19"/>
      <c r="VMP25" s="19"/>
      <c r="VMQ25" s="19"/>
      <c r="VMR25" s="19"/>
      <c r="VMS25" s="19"/>
      <c r="VMT25" s="19"/>
      <c r="VMU25" s="19"/>
      <c r="VMV25" s="19"/>
      <c r="VMW25" s="19"/>
      <c r="VMX25" s="19"/>
      <c r="VMY25" s="19"/>
      <c r="VMZ25" s="19"/>
      <c r="VNA25" s="19"/>
      <c r="VNB25" s="19"/>
      <c r="VNC25" s="19"/>
      <c r="VND25" s="19"/>
      <c r="VNE25" s="19"/>
      <c r="VNF25" s="19"/>
      <c r="VNG25" s="19"/>
      <c r="VNH25" s="19"/>
      <c r="VNI25" s="19"/>
      <c r="VNJ25" s="19"/>
      <c r="VNK25" s="19"/>
      <c r="VNL25" s="19"/>
      <c r="VNM25" s="19"/>
      <c r="VNN25" s="19"/>
      <c r="VNO25" s="19"/>
      <c r="VNP25" s="19"/>
      <c r="VNQ25" s="19"/>
      <c r="VNR25" s="19"/>
      <c r="VNS25" s="19"/>
      <c r="VNT25" s="19"/>
      <c r="VNU25" s="19"/>
      <c r="VNV25" s="19"/>
      <c r="VNW25" s="19"/>
      <c r="VNX25" s="19"/>
      <c r="VNY25" s="19"/>
      <c r="VNZ25" s="19"/>
      <c r="VOA25" s="19"/>
      <c r="VOB25" s="19"/>
      <c r="VOC25" s="19"/>
      <c r="VOD25" s="19"/>
      <c r="VOE25" s="19"/>
      <c r="VOF25" s="19"/>
      <c r="VOG25" s="19"/>
      <c r="VOH25" s="19"/>
      <c r="VOI25" s="19"/>
      <c r="VOJ25" s="19"/>
      <c r="VOK25" s="19"/>
      <c r="VOL25" s="19"/>
      <c r="VOM25" s="19"/>
      <c r="VON25" s="19"/>
      <c r="VOO25" s="19"/>
      <c r="VOP25" s="19"/>
      <c r="VOQ25" s="19"/>
      <c r="VOR25" s="19"/>
      <c r="VOS25" s="19"/>
      <c r="VOT25" s="19"/>
      <c r="VOU25" s="19"/>
      <c r="VOV25" s="19"/>
      <c r="VOW25" s="19"/>
      <c r="VOX25" s="19"/>
      <c r="VOY25" s="19"/>
      <c r="VOZ25" s="19"/>
      <c r="VPA25" s="19"/>
      <c r="VPB25" s="19"/>
      <c r="VPC25" s="19"/>
      <c r="VPD25" s="19"/>
      <c r="VPE25" s="19"/>
      <c r="VPF25" s="19"/>
      <c r="VPG25" s="19"/>
      <c r="VPH25" s="19"/>
      <c r="VPI25" s="19"/>
      <c r="VPJ25" s="19"/>
      <c r="VPK25" s="19"/>
      <c r="VPL25" s="19"/>
      <c r="VPM25" s="19"/>
      <c r="VPN25" s="19"/>
      <c r="VPO25" s="19"/>
      <c r="VPP25" s="19"/>
      <c r="VPQ25" s="19"/>
      <c r="VPR25" s="19"/>
      <c r="VPS25" s="19"/>
      <c r="VPT25" s="19"/>
      <c r="VPU25" s="19"/>
      <c r="VPV25" s="19"/>
      <c r="VPW25" s="19"/>
      <c r="VPX25" s="19"/>
      <c r="VPY25" s="19"/>
      <c r="VPZ25" s="19"/>
      <c r="VQA25" s="19"/>
      <c r="VQB25" s="19"/>
      <c r="VQC25" s="19"/>
      <c r="VQD25" s="19"/>
      <c r="VQE25" s="19"/>
      <c r="VQF25" s="19"/>
      <c r="VQG25" s="19"/>
      <c r="VQH25" s="19"/>
      <c r="VQI25" s="19"/>
      <c r="VQJ25" s="19"/>
      <c r="VQK25" s="19"/>
      <c r="VQL25" s="19"/>
      <c r="VQM25" s="19"/>
      <c r="VQN25" s="19"/>
      <c r="VQO25" s="19"/>
      <c r="VQP25" s="19"/>
      <c r="VQQ25" s="19"/>
      <c r="VQR25" s="19"/>
      <c r="VQS25" s="19"/>
      <c r="VQT25" s="19"/>
      <c r="VQU25" s="19"/>
      <c r="VQV25" s="19"/>
      <c r="VQW25" s="19"/>
      <c r="VQX25" s="19"/>
      <c r="VQY25" s="19"/>
      <c r="VQZ25" s="19"/>
      <c r="VRA25" s="19"/>
      <c r="VRB25" s="19"/>
      <c r="VRC25" s="19"/>
      <c r="VRD25" s="19"/>
      <c r="VRE25" s="19"/>
      <c r="VRF25" s="19"/>
      <c r="VRG25" s="19"/>
      <c r="VRH25" s="19"/>
      <c r="VRI25" s="19"/>
      <c r="VRJ25" s="19"/>
      <c r="VRK25" s="19"/>
      <c r="VRL25" s="19"/>
      <c r="VRM25" s="19"/>
      <c r="VRN25" s="19"/>
      <c r="VRO25" s="19"/>
      <c r="VRP25" s="19"/>
      <c r="VRQ25" s="19"/>
      <c r="VRR25" s="19"/>
      <c r="VRS25" s="19"/>
      <c r="VRT25" s="19"/>
      <c r="VRU25" s="19"/>
      <c r="VRV25" s="19"/>
      <c r="VRW25" s="19"/>
      <c r="VRX25" s="19"/>
      <c r="VRY25" s="19"/>
      <c r="VRZ25" s="19"/>
      <c r="VSA25" s="19"/>
      <c r="VSB25" s="19"/>
      <c r="VSC25" s="19"/>
      <c r="VSD25" s="19"/>
      <c r="VSE25" s="19"/>
      <c r="VSF25" s="19"/>
      <c r="VSG25" s="19"/>
      <c r="VSH25" s="19"/>
      <c r="VSI25" s="19"/>
      <c r="VSJ25" s="19"/>
      <c r="VSK25" s="19"/>
      <c r="VSL25" s="19"/>
      <c r="VSM25" s="19"/>
      <c r="VSN25" s="19"/>
      <c r="VSO25" s="19"/>
      <c r="VSP25" s="19"/>
      <c r="VSQ25" s="19"/>
      <c r="VSR25" s="19"/>
      <c r="VSS25" s="19"/>
      <c r="VST25" s="19"/>
      <c r="VSU25" s="19"/>
      <c r="VSV25" s="19"/>
      <c r="VSW25" s="19"/>
      <c r="VSX25" s="19"/>
      <c r="VSY25" s="19"/>
      <c r="VSZ25" s="19"/>
      <c r="VTA25" s="19"/>
      <c r="VTB25" s="19"/>
      <c r="VTC25" s="19"/>
      <c r="VTD25" s="19"/>
      <c r="VTE25" s="19"/>
      <c r="VTF25" s="19"/>
      <c r="VTG25" s="19"/>
      <c r="VTH25" s="19"/>
      <c r="VTI25" s="19"/>
      <c r="VTJ25" s="19"/>
      <c r="VTK25" s="19"/>
      <c r="VTL25" s="19"/>
      <c r="VTM25" s="19"/>
      <c r="VTN25" s="19"/>
      <c r="VTO25" s="19"/>
      <c r="VTP25" s="19"/>
      <c r="VTQ25" s="19"/>
      <c r="VTR25" s="19"/>
      <c r="VTS25" s="19"/>
      <c r="VTT25" s="19"/>
      <c r="VTU25" s="19"/>
      <c r="VTV25" s="19"/>
      <c r="VTW25" s="19"/>
      <c r="VTX25" s="19"/>
      <c r="VTY25" s="19"/>
      <c r="VTZ25" s="19"/>
      <c r="VUA25" s="19"/>
      <c r="VUB25" s="19"/>
      <c r="VUC25" s="19"/>
      <c r="VUD25" s="19"/>
      <c r="VUE25" s="19"/>
      <c r="VUF25" s="19"/>
      <c r="VUG25" s="19"/>
      <c r="VUH25" s="19"/>
      <c r="VUI25" s="19"/>
      <c r="VUJ25" s="19"/>
      <c r="VUK25" s="19"/>
      <c r="VUL25" s="19"/>
      <c r="VUM25" s="19"/>
      <c r="VUN25" s="19"/>
      <c r="VUO25" s="19"/>
      <c r="VUP25" s="19"/>
      <c r="VUQ25" s="19"/>
      <c r="VUR25" s="19"/>
      <c r="VUS25" s="19"/>
      <c r="VUT25" s="19"/>
      <c r="VUU25" s="19"/>
      <c r="VUV25" s="19"/>
      <c r="VUW25" s="19"/>
      <c r="VUX25" s="19"/>
      <c r="VUY25" s="19"/>
      <c r="VUZ25" s="19"/>
      <c r="VVA25" s="19"/>
      <c r="VVB25" s="19"/>
      <c r="VVC25" s="19"/>
      <c r="VVD25" s="19"/>
      <c r="VVE25" s="19"/>
      <c r="VVF25" s="19"/>
      <c r="VVG25" s="19"/>
      <c r="VVH25" s="19"/>
      <c r="VVI25" s="19"/>
      <c r="VVJ25" s="19"/>
      <c r="VVK25" s="19"/>
      <c r="VVL25" s="19"/>
      <c r="VVM25" s="19"/>
      <c r="VVN25" s="19"/>
      <c r="VVO25" s="19"/>
      <c r="VVP25" s="19"/>
      <c r="VVQ25" s="19"/>
      <c r="VVR25" s="19"/>
      <c r="VVS25" s="19"/>
      <c r="VVT25" s="19"/>
      <c r="VVU25" s="19"/>
      <c r="VVV25" s="19"/>
      <c r="VVW25" s="19"/>
      <c r="VVX25" s="19"/>
      <c r="VVY25" s="19"/>
      <c r="VVZ25" s="19"/>
      <c r="VWA25" s="19"/>
      <c r="VWB25" s="19"/>
      <c r="VWC25" s="19"/>
      <c r="VWD25" s="19"/>
      <c r="VWE25" s="19"/>
      <c r="VWF25" s="19"/>
      <c r="VWG25" s="19"/>
      <c r="VWH25" s="19"/>
      <c r="VWI25" s="19"/>
      <c r="VWJ25" s="19"/>
      <c r="VWK25" s="19"/>
      <c r="VWL25" s="19"/>
      <c r="VWM25" s="19"/>
      <c r="VWN25" s="19"/>
      <c r="VWO25" s="19"/>
      <c r="VWP25" s="19"/>
      <c r="VWQ25" s="19"/>
      <c r="VWR25" s="19"/>
      <c r="VWS25" s="19"/>
      <c r="VWT25" s="19"/>
      <c r="VWU25" s="19"/>
      <c r="VWV25" s="19"/>
      <c r="VWW25" s="19"/>
      <c r="VWX25" s="19"/>
      <c r="VWY25" s="19"/>
      <c r="VWZ25" s="19"/>
      <c r="VXA25" s="19"/>
      <c r="VXB25" s="19"/>
      <c r="VXC25" s="19"/>
      <c r="VXD25" s="19"/>
      <c r="VXE25" s="19"/>
      <c r="VXF25" s="19"/>
      <c r="VXG25" s="19"/>
      <c r="VXH25" s="19"/>
      <c r="VXI25" s="19"/>
      <c r="VXJ25" s="19"/>
      <c r="VXK25" s="19"/>
      <c r="VXL25" s="19"/>
      <c r="VXM25" s="19"/>
      <c r="VXN25" s="19"/>
      <c r="VXO25" s="19"/>
      <c r="VXP25" s="19"/>
      <c r="VXQ25" s="19"/>
      <c r="VXR25" s="19"/>
      <c r="VXS25" s="19"/>
      <c r="VXT25" s="19"/>
      <c r="VXU25" s="19"/>
      <c r="VXV25" s="19"/>
      <c r="VXW25" s="19"/>
      <c r="VXX25" s="19"/>
      <c r="VXY25" s="19"/>
      <c r="VXZ25" s="19"/>
      <c r="VYA25" s="19"/>
      <c r="VYB25" s="19"/>
      <c r="VYC25" s="19"/>
      <c r="VYD25" s="19"/>
      <c r="VYE25" s="19"/>
      <c r="VYF25" s="19"/>
      <c r="VYG25" s="19"/>
      <c r="VYH25" s="19"/>
      <c r="VYI25" s="19"/>
      <c r="VYJ25" s="19"/>
      <c r="VYK25" s="19"/>
      <c r="VYL25" s="19"/>
      <c r="VYM25" s="19"/>
      <c r="VYN25" s="19"/>
      <c r="VYO25" s="19"/>
      <c r="VYP25" s="19"/>
      <c r="VYQ25" s="19"/>
      <c r="VYR25" s="19"/>
      <c r="VYS25" s="19"/>
      <c r="VYT25" s="19"/>
      <c r="VYU25" s="19"/>
      <c r="VYV25" s="19"/>
      <c r="VYW25" s="19"/>
      <c r="VYX25" s="19"/>
      <c r="VYY25" s="19"/>
      <c r="VYZ25" s="19"/>
      <c r="VZA25" s="19"/>
      <c r="VZB25" s="19"/>
      <c r="VZC25" s="19"/>
      <c r="VZD25" s="19"/>
      <c r="VZE25" s="19"/>
      <c r="VZF25" s="19"/>
      <c r="VZG25" s="19"/>
      <c r="VZH25" s="19"/>
      <c r="VZI25" s="19"/>
      <c r="VZJ25" s="19"/>
      <c r="VZK25" s="19"/>
      <c r="VZL25" s="19"/>
      <c r="VZM25" s="19"/>
      <c r="VZN25" s="19"/>
      <c r="VZO25" s="19"/>
      <c r="VZP25" s="19"/>
      <c r="VZQ25" s="19"/>
      <c r="VZR25" s="19"/>
      <c r="VZS25" s="19"/>
      <c r="VZT25" s="19"/>
      <c r="VZU25" s="19"/>
      <c r="VZV25" s="19"/>
      <c r="VZW25" s="19"/>
      <c r="VZX25" s="19"/>
      <c r="VZY25" s="19"/>
      <c r="VZZ25" s="19"/>
      <c r="WAA25" s="19"/>
      <c r="WAB25" s="19"/>
      <c r="WAC25" s="19"/>
      <c r="WAD25" s="19"/>
      <c r="WAE25" s="19"/>
      <c r="WAF25" s="19"/>
      <c r="WAG25" s="19"/>
      <c r="WAH25" s="19"/>
      <c r="WAI25" s="19"/>
      <c r="WAJ25" s="19"/>
      <c r="WAK25" s="19"/>
      <c r="WAL25" s="19"/>
      <c r="WAM25" s="19"/>
      <c r="WAN25" s="19"/>
      <c r="WAO25" s="19"/>
      <c r="WAP25" s="19"/>
      <c r="WAQ25" s="19"/>
      <c r="WAR25" s="19"/>
      <c r="WAS25" s="19"/>
      <c r="WAT25" s="19"/>
      <c r="WAU25" s="19"/>
      <c r="WAV25" s="19"/>
      <c r="WAW25" s="19"/>
      <c r="WAX25" s="19"/>
      <c r="WAY25" s="19"/>
      <c r="WAZ25" s="19"/>
      <c r="WBA25" s="19"/>
      <c r="WBB25" s="19"/>
      <c r="WBC25" s="19"/>
      <c r="WBD25" s="19"/>
      <c r="WBE25" s="19"/>
      <c r="WBF25" s="19"/>
      <c r="WBG25" s="19"/>
      <c r="WBH25" s="19"/>
      <c r="WBI25" s="19"/>
      <c r="WBJ25" s="19"/>
      <c r="WBK25" s="19"/>
      <c r="WBL25" s="19"/>
      <c r="WBM25" s="19"/>
      <c r="WBN25" s="19"/>
      <c r="WBO25" s="19"/>
      <c r="WBP25" s="19"/>
      <c r="WBQ25" s="19"/>
      <c r="WBR25" s="19"/>
      <c r="WBS25" s="19"/>
      <c r="WBT25" s="19"/>
      <c r="WBU25" s="19"/>
      <c r="WBV25" s="19"/>
      <c r="WBW25" s="19"/>
      <c r="WBX25" s="19"/>
      <c r="WBY25" s="19"/>
      <c r="WBZ25" s="19"/>
      <c r="WCA25" s="19"/>
      <c r="WCB25" s="19"/>
      <c r="WCC25" s="19"/>
      <c r="WCD25" s="19"/>
      <c r="WCE25" s="19"/>
      <c r="WCF25" s="19"/>
      <c r="WCG25" s="19"/>
      <c r="WCH25" s="19"/>
      <c r="WCI25" s="19"/>
      <c r="WCJ25" s="19"/>
      <c r="WCK25" s="19"/>
      <c r="WCL25" s="19"/>
      <c r="WCM25" s="19"/>
      <c r="WCN25" s="19"/>
      <c r="WCO25" s="19"/>
      <c r="WCP25" s="19"/>
      <c r="WCQ25" s="19"/>
      <c r="WCR25" s="19"/>
      <c r="WCS25" s="19"/>
      <c r="WCT25" s="19"/>
      <c r="WCU25" s="19"/>
      <c r="WCV25" s="19"/>
      <c r="WCW25" s="19"/>
      <c r="WCX25" s="19"/>
      <c r="WCY25" s="19"/>
      <c r="WCZ25" s="19"/>
      <c r="WDA25" s="19"/>
      <c r="WDB25" s="19"/>
      <c r="WDC25" s="19"/>
      <c r="WDD25" s="19"/>
      <c r="WDE25" s="19"/>
      <c r="WDF25" s="19"/>
      <c r="WDG25" s="19"/>
      <c r="WDH25" s="19"/>
      <c r="WDI25" s="19"/>
      <c r="WDJ25" s="19"/>
      <c r="WDK25" s="19"/>
      <c r="WDL25" s="19"/>
      <c r="WDM25" s="19"/>
      <c r="WDN25" s="19"/>
      <c r="WDO25" s="19"/>
      <c r="WDP25" s="19"/>
      <c r="WDQ25" s="19"/>
      <c r="WDR25" s="19"/>
      <c r="WDS25" s="19"/>
      <c r="WDT25" s="19"/>
      <c r="WDU25" s="19"/>
      <c r="WDV25" s="19"/>
      <c r="WDW25" s="19"/>
      <c r="WDX25" s="19"/>
      <c r="WDY25" s="19"/>
      <c r="WDZ25" s="19"/>
      <c r="WEA25" s="19"/>
      <c r="WEB25" s="19"/>
      <c r="WEC25" s="19"/>
      <c r="WED25" s="19"/>
      <c r="WEE25" s="19"/>
      <c r="WEF25" s="19"/>
      <c r="WEG25" s="19"/>
      <c r="WEH25" s="19"/>
      <c r="WEI25" s="19"/>
      <c r="WEJ25" s="19"/>
      <c r="WEK25" s="19"/>
      <c r="WEL25" s="19"/>
      <c r="WEM25" s="19"/>
      <c r="WEN25" s="19"/>
      <c r="WEO25" s="19"/>
      <c r="WEP25" s="19"/>
      <c r="WEQ25" s="19"/>
      <c r="WER25" s="19"/>
      <c r="WES25" s="19"/>
      <c r="WET25" s="19"/>
      <c r="WEU25" s="19"/>
      <c r="WEV25" s="19"/>
      <c r="WEW25" s="19"/>
      <c r="WEX25" s="19"/>
      <c r="WEY25" s="19"/>
      <c r="WEZ25" s="19"/>
      <c r="WFA25" s="19"/>
      <c r="WFB25" s="19"/>
      <c r="WFC25" s="19"/>
      <c r="WFD25" s="19"/>
      <c r="WFE25" s="19"/>
      <c r="WFF25" s="19"/>
      <c r="WFG25" s="19"/>
      <c r="WFH25" s="19"/>
      <c r="WFI25" s="19"/>
      <c r="WFJ25" s="19"/>
      <c r="WFK25" s="19"/>
      <c r="WFL25" s="19"/>
      <c r="WFM25" s="19"/>
      <c r="WFN25" s="19"/>
      <c r="WFO25" s="19"/>
      <c r="WFP25" s="19"/>
      <c r="WFQ25" s="19"/>
      <c r="WFR25" s="19"/>
      <c r="WFS25" s="19"/>
      <c r="WFT25" s="19"/>
      <c r="WFU25" s="19"/>
      <c r="WFV25" s="19"/>
      <c r="WFW25" s="19"/>
      <c r="WFX25" s="19"/>
      <c r="WFY25" s="19"/>
      <c r="WFZ25" s="19"/>
      <c r="WGA25" s="19"/>
      <c r="WGB25" s="19"/>
      <c r="WGC25" s="19"/>
      <c r="WGD25" s="19"/>
      <c r="WGE25" s="19"/>
      <c r="WGF25" s="19"/>
      <c r="WGG25" s="19"/>
      <c r="WGH25" s="19"/>
      <c r="WGI25" s="19"/>
      <c r="WGJ25" s="19"/>
      <c r="WGK25" s="19"/>
      <c r="WGL25" s="19"/>
      <c r="WGM25" s="19"/>
      <c r="WGN25" s="19"/>
      <c r="WGO25" s="19"/>
      <c r="WGP25" s="19"/>
      <c r="WGQ25" s="19"/>
      <c r="WGR25" s="19"/>
      <c r="WGS25" s="19"/>
      <c r="WGT25" s="19"/>
      <c r="WGU25" s="19"/>
      <c r="WGV25" s="19"/>
      <c r="WGW25" s="19"/>
      <c r="WGX25" s="19"/>
      <c r="WGY25" s="19"/>
      <c r="WGZ25" s="19"/>
      <c r="WHA25" s="19"/>
      <c r="WHB25" s="19"/>
      <c r="WHC25" s="19"/>
      <c r="WHD25" s="19"/>
      <c r="WHE25" s="19"/>
      <c r="WHF25" s="19"/>
      <c r="WHG25" s="19"/>
      <c r="WHH25" s="19"/>
      <c r="WHI25" s="19"/>
      <c r="WHJ25" s="19"/>
      <c r="WHK25" s="19"/>
      <c r="WHL25" s="19"/>
      <c r="WHM25" s="19"/>
      <c r="WHN25" s="19"/>
      <c r="WHO25" s="19"/>
      <c r="WHP25" s="19"/>
      <c r="WHQ25" s="19"/>
      <c r="WHR25" s="19"/>
      <c r="WHS25" s="19"/>
      <c r="WHT25" s="19"/>
      <c r="WHU25" s="19"/>
      <c r="WHV25" s="19"/>
      <c r="WHW25" s="19"/>
      <c r="WHX25" s="19"/>
      <c r="WHY25" s="19"/>
      <c r="WHZ25" s="19"/>
      <c r="WIA25" s="19"/>
      <c r="WIB25" s="19"/>
      <c r="WIC25" s="19"/>
      <c r="WID25" s="19"/>
      <c r="WIE25" s="19"/>
      <c r="WIF25" s="19"/>
      <c r="WIG25" s="19"/>
      <c r="WIH25" s="19"/>
      <c r="WII25" s="19"/>
      <c r="WIJ25" s="19"/>
      <c r="WIK25" s="19"/>
      <c r="WIL25" s="19"/>
      <c r="WIM25" s="19"/>
      <c r="WIN25" s="19"/>
      <c r="WIO25" s="19"/>
      <c r="WIP25" s="19"/>
      <c r="WIQ25" s="19"/>
      <c r="WIR25" s="19"/>
      <c r="WIS25" s="19"/>
      <c r="WIT25" s="19"/>
      <c r="WIU25" s="19"/>
      <c r="WIV25" s="19"/>
      <c r="WIW25" s="19"/>
      <c r="WIX25" s="19"/>
      <c r="WIY25" s="19"/>
      <c r="WIZ25" s="19"/>
      <c r="WJA25" s="19"/>
      <c r="WJB25" s="19"/>
      <c r="WJC25" s="19"/>
      <c r="WJD25" s="19"/>
      <c r="WJE25" s="19"/>
      <c r="WJF25" s="19"/>
      <c r="WJG25" s="19"/>
      <c r="WJH25" s="19"/>
      <c r="WJI25" s="19"/>
      <c r="WJJ25" s="19"/>
      <c r="WJK25" s="19"/>
      <c r="WJL25" s="19"/>
      <c r="WJM25" s="19"/>
      <c r="WJN25" s="19"/>
      <c r="WJO25" s="19"/>
      <c r="WJP25" s="19"/>
      <c r="WJQ25" s="19"/>
      <c r="WJR25" s="19"/>
      <c r="WJS25" s="19"/>
      <c r="WJT25" s="19"/>
      <c r="WJU25" s="19"/>
      <c r="WJV25" s="19"/>
      <c r="WJW25" s="19"/>
      <c r="WJX25" s="19"/>
      <c r="WJY25" s="19"/>
      <c r="WJZ25" s="19"/>
      <c r="WKA25" s="19"/>
      <c r="WKB25" s="19"/>
      <c r="WKC25" s="19"/>
      <c r="WKD25" s="19"/>
      <c r="WKE25" s="19"/>
      <c r="WKF25" s="19"/>
      <c r="WKG25" s="19"/>
      <c r="WKH25" s="19"/>
      <c r="WKI25" s="19"/>
      <c r="WKJ25" s="19"/>
      <c r="WKK25" s="19"/>
      <c r="WKL25" s="19"/>
      <c r="WKM25" s="19"/>
      <c r="WKN25" s="19"/>
      <c r="WKO25" s="19"/>
      <c r="WKP25" s="19"/>
      <c r="WKQ25" s="19"/>
      <c r="WKR25" s="19"/>
      <c r="WKS25" s="19"/>
      <c r="WKT25" s="19"/>
      <c r="WKU25" s="19"/>
      <c r="WKV25" s="19"/>
      <c r="WKW25" s="19"/>
      <c r="WKX25" s="19"/>
      <c r="WKY25" s="19"/>
      <c r="WKZ25" s="19"/>
      <c r="WLA25" s="19"/>
      <c r="WLB25" s="19"/>
      <c r="WLC25" s="19"/>
      <c r="WLD25" s="19"/>
      <c r="WLE25" s="19"/>
      <c r="WLF25" s="19"/>
      <c r="WLG25" s="19"/>
      <c r="WLH25" s="19"/>
      <c r="WLI25" s="19"/>
      <c r="WLJ25" s="19"/>
      <c r="WLK25" s="19"/>
      <c r="WLL25" s="19"/>
      <c r="WLM25" s="19"/>
      <c r="WLN25" s="19"/>
      <c r="WLO25" s="19"/>
      <c r="WLP25" s="19"/>
      <c r="WLQ25" s="19"/>
      <c r="WLR25" s="19"/>
      <c r="WLS25" s="19"/>
      <c r="WLT25" s="19"/>
      <c r="WLU25" s="19"/>
      <c r="WLV25" s="19"/>
      <c r="WLW25" s="19"/>
      <c r="WLX25" s="19"/>
      <c r="WLY25" s="19"/>
      <c r="WLZ25" s="19"/>
      <c r="WMA25" s="19"/>
      <c r="WMB25" s="19"/>
      <c r="WMC25" s="19"/>
      <c r="WMD25" s="19"/>
      <c r="WME25" s="19"/>
      <c r="WMF25" s="19"/>
      <c r="WMG25" s="19"/>
      <c r="WMH25" s="19"/>
      <c r="WMI25" s="19"/>
      <c r="WMJ25" s="19"/>
      <c r="WMK25" s="19"/>
      <c r="WML25" s="19"/>
      <c r="WMM25" s="19"/>
      <c r="WMN25" s="19"/>
      <c r="WMO25" s="19"/>
      <c r="WMP25" s="19"/>
      <c r="WMQ25" s="19"/>
      <c r="WMR25" s="19"/>
      <c r="WMS25" s="19"/>
      <c r="WMT25" s="19"/>
      <c r="WMU25" s="19"/>
      <c r="WMV25" s="19"/>
      <c r="WMW25" s="19"/>
      <c r="WMX25" s="19"/>
      <c r="WMY25" s="19"/>
      <c r="WMZ25" s="19"/>
      <c r="WNA25" s="19"/>
      <c r="WNB25" s="19"/>
      <c r="WNC25" s="19"/>
      <c r="WND25" s="19"/>
      <c r="WNE25" s="19"/>
      <c r="WNF25" s="19"/>
      <c r="WNG25" s="19"/>
      <c r="WNH25" s="19"/>
      <c r="WNI25" s="19"/>
      <c r="WNJ25" s="19"/>
      <c r="WNK25" s="19"/>
      <c r="WNL25" s="19"/>
      <c r="WNM25" s="19"/>
      <c r="WNN25" s="19"/>
      <c r="WNO25" s="19"/>
      <c r="WNP25" s="19"/>
      <c r="WNQ25" s="19"/>
      <c r="WNR25" s="19"/>
      <c r="WNS25" s="19"/>
      <c r="WNT25" s="19"/>
      <c r="WNU25" s="19"/>
      <c r="WNV25" s="19"/>
      <c r="WNW25" s="19"/>
      <c r="WNX25" s="19"/>
      <c r="WNY25" s="19"/>
      <c r="WNZ25" s="19"/>
      <c r="WOA25" s="19"/>
      <c r="WOB25" s="19"/>
      <c r="WOC25" s="19"/>
      <c r="WOD25" s="19"/>
      <c r="WOE25" s="19"/>
      <c r="WOF25" s="19"/>
      <c r="WOG25" s="19"/>
      <c r="WOH25" s="19"/>
      <c r="WOI25" s="19"/>
      <c r="WOJ25" s="19"/>
      <c r="WOK25" s="19"/>
      <c r="WOL25" s="19"/>
      <c r="WOM25" s="19"/>
      <c r="WON25" s="19"/>
      <c r="WOO25" s="19"/>
      <c r="WOP25" s="19"/>
      <c r="WOQ25" s="19"/>
      <c r="WOR25" s="19"/>
      <c r="WOS25" s="19"/>
      <c r="WOT25" s="19"/>
      <c r="WOU25" s="19"/>
      <c r="WOV25" s="19"/>
      <c r="WOW25" s="19"/>
      <c r="WOX25" s="19"/>
      <c r="WOY25" s="19"/>
      <c r="WOZ25" s="19"/>
      <c r="WPA25" s="19"/>
      <c r="WPB25" s="19"/>
      <c r="WPC25" s="19"/>
      <c r="WPD25" s="19"/>
      <c r="WPE25" s="19"/>
      <c r="WPF25" s="19"/>
      <c r="WPG25" s="19"/>
      <c r="WPH25" s="19"/>
      <c r="WPI25" s="19"/>
      <c r="WPJ25" s="19"/>
      <c r="WPK25" s="19"/>
      <c r="WPL25" s="19"/>
      <c r="WPM25" s="19"/>
      <c r="WPN25" s="19"/>
      <c r="WPO25" s="19"/>
      <c r="WPP25" s="19"/>
      <c r="WPQ25" s="19"/>
      <c r="WPR25" s="19"/>
      <c r="WPS25" s="19"/>
      <c r="WPT25" s="19"/>
      <c r="WPU25" s="19"/>
      <c r="WPV25" s="19"/>
      <c r="WPW25" s="19"/>
      <c r="WPX25" s="19"/>
      <c r="WPY25" s="19"/>
      <c r="WPZ25" s="19"/>
      <c r="WQA25" s="19"/>
      <c r="WQB25" s="19"/>
      <c r="WQC25" s="19"/>
      <c r="WQD25" s="19"/>
      <c r="WQE25" s="19"/>
      <c r="WQF25" s="19"/>
      <c r="WQG25" s="19"/>
      <c r="WQH25" s="19"/>
      <c r="WQI25" s="19"/>
      <c r="WQJ25" s="19"/>
      <c r="WQK25" s="19"/>
      <c r="WQL25" s="19"/>
      <c r="WQM25" s="19"/>
      <c r="WQN25" s="19"/>
      <c r="WQO25" s="19"/>
      <c r="WQP25" s="19"/>
      <c r="WQQ25" s="19"/>
      <c r="WQR25" s="19"/>
      <c r="WQS25" s="19"/>
      <c r="WQT25" s="19"/>
      <c r="WQU25" s="19"/>
      <c r="WQV25" s="19"/>
      <c r="WQW25" s="19"/>
      <c r="WQX25" s="19"/>
      <c r="WQY25" s="19"/>
      <c r="WQZ25" s="19"/>
      <c r="WRA25" s="19"/>
      <c r="WRB25" s="19"/>
      <c r="WRC25" s="19"/>
      <c r="WRD25" s="19"/>
      <c r="WRE25" s="19"/>
      <c r="WRF25" s="19"/>
      <c r="WRG25" s="19"/>
      <c r="WRH25" s="19"/>
      <c r="WRI25" s="19"/>
      <c r="WRJ25" s="19"/>
      <c r="WRK25" s="19"/>
      <c r="WRL25" s="19"/>
      <c r="WRM25" s="19"/>
      <c r="WRN25" s="19"/>
      <c r="WRO25" s="19"/>
      <c r="WRP25" s="19"/>
      <c r="WRQ25" s="19"/>
      <c r="WRR25" s="19"/>
      <c r="WRS25" s="19"/>
      <c r="WRT25" s="19"/>
      <c r="WRU25" s="19"/>
      <c r="WRV25" s="19"/>
      <c r="WRW25" s="19"/>
      <c r="WRX25" s="19"/>
      <c r="WRY25" s="19"/>
      <c r="WRZ25" s="19"/>
      <c r="WSA25" s="19"/>
      <c r="WSB25" s="19"/>
      <c r="WSC25" s="19"/>
      <c r="WSD25" s="19"/>
      <c r="WSE25" s="19"/>
      <c r="WSF25" s="19"/>
      <c r="WSG25" s="19"/>
      <c r="WSH25" s="19"/>
      <c r="WSI25" s="19"/>
      <c r="WSJ25" s="19"/>
      <c r="WSK25" s="19"/>
      <c r="WSL25" s="19"/>
      <c r="WSM25" s="19"/>
      <c r="WSN25" s="19"/>
      <c r="WSO25" s="19"/>
      <c r="WSP25" s="19"/>
      <c r="WSQ25" s="19"/>
      <c r="WSR25" s="19"/>
      <c r="WSS25" s="19"/>
      <c r="WST25" s="19"/>
      <c r="WSU25" s="19"/>
      <c r="WSV25" s="19"/>
      <c r="WSW25" s="19"/>
      <c r="WSX25" s="19"/>
      <c r="WSY25" s="19"/>
      <c r="WSZ25" s="19"/>
      <c r="WTA25" s="19"/>
      <c r="WTB25" s="19"/>
      <c r="WTC25" s="19"/>
      <c r="WTD25" s="19"/>
      <c r="WTE25" s="19"/>
      <c r="WTF25" s="19"/>
      <c r="WTG25" s="19"/>
      <c r="WTH25" s="19"/>
      <c r="WTI25" s="19"/>
      <c r="WTJ25" s="19"/>
      <c r="WTK25" s="19"/>
      <c r="WTL25" s="19"/>
      <c r="WTM25" s="19"/>
      <c r="WTN25" s="19"/>
      <c r="WTO25" s="19"/>
      <c r="WTP25" s="19"/>
      <c r="WTQ25" s="19"/>
      <c r="WTR25" s="19"/>
      <c r="WTS25" s="19"/>
      <c r="WTT25" s="19"/>
      <c r="WTU25" s="19"/>
      <c r="WTV25" s="19"/>
      <c r="WTW25" s="19"/>
      <c r="WTX25" s="19"/>
      <c r="WTY25" s="19"/>
      <c r="WTZ25" s="19"/>
      <c r="WUA25" s="19"/>
      <c r="WUB25" s="19"/>
      <c r="WUC25" s="19"/>
      <c r="WUD25" s="19"/>
      <c r="WUE25" s="19"/>
      <c r="WUF25" s="19"/>
      <c r="WUG25" s="19"/>
      <c r="WUH25" s="19"/>
      <c r="WUI25" s="19"/>
      <c r="WUJ25" s="19"/>
      <c r="WUK25" s="19"/>
      <c r="WUL25" s="19"/>
      <c r="WUM25" s="19"/>
      <c r="WUN25" s="19"/>
      <c r="WUO25" s="19"/>
      <c r="WUP25" s="19"/>
      <c r="WUQ25" s="19"/>
      <c r="WUR25" s="19"/>
      <c r="WUS25" s="19"/>
      <c r="WUT25" s="19"/>
      <c r="WUU25" s="19"/>
      <c r="WUV25" s="19"/>
      <c r="WUW25" s="19"/>
      <c r="WUX25" s="19"/>
      <c r="WUY25" s="19"/>
      <c r="WUZ25" s="19"/>
      <c r="WVA25" s="19"/>
      <c r="WVB25" s="19"/>
      <c r="WVC25" s="19"/>
      <c r="WVD25" s="19"/>
      <c r="WVE25" s="19"/>
      <c r="WVF25" s="19"/>
      <c r="WVG25" s="19"/>
      <c r="WVH25" s="19"/>
      <c r="WVI25" s="19"/>
      <c r="WVJ25" s="19"/>
      <c r="WVK25" s="19"/>
      <c r="WVL25" s="19"/>
      <c r="WVM25" s="19"/>
      <c r="WVN25" s="19"/>
      <c r="WVO25" s="19"/>
      <c r="WVP25" s="19"/>
      <c r="WVQ25" s="19"/>
      <c r="WVR25" s="19"/>
      <c r="WVS25" s="19"/>
      <c r="WVT25" s="19"/>
      <c r="WVU25" s="19"/>
      <c r="WVV25" s="19"/>
      <c r="WVW25" s="19"/>
      <c r="WVX25" s="19"/>
      <c r="WVY25" s="19"/>
      <c r="WVZ25" s="19"/>
      <c r="WWA25" s="19"/>
      <c r="WWB25" s="19"/>
      <c r="WWC25" s="19"/>
      <c r="WWD25" s="19"/>
      <c r="WWE25" s="19"/>
      <c r="WWF25" s="19"/>
      <c r="WWG25" s="19"/>
      <c r="WWH25" s="19"/>
      <c r="WWI25" s="19"/>
      <c r="WWJ25" s="19"/>
      <c r="WWK25" s="19"/>
      <c r="WWL25" s="19"/>
      <c r="WWM25" s="19"/>
      <c r="WWN25" s="19"/>
      <c r="WWO25" s="19"/>
      <c r="WWP25" s="19"/>
      <c r="WWQ25" s="19"/>
      <c r="WWR25" s="19"/>
      <c r="WWS25" s="19"/>
      <c r="WWT25" s="19"/>
      <c r="WWU25" s="19"/>
      <c r="WWV25" s="19"/>
      <c r="WWW25" s="19"/>
      <c r="WWX25" s="19"/>
      <c r="WWY25" s="19"/>
      <c r="WWZ25" s="19"/>
      <c r="WXA25" s="19"/>
      <c r="WXB25" s="19"/>
      <c r="WXC25" s="19"/>
      <c r="WXD25" s="19"/>
      <c r="WXE25" s="19"/>
      <c r="WXF25" s="19"/>
      <c r="WXG25" s="19"/>
      <c r="WXH25" s="19"/>
      <c r="WXI25" s="19"/>
      <c r="WXJ25" s="19"/>
      <c r="WXK25" s="19"/>
      <c r="WXL25" s="19"/>
      <c r="WXM25" s="19"/>
      <c r="WXN25" s="19"/>
      <c r="WXO25" s="19"/>
      <c r="WXP25" s="19"/>
      <c r="WXQ25" s="19"/>
      <c r="WXR25" s="19"/>
      <c r="WXS25" s="19"/>
      <c r="WXT25" s="19"/>
      <c r="WXU25" s="19"/>
      <c r="WXV25" s="19"/>
      <c r="WXW25" s="19"/>
      <c r="WXX25" s="19"/>
      <c r="WXY25" s="19"/>
      <c r="WXZ25" s="19"/>
      <c r="WYA25" s="19"/>
      <c r="WYB25" s="19"/>
      <c r="WYC25" s="19"/>
      <c r="WYD25" s="19"/>
      <c r="WYE25" s="19"/>
      <c r="WYF25" s="19"/>
      <c r="WYG25" s="19"/>
      <c r="WYH25" s="19"/>
      <c r="WYI25" s="19"/>
      <c r="WYJ25" s="19"/>
      <c r="WYK25" s="19"/>
      <c r="WYL25" s="19"/>
      <c r="WYM25" s="19"/>
      <c r="WYN25" s="19"/>
      <c r="WYO25" s="19"/>
      <c r="WYP25" s="19"/>
      <c r="WYQ25" s="19"/>
      <c r="WYR25" s="19"/>
      <c r="WYS25" s="19"/>
      <c r="WYT25" s="19"/>
      <c r="WYU25" s="19"/>
      <c r="WYV25" s="19"/>
      <c r="WYW25" s="19"/>
      <c r="WYX25" s="19"/>
      <c r="WYY25" s="19"/>
      <c r="WYZ25" s="19"/>
      <c r="WZA25" s="19"/>
      <c r="WZB25" s="19"/>
      <c r="WZC25" s="19"/>
      <c r="WZD25" s="19"/>
      <c r="WZE25" s="19"/>
      <c r="WZF25" s="19"/>
      <c r="WZG25" s="19"/>
      <c r="WZH25" s="19"/>
      <c r="WZI25" s="19"/>
      <c r="WZJ25" s="19"/>
      <c r="WZK25" s="19"/>
      <c r="WZL25" s="19"/>
      <c r="WZM25" s="19"/>
      <c r="WZN25" s="19"/>
      <c r="WZO25" s="19"/>
      <c r="WZP25" s="19"/>
      <c r="WZQ25" s="19"/>
      <c r="WZR25" s="19"/>
      <c r="WZS25" s="19"/>
      <c r="WZT25" s="19"/>
      <c r="WZU25" s="19"/>
      <c r="WZV25" s="19"/>
      <c r="WZW25" s="19"/>
      <c r="WZX25" s="19"/>
      <c r="WZY25" s="19"/>
      <c r="WZZ25" s="19"/>
      <c r="XAA25" s="19"/>
      <c r="XAB25" s="19"/>
      <c r="XAC25" s="19"/>
      <c r="XAD25" s="19"/>
      <c r="XAE25" s="19"/>
      <c r="XAF25" s="19"/>
      <c r="XAG25" s="19"/>
      <c r="XAH25" s="19"/>
      <c r="XAI25" s="19"/>
      <c r="XAJ25" s="19"/>
      <c r="XAK25" s="19"/>
      <c r="XAL25" s="19"/>
      <c r="XAM25" s="19"/>
      <c r="XAN25" s="19"/>
      <c r="XAO25" s="19"/>
      <c r="XAP25" s="19"/>
      <c r="XAQ25" s="19"/>
      <c r="XAR25" s="19"/>
      <c r="XAS25" s="19"/>
      <c r="XAT25" s="19"/>
      <c r="XAU25" s="19"/>
      <c r="XAV25" s="19"/>
      <c r="XAW25" s="19"/>
      <c r="XAX25" s="19"/>
      <c r="XAY25" s="19"/>
      <c r="XAZ25" s="19"/>
      <c r="XBA25" s="19"/>
      <c r="XBB25" s="19"/>
      <c r="XBC25" s="19"/>
      <c r="XBD25" s="19"/>
      <c r="XBE25" s="19"/>
      <c r="XBF25" s="19"/>
      <c r="XBG25" s="19"/>
      <c r="XBH25" s="19"/>
      <c r="XBI25" s="19"/>
      <c r="XBJ25" s="19"/>
      <c r="XBK25" s="19"/>
      <c r="XBL25" s="19"/>
      <c r="XBM25" s="19"/>
      <c r="XBN25" s="19"/>
      <c r="XBO25" s="19"/>
      <c r="XBP25" s="19"/>
      <c r="XBQ25" s="19"/>
      <c r="XBR25" s="19"/>
      <c r="XBS25" s="19"/>
      <c r="XBT25" s="19"/>
      <c r="XBU25" s="19"/>
      <c r="XBV25" s="19"/>
      <c r="XBW25" s="19"/>
      <c r="XBX25" s="19"/>
      <c r="XBY25" s="19"/>
      <c r="XBZ25" s="19"/>
      <c r="XCA25" s="19"/>
      <c r="XCB25" s="19"/>
      <c r="XCC25" s="19"/>
      <c r="XCD25" s="19"/>
      <c r="XCE25" s="19"/>
      <c r="XCF25" s="19"/>
      <c r="XCG25" s="19"/>
      <c r="XCH25" s="19"/>
      <c r="XCI25" s="19"/>
      <c r="XCJ25" s="19"/>
      <c r="XCK25" s="19"/>
      <c r="XCL25" s="19"/>
      <c r="XCM25" s="19"/>
      <c r="XCN25" s="19"/>
      <c r="XCO25" s="19"/>
      <c r="XCP25" s="19"/>
      <c r="XCQ25" s="19"/>
      <c r="XCR25" s="19"/>
      <c r="XCS25" s="19"/>
      <c r="XCT25" s="19"/>
      <c r="XCU25" s="19"/>
      <c r="XCV25" s="19"/>
      <c r="XCW25" s="19"/>
      <c r="XCX25" s="19"/>
      <c r="XCY25" s="19"/>
      <c r="XCZ25" s="19"/>
      <c r="XDA25" s="19"/>
      <c r="XDB25" s="19"/>
      <c r="XDC25" s="19"/>
      <c r="XDD25" s="19"/>
      <c r="XDE25" s="19"/>
      <c r="XDF25" s="19"/>
      <c r="XDG25" s="19"/>
      <c r="XDH25" s="19"/>
      <c r="XDI25" s="19"/>
      <c r="XDJ25" s="19"/>
      <c r="XDK25" s="19"/>
      <c r="XDL25" s="19"/>
      <c r="XDM25" s="19"/>
      <c r="XDN25" s="19"/>
      <c r="XDO25" s="19"/>
      <c r="XDP25" s="19"/>
      <c r="XDQ25" s="19"/>
      <c r="XDR25" s="19"/>
      <c r="XDS25" s="19"/>
      <c r="XDT25" s="19"/>
      <c r="XDU25" s="19"/>
      <c r="XDV25" s="19"/>
      <c r="XDW25" s="19"/>
      <c r="XDX25" s="19"/>
      <c r="XDY25" s="19"/>
      <c r="XDZ25" s="19"/>
      <c r="XEA25" s="19"/>
      <c r="XEB25" s="19"/>
      <c r="XEC25" s="19"/>
      <c r="XED25" s="19"/>
      <c r="XEE25" s="19"/>
      <c r="XEF25" s="19"/>
      <c r="XEG25" s="19"/>
      <c r="XEH25" s="19"/>
      <c r="XEI25" s="19"/>
      <c r="XEJ25" s="19"/>
      <c r="XEK25" s="19"/>
      <c r="XEL25" s="19"/>
      <c r="XEM25" s="19"/>
      <c r="XEN25" s="19"/>
      <c r="XEO25" s="19"/>
      <c r="XEP25" s="19"/>
      <c r="XEQ25" s="19"/>
      <c r="XER25" s="19"/>
      <c r="XES25" s="19"/>
      <c r="XET25" s="19"/>
      <c r="XEU25" s="19"/>
      <c r="XEV25" s="19"/>
      <c r="XEW25" s="19"/>
      <c r="XEX25" s="19"/>
      <c r="XEY25" s="19"/>
      <c r="XEZ25" s="19"/>
      <c r="XFA25" s="19"/>
      <c r="XFB25" s="19"/>
    </row>
    <row r="26" spans="1:16382" s="18" customFormat="1" ht="15" customHeight="1" x14ac:dyDescent="0.25"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  <c r="DE26" s="19"/>
      <c r="DF26" s="19"/>
      <c r="DG26" s="19"/>
      <c r="DH26" s="19"/>
      <c r="DI26" s="19"/>
      <c r="DJ26" s="19"/>
      <c r="DK26" s="19"/>
      <c r="DL26" s="19"/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19"/>
      <c r="DX26" s="19"/>
      <c r="DY26" s="19"/>
      <c r="DZ26" s="19"/>
      <c r="EA26" s="19"/>
      <c r="EB26" s="19"/>
      <c r="EC26" s="19"/>
      <c r="ED26" s="19"/>
      <c r="EE26" s="19"/>
      <c r="EF26" s="19"/>
      <c r="EG26" s="19"/>
      <c r="EH26" s="19"/>
      <c r="EI26" s="19"/>
      <c r="EJ26" s="19"/>
      <c r="EK26" s="19"/>
      <c r="EL26" s="19"/>
      <c r="EM26" s="19"/>
      <c r="EN26" s="19"/>
      <c r="EO26" s="19"/>
      <c r="EP26" s="19"/>
      <c r="EQ26" s="19"/>
      <c r="ER26" s="19"/>
      <c r="ES26" s="19"/>
      <c r="ET26" s="19"/>
      <c r="EU26" s="19"/>
      <c r="EV26" s="19"/>
      <c r="EW26" s="19"/>
      <c r="EX26" s="19"/>
      <c r="EY26" s="19"/>
      <c r="EZ26" s="19"/>
      <c r="FA26" s="19"/>
      <c r="FB26" s="19"/>
      <c r="FC26" s="19"/>
      <c r="FD26" s="19"/>
      <c r="FE26" s="19"/>
      <c r="FF26" s="19"/>
      <c r="FG26" s="19"/>
      <c r="FH26" s="19"/>
      <c r="FI26" s="19"/>
      <c r="FJ26" s="19"/>
      <c r="FK26" s="19"/>
      <c r="FL26" s="19"/>
      <c r="FM26" s="19"/>
      <c r="FN26" s="19"/>
      <c r="FO26" s="19"/>
      <c r="FP26" s="19"/>
      <c r="FQ26" s="19"/>
      <c r="FR26" s="19"/>
      <c r="FS26" s="19"/>
      <c r="FT26" s="19"/>
      <c r="FU26" s="19"/>
      <c r="FV26" s="19"/>
      <c r="FW26" s="19"/>
      <c r="FX26" s="19"/>
      <c r="FY26" s="19"/>
      <c r="FZ26" s="19"/>
      <c r="GA26" s="19"/>
      <c r="GB26" s="19"/>
      <c r="GC26" s="19"/>
      <c r="GD26" s="19"/>
      <c r="GE26" s="19"/>
      <c r="GF26" s="19"/>
      <c r="GG26" s="19"/>
      <c r="GH26" s="19"/>
      <c r="GI26" s="19"/>
      <c r="GJ26" s="19"/>
      <c r="GK26" s="19"/>
      <c r="GL26" s="19"/>
      <c r="GM26" s="19"/>
      <c r="GN26" s="19"/>
      <c r="GO26" s="19"/>
      <c r="GP26" s="19"/>
      <c r="GQ26" s="19"/>
      <c r="GR26" s="19"/>
      <c r="GS26" s="19"/>
      <c r="GT26" s="19"/>
      <c r="GU26" s="19"/>
      <c r="GV26" s="19"/>
      <c r="GW26" s="19"/>
      <c r="GX26" s="19"/>
      <c r="GY26" s="19"/>
      <c r="GZ26" s="19"/>
      <c r="HA26" s="19"/>
      <c r="HB26" s="19"/>
      <c r="HC26" s="19"/>
      <c r="HD26" s="19"/>
      <c r="HE26" s="19"/>
      <c r="HF26" s="19"/>
      <c r="HG26" s="19"/>
      <c r="HH26" s="19"/>
      <c r="HI26" s="19"/>
      <c r="HJ26" s="19"/>
      <c r="HK26" s="19"/>
      <c r="HL26" s="19"/>
      <c r="HM26" s="19"/>
      <c r="HN26" s="19"/>
      <c r="HO26" s="19"/>
      <c r="HP26" s="19"/>
      <c r="HQ26" s="19"/>
      <c r="HR26" s="19"/>
      <c r="HS26" s="19"/>
      <c r="HT26" s="19"/>
      <c r="HU26" s="19"/>
      <c r="HV26" s="19"/>
      <c r="HW26" s="19"/>
      <c r="HX26" s="19"/>
      <c r="HY26" s="19"/>
      <c r="HZ26" s="19"/>
      <c r="IA26" s="19"/>
      <c r="IB26" s="19"/>
      <c r="IC26" s="19"/>
      <c r="ID26" s="19"/>
      <c r="IE26" s="19"/>
      <c r="IF26" s="19"/>
      <c r="IG26" s="19"/>
      <c r="IH26" s="19"/>
      <c r="II26" s="19"/>
      <c r="IJ26" s="19"/>
      <c r="IK26" s="19"/>
      <c r="IL26" s="19"/>
      <c r="IM26" s="19"/>
      <c r="IN26" s="19"/>
      <c r="IO26" s="19"/>
      <c r="IP26" s="19"/>
      <c r="IQ26" s="19"/>
      <c r="IR26" s="19"/>
      <c r="IS26" s="19"/>
      <c r="IT26" s="19"/>
      <c r="IU26" s="19"/>
      <c r="IV26" s="19"/>
      <c r="IW26" s="19"/>
      <c r="IX26" s="19"/>
      <c r="IY26" s="19"/>
      <c r="IZ26" s="19"/>
      <c r="JA26" s="19"/>
      <c r="JB26" s="19"/>
      <c r="JC26" s="19"/>
      <c r="JD26" s="19"/>
      <c r="JE26" s="19"/>
      <c r="JF26" s="19"/>
      <c r="JG26" s="19"/>
      <c r="JH26" s="19"/>
      <c r="JI26" s="19"/>
      <c r="JJ26" s="19"/>
      <c r="JK26" s="19"/>
      <c r="JL26" s="19"/>
      <c r="JM26" s="19"/>
      <c r="JN26" s="19"/>
      <c r="JO26" s="19"/>
      <c r="JP26" s="19"/>
      <c r="JQ26" s="19"/>
      <c r="JR26" s="19"/>
      <c r="JS26" s="19"/>
      <c r="JT26" s="19"/>
      <c r="JU26" s="19"/>
      <c r="JV26" s="19"/>
      <c r="JW26" s="19"/>
      <c r="JX26" s="19"/>
      <c r="JY26" s="19"/>
      <c r="JZ26" s="19"/>
      <c r="KA26" s="19"/>
      <c r="KB26" s="19"/>
      <c r="KC26" s="19"/>
      <c r="KD26" s="19"/>
      <c r="KE26" s="19"/>
      <c r="KF26" s="19"/>
      <c r="KG26" s="19"/>
      <c r="KH26" s="19"/>
      <c r="KI26" s="19"/>
      <c r="KJ26" s="19"/>
      <c r="KK26" s="19"/>
      <c r="KL26" s="19"/>
      <c r="KM26" s="19"/>
      <c r="KN26" s="19"/>
      <c r="KO26" s="19"/>
      <c r="KP26" s="19"/>
      <c r="KQ26" s="19"/>
      <c r="KR26" s="19"/>
      <c r="KS26" s="19"/>
      <c r="KT26" s="19"/>
      <c r="KU26" s="19"/>
      <c r="KV26" s="19"/>
      <c r="KW26" s="19"/>
      <c r="KX26" s="19"/>
      <c r="KY26" s="19"/>
      <c r="KZ26" s="19"/>
      <c r="LA26" s="19"/>
      <c r="LB26" s="19"/>
      <c r="LC26" s="19"/>
      <c r="LD26" s="19"/>
      <c r="LE26" s="19"/>
      <c r="LF26" s="19"/>
      <c r="LG26" s="19"/>
      <c r="LH26" s="19"/>
      <c r="LI26" s="19"/>
      <c r="LJ26" s="19"/>
      <c r="LK26" s="19"/>
      <c r="LL26" s="19"/>
      <c r="LM26" s="19"/>
      <c r="LN26" s="19"/>
      <c r="LO26" s="19"/>
      <c r="LP26" s="19"/>
      <c r="LQ26" s="19"/>
      <c r="LR26" s="19"/>
      <c r="LS26" s="19"/>
      <c r="LT26" s="19"/>
      <c r="LU26" s="19"/>
      <c r="LV26" s="19"/>
      <c r="LW26" s="19"/>
      <c r="LX26" s="19"/>
      <c r="LY26" s="19"/>
      <c r="LZ26" s="19"/>
      <c r="MA26" s="19"/>
      <c r="MB26" s="19"/>
      <c r="MC26" s="19"/>
      <c r="MD26" s="19"/>
      <c r="ME26" s="19"/>
      <c r="MF26" s="19"/>
      <c r="MG26" s="19"/>
      <c r="MH26" s="19"/>
      <c r="MI26" s="19"/>
      <c r="MJ26" s="19"/>
      <c r="MK26" s="19"/>
      <c r="ML26" s="19"/>
      <c r="MM26" s="19"/>
      <c r="MN26" s="19"/>
      <c r="MO26" s="19"/>
      <c r="MP26" s="19"/>
      <c r="MQ26" s="19"/>
      <c r="MR26" s="19"/>
      <c r="MS26" s="19"/>
      <c r="MT26" s="19"/>
      <c r="MU26" s="19"/>
      <c r="MV26" s="19"/>
      <c r="MW26" s="19"/>
      <c r="MX26" s="19"/>
      <c r="MY26" s="19"/>
      <c r="MZ26" s="19"/>
      <c r="NA26" s="19"/>
      <c r="NB26" s="19"/>
      <c r="NC26" s="19"/>
      <c r="ND26" s="19"/>
      <c r="NE26" s="19"/>
      <c r="NF26" s="19"/>
      <c r="NG26" s="19"/>
      <c r="NH26" s="19"/>
      <c r="NI26" s="19"/>
      <c r="NJ26" s="19"/>
      <c r="NK26" s="19"/>
      <c r="NL26" s="19"/>
      <c r="NM26" s="19"/>
      <c r="NN26" s="19"/>
      <c r="NO26" s="19"/>
      <c r="NP26" s="19"/>
      <c r="NQ26" s="19"/>
      <c r="NR26" s="19"/>
      <c r="NS26" s="19"/>
      <c r="NT26" s="19"/>
      <c r="NU26" s="19"/>
      <c r="NV26" s="19"/>
      <c r="NW26" s="19"/>
      <c r="NX26" s="19"/>
      <c r="NY26" s="19"/>
      <c r="NZ26" s="19"/>
      <c r="OA26" s="19"/>
      <c r="OB26" s="19"/>
      <c r="OC26" s="19"/>
      <c r="OD26" s="19"/>
      <c r="OE26" s="19"/>
      <c r="OF26" s="19"/>
      <c r="OG26" s="19"/>
      <c r="OH26" s="19"/>
      <c r="OI26" s="19"/>
      <c r="OJ26" s="19"/>
      <c r="OK26" s="19"/>
      <c r="OL26" s="19"/>
      <c r="OM26" s="19"/>
      <c r="ON26" s="19"/>
      <c r="OO26" s="19"/>
      <c r="OP26" s="19"/>
      <c r="OQ26" s="19"/>
      <c r="OR26" s="19"/>
      <c r="OS26" s="19"/>
      <c r="OT26" s="19"/>
      <c r="OU26" s="19"/>
      <c r="OV26" s="19"/>
      <c r="OW26" s="19"/>
      <c r="OX26" s="19"/>
      <c r="OY26" s="19"/>
      <c r="OZ26" s="19"/>
      <c r="PA26" s="19"/>
      <c r="PB26" s="19"/>
      <c r="PC26" s="19"/>
      <c r="PD26" s="19"/>
      <c r="PE26" s="19"/>
      <c r="PF26" s="19"/>
      <c r="PG26" s="19"/>
      <c r="PH26" s="19"/>
      <c r="PI26" s="19"/>
      <c r="PJ26" s="19"/>
      <c r="PK26" s="19"/>
      <c r="PL26" s="19"/>
      <c r="PM26" s="19"/>
      <c r="PN26" s="19"/>
      <c r="PO26" s="19"/>
      <c r="PP26" s="19"/>
      <c r="PQ26" s="19"/>
      <c r="PR26" s="19"/>
      <c r="PS26" s="19"/>
      <c r="PT26" s="19"/>
      <c r="PU26" s="19"/>
      <c r="PV26" s="19"/>
      <c r="PW26" s="19"/>
      <c r="PX26" s="19"/>
      <c r="PY26" s="19"/>
      <c r="PZ26" s="19"/>
      <c r="QA26" s="19"/>
      <c r="QB26" s="19"/>
      <c r="QC26" s="19"/>
      <c r="QD26" s="19"/>
      <c r="QE26" s="19"/>
      <c r="QF26" s="19"/>
      <c r="QG26" s="19"/>
      <c r="QH26" s="19"/>
      <c r="QI26" s="19"/>
      <c r="QJ26" s="19"/>
      <c r="QK26" s="19"/>
      <c r="QL26" s="19"/>
      <c r="QM26" s="19"/>
      <c r="QN26" s="19"/>
      <c r="QO26" s="19"/>
      <c r="QP26" s="19"/>
      <c r="QQ26" s="19"/>
      <c r="QR26" s="19"/>
      <c r="QS26" s="19"/>
      <c r="QT26" s="19"/>
      <c r="QU26" s="19"/>
      <c r="QV26" s="19"/>
      <c r="QW26" s="19"/>
      <c r="QX26" s="19"/>
      <c r="QY26" s="19"/>
      <c r="QZ26" s="19"/>
      <c r="RA26" s="19"/>
      <c r="RB26" s="19"/>
      <c r="RC26" s="19"/>
      <c r="RD26" s="19"/>
      <c r="RE26" s="19"/>
      <c r="RF26" s="19"/>
      <c r="RG26" s="19"/>
      <c r="RH26" s="19"/>
      <c r="RI26" s="19"/>
      <c r="RJ26" s="19"/>
      <c r="RK26" s="19"/>
      <c r="RL26" s="19"/>
      <c r="RM26" s="19"/>
      <c r="RN26" s="19"/>
      <c r="RO26" s="19"/>
      <c r="RP26" s="19"/>
      <c r="RQ26" s="19"/>
      <c r="RR26" s="19"/>
      <c r="RS26" s="19"/>
      <c r="RT26" s="19"/>
      <c r="RU26" s="19"/>
      <c r="RV26" s="19"/>
      <c r="RW26" s="19"/>
      <c r="RX26" s="19"/>
      <c r="RY26" s="19"/>
      <c r="RZ26" s="19"/>
      <c r="SA26" s="19"/>
      <c r="SB26" s="19"/>
      <c r="SC26" s="19"/>
      <c r="SD26" s="19"/>
      <c r="SE26" s="19"/>
      <c r="SF26" s="19"/>
      <c r="SG26" s="19"/>
      <c r="SH26" s="19"/>
      <c r="SI26" s="19"/>
      <c r="SJ26" s="19"/>
      <c r="SK26" s="19"/>
      <c r="SL26" s="19"/>
      <c r="SM26" s="19"/>
      <c r="SN26" s="19"/>
      <c r="SO26" s="19"/>
      <c r="SP26" s="19"/>
      <c r="SQ26" s="19"/>
      <c r="SR26" s="19"/>
      <c r="SS26" s="19"/>
      <c r="ST26" s="19"/>
      <c r="SU26" s="19"/>
      <c r="SV26" s="19"/>
      <c r="SW26" s="19"/>
      <c r="SX26" s="19"/>
      <c r="SY26" s="19"/>
      <c r="SZ26" s="19"/>
      <c r="TA26" s="19"/>
      <c r="TB26" s="19"/>
      <c r="TC26" s="19"/>
      <c r="TD26" s="19"/>
      <c r="TE26" s="19"/>
      <c r="TF26" s="19"/>
      <c r="TG26" s="19"/>
      <c r="TH26" s="19"/>
      <c r="TI26" s="19"/>
      <c r="TJ26" s="19"/>
      <c r="TK26" s="19"/>
      <c r="TL26" s="19"/>
      <c r="TM26" s="19"/>
      <c r="TN26" s="19"/>
      <c r="TO26" s="19"/>
      <c r="TP26" s="19"/>
      <c r="TQ26" s="19"/>
      <c r="TR26" s="19"/>
      <c r="TS26" s="19"/>
      <c r="TT26" s="19"/>
      <c r="TU26" s="19"/>
      <c r="TV26" s="19"/>
      <c r="TW26" s="19"/>
      <c r="TX26" s="19"/>
      <c r="TY26" s="19"/>
      <c r="TZ26" s="19"/>
      <c r="UA26" s="19"/>
      <c r="UB26" s="19"/>
      <c r="UC26" s="19"/>
      <c r="UD26" s="19"/>
      <c r="UE26" s="19"/>
      <c r="UF26" s="19"/>
      <c r="UG26" s="19"/>
      <c r="UH26" s="19"/>
      <c r="UI26" s="19"/>
      <c r="UJ26" s="19"/>
      <c r="UK26" s="19"/>
      <c r="UL26" s="19"/>
      <c r="UM26" s="19"/>
      <c r="UN26" s="19"/>
      <c r="UO26" s="19"/>
      <c r="UP26" s="19"/>
      <c r="UQ26" s="19"/>
      <c r="UR26" s="19"/>
      <c r="US26" s="19"/>
      <c r="UT26" s="19"/>
      <c r="UU26" s="19"/>
      <c r="UV26" s="19"/>
      <c r="UW26" s="19"/>
      <c r="UX26" s="19"/>
      <c r="UY26" s="19"/>
      <c r="UZ26" s="19"/>
      <c r="VA26" s="19"/>
      <c r="VB26" s="19"/>
      <c r="VC26" s="19"/>
      <c r="VD26" s="19"/>
      <c r="VE26" s="19"/>
      <c r="VF26" s="19"/>
      <c r="VG26" s="19"/>
      <c r="VH26" s="19"/>
      <c r="VI26" s="19"/>
      <c r="VJ26" s="19"/>
      <c r="VK26" s="19"/>
      <c r="VL26" s="19"/>
      <c r="VM26" s="19"/>
      <c r="VN26" s="19"/>
      <c r="VO26" s="19"/>
      <c r="VP26" s="19"/>
      <c r="VQ26" s="19"/>
      <c r="VR26" s="19"/>
      <c r="VS26" s="19"/>
      <c r="VT26" s="19"/>
      <c r="VU26" s="19"/>
      <c r="VV26" s="19"/>
      <c r="VW26" s="19"/>
      <c r="VX26" s="19"/>
      <c r="VY26" s="19"/>
      <c r="VZ26" s="19"/>
      <c r="WA26" s="19"/>
      <c r="WB26" s="19"/>
      <c r="WC26" s="19"/>
      <c r="WD26" s="19"/>
      <c r="WE26" s="19"/>
      <c r="WF26" s="19"/>
      <c r="WG26" s="19"/>
      <c r="WH26" s="19"/>
      <c r="WI26" s="19"/>
      <c r="WJ26" s="19"/>
      <c r="WK26" s="19"/>
      <c r="WL26" s="19"/>
      <c r="WM26" s="19"/>
      <c r="WN26" s="19"/>
      <c r="WO26" s="19"/>
      <c r="WP26" s="19"/>
      <c r="WQ26" s="19"/>
      <c r="WR26" s="19"/>
      <c r="WS26" s="19"/>
      <c r="WT26" s="19"/>
      <c r="WU26" s="19"/>
      <c r="WV26" s="19"/>
      <c r="WW26" s="19"/>
      <c r="WX26" s="19"/>
      <c r="WY26" s="19"/>
      <c r="WZ26" s="19"/>
      <c r="XA26" s="19"/>
      <c r="XB26" s="19"/>
      <c r="XC26" s="19"/>
      <c r="XD26" s="19"/>
      <c r="XE26" s="19"/>
      <c r="XF26" s="19"/>
      <c r="XG26" s="19"/>
      <c r="XH26" s="19"/>
      <c r="XI26" s="19"/>
      <c r="XJ26" s="19"/>
      <c r="XK26" s="19"/>
      <c r="XL26" s="19"/>
      <c r="XM26" s="19"/>
      <c r="XN26" s="19"/>
      <c r="XO26" s="19"/>
      <c r="XP26" s="19"/>
      <c r="XQ26" s="19"/>
      <c r="XR26" s="19"/>
      <c r="XS26" s="19"/>
      <c r="XT26" s="19"/>
      <c r="XU26" s="19"/>
      <c r="XV26" s="19"/>
      <c r="XW26" s="19"/>
      <c r="XX26" s="19"/>
      <c r="XY26" s="19"/>
      <c r="XZ26" s="19"/>
      <c r="YA26" s="19"/>
      <c r="YB26" s="19"/>
      <c r="YC26" s="19"/>
      <c r="YD26" s="19"/>
      <c r="YE26" s="19"/>
      <c r="YF26" s="19"/>
      <c r="YG26" s="19"/>
      <c r="YH26" s="19"/>
      <c r="YI26" s="19"/>
      <c r="YJ26" s="19"/>
      <c r="YK26" s="19"/>
      <c r="YL26" s="19"/>
      <c r="YM26" s="19"/>
      <c r="YN26" s="19"/>
      <c r="YO26" s="19"/>
      <c r="YP26" s="19"/>
      <c r="YQ26" s="19"/>
      <c r="YR26" s="19"/>
      <c r="YS26" s="19"/>
      <c r="YT26" s="19"/>
      <c r="YU26" s="19"/>
      <c r="YV26" s="19"/>
      <c r="YW26" s="19"/>
      <c r="YX26" s="19"/>
      <c r="YY26" s="19"/>
      <c r="YZ26" s="19"/>
      <c r="ZA26" s="19"/>
      <c r="ZB26" s="19"/>
      <c r="ZC26" s="19"/>
      <c r="ZD26" s="19"/>
      <c r="ZE26" s="19"/>
      <c r="ZF26" s="19"/>
      <c r="ZG26" s="19"/>
      <c r="ZH26" s="19"/>
      <c r="ZI26" s="19"/>
      <c r="ZJ26" s="19"/>
      <c r="ZK26" s="19"/>
      <c r="ZL26" s="19"/>
      <c r="ZM26" s="19"/>
      <c r="ZN26" s="19"/>
      <c r="ZO26" s="19"/>
      <c r="ZP26" s="19"/>
      <c r="ZQ26" s="19"/>
      <c r="ZR26" s="19"/>
      <c r="ZS26" s="19"/>
      <c r="ZT26" s="19"/>
      <c r="ZU26" s="19"/>
      <c r="ZV26" s="19"/>
      <c r="ZW26" s="19"/>
      <c r="ZX26" s="19"/>
      <c r="ZY26" s="19"/>
      <c r="ZZ26" s="19"/>
      <c r="AAA26" s="19"/>
      <c r="AAB26" s="19"/>
      <c r="AAC26" s="19"/>
      <c r="AAD26" s="19"/>
      <c r="AAE26" s="19"/>
      <c r="AAF26" s="19"/>
      <c r="AAG26" s="19"/>
      <c r="AAH26" s="19"/>
      <c r="AAI26" s="19"/>
      <c r="AAJ26" s="19"/>
      <c r="AAK26" s="19"/>
      <c r="AAL26" s="19"/>
      <c r="AAM26" s="19"/>
      <c r="AAN26" s="19"/>
      <c r="AAO26" s="19"/>
      <c r="AAP26" s="19"/>
      <c r="AAQ26" s="19"/>
      <c r="AAR26" s="19"/>
      <c r="AAS26" s="19"/>
      <c r="AAT26" s="19"/>
      <c r="AAU26" s="19"/>
      <c r="AAV26" s="19"/>
      <c r="AAW26" s="19"/>
      <c r="AAX26" s="19"/>
      <c r="AAY26" s="19"/>
      <c r="AAZ26" s="19"/>
      <c r="ABA26" s="19"/>
      <c r="ABB26" s="19"/>
      <c r="ABC26" s="19"/>
      <c r="ABD26" s="19"/>
      <c r="ABE26" s="19"/>
      <c r="ABF26" s="19"/>
      <c r="ABG26" s="19"/>
      <c r="ABH26" s="19"/>
      <c r="ABI26" s="19"/>
      <c r="ABJ26" s="19"/>
      <c r="ABK26" s="19"/>
      <c r="ABL26" s="19"/>
      <c r="ABM26" s="19"/>
      <c r="ABN26" s="19"/>
      <c r="ABO26" s="19"/>
      <c r="ABP26" s="19"/>
      <c r="ABQ26" s="19"/>
      <c r="ABR26" s="19"/>
      <c r="ABS26" s="19"/>
      <c r="ABT26" s="19"/>
      <c r="ABU26" s="19"/>
      <c r="ABV26" s="19"/>
      <c r="ABW26" s="19"/>
      <c r="ABX26" s="19"/>
      <c r="ABY26" s="19"/>
      <c r="ABZ26" s="19"/>
      <c r="ACA26" s="19"/>
      <c r="ACB26" s="19"/>
      <c r="ACC26" s="19"/>
      <c r="ACD26" s="19"/>
      <c r="ACE26" s="19"/>
      <c r="ACF26" s="19"/>
      <c r="ACG26" s="19"/>
      <c r="ACH26" s="19"/>
      <c r="ACI26" s="19"/>
      <c r="ACJ26" s="19"/>
      <c r="ACK26" s="19"/>
      <c r="ACL26" s="19"/>
      <c r="ACM26" s="19"/>
      <c r="ACN26" s="19"/>
      <c r="ACO26" s="19"/>
      <c r="ACP26" s="19"/>
      <c r="ACQ26" s="19"/>
      <c r="ACR26" s="19"/>
      <c r="ACS26" s="19"/>
      <c r="ACT26" s="19"/>
      <c r="ACU26" s="19"/>
      <c r="ACV26" s="19"/>
      <c r="ACW26" s="19"/>
      <c r="ACX26" s="19"/>
      <c r="ACY26" s="19"/>
      <c r="ACZ26" s="19"/>
      <c r="ADA26" s="19"/>
      <c r="ADB26" s="19"/>
      <c r="ADC26" s="19"/>
      <c r="ADD26" s="19"/>
      <c r="ADE26" s="19"/>
      <c r="ADF26" s="19"/>
      <c r="ADG26" s="19"/>
      <c r="ADH26" s="19"/>
      <c r="ADI26" s="19"/>
      <c r="ADJ26" s="19"/>
      <c r="ADK26" s="19"/>
      <c r="ADL26" s="19"/>
      <c r="ADM26" s="19"/>
      <c r="ADN26" s="19"/>
      <c r="ADO26" s="19"/>
      <c r="ADP26" s="19"/>
      <c r="ADQ26" s="19"/>
      <c r="ADR26" s="19"/>
      <c r="ADS26" s="19"/>
      <c r="ADT26" s="19"/>
      <c r="ADU26" s="19"/>
      <c r="ADV26" s="19"/>
      <c r="ADW26" s="19"/>
      <c r="ADX26" s="19"/>
      <c r="ADY26" s="19"/>
      <c r="ADZ26" s="19"/>
      <c r="AEA26" s="19"/>
      <c r="AEB26" s="19"/>
      <c r="AEC26" s="19"/>
      <c r="AED26" s="19"/>
      <c r="AEE26" s="19"/>
      <c r="AEF26" s="19"/>
      <c r="AEG26" s="19"/>
      <c r="AEH26" s="19"/>
      <c r="AEI26" s="19"/>
      <c r="AEJ26" s="19"/>
      <c r="AEK26" s="19"/>
      <c r="AEL26" s="19"/>
      <c r="AEM26" s="19"/>
      <c r="AEN26" s="19"/>
      <c r="AEO26" s="19"/>
      <c r="AEP26" s="19"/>
      <c r="AEQ26" s="19"/>
      <c r="AER26" s="19"/>
      <c r="AES26" s="19"/>
      <c r="AET26" s="19"/>
      <c r="AEU26" s="19"/>
      <c r="AEV26" s="19"/>
      <c r="AEW26" s="19"/>
      <c r="AEX26" s="19"/>
      <c r="AEY26" s="19"/>
      <c r="AEZ26" s="19"/>
      <c r="AFA26" s="19"/>
      <c r="AFB26" s="19"/>
      <c r="AFC26" s="19"/>
      <c r="AFD26" s="19"/>
      <c r="AFE26" s="19"/>
      <c r="AFF26" s="19"/>
      <c r="AFG26" s="19"/>
      <c r="AFH26" s="19"/>
      <c r="AFI26" s="19"/>
      <c r="AFJ26" s="19"/>
      <c r="AFK26" s="19"/>
      <c r="AFL26" s="19"/>
      <c r="AFM26" s="19"/>
      <c r="AFN26" s="19"/>
      <c r="AFO26" s="19"/>
      <c r="AFP26" s="19"/>
      <c r="AFQ26" s="19"/>
      <c r="AFR26" s="19"/>
      <c r="AFS26" s="19"/>
      <c r="AFT26" s="19"/>
      <c r="AFU26" s="19"/>
      <c r="AFV26" s="19"/>
      <c r="AFW26" s="19"/>
      <c r="AFX26" s="19"/>
      <c r="AFY26" s="19"/>
      <c r="AFZ26" s="19"/>
      <c r="AGA26" s="19"/>
      <c r="AGB26" s="19"/>
      <c r="AGC26" s="19"/>
      <c r="AGD26" s="19"/>
      <c r="AGE26" s="19"/>
      <c r="AGF26" s="19"/>
      <c r="AGG26" s="19"/>
      <c r="AGH26" s="19"/>
      <c r="AGI26" s="19"/>
      <c r="AGJ26" s="19"/>
      <c r="AGK26" s="19"/>
      <c r="AGL26" s="19"/>
      <c r="AGM26" s="19"/>
      <c r="AGN26" s="19"/>
      <c r="AGO26" s="19"/>
      <c r="AGP26" s="19"/>
      <c r="AGQ26" s="19"/>
      <c r="AGR26" s="19"/>
      <c r="AGS26" s="19"/>
      <c r="AGT26" s="19"/>
      <c r="AGU26" s="19"/>
      <c r="AGV26" s="19"/>
      <c r="AGW26" s="19"/>
      <c r="AGX26" s="19"/>
      <c r="AGY26" s="19"/>
      <c r="AGZ26" s="19"/>
      <c r="AHA26" s="19"/>
      <c r="AHB26" s="19"/>
      <c r="AHC26" s="19"/>
      <c r="AHD26" s="19"/>
      <c r="AHE26" s="19"/>
      <c r="AHF26" s="19"/>
      <c r="AHG26" s="19"/>
      <c r="AHH26" s="19"/>
      <c r="AHI26" s="19"/>
      <c r="AHJ26" s="19"/>
      <c r="AHK26" s="19"/>
      <c r="AHL26" s="19"/>
      <c r="AHM26" s="19"/>
      <c r="AHN26" s="19"/>
      <c r="AHO26" s="19"/>
      <c r="AHP26" s="19"/>
      <c r="AHQ26" s="19"/>
      <c r="AHR26" s="19"/>
      <c r="AHS26" s="19"/>
      <c r="AHT26" s="19"/>
      <c r="AHU26" s="19"/>
      <c r="AHV26" s="19"/>
      <c r="AHW26" s="19"/>
      <c r="AHX26" s="19"/>
      <c r="AHY26" s="19"/>
      <c r="AHZ26" s="19"/>
      <c r="AIA26" s="19"/>
      <c r="AIB26" s="19"/>
      <c r="AIC26" s="19"/>
      <c r="AID26" s="19"/>
      <c r="AIE26" s="19"/>
      <c r="AIF26" s="19"/>
      <c r="AIG26" s="19"/>
      <c r="AIH26" s="19"/>
      <c r="AII26" s="19"/>
      <c r="AIJ26" s="19"/>
      <c r="AIK26" s="19"/>
      <c r="AIL26" s="19"/>
      <c r="AIM26" s="19"/>
      <c r="AIN26" s="19"/>
      <c r="AIO26" s="19"/>
      <c r="AIP26" s="19"/>
      <c r="AIQ26" s="19"/>
      <c r="AIR26" s="19"/>
      <c r="AIS26" s="19"/>
      <c r="AIT26" s="19"/>
      <c r="AIU26" s="19"/>
      <c r="AIV26" s="19"/>
      <c r="AIW26" s="19"/>
      <c r="AIX26" s="19"/>
      <c r="AIY26" s="19"/>
      <c r="AIZ26" s="19"/>
      <c r="AJA26" s="19"/>
      <c r="AJB26" s="19"/>
      <c r="AJC26" s="19"/>
      <c r="AJD26" s="19"/>
      <c r="AJE26" s="19"/>
      <c r="AJF26" s="19"/>
      <c r="AJG26" s="19"/>
      <c r="AJH26" s="19"/>
      <c r="AJI26" s="19"/>
      <c r="AJJ26" s="19"/>
      <c r="AJK26" s="19"/>
      <c r="AJL26" s="19"/>
      <c r="AJM26" s="19"/>
      <c r="AJN26" s="19"/>
      <c r="AJO26" s="19"/>
      <c r="AJP26" s="19"/>
      <c r="AJQ26" s="19"/>
      <c r="AJR26" s="19"/>
      <c r="AJS26" s="19"/>
      <c r="AJT26" s="19"/>
      <c r="AJU26" s="19"/>
      <c r="AJV26" s="19"/>
      <c r="AJW26" s="19"/>
      <c r="AJX26" s="19"/>
      <c r="AJY26" s="19"/>
      <c r="AJZ26" s="19"/>
      <c r="AKA26" s="19"/>
      <c r="AKB26" s="19"/>
      <c r="AKC26" s="19"/>
      <c r="AKD26" s="19"/>
      <c r="AKE26" s="19"/>
      <c r="AKF26" s="19"/>
      <c r="AKG26" s="19"/>
      <c r="AKH26" s="19"/>
      <c r="AKI26" s="19"/>
      <c r="AKJ26" s="19"/>
      <c r="AKK26" s="19"/>
      <c r="AKL26" s="19"/>
      <c r="AKM26" s="19"/>
      <c r="AKN26" s="19"/>
      <c r="AKO26" s="19"/>
      <c r="AKP26" s="19"/>
      <c r="AKQ26" s="19"/>
      <c r="AKR26" s="19"/>
      <c r="AKS26" s="19"/>
      <c r="AKT26" s="19"/>
      <c r="AKU26" s="19"/>
      <c r="AKV26" s="19"/>
      <c r="AKW26" s="19"/>
      <c r="AKX26" s="19"/>
      <c r="AKY26" s="19"/>
      <c r="AKZ26" s="19"/>
      <c r="ALA26" s="19"/>
      <c r="ALB26" s="19"/>
      <c r="ALC26" s="19"/>
      <c r="ALD26" s="19"/>
      <c r="ALE26" s="19"/>
      <c r="ALF26" s="19"/>
      <c r="ALG26" s="19"/>
      <c r="ALH26" s="19"/>
      <c r="ALI26" s="19"/>
      <c r="ALJ26" s="19"/>
      <c r="ALK26" s="19"/>
      <c r="ALL26" s="19"/>
      <c r="ALM26" s="19"/>
      <c r="ALN26" s="19"/>
      <c r="ALO26" s="19"/>
      <c r="ALP26" s="19"/>
      <c r="ALQ26" s="19"/>
      <c r="ALR26" s="19"/>
      <c r="ALS26" s="19"/>
      <c r="ALT26" s="19"/>
      <c r="ALU26" s="19"/>
      <c r="ALV26" s="19"/>
      <c r="ALW26" s="19"/>
      <c r="ALX26" s="19"/>
      <c r="ALY26" s="19"/>
      <c r="ALZ26" s="19"/>
      <c r="AMA26" s="19"/>
      <c r="AMB26" s="19"/>
      <c r="AMC26" s="19"/>
      <c r="AMD26" s="19"/>
      <c r="AME26" s="19"/>
      <c r="AMF26" s="19"/>
      <c r="AMG26" s="19"/>
      <c r="AMH26" s="19"/>
      <c r="AMI26" s="19"/>
      <c r="AMJ26" s="19"/>
      <c r="AMK26" s="19"/>
      <c r="AML26" s="19"/>
      <c r="AMM26" s="19"/>
      <c r="AMN26" s="19"/>
      <c r="AMO26" s="19"/>
      <c r="AMP26" s="19"/>
      <c r="AMQ26" s="19"/>
      <c r="AMR26" s="19"/>
      <c r="AMS26" s="19"/>
      <c r="AMT26" s="19"/>
      <c r="AMU26" s="19"/>
      <c r="AMV26" s="19"/>
      <c r="AMW26" s="19"/>
      <c r="AMX26" s="19"/>
      <c r="AMY26" s="19"/>
      <c r="AMZ26" s="19"/>
      <c r="ANA26" s="19"/>
      <c r="ANB26" s="19"/>
      <c r="ANC26" s="19"/>
      <c r="AND26" s="19"/>
      <c r="ANE26" s="19"/>
      <c r="ANF26" s="19"/>
      <c r="ANG26" s="19"/>
      <c r="ANH26" s="19"/>
      <c r="ANI26" s="19"/>
      <c r="ANJ26" s="19"/>
      <c r="ANK26" s="19"/>
      <c r="ANL26" s="19"/>
      <c r="ANM26" s="19"/>
      <c r="ANN26" s="19"/>
      <c r="ANO26" s="19"/>
      <c r="ANP26" s="19"/>
      <c r="ANQ26" s="19"/>
      <c r="ANR26" s="19"/>
      <c r="ANS26" s="19"/>
      <c r="ANT26" s="19"/>
      <c r="ANU26" s="19"/>
      <c r="ANV26" s="19"/>
      <c r="ANW26" s="19"/>
      <c r="ANX26" s="19"/>
      <c r="ANY26" s="19"/>
      <c r="ANZ26" s="19"/>
      <c r="AOA26" s="19"/>
      <c r="AOB26" s="19"/>
      <c r="AOC26" s="19"/>
      <c r="AOD26" s="19"/>
      <c r="AOE26" s="19"/>
      <c r="AOF26" s="19"/>
      <c r="AOG26" s="19"/>
      <c r="AOH26" s="19"/>
      <c r="AOI26" s="19"/>
      <c r="AOJ26" s="19"/>
      <c r="AOK26" s="19"/>
      <c r="AOL26" s="19"/>
      <c r="AOM26" s="19"/>
      <c r="AON26" s="19"/>
      <c r="AOO26" s="19"/>
      <c r="AOP26" s="19"/>
      <c r="AOQ26" s="19"/>
      <c r="AOR26" s="19"/>
      <c r="AOS26" s="19"/>
      <c r="AOT26" s="19"/>
      <c r="AOU26" s="19"/>
      <c r="AOV26" s="19"/>
      <c r="AOW26" s="19"/>
      <c r="AOX26" s="19"/>
      <c r="AOY26" s="19"/>
      <c r="AOZ26" s="19"/>
      <c r="APA26" s="19"/>
      <c r="APB26" s="19"/>
      <c r="APC26" s="19"/>
      <c r="APD26" s="19"/>
      <c r="APE26" s="19"/>
      <c r="APF26" s="19"/>
      <c r="APG26" s="19"/>
      <c r="APH26" s="19"/>
      <c r="API26" s="19"/>
      <c r="APJ26" s="19"/>
      <c r="APK26" s="19"/>
      <c r="APL26" s="19"/>
      <c r="APM26" s="19"/>
      <c r="APN26" s="19"/>
      <c r="APO26" s="19"/>
      <c r="APP26" s="19"/>
      <c r="APQ26" s="19"/>
      <c r="APR26" s="19"/>
      <c r="APS26" s="19"/>
      <c r="APT26" s="19"/>
      <c r="APU26" s="19"/>
      <c r="APV26" s="19"/>
      <c r="APW26" s="19"/>
      <c r="APX26" s="19"/>
      <c r="APY26" s="19"/>
      <c r="APZ26" s="19"/>
      <c r="AQA26" s="19"/>
      <c r="AQB26" s="19"/>
      <c r="AQC26" s="19"/>
      <c r="AQD26" s="19"/>
      <c r="AQE26" s="19"/>
      <c r="AQF26" s="19"/>
      <c r="AQG26" s="19"/>
      <c r="AQH26" s="19"/>
      <c r="AQI26" s="19"/>
      <c r="AQJ26" s="19"/>
      <c r="AQK26" s="19"/>
      <c r="AQL26" s="19"/>
      <c r="AQM26" s="19"/>
      <c r="AQN26" s="19"/>
      <c r="AQO26" s="19"/>
      <c r="AQP26" s="19"/>
      <c r="AQQ26" s="19"/>
      <c r="AQR26" s="19"/>
      <c r="AQS26" s="19"/>
      <c r="AQT26" s="19"/>
      <c r="AQU26" s="19"/>
      <c r="AQV26" s="19"/>
      <c r="AQW26" s="19"/>
      <c r="AQX26" s="19"/>
      <c r="AQY26" s="19"/>
      <c r="AQZ26" s="19"/>
      <c r="ARA26" s="19"/>
      <c r="ARB26" s="19"/>
      <c r="ARC26" s="19"/>
      <c r="ARD26" s="19"/>
      <c r="ARE26" s="19"/>
      <c r="ARF26" s="19"/>
      <c r="ARG26" s="19"/>
      <c r="ARH26" s="19"/>
      <c r="ARI26" s="19"/>
      <c r="ARJ26" s="19"/>
      <c r="ARK26" s="19"/>
      <c r="ARL26" s="19"/>
      <c r="ARM26" s="19"/>
      <c r="ARN26" s="19"/>
      <c r="ARO26" s="19"/>
      <c r="ARP26" s="19"/>
      <c r="ARQ26" s="19"/>
      <c r="ARR26" s="19"/>
      <c r="ARS26" s="19"/>
      <c r="ART26" s="19"/>
      <c r="ARU26" s="19"/>
      <c r="ARV26" s="19"/>
      <c r="ARW26" s="19"/>
      <c r="ARX26" s="19"/>
      <c r="ARY26" s="19"/>
      <c r="ARZ26" s="19"/>
      <c r="ASA26" s="19"/>
      <c r="ASB26" s="19"/>
      <c r="ASC26" s="19"/>
      <c r="ASD26" s="19"/>
      <c r="ASE26" s="19"/>
      <c r="ASF26" s="19"/>
      <c r="ASG26" s="19"/>
      <c r="ASH26" s="19"/>
      <c r="ASI26" s="19"/>
      <c r="ASJ26" s="19"/>
      <c r="ASK26" s="19"/>
      <c r="ASL26" s="19"/>
      <c r="ASM26" s="19"/>
      <c r="ASN26" s="19"/>
      <c r="ASO26" s="19"/>
      <c r="ASP26" s="19"/>
      <c r="ASQ26" s="19"/>
      <c r="ASR26" s="19"/>
      <c r="ASS26" s="19"/>
      <c r="AST26" s="19"/>
      <c r="ASU26" s="19"/>
      <c r="ASV26" s="19"/>
      <c r="ASW26" s="19"/>
      <c r="ASX26" s="19"/>
      <c r="ASY26" s="19"/>
      <c r="ASZ26" s="19"/>
      <c r="ATA26" s="19"/>
      <c r="ATB26" s="19"/>
      <c r="ATC26" s="19"/>
      <c r="ATD26" s="19"/>
      <c r="ATE26" s="19"/>
      <c r="ATF26" s="19"/>
      <c r="ATG26" s="19"/>
      <c r="ATH26" s="19"/>
      <c r="ATI26" s="19"/>
      <c r="ATJ26" s="19"/>
      <c r="ATK26" s="19"/>
      <c r="ATL26" s="19"/>
      <c r="ATM26" s="19"/>
      <c r="ATN26" s="19"/>
      <c r="ATO26" s="19"/>
      <c r="ATP26" s="19"/>
      <c r="ATQ26" s="19"/>
      <c r="ATR26" s="19"/>
      <c r="ATS26" s="19"/>
      <c r="ATT26" s="19"/>
      <c r="ATU26" s="19"/>
      <c r="ATV26" s="19"/>
      <c r="ATW26" s="19"/>
      <c r="ATX26" s="19"/>
      <c r="ATY26" s="19"/>
      <c r="ATZ26" s="19"/>
      <c r="AUA26" s="19"/>
      <c r="AUB26" s="19"/>
      <c r="AUC26" s="19"/>
      <c r="AUD26" s="19"/>
      <c r="AUE26" s="19"/>
      <c r="AUF26" s="19"/>
      <c r="AUG26" s="19"/>
      <c r="AUH26" s="19"/>
      <c r="AUI26" s="19"/>
      <c r="AUJ26" s="19"/>
      <c r="AUK26" s="19"/>
      <c r="AUL26" s="19"/>
      <c r="AUM26" s="19"/>
      <c r="AUN26" s="19"/>
      <c r="AUO26" s="19"/>
      <c r="AUP26" s="19"/>
      <c r="AUQ26" s="19"/>
      <c r="AUR26" s="19"/>
      <c r="AUS26" s="19"/>
      <c r="AUT26" s="19"/>
      <c r="AUU26" s="19"/>
      <c r="AUV26" s="19"/>
      <c r="AUW26" s="19"/>
      <c r="AUX26" s="19"/>
      <c r="AUY26" s="19"/>
      <c r="AUZ26" s="19"/>
      <c r="AVA26" s="19"/>
      <c r="AVB26" s="19"/>
      <c r="AVC26" s="19"/>
      <c r="AVD26" s="19"/>
      <c r="AVE26" s="19"/>
      <c r="AVF26" s="19"/>
      <c r="AVG26" s="19"/>
      <c r="AVH26" s="19"/>
      <c r="AVI26" s="19"/>
      <c r="AVJ26" s="19"/>
      <c r="AVK26" s="19"/>
      <c r="AVL26" s="19"/>
      <c r="AVM26" s="19"/>
      <c r="AVN26" s="19"/>
      <c r="AVO26" s="19"/>
      <c r="AVP26" s="19"/>
      <c r="AVQ26" s="19"/>
      <c r="AVR26" s="19"/>
      <c r="AVS26" s="19"/>
      <c r="AVT26" s="19"/>
      <c r="AVU26" s="19"/>
      <c r="AVV26" s="19"/>
      <c r="AVW26" s="19"/>
      <c r="AVX26" s="19"/>
      <c r="AVY26" s="19"/>
      <c r="AVZ26" s="19"/>
      <c r="AWA26" s="19"/>
      <c r="AWB26" s="19"/>
      <c r="AWC26" s="19"/>
      <c r="AWD26" s="19"/>
      <c r="AWE26" s="19"/>
      <c r="AWF26" s="19"/>
      <c r="AWG26" s="19"/>
      <c r="AWH26" s="19"/>
      <c r="AWI26" s="19"/>
      <c r="AWJ26" s="19"/>
      <c r="AWK26" s="19"/>
      <c r="AWL26" s="19"/>
      <c r="AWM26" s="19"/>
      <c r="AWN26" s="19"/>
      <c r="AWO26" s="19"/>
      <c r="AWP26" s="19"/>
      <c r="AWQ26" s="19"/>
      <c r="AWR26" s="19"/>
      <c r="AWS26" s="19"/>
      <c r="AWT26" s="19"/>
      <c r="AWU26" s="19"/>
      <c r="AWV26" s="19"/>
      <c r="AWW26" s="19"/>
      <c r="AWX26" s="19"/>
      <c r="AWY26" s="19"/>
      <c r="AWZ26" s="19"/>
      <c r="AXA26" s="19"/>
      <c r="AXB26" s="19"/>
      <c r="AXC26" s="19"/>
      <c r="AXD26" s="19"/>
      <c r="AXE26" s="19"/>
      <c r="AXF26" s="19"/>
      <c r="AXG26" s="19"/>
      <c r="AXH26" s="19"/>
      <c r="AXI26" s="19"/>
      <c r="AXJ26" s="19"/>
      <c r="AXK26" s="19"/>
      <c r="AXL26" s="19"/>
      <c r="AXM26" s="19"/>
      <c r="AXN26" s="19"/>
      <c r="AXO26" s="19"/>
      <c r="AXP26" s="19"/>
      <c r="AXQ26" s="19"/>
      <c r="AXR26" s="19"/>
      <c r="AXS26" s="19"/>
      <c r="AXT26" s="19"/>
      <c r="AXU26" s="19"/>
      <c r="AXV26" s="19"/>
      <c r="AXW26" s="19"/>
      <c r="AXX26" s="19"/>
      <c r="AXY26" s="19"/>
      <c r="AXZ26" s="19"/>
      <c r="AYA26" s="19"/>
      <c r="AYB26" s="19"/>
      <c r="AYC26" s="19"/>
      <c r="AYD26" s="19"/>
      <c r="AYE26" s="19"/>
      <c r="AYF26" s="19"/>
      <c r="AYG26" s="19"/>
      <c r="AYH26" s="19"/>
      <c r="AYI26" s="19"/>
      <c r="AYJ26" s="19"/>
      <c r="AYK26" s="19"/>
      <c r="AYL26" s="19"/>
      <c r="AYM26" s="19"/>
      <c r="AYN26" s="19"/>
      <c r="AYO26" s="19"/>
      <c r="AYP26" s="19"/>
      <c r="AYQ26" s="19"/>
      <c r="AYR26" s="19"/>
      <c r="AYS26" s="19"/>
      <c r="AYT26" s="19"/>
      <c r="AYU26" s="19"/>
      <c r="AYV26" s="19"/>
      <c r="AYW26" s="19"/>
      <c r="AYX26" s="19"/>
      <c r="AYY26" s="19"/>
      <c r="AYZ26" s="19"/>
      <c r="AZA26" s="19"/>
      <c r="AZB26" s="19"/>
      <c r="AZC26" s="19"/>
      <c r="AZD26" s="19"/>
      <c r="AZE26" s="19"/>
      <c r="AZF26" s="19"/>
      <c r="AZG26" s="19"/>
      <c r="AZH26" s="19"/>
      <c r="AZI26" s="19"/>
      <c r="AZJ26" s="19"/>
      <c r="AZK26" s="19"/>
      <c r="AZL26" s="19"/>
      <c r="AZM26" s="19"/>
      <c r="AZN26" s="19"/>
      <c r="AZO26" s="19"/>
      <c r="AZP26" s="19"/>
      <c r="AZQ26" s="19"/>
      <c r="AZR26" s="19"/>
      <c r="AZS26" s="19"/>
      <c r="AZT26" s="19"/>
      <c r="AZU26" s="19"/>
      <c r="AZV26" s="19"/>
      <c r="AZW26" s="19"/>
      <c r="AZX26" s="19"/>
      <c r="AZY26" s="19"/>
      <c r="AZZ26" s="19"/>
      <c r="BAA26" s="19"/>
      <c r="BAB26" s="19"/>
      <c r="BAC26" s="19"/>
      <c r="BAD26" s="19"/>
      <c r="BAE26" s="19"/>
      <c r="BAF26" s="19"/>
      <c r="BAG26" s="19"/>
      <c r="BAH26" s="19"/>
      <c r="BAI26" s="19"/>
      <c r="BAJ26" s="19"/>
      <c r="BAK26" s="19"/>
      <c r="BAL26" s="19"/>
      <c r="BAM26" s="19"/>
      <c r="BAN26" s="19"/>
      <c r="BAO26" s="19"/>
      <c r="BAP26" s="19"/>
      <c r="BAQ26" s="19"/>
      <c r="BAR26" s="19"/>
      <c r="BAS26" s="19"/>
      <c r="BAT26" s="19"/>
      <c r="BAU26" s="19"/>
      <c r="BAV26" s="19"/>
      <c r="BAW26" s="19"/>
      <c r="BAX26" s="19"/>
      <c r="BAY26" s="19"/>
      <c r="BAZ26" s="19"/>
      <c r="BBA26" s="19"/>
      <c r="BBB26" s="19"/>
      <c r="BBC26" s="19"/>
      <c r="BBD26" s="19"/>
      <c r="BBE26" s="19"/>
      <c r="BBF26" s="19"/>
      <c r="BBG26" s="19"/>
      <c r="BBH26" s="19"/>
      <c r="BBI26" s="19"/>
      <c r="BBJ26" s="19"/>
      <c r="BBK26" s="19"/>
      <c r="BBL26" s="19"/>
      <c r="BBM26" s="19"/>
      <c r="BBN26" s="19"/>
      <c r="BBO26" s="19"/>
      <c r="BBP26" s="19"/>
      <c r="BBQ26" s="19"/>
      <c r="BBR26" s="19"/>
      <c r="BBS26" s="19"/>
      <c r="BBT26" s="19"/>
      <c r="BBU26" s="19"/>
      <c r="BBV26" s="19"/>
      <c r="BBW26" s="19"/>
      <c r="BBX26" s="19"/>
      <c r="BBY26" s="19"/>
      <c r="BBZ26" s="19"/>
      <c r="BCA26" s="19"/>
      <c r="BCB26" s="19"/>
      <c r="BCC26" s="19"/>
      <c r="BCD26" s="19"/>
      <c r="BCE26" s="19"/>
      <c r="BCF26" s="19"/>
      <c r="BCG26" s="19"/>
      <c r="BCH26" s="19"/>
      <c r="BCI26" s="19"/>
      <c r="BCJ26" s="19"/>
      <c r="BCK26" s="19"/>
      <c r="BCL26" s="19"/>
      <c r="BCM26" s="19"/>
      <c r="BCN26" s="19"/>
      <c r="BCO26" s="19"/>
      <c r="BCP26" s="19"/>
      <c r="BCQ26" s="19"/>
      <c r="BCR26" s="19"/>
      <c r="BCS26" s="19"/>
      <c r="BCT26" s="19"/>
      <c r="BCU26" s="19"/>
      <c r="BCV26" s="19"/>
      <c r="BCW26" s="19"/>
      <c r="BCX26" s="19"/>
      <c r="BCY26" s="19"/>
      <c r="BCZ26" s="19"/>
      <c r="BDA26" s="19"/>
      <c r="BDB26" s="19"/>
      <c r="BDC26" s="19"/>
      <c r="BDD26" s="19"/>
      <c r="BDE26" s="19"/>
      <c r="BDF26" s="19"/>
      <c r="BDG26" s="19"/>
      <c r="BDH26" s="19"/>
      <c r="BDI26" s="19"/>
      <c r="BDJ26" s="19"/>
      <c r="BDK26" s="19"/>
      <c r="BDL26" s="19"/>
      <c r="BDM26" s="19"/>
      <c r="BDN26" s="19"/>
      <c r="BDO26" s="19"/>
      <c r="BDP26" s="19"/>
      <c r="BDQ26" s="19"/>
      <c r="BDR26" s="19"/>
      <c r="BDS26" s="19"/>
      <c r="BDT26" s="19"/>
      <c r="BDU26" s="19"/>
      <c r="BDV26" s="19"/>
      <c r="BDW26" s="19"/>
      <c r="BDX26" s="19"/>
      <c r="BDY26" s="19"/>
      <c r="BDZ26" s="19"/>
      <c r="BEA26" s="19"/>
      <c r="BEB26" s="19"/>
      <c r="BEC26" s="19"/>
      <c r="BED26" s="19"/>
      <c r="BEE26" s="19"/>
      <c r="BEF26" s="19"/>
      <c r="BEG26" s="19"/>
      <c r="BEH26" s="19"/>
      <c r="BEI26" s="19"/>
      <c r="BEJ26" s="19"/>
      <c r="BEK26" s="19"/>
      <c r="BEL26" s="19"/>
      <c r="BEM26" s="19"/>
      <c r="BEN26" s="19"/>
      <c r="BEO26" s="19"/>
      <c r="BEP26" s="19"/>
      <c r="BEQ26" s="19"/>
      <c r="BER26" s="19"/>
      <c r="BES26" s="19"/>
      <c r="BET26" s="19"/>
      <c r="BEU26" s="19"/>
      <c r="BEV26" s="19"/>
      <c r="BEW26" s="19"/>
      <c r="BEX26" s="19"/>
      <c r="BEY26" s="19"/>
      <c r="BEZ26" s="19"/>
      <c r="BFA26" s="19"/>
      <c r="BFB26" s="19"/>
      <c r="BFC26" s="19"/>
      <c r="BFD26" s="19"/>
      <c r="BFE26" s="19"/>
      <c r="BFF26" s="19"/>
      <c r="BFG26" s="19"/>
      <c r="BFH26" s="19"/>
      <c r="BFI26" s="19"/>
      <c r="BFJ26" s="19"/>
      <c r="BFK26" s="19"/>
      <c r="BFL26" s="19"/>
      <c r="BFM26" s="19"/>
      <c r="BFN26" s="19"/>
      <c r="BFO26" s="19"/>
      <c r="BFP26" s="19"/>
      <c r="BFQ26" s="19"/>
      <c r="BFR26" s="19"/>
      <c r="BFS26" s="19"/>
      <c r="BFT26" s="19"/>
      <c r="BFU26" s="19"/>
      <c r="BFV26" s="19"/>
      <c r="BFW26" s="19"/>
      <c r="BFX26" s="19"/>
      <c r="BFY26" s="19"/>
      <c r="BFZ26" s="19"/>
      <c r="BGA26" s="19"/>
      <c r="BGB26" s="19"/>
      <c r="BGC26" s="19"/>
      <c r="BGD26" s="19"/>
      <c r="BGE26" s="19"/>
      <c r="BGF26" s="19"/>
      <c r="BGG26" s="19"/>
      <c r="BGH26" s="19"/>
      <c r="BGI26" s="19"/>
      <c r="BGJ26" s="19"/>
      <c r="BGK26" s="19"/>
      <c r="BGL26" s="19"/>
      <c r="BGM26" s="19"/>
      <c r="BGN26" s="19"/>
      <c r="BGO26" s="19"/>
      <c r="BGP26" s="19"/>
      <c r="BGQ26" s="19"/>
      <c r="BGR26" s="19"/>
      <c r="BGS26" s="19"/>
      <c r="BGT26" s="19"/>
      <c r="BGU26" s="19"/>
      <c r="BGV26" s="19"/>
      <c r="BGW26" s="19"/>
      <c r="BGX26" s="19"/>
      <c r="BGY26" s="19"/>
      <c r="BGZ26" s="19"/>
      <c r="BHA26" s="19"/>
      <c r="BHB26" s="19"/>
      <c r="BHC26" s="19"/>
      <c r="BHD26" s="19"/>
      <c r="BHE26" s="19"/>
      <c r="BHF26" s="19"/>
      <c r="BHG26" s="19"/>
      <c r="BHH26" s="19"/>
      <c r="BHI26" s="19"/>
      <c r="BHJ26" s="19"/>
      <c r="BHK26" s="19"/>
      <c r="BHL26" s="19"/>
      <c r="BHM26" s="19"/>
      <c r="BHN26" s="19"/>
      <c r="BHO26" s="19"/>
      <c r="BHP26" s="19"/>
      <c r="BHQ26" s="19"/>
      <c r="BHR26" s="19"/>
      <c r="BHS26" s="19"/>
      <c r="BHT26" s="19"/>
      <c r="BHU26" s="19"/>
      <c r="BHV26" s="19"/>
      <c r="BHW26" s="19"/>
      <c r="BHX26" s="19"/>
      <c r="BHY26" s="19"/>
      <c r="BHZ26" s="19"/>
      <c r="BIA26" s="19"/>
      <c r="BIB26" s="19"/>
      <c r="BIC26" s="19"/>
      <c r="BID26" s="19"/>
      <c r="BIE26" s="19"/>
      <c r="BIF26" s="19"/>
      <c r="BIG26" s="19"/>
      <c r="BIH26" s="19"/>
      <c r="BII26" s="19"/>
      <c r="BIJ26" s="19"/>
      <c r="BIK26" s="19"/>
      <c r="BIL26" s="19"/>
      <c r="BIM26" s="19"/>
      <c r="BIN26" s="19"/>
      <c r="BIO26" s="19"/>
      <c r="BIP26" s="19"/>
      <c r="BIQ26" s="19"/>
      <c r="BIR26" s="19"/>
      <c r="BIS26" s="19"/>
      <c r="BIT26" s="19"/>
      <c r="BIU26" s="19"/>
      <c r="BIV26" s="19"/>
      <c r="BIW26" s="19"/>
      <c r="BIX26" s="19"/>
      <c r="BIY26" s="19"/>
      <c r="BIZ26" s="19"/>
      <c r="BJA26" s="19"/>
      <c r="BJB26" s="19"/>
      <c r="BJC26" s="19"/>
      <c r="BJD26" s="19"/>
      <c r="BJE26" s="19"/>
      <c r="BJF26" s="19"/>
      <c r="BJG26" s="19"/>
      <c r="BJH26" s="19"/>
      <c r="BJI26" s="19"/>
      <c r="BJJ26" s="19"/>
      <c r="BJK26" s="19"/>
      <c r="BJL26" s="19"/>
      <c r="BJM26" s="19"/>
      <c r="BJN26" s="19"/>
      <c r="BJO26" s="19"/>
      <c r="BJP26" s="19"/>
      <c r="BJQ26" s="19"/>
      <c r="BJR26" s="19"/>
      <c r="BJS26" s="19"/>
      <c r="BJT26" s="19"/>
      <c r="BJU26" s="19"/>
      <c r="BJV26" s="19"/>
      <c r="BJW26" s="19"/>
      <c r="BJX26" s="19"/>
      <c r="BJY26" s="19"/>
      <c r="BJZ26" s="19"/>
      <c r="BKA26" s="19"/>
      <c r="BKB26" s="19"/>
      <c r="BKC26" s="19"/>
      <c r="BKD26" s="19"/>
      <c r="BKE26" s="19"/>
      <c r="BKF26" s="19"/>
      <c r="BKG26" s="19"/>
      <c r="BKH26" s="19"/>
      <c r="BKI26" s="19"/>
      <c r="BKJ26" s="19"/>
      <c r="BKK26" s="19"/>
      <c r="BKL26" s="19"/>
      <c r="BKM26" s="19"/>
      <c r="BKN26" s="19"/>
      <c r="BKO26" s="19"/>
      <c r="BKP26" s="19"/>
      <c r="BKQ26" s="19"/>
      <c r="BKR26" s="19"/>
      <c r="BKS26" s="19"/>
      <c r="BKT26" s="19"/>
      <c r="BKU26" s="19"/>
      <c r="BKV26" s="19"/>
      <c r="BKW26" s="19"/>
      <c r="BKX26" s="19"/>
      <c r="BKY26" s="19"/>
      <c r="BKZ26" s="19"/>
      <c r="BLA26" s="19"/>
      <c r="BLB26" s="19"/>
      <c r="BLC26" s="19"/>
      <c r="BLD26" s="19"/>
      <c r="BLE26" s="19"/>
      <c r="BLF26" s="19"/>
      <c r="BLG26" s="19"/>
      <c r="BLH26" s="19"/>
      <c r="BLI26" s="19"/>
      <c r="BLJ26" s="19"/>
      <c r="BLK26" s="19"/>
      <c r="BLL26" s="19"/>
      <c r="BLM26" s="19"/>
      <c r="BLN26" s="19"/>
      <c r="BLO26" s="19"/>
      <c r="BLP26" s="19"/>
      <c r="BLQ26" s="19"/>
      <c r="BLR26" s="19"/>
      <c r="BLS26" s="19"/>
      <c r="BLT26" s="19"/>
      <c r="BLU26" s="19"/>
      <c r="BLV26" s="19"/>
      <c r="BLW26" s="19"/>
      <c r="BLX26" s="19"/>
      <c r="BLY26" s="19"/>
      <c r="BLZ26" s="19"/>
      <c r="BMA26" s="19"/>
      <c r="BMB26" s="19"/>
      <c r="BMC26" s="19"/>
      <c r="BMD26" s="19"/>
      <c r="BME26" s="19"/>
      <c r="BMF26" s="19"/>
      <c r="BMG26" s="19"/>
      <c r="BMH26" s="19"/>
      <c r="BMI26" s="19"/>
      <c r="BMJ26" s="19"/>
      <c r="BMK26" s="19"/>
      <c r="BML26" s="19"/>
      <c r="BMM26" s="19"/>
      <c r="BMN26" s="19"/>
      <c r="BMO26" s="19"/>
      <c r="BMP26" s="19"/>
      <c r="BMQ26" s="19"/>
      <c r="BMR26" s="19"/>
      <c r="BMS26" s="19"/>
      <c r="BMT26" s="19"/>
      <c r="BMU26" s="19"/>
      <c r="BMV26" s="19"/>
      <c r="BMW26" s="19"/>
      <c r="BMX26" s="19"/>
      <c r="BMY26" s="19"/>
      <c r="BMZ26" s="19"/>
      <c r="BNA26" s="19"/>
      <c r="BNB26" s="19"/>
      <c r="BNC26" s="19"/>
      <c r="BND26" s="19"/>
      <c r="BNE26" s="19"/>
      <c r="BNF26" s="19"/>
      <c r="BNG26" s="19"/>
      <c r="BNH26" s="19"/>
      <c r="BNI26" s="19"/>
      <c r="BNJ26" s="19"/>
      <c r="BNK26" s="19"/>
      <c r="BNL26" s="19"/>
      <c r="BNM26" s="19"/>
      <c r="BNN26" s="19"/>
      <c r="BNO26" s="19"/>
      <c r="BNP26" s="19"/>
      <c r="BNQ26" s="19"/>
      <c r="BNR26" s="19"/>
      <c r="BNS26" s="19"/>
      <c r="BNT26" s="19"/>
      <c r="BNU26" s="19"/>
      <c r="BNV26" s="19"/>
      <c r="BNW26" s="19"/>
      <c r="BNX26" s="19"/>
      <c r="BNY26" s="19"/>
      <c r="BNZ26" s="19"/>
      <c r="BOA26" s="19"/>
      <c r="BOB26" s="19"/>
      <c r="BOC26" s="19"/>
      <c r="BOD26" s="19"/>
      <c r="BOE26" s="19"/>
      <c r="BOF26" s="19"/>
      <c r="BOG26" s="19"/>
      <c r="BOH26" s="19"/>
      <c r="BOI26" s="19"/>
      <c r="BOJ26" s="19"/>
      <c r="BOK26" s="19"/>
      <c r="BOL26" s="19"/>
      <c r="BOM26" s="19"/>
      <c r="BON26" s="19"/>
      <c r="BOO26" s="19"/>
      <c r="BOP26" s="19"/>
      <c r="BOQ26" s="19"/>
      <c r="BOR26" s="19"/>
      <c r="BOS26" s="19"/>
      <c r="BOT26" s="19"/>
      <c r="BOU26" s="19"/>
      <c r="BOV26" s="19"/>
      <c r="BOW26" s="19"/>
      <c r="BOX26" s="19"/>
      <c r="BOY26" s="19"/>
      <c r="BOZ26" s="19"/>
      <c r="BPA26" s="19"/>
      <c r="BPB26" s="19"/>
      <c r="BPC26" s="19"/>
      <c r="BPD26" s="19"/>
      <c r="BPE26" s="19"/>
      <c r="BPF26" s="19"/>
      <c r="BPG26" s="19"/>
      <c r="BPH26" s="19"/>
      <c r="BPI26" s="19"/>
      <c r="BPJ26" s="19"/>
      <c r="BPK26" s="19"/>
      <c r="BPL26" s="19"/>
      <c r="BPM26" s="19"/>
      <c r="BPN26" s="19"/>
      <c r="BPO26" s="19"/>
      <c r="BPP26" s="19"/>
      <c r="BPQ26" s="19"/>
      <c r="BPR26" s="19"/>
      <c r="BPS26" s="19"/>
      <c r="BPT26" s="19"/>
      <c r="BPU26" s="19"/>
      <c r="BPV26" s="19"/>
      <c r="BPW26" s="19"/>
      <c r="BPX26" s="19"/>
      <c r="BPY26" s="19"/>
      <c r="BPZ26" s="19"/>
      <c r="BQA26" s="19"/>
      <c r="BQB26" s="19"/>
      <c r="BQC26" s="19"/>
      <c r="BQD26" s="19"/>
      <c r="BQE26" s="19"/>
      <c r="BQF26" s="19"/>
      <c r="BQG26" s="19"/>
      <c r="BQH26" s="19"/>
      <c r="BQI26" s="19"/>
      <c r="BQJ26" s="19"/>
      <c r="BQK26" s="19"/>
      <c r="BQL26" s="19"/>
      <c r="BQM26" s="19"/>
      <c r="BQN26" s="19"/>
      <c r="BQO26" s="19"/>
      <c r="BQP26" s="19"/>
      <c r="BQQ26" s="19"/>
      <c r="BQR26" s="19"/>
      <c r="BQS26" s="19"/>
      <c r="BQT26" s="19"/>
      <c r="BQU26" s="19"/>
      <c r="BQV26" s="19"/>
      <c r="BQW26" s="19"/>
      <c r="BQX26" s="19"/>
      <c r="BQY26" s="19"/>
      <c r="BQZ26" s="19"/>
      <c r="BRA26" s="19"/>
      <c r="BRB26" s="19"/>
      <c r="BRC26" s="19"/>
      <c r="BRD26" s="19"/>
      <c r="BRE26" s="19"/>
      <c r="BRF26" s="19"/>
      <c r="BRG26" s="19"/>
      <c r="BRH26" s="19"/>
      <c r="BRI26" s="19"/>
      <c r="BRJ26" s="19"/>
      <c r="BRK26" s="19"/>
      <c r="BRL26" s="19"/>
      <c r="BRM26" s="19"/>
      <c r="BRN26" s="19"/>
      <c r="BRO26" s="19"/>
      <c r="BRP26" s="19"/>
      <c r="BRQ26" s="19"/>
      <c r="BRR26" s="19"/>
      <c r="BRS26" s="19"/>
      <c r="BRT26" s="19"/>
      <c r="BRU26" s="19"/>
      <c r="BRV26" s="19"/>
      <c r="BRW26" s="19"/>
      <c r="BRX26" s="19"/>
      <c r="BRY26" s="19"/>
      <c r="BRZ26" s="19"/>
      <c r="BSA26" s="19"/>
      <c r="BSB26" s="19"/>
      <c r="BSC26" s="19"/>
      <c r="BSD26" s="19"/>
      <c r="BSE26" s="19"/>
      <c r="BSF26" s="19"/>
      <c r="BSG26" s="19"/>
      <c r="BSH26" s="19"/>
      <c r="BSI26" s="19"/>
      <c r="BSJ26" s="19"/>
      <c r="BSK26" s="19"/>
      <c r="BSL26" s="19"/>
      <c r="BSM26" s="19"/>
      <c r="BSN26" s="19"/>
      <c r="BSO26" s="19"/>
      <c r="BSP26" s="19"/>
      <c r="BSQ26" s="19"/>
      <c r="BSR26" s="19"/>
      <c r="BSS26" s="19"/>
      <c r="BST26" s="19"/>
      <c r="BSU26" s="19"/>
      <c r="BSV26" s="19"/>
      <c r="BSW26" s="19"/>
      <c r="BSX26" s="19"/>
      <c r="BSY26" s="19"/>
      <c r="BSZ26" s="19"/>
      <c r="BTA26" s="19"/>
      <c r="BTB26" s="19"/>
      <c r="BTC26" s="19"/>
      <c r="BTD26" s="19"/>
      <c r="BTE26" s="19"/>
      <c r="BTF26" s="19"/>
      <c r="BTG26" s="19"/>
      <c r="BTH26" s="19"/>
      <c r="BTI26" s="19"/>
      <c r="BTJ26" s="19"/>
      <c r="BTK26" s="19"/>
      <c r="BTL26" s="19"/>
      <c r="BTM26" s="19"/>
      <c r="BTN26" s="19"/>
      <c r="BTO26" s="19"/>
      <c r="BTP26" s="19"/>
      <c r="BTQ26" s="19"/>
      <c r="BTR26" s="19"/>
      <c r="BTS26" s="19"/>
      <c r="BTT26" s="19"/>
      <c r="BTU26" s="19"/>
      <c r="BTV26" s="19"/>
      <c r="BTW26" s="19"/>
      <c r="BTX26" s="19"/>
      <c r="BTY26" s="19"/>
      <c r="BTZ26" s="19"/>
      <c r="BUA26" s="19"/>
      <c r="BUB26" s="19"/>
      <c r="BUC26" s="19"/>
      <c r="BUD26" s="19"/>
      <c r="BUE26" s="19"/>
      <c r="BUF26" s="19"/>
      <c r="BUG26" s="19"/>
      <c r="BUH26" s="19"/>
      <c r="BUI26" s="19"/>
      <c r="BUJ26" s="19"/>
      <c r="BUK26" s="19"/>
      <c r="BUL26" s="19"/>
      <c r="BUM26" s="19"/>
      <c r="BUN26" s="19"/>
      <c r="BUO26" s="19"/>
      <c r="BUP26" s="19"/>
      <c r="BUQ26" s="19"/>
      <c r="BUR26" s="19"/>
      <c r="BUS26" s="19"/>
      <c r="BUT26" s="19"/>
      <c r="BUU26" s="19"/>
      <c r="BUV26" s="19"/>
      <c r="BUW26" s="19"/>
      <c r="BUX26" s="19"/>
      <c r="BUY26" s="19"/>
      <c r="BUZ26" s="19"/>
      <c r="BVA26" s="19"/>
      <c r="BVB26" s="19"/>
      <c r="BVC26" s="19"/>
      <c r="BVD26" s="19"/>
      <c r="BVE26" s="19"/>
      <c r="BVF26" s="19"/>
      <c r="BVG26" s="19"/>
      <c r="BVH26" s="19"/>
      <c r="BVI26" s="19"/>
      <c r="BVJ26" s="19"/>
      <c r="BVK26" s="19"/>
      <c r="BVL26" s="19"/>
      <c r="BVM26" s="19"/>
      <c r="BVN26" s="19"/>
      <c r="BVO26" s="19"/>
      <c r="BVP26" s="19"/>
      <c r="BVQ26" s="19"/>
      <c r="BVR26" s="19"/>
      <c r="BVS26" s="19"/>
      <c r="BVT26" s="19"/>
      <c r="BVU26" s="19"/>
      <c r="BVV26" s="19"/>
      <c r="BVW26" s="19"/>
      <c r="BVX26" s="19"/>
      <c r="BVY26" s="19"/>
      <c r="BVZ26" s="19"/>
      <c r="BWA26" s="19"/>
      <c r="BWB26" s="19"/>
      <c r="BWC26" s="19"/>
      <c r="BWD26" s="19"/>
      <c r="BWE26" s="19"/>
      <c r="BWF26" s="19"/>
      <c r="BWG26" s="19"/>
      <c r="BWH26" s="19"/>
      <c r="BWI26" s="19"/>
      <c r="BWJ26" s="19"/>
      <c r="BWK26" s="19"/>
      <c r="BWL26" s="19"/>
      <c r="BWM26" s="19"/>
      <c r="BWN26" s="19"/>
      <c r="BWO26" s="19"/>
      <c r="BWP26" s="19"/>
      <c r="BWQ26" s="19"/>
      <c r="BWR26" s="19"/>
      <c r="BWS26" s="19"/>
      <c r="BWT26" s="19"/>
      <c r="BWU26" s="19"/>
      <c r="BWV26" s="19"/>
      <c r="BWW26" s="19"/>
      <c r="BWX26" s="19"/>
      <c r="BWY26" s="19"/>
      <c r="BWZ26" s="19"/>
      <c r="BXA26" s="19"/>
      <c r="BXB26" s="19"/>
      <c r="BXC26" s="19"/>
      <c r="BXD26" s="19"/>
      <c r="BXE26" s="19"/>
      <c r="BXF26" s="19"/>
      <c r="BXG26" s="19"/>
      <c r="BXH26" s="19"/>
      <c r="BXI26" s="19"/>
      <c r="BXJ26" s="19"/>
      <c r="BXK26" s="19"/>
      <c r="BXL26" s="19"/>
      <c r="BXM26" s="19"/>
      <c r="BXN26" s="19"/>
      <c r="BXO26" s="19"/>
      <c r="BXP26" s="19"/>
      <c r="BXQ26" s="19"/>
      <c r="BXR26" s="19"/>
      <c r="BXS26" s="19"/>
      <c r="BXT26" s="19"/>
      <c r="BXU26" s="19"/>
      <c r="BXV26" s="19"/>
      <c r="BXW26" s="19"/>
      <c r="BXX26" s="19"/>
      <c r="BXY26" s="19"/>
      <c r="BXZ26" s="19"/>
      <c r="BYA26" s="19"/>
      <c r="BYB26" s="19"/>
      <c r="BYC26" s="19"/>
      <c r="BYD26" s="19"/>
      <c r="BYE26" s="19"/>
      <c r="BYF26" s="19"/>
      <c r="BYG26" s="19"/>
      <c r="BYH26" s="19"/>
      <c r="BYI26" s="19"/>
      <c r="BYJ26" s="19"/>
      <c r="BYK26" s="19"/>
      <c r="BYL26" s="19"/>
      <c r="BYM26" s="19"/>
      <c r="BYN26" s="19"/>
      <c r="BYO26" s="19"/>
      <c r="BYP26" s="19"/>
      <c r="BYQ26" s="19"/>
      <c r="BYR26" s="19"/>
      <c r="BYS26" s="19"/>
      <c r="BYT26" s="19"/>
      <c r="BYU26" s="19"/>
      <c r="BYV26" s="19"/>
      <c r="BYW26" s="19"/>
      <c r="BYX26" s="19"/>
      <c r="BYY26" s="19"/>
      <c r="BYZ26" s="19"/>
      <c r="BZA26" s="19"/>
      <c r="BZB26" s="19"/>
      <c r="BZC26" s="19"/>
      <c r="BZD26" s="19"/>
      <c r="BZE26" s="19"/>
      <c r="BZF26" s="19"/>
      <c r="BZG26" s="19"/>
      <c r="BZH26" s="19"/>
      <c r="BZI26" s="19"/>
      <c r="BZJ26" s="19"/>
      <c r="BZK26" s="19"/>
      <c r="BZL26" s="19"/>
      <c r="BZM26" s="19"/>
      <c r="BZN26" s="19"/>
      <c r="BZO26" s="19"/>
      <c r="BZP26" s="19"/>
      <c r="BZQ26" s="19"/>
      <c r="BZR26" s="19"/>
      <c r="BZS26" s="19"/>
      <c r="BZT26" s="19"/>
      <c r="BZU26" s="19"/>
      <c r="BZV26" s="19"/>
      <c r="BZW26" s="19"/>
      <c r="BZX26" s="19"/>
      <c r="BZY26" s="19"/>
      <c r="BZZ26" s="19"/>
      <c r="CAA26" s="19"/>
      <c r="CAB26" s="19"/>
      <c r="CAC26" s="19"/>
      <c r="CAD26" s="19"/>
      <c r="CAE26" s="19"/>
      <c r="CAF26" s="19"/>
      <c r="CAG26" s="19"/>
      <c r="CAH26" s="19"/>
      <c r="CAI26" s="19"/>
      <c r="CAJ26" s="19"/>
      <c r="CAK26" s="19"/>
      <c r="CAL26" s="19"/>
      <c r="CAM26" s="19"/>
      <c r="CAN26" s="19"/>
      <c r="CAO26" s="19"/>
      <c r="CAP26" s="19"/>
      <c r="CAQ26" s="19"/>
      <c r="CAR26" s="19"/>
      <c r="CAS26" s="19"/>
      <c r="CAT26" s="19"/>
      <c r="CAU26" s="19"/>
      <c r="CAV26" s="19"/>
      <c r="CAW26" s="19"/>
      <c r="CAX26" s="19"/>
      <c r="CAY26" s="19"/>
      <c r="CAZ26" s="19"/>
      <c r="CBA26" s="19"/>
      <c r="CBB26" s="19"/>
      <c r="CBC26" s="19"/>
      <c r="CBD26" s="19"/>
      <c r="CBE26" s="19"/>
      <c r="CBF26" s="19"/>
      <c r="CBG26" s="19"/>
      <c r="CBH26" s="19"/>
      <c r="CBI26" s="19"/>
      <c r="CBJ26" s="19"/>
      <c r="CBK26" s="19"/>
      <c r="CBL26" s="19"/>
      <c r="CBM26" s="19"/>
      <c r="CBN26" s="19"/>
      <c r="CBO26" s="19"/>
      <c r="CBP26" s="19"/>
      <c r="CBQ26" s="19"/>
      <c r="CBR26" s="19"/>
      <c r="CBS26" s="19"/>
      <c r="CBT26" s="19"/>
      <c r="CBU26" s="19"/>
      <c r="CBV26" s="19"/>
      <c r="CBW26" s="19"/>
      <c r="CBX26" s="19"/>
      <c r="CBY26" s="19"/>
      <c r="CBZ26" s="19"/>
      <c r="CCA26" s="19"/>
      <c r="CCB26" s="19"/>
      <c r="CCC26" s="19"/>
      <c r="CCD26" s="19"/>
      <c r="CCE26" s="19"/>
      <c r="CCF26" s="19"/>
      <c r="CCG26" s="19"/>
      <c r="CCH26" s="19"/>
      <c r="CCI26" s="19"/>
      <c r="CCJ26" s="19"/>
      <c r="CCK26" s="19"/>
      <c r="CCL26" s="19"/>
      <c r="CCM26" s="19"/>
      <c r="CCN26" s="19"/>
      <c r="CCO26" s="19"/>
      <c r="CCP26" s="19"/>
      <c r="CCQ26" s="19"/>
      <c r="CCR26" s="19"/>
      <c r="CCS26" s="19"/>
      <c r="CCT26" s="19"/>
      <c r="CCU26" s="19"/>
      <c r="CCV26" s="19"/>
      <c r="CCW26" s="19"/>
      <c r="CCX26" s="19"/>
      <c r="CCY26" s="19"/>
      <c r="CCZ26" s="19"/>
      <c r="CDA26" s="19"/>
      <c r="CDB26" s="19"/>
      <c r="CDC26" s="19"/>
      <c r="CDD26" s="19"/>
      <c r="CDE26" s="19"/>
      <c r="CDF26" s="19"/>
      <c r="CDG26" s="19"/>
      <c r="CDH26" s="19"/>
      <c r="CDI26" s="19"/>
      <c r="CDJ26" s="19"/>
      <c r="CDK26" s="19"/>
      <c r="CDL26" s="19"/>
      <c r="CDM26" s="19"/>
      <c r="CDN26" s="19"/>
      <c r="CDO26" s="19"/>
      <c r="CDP26" s="19"/>
      <c r="CDQ26" s="19"/>
      <c r="CDR26" s="19"/>
      <c r="CDS26" s="19"/>
      <c r="CDT26" s="19"/>
      <c r="CDU26" s="19"/>
      <c r="CDV26" s="19"/>
      <c r="CDW26" s="19"/>
      <c r="CDX26" s="19"/>
      <c r="CDY26" s="19"/>
      <c r="CDZ26" s="19"/>
      <c r="CEA26" s="19"/>
      <c r="CEB26" s="19"/>
      <c r="CEC26" s="19"/>
      <c r="CED26" s="19"/>
      <c r="CEE26" s="19"/>
      <c r="CEF26" s="19"/>
      <c r="CEG26" s="19"/>
      <c r="CEH26" s="19"/>
      <c r="CEI26" s="19"/>
      <c r="CEJ26" s="19"/>
      <c r="CEK26" s="19"/>
      <c r="CEL26" s="19"/>
      <c r="CEM26" s="19"/>
      <c r="CEN26" s="19"/>
      <c r="CEO26" s="19"/>
      <c r="CEP26" s="19"/>
      <c r="CEQ26" s="19"/>
      <c r="CER26" s="19"/>
      <c r="CES26" s="19"/>
      <c r="CET26" s="19"/>
      <c r="CEU26" s="19"/>
      <c r="CEV26" s="19"/>
      <c r="CEW26" s="19"/>
      <c r="CEX26" s="19"/>
      <c r="CEY26" s="19"/>
      <c r="CEZ26" s="19"/>
      <c r="CFA26" s="19"/>
      <c r="CFB26" s="19"/>
      <c r="CFC26" s="19"/>
      <c r="CFD26" s="19"/>
      <c r="CFE26" s="19"/>
      <c r="CFF26" s="19"/>
      <c r="CFG26" s="19"/>
      <c r="CFH26" s="19"/>
      <c r="CFI26" s="19"/>
      <c r="CFJ26" s="19"/>
      <c r="CFK26" s="19"/>
      <c r="CFL26" s="19"/>
      <c r="CFM26" s="19"/>
      <c r="CFN26" s="19"/>
      <c r="CFO26" s="19"/>
      <c r="CFP26" s="19"/>
      <c r="CFQ26" s="19"/>
      <c r="CFR26" s="19"/>
      <c r="CFS26" s="19"/>
      <c r="CFT26" s="19"/>
      <c r="CFU26" s="19"/>
      <c r="CFV26" s="19"/>
      <c r="CFW26" s="19"/>
      <c r="CFX26" s="19"/>
      <c r="CFY26" s="19"/>
      <c r="CFZ26" s="19"/>
      <c r="CGA26" s="19"/>
      <c r="CGB26" s="19"/>
      <c r="CGC26" s="19"/>
      <c r="CGD26" s="19"/>
      <c r="CGE26" s="19"/>
      <c r="CGF26" s="19"/>
      <c r="CGG26" s="19"/>
      <c r="CGH26" s="19"/>
      <c r="CGI26" s="19"/>
      <c r="CGJ26" s="19"/>
      <c r="CGK26" s="19"/>
      <c r="CGL26" s="19"/>
      <c r="CGM26" s="19"/>
      <c r="CGN26" s="19"/>
      <c r="CGO26" s="19"/>
      <c r="CGP26" s="19"/>
      <c r="CGQ26" s="19"/>
      <c r="CGR26" s="19"/>
      <c r="CGS26" s="19"/>
      <c r="CGT26" s="19"/>
      <c r="CGU26" s="19"/>
      <c r="CGV26" s="19"/>
      <c r="CGW26" s="19"/>
      <c r="CGX26" s="19"/>
      <c r="CGY26" s="19"/>
      <c r="CGZ26" s="19"/>
      <c r="CHA26" s="19"/>
      <c r="CHB26" s="19"/>
      <c r="CHC26" s="19"/>
      <c r="CHD26" s="19"/>
      <c r="CHE26" s="19"/>
      <c r="CHF26" s="19"/>
      <c r="CHG26" s="19"/>
      <c r="CHH26" s="19"/>
      <c r="CHI26" s="19"/>
      <c r="CHJ26" s="19"/>
      <c r="CHK26" s="19"/>
      <c r="CHL26" s="19"/>
      <c r="CHM26" s="19"/>
      <c r="CHN26" s="19"/>
      <c r="CHO26" s="19"/>
      <c r="CHP26" s="19"/>
      <c r="CHQ26" s="19"/>
      <c r="CHR26" s="19"/>
      <c r="CHS26" s="19"/>
      <c r="CHT26" s="19"/>
      <c r="CHU26" s="19"/>
      <c r="CHV26" s="19"/>
      <c r="CHW26" s="19"/>
      <c r="CHX26" s="19"/>
      <c r="CHY26" s="19"/>
      <c r="CHZ26" s="19"/>
      <c r="CIA26" s="19"/>
      <c r="CIB26" s="19"/>
      <c r="CIC26" s="19"/>
      <c r="CID26" s="19"/>
      <c r="CIE26" s="19"/>
      <c r="CIF26" s="19"/>
      <c r="CIG26" s="19"/>
      <c r="CIH26" s="19"/>
      <c r="CII26" s="19"/>
      <c r="CIJ26" s="19"/>
      <c r="CIK26" s="19"/>
      <c r="CIL26" s="19"/>
      <c r="CIM26" s="19"/>
      <c r="CIN26" s="19"/>
      <c r="CIO26" s="19"/>
      <c r="CIP26" s="19"/>
      <c r="CIQ26" s="19"/>
      <c r="CIR26" s="19"/>
      <c r="CIS26" s="19"/>
      <c r="CIT26" s="19"/>
      <c r="CIU26" s="19"/>
      <c r="CIV26" s="19"/>
      <c r="CIW26" s="19"/>
      <c r="CIX26" s="19"/>
      <c r="CIY26" s="19"/>
      <c r="CIZ26" s="19"/>
      <c r="CJA26" s="19"/>
      <c r="CJB26" s="19"/>
      <c r="CJC26" s="19"/>
      <c r="CJD26" s="19"/>
      <c r="CJE26" s="19"/>
      <c r="CJF26" s="19"/>
      <c r="CJG26" s="19"/>
      <c r="CJH26" s="19"/>
      <c r="CJI26" s="19"/>
      <c r="CJJ26" s="19"/>
      <c r="CJK26" s="19"/>
      <c r="CJL26" s="19"/>
      <c r="CJM26" s="19"/>
      <c r="CJN26" s="19"/>
      <c r="CJO26" s="19"/>
      <c r="CJP26" s="19"/>
      <c r="CJQ26" s="19"/>
      <c r="CJR26" s="19"/>
      <c r="CJS26" s="19"/>
      <c r="CJT26" s="19"/>
      <c r="CJU26" s="19"/>
      <c r="CJV26" s="19"/>
      <c r="CJW26" s="19"/>
      <c r="CJX26" s="19"/>
      <c r="CJY26" s="19"/>
      <c r="CJZ26" s="19"/>
      <c r="CKA26" s="19"/>
      <c r="CKB26" s="19"/>
      <c r="CKC26" s="19"/>
      <c r="CKD26" s="19"/>
      <c r="CKE26" s="19"/>
      <c r="CKF26" s="19"/>
      <c r="CKG26" s="19"/>
      <c r="CKH26" s="19"/>
      <c r="CKI26" s="19"/>
      <c r="CKJ26" s="19"/>
      <c r="CKK26" s="19"/>
      <c r="CKL26" s="19"/>
      <c r="CKM26" s="19"/>
      <c r="CKN26" s="19"/>
      <c r="CKO26" s="19"/>
      <c r="CKP26" s="19"/>
      <c r="CKQ26" s="19"/>
      <c r="CKR26" s="19"/>
      <c r="CKS26" s="19"/>
      <c r="CKT26" s="19"/>
      <c r="CKU26" s="19"/>
      <c r="CKV26" s="19"/>
      <c r="CKW26" s="19"/>
      <c r="CKX26" s="19"/>
      <c r="CKY26" s="19"/>
      <c r="CKZ26" s="19"/>
      <c r="CLA26" s="19"/>
      <c r="CLB26" s="19"/>
      <c r="CLC26" s="19"/>
      <c r="CLD26" s="19"/>
      <c r="CLE26" s="19"/>
      <c r="CLF26" s="19"/>
      <c r="CLG26" s="19"/>
      <c r="CLH26" s="19"/>
      <c r="CLI26" s="19"/>
      <c r="CLJ26" s="19"/>
      <c r="CLK26" s="19"/>
      <c r="CLL26" s="19"/>
      <c r="CLM26" s="19"/>
      <c r="CLN26" s="19"/>
      <c r="CLO26" s="19"/>
      <c r="CLP26" s="19"/>
      <c r="CLQ26" s="19"/>
      <c r="CLR26" s="19"/>
      <c r="CLS26" s="19"/>
      <c r="CLT26" s="19"/>
      <c r="CLU26" s="19"/>
      <c r="CLV26" s="19"/>
      <c r="CLW26" s="19"/>
      <c r="CLX26" s="19"/>
      <c r="CLY26" s="19"/>
      <c r="CLZ26" s="19"/>
      <c r="CMA26" s="19"/>
      <c r="CMB26" s="19"/>
      <c r="CMC26" s="19"/>
      <c r="CMD26" s="19"/>
      <c r="CME26" s="19"/>
      <c r="CMF26" s="19"/>
      <c r="CMG26" s="19"/>
      <c r="CMH26" s="19"/>
      <c r="CMI26" s="19"/>
      <c r="CMJ26" s="19"/>
      <c r="CMK26" s="19"/>
      <c r="CML26" s="19"/>
      <c r="CMM26" s="19"/>
      <c r="CMN26" s="19"/>
      <c r="CMO26" s="19"/>
      <c r="CMP26" s="19"/>
      <c r="CMQ26" s="19"/>
      <c r="CMR26" s="19"/>
      <c r="CMS26" s="19"/>
      <c r="CMT26" s="19"/>
      <c r="CMU26" s="19"/>
      <c r="CMV26" s="19"/>
      <c r="CMW26" s="19"/>
      <c r="CMX26" s="19"/>
      <c r="CMY26" s="19"/>
      <c r="CMZ26" s="19"/>
      <c r="CNA26" s="19"/>
      <c r="CNB26" s="19"/>
      <c r="CNC26" s="19"/>
      <c r="CND26" s="19"/>
      <c r="CNE26" s="19"/>
      <c r="CNF26" s="19"/>
      <c r="CNG26" s="19"/>
      <c r="CNH26" s="19"/>
      <c r="CNI26" s="19"/>
      <c r="CNJ26" s="19"/>
      <c r="CNK26" s="19"/>
      <c r="CNL26" s="19"/>
      <c r="CNM26" s="19"/>
      <c r="CNN26" s="19"/>
      <c r="CNO26" s="19"/>
      <c r="CNP26" s="19"/>
      <c r="CNQ26" s="19"/>
      <c r="CNR26" s="19"/>
      <c r="CNS26" s="19"/>
      <c r="CNT26" s="19"/>
      <c r="CNU26" s="19"/>
      <c r="CNV26" s="19"/>
      <c r="CNW26" s="19"/>
      <c r="CNX26" s="19"/>
      <c r="CNY26" s="19"/>
      <c r="CNZ26" s="19"/>
      <c r="COA26" s="19"/>
      <c r="COB26" s="19"/>
      <c r="COC26" s="19"/>
      <c r="COD26" s="19"/>
      <c r="COE26" s="19"/>
      <c r="COF26" s="19"/>
      <c r="COG26" s="19"/>
      <c r="COH26" s="19"/>
      <c r="COI26" s="19"/>
      <c r="COJ26" s="19"/>
      <c r="COK26" s="19"/>
      <c r="COL26" s="19"/>
      <c r="COM26" s="19"/>
      <c r="CON26" s="19"/>
      <c r="COO26" s="19"/>
      <c r="COP26" s="19"/>
      <c r="COQ26" s="19"/>
      <c r="COR26" s="19"/>
      <c r="COS26" s="19"/>
      <c r="COT26" s="19"/>
      <c r="COU26" s="19"/>
      <c r="COV26" s="19"/>
      <c r="COW26" s="19"/>
      <c r="COX26" s="19"/>
      <c r="COY26" s="19"/>
      <c r="COZ26" s="19"/>
      <c r="CPA26" s="19"/>
      <c r="CPB26" s="19"/>
      <c r="CPC26" s="19"/>
      <c r="CPD26" s="19"/>
      <c r="CPE26" s="19"/>
      <c r="CPF26" s="19"/>
      <c r="CPG26" s="19"/>
      <c r="CPH26" s="19"/>
      <c r="CPI26" s="19"/>
      <c r="CPJ26" s="19"/>
      <c r="CPK26" s="19"/>
      <c r="CPL26" s="19"/>
      <c r="CPM26" s="19"/>
      <c r="CPN26" s="19"/>
      <c r="CPO26" s="19"/>
      <c r="CPP26" s="19"/>
      <c r="CPQ26" s="19"/>
      <c r="CPR26" s="19"/>
      <c r="CPS26" s="19"/>
      <c r="CPT26" s="19"/>
      <c r="CPU26" s="19"/>
      <c r="CPV26" s="19"/>
      <c r="CPW26" s="19"/>
      <c r="CPX26" s="19"/>
      <c r="CPY26" s="19"/>
      <c r="CPZ26" s="19"/>
      <c r="CQA26" s="19"/>
      <c r="CQB26" s="19"/>
      <c r="CQC26" s="19"/>
      <c r="CQD26" s="19"/>
      <c r="CQE26" s="19"/>
      <c r="CQF26" s="19"/>
      <c r="CQG26" s="19"/>
      <c r="CQH26" s="19"/>
      <c r="CQI26" s="19"/>
      <c r="CQJ26" s="19"/>
      <c r="CQK26" s="19"/>
      <c r="CQL26" s="19"/>
      <c r="CQM26" s="19"/>
      <c r="CQN26" s="19"/>
      <c r="CQO26" s="19"/>
      <c r="CQP26" s="19"/>
      <c r="CQQ26" s="19"/>
      <c r="CQR26" s="19"/>
      <c r="CQS26" s="19"/>
      <c r="CQT26" s="19"/>
      <c r="CQU26" s="19"/>
      <c r="CQV26" s="19"/>
      <c r="CQW26" s="19"/>
      <c r="CQX26" s="19"/>
      <c r="CQY26" s="19"/>
      <c r="CQZ26" s="19"/>
      <c r="CRA26" s="19"/>
      <c r="CRB26" s="19"/>
      <c r="CRC26" s="19"/>
      <c r="CRD26" s="19"/>
      <c r="CRE26" s="19"/>
      <c r="CRF26" s="19"/>
      <c r="CRG26" s="19"/>
      <c r="CRH26" s="19"/>
      <c r="CRI26" s="19"/>
      <c r="CRJ26" s="19"/>
      <c r="CRK26" s="19"/>
      <c r="CRL26" s="19"/>
      <c r="CRM26" s="19"/>
      <c r="CRN26" s="19"/>
      <c r="CRO26" s="19"/>
      <c r="CRP26" s="19"/>
      <c r="CRQ26" s="19"/>
      <c r="CRR26" s="19"/>
      <c r="CRS26" s="19"/>
      <c r="CRT26" s="19"/>
      <c r="CRU26" s="19"/>
      <c r="CRV26" s="19"/>
      <c r="CRW26" s="19"/>
      <c r="CRX26" s="19"/>
      <c r="CRY26" s="19"/>
      <c r="CRZ26" s="19"/>
      <c r="CSA26" s="19"/>
      <c r="CSB26" s="19"/>
      <c r="CSC26" s="19"/>
      <c r="CSD26" s="19"/>
      <c r="CSE26" s="19"/>
      <c r="CSF26" s="19"/>
      <c r="CSG26" s="19"/>
      <c r="CSH26" s="19"/>
      <c r="CSI26" s="19"/>
      <c r="CSJ26" s="19"/>
      <c r="CSK26" s="19"/>
      <c r="CSL26" s="19"/>
      <c r="CSM26" s="19"/>
      <c r="CSN26" s="19"/>
      <c r="CSO26" s="19"/>
      <c r="CSP26" s="19"/>
      <c r="CSQ26" s="19"/>
      <c r="CSR26" s="19"/>
      <c r="CSS26" s="19"/>
      <c r="CST26" s="19"/>
      <c r="CSU26" s="19"/>
      <c r="CSV26" s="19"/>
      <c r="CSW26" s="19"/>
      <c r="CSX26" s="19"/>
      <c r="CSY26" s="19"/>
      <c r="CSZ26" s="19"/>
      <c r="CTA26" s="19"/>
      <c r="CTB26" s="19"/>
      <c r="CTC26" s="19"/>
      <c r="CTD26" s="19"/>
      <c r="CTE26" s="19"/>
      <c r="CTF26" s="19"/>
      <c r="CTG26" s="19"/>
      <c r="CTH26" s="19"/>
      <c r="CTI26" s="19"/>
      <c r="CTJ26" s="19"/>
      <c r="CTK26" s="19"/>
      <c r="CTL26" s="19"/>
      <c r="CTM26" s="19"/>
      <c r="CTN26" s="19"/>
      <c r="CTO26" s="19"/>
      <c r="CTP26" s="19"/>
      <c r="CTQ26" s="19"/>
      <c r="CTR26" s="19"/>
      <c r="CTS26" s="19"/>
      <c r="CTT26" s="19"/>
      <c r="CTU26" s="19"/>
      <c r="CTV26" s="19"/>
      <c r="CTW26" s="19"/>
      <c r="CTX26" s="19"/>
      <c r="CTY26" s="19"/>
      <c r="CTZ26" s="19"/>
      <c r="CUA26" s="19"/>
      <c r="CUB26" s="19"/>
      <c r="CUC26" s="19"/>
      <c r="CUD26" s="19"/>
      <c r="CUE26" s="19"/>
      <c r="CUF26" s="19"/>
      <c r="CUG26" s="19"/>
      <c r="CUH26" s="19"/>
      <c r="CUI26" s="19"/>
      <c r="CUJ26" s="19"/>
      <c r="CUK26" s="19"/>
      <c r="CUL26" s="19"/>
      <c r="CUM26" s="19"/>
      <c r="CUN26" s="19"/>
      <c r="CUO26" s="19"/>
      <c r="CUP26" s="19"/>
      <c r="CUQ26" s="19"/>
      <c r="CUR26" s="19"/>
      <c r="CUS26" s="19"/>
      <c r="CUT26" s="19"/>
      <c r="CUU26" s="19"/>
      <c r="CUV26" s="19"/>
      <c r="CUW26" s="19"/>
      <c r="CUX26" s="19"/>
      <c r="CUY26" s="19"/>
      <c r="CUZ26" s="19"/>
      <c r="CVA26" s="19"/>
      <c r="CVB26" s="19"/>
      <c r="CVC26" s="19"/>
      <c r="CVD26" s="19"/>
      <c r="CVE26" s="19"/>
      <c r="CVF26" s="19"/>
      <c r="CVG26" s="19"/>
      <c r="CVH26" s="19"/>
      <c r="CVI26" s="19"/>
      <c r="CVJ26" s="19"/>
      <c r="CVK26" s="19"/>
      <c r="CVL26" s="19"/>
      <c r="CVM26" s="19"/>
      <c r="CVN26" s="19"/>
      <c r="CVO26" s="19"/>
      <c r="CVP26" s="19"/>
      <c r="CVQ26" s="19"/>
      <c r="CVR26" s="19"/>
      <c r="CVS26" s="19"/>
      <c r="CVT26" s="19"/>
      <c r="CVU26" s="19"/>
      <c r="CVV26" s="19"/>
      <c r="CVW26" s="19"/>
      <c r="CVX26" s="19"/>
      <c r="CVY26" s="19"/>
      <c r="CVZ26" s="19"/>
      <c r="CWA26" s="19"/>
      <c r="CWB26" s="19"/>
      <c r="CWC26" s="19"/>
      <c r="CWD26" s="19"/>
      <c r="CWE26" s="19"/>
      <c r="CWF26" s="19"/>
      <c r="CWG26" s="19"/>
      <c r="CWH26" s="19"/>
      <c r="CWI26" s="19"/>
      <c r="CWJ26" s="19"/>
      <c r="CWK26" s="19"/>
      <c r="CWL26" s="19"/>
      <c r="CWM26" s="19"/>
      <c r="CWN26" s="19"/>
      <c r="CWO26" s="19"/>
      <c r="CWP26" s="19"/>
      <c r="CWQ26" s="19"/>
      <c r="CWR26" s="19"/>
      <c r="CWS26" s="19"/>
      <c r="CWT26" s="19"/>
      <c r="CWU26" s="19"/>
      <c r="CWV26" s="19"/>
      <c r="CWW26" s="19"/>
      <c r="CWX26" s="19"/>
      <c r="CWY26" s="19"/>
      <c r="CWZ26" s="19"/>
      <c r="CXA26" s="19"/>
      <c r="CXB26" s="19"/>
      <c r="CXC26" s="19"/>
      <c r="CXD26" s="19"/>
      <c r="CXE26" s="19"/>
      <c r="CXF26" s="19"/>
      <c r="CXG26" s="19"/>
      <c r="CXH26" s="19"/>
      <c r="CXI26" s="19"/>
      <c r="CXJ26" s="19"/>
      <c r="CXK26" s="19"/>
      <c r="CXL26" s="19"/>
      <c r="CXM26" s="19"/>
      <c r="CXN26" s="19"/>
      <c r="CXO26" s="19"/>
      <c r="CXP26" s="19"/>
      <c r="CXQ26" s="19"/>
      <c r="CXR26" s="19"/>
      <c r="CXS26" s="19"/>
      <c r="CXT26" s="19"/>
      <c r="CXU26" s="19"/>
      <c r="CXV26" s="19"/>
      <c r="CXW26" s="19"/>
      <c r="CXX26" s="19"/>
      <c r="CXY26" s="19"/>
      <c r="CXZ26" s="19"/>
      <c r="CYA26" s="19"/>
      <c r="CYB26" s="19"/>
      <c r="CYC26" s="19"/>
      <c r="CYD26" s="19"/>
      <c r="CYE26" s="19"/>
      <c r="CYF26" s="19"/>
      <c r="CYG26" s="19"/>
      <c r="CYH26" s="19"/>
      <c r="CYI26" s="19"/>
      <c r="CYJ26" s="19"/>
      <c r="CYK26" s="19"/>
      <c r="CYL26" s="19"/>
      <c r="CYM26" s="19"/>
      <c r="CYN26" s="19"/>
      <c r="CYO26" s="19"/>
      <c r="CYP26" s="19"/>
      <c r="CYQ26" s="19"/>
      <c r="CYR26" s="19"/>
      <c r="CYS26" s="19"/>
      <c r="CYT26" s="19"/>
      <c r="CYU26" s="19"/>
      <c r="CYV26" s="19"/>
      <c r="CYW26" s="19"/>
      <c r="CYX26" s="19"/>
      <c r="CYY26" s="19"/>
      <c r="CYZ26" s="19"/>
      <c r="CZA26" s="19"/>
      <c r="CZB26" s="19"/>
      <c r="CZC26" s="19"/>
      <c r="CZD26" s="19"/>
      <c r="CZE26" s="19"/>
      <c r="CZF26" s="19"/>
      <c r="CZG26" s="19"/>
      <c r="CZH26" s="19"/>
      <c r="CZI26" s="19"/>
      <c r="CZJ26" s="19"/>
      <c r="CZK26" s="19"/>
      <c r="CZL26" s="19"/>
      <c r="CZM26" s="19"/>
      <c r="CZN26" s="19"/>
      <c r="CZO26" s="19"/>
      <c r="CZP26" s="19"/>
      <c r="CZQ26" s="19"/>
      <c r="CZR26" s="19"/>
      <c r="CZS26" s="19"/>
      <c r="CZT26" s="19"/>
      <c r="CZU26" s="19"/>
      <c r="CZV26" s="19"/>
      <c r="CZW26" s="19"/>
      <c r="CZX26" s="19"/>
      <c r="CZY26" s="19"/>
      <c r="CZZ26" s="19"/>
      <c r="DAA26" s="19"/>
      <c r="DAB26" s="19"/>
      <c r="DAC26" s="19"/>
      <c r="DAD26" s="19"/>
      <c r="DAE26" s="19"/>
      <c r="DAF26" s="19"/>
      <c r="DAG26" s="19"/>
      <c r="DAH26" s="19"/>
      <c r="DAI26" s="19"/>
      <c r="DAJ26" s="19"/>
      <c r="DAK26" s="19"/>
      <c r="DAL26" s="19"/>
      <c r="DAM26" s="19"/>
      <c r="DAN26" s="19"/>
      <c r="DAO26" s="19"/>
      <c r="DAP26" s="19"/>
      <c r="DAQ26" s="19"/>
      <c r="DAR26" s="19"/>
      <c r="DAS26" s="19"/>
      <c r="DAT26" s="19"/>
      <c r="DAU26" s="19"/>
      <c r="DAV26" s="19"/>
      <c r="DAW26" s="19"/>
      <c r="DAX26" s="19"/>
      <c r="DAY26" s="19"/>
      <c r="DAZ26" s="19"/>
      <c r="DBA26" s="19"/>
      <c r="DBB26" s="19"/>
      <c r="DBC26" s="19"/>
      <c r="DBD26" s="19"/>
      <c r="DBE26" s="19"/>
      <c r="DBF26" s="19"/>
      <c r="DBG26" s="19"/>
      <c r="DBH26" s="19"/>
      <c r="DBI26" s="19"/>
      <c r="DBJ26" s="19"/>
      <c r="DBK26" s="19"/>
      <c r="DBL26" s="19"/>
      <c r="DBM26" s="19"/>
      <c r="DBN26" s="19"/>
      <c r="DBO26" s="19"/>
      <c r="DBP26" s="19"/>
      <c r="DBQ26" s="19"/>
      <c r="DBR26" s="19"/>
      <c r="DBS26" s="19"/>
      <c r="DBT26" s="19"/>
      <c r="DBU26" s="19"/>
      <c r="DBV26" s="19"/>
      <c r="DBW26" s="19"/>
      <c r="DBX26" s="19"/>
      <c r="DBY26" s="19"/>
      <c r="DBZ26" s="19"/>
      <c r="DCA26" s="19"/>
      <c r="DCB26" s="19"/>
      <c r="DCC26" s="19"/>
      <c r="DCD26" s="19"/>
      <c r="DCE26" s="19"/>
      <c r="DCF26" s="19"/>
      <c r="DCG26" s="19"/>
      <c r="DCH26" s="19"/>
      <c r="DCI26" s="19"/>
      <c r="DCJ26" s="19"/>
      <c r="DCK26" s="19"/>
      <c r="DCL26" s="19"/>
      <c r="DCM26" s="19"/>
      <c r="DCN26" s="19"/>
      <c r="DCO26" s="19"/>
      <c r="DCP26" s="19"/>
      <c r="DCQ26" s="19"/>
      <c r="DCR26" s="19"/>
      <c r="DCS26" s="19"/>
      <c r="DCT26" s="19"/>
      <c r="DCU26" s="19"/>
      <c r="DCV26" s="19"/>
      <c r="DCW26" s="19"/>
      <c r="DCX26" s="19"/>
      <c r="DCY26" s="19"/>
      <c r="DCZ26" s="19"/>
      <c r="DDA26" s="19"/>
      <c r="DDB26" s="19"/>
      <c r="DDC26" s="19"/>
      <c r="DDD26" s="19"/>
      <c r="DDE26" s="19"/>
      <c r="DDF26" s="19"/>
      <c r="DDG26" s="19"/>
      <c r="DDH26" s="19"/>
      <c r="DDI26" s="19"/>
      <c r="DDJ26" s="19"/>
      <c r="DDK26" s="19"/>
      <c r="DDL26" s="19"/>
      <c r="DDM26" s="19"/>
      <c r="DDN26" s="19"/>
      <c r="DDO26" s="19"/>
      <c r="DDP26" s="19"/>
      <c r="DDQ26" s="19"/>
      <c r="DDR26" s="19"/>
      <c r="DDS26" s="19"/>
      <c r="DDT26" s="19"/>
      <c r="DDU26" s="19"/>
      <c r="DDV26" s="19"/>
      <c r="DDW26" s="19"/>
      <c r="DDX26" s="19"/>
      <c r="DDY26" s="19"/>
      <c r="DDZ26" s="19"/>
      <c r="DEA26" s="19"/>
      <c r="DEB26" s="19"/>
      <c r="DEC26" s="19"/>
      <c r="DED26" s="19"/>
      <c r="DEE26" s="19"/>
      <c r="DEF26" s="19"/>
      <c r="DEG26" s="19"/>
      <c r="DEH26" s="19"/>
      <c r="DEI26" s="19"/>
      <c r="DEJ26" s="19"/>
      <c r="DEK26" s="19"/>
      <c r="DEL26" s="19"/>
      <c r="DEM26" s="19"/>
      <c r="DEN26" s="19"/>
      <c r="DEO26" s="19"/>
      <c r="DEP26" s="19"/>
      <c r="DEQ26" s="19"/>
      <c r="DER26" s="19"/>
      <c r="DES26" s="19"/>
      <c r="DET26" s="19"/>
      <c r="DEU26" s="19"/>
      <c r="DEV26" s="19"/>
      <c r="DEW26" s="19"/>
      <c r="DEX26" s="19"/>
      <c r="DEY26" s="19"/>
      <c r="DEZ26" s="19"/>
      <c r="DFA26" s="19"/>
      <c r="DFB26" s="19"/>
      <c r="DFC26" s="19"/>
      <c r="DFD26" s="19"/>
      <c r="DFE26" s="19"/>
      <c r="DFF26" s="19"/>
      <c r="DFG26" s="19"/>
      <c r="DFH26" s="19"/>
      <c r="DFI26" s="19"/>
      <c r="DFJ26" s="19"/>
      <c r="DFK26" s="19"/>
      <c r="DFL26" s="19"/>
      <c r="DFM26" s="19"/>
      <c r="DFN26" s="19"/>
      <c r="DFO26" s="19"/>
      <c r="DFP26" s="19"/>
      <c r="DFQ26" s="19"/>
      <c r="DFR26" s="19"/>
      <c r="DFS26" s="19"/>
      <c r="DFT26" s="19"/>
      <c r="DFU26" s="19"/>
      <c r="DFV26" s="19"/>
      <c r="DFW26" s="19"/>
      <c r="DFX26" s="19"/>
      <c r="DFY26" s="19"/>
      <c r="DFZ26" s="19"/>
      <c r="DGA26" s="19"/>
      <c r="DGB26" s="19"/>
      <c r="DGC26" s="19"/>
      <c r="DGD26" s="19"/>
      <c r="DGE26" s="19"/>
      <c r="DGF26" s="19"/>
      <c r="DGG26" s="19"/>
      <c r="DGH26" s="19"/>
      <c r="DGI26" s="19"/>
      <c r="DGJ26" s="19"/>
      <c r="DGK26" s="19"/>
      <c r="DGL26" s="19"/>
      <c r="DGM26" s="19"/>
      <c r="DGN26" s="19"/>
      <c r="DGO26" s="19"/>
      <c r="DGP26" s="19"/>
      <c r="DGQ26" s="19"/>
      <c r="DGR26" s="19"/>
      <c r="DGS26" s="19"/>
      <c r="DGT26" s="19"/>
      <c r="DGU26" s="19"/>
      <c r="DGV26" s="19"/>
      <c r="DGW26" s="19"/>
      <c r="DGX26" s="19"/>
      <c r="DGY26" s="19"/>
      <c r="DGZ26" s="19"/>
      <c r="DHA26" s="19"/>
      <c r="DHB26" s="19"/>
      <c r="DHC26" s="19"/>
      <c r="DHD26" s="19"/>
      <c r="DHE26" s="19"/>
      <c r="DHF26" s="19"/>
      <c r="DHG26" s="19"/>
      <c r="DHH26" s="19"/>
      <c r="DHI26" s="19"/>
      <c r="DHJ26" s="19"/>
      <c r="DHK26" s="19"/>
      <c r="DHL26" s="19"/>
      <c r="DHM26" s="19"/>
      <c r="DHN26" s="19"/>
      <c r="DHO26" s="19"/>
      <c r="DHP26" s="19"/>
      <c r="DHQ26" s="19"/>
      <c r="DHR26" s="19"/>
      <c r="DHS26" s="19"/>
      <c r="DHT26" s="19"/>
      <c r="DHU26" s="19"/>
      <c r="DHV26" s="19"/>
      <c r="DHW26" s="19"/>
      <c r="DHX26" s="19"/>
      <c r="DHY26" s="19"/>
      <c r="DHZ26" s="19"/>
      <c r="DIA26" s="19"/>
      <c r="DIB26" s="19"/>
      <c r="DIC26" s="19"/>
      <c r="DID26" s="19"/>
      <c r="DIE26" s="19"/>
      <c r="DIF26" s="19"/>
      <c r="DIG26" s="19"/>
      <c r="DIH26" s="19"/>
      <c r="DII26" s="19"/>
      <c r="DIJ26" s="19"/>
      <c r="DIK26" s="19"/>
      <c r="DIL26" s="19"/>
      <c r="DIM26" s="19"/>
      <c r="DIN26" s="19"/>
      <c r="DIO26" s="19"/>
      <c r="DIP26" s="19"/>
      <c r="DIQ26" s="19"/>
      <c r="DIR26" s="19"/>
      <c r="DIS26" s="19"/>
      <c r="DIT26" s="19"/>
      <c r="DIU26" s="19"/>
      <c r="DIV26" s="19"/>
      <c r="DIW26" s="19"/>
      <c r="DIX26" s="19"/>
      <c r="DIY26" s="19"/>
      <c r="DIZ26" s="19"/>
      <c r="DJA26" s="19"/>
      <c r="DJB26" s="19"/>
      <c r="DJC26" s="19"/>
      <c r="DJD26" s="19"/>
      <c r="DJE26" s="19"/>
      <c r="DJF26" s="19"/>
      <c r="DJG26" s="19"/>
      <c r="DJH26" s="19"/>
      <c r="DJI26" s="19"/>
      <c r="DJJ26" s="19"/>
      <c r="DJK26" s="19"/>
      <c r="DJL26" s="19"/>
      <c r="DJM26" s="19"/>
      <c r="DJN26" s="19"/>
      <c r="DJO26" s="19"/>
      <c r="DJP26" s="19"/>
      <c r="DJQ26" s="19"/>
      <c r="DJR26" s="19"/>
      <c r="DJS26" s="19"/>
      <c r="DJT26" s="19"/>
      <c r="DJU26" s="19"/>
      <c r="DJV26" s="19"/>
      <c r="DJW26" s="19"/>
      <c r="DJX26" s="19"/>
      <c r="DJY26" s="19"/>
      <c r="DJZ26" s="19"/>
      <c r="DKA26" s="19"/>
      <c r="DKB26" s="19"/>
      <c r="DKC26" s="19"/>
      <c r="DKD26" s="19"/>
      <c r="DKE26" s="19"/>
      <c r="DKF26" s="19"/>
      <c r="DKG26" s="19"/>
      <c r="DKH26" s="19"/>
      <c r="DKI26" s="19"/>
      <c r="DKJ26" s="19"/>
      <c r="DKK26" s="19"/>
      <c r="DKL26" s="19"/>
      <c r="DKM26" s="19"/>
      <c r="DKN26" s="19"/>
      <c r="DKO26" s="19"/>
      <c r="DKP26" s="19"/>
      <c r="DKQ26" s="19"/>
      <c r="DKR26" s="19"/>
      <c r="DKS26" s="19"/>
      <c r="DKT26" s="19"/>
      <c r="DKU26" s="19"/>
      <c r="DKV26" s="19"/>
      <c r="DKW26" s="19"/>
      <c r="DKX26" s="19"/>
      <c r="DKY26" s="19"/>
      <c r="DKZ26" s="19"/>
      <c r="DLA26" s="19"/>
      <c r="DLB26" s="19"/>
      <c r="DLC26" s="19"/>
      <c r="DLD26" s="19"/>
      <c r="DLE26" s="19"/>
      <c r="DLF26" s="19"/>
      <c r="DLG26" s="19"/>
      <c r="DLH26" s="19"/>
      <c r="DLI26" s="19"/>
      <c r="DLJ26" s="19"/>
      <c r="DLK26" s="19"/>
      <c r="DLL26" s="19"/>
      <c r="DLM26" s="19"/>
      <c r="DLN26" s="19"/>
      <c r="DLO26" s="19"/>
      <c r="DLP26" s="19"/>
      <c r="DLQ26" s="19"/>
      <c r="DLR26" s="19"/>
      <c r="DLS26" s="19"/>
      <c r="DLT26" s="19"/>
      <c r="DLU26" s="19"/>
      <c r="DLV26" s="19"/>
      <c r="DLW26" s="19"/>
      <c r="DLX26" s="19"/>
      <c r="DLY26" s="19"/>
      <c r="DLZ26" s="19"/>
      <c r="DMA26" s="19"/>
      <c r="DMB26" s="19"/>
      <c r="DMC26" s="19"/>
      <c r="DMD26" s="19"/>
      <c r="DME26" s="19"/>
      <c r="DMF26" s="19"/>
      <c r="DMG26" s="19"/>
      <c r="DMH26" s="19"/>
      <c r="DMI26" s="19"/>
      <c r="DMJ26" s="19"/>
      <c r="DMK26" s="19"/>
      <c r="DML26" s="19"/>
      <c r="DMM26" s="19"/>
      <c r="DMN26" s="19"/>
      <c r="DMO26" s="19"/>
      <c r="DMP26" s="19"/>
      <c r="DMQ26" s="19"/>
      <c r="DMR26" s="19"/>
      <c r="DMS26" s="19"/>
      <c r="DMT26" s="19"/>
      <c r="DMU26" s="19"/>
      <c r="DMV26" s="19"/>
      <c r="DMW26" s="19"/>
      <c r="DMX26" s="19"/>
      <c r="DMY26" s="19"/>
      <c r="DMZ26" s="19"/>
      <c r="DNA26" s="19"/>
      <c r="DNB26" s="19"/>
      <c r="DNC26" s="19"/>
      <c r="DND26" s="19"/>
      <c r="DNE26" s="19"/>
      <c r="DNF26" s="19"/>
      <c r="DNG26" s="19"/>
      <c r="DNH26" s="19"/>
      <c r="DNI26" s="19"/>
      <c r="DNJ26" s="19"/>
      <c r="DNK26" s="19"/>
      <c r="DNL26" s="19"/>
      <c r="DNM26" s="19"/>
      <c r="DNN26" s="19"/>
      <c r="DNO26" s="19"/>
      <c r="DNP26" s="19"/>
      <c r="DNQ26" s="19"/>
      <c r="DNR26" s="19"/>
      <c r="DNS26" s="19"/>
      <c r="DNT26" s="19"/>
      <c r="DNU26" s="19"/>
      <c r="DNV26" s="19"/>
      <c r="DNW26" s="19"/>
      <c r="DNX26" s="19"/>
      <c r="DNY26" s="19"/>
      <c r="DNZ26" s="19"/>
      <c r="DOA26" s="19"/>
      <c r="DOB26" s="19"/>
      <c r="DOC26" s="19"/>
      <c r="DOD26" s="19"/>
      <c r="DOE26" s="19"/>
      <c r="DOF26" s="19"/>
      <c r="DOG26" s="19"/>
      <c r="DOH26" s="19"/>
      <c r="DOI26" s="19"/>
      <c r="DOJ26" s="19"/>
      <c r="DOK26" s="19"/>
      <c r="DOL26" s="19"/>
      <c r="DOM26" s="19"/>
      <c r="DON26" s="19"/>
      <c r="DOO26" s="19"/>
      <c r="DOP26" s="19"/>
      <c r="DOQ26" s="19"/>
      <c r="DOR26" s="19"/>
      <c r="DOS26" s="19"/>
      <c r="DOT26" s="19"/>
      <c r="DOU26" s="19"/>
      <c r="DOV26" s="19"/>
      <c r="DOW26" s="19"/>
      <c r="DOX26" s="19"/>
      <c r="DOY26" s="19"/>
      <c r="DOZ26" s="19"/>
      <c r="DPA26" s="19"/>
      <c r="DPB26" s="19"/>
      <c r="DPC26" s="19"/>
      <c r="DPD26" s="19"/>
      <c r="DPE26" s="19"/>
      <c r="DPF26" s="19"/>
      <c r="DPG26" s="19"/>
      <c r="DPH26" s="19"/>
      <c r="DPI26" s="19"/>
      <c r="DPJ26" s="19"/>
      <c r="DPK26" s="19"/>
      <c r="DPL26" s="19"/>
      <c r="DPM26" s="19"/>
      <c r="DPN26" s="19"/>
      <c r="DPO26" s="19"/>
      <c r="DPP26" s="19"/>
      <c r="DPQ26" s="19"/>
      <c r="DPR26" s="19"/>
      <c r="DPS26" s="19"/>
      <c r="DPT26" s="19"/>
      <c r="DPU26" s="19"/>
      <c r="DPV26" s="19"/>
      <c r="DPW26" s="19"/>
      <c r="DPX26" s="19"/>
      <c r="DPY26" s="19"/>
      <c r="DPZ26" s="19"/>
      <c r="DQA26" s="19"/>
      <c r="DQB26" s="19"/>
      <c r="DQC26" s="19"/>
      <c r="DQD26" s="19"/>
      <c r="DQE26" s="19"/>
      <c r="DQF26" s="19"/>
      <c r="DQG26" s="19"/>
      <c r="DQH26" s="19"/>
      <c r="DQI26" s="19"/>
      <c r="DQJ26" s="19"/>
      <c r="DQK26" s="19"/>
      <c r="DQL26" s="19"/>
      <c r="DQM26" s="19"/>
      <c r="DQN26" s="19"/>
      <c r="DQO26" s="19"/>
      <c r="DQP26" s="19"/>
      <c r="DQQ26" s="19"/>
      <c r="DQR26" s="19"/>
      <c r="DQS26" s="19"/>
      <c r="DQT26" s="19"/>
      <c r="DQU26" s="19"/>
      <c r="DQV26" s="19"/>
      <c r="DQW26" s="19"/>
      <c r="DQX26" s="19"/>
      <c r="DQY26" s="19"/>
      <c r="DQZ26" s="19"/>
      <c r="DRA26" s="19"/>
      <c r="DRB26" s="19"/>
      <c r="DRC26" s="19"/>
      <c r="DRD26" s="19"/>
      <c r="DRE26" s="19"/>
      <c r="DRF26" s="19"/>
      <c r="DRG26" s="19"/>
      <c r="DRH26" s="19"/>
      <c r="DRI26" s="19"/>
      <c r="DRJ26" s="19"/>
      <c r="DRK26" s="19"/>
      <c r="DRL26" s="19"/>
      <c r="DRM26" s="19"/>
      <c r="DRN26" s="19"/>
      <c r="DRO26" s="19"/>
      <c r="DRP26" s="19"/>
      <c r="DRQ26" s="19"/>
      <c r="DRR26" s="19"/>
      <c r="DRS26" s="19"/>
      <c r="DRT26" s="19"/>
      <c r="DRU26" s="19"/>
      <c r="DRV26" s="19"/>
      <c r="DRW26" s="19"/>
      <c r="DRX26" s="19"/>
      <c r="DRY26" s="19"/>
      <c r="DRZ26" s="19"/>
      <c r="DSA26" s="19"/>
      <c r="DSB26" s="19"/>
      <c r="DSC26" s="19"/>
      <c r="DSD26" s="19"/>
      <c r="DSE26" s="19"/>
      <c r="DSF26" s="19"/>
      <c r="DSG26" s="19"/>
      <c r="DSH26" s="19"/>
      <c r="DSI26" s="19"/>
      <c r="DSJ26" s="19"/>
      <c r="DSK26" s="19"/>
      <c r="DSL26" s="19"/>
      <c r="DSM26" s="19"/>
      <c r="DSN26" s="19"/>
      <c r="DSO26" s="19"/>
      <c r="DSP26" s="19"/>
      <c r="DSQ26" s="19"/>
      <c r="DSR26" s="19"/>
      <c r="DSS26" s="19"/>
      <c r="DST26" s="19"/>
      <c r="DSU26" s="19"/>
      <c r="DSV26" s="19"/>
      <c r="DSW26" s="19"/>
      <c r="DSX26" s="19"/>
      <c r="DSY26" s="19"/>
      <c r="DSZ26" s="19"/>
      <c r="DTA26" s="19"/>
      <c r="DTB26" s="19"/>
      <c r="DTC26" s="19"/>
      <c r="DTD26" s="19"/>
      <c r="DTE26" s="19"/>
      <c r="DTF26" s="19"/>
      <c r="DTG26" s="19"/>
      <c r="DTH26" s="19"/>
      <c r="DTI26" s="19"/>
      <c r="DTJ26" s="19"/>
      <c r="DTK26" s="19"/>
      <c r="DTL26" s="19"/>
      <c r="DTM26" s="19"/>
      <c r="DTN26" s="19"/>
      <c r="DTO26" s="19"/>
      <c r="DTP26" s="19"/>
      <c r="DTQ26" s="19"/>
      <c r="DTR26" s="19"/>
      <c r="DTS26" s="19"/>
      <c r="DTT26" s="19"/>
      <c r="DTU26" s="19"/>
      <c r="DTV26" s="19"/>
      <c r="DTW26" s="19"/>
      <c r="DTX26" s="19"/>
      <c r="DTY26" s="19"/>
      <c r="DTZ26" s="19"/>
      <c r="DUA26" s="19"/>
      <c r="DUB26" s="19"/>
      <c r="DUC26" s="19"/>
      <c r="DUD26" s="19"/>
      <c r="DUE26" s="19"/>
      <c r="DUF26" s="19"/>
      <c r="DUG26" s="19"/>
      <c r="DUH26" s="19"/>
      <c r="DUI26" s="19"/>
      <c r="DUJ26" s="19"/>
      <c r="DUK26" s="19"/>
      <c r="DUL26" s="19"/>
      <c r="DUM26" s="19"/>
      <c r="DUN26" s="19"/>
      <c r="DUO26" s="19"/>
      <c r="DUP26" s="19"/>
      <c r="DUQ26" s="19"/>
      <c r="DUR26" s="19"/>
      <c r="DUS26" s="19"/>
      <c r="DUT26" s="19"/>
      <c r="DUU26" s="19"/>
      <c r="DUV26" s="19"/>
      <c r="DUW26" s="19"/>
      <c r="DUX26" s="19"/>
      <c r="DUY26" s="19"/>
      <c r="DUZ26" s="19"/>
      <c r="DVA26" s="19"/>
      <c r="DVB26" s="19"/>
      <c r="DVC26" s="19"/>
      <c r="DVD26" s="19"/>
      <c r="DVE26" s="19"/>
      <c r="DVF26" s="19"/>
      <c r="DVG26" s="19"/>
      <c r="DVH26" s="19"/>
      <c r="DVI26" s="19"/>
      <c r="DVJ26" s="19"/>
      <c r="DVK26" s="19"/>
      <c r="DVL26" s="19"/>
      <c r="DVM26" s="19"/>
      <c r="DVN26" s="19"/>
      <c r="DVO26" s="19"/>
      <c r="DVP26" s="19"/>
      <c r="DVQ26" s="19"/>
      <c r="DVR26" s="19"/>
      <c r="DVS26" s="19"/>
      <c r="DVT26" s="19"/>
      <c r="DVU26" s="19"/>
      <c r="DVV26" s="19"/>
      <c r="DVW26" s="19"/>
      <c r="DVX26" s="19"/>
      <c r="DVY26" s="19"/>
      <c r="DVZ26" s="19"/>
      <c r="DWA26" s="19"/>
      <c r="DWB26" s="19"/>
      <c r="DWC26" s="19"/>
      <c r="DWD26" s="19"/>
      <c r="DWE26" s="19"/>
      <c r="DWF26" s="19"/>
      <c r="DWG26" s="19"/>
      <c r="DWH26" s="19"/>
      <c r="DWI26" s="19"/>
      <c r="DWJ26" s="19"/>
      <c r="DWK26" s="19"/>
      <c r="DWL26" s="19"/>
      <c r="DWM26" s="19"/>
      <c r="DWN26" s="19"/>
      <c r="DWO26" s="19"/>
      <c r="DWP26" s="19"/>
      <c r="DWQ26" s="19"/>
      <c r="DWR26" s="19"/>
      <c r="DWS26" s="19"/>
      <c r="DWT26" s="19"/>
      <c r="DWU26" s="19"/>
      <c r="DWV26" s="19"/>
      <c r="DWW26" s="19"/>
      <c r="DWX26" s="19"/>
      <c r="DWY26" s="19"/>
      <c r="DWZ26" s="19"/>
      <c r="DXA26" s="19"/>
      <c r="DXB26" s="19"/>
      <c r="DXC26" s="19"/>
      <c r="DXD26" s="19"/>
      <c r="DXE26" s="19"/>
      <c r="DXF26" s="19"/>
      <c r="DXG26" s="19"/>
      <c r="DXH26" s="19"/>
      <c r="DXI26" s="19"/>
      <c r="DXJ26" s="19"/>
      <c r="DXK26" s="19"/>
      <c r="DXL26" s="19"/>
      <c r="DXM26" s="19"/>
      <c r="DXN26" s="19"/>
      <c r="DXO26" s="19"/>
      <c r="DXP26" s="19"/>
      <c r="DXQ26" s="19"/>
      <c r="DXR26" s="19"/>
      <c r="DXS26" s="19"/>
      <c r="DXT26" s="19"/>
      <c r="DXU26" s="19"/>
      <c r="DXV26" s="19"/>
      <c r="DXW26" s="19"/>
      <c r="DXX26" s="19"/>
      <c r="DXY26" s="19"/>
      <c r="DXZ26" s="19"/>
      <c r="DYA26" s="19"/>
      <c r="DYB26" s="19"/>
      <c r="DYC26" s="19"/>
      <c r="DYD26" s="19"/>
      <c r="DYE26" s="19"/>
      <c r="DYF26" s="19"/>
      <c r="DYG26" s="19"/>
      <c r="DYH26" s="19"/>
      <c r="DYI26" s="19"/>
      <c r="DYJ26" s="19"/>
      <c r="DYK26" s="19"/>
      <c r="DYL26" s="19"/>
      <c r="DYM26" s="19"/>
      <c r="DYN26" s="19"/>
      <c r="DYO26" s="19"/>
      <c r="DYP26" s="19"/>
      <c r="DYQ26" s="19"/>
      <c r="DYR26" s="19"/>
      <c r="DYS26" s="19"/>
      <c r="DYT26" s="19"/>
      <c r="DYU26" s="19"/>
      <c r="DYV26" s="19"/>
      <c r="DYW26" s="19"/>
      <c r="DYX26" s="19"/>
      <c r="DYY26" s="19"/>
      <c r="DYZ26" s="19"/>
      <c r="DZA26" s="19"/>
      <c r="DZB26" s="19"/>
      <c r="DZC26" s="19"/>
      <c r="DZD26" s="19"/>
      <c r="DZE26" s="19"/>
      <c r="DZF26" s="19"/>
      <c r="DZG26" s="19"/>
      <c r="DZH26" s="19"/>
      <c r="DZI26" s="19"/>
      <c r="DZJ26" s="19"/>
      <c r="DZK26" s="19"/>
      <c r="DZL26" s="19"/>
      <c r="DZM26" s="19"/>
      <c r="DZN26" s="19"/>
      <c r="DZO26" s="19"/>
      <c r="DZP26" s="19"/>
      <c r="DZQ26" s="19"/>
      <c r="DZR26" s="19"/>
      <c r="DZS26" s="19"/>
      <c r="DZT26" s="19"/>
      <c r="DZU26" s="19"/>
      <c r="DZV26" s="19"/>
      <c r="DZW26" s="19"/>
      <c r="DZX26" s="19"/>
      <c r="DZY26" s="19"/>
      <c r="DZZ26" s="19"/>
      <c r="EAA26" s="19"/>
      <c r="EAB26" s="19"/>
      <c r="EAC26" s="19"/>
      <c r="EAD26" s="19"/>
      <c r="EAE26" s="19"/>
      <c r="EAF26" s="19"/>
      <c r="EAG26" s="19"/>
      <c r="EAH26" s="19"/>
      <c r="EAI26" s="19"/>
      <c r="EAJ26" s="19"/>
      <c r="EAK26" s="19"/>
      <c r="EAL26" s="19"/>
      <c r="EAM26" s="19"/>
      <c r="EAN26" s="19"/>
      <c r="EAO26" s="19"/>
      <c r="EAP26" s="19"/>
      <c r="EAQ26" s="19"/>
      <c r="EAR26" s="19"/>
      <c r="EAS26" s="19"/>
      <c r="EAT26" s="19"/>
      <c r="EAU26" s="19"/>
      <c r="EAV26" s="19"/>
      <c r="EAW26" s="19"/>
      <c r="EAX26" s="19"/>
      <c r="EAY26" s="19"/>
      <c r="EAZ26" s="19"/>
      <c r="EBA26" s="19"/>
      <c r="EBB26" s="19"/>
      <c r="EBC26" s="19"/>
      <c r="EBD26" s="19"/>
      <c r="EBE26" s="19"/>
      <c r="EBF26" s="19"/>
      <c r="EBG26" s="19"/>
      <c r="EBH26" s="19"/>
      <c r="EBI26" s="19"/>
      <c r="EBJ26" s="19"/>
      <c r="EBK26" s="19"/>
      <c r="EBL26" s="19"/>
      <c r="EBM26" s="19"/>
      <c r="EBN26" s="19"/>
      <c r="EBO26" s="19"/>
      <c r="EBP26" s="19"/>
      <c r="EBQ26" s="19"/>
      <c r="EBR26" s="19"/>
      <c r="EBS26" s="19"/>
      <c r="EBT26" s="19"/>
      <c r="EBU26" s="19"/>
      <c r="EBV26" s="19"/>
      <c r="EBW26" s="19"/>
      <c r="EBX26" s="19"/>
      <c r="EBY26" s="19"/>
      <c r="EBZ26" s="19"/>
      <c r="ECA26" s="19"/>
      <c r="ECB26" s="19"/>
      <c r="ECC26" s="19"/>
      <c r="ECD26" s="19"/>
      <c r="ECE26" s="19"/>
      <c r="ECF26" s="19"/>
      <c r="ECG26" s="19"/>
      <c r="ECH26" s="19"/>
      <c r="ECI26" s="19"/>
      <c r="ECJ26" s="19"/>
      <c r="ECK26" s="19"/>
      <c r="ECL26" s="19"/>
      <c r="ECM26" s="19"/>
      <c r="ECN26" s="19"/>
      <c r="ECO26" s="19"/>
      <c r="ECP26" s="19"/>
      <c r="ECQ26" s="19"/>
      <c r="ECR26" s="19"/>
      <c r="ECS26" s="19"/>
      <c r="ECT26" s="19"/>
      <c r="ECU26" s="19"/>
      <c r="ECV26" s="19"/>
      <c r="ECW26" s="19"/>
      <c r="ECX26" s="19"/>
      <c r="ECY26" s="19"/>
      <c r="ECZ26" s="19"/>
      <c r="EDA26" s="19"/>
      <c r="EDB26" s="19"/>
      <c r="EDC26" s="19"/>
      <c r="EDD26" s="19"/>
      <c r="EDE26" s="19"/>
      <c r="EDF26" s="19"/>
      <c r="EDG26" s="19"/>
      <c r="EDH26" s="19"/>
      <c r="EDI26" s="19"/>
      <c r="EDJ26" s="19"/>
      <c r="EDK26" s="19"/>
      <c r="EDL26" s="19"/>
      <c r="EDM26" s="19"/>
      <c r="EDN26" s="19"/>
      <c r="EDO26" s="19"/>
      <c r="EDP26" s="19"/>
      <c r="EDQ26" s="19"/>
      <c r="EDR26" s="19"/>
      <c r="EDS26" s="19"/>
      <c r="EDT26" s="19"/>
      <c r="EDU26" s="19"/>
      <c r="EDV26" s="19"/>
      <c r="EDW26" s="19"/>
      <c r="EDX26" s="19"/>
      <c r="EDY26" s="19"/>
      <c r="EDZ26" s="19"/>
      <c r="EEA26" s="19"/>
      <c r="EEB26" s="19"/>
      <c r="EEC26" s="19"/>
      <c r="EED26" s="19"/>
      <c r="EEE26" s="19"/>
      <c r="EEF26" s="19"/>
      <c r="EEG26" s="19"/>
      <c r="EEH26" s="19"/>
      <c r="EEI26" s="19"/>
      <c r="EEJ26" s="19"/>
      <c r="EEK26" s="19"/>
      <c r="EEL26" s="19"/>
      <c r="EEM26" s="19"/>
      <c r="EEN26" s="19"/>
      <c r="EEO26" s="19"/>
      <c r="EEP26" s="19"/>
      <c r="EEQ26" s="19"/>
      <c r="EER26" s="19"/>
      <c r="EES26" s="19"/>
      <c r="EET26" s="19"/>
      <c r="EEU26" s="19"/>
      <c r="EEV26" s="19"/>
      <c r="EEW26" s="19"/>
      <c r="EEX26" s="19"/>
      <c r="EEY26" s="19"/>
      <c r="EEZ26" s="19"/>
      <c r="EFA26" s="19"/>
      <c r="EFB26" s="19"/>
      <c r="EFC26" s="19"/>
      <c r="EFD26" s="19"/>
      <c r="EFE26" s="19"/>
      <c r="EFF26" s="19"/>
      <c r="EFG26" s="19"/>
      <c r="EFH26" s="19"/>
      <c r="EFI26" s="19"/>
      <c r="EFJ26" s="19"/>
      <c r="EFK26" s="19"/>
      <c r="EFL26" s="19"/>
      <c r="EFM26" s="19"/>
      <c r="EFN26" s="19"/>
      <c r="EFO26" s="19"/>
      <c r="EFP26" s="19"/>
      <c r="EFQ26" s="19"/>
      <c r="EFR26" s="19"/>
      <c r="EFS26" s="19"/>
      <c r="EFT26" s="19"/>
      <c r="EFU26" s="19"/>
      <c r="EFV26" s="19"/>
      <c r="EFW26" s="19"/>
      <c r="EFX26" s="19"/>
      <c r="EFY26" s="19"/>
      <c r="EFZ26" s="19"/>
      <c r="EGA26" s="19"/>
      <c r="EGB26" s="19"/>
      <c r="EGC26" s="19"/>
      <c r="EGD26" s="19"/>
      <c r="EGE26" s="19"/>
      <c r="EGF26" s="19"/>
      <c r="EGG26" s="19"/>
      <c r="EGH26" s="19"/>
      <c r="EGI26" s="19"/>
      <c r="EGJ26" s="19"/>
      <c r="EGK26" s="19"/>
      <c r="EGL26" s="19"/>
      <c r="EGM26" s="19"/>
      <c r="EGN26" s="19"/>
      <c r="EGO26" s="19"/>
      <c r="EGP26" s="19"/>
      <c r="EGQ26" s="19"/>
      <c r="EGR26" s="19"/>
      <c r="EGS26" s="19"/>
      <c r="EGT26" s="19"/>
      <c r="EGU26" s="19"/>
      <c r="EGV26" s="19"/>
      <c r="EGW26" s="19"/>
      <c r="EGX26" s="19"/>
      <c r="EGY26" s="19"/>
      <c r="EGZ26" s="19"/>
      <c r="EHA26" s="19"/>
      <c r="EHB26" s="19"/>
      <c r="EHC26" s="19"/>
      <c r="EHD26" s="19"/>
      <c r="EHE26" s="19"/>
      <c r="EHF26" s="19"/>
      <c r="EHG26" s="19"/>
      <c r="EHH26" s="19"/>
      <c r="EHI26" s="19"/>
      <c r="EHJ26" s="19"/>
      <c r="EHK26" s="19"/>
      <c r="EHL26" s="19"/>
      <c r="EHM26" s="19"/>
      <c r="EHN26" s="19"/>
      <c r="EHO26" s="19"/>
      <c r="EHP26" s="19"/>
      <c r="EHQ26" s="19"/>
      <c r="EHR26" s="19"/>
      <c r="EHS26" s="19"/>
      <c r="EHT26" s="19"/>
      <c r="EHU26" s="19"/>
      <c r="EHV26" s="19"/>
      <c r="EHW26" s="19"/>
      <c r="EHX26" s="19"/>
      <c r="EHY26" s="19"/>
      <c r="EHZ26" s="19"/>
      <c r="EIA26" s="19"/>
      <c r="EIB26" s="19"/>
      <c r="EIC26" s="19"/>
      <c r="EID26" s="19"/>
      <c r="EIE26" s="19"/>
      <c r="EIF26" s="19"/>
      <c r="EIG26" s="19"/>
      <c r="EIH26" s="19"/>
      <c r="EII26" s="19"/>
      <c r="EIJ26" s="19"/>
      <c r="EIK26" s="19"/>
      <c r="EIL26" s="19"/>
      <c r="EIM26" s="19"/>
      <c r="EIN26" s="19"/>
      <c r="EIO26" s="19"/>
      <c r="EIP26" s="19"/>
      <c r="EIQ26" s="19"/>
      <c r="EIR26" s="19"/>
      <c r="EIS26" s="19"/>
      <c r="EIT26" s="19"/>
      <c r="EIU26" s="19"/>
      <c r="EIV26" s="19"/>
      <c r="EIW26" s="19"/>
      <c r="EIX26" s="19"/>
      <c r="EIY26" s="19"/>
      <c r="EIZ26" s="19"/>
      <c r="EJA26" s="19"/>
      <c r="EJB26" s="19"/>
      <c r="EJC26" s="19"/>
      <c r="EJD26" s="19"/>
      <c r="EJE26" s="19"/>
      <c r="EJF26" s="19"/>
      <c r="EJG26" s="19"/>
      <c r="EJH26" s="19"/>
      <c r="EJI26" s="19"/>
      <c r="EJJ26" s="19"/>
      <c r="EJK26" s="19"/>
      <c r="EJL26" s="19"/>
      <c r="EJM26" s="19"/>
      <c r="EJN26" s="19"/>
      <c r="EJO26" s="19"/>
      <c r="EJP26" s="19"/>
      <c r="EJQ26" s="19"/>
      <c r="EJR26" s="19"/>
      <c r="EJS26" s="19"/>
      <c r="EJT26" s="19"/>
      <c r="EJU26" s="19"/>
      <c r="EJV26" s="19"/>
      <c r="EJW26" s="19"/>
      <c r="EJX26" s="19"/>
      <c r="EJY26" s="19"/>
      <c r="EJZ26" s="19"/>
      <c r="EKA26" s="19"/>
      <c r="EKB26" s="19"/>
      <c r="EKC26" s="19"/>
      <c r="EKD26" s="19"/>
      <c r="EKE26" s="19"/>
      <c r="EKF26" s="19"/>
      <c r="EKG26" s="19"/>
      <c r="EKH26" s="19"/>
      <c r="EKI26" s="19"/>
      <c r="EKJ26" s="19"/>
      <c r="EKK26" s="19"/>
      <c r="EKL26" s="19"/>
      <c r="EKM26" s="19"/>
      <c r="EKN26" s="19"/>
      <c r="EKO26" s="19"/>
      <c r="EKP26" s="19"/>
      <c r="EKQ26" s="19"/>
      <c r="EKR26" s="19"/>
      <c r="EKS26" s="19"/>
      <c r="EKT26" s="19"/>
      <c r="EKU26" s="19"/>
      <c r="EKV26" s="19"/>
      <c r="EKW26" s="19"/>
      <c r="EKX26" s="19"/>
      <c r="EKY26" s="19"/>
      <c r="EKZ26" s="19"/>
      <c r="ELA26" s="19"/>
      <c r="ELB26" s="19"/>
      <c r="ELC26" s="19"/>
      <c r="ELD26" s="19"/>
      <c r="ELE26" s="19"/>
      <c r="ELF26" s="19"/>
      <c r="ELG26" s="19"/>
      <c r="ELH26" s="19"/>
      <c r="ELI26" s="19"/>
      <c r="ELJ26" s="19"/>
      <c r="ELK26" s="19"/>
      <c r="ELL26" s="19"/>
      <c r="ELM26" s="19"/>
      <c r="ELN26" s="19"/>
      <c r="ELO26" s="19"/>
      <c r="ELP26" s="19"/>
      <c r="ELQ26" s="19"/>
      <c r="ELR26" s="19"/>
      <c r="ELS26" s="19"/>
      <c r="ELT26" s="19"/>
      <c r="ELU26" s="19"/>
      <c r="ELV26" s="19"/>
      <c r="ELW26" s="19"/>
      <c r="ELX26" s="19"/>
      <c r="ELY26" s="19"/>
      <c r="ELZ26" s="19"/>
      <c r="EMA26" s="19"/>
      <c r="EMB26" s="19"/>
      <c r="EMC26" s="19"/>
      <c r="EMD26" s="19"/>
      <c r="EME26" s="19"/>
      <c r="EMF26" s="19"/>
      <c r="EMG26" s="19"/>
      <c r="EMH26" s="19"/>
      <c r="EMI26" s="19"/>
      <c r="EMJ26" s="19"/>
      <c r="EMK26" s="19"/>
      <c r="EML26" s="19"/>
      <c r="EMM26" s="19"/>
      <c r="EMN26" s="19"/>
      <c r="EMO26" s="19"/>
      <c r="EMP26" s="19"/>
      <c r="EMQ26" s="19"/>
      <c r="EMR26" s="19"/>
      <c r="EMS26" s="19"/>
      <c r="EMT26" s="19"/>
      <c r="EMU26" s="19"/>
      <c r="EMV26" s="19"/>
      <c r="EMW26" s="19"/>
      <c r="EMX26" s="19"/>
      <c r="EMY26" s="19"/>
      <c r="EMZ26" s="19"/>
      <c r="ENA26" s="19"/>
      <c r="ENB26" s="19"/>
      <c r="ENC26" s="19"/>
      <c r="END26" s="19"/>
      <c r="ENE26" s="19"/>
      <c r="ENF26" s="19"/>
      <c r="ENG26" s="19"/>
      <c r="ENH26" s="19"/>
      <c r="ENI26" s="19"/>
      <c r="ENJ26" s="19"/>
      <c r="ENK26" s="19"/>
      <c r="ENL26" s="19"/>
      <c r="ENM26" s="19"/>
      <c r="ENN26" s="19"/>
      <c r="ENO26" s="19"/>
      <c r="ENP26" s="19"/>
      <c r="ENQ26" s="19"/>
      <c r="ENR26" s="19"/>
      <c r="ENS26" s="19"/>
      <c r="ENT26" s="19"/>
      <c r="ENU26" s="19"/>
      <c r="ENV26" s="19"/>
      <c r="ENW26" s="19"/>
      <c r="ENX26" s="19"/>
      <c r="ENY26" s="19"/>
      <c r="ENZ26" s="19"/>
      <c r="EOA26" s="19"/>
      <c r="EOB26" s="19"/>
      <c r="EOC26" s="19"/>
      <c r="EOD26" s="19"/>
      <c r="EOE26" s="19"/>
      <c r="EOF26" s="19"/>
      <c r="EOG26" s="19"/>
      <c r="EOH26" s="19"/>
      <c r="EOI26" s="19"/>
      <c r="EOJ26" s="19"/>
      <c r="EOK26" s="19"/>
      <c r="EOL26" s="19"/>
      <c r="EOM26" s="19"/>
      <c r="EON26" s="19"/>
      <c r="EOO26" s="19"/>
      <c r="EOP26" s="19"/>
      <c r="EOQ26" s="19"/>
      <c r="EOR26" s="19"/>
      <c r="EOS26" s="19"/>
      <c r="EOT26" s="19"/>
      <c r="EOU26" s="19"/>
      <c r="EOV26" s="19"/>
      <c r="EOW26" s="19"/>
      <c r="EOX26" s="19"/>
      <c r="EOY26" s="19"/>
      <c r="EOZ26" s="19"/>
      <c r="EPA26" s="19"/>
      <c r="EPB26" s="19"/>
      <c r="EPC26" s="19"/>
      <c r="EPD26" s="19"/>
      <c r="EPE26" s="19"/>
      <c r="EPF26" s="19"/>
      <c r="EPG26" s="19"/>
      <c r="EPH26" s="19"/>
      <c r="EPI26" s="19"/>
      <c r="EPJ26" s="19"/>
      <c r="EPK26" s="19"/>
      <c r="EPL26" s="19"/>
      <c r="EPM26" s="19"/>
      <c r="EPN26" s="19"/>
      <c r="EPO26" s="19"/>
      <c r="EPP26" s="19"/>
      <c r="EPQ26" s="19"/>
      <c r="EPR26" s="19"/>
      <c r="EPS26" s="19"/>
      <c r="EPT26" s="19"/>
      <c r="EPU26" s="19"/>
      <c r="EPV26" s="19"/>
      <c r="EPW26" s="19"/>
      <c r="EPX26" s="19"/>
      <c r="EPY26" s="19"/>
      <c r="EPZ26" s="19"/>
      <c r="EQA26" s="19"/>
      <c r="EQB26" s="19"/>
      <c r="EQC26" s="19"/>
      <c r="EQD26" s="19"/>
      <c r="EQE26" s="19"/>
      <c r="EQF26" s="19"/>
      <c r="EQG26" s="19"/>
      <c r="EQH26" s="19"/>
      <c r="EQI26" s="19"/>
      <c r="EQJ26" s="19"/>
      <c r="EQK26" s="19"/>
      <c r="EQL26" s="19"/>
      <c r="EQM26" s="19"/>
      <c r="EQN26" s="19"/>
      <c r="EQO26" s="19"/>
      <c r="EQP26" s="19"/>
      <c r="EQQ26" s="19"/>
      <c r="EQR26" s="19"/>
      <c r="EQS26" s="19"/>
      <c r="EQT26" s="19"/>
      <c r="EQU26" s="19"/>
      <c r="EQV26" s="19"/>
      <c r="EQW26" s="19"/>
      <c r="EQX26" s="19"/>
      <c r="EQY26" s="19"/>
      <c r="EQZ26" s="19"/>
      <c r="ERA26" s="19"/>
      <c r="ERB26" s="19"/>
      <c r="ERC26" s="19"/>
      <c r="ERD26" s="19"/>
      <c r="ERE26" s="19"/>
      <c r="ERF26" s="19"/>
      <c r="ERG26" s="19"/>
      <c r="ERH26" s="19"/>
      <c r="ERI26" s="19"/>
      <c r="ERJ26" s="19"/>
      <c r="ERK26" s="19"/>
      <c r="ERL26" s="19"/>
      <c r="ERM26" s="19"/>
      <c r="ERN26" s="19"/>
      <c r="ERO26" s="19"/>
      <c r="ERP26" s="19"/>
      <c r="ERQ26" s="19"/>
      <c r="ERR26" s="19"/>
      <c r="ERS26" s="19"/>
      <c r="ERT26" s="19"/>
      <c r="ERU26" s="19"/>
      <c r="ERV26" s="19"/>
      <c r="ERW26" s="19"/>
      <c r="ERX26" s="19"/>
      <c r="ERY26" s="19"/>
      <c r="ERZ26" s="19"/>
      <c r="ESA26" s="19"/>
      <c r="ESB26" s="19"/>
      <c r="ESC26" s="19"/>
      <c r="ESD26" s="19"/>
      <c r="ESE26" s="19"/>
      <c r="ESF26" s="19"/>
      <c r="ESG26" s="19"/>
      <c r="ESH26" s="19"/>
      <c r="ESI26" s="19"/>
      <c r="ESJ26" s="19"/>
      <c r="ESK26" s="19"/>
      <c r="ESL26" s="19"/>
      <c r="ESM26" s="19"/>
      <c r="ESN26" s="19"/>
      <c r="ESO26" s="19"/>
      <c r="ESP26" s="19"/>
      <c r="ESQ26" s="19"/>
      <c r="ESR26" s="19"/>
      <c r="ESS26" s="19"/>
      <c r="EST26" s="19"/>
      <c r="ESU26" s="19"/>
      <c r="ESV26" s="19"/>
      <c r="ESW26" s="19"/>
      <c r="ESX26" s="19"/>
      <c r="ESY26" s="19"/>
      <c r="ESZ26" s="19"/>
      <c r="ETA26" s="19"/>
      <c r="ETB26" s="19"/>
      <c r="ETC26" s="19"/>
      <c r="ETD26" s="19"/>
      <c r="ETE26" s="19"/>
      <c r="ETF26" s="19"/>
      <c r="ETG26" s="19"/>
      <c r="ETH26" s="19"/>
      <c r="ETI26" s="19"/>
      <c r="ETJ26" s="19"/>
      <c r="ETK26" s="19"/>
      <c r="ETL26" s="19"/>
      <c r="ETM26" s="19"/>
      <c r="ETN26" s="19"/>
      <c r="ETO26" s="19"/>
      <c r="ETP26" s="19"/>
      <c r="ETQ26" s="19"/>
      <c r="ETR26" s="19"/>
      <c r="ETS26" s="19"/>
      <c r="ETT26" s="19"/>
      <c r="ETU26" s="19"/>
      <c r="ETV26" s="19"/>
      <c r="ETW26" s="19"/>
      <c r="ETX26" s="19"/>
      <c r="ETY26" s="19"/>
      <c r="ETZ26" s="19"/>
      <c r="EUA26" s="19"/>
      <c r="EUB26" s="19"/>
      <c r="EUC26" s="19"/>
      <c r="EUD26" s="19"/>
      <c r="EUE26" s="19"/>
      <c r="EUF26" s="19"/>
      <c r="EUG26" s="19"/>
      <c r="EUH26" s="19"/>
      <c r="EUI26" s="19"/>
      <c r="EUJ26" s="19"/>
      <c r="EUK26" s="19"/>
      <c r="EUL26" s="19"/>
      <c r="EUM26" s="19"/>
      <c r="EUN26" s="19"/>
      <c r="EUO26" s="19"/>
      <c r="EUP26" s="19"/>
      <c r="EUQ26" s="19"/>
      <c r="EUR26" s="19"/>
      <c r="EUS26" s="19"/>
      <c r="EUT26" s="19"/>
      <c r="EUU26" s="19"/>
      <c r="EUV26" s="19"/>
      <c r="EUW26" s="19"/>
      <c r="EUX26" s="19"/>
      <c r="EUY26" s="19"/>
      <c r="EUZ26" s="19"/>
      <c r="EVA26" s="19"/>
      <c r="EVB26" s="19"/>
      <c r="EVC26" s="19"/>
      <c r="EVD26" s="19"/>
      <c r="EVE26" s="19"/>
      <c r="EVF26" s="19"/>
      <c r="EVG26" s="19"/>
      <c r="EVH26" s="19"/>
      <c r="EVI26" s="19"/>
      <c r="EVJ26" s="19"/>
      <c r="EVK26" s="19"/>
      <c r="EVL26" s="19"/>
      <c r="EVM26" s="19"/>
      <c r="EVN26" s="19"/>
      <c r="EVO26" s="19"/>
      <c r="EVP26" s="19"/>
      <c r="EVQ26" s="19"/>
      <c r="EVR26" s="19"/>
      <c r="EVS26" s="19"/>
      <c r="EVT26" s="19"/>
      <c r="EVU26" s="19"/>
      <c r="EVV26" s="19"/>
      <c r="EVW26" s="19"/>
      <c r="EVX26" s="19"/>
      <c r="EVY26" s="19"/>
      <c r="EVZ26" s="19"/>
      <c r="EWA26" s="19"/>
      <c r="EWB26" s="19"/>
      <c r="EWC26" s="19"/>
      <c r="EWD26" s="19"/>
      <c r="EWE26" s="19"/>
      <c r="EWF26" s="19"/>
      <c r="EWG26" s="19"/>
      <c r="EWH26" s="19"/>
      <c r="EWI26" s="19"/>
      <c r="EWJ26" s="19"/>
      <c r="EWK26" s="19"/>
      <c r="EWL26" s="19"/>
      <c r="EWM26" s="19"/>
      <c r="EWN26" s="19"/>
      <c r="EWO26" s="19"/>
      <c r="EWP26" s="19"/>
      <c r="EWQ26" s="19"/>
      <c r="EWR26" s="19"/>
      <c r="EWS26" s="19"/>
      <c r="EWT26" s="19"/>
      <c r="EWU26" s="19"/>
      <c r="EWV26" s="19"/>
      <c r="EWW26" s="19"/>
      <c r="EWX26" s="19"/>
      <c r="EWY26" s="19"/>
      <c r="EWZ26" s="19"/>
      <c r="EXA26" s="19"/>
      <c r="EXB26" s="19"/>
      <c r="EXC26" s="19"/>
      <c r="EXD26" s="19"/>
      <c r="EXE26" s="19"/>
      <c r="EXF26" s="19"/>
      <c r="EXG26" s="19"/>
      <c r="EXH26" s="19"/>
      <c r="EXI26" s="19"/>
      <c r="EXJ26" s="19"/>
      <c r="EXK26" s="19"/>
      <c r="EXL26" s="19"/>
      <c r="EXM26" s="19"/>
      <c r="EXN26" s="19"/>
      <c r="EXO26" s="19"/>
      <c r="EXP26" s="19"/>
      <c r="EXQ26" s="19"/>
      <c r="EXR26" s="19"/>
      <c r="EXS26" s="19"/>
      <c r="EXT26" s="19"/>
      <c r="EXU26" s="19"/>
      <c r="EXV26" s="19"/>
      <c r="EXW26" s="19"/>
      <c r="EXX26" s="19"/>
      <c r="EXY26" s="19"/>
      <c r="EXZ26" s="19"/>
      <c r="EYA26" s="19"/>
      <c r="EYB26" s="19"/>
      <c r="EYC26" s="19"/>
      <c r="EYD26" s="19"/>
      <c r="EYE26" s="19"/>
      <c r="EYF26" s="19"/>
      <c r="EYG26" s="19"/>
      <c r="EYH26" s="19"/>
      <c r="EYI26" s="19"/>
      <c r="EYJ26" s="19"/>
      <c r="EYK26" s="19"/>
      <c r="EYL26" s="19"/>
      <c r="EYM26" s="19"/>
      <c r="EYN26" s="19"/>
      <c r="EYO26" s="19"/>
      <c r="EYP26" s="19"/>
      <c r="EYQ26" s="19"/>
      <c r="EYR26" s="19"/>
      <c r="EYS26" s="19"/>
      <c r="EYT26" s="19"/>
      <c r="EYU26" s="19"/>
      <c r="EYV26" s="19"/>
      <c r="EYW26" s="19"/>
      <c r="EYX26" s="19"/>
      <c r="EYY26" s="19"/>
      <c r="EYZ26" s="19"/>
      <c r="EZA26" s="19"/>
      <c r="EZB26" s="19"/>
      <c r="EZC26" s="19"/>
      <c r="EZD26" s="19"/>
      <c r="EZE26" s="19"/>
      <c r="EZF26" s="19"/>
      <c r="EZG26" s="19"/>
      <c r="EZH26" s="19"/>
      <c r="EZI26" s="19"/>
      <c r="EZJ26" s="19"/>
      <c r="EZK26" s="19"/>
      <c r="EZL26" s="19"/>
      <c r="EZM26" s="19"/>
      <c r="EZN26" s="19"/>
      <c r="EZO26" s="19"/>
      <c r="EZP26" s="19"/>
      <c r="EZQ26" s="19"/>
      <c r="EZR26" s="19"/>
      <c r="EZS26" s="19"/>
      <c r="EZT26" s="19"/>
      <c r="EZU26" s="19"/>
      <c r="EZV26" s="19"/>
      <c r="EZW26" s="19"/>
      <c r="EZX26" s="19"/>
      <c r="EZY26" s="19"/>
      <c r="EZZ26" s="19"/>
      <c r="FAA26" s="19"/>
      <c r="FAB26" s="19"/>
      <c r="FAC26" s="19"/>
      <c r="FAD26" s="19"/>
      <c r="FAE26" s="19"/>
      <c r="FAF26" s="19"/>
      <c r="FAG26" s="19"/>
      <c r="FAH26" s="19"/>
      <c r="FAI26" s="19"/>
      <c r="FAJ26" s="19"/>
      <c r="FAK26" s="19"/>
      <c r="FAL26" s="19"/>
      <c r="FAM26" s="19"/>
      <c r="FAN26" s="19"/>
      <c r="FAO26" s="19"/>
      <c r="FAP26" s="19"/>
      <c r="FAQ26" s="19"/>
      <c r="FAR26" s="19"/>
      <c r="FAS26" s="19"/>
      <c r="FAT26" s="19"/>
      <c r="FAU26" s="19"/>
      <c r="FAV26" s="19"/>
      <c r="FAW26" s="19"/>
      <c r="FAX26" s="19"/>
      <c r="FAY26" s="19"/>
      <c r="FAZ26" s="19"/>
      <c r="FBA26" s="19"/>
      <c r="FBB26" s="19"/>
      <c r="FBC26" s="19"/>
      <c r="FBD26" s="19"/>
      <c r="FBE26" s="19"/>
      <c r="FBF26" s="19"/>
      <c r="FBG26" s="19"/>
      <c r="FBH26" s="19"/>
      <c r="FBI26" s="19"/>
      <c r="FBJ26" s="19"/>
      <c r="FBK26" s="19"/>
      <c r="FBL26" s="19"/>
      <c r="FBM26" s="19"/>
      <c r="FBN26" s="19"/>
      <c r="FBO26" s="19"/>
      <c r="FBP26" s="19"/>
      <c r="FBQ26" s="19"/>
      <c r="FBR26" s="19"/>
      <c r="FBS26" s="19"/>
      <c r="FBT26" s="19"/>
      <c r="FBU26" s="19"/>
      <c r="FBV26" s="19"/>
      <c r="FBW26" s="19"/>
      <c r="FBX26" s="19"/>
      <c r="FBY26" s="19"/>
      <c r="FBZ26" s="19"/>
      <c r="FCA26" s="19"/>
      <c r="FCB26" s="19"/>
      <c r="FCC26" s="19"/>
      <c r="FCD26" s="19"/>
      <c r="FCE26" s="19"/>
      <c r="FCF26" s="19"/>
      <c r="FCG26" s="19"/>
      <c r="FCH26" s="19"/>
      <c r="FCI26" s="19"/>
      <c r="FCJ26" s="19"/>
      <c r="FCK26" s="19"/>
      <c r="FCL26" s="19"/>
      <c r="FCM26" s="19"/>
      <c r="FCN26" s="19"/>
      <c r="FCO26" s="19"/>
      <c r="FCP26" s="19"/>
      <c r="FCQ26" s="19"/>
      <c r="FCR26" s="19"/>
      <c r="FCS26" s="19"/>
      <c r="FCT26" s="19"/>
      <c r="FCU26" s="19"/>
      <c r="FCV26" s="19"/>
      <c r="FCW26" s="19"/>
      <c r="FCX26" s="19"/>
      <c r="FCY26" s="19"/>
      <c r="FCZ26" s="19"/>
      <c r="FDA26" s="19"/>
      <c r="FDB26" s="19"/>
      <c r="FDC26" s="19"/>
      <c r="FDD26" s="19"/>
      <c r="FDE26" s="19"/>
      <c r="FDF26" s="19"/>
      <c r="FDG26" s="19"/>
      <c r="FDH26" s="19"/>
      <c r="FDI26" s="19"/>
      <c r="FDJ26" s="19"/>
      <c r="FDK26" s="19"/>
      <c r="FDL26" s="19"/>
      <c r="FDM26" s="19"/>
      <c r="FDN26" s="19"/>
      <c r="FDO26" s="19"/>
      <c r="FDP26" s="19"/>
      <c r="FDQ26" s="19"/>
      <c r="FDR26" s="19"/>
      <c r="FDS26" s="19"/>
      <c r="FDT26" s="19"/>
      <c r="FDU26" s="19"/>
      <c r="FDV26" s="19"/>
      <c r="FDW26" s="19"/>
      <c r="FDX26" s="19"/>
      <c r="FDY26" s="19"/>
      <c r="FDZ26" s="19"/>
      <c r="FEA26" s="19"/>
      <c r="FEB26" s="19"/>
      <c r="FEC26" s="19"/>
      <c r="FED26" s="19"/>
      <c r="FEE26" s="19"/>
      <c r="FEF26" s="19"/>
      <c r="FEG26" s="19"/>
      <c r="FEH26" s="19"/>
      <c r="FEI26" s="19"/>
      <c r="FEJ26" s="19"/>
      <c r="FEK26" s="19"/>
      <c r="FEL26" s="19"/>
      <c r="FEM26" s="19"/>
      <c r="FEN26" s="19"/>
      <c r="FEO26" s="19"/>
      <c r="FEP26" s="19"/>
      <c r="FEQ26" s="19"/>
      <c r="FER26" s="19"/>
      <c r="FES26" s="19"/>
      <c r="FET26" s="19"/>
      <c r="FEU26" s="19"/>
      <c r="FEV26" s="19"/>
      <c r="FEW26" s="19"/>
      <c r="FEX26" s="19"/>
      <c r="FEY26" s="19"/>
      <c r="FEZ26" s="19"/>
      <c r="FFA26" s="19"/>
      <c r="FFB26" s="19"/>
      <c r="FFC26" s="19"/>
      <c r="FFD26" s="19"/>
      <c r="FFE26" s="19"/>
      <c r="FFF26" s="19"/>
      <c r="FFG26" s="19"/>
      <c r="FFH26" s="19"/>
      <c r="FFI26" s="19"/>
      <c r="FFJ26" s="19"/>
      <c r="FFK26" s="19"/>
      <c r="FFL26" s="19"/>
      <c r="FFM26" s="19"/>
      <c r="FFN26" s="19"/>
      <c r="FFO26" s="19"/>
      <c r="FFP26" s="19"/>
      <c r="FFQ26" s="19"/>
      <c r="FFR26" s="19"/>
      <c r="FFS26" s="19"/>
      <c r="FFT26" s="19"/>
      <c r="FFU26" s="19"/>
      <c r="FFV26" s="19"/>
      <c r="FFW26" s="19"/>
      <c r="FFX26" s="19"/>
      <c r="FFY26" s="19"/>
      <c r="FFZ26" s="19"/>
      <c r="FGA26" s="19"/>
      <c r="FGB26" s="19"/>
      <c r="FGC26" s="19"/>
      <c r="FGD26" s="19"/>
      <c r="FGE26" s="19"/>
      <c r="FGF26" s="19"/>
      <c r="FGG26" s="19"/>
      <c r="FGH26" s="19"/>
      <c r="FGI26" s="19"/>
      <c r="FGJ26" s="19"/>
      <c r="FGK26" s="19"/>
      <c r="FGL26" s="19"/>
      <c r="FGM26" s="19"/>
      <c r="FGN26" s="19"/>
      <c r="FGO26" s="19"/>
      <c r="FGP26" s="19"/>
      <c r="FGQ26" s="19"/>
      <c r="FGR26" s="19"/>
      <c r="FGS26" s="19"/>
      <c r="FGT26" s="19"/>
      <c r="FGU26" s="19"/>
      <c r="FGV26" s="19"/>
      <c r="FGW26" s="19"/>
      <c r="FGX26" s="19"/>
      <c r="FGY26" s="19"/>
      <c r="FGZ26" s="19"/>
      <c r="FHA26" s="19"/>
      <c r="FHB26" s="19"/>
      <c r="FHC26" s="19"/>
      <c r="FHD26" s="19"/>
      <c r="FHE26" s="19"/>
      <c r="FHF26" s="19"/>
      <c r="FHG26" s="19"/>
      <c r="FHH26" s="19"/>
      <c r="FHI26" s="19"/>
      <c r="FHJ26" s="19"/>
      <c r="FHK26" s="19"/>
      <c r="FHL26" s="19"/>
      <c r="FHM26" s="19"/>
      <c r="FHN26" s="19"/>
      <c r="FHO26" s="19"/>
      <c r="FHP26" s="19"/>
      <c r="FHQ26" s="19"/>
      <c r="FHR26" s="19"/>
      <c r="FHS26" s="19"/>
      <c r="FHT26" s="19"/>
      <c r="FHU26" s="19"/>
      <c r="FHV26" s="19"/>
      <c r="FHW26" s="19"/>
      <c r="FHX26" s="19"/>
      <c r="FHY26" s="19"/>
      <c r="FHZ26" s="19"/>
      <c r="FIA26" s="19"/>
      <c r="FIB26" s="19"/>
      <c r="FIC26" s="19"/>
      <c r="FID26" s="19"/>
      <c r="FIE26" s="19"/>
      <c r="FIF26" s="19"/>
      <c r="FIG26" s="19"/>
      <c r="FIH26" s="19"/>
      <c r="FII26" s="19"/>
      <c r="FIJ26" s="19"/>
      <c r="FIK26" s="19"/>
      <c r="FIL26" s="19"/>
      <c r="FIM26" s="19"/>
      <c r="FIN26" s="19"/>
      <c r="FIO26" s="19"/>
      <c r="FIP26" s="19"/>
      <c r="FIQ26" s="19"/>
      <c r="FIR26" s="19"/>
      <c r="FIS26" s="19"/>
      <c r="FIT26" s="19"/>
      <c r="FIU26" s="19"/>
      <c r="FIV26" s="19"/>
      <c r="FIW26" s="19"/>
      <c r="FIX26" s="19"/>
      <c r="FIY26" s="19"/>
      <c r="FIZ26" s="19"/>
      <c r="FJA26" s="19"/>
      <c r="FJB26" s="19"/>
      <c r="FJC26" s="19"/>
      <c r="FJD26" s="19"/>
      <c r="FJE26" s="19"/>
      <c r="FJF26" s="19"/>
      <c r="FJG26" s="19"/>
      <c r="FJH26" s="19"/>
      <c r="FJI26" s="19"/>
      <c r="FJJ26" s="19"/>
      <c r="FJK26" s="19"/>
      <c r="FJL26" s="19"/>
      <c r="FJM26" s="19"/>
      <c r="FJN26" s="19"/>
      <c r="FJO26" s="19"/>
      <c r="FJP26" s="19"/>
      <c r="FJQ26" s="19"/>
      <c r="FJR26" s="19"/>
      <c r="FJS26" s="19"/>
      <c r="FJT26" s="19"/>
      <c r="FJU26" s="19"/>
      <c r="FJV26" s="19"/>
      <c r="FJW26" s="19"/>
      <c r="FJX26" s="19"/>
      <c r="FJY26" s="19"/>
      <c r="FJZ26" s="19"/>
      <c r="FKA26" s="19"/>
      <c r="FKB26" s="19"/>
      <c r="FKC26" s="19"/>
      <c r="FKD26" s="19"/>
      <c r="FKE26" s="19"/>
      <c r="FKF26" s="19"/>
      <c r="FKG26" s="19"/>
      <c r="FKH26" s="19"/>
      <c r="FKI26" s="19"/>
      <c r="FKJ26" s="19"/>
      <c r="FKK26" s="19"/>
      <c r="FKL26" s="19"/>
      <c r="FKM26" s="19"/>
      <c r="FKN26" s="19"/>
      <c r="FKO26" s="19"/>
      <c r="FKP26" s="19"/>
      <c r="FKQ26" s="19"/>
      <c r="FKR26" s="19"/>
      <c r="FKS26" s="19"/>
      <c r="FKT26" s="19"/>
      <c r="FKU26" s="19"/>
      <c r="FKV26" s="19"/>
      <c r="FKW26" s="19"/>
      <c r="FKX26" s="19"/>
      <c r="FKY26" s="19"/>
      <c r="FKZ26" s="19"/>
      <c r="FLA26" s="19"/>
      <c r="FLB26" s="19"/>
      <c r="FLC26" s="19"/>
      <c r="FLD26" s="19"/>
      <c r="FLE26" s="19"/>
      <c r="FLF26" s="19"/>
      <c r="FLG26" s="19"/>
      <c r="FLH26" s="19"/>
      <c r="FLI26" s="19"/>
      <c r="FLJ26" s="19"/>
      <c r="FLK26" s="19"/>
      <c r="FLL26" s="19"/>
      <c r="FLM26" s="19"/>
      <c r="FLN26" s="19"/>
      <c r="FLO26" s="19"/>
      <c r="FLP26" s="19"/>
      <c r="FLQ26" s="19"/>
      <c r="FLR26" s="19"/>
      <c r="FLS26" s="19"/>
      <c r="FLT26" s="19"/>
      <c r="FLU26" s="19"/>
      <c r="FLV26" s="19"/>
      <c r="FLW26" s="19"/>
      <c r="FLX26" s="19"/>
      <c r="FLY26" s="19"/>
      <c r="FLZ26" s="19"/>
      <c r="FMA26" s="19"/>
      <c r="FMB26" s="19"/>
      <c r="FMC26" s="19"/>
      <c r="FMD26" s="19"/>
      <c r="FME26" s="19"/>
      <c r="FMF26" s="19"/>
      <c r="FMG26" s="19"/>
      <c r="FMH26" s="19"/>
      <c r="FMI26" s="19"/>
      <c r="FMJ26" s="19"/>
      <c r="FMK26" s="19"/>
      <c r="FML26" s="19"/>
      <c r="FMM26" s="19"/>
      <c r="FMN26" s="19"/>
      <c r="FMO26" s="19"/>
      <c r="FMP26" s="19"/>
      <c r="FMQ26" s="19"/>
      <c r="FMR26" s="19"/>
      <c r="FMS26" s="19"/>
      <c r="FMT26" s="19"/>
      <c r="FMU26" s="19"/>
      <c r="FMV26" s="19"/>
      <c r="FMW26" s="19"/>
      <c r="FMX26" s="19"/>
      <c r="FMY26" s="19"/>
      <c r="FMZ26" s="19"/>
      <c r="FNA26" s="19"/>
      <c r="FNB26" s="19"/>
      <c r="FNC26" s="19"/>
      <c r="FND26" s="19"/>
      <c r="FNE26" s="19"/>
      <c r="FNF26" s="19"/>
      <c r="FNG26" s="19"/>
      <c r="FNH26" s="19"/>
      <c r="FNI26" s="19"/>
      <c r="FNJ26" s="19"/>
      <c r="FNK26" s="19"/>
      <c r="FNL26" s="19"/>
      <c r="FNM26" s="19"/>
      <c r="FNN26" s="19"/>
      <c r="FNO26" s="19"/>
      <c r="FNP26" s="19"/>
      <c r="FNQ26" s="19"/>
      <c r="FNR26" s="19"/>
      <c r="FNS26" s="19"/>
      <c r="FNT26" s="19"/>
      <c r="FNU26" s="19"/>
      <c r="FNV26" s="19"/>
      <c r="FNW26" s="19"/>
      <c r="FNX26" s="19"/>
      <c r="FNY26" s="19"/>
      <c r="FNZ26" s="19"/>
      <c r="FOA26" s="19"/>
      <c r="FOB26" s="19"/>
      <c r="FOC26" s="19"/>
      <c r="FOD26" s="19"/>
      <c r="FOE26" s="19"/>
      <c r="FOF26" s="19"/>
      <c r="FOG26" s="19"/>
      <c r="FOH26" s="19"/>
      <c r="FOI26" s="19"/>
      <c r="FOJ26" s="19"/>
      <c r="FOK26" s="19"/>
      <c r="FOL26" s="19"/>
      <c r="FOM26" s="19"/>
      <c r="FON26" s="19"/>
      <c r="FOO26" s="19"/>
      <c r="FOP26" s="19"/>
      <c r="FOQ26" s="19"/>
      <c r="FOR26" s="19"/>
      <c r="FOS26" s="19"/>
      <c r="FOT26" s="19"/>
      <c r="FOU26" s="19"/>
      <c r="FOV26" s="19"/>
      <c r="FOW26" s="19"/>
      <c r="FOX26" s="19"/>
      <c r="FOY26" s="19"/>
      <c r="FOZ26" s="19"/>
      <c r="FPA26" s="19"/>
      <c r="FPB26" s="19"/>
      <c r="FPC26" s="19"/>
      <c r="FPD26" s="19"/>
      <c r="FPE26" s="19"/>
      <c r="FPF26" s="19"/>
      <c r="FPG26" s="19"/>
      <c r="FPH26" s="19"/>
      <c r="FPI26" s="19"/>
      <c r="FPJ26" s="19"/>
      <c r="FPK26" s="19"/>
      <c r="FPL26" s="19"/>
      <c r="FPM26" s="19"/>
      <c r="FPN26" s="19"/>
      <c r="FPO26" s="19"/>
      <c r="FPP26" s="19"/>
      <c r="FPQ26" s="19"/>
      <c r="FPR26" s="19"/>
      <c r="FPS26" s="19"/>
      <c r="FPT26" s="19"/>
      <c r="FPU26" s="19"/>
      <c r="FPV26" s="19"/>
      <c r="FPW26" s="19"/>
      <c r="FPX26" s="19"/>
      <c r="FPY26" s="19"/>
      <c r="FPZ26" s="19"/>
      <c r="FQA26" s="19"/>
      <c r="FQB26" s="19"/>
      <c r="FQC26" s="19"/>
      <c r="FQD26" s="19"/>
      <c r="FQE26" s="19"/>
      <c r="FQF26" s="19"/>
      <c r="FQG26" s="19"/>
      <c r="FQH26" s="19"/>
      <c r="FQI26" s="19"/>
      <c r="FQJ26" s="19"/>
      <c r="FQK26" s="19"/>
      <c r="FQL26" s="19"/>
      <c r="FQM26" s="19"/>
      <c r="FQN26" s="19"/>
      <c r="FQO26" s="19"/>
      <c r="FQP26" s="19"/>
      <c r="FQQ26" s="19"/>
      <c r="FQR26" s="19"/>
      <c r="FQS26" s="19"/>
      <c r="FQT26" s="19"/>
      <c r="FQU26" s="19"/>
      <c r="FQV26" s="19"/>
      <c r="FQW26" s="19"/>
      <c r="FQX26" s="19"/>
      <c r="FQY26" s="19"/>
      <c r="FQZ26" s="19"/>
      <c r="FRA26" s="19"/>
      <c r="FRB26" s="19"/>
      <c r="FRC26" s="19"/>
      <c r="FRD26" s="19"/>
      <c r="FRE26" s="19"/>
      <c r="FRF26" s="19"/>
      <c r="FRG26" s="19"/>
      <c r="FRH26" s="19"/>
      <c r="FRI26" s="19"/>
      <c r="FRJ26" s="19"/>
      <c r="FRK26" s="19"/>
      <c r="FRL26" s="19"/>
      <c r="FRM26" s="19"/>
      <c r="FRN26" s="19"/>
      <c r="FRO26" s="19"/>
      <c r="FRP26" s="19"/>
      <c r="FRQ26" s="19"/>
      <c r="FRR26" s="19"/>
      <c r="FRS26" s="19"/>
      <c r="FRT26" s="19"/>
      <c r="FRU26" s="19"/>
      <c r="FRV26" s="19"/>
      <c r="FRW26" s="19"/>
      <c r="FRX26" s="19"/>
      <c r="FRY26" s="19"/>
      <c r="FRZ26" s="19"/>
      <c r="FSA26" s="19"/>
      <c r="FSB26" s="19"/>
      <c r="FSC26" s="19"/>
      <c r="FSD26" s="19"/>
      <c r="FSE26" s="19"/>
      <c r="FSF26" s="19"/>
      <c r="FSG26" s="19"/>
      <c r="FSH26" s="19"/>
      <c r="FSI26" s="19"/>
      <c r="FSJ26" s="19"/>
      <c r="FSK26" s="19"/>
      <c r="FSL26" s="19"/>
      <c r="FSM26" s="19"/>
      <c r="FSN26" s="19"/>
      <c r="FSO26" s="19"/>
      <c r="FSP26" s="19"/>
      <c r="FSQ26" s="19"/>
      <c r="FSR26" s="19"/>
      <c r="FSS26" s="19"/>
      <c r="FST26" s="19"/>
      <c r="FSU26" s="19"/>
      <c r="FSV26" s="19"/>
      <c r="FSW26" s="19"/>
      <c r="FSX26" s="19"/>
      <c r="FSY26" s="19"/>
      <c r="FSZ26" s="19"/>
      <c r="FTA26" s="19"/>
      <c r="FTB26" s="19"/>
      <c r="FTC26" s="19"/>
      <c r="FTD26" s="19"/>
      <c r="FTE26" s="19"/>
      <c r="FTF26" s="19"/>
      <c r="FTG26" s="19"/>
      <c r="FTH26" s="19"/>
      <c r="FTI26" s="19"/>
      <c r="FTJ26" s="19"/>
      <c r="FTK26" s="19"/>
      <c r="FTL26" s="19"/>
      <c r="FTM26" s="19"/>
      <c r="FTN26" s="19"/>
      <c r="FTO26" s="19"/>
      <c r="FTP26" s="19"/>
      <c r="FTQ26" s="19"/>
      <c r="FTR26" s="19"/>
      <c r="FTS26" s="19"/>
      <c r="FTT26" s="19"/>
      <c r="FTU26" s="19"/>
      <c r="FTV26" s="19"/>
      <c r="FTW26" s="19"/>
      <c r="FTX26" s="19"/>
      <c r="FTY26" s="19"/>
      <c r="FTZ26" s="19"/>
      <c r="FUA26" s="19"/>
      <c r="FUB26" s="19"/>
      <c r="FUC26" s="19"/>
      <c r="FUD26" s="19"/>
      <c r="FUE26" s="19"/>
      <c r="FUF26" s="19"/>
      <c r="FUG26" s="19"/>
      <c r="FUH26" s="19"/>
      <c r="FUI26" s="19"/>
      <c r="FUJ26" s="19"/>
      <c r="FUK26" s="19"/>
      <c r="FUL26" s="19"/>
      <c r="FUM26" s="19"/>
      <c r="FUN26" s="19"/>
      <c r="FUO26" s="19"/>
      <c r="FUP26" s="19"/>
      <c r="FUQ26" s="19"/>
      <c r="FUR26" s="19"/>
      <c r="FUS26" s="19"/>
      <c r="FUT26" s="19"/>
      <c r="FUU26" s="19"/>
      <c r="FUV26" s="19"/>
      <c r="FUW26" s="19"/>
      <c r="FUX26" s="19"/>
      <c r="FUY26" s="19"/>
      <c r="FUZ26" s="19"/>
      <c r="FVA26" s="19"/>
      <c r="FVB26" s="19"/>
      <c r="FVC26" s="19"/>
      <c r="FVD26" s="19"/>
      <c r="FVE26" s="19"/>
      <c r="FVF26" s="19"/>
      <c r="FVG26" s="19"/>
      <c r="FVH26" s="19"/>
      <c r="FVI26" s="19"/>
      <c r="FVJ26" s="19"/>
      <c r="FVK26" s="19"/>
      <c r="FVL26" s="19"/>
      <c r="FVM26" s="19"/>
      <c r="FVN26" s="19"/>
      <c r="FVO26" s="19"/>
      <c r="FVP26" s="19"/>
      <c r="FVQ26" s="19"/>
      <c r="FVR26" s="19"/>
      <c r="FVS26" s="19"/>
      <c r="FVT26" s="19"/>
      <c r="FVU26" s="19"/>
      <c r="FVV26" s="19"/>
      <c r="FVW26" s="19"/>
      <c r="FVX26" s="19"/>
      <c r="FVY26" s="19"/>
      <c r="FVZ26" s="19"/>
      <c r="FWA26" s="19"/>
      <c r="FWB26" s="19"/>
      <c r="FWC26" s="19"/>
      <c r="FWD26" s="19"/>
      <c r="FWE26" s="19"/>
      <c r="FWF26" s="19"/>
      <c r="FWG26" s="19"/>
      <c r="FWH26" s="19"/>
      <c r="FWI26" s="19"/>
      <c r="FWJ26" s="19"/>
      <c r="FWK26" s="19"/>
      <c r="FWL26" s="19"/>
      <c r="FWM26" s="19"/>
      <c r="FWN26" s="19"/>
      <c r="FWO26" s="19"/>
      <c r="FWP26" s="19"/>
      <c r="FWQ26" s="19"/>
      <c r="FWR26" s="19"/>
      <c r="FWS26" s="19"/>
      <c r="FWT26" s="19"/>
      <c r="FWU26" s="19"/>
      <c r="FWV26" s="19"/>
      <c r="FWW26" s="19"/>
      <c r="FWX26" s="19"/>
      <c r="FWY26" s="19"/>
      <c r="FWZ26" s="19"/>
      <c r="FXA26" s="19"/>
      <c r="FXB26" s="19"/>
      <c r="FXC26" s="19"/>
      <c r="FXD26" s="19"/>
      <c r="FXE26" s="19"/>
      <c r="FXF26" s="19"/>
      <c r="FXG26" s="19"/>
      <c r="FXH26" s="19"/>
      <c r="FXI26" s="19"/>
      <c r="FXJ26" s="19"/>
      <c r="FXK26" s="19"/>
      <c r="FXL26" s="19"/>
      <c r="FXM26" s="19"/>
      <c r="FXN26" s="19"/>
      <c r="FXO26" s="19"/>
      <c r="FXP26" s="19"/>
      <c r="FXQ26" s="19"/>
      <c r="FXR26" s="19"/>
      <c r="FXS26" s="19"/>
      <c r="FXT26" s="19"/>
      <c r="FXU26" s="19"/>
      <c r="FXV26" s="19"/>
      <c r="FXW26" s="19"/>
      <c r="FXX26" s="19"/>
      <c r="FXY26" s="19"/>
      <c r="FXZ26" s="19"/>
      <c r="FYA26" s="19"/>
      <c r="FYB26" s="19"/>
      <c r="FYC26" s="19"/>
      <c r="FYD26" s="19"/>
      <c r="FYE26" s="19"/>
      <c r="FYF26" s="19"/>
      <c r="FYG26" s="19"/>
      <c r="FYH26" s="19"/>
      <c r="FYI26" s="19"/>
      <c r="FYJ26" s="19"/>
      <c r="FYK26" s="19"/>
      <c r="FYL26" s="19"/>
      <c r="FYM26" s="19"/>
      <c r="FYN26" s="19"/>
      <c r="FYO26" s="19"/>
      <c r="FYP26" s="19"/>
      <c r="FYQ26" s="19"/>
      <c r="FYR26" s="19"/>
      <c r="FYS26" s="19"/>
      <c r="FYT26" s="19"/>
      <c r="FYU26" s="19"/>
      <c r="FYV26" s="19"/>
      <c r="FYW26" s="19"/>
      <c r="FYX26" s="19"/>
      <c r="FYY26" s="19"/>
      <c r="FYZ26" s="19"/>
      <c r="FZA26" s="19"/>
      <c r="FZB26" s="19"/>
      <c r="FZC26" s="19"/>
      <c r="FZD26" s="19"/>
      <c r="FZE26" s="19"/>
      <c r="FZF26" s="19"/>
      <c r="FZG26" s="19"/>
      <c r="FZH26" s="19"/>
      <c r="FZI26" s="19"/>
      <c r="FZJ26" s="19"/>
      <c r="FZK26" s="19"/>
      <c r="FZL26" s="19"/>
      <c r="FZM26" s="19"/>
      <c r="FZN26" s="19"/>
      <c r="FZO26" s="19"/>
      <c r="FZP26" s="19"/>
      <c r="FZQ26" s="19"/>
      <c r="FZR26" s="19"/>
      <c r="FZS26" s="19"/>
      <c r="FZT26" s="19"/>
      <c r="FZU26" s="19"/>
      <c r="FZV26" s="19"/>
      <c r="FZW26" s="19"/>
      <c r="FZX26" s="19"/>
      <c r="FZY26" s="19"/>
      <c r="FZZ26" s="19"/>
      <c r="GAA26" s="19"/>
      <c r="GAB26" s="19"/>
      <c r="GAC26" s="19"/>
      <c r="GAD26" s="19"/>
      <c r="GAE26" s="19"/>
      <c r="GAF26" s="19"/>
      <c r="GAG26" s="19"/>
      <c r="GAH26" s="19"/>
      <c r="GAI26" s="19"/>
      <c r="GAJ26" s="19"/>
      <c r="GAK26" s="19"/>
      <c r="GAL26" s="19"/>
      <c r="GAM26" s="19"/>
      <c r="GAN26" s="19"/>
      <c r="GAO26" s="19"/>
      <c r="GAP26" s="19"/>
      <c r="GAQ26" s="19"/>
      <c r="GAR26" s="19"/>
      <c r="GAS26" s="19"/>
      <c r="GAT26" s="19"/>
      <c r="GAU26" s="19"/>
      <c r="GAV26" s="19"/>
      <c r="GAW26" s="19"/>
      <c r="GAX26" s="19"/>
      <c r="GAY26" s="19"/>
      <c r="GAZ26" s="19"/>
      <c r="GBA26" s="19"/>
      <c r="GBB26" s="19"/>
      <c r="GBC26" s="19"/>
      <c r="GBD26" s="19"/>
      <c r="GBE26" s="19"/>
      <c r="GBF26" s="19"/>
      <c r="GBG26" s="19"/>
      <c r="GBH26" s="19"/>
      <c r="GBI26" s="19"/>
      <c r="GBJ26" s="19"/>
      <c r="GBK26" s="19"/>
      <c r="GBL26" s="19"/>
      <c r="GBM26" s="19"/>
      <c r="GBN26" s="19"/>
      <c r="GBO26" s="19"/>
      <c r="GBP26" s="19"/>
      <c r="GBQ26" s="19"/>
      <c r="GBR26" s="19"/>
      <c r="GBS26" s="19"/>
      <c r="GBT26" s="19"/>
      <c r="GBU26" s="19"/>
      <c r="GBV26" s="19"/>
      <c r="GBW26" s="19"/>
      <c r="GBX26" s="19"/>
      <c r="GBY26" s="19"/>
      <c r="GBZ26" s="19"/>
      <c r="GCA26" s="19"/>
      <c r="GCB26" s="19"/>
      <c r="GCC26" s="19"/>
      <c r="GCD26" s="19"/>
      <c r="GCE26" s="19"/>
      <c r="GCF26" s="19"/>
      <c r="GCG26" s="19"/>
      <c r="GCH26" s="19"/>
      <c r="GCI26" s="19"/>
      <c r="GCJ26" s="19"/>
      <c r="GCK26" s="19"/>
      <c r="GCL26" s="19"/>
      <c r="GCM26" s="19"/>
      <c r="GCN26" s="19"/>
      <c r="GCO26" s="19"/>
      <c r="GCP26" s="19"/>
      <c r="GCQ26" s="19"/>
      <c r="GCR26" s="19"/>
      <c r="GCS26" s="19"/>
      <c r="GCT26" s="19"/>
      <c r="GCU26" s="19"/>
      <c r="GCV26" s="19"/>
      <c r="GCW26" s="19"/>
      <c r="GCX26" s="19"/>
      <c r="GCY26" s="19"/>
      <c r="GCZ26" s="19"/>
      <c r="GDA26" s="19"/>
      <c r="GDB26" s="19"/>
      <c r="GDC26" s="19"/>
      <c r="GDD26" s="19"/>
      <c r="GDE26" s="19"/>
      <c r="GDF26" s="19"/>
      <c r="GDG26" s="19"/>
      <c r="GDH26" s="19"/>
      <c r="GDI26" s="19"/>
      <c r="GDJ26" s="19"/>
      <c r="GDK26" s="19"/>
      <c r="GDL26" s="19"/>
      <c r="GDM26" s="19"/>
      <c r="GDN26" s="19"/>
      <c r="GDO26" s="19"/>
      <c r="GDP26" s="19"/>
      <c r="GDQ26" s="19"/>
      <c r="GDR26" s="19"/>
      <c r="GDS26" s="19"/>
      <c r="GDT26" s="19"/>
      <c r="GDU26" s="19"/>
      <c r="GDV26" s="19"/>
      <c r="GDW26" s="19"/>
      <c r="GDX26" s="19"/>
      <c r="GDY26" s="19"/>
      <c r="GDZ26" s="19"/>
      <c r="GEA26" s="19"/>
      <c r="GEB26" s="19"/>
      <c r="GEC26" s="19"/>
      <c r="GED26" s="19"/>
      <c r="GEE26" s="19"/>
      <c r="GEF26" s="19"/>
      <c r="GEG26" s="19"/>
      <c r="GEH26" s="19"/>
      <c r="GEI26" s="19"/>
      <c r="GEJ26" s="19"/>
      <c r="GEK26" s="19"/>
      <c r="GEL26" s="19"/>
      <c r="GEM26" s="19"/>
      <c r="GEN26" s="19"/>
      <c r="GEO26" s="19"/>
      <c r="GEP26" s="19"/>
      <c r="GEQ26" s="19"/>
      <c r="GER26" s="19"/>
      <c r="GES26" s="19"/>
      <c r="GET26" s="19"/>
      <c r="GEU26" s="19"/>
      <c r="GEV26" s="19"/>
      <c r="GEW26" s="19"/>
      <c r="GEX26" s="19"/>
      <c r="GEY26" s="19"/>
      <c r="GEZ26" s="19"/>
      <c r="GFA26" s="19"/>
      <c r="GFB26" s="19"/>
      <c r="GFC26" s="19"/>
      <c r="GFD26" s="19"/>
      <c r="GFE26" s="19"/>
      <c r="GFF26" s="19"/>
      <c r="GFG26" s="19"/>
      <c r="GFH26" s="19"/>
      <c r="GFI26" s="19"/>
      <c r="GFJ26" s="19"/>
      <c r="GFK26" s="19"/>
      <c r="GFL26" s="19"/>
      <c r="GFM26" s="19"/>
      <c r="GFN26" s="19"/>
      <c r="GFO26" s="19"/>
      <c r="GFP26" s="19"/>
      <c r="GFQ26" s="19"/>
      <c r="GFR26" s="19"/>
      <c r="GFS26" s="19"/>
      <c r="GFT26" s="19"/>
      <c r="GFU26" s="19"/>
      <c r="GFV26" s="19"/>
      <c r="GFW26" s="19"/>
      <c r="GFX26" s="19"/>
      <c r="GFY26" s="19"/>
      <c r="GFZ26" s="19"/>
      <c r="GGA26" s="19"/>
      <c r="GGB26" s="19"/>
      <c r="GGC26" s="19"/>
      <c r="GGD26" s="19"/>
      <c r="GGE26" s="19"/>
      <c r="GGF26" s="19"/>
      <c r="GGG26" s="19"/>
      <c r="GGH26" s="19"/>
      <c r="GGI26" s="19"/>
      <c r="GGJ26" s="19"/>
      <c r="GGK26" s="19"/>
      <c r="GGL26" s="19"/>
      <c r="GGM26" s="19"/>
      <c r="GGN26" s="19"/>
      <c r="GGO26" s="19"/>
      <c r="GGP26" s="19"/>
      <c r="GGQ26" s="19"/>
      <c r="GGR26" s="19"/>
      <c r="GGS26" s="19"/>
      <c r="GGT26" s="19"/>
      <c r="GGU26" s="19"/>
      <c r="GGV26" s="19"/>
      <c r="GGW26" s="19"/>
      <c r="GGX26" s="19"/>
      <c r="GGY26" s="19"/>
      <c r="GGZ26" s="19"/>
      <c r="GHA26" s="19"/>
      <c r="GHB26" s="19"/>
      <c r="GHC26" s="19"/>
      <c r="GHD26" s="19"/>
      <c r="GHE26" s="19"/>
      <c r="GHF26" s="19"/>
      <c r="GHG26" s="19"/>
      <c r="GHH26" s="19"/>
      <c r="GHI26" s="19"/>
      <c r="GHJ26" s="19"/>
      <c r="GHK26" s="19"/>
      <c r="GHL26" s="19"/>
      <c r="GHM26" s="19"/>
      <c r="GHN26" s="19"/>
      <c r="GHO26" s="19"/>
      <c r="GHP26" s="19"/>
      <c r="GHQ26" s="19"/>
      <c r="GHR26" s="19"/>
      <c r="GHS26" s="19"/>
      <c r="GHT26" s="19"/>
      <c r="GHU26" s="19"/>
      <c r="GHV26" s="19"/>
      <c r="GHW26" s="19"/>
      <c r="GHX26" s="19"/>
      <c r="GHY26" s="19"/>
      <c r="GHZ26" s="19"/>
      <c r="GIA26" s="19"/>
      <c r="GIB26" s="19"/>
      <c r="GIC26" s="19"/>
      <c r="GID26" s="19"/>
      <c r="GIE26" s="19"/>
      <c r="GIF26" s="19"/>
      <c r="GIG26" s="19"/>
      <c r="GIH26" s="19"/>
      <c r="GII26" s="19"/>
      <c r="GIJ26" s="19"/>
      <c r="GIK26" s="19"/>
      <c r="GIL26" s="19"/>
      <c r="GIM26" s="19"/>
      <c r="GIN26" s="19"/>
      <c r="GIO26" s="19"/>
      <c r="GIP26" s="19"/>
      <c r="GIQ26" s="19"/>
      <c r="GIR26" s="19"/>
      <c r="GIS26" s="19"/>
      <c r="GIT26" s="19"/>
      <c r="GIU26" s="19"/>
      <c r="GIV26" s="19"/>
      <c r="GIW26" s="19"/>
      <c r="GIX26" s="19"/>
      <c r="GIY26" s="19"/>
      <c r="GIZ26" s="19"/>
      <c r="GJA26" s="19"/>
      <c r="GJB26" s="19"/>
      <c r="GJC26" s="19"/>
      <c r="GJD26" s="19"/>
      <c r="GJE26" s="19"/>
      <c r="GJF26" s="19"/>
      <c r="GJG26" s="19"/>
      <c r="GJH26" s="19"/>
      <c r="GJI26" s="19"/>
      <c r="GJJ26" s="19"/>
      <c r="GJK26" s="19"/>
      <c r="GJL26" s="19"/>
      <c r="GJM26" s="19"/>
      <c r="GJN26" s="19"/>
      <c r="GJO26" s="19"/>
      <c r="GJP26" s="19"/>
      <c r="GJQ26" s="19"/>
      <c r="GJR26" s="19"/>
      <c r="GJS26" s="19"/>
      <c r="GJT26" s="19"/>
      <c r="GJU26" s="19"/>
      <c r="GJV26" s="19"/>
      <c r="GJW26" s="19"/>
      <c r="GJX26" s="19"/>
      <c r="GJY26" s="19"/>
      <c r="GJZ26" s="19"/>
      <c r="GKA26" s="19"/>
      <c r="GKB26" s="19"/>
      <c r="GKC26" s="19"/>
      <c r="GKD26" s="19"/>
      <c r="GKE26" s="19"/>
      <c r="GKF26" s="19"/>
      <c r="GKG26" s="19"/>
      <c r="GKH26" s="19"/>
      <c r="GKI26" s="19"/>
      <c r="GKJ26" s="19"/>
      <c r="GKK26" s="19"/>
      <c r="GKL26" s="19"/>
      <c r="GKM26" s="19"/>
      <c r="GKN26" s="19"/>
      <c r="GKO26" s="19"/>
      <c r="GKP26" s="19"/>
      <c r="GKQ26" s="19"/>
      <c r="GKR26" s="19"/>
      <c r="GKS26" s="19"/>
      <c r="GKT26" s="19"/>
      <c r="GKU26" s="19"/>
      <c r="GKV26" s="19"/>
      <c r="GKW26" s="19"/>
      <c r="GKX26" s="19"/>
      <c r="GKY26" s="19"/>
      <c r="GKZ26" s="19"/>
      <c r="GLA26" s="19"/>
      <c r="GLB26" s="19"/>
      <c r="GLC26" s="19"/>
      <c r="GLD26" s="19"/>
      <c r="GLE26" s="19"/>
      <c r="GLF26" s="19"/>
      <c r="GLG26" s="19"/>
      <c r="GLH26" s="19"/>
      <c r="GLI26" s="19"/>
      <c r="GLJ26" s="19"/>
      <c r="GLK26" s="19"/>
      <c r="GLL26" s="19"/>
      <c r="GLM26" s="19"/>
      <c r="GLN26" s="19"/>
      <c r="GLO26" s="19"/>
      <c r="GLP26" s="19"/>
      <c r="GLQ26" s="19"/>
      <c r="GLR26" s="19"/>
      <c r="GLS26" s="19"/>
      <c r="GLT26" s="19"/>
      <c r="GLU26" s="19"/>
      <c r="GLV26" s="19"/>
      <c r="GLW26" s="19"/>
      <c r="GLX26" s="19"/>
      <c r="GLY26" s="19"/>
      <c r="GLZ26" s="19"/>
      <c r="GMA26" s="19"/>
      <c r="GMB26" s="19"/>
      <c r="GMC26" s="19"/>
      <c r="GMD26" s="19"/>
      <c r="GME26" s="19"/>
      <c r="GMF26" s="19"/>
      <c r="GMG26" s="19"/>
      <c r="GMH26" s="19"/>
      <c r="GMI26" s="19"/>
      <c r="GMJ26" s="19"/>
      <c r="GMK26" s="19"/>
      <c r="GML26" s="19"/>
      <c r="GMM26" s="19"/>
      <c r="GMN26" s="19"/>
      <c r="GMO26" s="19"/>
      <c r="GMP26" s="19"/>
      <c r="GMQ26" s="19"/>
      <c r="GMR26" s="19"/>
      <c r="GMS26" s="19"/>
      <c r="GMT26" s="19"/>
      <c r="GMU26" s="19"/>
      <c r="GMV26" s="19"/>
      <c r="GMW26" s="19"/>
      <c r="GMX26" s="19"/>
      <c r="GMY26" s="19"/>
      <c r="GMZ26" s="19"/>
      <c r="GNA26" s="19"/>
      <c r="GNB26" s="19"/>
      <c r="GNC26" s="19"/>
      <c r="GND26" s="19"/>
      <c r="GNE26" s="19"/>
      <c r="GNF26" s="19"/>
      <c r="GNG26" s="19"/>
      <c r="GNH26" s="19"/>
      <c r="GNI26" s="19"/>
      <c r="GNJ26" s="19"/>
      <c r="GNK26" s="19"/>
      <c r="GNL26" s="19"/>
      <c r="GNM26" s="19"/>
      <c r="GNN26" s="19"/>
      <c r="GNO26" s="19"/>
      <c r="GNP26" s="19"/>
      <c r="GNQ26" s="19"/>
      <c r="GNR26" s="19"/>
      <c r="GNS26" s="19"/>
      <c r="GNT26" s="19"/>
      <c r="GNU26" s="19"/>
      <c r="GNV26" s="19"/>
      <c r="GNW26" s="19"/>
      <c r="GNX26" s="19"/>
      <c r="GNY26" s="19"/>
      <c r="GNZ26" s="19"/>
      <c r="GOA26" s="19"/>
      <c r="GOB26" s="19"/>
      <c r="GOC26" s="19"/>
      <c r="GOD26" s="19"/>
      <c r="GOE26" s="19"/>
      <c r="GOF26" s="19"/>
      <c r="GOG26" s="19"/>
      <c r="GOH26" s="19"/>
      <c r="GOI26" s="19"/>
      <c r="GOJ26" s="19"/>
      <c r="GOK26" s="19"/>
      <c r="GOL26" s="19"/>
      <c r="GOM26" s="19"/>
      <c r="GON26" s="19"/>
      <c r="GOO26" s="19"/>
      <c r="GOP26" s="19"/>
      <c r="GOQ26" s="19"/>
      <c r="GOR26" s="19"/>
      <c r="GOS26" s="19"/>
      <c r="GOT26" s="19"/>
      <c r="GOU26" s="19"/>
      <c r="GOV26" s="19"/>
      <c r="GOW26" s="19"/>
      <c r="GOX26" s="19"/>
      <c r="GOY26" s="19"/>
      <c r="GOZ26" s="19"/>
      <c r="GPA26" s="19"/>
      <c r="GPB26" s="19"/>
      <c r="GPC26" s="19"/>
      <c r="GPD26" s="19"/>
      <c r="GPE26" s="19"/>
      <c r="GPF26" s="19"/>
      <c r="GPG26" s="19"/>
      <c r="GPH26" s="19"/>
      <c r="GPI26" s="19"/>
      <c r="GPJ26" s="19"/>
      <c r="GPK26" s="19"/>
      <c r="GPL26" s="19"/>
      <c r="GPM26" s="19"/>
      <c r="GPN26" s="19"/>
      <c r="GPO26" s="19"/>
      <c r="GPP26" s="19"/>
      <c r="GPQ26" s="19"/>
      <c r="GPR26" s="19"/>
      <c r="GPS26" s="19"/>
      <c r="GPT26" s="19"/>
      <c r="GPU26" s="19"/>
      <c r="GPV26" s="19"/>
      <c r="GPW26" s="19"/>
      <c r="GPX26" s="19"/>
      <c r="GPY26" s="19"/>
      <c r="GPZ26" s="19"/>
      <c r="GQA26" s="19"/>
      <c r="GQB26" s="19"/>
      <c r="GQC26" s="19"/>
      <c r="GQD26" s="19"/>
      <c r="GQE26" s="19"/>
      <c r="GQF26" s="19"/>
      <c r="GQG26" s="19"/>
      <c r="GQH26" s="19"/>
      <c r="GQI26" s="19"/>
      <c r="GQJ26" s="19"/>
      <c r="GQK26" s="19"/>
      <c r="GQL26" s="19"/>
      <c r="GQM26" s="19"/>
      <c r="GQN26" s="19"/>
      <c r="GQO26" s="19"/>
      <c r="GQP26" s="19"/>
      <c r="GQQ26" s="19"/>
      <c r="GQR26" s="19"/>
      <c r="GQS26" s="19"/>
      <c r="GQT26" s="19"/>
      <c r="GQU26" s="19"/>
      <c r="GQV26" s="19"/>
      <c r="GQW26" s="19"/>
      <c r="GQX26" s="19"/>
      <c r="GQY26" s="19"/>
      <c r="GQZ26" s="19"/>
      <c r="GRA26" s="19"/>
      <c r="GRB26" s="19"/>
      <c r="GRC26" s="19"/>
      <c r="GRD26" s="19"/>
      <c r="GRE26" s="19"/>
      <c r="GRF26" s="19"/>
      <c r="GRG26" s="19"/>
      <c r="GRH26" s="19"/>
      <c r="GRI26" s="19"/>
      <c r="GRJ26" s="19"/>
      <c r="GRK26" s="19"/>
      <c r="GRL26" s="19"/>
      <c r="GRM26" s="19"/>
      <c r="GRN26" s="19"/>
      <c r="GRO26" s="19"/>
      <c r="GRP26" s="19"/>
      <c r="GRQ26" s="19"/>
      <c r="GRR26" s="19"/>
      <c r="GRS26" s="19"/>
      <c r="GRT26" s="19"/>
      <c r="GRU26" s="19"/>
      <c r="GRV26" s="19"/>
      <c r="GRW26" s="19"/>
      <c r="GRX26" s="19"/>
      <c r="GRY26" s="19"/>
      <c r="GRZ26" s="19"/>
      <c r="GSA26" s="19"/>
      <c r="GSB26" s="19"/>
      <c r="GSC26" s="19"/>
      <c r="GSD26" s="19"/>
      <c r="GSE26" s="19"/>
      <c r="GSF26" s="19"/>
      <c r="GSG26" s="19"/>
      <c r="GSH26" s="19"/>
      <c r="GSI26" s="19"/>
      <c r="GSJ26" s="19"/>
      <c r="GSK26" s="19"/>
      <c r="GSL26" s="19"/>
      <c r="GSM26" s="19"/>
      <c r="GSN26" s="19"/>
      <c r="GSO26" s="19"/>
      <c r="GSP26" s="19"/>
      <c r="GSQ26" s="19"/>
      <c r="GSR26" s="19"/>
      <c r="GSS26" s="19"/>
      <c r="GST26" s="19"/>
      <c r="GSU26" s="19"/>
      <c r="GSV26" s="19"/>
      <c r="GSW26" s="19"/>
      <c r="GSX26" s="19"/>
      <c r="GSY26" s="19"/>
      <c r="GSZ26" s="19"/>
      <c r="GTA26" s="19"/>
      <c r="GTB26" s="19"/>
      <c r="GTC26" s="19"/>
      <c r="GTD26" s="19"/>
      <c r="GTE26" s="19"/>
      <c r="GTF26" s="19"/>
      <c r="GTG26" s="19"/>
      <c r="GTH26" s="19"/>
      <c r="GTI26" s="19"/>
      <c r="GTJ26" s="19"/>
      <c r="GTK26" s="19"/>
      <c r="GTL26" s="19"/>
      <c r="GTM26" s="19"/>
      <c r="GTN26" s="19"/>
      <c r="GTO26" s="19"/>
      <c r="GTP26" s="19"/>
      <c r="GTQ26" s="19"/>
      <c r="GTR26" s="19"/>
      <c r="GTS26" s="19"/>
      <c r="GTT26" s="19"/>
      <c r="GTU26" s="19"/>
      <c r="GTV26" s="19"/>
      <c r="GTW26" s="19"/>
      <c r="GTX26" s="19"/>
      <c r="GTY26" s="19"/>
      <c r="GTZ26" s="19"/>
      <c r="GUA26" s="19"/>
      <c r="GUB26" s="19"/>
      <c r="GUC26" s="19"/>
      <c r="GUD26" s="19"/>
      <c r="GUE26" s="19"/>
      <c r="GUF26" s="19"/>
      <c r="GUG26" s="19"/>
      <c r="GUH26" s="19"/>
      <c r="GUI26" s="19"/>
      <c r="GUJ26" s="19"/>
      <c r="GUK26" s="19"/>
      <c r="GUL26" s="19"/>
      <c r="GUM26" s="19"/>
      <c r="GUN26" s="19"/>
      <c r="GUO26" s="19"/>
      <c r="GUP26" s="19"/>
      <c r="GUQ26" s="19"/>
      <c r="GUR26" s="19"/>
      <c r="GUS26" s="19"/>
      <c r="GUT26" s="19"/>
      <c r="GUU26" s="19"/>
      <c r="GUV26" s="19"/>
      <c r="GUW26" s="19"/>
      <c r="GUX26" s="19"/>
      <c r="GUY26" s="19"/>
      <c r="GUZ26" s="19"/>
      <c r="GVA26" s="19"/>
      <c r="GVB26" s="19"/>
      <c r="GVC26" s="19"/>
      <c r="GVD26" s="19"/>
      <c r="GVE26" s="19"/>
      <c r="GVF26" s="19"/>
      <c r="GVG26" s="19"/>
      <c r="GVH26" s="19"/>
      <c r="GVI26" s="19"/>
      <c r="GVJ26" s="19"/>
      <c r="GVK26" s="19"/>
      <c r="GVL26" s="19"/>
      <c r="GVM26" s="19"/>
      <c r="GVN26" s="19"/>
      <c r="GVO26" s="19"/>
      <c r="GVP26" s="19"/>
      <c r="GVQ26" s="19"/>
      <c r="GVR26" s="19"/>
      <c r="GVS26" s="19"/>
      <c r="GVT26" s="19"/>
      <c r="GVU26" s="19"/>
      <c r="GVV26" s="19"/>
      <c r="GVW26" s="19"/>
      <c r="GVX26" s="19"/>
      <c r="GVY26" s="19"/>
      <c r="GVZ26" s="19"/>
      <c r="GWA26" s="19"/>
      <c r="GWB26" s="19"/>
      <c r="GWC26" s="19"/>
      <c r="GWD26" s="19"/>
      <c r="GWE26" s="19"/>
      <c r="GWF26" s="19"/>
      <c r="GWG26" s="19"/>
      <c r="GWH26" s="19"/>
      <c r="GWI26" s="19"/>
      <c r="GWJ26" s="19"/>
      <c r="GWK26" s="19"/>
      <c r="GWL26" s="19"/>
      <c r="GWM26" s="19"/>
      <c r="GWN26" s="19"/>
      <c r="GWO26" s="19"/>
      <c r="GWP26" s="19"/>
      <c r="GWQ26" s="19"/>
      <c r="GWR26" s="19"/>
      <c r="GWS26" s="19"/>
      <c r="GWT26" s="19"/>
      <c r="GWU26" s="19"/>
      <c r="GWV26" s="19"/>
      <c r="GWW26" s="19"/>
      <c r="GWX26" s="19"/>
      <c r="GWY26" s="19"/>
      <c r="GWZ26" s="19"/>
      <c r="GXA26" s="19"/>
      <c r="GXB26" s="19"/>
      <c r="GXC26" s="19"/>
      <c r="GXD26" s="19"/>
      <c r="GXE26" s="19"/>
      <c r="GXF26" s="19"/>
      <c r="GXG26" s="19"/>
      <c r="GXH26" s="19"/>
      <c r="GXI26" s="19"/>
      <c r="GXJ26" s="19"/>
      <c r="GXK26" s="19"/>
      <c r="GXL26" s="19"/>
      <c r="GXM26" s="19"/>
      <c r="GXN26" s="19"/>
      <c r="GXO26" s="19"/>
      <c r="GXP26" s="19"/>
      <c r="GXQ26" s="19"/>
      <c r="GXR26" s="19"/>
      <c r="GXS26" s="19"/>
      <c r="GXT26" s="19"/>
      <c r="GXU26" s="19"/>
      <c r="GXV26" s="19"/>
      <c r="GXW26" s="19"/>
      <c r="GXX26" s="19"/>
      <c r="GXY26" s="19"/>
      <c r="GXZ26" s="19"/>
      <c r="GYA26" s="19"/>
      <c r="GYB26" s="19"/>
      <c r="GYC26" s="19"/>
      <c r="GYD26" s="19"/>
      <c r="GYE26" s="19"/>
      <c r="GYF26" s="19"/>
      <c r="GYG26" s="19"/>
      <c r="GYH26" s="19"/>
      <c r="GYI26" s="19"/>
      <c r="GYJ26" s="19"/>
      <c r="GYK26" s="19"/>
      <c r="GYL26" s="19"/>
      <c r="GYM26" s="19"/>
      <c r="GYN26" s="19"/>
      <c r="GYO26" s="19"/>
      <c r="GYP26" s="19"/>
      <c r="GYQ26" s="19"/>
      <c r="GYR26" s="19"/>
      <c r="GYS26" s="19"/>
      <c r="GYT26" s="19"/>
      <c r="GYU26" s="19"/>
      <c r="GYV26" s="19"/>
      <c r="GYW26" s="19"/>
      <c r="GYX26" s="19"/>
      <c r="GYY26" s="19"/>
      <c r="GYZ26" s="19"/>
      <c r="GZA26" s="19"/>
      <c r="GZB26" s="19"/>
      <c r="GZC26" s="19"/>
      <c r="GZD26" s="19"/>
      <c r="GZE26" s="19"/>
      <c r="GZF26" s="19"/>
      <c r="GZG26" s="19"/>
      <c r="GZH26" s="19"/>
      <c r="GZI26" s="19"/>
      <c r="GZJ26" s="19"/>
      <c r="GZK26" s="19"/>
      <c r="GZL26" s="19"/>
      <c r="GZM26" s="19"/>
      <c r="GZN26" s="19"/>
      <c r="GZO26" s="19"/>
      <c r="GZP26" s="19"/>
      <c r="GZQ26" s="19"/>
      <c r="GZR26" s="19"/>
      <c r="GZS26" s="19"/>
      <c r="GZT26" s="19"/>
      <c r="GZU26" s="19"/>
      <c r="GZV26" s="19"/>
      <c r="GZW26" s="19"/>
      <c r="GZX26" s="19"/>
      <c r="GZY26" s="19"/>
      <c r="GZZ26" s="19"/>
      <c r="HAA26" s="19"/>
      <c r="HAB26" s="19"/>
      <c r="HAC26" s="19"/>
      <c r="HAD26" s="19"/>
      <c r="HAE26" s="19"/>
      <c r="HAF26" s="19"/>
      <c r="HAG26" s="19"/>
      <c r="HAH26" s="19"/>
      <c r="HAI26" s="19"/>
      <c r="HAJ26" s="19"/>
      <c r="HAK26" s="19"/>
      <c r="HAL26" s="19"/>
      <c r="HAM26" s="19"/>
      <c r="HAN26" s="19"/>
      <c r="HAO26" s="19"/>
      <c r="HAP26" s="19"/>
      <c r="HAQ26" s="19"/>
      <c r="HAR26" s="19"/>
      <c r="HAS26" s="19"/>
      <c r="HAT26" s="19"/>
      <c r="HAU26" s="19"/>
      <c r="HAV26" s="19"/>
      <c r="HAW26" s="19"/>
      <c r="HAX26" s="19"/>
      <c r="HAY26" s="19"/>
      <c r="HAZ26" s="19"/>
      <c r="HBA26" s="19"/>
      <c r="HBB26" s="19"/>
      <c r="HBC26" s="19"/>
      <c r="HBD26" s="19"/>
      <c r="HBE26" s="19"/>
      <c r="HBF26" s="19"/>
      <c r="HBG26" s="19"/>
      <c r="HBH26" s="19"/>
      <c r="HBI26" s="19"/>
      <c r="HBJ26" s="19"/>
      <c r="HBK26" s="19"/>
      <c r="HBL26" s="19"/>
      <c r="HBM26" s="19"/>
      <c r="HBN26" s="19"/>
      <c r="HBO26" s="19"/>
      <c r="HBP26" s="19"/>
      <c r="HBQ26" s="19"/>
      <c r="HBR26" s="19"/>
      <c r="HBS26" s="19"/>
      <c r="HBT26" s="19"/>
      <c r="HBU26" s="19"/>
      <c r="HBV26" s="19"/>
      <c r="HBW26" s="19"/>
      <c r="HBX26" s="19"/>
      <c r="HBY26" s="19"/>
      <c r="HBZ26" s="19"/>
      <c r="HCA26" s="19"/>
      <c r="HCB26" s="19"/>
      <c r="HCC26" s="19"/>
      <c r="HCD26" s="19"/>
      <c r="HCE26" s="19"/>
      <c r="HCF26" s="19"/>
      <c r="HCG26" s="19"/>
      <c r="HCH26" s="19"/>
      <c r="HCI26" s="19"/>
      <c r="HCJ26" s="19"/>
      <c r="HCK26" s="19"/>
      <c r="HCL26" s="19"/>
      <c r="HCM26" s="19"/>
      <c r="HCN26" s="19"/>
      <c r="HCO26" s="19"/>
      <c r="HCP26" s="19"/>
      <c r="HCQ26" s="19"/>
      <c r="HCR26" s="19"/>
      <c r="HCS26" s="19"/>
      <c r="HCT26" s="19"/>
      <c r="HCU26" s="19"/>
      <c r="HCV26" s="19"/>
      <c r="HCW26" s="19"/>
      <c r="HCX26" s="19"/>
      <c r="HCY26" s="19"/>
      <c r="HCZ26" s="19"/>
      <c r="HDA26" s="19"/>
      <c r="HDB26" s="19"/>
      <c r="HDC26" s="19"/>
      <c r="HDD26" s="19"/>
      <c r="HDE26" s="19"/>
      <c r="HDF26" s="19"/>
      <c r="HDG26" s="19"/>
      <c r="HDH26" s="19"/>
      <c r="HDI26" s="19"/>
      <c r="HDJ26" s="19"/>
      <c r="HDK26" s="19"/>
      <c r="HDL26" s="19"/>
      <c r="HDM26" s="19"/>
      <c r="HDN26" s="19"/>
      <c r="HDO26" s="19"/>
      <c r="HDP26" s="19"/>
      <c r="HDQ26" s="19"/>
      <c r="HDR26" s="19"/>
      <c r="HDS26" s="19"/>
      <c r="HDT26" s="19"/>
      <c r="HDU26" s="19"/>
      <c r="HDV26" s="19"/>
      <c r="HDW26" s="19"/>
      <c r="HDX26" s="19"/>
      <c r="HDY26" s="19"/>
      <c r="HDZ26" s="19"/>
      <c r="HEA26" s="19"/>
      <c r="HEB26" s="19"/>
      <c r="HEC26" s="19"/>
      <c r="HED26" s="19"/>
      <c r="HEE26" s="19"/>
      <c r="HEF26" s="19"/>
      <c r="HEG26" s="19"/>
      <c r="HEH26" s="19"/>
      <c r="HEI26" s="19"/>
      <c r="HEJ26" s="19"/>
      <c r="HEK26" s="19"/>
      <c r="HEL26" s="19"/>
      <c r="HEM26" s="19"/>
      <c r="HEN26" s="19"/>
      <c r="HEO26" s="19"/>
      <c r="HEP26" s="19"/>
      <c r="HEQ26" s="19"/>
      <c r="HER26" s="19"/>
      <c r="HES26" s="19"/>
      <c r="HET26" s="19"/>
      <c r="HEU26" s="19"/>
      <c r="HEV26" s="19"/>
      <c r="HEW26" s="19"/>
      <c r="HEX26" s="19"/>
      <c r="HEY26" s="19"/>
      <c r="HEZ26" s="19"/>
      <c r="HFA26" s="19"/>
      <c r="HFB26" s="19"/>
      <c r="HFC26" s="19"/>
      <c r="HFD26" s="19"/>
      <c r="HFE26" s="19"/>
      <c r="HFF26" s="19"/>
      <c r="HFG26" s="19"/>
      <c r="HFH26" s="19"/>
      <c r="HFI26" s="19"/>
      <c r="HFJ26" s="19"/>
      <c r="HFK26" s="19"/>
      <c r="HFL26" s="19"/>
      <c r="HFM26" s="19"/>
      <c r="HFN26" s="19"/>
      <c r="HFO26" s="19"/>
      <c r="HFP26" s="19"/>
      <c r="HFQ26" s="19"/>
      <c r="HFR26" s="19"/>
      <c r="HFS26" s="19"/>
      <c r="HFT26" s="19"/>
      <c r="HFU26" s="19"/>
      <c r="HFV26" s="19"/>
      <c r="HFW26" s="19"/>
      <c r="HFX26" s="19"/>
      <c r="HFY26" s="19"/>
      <c r="HFZ26" s="19"/>
      <c r="HGA26" s="19"/>
      <c r="HGB26" s="19"/>
      <c r="HGC26" s="19"/>
      <c r="HGD26" s="19"/>
      <c r="HGE26" s="19"/>
      <c r="HGF26" s="19"/>
      <c r="HGG26" s="19"/>
      <c r="HGH26" s="19"/>
      <c r="HGI26" s="19"/>
      <c r="HGJ26" s="19"/>
      <c r="HGK26" s="19"/>
      <c r="HGL26" s="19"/>
      <c r="HGM26" s="19"/>
      <c r="HGN26" s="19"/>
      <c r="HGO26" s="19"/>
      <c r="HGP26" s="19"/>
      <c r="HGQ26" s="19"/>
      <c r="HGR26" s="19"/>
      <c r="HGS26" s="19"/>
      <c r="HGT26" s="19"/>
      <c r="HGU26" s="19"/>
      <c r="HGV26" s="19"/>
      <c r="HGW26" s="19"/>
      <c r="HGX26" s="19"/>
      <c r="HGY26" s="19"/>
      <c r="HGZ26" s="19"/>
      <c r="HHA26" s="19"/>
      <c r="HHB26" s="19"/>
      <c r="HHC26" s="19"/>
      <c r="HHD26" s="19"/>
      <c r="HHE26" s="19"/>
      <c r="HHF26" s="19"/>
      <c r="HHG26" s="19"/>
      <c r="HHH26" s="19"/>
      <c r="HHI26" s="19"/>
      <c r="HHJ26" s="19"/>
      <c r="HHK26" s="19"/>
      <c r="HHL26" s="19"/>
      <c r="HHM26" s="19"/>
      <c r="HHN26" s="19"/>
      <c r="HHO26" s="19"/>
      <c r="HHP26" s="19"/>
      <c r="HHQ26" s="19"/>
      <c r="HHR26" s="19"/>
      <c r="HHS26" s="19"/>
      <c r="HHT26" s="19"/>
      <c r="HHU26" s="19"/>
      <c r="HHV26" s="19"/>
      <c r="HHW26" s="19"/>
      <c r="HHX26" s="19"/>
      <c r="HHY26" s="19"/>
      <c r="HHZ26" s="19"/>
      <c r="HIA26" s="19"/>
      <c r="HIB26" s="19"/>
      <c r="HIC26" s="19"/>
      <c r="HID26" s="19"/>
      <c r="HIE26" s="19"/>
      <c r="HIF26" s="19"/>
      <c r="HIG26" s="19"/>
      <c r="HIH26" s="19"/>
      <c r="HII26" s="19"/>
      <c r="HIJ26" s="19"/>
      <c r="HIK26" s="19"/>
      <c r="HIL26" s="19"/>
      <c r="HIM26" s="19"/>
      <c r="HIN26" s="19"/>
      <c r="HIO26" s="19"/>
      <c r="HIP26" s="19"/>
      <c r="HIQ26" s="19"/>
      <c r="HIR26" s="19"/>
      <c r="HIS26" s="19"/>
      <c r="HIT26" s="19"/>
      <c r="HIU26" s="19"/>
      <c r="HIV26" s="19"/>
      <c r="HIW26" s="19"/>
      <c r="HIX26" s="19"/>
      <c r="HIY26" s="19"/>
      <c r="HIZ26" s="19"/>
      <c r="HJA26" s="19"/>
      <c r="HJB26" s="19"/>
      <c r="HJC26" s="19"/>
      <c r="HJD26" s="19"/>
      <c r="HJE26" s="19"/>
      <c r="HJF26" s="19"/>
      <c r="HJG26" s="19"/>
      <c r="HJH26" s="19"/>
      <c r="HJI26" s="19"/>
      <c r="HJJ26" s="19"/>
      <c r="HJK26" s="19"/>
      <c r="HJL26" s="19"/>
      <c r="HJM26" s="19"/>
      <c r="HJN26" s="19"/>
      <c r="HJO26" s="19"/>
      <c r="HJP26" s="19"/>
      <c r="HJQ26" s="19"/>
      <c r="HJR26" s="19"/>
      <c r="HJS26" s="19"/>
      <c r="HJT26" s="19"/>
      <c r="HJU26" s="19"/>
      <c r="HJV26" s="19"/>
      <c r="HJW26" s="19"/>
      <c r="HJX26" s="19"/>
      <c r="HJY26" s="19"/>
      <c r="HJZ26" s="19"/>
      <c r="HKA26" s="19"/>
      <c r="HKB26" s="19"/>
      <c r="HKC26" s="19"/>
      <c r="HKD26" s="19"/>
      <c r="HKE26" s="19"/>
      <c r="HKF26" s="19"/>
      <c r="HKG26" s="19"/>
      <c r="HKH26" s="19"/>
      <c r="HKI26" s="19"/>
      <c r="HKJ26" s="19"/>
      <c r="HKK26" s="19"/>
      <c r="HKL26" s="19"/>
      <c r="HKM26" s="19"/>
      <c r="HKN26" s="19"/>
      <c r="HKO26" s="19"/>
      <c r="HKP26" s="19"/>
      <c r="HKQ26" s="19"/>
      <c r="HKR26" s="19"/>
      <c r="HKS26" s="19"/>
      <c r="HKT26" s="19"/>
      <c r="HKU26" s="19"/>
      <c r="HKV26" s="19"/>
      <c r="HKW26" s="19"/>
      <c r="HKX26" s="19"/>
      <c r="HKY26" s="19"/>
      <c r="HKZ26" s="19"/>
      <c r="HLA26" s="19"/>
      <c r="HLB26" s="19"/>
      <c r="HLC26" s="19"/>
      <c r="HLD26" s="19"/>
      <c r="HLE26" s="19"/>
      <c r="HLF26" s="19"/>
      <c r="HLG26" s="19"/>
      <c r="HLH26" s="19"/>
      <c r="HLI26" s="19"/>
      <c r="HLJ26" s="19"/>
      <c r="HLK26" s="19"/>
      <c r="HLL26" s="19"/>
      <c r="HLM26" s="19"/>
      <c r="HLN26" s="19"/>
      <c r="HLO26" s="19"/>
      <c r="HLP26" s="19"/>
      <c r="HLQ26" s="19"/>
      <c r="HLR26" s="19"/>
      <c r="HLS26" s="19"/>
      <c r="HLT26" s="19"/>
      <c r="HLU26" s="19"/>
      <c r="HLV26" s="19"/>
      <c r="HLW26" s="19"/>
      <c r="HLX26" s="19"/>
      <c r="HLY26" s="19"/>
      <c r="HLZ26" s="19"/>
      <c r="HMA26" s="19"/>
      <c r="HMB26" s="19"/>
      <c r="HMC26" s="19"/>
      <c r="HMD26" s="19"/>
      <c r="HME26" s="19"/>
      <c r="HMF26" s="19"/>
      <c r="HMG26" s="19"/>
      <c r="HMH26" s="19"/>
      <c r="HMI26" s="19"/>
      <c r="HMJ26" s="19"/>
      <c r="HMK26" s="19"/>
      <c r="HML26" s="19"/>
      <c r="HMM26" s="19"/>
      <c r="HMN26" s="19"/>
      <c r="HMO26" s="19"/>
      <c r="HMP26" s="19"/>
      <c r="HMQ26" s="19"/>
      <c r="HMR26" s="19"/>
      <c r="HMS26" s="19"/>
      <c r="HMT26" s="19"/>
      <c r="HMU26" s="19"/>
      <c r="HMV26" s="19"/>
      <c r="HMW26" s="19"/>
      <c r="HMX26" s="19"/>
      <c r="HMY26" s="19"/>
      <c r="HMZ26" s="19"/>
      <c r="HNA26" s="19"/>
      <c r="HNB26" s="19"/>
      <c r="HNC26" s="19"/>
      <c r="HND26" s="19"/>
      <c r="HNE26" s="19"/>
      <c r="HNF26" s="19"/>
      <c r="HNG26" s="19"/>
      <c r="HNH26" s="19"/>
      <c r="HNI26" s="19"/>
      <c r="HNJ26" s="19"/>
      <c r="HNK26" s="19"/>
      <c r="HNL26" s="19"/>
      <c r="HNM26" s="19"/>
      <c r="HNN26" s="19"/>
      <c r="HNO26" s="19"/>
      <c r="HNP26" s="19"/>
      <c r="HNQ26" s="19"/>
      <c r="HNR26" s="19"/>
      <c r="HNS26" s="19"/>
      <c r="HNT26" s="19"/>
      <c r="HNU26" s="19"/>
      <c r="HNV26" s="19"/>
      <c r="HNW26" s="19"/>
      <c r="HNX26" s="19"/>
      <c r="HNY26" s="19"/>
      <c r="HNZ26" s="19"/>
      <c r="HOA26" s="19"/>
      <c r="HOB26" s="19"/>
      <c r="HOC26" s="19"/>
      <c r="HOD26" s="19"/>
      <c r="HOE26" s="19"/>
      <c r="HOF26" s="19"/>
      <c r="HOG26" s="19"/>
      <c r="HOH26" s="19"/>
      <c r="HOI26" s="19"/>
      <c r="HOJ26" s="19"/>
      <c r="HOK26" s="19"/>
      <c r="HOL26" s="19"/>
      <c r="HOM26" s="19"/>
      <c r="HON26" s="19"/>
      <c r="HOO26" s="19"/>
      <c r="HOP26" s="19"/>
      <c r="HOQ26" s="19"/>
      <c r="HOR26" s="19"/>
      <c r="HOS26" s="19"/>
      <c r="HOT26" s="19"/>
      <c r="HOU26" s="19"/>
      <c r="HOV26" s="19"/>
      <c r="HOW26" s="19"/>
      <c r="HOX26" s="19"/>
      <c r="HOY26" s="19"/>
      <c r="HOZ26" s="19"/>
      <c r="HPA26" s="19"/>
      <c r="HPB26" s="19"/>
      <c r="HPC26" s="19"/>
      <c r="HPD26" s="19"/>
      <c r="HPE26" s="19"/>
      <c r="HPF26" s="19"/>
      <c r="HPG26" s="19"/>
      <c r="HPH26" s="19"/>
      <c r="HPI26" s="19"/>
      <c r="HPJ26" s="19"/>
      <c r="HPK26" s="19"/>
      <c r="HPL26" s="19"/>
      <c r="HPM26" s="19"/>
      <c r="HPN26" s="19"/>
      <c r="HPO26" s="19"/>
      <c r="HPP26" s="19"/>
      <c r="HPQ26" s="19"/>
      <c r="HPR26" s="19"/>
      <c r="HPS26" s="19"/>
      <c r="HPT26" s="19"/>
      <c r="HPU26" s="19"/>
      <c r="HPV26" s="19"/>
      <c r="HPW26" s="19"/>
      <c r="HPX26" s="19"/>
      <c r="HPY26" s="19"/>
      <c r="HPZ26" s="19"/>
      <c r="HQA26" s="19"/>
      <c r="HQB26" s="19"/>
      <c r="HQC26" s="19"/>
      <c r="HQD26" s="19"/>
      <c r="HQE26" s="19"/>
      <c r="HQF26" s="19"/>
      <c r="HQG26" s="19"/>
      <c r="HQH26" s="19"/>
      <c r="HQI26" s="19"/>
      <c r="HQJ26" s="19"/>
      <c r="HQK26" s="19"/>
      <c r="HQL26" s="19"/>
      <c r="HQM26" s="19"/>
      <c r="HQN26" s="19"/>
      <c r="HQO26" s="19"/>
      <c r="HQP26" s="19"/>
      <c r="HQQ26" s="19"/>
      <c r="HQR26" s="19"/>
      <c r="HQS26" s="19"/>
      <c r="HQT26" s="19"/>
      <c r="HQU26" s="19"/>
      <c r="HQV26" s="19"/>
      <c r="HQW26" s="19"/>
      <c r="HQX26" s="19"/>
      <c r="HQY26" s="19"/>
      <c r="HQZ26" s="19"/>
      <c r="HRA26" s="19"/>
      <c r="HRB26" s="19"/>
      <c r="HRC26" s="19"/>
      <c r="HRD26" s="19"/>
      <c r="HRE26" s="19"/>
      <c r="HRF26" s="19"/>
      <c r="HRG26" s="19"/>
      <c r="HRH26" s="19"/>
      <c r="HRI26" s="19"/>
      <c r="HRJ26" s="19"/>
      <c r="HRK26" s="19"/>
      <c r="HRL26" s="19"/>
      <c r="HRM26" s="19"/>
      <c r="HRN26" s="19"/>
      <c r="HRO26" s="19"/>
      <c r="HRP26" s="19"/>
      <c r="HRQ26" s="19"/>
      <c r="HRR26" s="19"/>
      <c r="HRS26" s="19"/>
      <c r="HRT26" s="19"/>
      <c r="HRU26" s="19"/>
      <c r="HRV26" s="19"/>
      <c r="HRW26" s="19"/>
      <c r="HRX26" s="19"/>
      <c r="HRY26" s="19"/>
      <c r="HRZ26" s="19"/>
      <c r="HSA26" s="19"/>
      <c r="HSB26" s="19"/>
      <c r="HSC26" s="19"/>
      <c r="HSD26" s="19"/>
      <c r="HSE26" s="19"/>
      <c r="HSF26" s="19"/>
      <c r="HSG26" s="19"/>
      <c r="HSH26" s="19"/>
      <c r="HSI26" s="19"/>
      <c r="HSJ26" s="19"/>
      <c r="HSK26" s="19"/>
      <c r="HSL26" s="19"/>
      <c r="HSM26" s="19"/>
      <c r="HSN26" s="19"/>
      <c r="HSO26" s="19"/>
      <c r="HSP26" s="19"/>
      <c r="HSQ26" s="19"/>
      <c r="HSR26" s="19"/>
      <c r="HSS26" s="19"/>
      <c r="HST26" s="19"/>
      <c r="HSU26" s="19"/>
      <c r="HSV26" s="19"/>
      <c r="HSW26" s="19"/>
      <c r="HSX26" s="19"/>
      <c r="HSY26" s="19"/>
      <c r="HSZ26" s="19"/>
      <c r="HTA26" s="19"/>
      <c r="HTB26" s="19"/>
      <c r="HTC26" s="19"/>
      <c r="HTD26" s="19"/>
      <c r="HTE26" s="19"/>
      <c r="HTF26" s="19"/>
      <c r="HTG26" s="19"/>
      <c r="HTH26" s="19"/>
      <c r="HTI26" s="19"/>
      <c r="HTJ26" s="19"/>
      <c r="HTK26" s="19"/>
      <c r="HTL26" s="19"/>
      <c r="HTM26" s="19"/>
      <c r="HTN26" s="19"/>
      <c r="HTO26" s="19"/>
      <c r="HTP26" s="19"/>
      <c r="HTQ26" s="19"/>
      <c r="HTR26" s="19"/>
      <c r="HTS26" s="19"/>
      <c r="HTT26" s="19"/>
      <c r="HTU26" s="19"/>
      <c r="HTV26" s="19"/>
      <c r="HTW26" s="19"/>
      <c r="HTX26" s="19"/>
      <c r="HTY26" s="19"/>
      <c r="HTZ26" s="19"/>
      <c r="HUA26" s="19"/>
      <c r="HUB26" s="19"/>
      <c r="HUC26" s="19"/>
      <c r="HUD26" s="19"/>
      <c r="HUE26" s="19"/>
      <c r="HUF26" s="19"/>
      <c r="HUG26" s="19"/>
      <c r="HUH26" s="19"/>
      <c r="HUI26" s="19"/>
      <c r="HUJ26" s="19"/>
      <c r="HUK26" s="19"/>
      <c r="HUL26" s="19"/>
      <c r="HUM26" s="19"/>
      <c r="HUN26" s="19"/>
      <c r="HUO26" s="19"/>
      <c r="HUP26" s="19"/>
      <c r="HUQ26" s="19"/>
      <c r="HUR26" s="19"/>
      <c r="HUS26" s="19"/>
      <c r="HUT26" s="19"/>
      <c r="HUU26" s="19"/>
      <c r="HUV26" s="19"/>
      <c r="HUW26" s="19"/>
      <c r="HUX26" s="19"/>
      <c r="HUY26" s="19"/>
      <c r="HUZ26" s="19"/>
      <c r="HVA26" s="19"/>
      <c r="HVB26" s="19"/>
      <c r="HVC26" s="19"/>
      <c r="HVD26" s="19"/>
      <c r="HVE26" s="19"/>
      <c r="HVF26" s="19"/>
      <c r="HVG26" s="19"/>
      <c r="HVH26" s="19"/>
      <c r="HVI26" s="19"/>
      <c r="HVJ26" s="19"/>
      <c r="HVK26" s="19"/>
      <c r="HVL26" s="19"/>
      <c r="HVM26" s="19"/>
      <c r="HVN26" s="19"/>
      <c r="HVO26" s="19"/>
      <c r="HVP26" s="19"/>
      <c r="HVQ26" s="19"/>
      <c r="HVR26" s="19"/>
      <c r="HVS26" s="19"/>
      <c r="HVT26" s="19"/>
      <c r="HVU26" s="19"/>
      <c r="HVV26" s="19"/>
      <c r="HVW26" s="19"/>
      <c r="HVX26" s="19"/>
      <c r="HVY26" s="19"/>
      <c r="HVZ26" s="19"/>
      <c r="HWA26" s="19"/>
      <c r="HWB26" s="19"/>
      <c r="HWC26" s="19"/>
      <c r="HWD26" s="19"/>
      <c r="HWE26" s="19"/>
      <c r="HWF26" s="19"/>
      <c r="HWG26" s="19"/>
      <c r="HWH26" s="19"/>
      <c r="HWI26" s="19"/>
      <c r="HWJ26" s="19"/>
      <c r="HWK26" s="19"/>
      <c r="HWL26" s="19"/>
      <c r="HWM26" s="19"/>
      <c r="HWN26" s="19"/>
      <c r="HWO26" s="19"/>
      <c r="HWP26" s="19"/>
      <c r="HWQ26" s="19"/>
      <c r="HWR26" s="19"/>
      <c r="HWS26" s="19"/>
      <c r="HWT26" s="19"/>
      <c r="HWU26" s="19"/>
      <c r="HWV26" s="19"/>
      <c r="HWW26" s="19"/>
      <c r="HWX26" s="19"/>
      <c r="HWY26" s="19"/>
      <c r="HWZ26" s="19"/>
      <c r="HXA26" s="19"/>
      <c r="HXB26" s="19"/>
      <c r="HXC26" s="19"/>
      <c r="HXD26" s="19"/>
      <c r="HXE26" s="19"/>
      <c r="HXF26" s="19"/>
      <c r="HXG26" s="19"/>
      <c r="HXH26" s="19"/>
      <c r="HXI26" s="19"/>
      <c r="HXJ26" s="19"/>
      <c r="HXK26" s="19"/>
      <c r="HXL26" s="19"/>
      <c r="HXM26" s="19"/>
      <c r="HXN26" s="19"/>
      <c r="HXO26" s="19"/>
      <c r="HXP26" s="19"/>
      <c r="HXQ26" s="19"/>
      <c r="HXR26" s="19"/>
      <c r="HXS26" s="19"/>
      <c r="HXT26" s="19"/>
      <c r="HXU26" s="19"/>
      <c r="HXV26" s="19"/>
      <c r="HXW26" s="19"/>
      <c r="HXX26" s="19"/>
      <c r="HXY26" s="19"/>
      <c r="HXZ26" s="19"/>
      <c r="HYA26" s="19"/>
      <c r="HYB26" s="19"/>
      <c r="HYC26" s="19"/>
      <c r="HYD26" s="19"/>
      <c r="HYE26" s="19"/>
      <c r="HYF26" s="19"/>
      <c r="HYG26" s="19"/>
      <c r="HYH26" s="19"/>
      <c r="HYI26" s="19"/>
      <c r="HYJ26" s="19"/>
      <c r="HYK26" s="19"/>
      <c r="HYL26" s="19"/>
      <c r="HYM26" s="19"/>
      <c r="HYN26" s="19"/>
      <c r="HYO26" s="19"/>
      <c r="HYP26" s="19"/>
      <c r="HYQ26" s="19"/>
      <c r="HYR26" s="19"/>
      <c r="HYS26" s="19"/>
      <c r="HYT26" s="19"/>
      <c r="HYU26" s="19"/>
      <c r="HYV26" s="19"/>
      <c r="HYW26" s="19"/>
      <c r="HYX26" s="19"/>
      <c r="HYY26" s="19"/>
      <c r="HYZ26" s="19"/>
      <c r="HZA26" s="19"/>
      <c r="HZB26" s="19"/>
      <c r="HZC26" s="19"/>
      <c r="HZD26" s="19"/>
      <c r="HZE26" s="19"/>
      <c r="HZF26" s="19"/>
      <c r="HZG26" s="19"/>
      <c r="HZH26" s="19"/>
      <c r="HZI26" s="19"/>
      <c r="HZJ26" s="19"/>
      <c r="HZK26" s="19"/>
      <c r="HZL26" s="19"/>
      <c r="HZM26" s="19"/>
      <c r="HZN26" s="19"/>
      <c r="HZO26" s="19"/>
      <c r="HZP26" s="19"/>
      <c r="HZQ26" s="19"/>
      <c r="HZR26" s="19"/>
      <c r="HZS26" s="19"/>
      <c r="HZT26" s="19"/>
      <c r="HZU26" s="19"/>
      <c r="HZV26" s="19"/>
      <c r="HZW26" s="19"/>
      <c r="HZX26" s="19"/>
      <c r="HZY26" s="19"/>
      <c r="HZZ26" s="19"/>
      <c r="IAA26" s="19"/>
      <c r="IAB26" s="19"/>
      <c r="IAC26" s="19"/>
      <c r="IAD26" s="19"/>
      <c r="IAE26" s="19"/>
      <c r="IAF26" s="19"/>
      <c r="IAG26" s="19"/>
      <c r="IAH26" s="19"/>
      <c r="IAI26" s="19"/>
      <c r="IAJ26" s="19"/>
      <c r="IAK26" s="19"/>
      <c r="IAL26" s="19"/>
      <c r="IAM26" s="19"/>
      <c r="IAN26" s="19"/>
      <c r="IAO26" s="19"/>
      <c r="IAP26" s="19"/>
      <c r="IAQ26" s="19"/>
      <c r="IAR26" s="19"/>
      <c r="IAS26" s="19"/>
      <c r="IAT26" s="19"/>
      <c r="IAU26" s="19"/>
      <c r="IAV26" s="19"/>
      <c r="IAW26" s="19"/>
      <c r="IAX26" s="19"/>
      <c r="IAY26" s="19"/>
      <c r="IAZ26" s="19"/>
      <c r="IBA26" s="19"/>
      <c r="IBB26" s="19"/>
      <c r="IBC26" s="19"/>
      <c r="IBD26" s="19"/>
      <c r="IBE26" s="19"/>
      <c r="IBF26" s="19"/>
      <c r="IBG26" s="19"/>
      <c r="IBH26" s="19"/>
      <c r="IBI26" s="19"/>
      <c r="IBJ26" s="19"/>
      <c r="IBK26" s="19"/>
      <c r="IBL26" s="19"/>
      <c r="IBM26" s="19"/>
      <c r="IBN26" s="19"/>
      <c r="IBO26" s="19"/>
      <c r="IBP26" s="19"/>
      <c r="IBQ26" s="19"/>
      <c r="IBR26" s="19"/>
      <c r="IBS26" s="19"/>
      <c r="IBT26" s="19"/>
      <c r="IBU26" s="19"/>
      <c r="IBV26" s="19"/>
      <c r="IBW26" s="19"/>
      <c r="IBX26" s="19"/>
      <c r="IBY26" s="19"/>
      <c r="IBZ26" s="19"/>
      <c r="ICA26" s="19"/>
      <c r="ICB26" s="19"/>
      <c r="ICC26" s="19"/>
      <c r="ICD26" s="19"/>
      <c r="ICE26" s="19"/>
      <c r="ICF26" s="19"/>
      <c r="ICG26" s="19"/>
      <c r="ICH26" s="19"/>
      <c r="ICI26" s="19"/>
      <c r="ICJ26" s="19"/>
      <c r="ICK26" s="19"/>
      <c r="ICL26" s="19"/>
      <c r="ICM26" s="19"/>
      <c r="ICN26" s="19"/>
      <c r="ICO26" s="19"/>
      <c r="ICP26" s="19"/>
      <c r="ICQ26" s="19"/>
      <c r="ICR26" s="19"/>
      <c r="ICS26" s="19"/>
      <c r="ICT26" s="19"/>
      <c r="ICU26" s="19"/>
      <c r="ICV26" s="19"/>
      <c r="ICW26" s="19"/>
      <c r="ICX26" s="19"/>
      <c r="ICY26" s="19"/>
      <c r="ICZ26" s="19"/>
      <c r="IDA26" s="19"/>
      <c r="IDB26" s="19"/>
      <c r="IDC26" s="19"/>
      <c r="IDD26" s="19"/>
      <c r="IDE26" s="19"/>
      <c r="IDF26" s="19"/>
      <c r="IDG26" s="19"/>
      <c r="IDH26" s="19"/>
      <c r="IDI26" s="19"/>
      <c r="IDJ26" s="19"/>
      <c r="IDK26" s="19"/>
      <c r="IDL26" s="19"/>
      <c r="IDM26" s="19"/>
      <c r="IDN26" s="19"/>
      <c r="IDO26" s="19"/>
      <c r="IDP26" s="19"/>
      <c r="IDQ26" s="19"/>
      <c r="IDR26" s="19"/>
      <c r="IDS26" s="19"/>
      <c r="IDT26" s="19"/>
      <c r="IDU26" s="19"/>
      <c r="IDV26" s="19"/>
      <c r="IDW26" s="19"/>
      <c r="IDX26" s="19"/>
      <c r="IDY26" s="19"/>
      <c r="IDZ26" s="19"/>
      <c r="IEA26" s="19"/>
      <c r="IEB26" s="19"/>
      <c r="IEC26" s="19"/>
      <c r="IED26" s="19"/>
      <c r="IEE26" s="19"/>
      <c r="IEF26" s="19"/>
      <c r="IEG26" s="19"/>
      <c r="IEH26" s="19"/>
      <c r="IEI26" s="19"/>
      <c r="IEJ26" s="19"/>
      <c r="IEK26" s="19"/>
      <c r="IEL26" s="19"/>
      <c r="IEM26" s="19"/>
      <c r="IEN26" s="19"/>
      <c r="IEO26" s="19"/>
      <c r="IEP26" s="19"/>
      <c r="IEQ26" s="19"/>
      <c r="IER26" s="19"/>
      <c r="IES26" s="19"/>
      <c r="IET26" s="19"/>
      <c r="IEU26" s="19"/>
      <c r="IEV26" s="19"/>
      <c r="IEW26" s="19"/>
      <c r="IEX26" s="19"/>
      <c r="IEY26" s="19"/>
      <c r="IEZ26" s="19"/>
      <c r="IFA26" s="19"/>
      <c r="IFB26" s="19"/>
      <c r="IFC26" s="19"/>
      <c r="IFD26" s="19"/>
      <c r="IFE26" s="19"/>
      <c r="IFF26" s="19"/>
      <c r="IFG26" s="19"/>
      <c r="IFH26" s="19"/>
      <c r="IFI26" s="19"/>
      <c r="IFJ26" s="19"/>
      <c r="IFK26" s="19"/>
      <c r="IFL26" s="19"/>
      <c r="IFM26" s="19"/>
      <c r="IFN26" s="19"/>
      <c r="IFO26" s="19"/>
      <c r="IFP26" s="19"/>
      <c r="IFQ26" s="19"/>
      <c r="IFR26" s="19"/>
      <c r="IFS26" s="19"/>
      <c r="IFT26" s="19"/>
      <c r="IFU26" s="19"/>
      <c r="IFV26" s="19"/>
      <c r="IFW26" s="19"/>
      <c r="IFX26" s="19"/>
      <c r="IFY26" s="19"/>
      <c r="IFZ26" s="19"/>
      <c r="IGA26" s="19"/>
      <c r="IGB26" s="19"/>
      <c r="IGC26" s="19"/>
      <c r="IGD26" s="19"/>
      <c r="IGE26" s="19"/>
      <c r="IGF26" s="19"/>
      <c r="IGG26" s="19"/>
      <c r="IGH26" s="19"/>
      <c r="IGI26" s="19"/>
      <c r="IGJ26" s="19"/>
      <c r="IGK26" s="19"/>
      <c r="IGL26" s="19"/>
      <c r="IGM26" s="19"/>
      <c r="IGN26" s="19"/>
      <c r="IGO26" s="19"/>
      <c r="IGP26" s="19"/>
      <c r="IGQ26" s="19"/>
      <c r="IGR26" s="19"/>
      <c r="IGS26" s="19"/>
      <c r="IGT26" s="19"/>
      <c r="IGU26" s="19"/>
      <c r="IGV26" s="19"/>
      <c r="IGW26" s="19"/>
      <c r="IGX26" s="19"/>
      <c r="IGY26" s="19"/>
      <c r="IGZ26" s="19"/>
      <c r="IHA26" s="19"/>
      <c r="IHB26" s="19"/>
      <c r="IHC26" s="19"/>
      <c r="IHD26" s="19"/>
      <c r="IHE26" s="19"/>
      <c r="IHF26" s="19"/>
      <c r="IHG26" s="19"/>
      <c r="IHH26" s="19"/>
      <c r="IHI26" s="19"/>
      <c r="IHJ26" s="19"/>
      <c r="IHK26" s="19"/>
      <c r="IHL26" s="19"/>
      <c r="IHM26" s="19"/>
      <c r="IHN26" s="19"/>
      <c r="IHO26" s="19"/>
      <c r="IHP26" s="19"/>
      <c r="IHQ26" s="19"/>
      <c r="IHR26" s="19"/>
      <c r="IHS26" s="19"/>
      <c r="IHT26" s="19"/>
      <c r="IHU26" s="19"/>
      <c r="IHV26" s="19"/>
      <c r="IHW26" s="19"/>
      <c r="IHX26" s="19"/>
      <c r="IHY26" s="19"/>
      <c r="IHZ26" s="19"/>
      <c r="IIA26" s="19"/>
      <c r="IIB26" s="19"/>
      <c r="IIC26" s="19"/>
      <c r="IID26" s="19"/>
      <c r="IIE26" s="19"/>
      <c r="IIF26" s="19"/>
      <c r="IIG26" s="19"/>
      <c r="IIH26" s="19"/>
      <c r="III26" s="19"/>
      <c r="IIJ26" s="19"/>
      <c r="IIK26" s="19"/>
      <c r="IIL26" s="19"/>
      <c r="IIM26" s="19"/>
      <c r="IIN26" s="19"/>
      <c r="IIO26" s="19"/>
      <c r="IIP26" s="19"/>
      <c r="IIQ26" s="19"/>
      <c r="IIR26" s="19"/>
      <c r="IIS26" s="19"/>
      <c r="IIT26" s="19"/>
      <c r="IIU26" s="19"/>
      <c r="IIV26" s="19"/>
      <c r="IIW26" s="19"/>
      <c r="IIX26" s="19"/>
      <c r="IIY26" s="19"/>
      <c r="IIZ26" s="19"/>
      <c r="IJA26" s="19"/>
      <c r="IJB26" s="19"/>
      <c r="IJC26" s="19"/>
      <c r="IJD26" s="19"/>
      <c r="IJE26" s="19"/>
      <c r="IJF26" s="19"/>
      <c r="IJG26" s="19"/>
      <c r="IJH26" s="19"/>
      <c r="IJI26" s="19"/>
      <c r="IJJ26" s="19"/>
      <c r="IJK26" s="19"/>
      <c r="IJL26" s="19"/>
      <c r="IJM26" s="19"/>
      <c r="IJN26" s="19"/>
      <c r="IJO26" s="19"/>
      <c r="IJP26" s="19"/>
      <c r="IJQ26" s="19"/>
      <c r="IJR26" s="19"/>
      <c r="IJS26" s="19"/>
      <c r="IJT26" s="19"/>
      <c r="IJU26" s="19"/>
      <c r="IJV26" s="19"/>
      <c r="IJW26" s="19"/>
      <c r="IJX26" s="19"/>
      <c r="IJY26" s="19"/>
      <c r="IJZ26" s="19"/>
      <c r="IKA26" s="19"/>
      <c r="IKB26" s="19"/>
      <c r="IKC26" s="19"/>
      <c r="IKD26" s="19"/>
      <c r="IKE26" s="19"/>
      <c r="IKF26" s="19"/>
      <c r="IKG26" s="19"/>
      <c r="IKH26" s="19"/>
      <c r="IKI26" s="19"/>
      <c r="IKJ26" s="19"/>
      <c r="IKK26" s="19"/>
      <c r="IKL26" s="19"/>
      <c r="IKM26" s="19"/>
      <c r="IKN26" s="19"/>
      <c r="IKO26" s="19"/>
      <c r="IKP26" s="19"/>
      <c r="IKQ26" s="19"/>
      <c r="IKR26" s="19"/>
      <c r="IKS26" s="19"/>
      <c r="IKT26" s="19"/>
      <c r="IKU26" s="19"/>
      <c r="IKV26" s="19"/>
      <c r="IKW26" s="19"/>
      <c r="IKX26" s="19"/>
      <c r="IKY26" s="19"/>
      <c r="IKZ26" s="19"/>
      <c r="ILA26" s="19"/>
      <c r="ILB26" s="19"/>
      <c r="ILC26" s="19"/>
      <c r="ILD26" s="19"/>
      <c r="ILE26" s="19"/>
      <c r="ILF26" s="19"/>
      <c r="ILG26" s="19"/>
      <c r="ILH26" s="19"/>
      <c r="ILI26" s="19"/>
      <c r="ILJ26" s="19"/>
      <c r="ILK26" s="19"/>
      <c r="ILL26" s="19"/>
      <c r="ILM26" s="19"/>
      <c r="ILN26" s="19"/>
      <c r="ILO26" s="19"/>
      <c r="ILP26" s="19"/>
      <c r="ILQ26" s="19"/>
      <c r="ILR26" s="19"/>
      <c r="ILS26" s="19"/>
      <c r="ILT26" s="19"/>
      <c r="ILU26" s="19"/>
      <c r="ILV26" s="19"/>
      <c r="ILW26" s="19"/>
      <c r="ILX26" s="19"/>
      <c r="ILY26" s="19"/>
      <c r="ILZ26" s="19"/>
      <c r="IMA26" s="19"/>
      <c r="IMB26" s="19"/>
      <c r="IMC26" s="19"/>
      <c r="IMD26" s="19"/>
      <c r="IME26" s="19"/>
      <c r="IMF26" s="19"/>
      <c r="IMG26" s="19"/>
      <c r="IMH26" s="19"/>
      <c r="IMI26" s="19"/>
      <c r="IMJ26" s="19"/>
      <c r="IMK26" s="19"/>
      <c r="IML26" s="19"/>
      <c r="IMM26" s="19"/>
      <c r="IMN26" s="19"/>
      <c r="IMO26" s="19"/>
      <c r="IMP26" s="19"/>
      <c r="IMQ26" s="19"/>
      <c r="IMR26" s="19"/>
      <c r="IMS26" s="19"/>
      <c r="IMT26" s="19"/>
      <c r="IMU26" s="19"/>
      <c r="IMV26" s="19"/>
      <c r="IMW26" s="19"/>
      <c r="IMX26" s="19"/>
      <c r="IMY26" s="19"/>
      <c r="IMZ26" s="19"/>
      <c r="INA26" s="19"/>
      <c r="INB26" s="19"/>
      <c r="INC26" s="19"/>
      <c r="IND26" s="19"/>
      <c r="INE26" s="19"/>
      <c r="INF26" s="19"/>
      <c r="ING26" s="19"/>
      <c r="INH26" s="19"/>
      <c r="INI26" s="19"/>
      <c r="INJ26" s="19"/>
      <c r="INK26" s="19"/>
      <c r="INL26" s="19"/>
      <c r="INM26" s="19"/>
      <c r="INN26" s="19"/>
      <c r="INO26" s="19"/>
      <c r="INP26" s="19"/>
      <c r="INQ26" s="19"/>
      <c r="INR26" s="19"/>
      <c r="INS26" s="19"/>
      <c r="INT26" s="19"/>
      <c r="INU26" s="19"/>
      <c r="INV26" s="19"/>
      <c r="INW26" s="19"/>
      <c r="INX26" s="19"/>
      <c r="INY26" s="19"/>
      <c r="INZ26" s="19"/>
      <c r="IOA26" s="19"/>
      <c r="IOB26" s="19"/>
      <c r="IOC26" s="19"/>
      <c r="IOD26" s="19"/>
      <c r="IOE26" s="19"/>
      <c r="IOF26" s="19"/>
      <c r="IOG26" s="19"/>
      <c r="IOH26" s="19"/>
      <c r="IOI26" s="19"/>
      <c r="IOJ26" s="19"/>
      <c r="IOK26" s="19"/>
      <c r="IOL26" s="19"/>
      <c r="IOM26" s="19"/>
      <c r="ION26" s="19"/>
      <c r="IOO26" s="19"/>
      <c r="IOP26" s="19"/>
      <c r="IOQ26" s="19"/>
      <c r="IOR26" s="19"/>
      <c r="IOS26" s="19"/>
      <c r="IOT26" s="19"/>
      <c r="IOU26" s="19"/>
      <c r="IOV26" s="19"/>
      <c r="IOW26" s="19"/>
      <c r="IOX26" s="19"/>
      <c r="IOY26" s="19"/>
      <c r="IOZ26" s="19"/>
      <c r="IPA26" s="19"/>
      <c r="IPB26" s="19"/>
      <c r="IPC26" s="19"/>
      <c r="IPD26" s="19"/>
      <c r="IPE26" s="19"/>
      <c r="IPF26" s="19"/>
      <c r="IPG26" s="19"/>
      <c r="IPH26" s="19"/>
      <c r="IPI26" s="19"/>
      <c r="IPJ26" s="19"/>
      <c r="IPK26" s="19"/>
      <c r="IPL26" s="19"/>
      <c r="IPM26" s="19"/>
      <c r="IPN26" s="19"/>
      <c r="IPO26" s="19"/>
      <c r="IPP26" s="19"/>
      <c r="IPQ26" s="19"/>
      <c r="IPR26" s="19"/>
      <c r="IPS26" s="19"/>
      <c r="IPT26" s="19"/>
      <c r="IPU26" s="19"/>
      <c r="IPV26" s="19"/>
      <c r="IPW26" s="19"/>
      <c r="IPX26" s="19"/>
      <c r="IPY26" s="19"/>
      <c r="IPZ26" s="19"/>
      <c r="IQA26" s="19"/>
      <c r="IQB26" s="19"/>
      <c r="IQC26" s="19"/>
      <c r="IQD26" s="19"/>
      <c r="IQE26" s="19"/>
      <c r="IQF26" s="19"/>
      <c r="IQG26" s="19"/>
      <c r="IQH26" s="19"/>
      <c r="IQI26" s="19"/>
      <c r="IQJ26" s="19"/>
      <c r="IQK26" s="19"/>
      <c r="IQL26" s="19"/>
      <c r="IQM26" s="19"/>
      <c r="IQN26" s="19"/>
      <c r="IQO26" s="19"/>
      <c r="IQP26" s="19"/>
      <c r="IQQ26" s="19"/>
      <c r="IQR26" s="19"/>
      <c r="IQS26" s="19"/>
      <c r="IQT26" s="19"/>
      <c r="IQU26" s="19"/>
      <c r="IQV26" s="19"/>
      <c r="IQW26" s="19"/>
      <c r="IQX26" s="19"/>
      <c r="IQY26" s="19"/>
      <c r="IQZ26" s="19"/>
      <c r="IRA26" s="19"/>
      <c r="IRB26" s="19"/>
      <c r="IRC26" s="19"/>
      <c r="IRD26" s="19"/>
      <c r="IRE26" s="19"/>
      <c r="IRF26" s="19"/>
      <c r="IRG26" s="19"/>
      <c r="IRH26" s="19"/>
      <c r="IRI26" s="19"/>
      <c r="IRJ26" s="19"/>
      <c r="IRK26" s="19"/>
      <c r="IRL26" s="19"/>
      <c r="IRM26" s="19"/>
      <c r="IRN26" s="19"/>
      <c r="IRO26" s="19"/>
      <c r="IRP26" s="19"/>
      <c r="IRQ26" s="19"/>
      <c r="IRR26" s="19"/>
      <c r="IRS26" s="19"/>
      <c r="IRT26" s="19"/>
      <c r="IRU26" s="19"/>
      <c r="IRV26" s="19"/>
      <c r="IRW26" s="19"/>
      <c r="IRX26" s="19"/>
      <c r="IRY26" s="19"/>
      <c r="IRZ26" s="19"/>
      <c r="ISA26" s="19"/>
      <c r="ISB26" s="19"/>
      <c r="ISC26" s="19"/>
      <c r="ISD26" s="19"/>
      <c r="ISE26" s="19"/>
      <c r="ISF26" s="19"/>
      <c r="ISG26" s="19"/>
      <c r="ISH26" s="19"/>
      <c r="ISI26" s="19"/>
      <c r="ISJ26" s="19"/>
      <c r="ISK26" s="19"/>
      <c r="ISL26" s="19"/>
      <c r="ISM26" s="19"/>
      <c r="ISN26" s="19"/>
      <c r="ISO26" s="19"/>
      <c r="ISP26" s="19"/>
      <c r="ISQ26" s="19"/>
      <c r="ISR26" s="19"/>
      <c r="ISS26" s="19"/>
      <c r="IST26" s="19"/>
      <c r="ISU26" s="19"/>
      <c r="ISV26" s="19"/>
      <c r="ISW26" s="19"/>
      <c r="ISX26" s="19"/>
      <c r="ISY26" s="19"/>
      <c r="ISZ26" s="19"/>
      <c r="ITA26" s="19"/>
      <c r="ITB26" s="19"/>
      <c r="ITC26" s="19"/>
      <c r="ITD26" s="19"/>
      <c r="ITE26" s="19"/>
      <c r="ITF26" s="19"/>
      <c r="ITG26" s="19"/>
      <c r="ITH26" s="19"/>
      <c r="ITI26" s="19"/>
      <c r="ITJ26" s="19"/>
      <c r="ITK26" s="19"/>
      <c r="ITL26" s="19"/>
      <c r="ITM26" s="19"/>
      <c r="ITN26" s="19"/>
      <c r="ITO26" s="19"/>
      <c r="ITP26" s="19"/>
      <c r="ITQ26" s="19"/>
      <c r="ITR26" s="19"/>
      <c r="ITS26" s="19"/>
      <c r="ITT26" s="19"/>
      <c r="ITU26" s="19"/>
      <c r="ITV26" s="19"/>
      <c r="ITW26" s="19"/>
      <c r="ITX26" s="19"/>
      <c r="ITY26" s="19"/>
      <c r="ITZ26" s="19"/>
      <c r="IUA26" s="19"/>
      <c r="IUB26" s="19"/>
      <c r="IUC26" s="19"/>
      <c r="IUD26" s="19"/>
      <c r="IUE26" s="19"/>
      <c r="IUF26" s="19"/>
      <c r="IUG26" s="19"/>
      <c r="IUH26" s="19"/>
      <c r="IUI26" s="19"/>
      <c r="IUJ26" s="19"/>
      <c r="IUK26" s="19"/>
      <c r="IUL26" s="19"/>
      <c r="IUM26" s="19"/>
      <c r="IUN26" s="19"/>
      <c r="IUO26" s="19"/>
      <c r="IUP26" s="19"/>
      <c r="IUQ26" s="19"/>
      <c r="IUR26" s="19"/>
      <c r="IUS26" s="19"/>
      <c r="IUT26" s="19"/>
      <c r="IUU26" s="19"/>
      <c r="IUV26" s="19"/>
      <c r="IUW26" s="19"/>
      <c r="IUX26" s="19"/>
      <c r="IUY26" s="19"/>
      <c r="IUZ26" s="19"/>
      <c r="IVA26" s="19"/>
      <c r="IVB26" s="19"/>
      <c r="IVC26" s="19"/>
      <c r="IVD26" s="19"/>
      <c r="IVE26" s="19"/>
      <c r="IVF26" s="19"/>
      <c r="IVG26" s="19"/>
      <c r="IVH26" s="19"/>
      <c r="IVI26" s="19"/>
      <c r="IVJ26" s="19"/>
      <c r="IVK26" s="19"/>
      <c r="IVL26" s="19"/>
      <c r="IVM26" s="19"/>
      <c r="IVN26" s="19"/>
      <c r="IVO26" s="19"/>
      <c r="IVP26" s="19"/>
      <c r="IVQ26" s="19"/>
      <c r="IVR26" s="19"/>
      <c r="IVS26" s="19"/>
      <c r="IVT26" s="19"/>
      <c r="IVU26" s="19"/>
      <c r="IVV26" s="19"/>
      <c r="IVW26" s="19"/>
      <c r="IVX26" s="19"/>
      <c r="IVY26" s="19"/>
      <c r="IVZ26" s="19"/>
      <c r="IWA26" s="19"/>
      <c r="IWB26" s="19"/>
      <c r="IWC26" s="19"/>
      <c r="IWD26" s="19"/>
      <c r="IWE26" s="19"/>
      <c r="IWF26" s="19"/>
      <c r="IWG26" s="19"/>
      <c r="IWH26" s="19"/>
      <c r="IWI26" s="19"/>
      <c r="IWJ26" s="19"/>
      <c r="IWK26" s="19"/>
      <c r="IWL26" s="19"/>
      <c r="IWM26" s="19"/>
      <c r="IWN26" s="19"/>
      <c r="IWO26" s="19"/>
      <c r="IWP26" s="19"/>
      <c r="IWQ26" s="19"/>
      <c r="IWR26" s="19"/>
      <c r="IWS26" s="19"/>
      <c r="IWT26" s="19"/>
      <c r="IWU26" s="19"/>
      <c r="IWV26" s="19"/>
      <c r="IWW26" s="19"/>
      <c r="IWX26" s="19"/>
      <c r="IWY26" s="19"/>
      <c r="IWZ26" s="19"/>
      <c r="IXA26" s="19"/>
      <c r="IXB26" s="19"/>
      <c r="IXC26" s="19"/>
      <c r="IXD26" s="19"/>
      <c r="IXE26" s="19"/>
      <c r="IXF26" s="19"/>
      <c r="IXG26" s="19"/>
      <c r="IXH26" s="19"/>
      <c r="IXI26" s="19"/>
      <c r="IXJ26" s="19"/>
      <c r="IXK26" s="19"/>
      <c r="IXL26" s="19"/>
      <c r="IXM26" s="19"/>
      <c r="IXN26" s="19"/>
      <c r="IXO26" s="19"/>
      <c r="IXP26" s="19"/>
      <c r="IXQ26" s="19"/>
      <c r="IXR26" s="19"/>
      <c r="IXS26" s="19"/>
      <c r="IXT26" s="19"/>
      <c r="IXU26" s="19"/>
      <c r="IXV26" s="19"/>
      <c r="IXW26" s="19"/>
      <c r="IXX26" s="19"/>
      <c r="IXY26" s="19"/>
      <c r="IXZ26" s="19"/>
      <c r="IYA26" s="19"/>
      <c r="IYB26" s="19"/>
      <c r="IYC26" s="19"/>
      <c r="IYD26" s="19"/>
      <c r="IYE26" s="19"/>
      <c r="IYF26" s="19"/>
      <c r="IYG26" s="19"/>
      <c r="IYH26" s="19"/>
      <c r="IYI26" s="19"/>
      <c r="IYJ26" s="19"/>
      <c r="IYK26" s="19"/>
      <c r="IYL26" s="19"/>
      <c r="IYM26" s="19"/>
      <c r="IYN26" s="19"/>
      <c r="IYO26" s="19"/>
      <c r="IYP26" s="19"/>
      <c r="IYQ26" s="19"/>
      <c r="IYR26" s="19"/>
      <c r="IYS26" s="19"/>
      <c r="IYT26" s="19"/>
      <c r="IYU26" s="19"/>
      <c r="IYV26" s="19"/>
      <c r="IYW26" s="19"/>
      <c r="IYX26" s="19"/>
      <c r="IYY26" s="19"/>
      <c r="IYZ26" s="19"/>
      <c r="IZA26" s="19"/>
      <c r="IZB26" s="19"/>
      <c r="IZC26" s="19"/>
      <c r="IZD26" s="19"/>
      <c r="IZE26" s="19"/>
      <c r="IZF26" s="19"/>
      <c r="IZG26" s="19"/>
      <c r="IZH26" s="19"/>
      <c r="IZI26" s="19"/>
      <c r="IZJ26" s="19"/>
      <c r="IZK26" s="19"/>
      <c r="IZL26" s="19"/>
      <c r="IZM26" s="19"/>
      <c r="IZN26" s="19"/>
      <c r="IZO26" s="19"/>
      <c r="IZP26" s="19"/>
      <c r="IZQ26" s="19"/>
      <c r="IZR26" s="19"/>
      <c r="IZS26" s="19"/>
      <c r="IZT26" s="19"/>
      <c r="IZU26" s="19"/>
      <c r="IZV26" s="19"/>
      <c r="IZW26" s="19"/>
      <c r="IZX26" s="19"/>
      <c r="IZY26" s="19"/>
      <c r="IZZ26" s="19"/>
      <c r="JAA26" s="19"/>
      <c r="JAB26" s="19"/>
      <c r="JAC26" s="19"/>
      <c r="JAD26" s="19"/>
      <c r="JAE26" s="19"/>
      <c r="JAF26" s="19"/>
      <c r="JAG26" s="19"/>
      <c r="JAH26" s="19"/>
      <c r="JAI26" s="19"/>
      <c r="JAJ26" s="19"/>
      <c r="JAK26" s="19"/>
      <c r="JAL26" s="19"/>
      <c r="JAM26" s="19"/>
      <c r="JAN26" s="19"/>
      <c r="JAO26" s="19"/>
      <c r="JAP26" s="19"/>
      <c r="JAQ26" s="19"/>
      <c r="JAR26" s="19"/>
      <c r="JAS26" s="19"/>
      <c r="JAT26" s="19"/>
      <c r="JAU26" s="19"/>
      <c r="JAV26" s="19"/>
      <c r="JAW26" s="19"/>
      <c r="JAX26" s="19"/>
      <c r="JAY26" s="19"/>
      <c r="JAZ26" s="19"/>
      <c r="JBA26" s="19"/>
      <c r="JBB26" s="19"/>
      <c r="JBC26" s="19"/>
      <c r="JBD26" s="19"/>
      <c r="JBE26" s="19"/>
      <c r="JBF26" s="19"/>
      <c r="JBG26" s="19"/>
      <c r="JBH26" s="19"/>
      <c r="JBI26" s="19"/>
      <c r="JBJ26" s="19"/>
      <c r="JBK26" s="19"/>
      <c r="JBL26" s="19"/>
      <c r="JBM26" s="19"/>
      <c r="JBN26" s="19"/>
      <c r="JBO26" s="19"/>
      <c r="JBP26" s="19"/>
      <c r="JBQ26" s="19"/>
      <c r="JBR26" s="19"/>
      <c r="JBS26" s="19"/>
      <c r="JBT26" s="19"/>
      <c r="JBU26" s="19"/>
      <c r="JBV26" s="19"/>
      <c r="JBW26" s="19"/>
      <c r="JBX26" s="19"/>
      <c r="JBY26" s="19"/>
      <c r="JBZ26" s="19"/>
      <c r="JCA26" s="19"/>
      <c r="JCB26" s="19"/>
      <c r="JCC26" s="19"/>
      <c r="JCD26" s="19"/>
      <c r="JCE26" s="19"/>
      <c r="JCF26" s="19"/>
      <c r="JCG26" s="19"/>
      <c r="JCH26" s="19"/>
      <c r="JCI26" s="19"/>
      <c r="JCJ26" s="19"/>
      <c r="JCK26" s="19"/>
      <c r="JCL26" s="19"/>
      <c r="JCM26" s="19"/>
      <c r="JCN26" s="19"/>
      <c r="JCO26" s="19"/>
      <c r="JCP26" s="19"/>
      <c r="JCQ26" s="19"/>
      <c r="JCR26" s="19"/>
      <c r="JCS26" s="19"/>
      <c r="JCT26" s="19"/>
      <c r="JCU26" s="19"/>
      <c r="JCV26" s="19"/>
      <c r="JCW26" s="19"/>
      <c r="JCX26" s="19"/>
      <c r="JCY26" s="19"/>
      <c r="JCZ26" s="19"/>
      <c r="JDA26" s="19"/>
      <c r="JDB26" s="19"/>
      <c r="JDC26" s="19"/>
      <c r="JDD26" s="19"/>
      <c r="JDE26" s="19"/>
      <c r="JDF26" s="19"/>
      <c r="JDG26" s="19"/>
      <c r="JDH26" s="19"/>
      <c r="JDI26" s="19"/>
      <c r="JDJ26" s="19"/>
      <c r="JDK26" s="19"/>
      <c r="JDL26" s="19"/>
      <c r="JDM26" s="19"/>
      <c r="JDN26" s="19"/>
      <c r="JDO26" s="19"/>
      <c r="JDP26" s="19"/>
      <c r="JDQ26" s="19"/>
      <c r="JDR26" s="19"/>
      <c r="JDS26" s="19"/>
      <c r="JDT26" s="19"/>
      <c r="JDU26" s="19"/>
      <c r="JDV26" s="19"/>
      <c r="JDW26" s="19"/>
      <c r="JDX26" s="19"/>
      <c r="JDY26" s="19"/>
      <c r="JDZ26" s="19"/>
      <c r="JEA26" s="19"/>
      <c r="JEB26" s="19"/>
      <c r="JEC26" s="19"/>
      <c r="JED26" s="19"/>
      <c r="JEE26" s="19"/>
      <c r="JEF26" s="19"/>
      <c r="JEG26" s="19"/>
      <c r="JEH26" s="19"/>
      <c r="JEI26" s="19"/>
      <c r="JEJ26" s="19"/>
      <c r="JEK26" s="19"/>
      <c r="JEL26" s="19"/>
      <c r="JEM26" s="19"/>
      <c r="JEN26" s="19"/>
      <c r="JEO26" s="19"/>
      <c r="JEP26" s="19"/>
      <c r="JEQ26" s="19"/>
      <c r="JER26" s="19"/>
      <c r="JES26" s="19"/>
      <c r="JET26" s="19"/>
      <c r="JEU26" s="19"/>
      <c r="JEV26" s="19"/>
      <c r="JEW26" s="19"/>
      <c r="JEX26" s="19"/>
      <c r="JEY26" s="19"/>
      <c r="JEZ26" s="19"/>
      <c r="JFA26" s="19"/>
      <c r="JFB26" s="19"/>
      <c r="JFC26" s="19"/>
      <c r="JFD26" s="19"/>
      <c r="JFE26" s="19"/>
      <c r="JFF26" s="19"/>
      <c r="JFG26" s="19"/>
      <c r="JFH26" s="19"/>
      <c r="JFI26" s="19"/>
      <c r="JFJ26" s="19"/>
      <c r="JFK26" s="19"/>
      <c r="JFL26" s="19"/>
      <c r="JFM26" s="19"/>
      <c r="JFN26" s="19"/>
      <c r="JFO26" s="19"/>
      <c r="JFP26" s="19"/>
      <c r="JFQ26" s="19"/>
      <c r="JFR26" s="19"/>
      <c r="JFS26" s="19"/>
      <c r="JFT26" s="19"/>
      <c r="JFU26" s="19"/>
      <c r="JFV26" s="19"/>
      <c r="JFW26" s="19"/>
      <c r="JFX26" s="19"/>
      <c r="JFY26" s="19"/>
      <c r="JFZ26" s="19"/>
      <c r="JGA26" s="19"/>
      <c r="JGB26" s="19"/>
      <c r="JGC26" s="19"/>
      <c r="JGD26" s="19"/>
      <c r="JGE26" s="19"/>
      <c r="JGF26" s="19"/>
      <c r="JGG26" s="19"/>
      <c r="JGH26" s="19"/>
      <c r="JGI26" s="19"/>
      <c r="JGJ26" s="19"/>
      <c r="JGK26" s="19"/>
      <c r="JGL26" s="19"/>
      <c r="JGM26" s="19"/>
      <c r="JGN26" s="19"/>
      <c r="JGO26" s="19"/>
      <c r="JGP26" s="19"/>
      <c r="JGQ26" s="19"/>
      <c r="JGR26" s="19"/>
      <c r="JGS26" s="19"/>
      <c r="JGT26" s="19"/>
      <c r="JGU26" s="19"/>
      <c r="JGV26" s="19"/>
      <c r="JGW26" s="19"/>
      <c r="JGX26" s="19"/>
      <c r="JGY26" s="19"/>
      <c r="JGZ26" s="19"/>
      <c r="JHA26" s="19"/>
      <c r="JHB26" s="19"/>
      <c r="JHC26" s="19"/>
      <c r="JHD26" s="19"/>
      <c r="JHE26" s="19"/>
      <c r="JHF26" s="19"/>
      <c r="JHG26" s="19"/>
      <c r="JHH26" s="19"/>
      <c r="JHI26" s="19"/>
      <c r="JHJ26" s="19"/>
      <c r="JHK26" s="19"/>
      <c r="JHL26" s="19"/>
      <c r="JHM26" s="19"/>
      <c r="JHN26" s="19"/>
      <c r="JHO26" s="19"/>
      <c r="JHP26" s="19"/>
      <c r="JHQ26" s="19"/>
      <c r="JHR26" s="19"/>
      <c r="JHS26" s="19"/>
      <c r="JHT26" s="19"/>
      <c r="JHU26" s="19"/>
      <c r="JHV26" s="19"/>
      <c r="JHW26" s="19"/>
      <c r="JHX26" s="19"/>
      <c r="JHY26" s="19"/>
      <c r="JHZ26" s="19"/>
      <c r="JIA26" s="19"/>
      <c r="JIB26" s="19"/>
      <c r="JIC26" s="19"/>
      <c r="JID26" s="19"/>
      <c r="JIE26" s="19"/>
      <c r="JIF26" s="19"/>
      <c r="JIG26" s="19"/>
      <c r="JIH26" s="19"/>
      <c r="JII26" s="19"/>
      <c r="JIJ26" s="19"/>
      <c r="JIK26" s="19"/>
      <c r="JIL26" s="19"/>
      <c r="JIM26" s="19"/>
      <c r="JIN26" s="19"/>
      <c r="JIO26" s="19"/>
      <c r="JIP26" s="19"/>
      <c r="JIQ26" s="19"/>
      <c r="JIR26" s="19"/>
      <c r="JIS26" s="19"/>
      <c r="JIT26" s="19"/>
      <c r="JIU26" s="19"/>
      <c r="JIV26" s="19"/>
      <c r="JIW26" s="19"/>
      <c r="JIX26" s="19"/>
      <c r="JIY26" s="19"/>
      <c r="JIZ26" s="19"/>
      <c r="JJA26" s="19"/>
      <c r="JJB26" s="19"/>
      <c r="JJC26" s="19"/>
      <c r="JJD26" s="19"/>
      <c r="JJE26" s="19"/>
      <c r="JJF26" s="19"/>
      <c r="JJG26" s="19"/>
      <c r="JJH26" s="19"/>
      <c r="JJI26" s="19"/>
      <c r="JJJ26" s="19"/>
      <c r="JJK26" s="19"/>
      <c r="JJL26" s="19"/>
      <c r="JJM26" s="19"/>
      <c r="JJN26" s="19"/>
      <c r="JJO26" s="19"/>
      <c r="JJP26" s="19"/>
      <c r="JJQ26" s="19"/>
      <c r="JJR26" s="19"/>
      <c r="JJS26" s="19"/>
      <c r="JJT26" s="19"/>
      <c r="JJU26" s="19"/>
      <c r="JJV26" s="19"/>
      <c r="JJW26" s="19"/>
      <c r="JJX26" s="19"/>
      <c r="JJY26" s="19"/>
      <c r="JJZ26" s="19"/>
      <c r="JKA26" s="19"/>
      <c r="JKB26" s="19"/>
      <c r="JKC26" s="19"/>
      <c r="JKD26" s="19"/>
      <c r="JKE26" s="19"/>
      <c r="JKF26" s="19"/>
      <c r="JKG26" s="19"/>
      <c r="JKH26" s="19"/>
      <c r="JKI26" s="19"/>
      <c r="JKJ26" s="19"/>
      <c r="JKK26" s="19"/>
      <c r="JKL26" s="19"/>
      <c r="JKM26" s="19"/>
      <c r="JKN26" s="19"/>
      <c r="JKO26" s="19"/>
      <c r="JKP26" s="19"/>
      <c r="JKQ26" s="19"/>
      <c r="JKR26" s="19"/>
      <c r="JKS26" s="19"/>
      <c r="JKT26" s="19"/>
      <c r="JKU26" s="19"/>
      <c r="JKV26" s="19"/>
      <c r="JKW26" s="19"/>
      <c r="JKX26" s="19"/>
      <c r="JKY26" s="19"/>
      <c r="JKZ26" s="19"/>
      <c r="JLA26" s="19"/>
      <c r="JLB26" s="19"/>
      <c r="JLC26" s="19"/>
      <c r="JLD26" s="19"/>
      <c r="JLE26" s="19"/>
      <c r="JLF26" s="19"/>
      <c r="JLG26" s="19"/>
      <c r="JLH26" s="19"/>
      <c r="JLI26" s="19"/>
      <c r="JLJ26" s="19"/>
      <c r="JLK26" s="19"/>
      <c r="JLL26" s="19"/>
      <c r="JLM26" s="19"/>
      <c r="JLN26" s="19"/>
      <c r="JLO26" s="19"/>
      <c r="JLP26" s="19"/>
      <c r="JLQ26" s="19"/>
      <c r="JLR26" s="19"/>
      <c r="JLS26" s="19"/>
      <c r="JLT26" s="19"/>
      <c r="JLU26" s="19"/>
      <c r="JLV26" s="19"/>
      <c r="JLW26" s="19"/>
      <c r="JLX26" s="19"/>
      <c r="JLY26" s="19"/>
      <c r="JLZ26" s="19"/>
      <c r="JMA26" s="19"/>
      <c r="JMB26" s="19"/>
      <c r="JMC26" s="19"/>
      <c r="JMD26" s="19"/>
      <c r="JME26" s="19"/>
      <c r="JMF26" s="19"/>
      <c r="JMG26" s="19"/>
      <c r="JMH26" s="19"/>
      <c r="JMI26" s="19"/>
      <c r="JMJ26" s="19"/>
      <c r="JMK26" s="19"/>
      <c r="JML26" s="19"/>
      <c r="JMM26" s="19"/>
      <c r="JMN26" s="19"/>
      <c r="JMO26" s="19"/>
      <c r="JMP26" s="19"/>
      <c r="JMQ26" s="19"/>
      <c r="JMR26" s="19"/>
      <c r="JMS26" s="19"/>
      <c r="JMT26" s="19"/>
      <c r="JMU26" s="19"/>
      <c r="JMV26" s="19"/>
      <c r="JMW26" s="19"/>
      <c r="JMX26" s="19"/>
      <c r="JMY26" s="19"/>
      <c r="JMZ26" s="19"/>
      <c r="JNA26" s="19"/>
      <c r="JNB26" s="19"/>
      <c r="JNC26" s="19"/>
      <c r="JND26" s="19"/>
      <c r="JNE26" s="19"/>
      <c r="JNF26" s="19"/>
      <c r="JNG26" s="19"/>
      <c r="JNH26" s="19"/>
      <c r="JNI26" s="19"/>
      <c r="JNJ26" s="19"/>
      <c r="JNK26" s="19"/>
      <c r="JNL26" s="19"/>
      <c r="JNM26" s="19"/>
      <c r="JNN26" s="19"/>
      <c r="JNO26" s="19"/>
      <c r="JNP26" s="19"/>
      <c r="JNQ26" s="19"/>
      <c r="JNR26" s="19"/>
      <c r="JNS26" s="19"/>
      <c r="JNT26" s="19"/>
      <c r="JNU26" s="19"/>
      <c r="JNV26" s="19"/>
      <c r="JNW26" s="19"/>
      <c r="JNX26" s="19"/>
      <c r="JNY26" s="19"/>
      <c r="JNZ26" s="19"/>
      <c r="JOA26" s="19"/>
      <c r="JOB26" s="19"/>
      <c r="JOC26" s="19"/>
      <c r="JOD26" s="19"/>
      <c r="JOE26" s="19"/>
      <c r="JOF26" s="19"/>
      <c r="JOG26" s="19"/>
      <c r="JOH26" s="19"/>
      <c r="JOI26" s="19"/>
      <c r="JOJ26" s="19"/>
      <c r="JOK26" s="19"/>
      <c r="JOL26" s="19"/>
      <c r="JOM26" s="19"/>
      <c r="JON26" s="19"/>
      <c r="JOO26" s="19"/>
      <c r="JOP26" s="19"/>
      <c r="JOQ26" s="19"/>
      <c r="JOR26" s="19"/>
      <c r="JOS26" s="19"/>
      <c r="JOT26" s="19"/>
      <c r="JOU26" s="19"/>
      <c r="JOV26" s="19"/>
      <c r="JOW26" s="19"/>
      <c r="JOX26" s="19"/>
      <c r="JOY26" s="19"/>
      <c r="JOZ26" s="19"/>
      <c r="JPA26" s="19"/>
      <c r="JPB26" s="19"/>
      <c r="JPC26" s="19"/>
      <c r="JPD26" s="19"/>
      <c r="JPE26" s="19"/>
      <c r="JPF26" s="19"/>
      <c r="JPG26" s="19"/>
      <c r="JPH26" s="19"/>
      <c r="JPI26" s="19"/>
      <c r="JPJ26" s="19"/>
      <c r="JPK26" s="19"/>
      <c r="JPL26" s="19"/>
      <c r="JPM26" s="19"/>
      <c r="JPN26" s="19"/>
      <c r="JPO26" s="19"/>
      <c r="JPP26" s="19"/>
      <c r="JPQ26" s="19"/>
      <c r="JPR26" s="19"/>
      <c r="JPS26" s="19"/>
      <c r="JPT26" s="19"/>
      <c r="JPU26" s="19"/>
      <c r="JPV26" s="19"/>
      <c r="JPW26" s="19"/>
      <c r="JPX26" s="19"/>
      <c r="JPY26" s="19"/>
      <c r="JPZ26" s="19"/>
      <c r="JQA26" s="19"/>
      <c r="JQB26" s="19"/>
      <c r="JQC26" s="19"/>
      <c r="JQD26" s="19"/>
      <c r="JQE26" s="19"/>
      <c r="JQF26" s="19"/>
      <c r="JQG26" s="19"/>
      <c r="JQH26" s="19"/>
      <c r="JQI26" s="19"/>
      <c r="JQJ26" s="19"/>
      <c r="JQK26" s="19"/>
      <c r="JQL26" s="19"/>
      <c r="JQM26" s="19"/>
      <c r="JQN26" s="19"/>
      <c r="JQO26" s="19"/>
      <c r="JQP26" s="19"/>
      <c r="JQQ26" s="19"/>
      <c r="JQR26" s="19"/>
      <c r="JQS26" s="19"/>
      <c r="JQT26" s="19"/>
      <c r="JQU26" s="19"/>
      <c r="JQV26" s="19"/>
      <c r="JQW26" s="19"/>
      <c r="JQX26" s="19"/>
      <c r="JQY26" s="19"/>
      <c r="JQZ26" s="19"/>
      <c r="JRA26" s="19"/>
      <c r="JRB26" s="19"/>
      <c r="JRC26" s="19"/>
      <c r="JRD26" s="19"/>
      <c r="JRE26" s="19"/>
      <c r="JRF26" s="19"/>
      <c r="JRG26" s="19"/>
      <c r="JRH26" s="19"/>
      <c r="JRI26" s="19"/>
      <c r="JRJ26" s="19"/>
      <c r="JRK26" s="19"/>
      <c r="JRL26" s="19"/>
      <c r="JRM26" s="19"/>
      <c r="JRN26" s="19"/>
      <c r="JRO26" s="19"/>
      <c r="JRP26" s="19"/>
      <c r="JRQ26" s="19"/>
      <c r="JRR26" s="19"/>
      <c r="JRS26" s="19"/>
      <c r="JRT26" s="19"/>
      <c r="JRU26" s="19"/>
      <c r="JRV26" s="19"/>
      <c r="JRW26" s="19"/>
      <c r="JRX26" s="19"/>
      <c r="JRY26" s="19"/>
      <c r="JRZ26" s="19"/>
      <c r="JSA26" s="19"/>
      <c r="JSB26" s="19"/>
      <c r="JSC26" s="19"/>
      <c r="JSD26" s="19"/>
      <c r="JSE26" s="19"/>
      <c r="JSF26" s="19"/>
      <c r="JSG26" s="19"/>
      <c r="JSH26" s="19"/>
      <c r="JSI26" s="19"/>
      <c r="JSJ26" s="19"/>
      <c r="JSK26" s="19"/>
      <c r="JSL26" s="19"/>
      <c r="JSM26" s="19"/>
      <c r="JSN26" s="19"/>
      <c r="JSO26" s="19"/>
      <c r="JSP26" s="19"/>
      <c r="JSQ26" s="19"/>
      <c r="JSR26" s="19"/>
      <c r="JSS26" s="19"/>
      <c r="JST26" s="19"/>
      <c r="JSU26" s="19"/>
      <c r="JSV26" s="19"/>
      <c r="JSW26" s="19"/>
      <c r="JSX26" s="19"/>
      <c r="JSY26" s="19"/>
      <c r="JSZ26" s="19"/>
      <c r="JTA26" s="19"/>
      <c r="JTB26" s="19"/>
      <c r="JTC26" s="19"/>
      <c r="JTD26" s="19"/>
      <c r="JTE26" s="19"/>
      <c r="JTF26" s="19"/>
      <c r="JTG26" s="19"/>
      <c r="JTH26" s="19"/>
      <c r="JTI26" s="19"/>
      <c r="JTJ26" s="19"/>
      <c r="JTK26" s="19"/>
      <c r="JTL26" s="19"/>
      <c r="JTM26" s="19"/>
      <c r="JTN26" s="19"/>
      <c r="JTO26" s="19"/>
      <c r="JTP26" s="19"/>
      <c r="JTQ26" s="19"/>
      <c r="JTR26" s="19"/>
      <c r="JTS26" s="19"/>
      <c r="JTT26" s="19"/>
      <c r="JTU26" s="19"/>
      <c r="JTV26" s="19"/>
      <c r="JTW26" s="19"/>
      <c r="JTX26" s="19"/>
      <c r="JTY26" s="19"/>
      <c r="JTZ26" s="19"/>
      <c r="JUA26" s="19"/>
      <c r="JUB26" s="19"/>
      <c r="JUC26" s="19"/>
      <c r="JUD26" s="19"/>
      <c r="JUE26" s="19"/>
      <c r="JUF26" s="19"/>
      <c r="JUG26" s="19"/>
      <c r="JUH26" s="19"/>
      <c r="JUI26" s="19"/>
      <c r="JUJ26" s="19"/>
      <c r="JUK26" s="19"/>
      <c r="JUL26" s="19"/>
      <c r="JUM26" s="19"/>
      <c r="JUN26" s="19"/>
      <c r="JUO26" s="19"/>
      <c r="JUP26" s="19"/>
      <c r="JUQ26" s="19"/>
      <c r="JUR26" s="19"/>
      <c r="JUS26" s="19"/>
      <c r="JUT26" s="19"/>
      <c r="JUU26" s="19"/>
      <c r="JUV26" s="19"/>
      <c r="JUW26" s="19"/>
      <c r="JUX26" s="19"/>
      <c r="JUY26" s="19"/>
      <c r="JUZ26" s="19"/>
      <c r="JVA26" s="19"/>
      <c r="JVB26" s="19"/>
      <c r="JVC26" s="19"/>
      <c r="JVD26" s="19"/>
      <c r="JVE26" s="19"/>
      <c r="JVF26" s="19"/>
      <c r="JVG26" s="19"/>
      <c r="JVH26" s="19"/>
      <c r="JVI26" s="19"/>
      <c r="JVJ26" s="19"/>
      <c r="JVK26" s="19"/>
      <c r="JVL26" s="19"/>
      <c r="JVM26" s="19"/>
      <c r="JVN26" s="19"/>
      <c r="JVO26" s="19"/>
      <c r="JVP26" s="19"/>
      <c r="JVQ26" s="19"/>
      <c r="JVR26" s="19"/>
      <c r="JVS26" s="19"/>
      <c r="JVT26" s="19"/>
      <c r="JVU26" s="19"/>
      <c r="JVV26" s="19"/>
      <c r="JVW26" s="19"/>
      <c r="JVX26" s="19"/>
      <c r="JVY26" s="19"/>
      <c r="JVZ26" s="19"/>
      <c r="JWA26" s="19"/>
      <c r="JWB26" s="19"/>
      <c r="JWC26" s="19"/>
      <c r="JWD26" s="19"/>
      <c r="JWE26" s="19"/>
      <c r="JWF26" s="19"/>
      <c r="JWG26" s="19"/>
      <c r="JWH26" s="19"/>
      <c r="JWI26" s="19"/>
      <c r="JWJ26" s="19"/>
      <c r="JWK26" s="19"/>
      <c r="JWL26" s="19"/>
      <c r="JWM26" s="19"/>
      <c r="JWN26" s="19"/>
      <c r="JWO26" s="19"/>
      <c r="JWP26" s="19"/>
      <c r="JWQ26" s="19"/>
      <c r="JWR26" s="19"/>
      <c r="JWS26" s="19"/>
      <c r="JWT26" s="19"/>
      <c r="JWU26" s="19"/>
      <c r="JWV26" s="19"/>
      <c r="JWW26" s="19"/>
      <c r="JWX26" s="19"/>
      <c r="JWY26" s="19"/>
      <c r="JWZ26" s="19"/>
      <c r="JXA26" s="19"/>
      <c r="JXB26" s="19"/>
      <c r="JXC26" s="19"/>
      <c r="JXD26" s="19"/>
      <c r="JXE26" s="19"/>
      <c r="JXF26" s="19"/>
      <c r="JXG26" s="19"/>
      <c r="JXH26" s="19"/>
      <c r="JXI26" s="19"/>
      <c r="JXJ26" s="19"/>
      <c r="JXK26" s="19"/>
      <c r="JXL26" s="19"/>
      <c r="JXM26" s="19"/>
      <c r="JXN26" s="19"/>
      <c r="JXO26" s="19"/>
      <c r="JXP26" s="19"/>
      <c r="JXQ26" s="19"/>
      <c r="JXR26" s="19"/>
      <c r="JXS26" s="19"/>
      <c r="JXT26" s="19"/>
      <c r="JXU26" s="19"/>
      <c r="JXV26" s="19"/>
      <c r="JXW26" s="19"/>
      <c r="JXX26" s="19"/>
      <c r="JXY26" s="19"/>
      <c r="JXZ26" s="19"/>
      <c r="JYA26" s="19"/>
      <c r="JYB26" s="19"/>
      <c r="JYC26" s="19"/>
      <c r="JYD26" s="19"/>
      <c r="JYE26" s="19"/>
      <c r="JYF26" s="19"/>
      <c r="JYG26" s="19"/>
      <c r="JYH26" s="19"/>
      <c r="JYI26" s="19"/>
      <c r="JYJ26" s="19"/>
      <c r="JYK26" s="19"/>
      <c r="JYL26" s="19"/>
      <c r="JYM26" s="19"/>
      <c r="JYN26" s="19"/>
      <c r="JYO26" s="19"/>
      <c r="JYP26" s="19"/>
      <c r="JYQ26" s="19"/>
      <c r="JYR26" s="19"/>
      <c r="JYS26" s="19"/>
      <c r="JYT26" s="19"/>
      <c r="JYU26" s="19"/>
      <c r="JYV26" s="19"/>
      <c r="JYW26" s="19"/>
      <c r="JYX26" s="19"/>
      <c r="JYY26" s="19"/>
      <c r="JYZ26" s="19"/>
      <c r="JZA26" s="19"/>
      <c r="JZB26" s="19"/>
      <c r="JZC26" s="19"/>
      <c r="JZD26" s="19"/>
      <c r="JZE26" s="19"/>
      <c r="JZF26" s="19"/>
      <c r="JZG26" s="19"/>
      <c r="JZH26" s="19"/>
      <c r="JZI26" s="19"/>
      <c r="JZJ26" s="19"/>
      <c r="JZK26" s="19"/>
      <c r="JZL26" s="19"/>
      <c r="JZM26" s="19"/>
      <c r="JZN26" s="19"/>
      <c r="JZO26" s="19"/>
      <c r="JZP26" s="19"/>
      <c r="JZQ26" s="19"/>
      <c r="JZR26" s="19"/>
      <c r="JZS26" s="19"/>
      <c r="JZT26" s="19"/>
      <c r="JZU26" s="19"/>
      <c r="JZV26" s="19"/>
      <c r="JZW26" s="19"/>
      <c r="JZX26" s="19"/>
      <c r="JZY26" s="19"/>
      <c r="JZZ26" s="19"/>
      <c r="KAA26" s="19"/>
      <c r="KAB26" s="19"/>
      <c r="KAC26" s="19"/>
      <c r="KAD26" s="19"/>
      <c r="KAE26" s="19"/>
      <c r="KAF26" s="19"/>
      <c r="KAG26" s="19"/>
      <c r="KAH26" s="19"/>
      <c r="KAI26" s="19"/>
      <c r="KAJ26" s="19"/>
      <c r="KAK26" s="19"/>
      <c r="KAL26" s="19"/>
      <c r="KAM26" s="19"/>
      <c r="KAN26" s="19"/>
      <c r="KAO26" s="19"/>
      <c r="KAP26" s="19"/>
      <c r="KAQ26" s="19"/>
      <c r="KAR26" s="19"/>
      <c r="KAS26" s="19"/>
      <c r="KAT26" s="19"/>
      <c r="KAU26" s="19"/>
      <c r="KAV26" s="19"/>
      <c r="KAW26" s="19"/>
      <c r="KAX26" s="19"/>
      <c r="KAY26" s="19"/>
      <c r="KAZ26" s="19"/>
      <c r="KBA26" s="19"/>
      <c r="KBB26" s="19"/>
      <c r="KBC26" s="19"/>
      <c r="KBD26" s="19"/>
      <c r="KBE26" s="19"/>
      <c r="KBF26" s="19"/>
      <c r="KBG26" s="19"/>
      <c r="KBH26" s="19"/>
      <c r="KBI26" s="19"/>
      <c r="KBJ26" s="19"/>
      <c r="KBK26" s="19"/>
      <c r="KBL26" s="19"/>
      <c r="KBM26" s="19"/>
      <c r="KBN26" s="19"/>
      <c r="KBO26" s="19"/>
      <c r="KBP26" s="19"/>
      <c r="KBQ26" s="19"/>
      <c r="KBR26" s="19"/>
      <c r="KBS26" s="19"/>
      <c r="KBT26" s="19"/>
      <c r="KBU26" s="19"/>
      <c r="KBV26" s="19"/>
      <c r="KBW26" s="19"/>
      <c r="KBX26" s="19"/>
      <c r="KBY26" s="19"/>
      <c r="KBZ26" s="19"/>
      <c r="KCA26" s="19"/>
      <c r="KCB26" s="19"/>
      <c r="KCC26" s="19"/>
      <c r="KCD26" s="19"/>
      <c r="KCE26" s="19"/>
      <c r="KCF26" s="19"/>
      <c r="KCG26" s="19"/>
      <c r="KCH26" s="19"/>
      <c r="KCI26" s="19"/>
      <c r="KCJ26" s="19"/>
      <c r="KCK26" s="19"/>
      <c r="KCL26" s="19"/>
      <c r="KCM26" s="19"/>
      <c r="KCN26" s="19"/>
      <c r="KCO26" s="19"/>
      <c r="KCP26" s="19"/>
      <c r="KCQ26" s="19"/>
      <c r="KCR26" s="19"/>
      <c r="KCS26" s="19"/>
      <c r="KCT26" s="19"/>
      <c r="KCU26" s="19"/>
      <c r="KCV26" s="19"/>
      <c r="KCW26" s="19"/>
      <c r="KCX26" s="19"/>
      <c r="KCY26" s="19"/>
      <c r="KCZ26" s="19"/>
      <c r="KDA26" s="19"/>
      <c r="KDB26" s="19"/>
      <c r="KDC26" s="19"/>
      <c r="KDD26" s="19"/>
      <c r="KDE26" s="19"/>
      <c r="KDF26" s="19"/>
      <c r="KDG26" s="19"/>
      <c r="KDH26" s="19"/>
      <c r="KDI26" s="19"/>
      <c r="KDJ26" s="19"/>
      <c r="KDK26" s="19"/>
      <c r="KDL26" s="19"/>
      <c r="KDM26" s="19"/>
      <c r="KDN26" s="19"/>
      <c r="KDO26" s="19"/>
      <c r="KDP26" s="19"/>
      <c r="KDQ26" s="19"/>
      <c r="KDR26" s="19"/>
      <c r="KDS26" s="19"/>
      <c r="KDT26" s="19"/>
      <c r="KDU26" s="19"/>
      <c r="KDV26" s="19"/>
      <c r="KDW26" s="19"/>
      <c r="KDX26" s="19"/>
      <c r="KDY26" s="19"/>
      <c r="KDZ26" s="19"/>
      <c r="KEA26" s="19"/>
      <c r="KEB26" s="19"/>
      <c r="KEC26" s="19"/>
      <c r="KED26" s="19"/>
      <c r="KEE26" s="19"/>
      <c r="KEF26" s="19"/>
      <c r="KEG26" s="19"/>
      <c r="KEH26" s="19"/>
      <c r="KEI26" s="19"/>
      <c r="KEJ26" s="19"/>
      <c r="KEK26" s="19"/>
      <c r="KEL26" s="19"/>
      <c r="KEM26" s="19"/>
      <c r="KEN26" s="19"/>
      <c r="KEO26" s="19"/>
      <c r="KEP26" s="19"/>
      <c r="KEQ26" s="19"/>
      <c r="KER26" s="19"/>
      <c r="KES26" s="19"/>
      <c r="KET26" s="19"/>
      <c r="KEU26" s="19"/>
      <c r="KEV26" s="19"/>
      <c r="KEW26" s="19"/>
      <c r="KEX26" s="19"/>
      <c r="KEY26" s="19"/>
      <c r="KEZ26" s="19"/>
      <c r="KFA26" s="19"/>
      <c r="KFB26" s="19"/>
      <c r="KFC26" s="19"/>
      <c r="KFD26" s="19"/>
      <c r="KFE26" s="19"/>
      <c r="KFF26" s="19"/>
      <c r="KFG26" s="19"/>
      <c r="KFH26" s="19"/>
      <c r="KFI26" s="19"/>
      <c r="KFJ26" s="19"/>
      <c r="KFK26" s="19"/>
      <c r="KFL26" s="19"/>
      <c r="KFM26" s="19"/>
      <c r="KFN26" s="19"/>
      <c r="KFO26" s="19"/>
      <c r="KFP26" s="19"/>
      <c r="KFQ26" s="19"/>
      <c r="KFR26" s="19"/>
      <c r="KFS26" s="19"/>
      <c r="KFT26" s="19"/>
      <c r="KFU26" s="19"/>
      <c r="KFV26" s="19"/>
      <c r="KFW26" s="19"/>
      <c r="KFX26" s="19"/>
      <c r="KFY26" s="19"/>
      <c r="KFZ26" s="19"/>
      <c r="KGA26" s="19"/>
      <c r="KGB26" s="19"/>
      <c r="KGC26" s="19"/>
      <c r="KGD26" s="19"/>
      <c r="KGE26" s="19"/>
      <c r="KGF26" s="19"/>
      <c r="KGG26" s="19"/>
      <c r="KGH26" s="19"/>
      <c r="KGI26" s="19"/>
      <c r="KGJ26" s="19"/>
      <c r="KGK26" s="19"/>
      <c r="KGL26" s="19"/>
      <c r="KGM26" s="19"/>
      <c r="KGN26" s="19"/>
      <c r="KGO26" s="19"/>
      <c r="KGP26" s="19"/>
      <c r="KGQ26" s="19"/>
      <c r="KGR26" s="19"/>
      <c r="KGS26" s="19"/>
      <c r="KGT26" s="19"/>
      <c r="KGU26" s="19"/>
      <c r="KGV26" s="19"/>
      <c r="KGW26" s="19"/>
      <c r="KGX26" s="19"/>
      <c r="KGY26" s="19"/>
      <c r="KGZ26" s="19"/>
      <c r="KHA26" s="19"/>
      <c r="KHB26" s="19"/>
      <c r="KHC26" s="19"/>
      <c r="KHD26" s="19"/>
      <c r="KHE26" s="19"/>
      <c r="KHF26" s="19"/>
      <c r="KHG26" s="19"/>
      <c r="KHH26" s="19"/>
      <c r="KHI26" s="19"/>
      <c r="KHJ26" s="19"/>
      <c r="KHK26" s="19"/>
      <c r="KHL26" s="19"/>
      <c r="KHM26" s="19"/>
      <c r="KHN26" s="19"/>
      <c r="KHO26" s="19"/>
      <c r="KHP26" s="19"/>
      <c r="KHQ26" s="19"/>
      <c r="KHR26" s="19"/>
      <c r="KHS26" s="19"/>
      <c r="KHT26" s="19"/>
      <c r="KHU26" s="19"/>
      <c r="KHV26" s="19"/>
      <c r="KHW26" s="19"/>
      <c r="KHX26" s="19"/>
      <c r="KHY26" s="19"/>
      <c r="KHZ26" s="19"/>
      <c r="KIA26" s="19"/>
      <c r="KIB26" s="19"/>
      <c r="KIC26" s="19"/>
      <c r="KID26" s="19"/>
      <c r="KIE26" s="19"/>
      <c r="KIF26" s="19"/>
      <c r="KIG26" s="19"/>
      <c r="KIH26" s="19"/>
      <c r="KII26" s="19"/>
      <c r="KIJ26" s="19"/>
      <c r="KIK26" s="19"/>
      <c r="KIL26" s="19"/>
      <c r="KIM26" s="19"/>
      <c r="KIN26" s="19"/>
      <c r="KIO26" s="19"/>
      <c r="KIP26" s="19"/>
      <c r="KIQ26" s="19"/>
      <c r="KIR26" s="19"/>
      <c r="KIS26" s="19"/>
      <c r="KIT26" s="19"/>
      <c r="KIU26" s="19"/>
      <c r="KIV26" s="19"/>
      <c r="KIW26" s="19"/>
      <c r="KIX26" s="19"/>
      <c r="KIY26" s="19"/>
      <c r="KIZ26" s="19"/>
      <c r="KJA26" s="19"/>
      <c r="KJB26" s="19"/>
      <c r="KJC26" s="19"/>
      <c r="KJD26" s="19"/>
      <c r="KJE26" s="19"/>
      <c r="KJF26" s="19"/>
      <c r="KJG26" s="19"/>
      <c r="KJH26" s="19"/>
      <c r="KJI26" s="19"/>
      <c r="KJJ26" s="19"/>
      <c r="KJK26" s="19"/>
      <c r="KJL26" s="19"/>
      <c r="KJM26" s="19"/>
      <c r="KJN26" s="19"/>
      <c r="KJO26" s="19"/>
      <c r="KJP26" s="19"/>
      <c r="KJQ26" s="19"/>
      <c r="KJR26" s="19"/>
      <c r="KJS26" s="19"/>
      <c r="KJT26" s="19"/>
      <c r="KJU26" s="19"/>
      <c r="KJV26" s="19"/>
      <c r="KJW26" s="19"/>
      <c r="KJX26" s="19"/>
      <c r="KJY26" s="19"/>
      <c r="KJZ26" s="19"/>
      <c r="KKA26" s="19"/>
      <c r="KKB26" s="19"/>
      <c r="KKC26" s="19"/>
      <c r="KKD26" s="19"/>
      <c r="KKE26" s="19"/>
      <c r="KKF26" s="19"/>
      <c r="KKG26" s="19"/>
      <c r="KKH26" s="19"/>
      <c r="KKI26" s="19"/>
      <c r="KKJ26" s="19"/>
      <c r="KKK26" s="19"/>
      <c r="KKL26" s="19"/>
      <c r="KKM26" s="19"/>
      <c r="KKN26" s="19"/>
      <c r="KKO26" s="19"/>
      <c r="KKP26" s="19"/>
      <c r="KKQ26" s="19"/>
      <c r="KKR26" s="19"/>
      <c r="KKS26" s="19"/>
      <c r="KKT26" s="19"/>
      <c r="KKU26" s="19"/>
      <c r="KKV26" s="19"/>
      <c r="KKW26" s="19"/>
      <c r="KKX26" s="19"/>
      <c r="KKY26" s="19"/>
      <c r="KKZ26" s="19"/>
      <c r="KLA26" s="19"/>
      <c r="KLB26" s="19"/>
      <c r="KLC26" s="19"/>
      <c r="KLD26" s="19"/>
      <c r="KLE26" s="19"/>
      <c r="KLF26" s="19"/>
      <c r="KLG26" s="19"/>
      <c r="KLH26" s="19"/>
      <c r="KLI26" s="19"/>
      <c r="KLJ26" s="19"/>
      <c r="KLK26" s="19"/>
      <c r="KLL26" s="19"/>
      <c r="KLM26" s="19"/>
      <c r="KLN26" s="19"/>
      <c r="KLO26" s="19"/>
      <c r="KLP26" s="19"/>
      <c r="KLQ26" s="19"/>
      <c r="KLR26" s="19"/>
      <c r="KLS26" s="19"/>
      <c r="KLT26" s="19"/>
      <c r="KLU26" s="19"/>
      <c r="KLV26" s="19"/>
      <c r="KLW26" s="19"/>
      <c r="KLX26" s="19"/>
      <c r="KLY26" s="19"/>
      <c r="KLZ26" s="19"/>
      <c r="KMA26" s="19"/>
      <c r="KMB26" s="19"/>
      <c r="KMC26" s="19"/>
      <c r="KMD26" s="19"/>
      <c r="KME26" s="19"/>
      <c r="KMF26" s="19"/>
      <c r="KMG26" s="19"/>
      <c r="KMH26" s="19"/>
      <c r="KMI26" s="19"/>
      <c r="KMJ26" s="19"/>
      <c r="KMK26" s="19"/>
      <c r="KML26" s="19"/>
      <c r="KMM26" s="19"/>
      <c r="KMN26" s="19"/>
      <c r="KMO26" s="19"/>
      <c r="KMP26" s="19"/>
      <c r="KMQ26" s="19"/>
      <c r="KMR26" s="19"/>
      <c r="KMS26" s="19"/>
      <c r="KMT26" s="19"/>
      <c r="KMU26" s="19"/>
      <c r="KMV26" s="19"/>
      <c r="KMW26" s="19"/>
      <c r="KMX26" s="19"/>
      <c r="KMY26" s="19"/>
      <c r="KMZ26" s="19"/>
      <c r="KNA26" s="19"/>
      <c r="KNB26" s="19"/>
      <c r="KNC26" s="19"/>
      <c r="KND26" s="19"/>
      <c r="KNE26" s="19"/>
      <c r="KNF26" s="19"/>
      <c r="KNG26" s="19"/>
      <c r="KNH26" s="19"/>
      <c r="KNI26" s="19"/>
      <c r="KNJ26" s="19"/>
      <c r="KNK26" s="19"/>
      <c r="KNL26" s="19"/>
      <c r="KNM26" s="19"/>
      <c r="KNN26" s="19"/>
      <c r="KNO26" s="19"/>
      <c r="KNP26" s="19"/>
      <c r="KNQ26" s="19"/>
      <c r="KNR26" s="19"/>
      <c r="KNS26" s="19"/>
      <c r="KNT26" s="19"/>
      <c r="KNU26" s="19"/>
      <c r="KNV26" s="19"/>
      <c r="KNW26" s="19"/>
      <c r="KNX26" s="19"/>
      <c r="KNY26" s="19"/>
      <c r="KNZ26" s="19"/>
      <c r="KOA26" s="19"/>
      <c r="KOB26" s="19"/>
      <c r="KOC26" s="19"/>
      <c r="KOD26" s="19"/>
      <c r="KOE26" s="19"/>
      <c r="KOF26" s="19"/>
      <c r="KOG26" s="19"/>
      <c r="KOH26" s="19"/>
      <c r="KOI26" s="19"/>
      <c r="KOJ26" s="19"/>
      <c r="KOK26" s="19"/>
      <c r="KOL26" s="19"/>
      <c r="KOM26" s="19"/>
      <c r="KON26" s="19"/>
      <c r="KOO26" s="19"/>
      <c r="KOP26" s="19"/>
      <c r="KOQ26" s="19"/>
      <c r="KOR26" s="19"/>
      <c r="KOS26" s="19"/>
      <c r="KOT26" s="19"/>
      <c r="KOU26" s="19"/>
      <c r="KOV26" s="19"/>
      <c r="KOW26" s="19"/>
      <c r="KOX26" s="19"/>
      <c r="KOY26" s="19"/>
      <c r="KOZ26" s="19"/>
      <c r="KPA26" s="19"/>
      <c r="KPB26" s="19"/>
      <c r="KPC26" s="19"/>
      <c r="KPD26" s="19"/>
      <c r="KPE26" s="19"/>
      <c r="KPF26" s="19"/>
      <c r="KPG26" s="19"/>
      <c r="KPH26" s="19"/>
      <c r="KPI26" s="19"/>
      <c r="KPJ26" s="19"/>
      <c r="KPK26" s="19"/>
      <c r="KPL26" s="19"/>
      <c r="KPM26" s="19"/>
      <c r="KPN26" s="19"/>
      <c r="KPO26" s="19"/>
      <c r="KPP26" s="19"/>
      <c r="KPQ26" s="19"/>
      <c r="KPR26" s="19"/>
      <c r="KPS26" s="19"/>
      <c r="KPT26" s="19"/>
      <c r="KPU26" s="19"/>
      <c r="KPV26" s="19"/>
      <c r="KPW26" s="19"/>
      <c r="KPX26" s="19"/>
      <c r="KPY26" s="19"/>
      <c r="KPZ26" s="19"/>
      <c r="KQA26" s="19"/>
      <c r="KQB26" s="19"/>
      <c r="KQC26" s="19"/>
      <c r="KQD26" s="19"/>
      <c r="KQE26" s="19"/>
      <c r="KQF26" s="19"/>
      <c r="KQG26" s="19"/>
      <c r="KQH26" s="19"/>
      <c r="KQI26" s="19"/>
      <c r="KQJ26" s="19"/>
      <c r="KQK26" s="19"/>
      <c r="KQL26" s="19"/>
      <c r="KQM26" s="19"/>
      <c r="KQN26" s="19"/>
      <c r="KQO26" s="19"/>
      <c r="KQP26" s="19"/>
      <c r="KQQ26" s="19"/>
      <c r="KQR26" s="19"/>
      <c r="KQS26" s="19"/>
      <c r="KQT26" s="19"/>
      <c r="KQU26" s="19"/>
      <c r="KQV26" s="19"/>
      <c r="KQW26" s="19"/>
      <c r="KQX26" s="19"/>
      <c r="KQY26" s="19"/>
      <c r="KQZ26" s="19"/>
      <c r="KRA26" s="19"/>
      <c r="KRB26" s="19"/>
      <c r="KRC26" s="19"/>
      <c r="KRD26" s="19"/>
      <c r="KRE26" s="19"/>
      <c r="KRF26" s="19"/>
      <c r="KRG26" s="19"/>
      <c r="KRH26" s="19"/>
      <c r="KRI26" s="19"/>
      <c r="KRJ26" s="19"/>
      <c r="KRK26" s="19"/>
      <c r="KRL26" s="19"/>
      <c r="KRM26" s="19"/>
      <c r="KRN26" s="19"/>
      <c r="KRO26" s="19"/>
      <c r="KRP26" s="19"/>
      <c r="KRQ26" s="19"/>
      <c r="KRR26" s="19"/>
      <c r="KRS26" s="19"/>
      <c r="KRT26" s="19"/>
      <c r="KRU26" s="19"/>
      <c r="KRV26" s="19"/>
      <c r="KRW26" s="19"/>
      <c r="KRX26" s="19"/>
      <c r="KRY26" s="19"/>
      <c r="KRZ26" s="19"/>
      <c r="KSA26" s="19"/>
      <c r="KSB26" s="19"/>
      <c r="KSC26" s="19"/>
      <c r="KSD26" s="19"/>
      <c r="KSE26" s="19"/>
      <c r="KSF26" s="19"/>
      <c r="KSG26" s="19"/>
      <c r="KSH26" s="19"/>
      <c r="KSI26" s="19"/>
      <c r="KSJ26" s="19"/>
      <c r="KSK26" s="19"/>
      <c r="KSL26" s="19"/>
      <c r="KSM26" s="19"/>
      <c r="KSN26" s="19"/>
      <c r="KSO26" s="19"/>
      <c r="KSP26" s="19"/>
      <c r="KSQ26" s="19"/>
      <c r="KSR26" s="19"/>
      <c r="KSS26" s="19"/>
      <c r="KST26" s="19"/>
      <c r="KSU26" s="19"/>
      <c r="KSV26" s="19"/>
      <c r="KSW26" s="19"/>
      <c r="KSX26" s="19"/>
      <c r="KSY26" s="19"/>
      <c r="KSZ26" s="19"/>
      <c r="KTA26" s="19"/>
      <c r="KTB26" s="19"/>
      <c r="KTC26" s="19"/>
      <c r="KTD26" s="19"/>
      <c r="KTE26" s="19"/>
      <c r="KTF26" s="19"/>
      <c r="KTG26" s="19"/>
      <c r="KTH26" s="19"/>
      <c r="KTI26" s="19"/>
      <c r="KTJ26" s="19"/>
      <c r="KTK26" s="19"/>
      <c r="KTL26" s="19"/>
      <c r="KTM26" s="19"/>
      <c r="KTN26" s="19"/>
      <c r="KTO26" s="19"/>
      <c r="KTP26" s="19"/>
      <c r="KTQ26" s="19"/>
      <c r="KTR26" s="19"/>
      <c r="KTS26" s="19"/>
      <c r="KTT26" s="19"/>
      <c r="KTU26" s="19"/>
      <c r="KTV26" s="19"/>
      <c r="KTW26" s="19"/>
      <c r="KTX26" s="19"/>
      <c r="KTY26" s="19"/>
      <c r="KTZ26" s="19"/>
      <c r="KUA26" s="19"/>
      <c r="KUB26" s="19"/>
      <c r="KUC26" s="19"/>
      <c r="KUD26" s="19"/>
      <c r="KUE26" s="19"/>
      <c r="KUF26" s="19"/>
      <c r="KUG26" s="19"/>
      <c r="KUH26" s="19"/>
      <c r="KUI26" s="19"/>
      <c r="KUJ26" s="19"/>
      <c r="KUK26" s="19"/>
      <c r="KUL26" s="19"/>
      <c r="KUM26" s="19"/>
      <c r="KUN26" s="19"/>
      <c r="KUO26" s="19"/>
      <c r="KUP26" s="19"/>
      <c r="KUQ26" s="19"/>
      <c r="KUR26" s="19"/>
      <c r="KUS26" s="19"/>
      <c r="KUT26" s="19"/>
      <c r="KUU26" s="19"/>
      <c r="KUV26" s="19"/>
      <c r="KUW26" s="19"/>
      <c r="KUX26" s="19"/>
      <c r="KUY26" s="19"/>
      <c r="KUZ26" s="19"/>
      <c r="KVA26" s="19"/>
      <c r="KVB26" s="19"/>
      <c r="KVC26" s="19"/>
      <c r="KVD26" s="19"/>
      <c r="KVE26" s="19"/>
      <c r="KVF26" s="19"/>
      <c r="KVG26" s="19"/>
      <c r="KVH26" s="19"/>
      <c r="KVI26" s="19"/>
      <c r="KVJ26" s="19"/>
      <c r="KVK26" s="19"/>
      <c r="KVL26" s="19"/>
      <c r="KVM26" s="19"/>
      <c r="KVN26" s="19"/>
      <c r="KVO26" s="19"/>
      <c r="KVP26" s="19"/>
      <c r="KVQ26" s="19"/>
      <c r="KVR26" s="19"/>
      <c r="KVS26" s="19"/>
      <c r="KVT26" s="19"/>
      <c r="KVU26" s="19"/>
      <c r="KVV26" s="19"/>
      <c r="KVW26" s="19"/>
      <c r="KVX26" s="19"/>
      <c r="KVY26" s="19"/>
      <c r="KVZ26" s="19"/>
      <c r="KWA26" s="19"/>
      <c r="KWB26" s="19"/>
      <c r="KWC26" s="19"/>
      <c r="KWD26" s="19"/>
      <c r="KWE26" s="19"/>
      <c r="KWF26" s="19"/>
      <c r="KWG26" s="19"/>
      <c r="KWH26" s="19"/>
      <c r="KWI26" s="19"/>
      <c r="KWJ26" s="19"/>
      <c r="KWK26" s="19"/>
      <c r="KWL26" s="19"/>
      <c r="KWM26" s="19"/>
      <c r="KWN26" s="19"/>
      <c r="KWO26" s="19"/>
      <c r="KWP26" s="19"/>
      <c r="KWQ26" s="19"/>
      <c r="KWR26" s="19"/>
      <c r="KWS26" s="19"/>
      <c r="KWT26" s="19"/>
      <c r="KWU26" s="19"/>
      <c r="KWV26" s="19"/>
      <c r="KWW26" s="19"/>
      <c r="KWX26" s="19"/>
      <c r="KWY26" s="19"/>
      <c r="KWZ26" s="19"/>
      <c r="KXA26" s="19"/>
      <c r="KXB26" s="19"/>
      <c r="KXC26" s="19"/>
      <c r="KXD26" s="19"/>
      <c r="KXE26" s="19"/>
      <c r="KXF26" s="19"/>
      <c r="KXG26" s="19"/>
      <c r="KXH26" s="19"/>
      <c r="KXI26" s="19"/>
      <c r="KXJ26" s="19"/>
      <c r="KXK26" s="19"/>
      <c r="KXL26" s="19"/>
      <c r="KXM26" s="19"/>
      <c r="KXN26" s="19"/>
      <c r="KXO26" s="19"/>
      <c r="KXP26" s="19"/>
      <c r="KXQ26" s="19"/>
      <c r="KXR26" s="19"/>
      <c r="KXS26" s="19"/>
      <c r="KXT26" s="19"/>
      <c r="KXU26" s="19"/>
      <c r="KXV26" s="19"/>
      <c r="KXW26" s="19"/>
      <c r="KXX26" s="19"/>
      <c r="KXY26" s="19"/>
      <c r="KXZ26" s="19"/>
      <c r="KYA26" s="19"/>
      <c r="KYB26" s="19"/>
      <c r="KYC26" s="19"/>
      <c r="KYD26" s="19"/>
      <c r="KYE26" s="19"/>
      <c r="KYF26" s="19"/>
      <c r="KYG26" s="19"/>
      <c r="KYH26" s="19"/>
      <c r="KYI26" s="19"/>
      <c r="KYJ26" s="19"/>
      <c r="KYK26" s="19"/>
      <c r="KYL26" s="19"/>
      <c r="KYM26" s="19"/>
      <c r="KYN26" s="19"/>
      <c r="KYO26" s="19"/>
      <c r="KYP26" s="19"/>
      <c r="KYQ26" s="19"/>
      <c r="KYR26" s="19"/>
      <c r="KYS26" s="19"/>
      <c r="KYT26" s="19"/>
      <c r="KYU26" s="19"/>
      <c r="KYV26" s="19"/>
      <c r="KYW26" s="19"/>
      <c r="KYX26" s="19"/>
      <c r="KYY26" s="19"/>
      <c r="KYZ26" s="19"/>
      <c r="KZA26" s="19"/>
      <c r="KZB26" s="19"/>
      <c r="KZC26" s="19"/>
      <c r="KZD26" s="19"/>
      <c r="KZE26" s="19"/>
      <c r="KZF26" s="19"/>
      <c r="KZG26" s="19"/>
      <c r="KZH26" s="19"/>
      <c r="KZI26" s="19"/>
      <c r="KZJ26" s="19"/>
      <c r="KZK26" s="19"/>
      <c r="KZL26" s="19"/>
      <c r="KZM26" s="19"/>
      <c r="KZN26" s="19"/>
      <c r="KZO26" s="19"/>
      <c r="KZP26" s="19"/>
      <c r="KZQ26" s="19"/>
      <c r="KZR26" s="19"/>
      <c r="KZS26" s="19"/>
      <c r="KZT26" s="19"/>
      <c r="KZU26" s="19"/>
      <c r="KZV26" s="19"/>
      <c r="KZW26" s="19"/>
      <c r="KZX26" s="19"/>
      <c r="KZY26" s="19"/>
      <c r="KZZ26" s="19"/>
      <c r="LAA26" s="19"/>
      <c r="LAB26" s="19"/>
      <c r="LAC26" s="19"/>
      <c r="LAD26" s="19"/>
      <c r="LAE26" s="19"/>
      <c r="LAF26" s="19"/>
      <c r="LAG26" s="19"/>
      <c r="LAH26" s="19"/>
      <c r="LAI26" s="19"/>
      <c r="LAJ26" s="19"/>
      <c r="LAK26" s="19"/>
      <c r="LAL26" s="19"/>
      <c r="LAM26" s="19"/>
      <c r="LAN26" s="19"/>
      <c r="LAO26" s="19"/>
      <c r="LAP26" s="19"/>
      <c r="LAQ26" s="19"/>
      <c r="LAR26" s="19"/>
      <c r="LAS26" s="19"/>
      <c r="LAT26" s="19"/>
      <c r="LAU26" s="19"/>
      <c r="LAV26" s="19"/>
      <c r="LAW26" s="19"/>
      <c r="LAX26" s="19"/>
      <c r="LAY26" s="19"/>
      <c r="LAZ26" s="19"/>
      <c r="LBA26" s="19"/>
      <c r="LBB26" s="19"/>
      <c r="LBC26" s="19"/>
      <c r="LBD26" s="19"/>
      <c r="LBE26" s="19"/>
      <c r="LBF26" s="19"/>
      <c r="LBG26" s="19"/>
      <c r="LBH26" s="19"/>
      <c r="LBI26" s="19"/>
      <c r="LBJ26" s="19"/>
      <c r="LBK26" s="19"/>
      <c r="LBL26" s="19"/>
      <c r="LBM26" s="19"/>
      <c r="LBN26" s="19"/>
      <c r="LBO26" s="19"/>
      <c r="LBP26" s="19"/>
      <c r="LBQ26" s="19"/>
      <c r="LBR26" s="19"/>
      <c r="LBS26" s="19"/>
      <c r="LBT26" s="19"/>
      <c r="LBU26" s="19"/>
      <c r="LBV26" s="19"/>
      <c r="LBW26" s="19"/>
      <c r="LBX26" s="19"/>
      <c r="LBY26" s="19"/>
      <c r="LBZ26" s="19"/>
      <c r="LCA26" s="19"/>
      <c r="LCB26" s="19"/>
      <c r="LCC26" s="19"/>
      <c r="LCD26" s="19"/>
      <c r="LCE26" s="19"/>
      <c r="LCF26" s="19"/>
      <c r="LCG26" s="19"/>
      <c r="LCH26" s="19"/>
      <c r="LCI26" s="19"/>
      <c r="LCJ26" s="19"/>
      <c r="LCK26" s="19"/>
      <c r="LCL26" s="19"/>
      <c r="LCM26" s="19"/>
      <c r="LCN26" s="19"/>
      <c r="LCO26" s="19"/>
      <c r="LCP26" s="19"/>
      <c r="LCQ26" s="19"/>
      <c r="LCR26" s="19"/>
      <c r="LCS26" s="19"/>
      <c r="LCT26" s="19"/>
      <c r="LCU26" s="19"/>
      <c r="LCV26" s="19"/>
      <c r="LCW26" s="19"/>
      <c r="LCX26" s="19"/>
      <c r="LCY26" s="19"/>
      <c r="LCZ26" s="19"/>
      <c r="LDA26" s="19"/>
      <c r="LDB26" s="19"/>
      <c r="LDC26" s="19"/>
      <c r="LDD26" s="19"/>
      <c r="LDE26" s="19"/>
      <c r="LDF26" s="19"/>
      <c r="LDG26" s="19"/>
      <c r="LDH26" s="19"/>
      <c r="LDI26" s="19"/>
      <c r="LDJ26" s="19"/>
      <c r="LDK26" s="19"/>
      <c r="LDL26" s="19"/>
      <c r="LDM26" s="19"/>
      <c r="LDN26" s="19"/>
      <c r="LDO26" s="19"/>
      <c r="LDP26" s="19"/>
      <c r="LDQ26" s="19"/>
      <c r="LDR26" s="19"/>
      <c r="LDS26" s="19"/>
      <c r="LDT26" s="19"/>
      <c r="LDU26" s="19"/>
      <c r="LDV26" s="19"/>
      <c r="LDW26" s="19"/>
      <c r="LDX26" s="19"/>
      <c r="LDY26" s="19"/>
      <c r="LDZ26" s="19"/>
      <c r="LEA26" s="19"/>
      <c r="LEB26" s="19"/>
      <c r="LEC26" s="19"/>
      <c r="LED26" s="19"/>
      <c r="LEE26" s="19"/>
      <c r="LEF26" s="19"/>
      <c r="LEG26" s="19"/>
      <c r="LEH26" s="19"/>
      <c r="LEI26" s="19"/>
      <c r="LEJ26" s="19"/>
      <c r="LEK26" s="19"/>
      <c r="LEL26" s="19"/>
      <c r="LEM26" s="19"/>
      <c r="LEN26" s="19"/>
      <c r="LEO26" s="19"/>
      <c r="LEP26" s="19"/>
      <c r="LEQ26" s="19"/>
      <c r="LER26" s="19"/>
      <c r="LES26" s="19"/>
      <c r="LET26" s="19"/>
      <c r="LEU26" s="19"/>
      <c r="LEV26" s="19"/>
      <c r="LEW26" s="19"/>
      <c r="LEX26" s="19"/>
      <c r="LEY26" s="19"/>
      <c r="LEZ26" s="19"/>
      <c r="LFA26" s="19"/>
      <c r="LFB26" s="19"/>
      <c r="LFC26" s="19"/>
      <c r="LFD26" s="19"/>
      <c r="LFE26" s="19"/>
      <c r="LFF26" s="19"/>
      <c r="LFG26" s="19"/>
      <c r="LFH26" s="19"/>
      <c r="LFI26" s="19"/>
      <c r="LFJ26" s="19"/>
      <c r="LFK26" s="19"/>
      <c r="LFL26" s="19"/>
      <c r="LFM26" s="19"/>
      <c r="LFN26" s="19"/>
      <c r="LFO26" s="19"/>
      <c r="LFP26" s="19"/>
      <c r="LFQ26" s="19"/>
      <c r="LFR26" s="19"/>
      <c r="LFS26" s="19"/>
      <c r="LFT26" s="19"/>
      <c r="LFU26" s="19"/>
      <c r="LFV26" s="19"/>
      <c r="LFW26" s="19"/>
      <c r="LFX26" s="19"/>
      <c r="LFY26" s="19"/>
      <c r="LFZ26" s="19"/>
      <c r="LGA26" s="19"/>
      <c r="LGB26" s="19"/>
      <c r="LGC26" s="19"/>
      <c r="LGD26" s="19"/>
      <c r="LGE26" s="19"/>
      <c r="LGF26" s="19"/>
      <c r="LGG26" s="19"/>
      <c r="LGH26" s="19"/>
      <c r="LGI26" s="19"/>
      <c r="LGJ26" s="19"/>
      <c r="LGK26" s="19"/>
      <c r="LGL26" s="19"/>
      <c r="LGM26" s="19"/>
      <c r="LGN26" s="19"/>
      <c r="LGO26" s="19"/>
      <c r="LGP26" s="19"/>
      <c r="LGQ26" s="19"/>
      <c r="LGR26" s="19"/>
      <c r="LGS26" s="19"/>
      <c r="LGT26" s="19"/>
      <c r="LGU26" s="19"/>
      <c r="LGV26" s="19"/>
      <c r="LGW26" s="19"/>
      <c r="LGX26" s="19"/>
      <c r="LGY26" s="19"/>
      <c r="LGZ26" s="19"/>
      <c r="LHA26" s="19"/>
      <c r="LHB26" s="19"/>
      <c r="LHC26" s="19"/>
      <c r="LHD26" s="19"/>
      <c r="LHE26" s="19"/>
      <c r="LHF26" s="19"/>
      <c r="LHG26" s="19"/>
      <c r="LHH26" s="19"/>
      <c r="LHI26" s="19"/>
      <c r="LHJ26" s="19"/>
      <c r="LHK26" s="19"/>
      <c r="LHL26" s="19"/>
      <c r="LHM26" s="19"/>
      <c r="LHN26" s="19"/>
      <c r="LHO26" s="19"/>
      <c r="LHP26" s="19"/>
      <c r="LHQ26" s="19"/>
      <c r="LHR26" s="19"/>
      <c r="LHS26" s="19"/>
      <c r="LHT26" s="19"/>
      <c r="LHU26" s="19"/>
      <c r="LHV26" s="19"/>
      <c r="LHW26" s="19"/>
      <c r="LHX26" s="19"/>
      <c r="LHY26" s="19"/>
      <c r="LHZ26" s="19"/>
      <c r="LIA26" s="19"/>
      <c r="LIB26" s="19"/>
      <c r="LIC26" s="19"/>
      <c r="LID26" s="19"/>
      <c r="LIE26" s="19"/>
      <c r="LIF26" s="19"/>
      <c r="LIG26" s="19"/>
      <c r="LIH26" s="19"/>
      <c r="LII26" s="19"/>
      <c r="LIJ26" s="19"/>
      <c r="LIK26" s="19"/>
      <c r="LIL26" s="19"/>
      <c r="LIM26" s="19"/>
      <c r="LIN26" s="19"/>
      <c r="LIO26" s="19"/>
      <c r="LIP26" s="19"/>
      <c r="LIQ26" s="19"/>
      <c r="LIR26" s="19"/>
      <c r="LIS26" s="19"/>
      <c r="LIT26" s="19"/>
      <c r="LIU26" s="19"/>
      <c r="LIV26" s="19"/>
      <c r="LIW26" s="19"/>
      <c r="LIX26" s="19"/>
      <c r="LIY26" s="19"/>
      <c r="LIZ26" s="19"/>
      <c r="LJA26" s="19"/>
      <c r="LJB26" s="19"/>
      <c r="LJC26" s="19"/>
      <c r="LJD26" s="19"/>
      <c r="LJE26" s="19"/>
      <c r="LJF26" s="19"/>
      <c r="LJG26" s="19"/>
      <c r="LJH26" s="19"/>
      <c r="LJI26" s="19"/>
      <c r="LJJ26" s="19"/>
      <c r="LJK26" s="19"/>
      <c r="LJL26" s="19"/>
      <c r="LJM26" s="19"/>
      <c r="LJN26" s="19"/>
      <c r="LJO26" s="19"/>
      <c r="LJP26" s="19"/>
      <c r="LJQ26" s="19"/>
      <c r="LJR26" s="19"/>
      <c r="LJS26" s="19"/>
      <c r="LJT26" s="19"/>
      <c r="LJU26" s="19"/>
      <c r="LJV26" s="19"/>
      <c r="LJW26" s="19"/>
      <c r="LJX26" s="19"/>
      <c r="LJY26" s="19"/>
      <c r="LJZ26" s="19"/>
      <c r="LKA26" s="19"/>
      <c r="LKB26" s="19"/>
      <c r="LKC26" s="19"/>
      <c r="LKD26" s="19"/>
      <c r="LKE26" s="19"/>
      <c r="LKF26" s="19"/>
      <c r="LKG26" s="19"/>
      <c r="LKH26" s="19"/>
      <c r="LKI26" s="19"/>
      <c r="LKJ26" s="19"/>
      <c r="LKK26" s="19"/>
      <c r="LKL26" s="19"/>
      <c r="LKM26" s="19"/>
      <c r="LKN26" s="19"/>
      <c r="LKO26" s="19"/>
      <c r="LKP26" s="19"/>
      <c r="LKQ26" s="19"/>
      <c r="LKR26" s="19"/>
      <c r="LKS26" s="19"/>
      <c r="LKT26" s="19"/>
      <c r="LKU26" s="19"/>
      <c r="LKV26" s="19"/>
      <c r="LKW26" s="19"/>
      <c r="LKX26" s="19"/>
      <c r="LKY26" s="19"/>
      <c r="LKZ26" s="19"/>
      <c r="LLA26" s="19"/>
      <c r="LLB26" s="19"/>
      <c r="LLC26" s="19"/>
      <c r="LLD26" s="19"/>
      <c r="LLE26" s="19"/>
      <c r="LLF26" s="19"/>
      <c r="LLG26" s="19"/>
      <c r="LLH26" s="19"/>
      <c r="LLI26" s="19"/>
      <c r="LLJ26" s="19"/>
      <c r="LLK26" s="19"/>
      <c r="LLL26" s="19"/>
      <c r="LLM26" s="19"/>
      <c r="LLN26" s="19"/>
      <c r="LLO26" s="19"/>
      <c r="LLP26" s="19"/>
      <c r="LLQ26" s="19"/>
      <c r="LLR26" s="19"/>
      <c r="LLS26" s="19"/>
      <c r="LLT26" s="19"/>
      <c r="LLU26" s="19"/>
      <c r="LLV26" s="19"/>
      <c r="LLW26" s="19"/>
      <c r="LLX26" s="19"/>
      <c r="LLY26" s="19"/>
      <c r="LLZ26" s="19"/>
      <c r="LMA26" s="19"/>
      <c r="LMB26" s="19"/>
      <c r="LMC26" s="19"/>
      <c r="LMD26" s="19"/>
      <c r="LME26" s="19"/>
      <c r="LMF26" s="19"/>
      <c r="LMG26" s="19"/>
      <c r="LMH26" s="19"/>
      <c r="LMI26" s="19"/>
      <c r="LMJ26" s="19"/>
      <c r="LMK26" s="19"/>
      <c r="LML26" s="19"/>
      <c r="LMM26" s="19"/>
      <c r="LMN26" s="19"/>
      <c r="LMO26" s="19"/>
      <c r="LMP26" s="19"/>
      <c r="LMQ26" s="19"/>
      <c r="LMR26" s="19"/>
      <c r="LMS26" s="19"/>
      <c r="LMT26" s="19"/>
      <c r="LMU26" s="19"/>
      <c r="LMV26" s="19"/>
      <c r="LMW26" s="19"/>
      <c r="LMX26" s="19"/>
      <c r="LMY26" s="19"/>
      <c r="LMZ26" s="19"/>
      <c r="LNA26" s="19"/>
      <c r="LNB26" s="19"/>
      <c r="LNC26" s="19"/>
      <c r="LND26" s="19"/>
      <c r="LNE26" s="19"/>
      <c r="LNF26" s="19"/>
      <c r="LNG26" s="19"/>
      <c r="LNH26" s="19"/>
      <c r="LNI26" s="19"/>
      <c r="LNJ26" s="19"/>
      <c r="LNK26" s="19"/>
      <c r="LNL26" s="19"/>
      <c r="LNM26" s="19"/>
      <c r="LNN26" s="19"/>
      <c r="LNO26" s="19"/>
      <c r="LNP26" s="19"/>
      <c r="LNQ26" s="19"/>
      <c r="LNR26" s="19"/>
      <c r="LNS26" s="19"/>
      <c r="LNT26" s="19"/>
      <c r="LNU26" s="19"/>
      <c r="LNV26" s="19"/>
      <c r="LNW26" s="19"/>
      <c r="LNX26" s="19"/>
      <c r="LNY26" s="19"/>
      <c r="LNZ26" s="19"/>
      <c r="LOA26" s="19"/>
      <c r="LOB26" s="19"/>
      <c r="LOC26" s="19"/>
      <c r="LOD26" s="19"/>
      <c r="LOE26" s="19"/>
      <c r="LOF26" s="19"/>
      <c r="LOG26" s="19"/>
      <c r="LOH26" s="19"/>
      <c r="LOI26" s="19"/>
      <c r="LOJ26" s="19"/>
      <c r="LOK26" s="19"/>
      <c r="LOL26" s="19"/>
      <c r="LOM26" s="19"/>
      <c r="LON26" s="19"/>
      <c r="LOO26" s="19"/>
      <c r="LOP26" s="19"/>
      <c r="LOQ26" s="19"/>
      <c r="LOR26" s="19"/>
      <c r="LOS26" s="19"/>
      <c r="LOT26" s="19"/>
      <c r="LOU26" s="19"/>
      <c r="LOV26" s="19"/>
      <c r="LOW26" s="19"/>
      <c r="LOX26" s="19"/>
      <c r="LOY26" s="19"/>
      <c r="LOZ26" s="19"/>
      <c r="LPA26" s="19"/>
      <c r="LPB26" s="19"/>
      <c r="LPC26" s="19"/>
      <c r="LPD26" s="19"/>
      <c r="LPE26" s="19"/>
      <c r="LPF26" s="19"/>
      <c r="LPG26" s="19"/>
      <c r="LPH26" s="19"/>
      <c r="LPI26" s="19"/>
      <c r="LPJ26" s="19"/>
      <c r="LPK26" s="19"/>
      <c r="LPL26" s="19"/>
      <c r="LPM26" s="19"/>
      <c r="LPN26" s="19"/>
      <c r="LPO26" s="19"/>
      <c r="LPP26" s="19"/>
      <c r="LPQ26" s="19"/>
      <c r="LPR26" s="19"/>
      <c r="LPS26" s="19"/>
      <c r="LPT26" s="19"/>
      <c r="LPU26" s="19"/>
      <c r="LPV26" s="19"/>
      <c r="LPW26" s="19"/>
      <c r="LPX26" s="19"/>
      <c r="LPY26" s="19"/>
      <c r="LPZ26" s="19"/>
      <c r="LQA26" s="19"/>
      <c r="LQB26" s="19"/>
      <c r="LQC26" s="19"/>
      <c r="LQD26" s="19"/>
      <c r="LQE26" s="19"/>
      <c r="LQF26" s="19"/>
      <c r="LQG26" s="19"/>
      <c r="LQH26" s="19"/>
      <c r="LQI26" s="19"/>
      <c r="LQJ26" s="19"/>
      <c r="LQK26" s="19"/>
      <c r="LQL26" s="19"/>
      <c r="LQM26" s="19"/>
      <c r="LQN26" s="19"/>
      <c r="LQO26" s="19"/>
      <c r="LQP26" s="19"/>
      <c r="LQQ26" s="19"/>
      <c r="LQR26" s="19"/>
      <c r="LQS26" s="19"/>
      <c r="LQT26" s="19"/>
      <c r="LQU26" s="19"/>
      <c r="LQV26" s="19"/>
      <c r="LQW26" s="19"/>
      <c r="LQX26" s="19"/>
      <c r="LQY26" s="19"/>
      <c r="LQZ26" s="19"/>
      <c r="LRA26" s="19"/>
      <c r="LRB26" s="19"/>
      <c r="LRC26" s="19"/>
      <c r="LRD26" s="19"/>
      <c r="LRE26" s="19"/>
      <c r="LRF26" s="19"/>
      <c r="LRG26" s="19"/>
      <c r="LRH26" s="19"/>
      <c r="LRI26" s="19"/>
      <c r="LRJ26" s="19"/>
      <c r="LRK26" s="19"/>
      <c r="LRL26" s="19"/>
      <c r="LRM26" s="19"/>
      <c r="LRN26" s="19"/>
      <c r="LRO26" s="19"/>
      <c r="LRP26" s="19"/>
      <c r="LRQ26" s="19"/>
      <c r="LRR26" s="19"/>
      <c r="LRS26" s="19"/>
      <c r="LRT26" s="19"/>
      <c r="LRU26" s="19"/>
      <c r="LRV26" s="19"/>
      <c r="LRW26" s="19"/>
      <c r="LRX26" s="19"/>
      <c r="LRY26" s="19"/>
      <c r="LRZ26" s="19"/>
      <c r="LSA26" s="19"/>
      <c r="LSB26" s="19"/>
      <c r="LSC26" s="19"/>
      <c r="LSD26" s="19"/>
      <c r="LSE26" s="19"/>
      <c r="LSF26" s="19"/>
      <c r="LSG26" s="19"/>
      <c r="LSH26" s="19"/>
      <c r="LSI26" s="19"/>
      <c r="LSJ26" s="19"/>
      <c r="LSK26" s="19"/>
      <c r="LSL26" s="19"/>
      <c r="LSM26" s="19"/>
      <c r="LSN26" s="19"/>
      <c r="LSO26" s="19"/>
      <c r="LSP26" s="19"/>
      <c r="LSQ26" s="19"/>
      <c r="LSR26" s="19"/>
      <c r="LSS26" s="19"/>
      <c r="LST26" s="19"/>
      <c r="LSU26" s="19"/>
      <c r="LSV26" s="19"/>
      <c r="LSW26" s="19"/>
      <c r="LSX26" s="19"/>
      <c r="LSY26" s="19"/>
      <c r="LSZ26" s="19"/>
      <c r="LTA26" s="19"/>
      <c r="LTB26" s="19"/>
      <c r="LTC26" s="19"/>
      <c r="LTD26" s="19"/>
      <c r="LTE26" s="19"/>
      <c r="LTF26" s="19"/>
      <c r="LTG26" s="19"/>
      <c r="LTH26" s="19"/>
      <c r="LTI26" s="19"/>
      <c r="LTJ26" s="19"/>
      <c r="LTK26" s="19"/>
      <c r="LTL26" s="19"/>
      <c r="LTM26" s="19"/>
      <c r="LTN26" s="19"/>
      <c r="LTO26" s="19"/>
      <c r="LTP26" s="19"/>
      <c r="LTQ26" s="19"/>
      <c r="LTR26" s="19"/>
      <c r="LTS26" s="19"/>
      <c r="LTT26" s="19"/>
      <c r="LTU26" s="19"/>
      <c r="LTV26" s="19"/>
      <c r="LTW26" s="19"/>
      <c r="LTX26" s="19"/>
      <c r="LTY26" s="19"/>
      <c r="LTZ26" s="19"/>
      <c r="LUA26" s="19"/>
      <c r="LUB26" s="19"/>
      <c r="LUC26" s="19"/>
      <c r="LUD26" s="19"/>
      <c r="LUE26" s="19"/>
      <c r="LUF26" s="19"/>
      <c r="LUG26" s="19"/>
      <c r="LUH26" s="19"/>
      <c r="LUI26" s="19"/>
      <c r="LUJ26" s="19"/>
      <c r="LUK26" s="19"/>
      <c r="LUL26" s="19"/>
      <c r="LUM26" s="19"/>
      <c r="LUN26" s="19"/>
      <c r="LUO26" s="19"/>
      <c r="LUP26" s="19"/>
      <c r="LUQ26" s="19"/>
      <c r="LUR26" s="19"/>
      <c r="LUS26" s="19"/>
      <c r="LUT26" s="19"/>
      <c r="LUU26" s="19"/>
      <c r="LUV26" s="19"/>
      <c r="LUW26" s="19"/>
      <c r="LUX26" s="19"/>
      <c r="LUY26" s="19"/>
      <c r="LUZ26" s="19"/>
      <c r="LVA26" s="19"/>
      <c r="LVB26" s="19"/>
      <c r="LVC26" s="19"/>
      <c r="LVD26" s="19"/>
      <c r="LVE26" s="19"/>
      <c r="LVF26" s="19"/>
      <c r="LVG26" s="19"/>
      <c r="LVH26" s="19"/>
      <c r="LVI26" s="19"/>
      <c r="LVJ26" s="19"/>
      <c r="LVK26" s="19"/>
      <c r="LVL26" s="19"/>
      <c r="LVM26" s="19"/>
      <c r="LVN26" s="19"/>
      <c r="LVO26" s="19"/>
      <c r="LVP26" s="19"/>
      <c r="LVQ26" s="19"/>
      <c r="LVR26" s="19"/>
      <c r="LVS26" s="19"/>
      <c r="LVT26" s="19"/>
      <c r="LVU26" s="19"/>
      <c r="LVV26" s="19"/>
      <c r="LVW26" s="19"/>
      <c r="LVX26" s="19"/>
      <c r="LVY26" s="19"/>
      <c r="LVZ26" s="19"/>
      <c r="LWA26" s="19"/>
      <c r="LWB26" s="19"/>
      <c r="LWC26" s="19"/>
      <c r="LWD26" s="19"/>
      <c r="LWE26" s="19"/>
      <c r="LWF26" s="19"/>
      <c r="LWG26" s="19"/>
      <c r="LWH26" s="19"/>
      <c r="LWI26" s="19"/>
      <c r="LWJ26" s="19"/>
      <c r="LWK26" s="19"/>
      <c r="LWL26" s="19"/>
      <c r="LWM26" s="19"/>
      <c r="LWN26" s="19"/>
      <c r="LWO26" s="19"/>
      <c r="LWP26" s="19"/>
      <c r="LWQ26" s="19"/>
      <c r="LWR26" s="19"/>
      <c r="LWS26" s="19"/>
      <c r="LWT26" s="19"/>
      <c r="LWU26" s="19"/>
      <c r="LWV26" s="19"/>
      <c r="LWW26" s="19"/>
      <c r="LWX26" s="19"/>
      <c r="LWY26" s="19"/>
      <c r="LWZ26" s="19"/>
      <c r="LXA26" s="19"/>
      <c r="LXB26" s="19"/>
      <c r="LXC26" s="19"/>
      <c r="LXD26" s="19"/>
      <c r="LXE26" s="19"/>
      <c r="LXF26" s="19"/>
      <c r="LXG26" s="19"/>
      <c r="LXH26" s="19"/>
      <c r="LXI26" s="19"/>
      <c r="LXJ26" s="19"/>
      <c r="LXK26" s="19"/>
      <c r="LXL26" s="19"/>
      <c r="LXM26" s="19"/>
      <c r="LXN26" s="19"/>
      <c r="LXO26" s="19"/>
      <c r="LXP26" s="19"/>
      <c r="LXQ26" s="19"/>
      <c r="LXR26" s="19"/>
      <c r="LXS26" s="19"/>
      <c r="LXT26" s="19"/>
      <c r="LXU26" s="19"/>
      <c r="LXV26" s="19"/>
      <c r="LXW26" s="19"/>
      <c r="LXX26" s="19"/>
      <c r="LXY26" s="19"/>
      <c r="LXZ26" s="19"/>
      <c r="LYA26" s="19"/>
      <c r="LYB26" s="19"/>
      <c r="LYC26" s="19"/>
      <c r="LYD26" s="19"/>
      <c r="LYE26" s="19"/>
      <c r="LYF26" s="19"/>
      <c r="LYG26" s="19"/>
      <c r="LYH26" s="19"/>
      <c r="LYI26" s="19"/>
      <c r="LYJ26" s="19"/>
      <c r="LYK26" s="19"/>
      <c r="LYL26" s="19"/>
      <c r="LYM26" s="19"/>
      <c r="LYN26" s="19"/>
      <c r="LYO26" s="19"/>
      <c r="LYP26" s="19"/>
      <c r="LYQ26" s="19"/>
      <c r="LYR26" s="19"/>
      <c r="LYS26" s="19"/>
      <c r="LYT26" s="19"/>
      <c r="LYU26" s="19"/>
      <c r="LYV26" s="19"/>
      <c r="LYW26" s="19"/>
      <c r="LYX26" s="19"/>
      <c r="LYY26" s="19"/>
      <c r="LYZ26" s="19"/>
      <c r="LZA26" s="19"/>
      <c r="LZB26" s="19"/>
      <c r="LZC26" s="19"/>
      <c r="LZD26" s="19"/>
      <c r="LZE26" s="19"/>
      <c r="LZF26" s="19"/>
      <c r="LZG26" s="19"/>
      <c r="LZH26" s="19"/>
      <c r="LZI26" s="19"/>
      <c r="LZJ26" s="19"/>
      <c r="LZK26" s="19"/>
      <c r="LZL26" s="19"/>
      <c r="LZM26" s="19"/>
      <c r="LZN26" s="19"/>
      <c r="LZO26" s="19"/>
      <c r="LZP26" s="19"/>
      <c r="LZQ26" s="19"/>
      <c r="LZR26" s="19"/>
      <c r="LZS26" s="19"/>
      <c r="LZT26" s="19"/>
      <c r="LZU26" s="19"/>
      <c r="LZV26" s="19"/>
      <c r="LZW26" s="19"/>
      <c r="LZX26" s="19"/>
      <c r="LZY26" s="19"/>
      <c r="LZZ26" s="19"/>
      <c r="MAA26" s="19"/>
      <c r="MAB26" s="19"/>
      <c r="MAC26" s="19"/>
      <c r="MAD26" s="19"/>
      <c r="MAE26" s="19"/>
      <c r="MAF26" s="19"/>
      <c r="MAG26" s="19"/>
      <c r="MAH26" s="19"/>
      <c r="MAI26" s="19"/>
      <c r="MAJ26" s="19"/>
      <c r="MAK26" s="19"/>
      <c r="MAL26" s="19"/>
      <c r="MAM26" s="19"/>
      <c r="MAN26" s="19"/>
      <c r="MAO26" s="19"/>
      <c r="MAP26" s="19"/>
      <c r="MAQ26" s="19"/>
      <c r="MAR26" s="19"/>
      <c r="MAS26" s="19"/>
      <c r="MAT26" s="19"/>
      <c r="MAU26" s="19"/>
      <c r="MAV26" s="19"/>
      <c r="MAW26" s="19"/>
      <c r="MAX26" s="19"/>
      <c r="MAY26" s="19"/>
      <c r="MAZ26" s="19"/>
      <c r="MBA26" s="19"/>
      <c r="MBB26" s="19"/>
      <c r="MBC26" s="19"/>
      <c r="MBD26" s="19"/>
      <c r="MBE26" s="19"/>
      <c r="MBF26" s="19"/>
      <c r="MBG26" s="19"/>
      <c r="MBH26" s="19"/>
      <c r="MBI26" s="19"/>
      <c r="MBJ26" s="19"/>
      <c r="MBK26" s="19"/>
      <c r="MBL26" s="19"/>
      <c r="MBM26" s="19"/>
      <c r="MBN26" s="19"/>
      <c r="MBO26" s="19"/>
      <c r="MBP26" s="19"/>
      <c r="MBQ26" s="19"/>
      <c r="MBR26" s="19"/>
      <c r="MBS26" s="19"/>
      <c r="MBT26" s="19"/>
      <c r="MBU26" s="19"/>
      <c r="MBV26" s="19"/>
      <c r="MBW26" s="19"/>
      <c r="MBX26" s="19"/>
      <c r="MBY26" s="19"/>
      <c r="MBZ26" s="19"/>
      <c r="MCA26" s="19"/>
      <c r="MCB26" s="19"/>
      <c r="MCC26" s="19"/>
      <c r="MCD26" s="19"/>
      <c r="MCE26" s="19"/>
      <c r="MCF26" s="19"/>
      <c r="MCG26" s="19"/>
      <c r="MCH26" s="19"/>
      <c r="MCI26" s="19"/>
      <c r="MCJ26" s="19"/>
      <c r="MCK26" s="19"/>
      <c r="MCL26" s="19"/>
      <c r="MCM26" s="19"/>
      <c r="MCN26" s="19"/>
      <c r="MCO26" s="19"/>
      <c r="MCP26" s="19"/>
      <c r="MCQ26" s="19"/>
      <c r="MCR26" s="19"/>
      <c r="MCS26" s="19"/>
      <c r="MCT26" s="19"/>
      <c r="MCU26" s="19"/>
      <c r="MCV26" s="19"/>
      <c r="MCW26" s="19"/>
      <c r="MCX26" s="19"/>
      <c r="MCY26" s="19"/>
      <c r="MCZ26" s="19"/>
      <c r="MDA26" s="19"/>
      <c r="MDB26" s="19"/>
      <c r="MDC26" s="19"/>
      <c r="MDD26" s="19"/>
      <c r="MDE26" s="19"/>
      <c r="MDF26" s="19"/>
      <c r="MDG26" s="19"/>
      <c r="MDH26" s="19"/>
      <c r="MDI26" s="19"/>
      <c r="MDJ26" s="19"/>
      <c r="MDK26" s="19"/>
      <c r="MDL26" s="19"/>
      <c r="MDM26" s="19"/>
      <c r="MDN26" s="19"/>
      <c r="MDO26" s="19"/>
      <c r="MDP26" s="19"/>
      <c r="MDQ26" s="19"/>
      <c r="MDR26" s="19"/>
      <c r="MDS26" s="19"/>
      <c r="MDT26" s="19"/>
      <c r="MDU26" s="19"/>
      <c r="MDV26" s="19"/>
      <c r="MDW26" s="19"/>
      <c r="MDX26" s="19"/>
      <c r="MDY26" s="19"/>
      <c r="MDZ26" s="19"/>
      <c r="MEA26" s="19"/>
      <c r="MEB26" s="19"/>
      <c r="MEC26" s="19"/>
      <c r="MED26" s="19"/>
      <c r="MEE26" s="19"/>
      <c r="MEF26" s="19"/>
      <c r="MEG26" s="19"/>
      <c r="MEH26" s="19"/>
      <c r="MEI26" s="19"/>
      <c r="MEJ26" s="19"/>
      <c r="MEK26" s="19"/>
      <c r="MEL26" s="19"/>
      <c r="MEM26" s="19"/>
      <c r="MEN26" s="19"/>
      <c r="MEO26" s="19"/>
      <c r="MEP26" s="19"/>
      <c r="MEQ26" s="19"/>
      <c r="MER26" s="19"/>
      <c r="MES26" s="19"/>
      <c r="MET26" s="19"/>
      <c r="MEU26" s="19"/>
      <c r="MEV26" s="19"/>
      <c r="MEW26" s="19"/>
      <c r="MEX26" s="19"/>
      <c r="MEY26" s="19"/>
      <c r="MEZ26" s="19"/>
      <c r="MFA26" s="19"/>
      <c r="MFB26" s="19"/>
      <c r="MFC26" s="19"/>
      <c r="MFD26" s="19"/>
      <c r="MFE26" s="19"/>
      <c r="MFF26" s="19"/>
      <c r="MFG26" s="19"/>
      <c r="MFH26" s="19"/>
      <c r="MFI26" s="19"/>
      <c r="MFJ26" s="19"/>
      <c r="MFK26" s="19"/>
      <c r="MFL26" s="19"/>
      <c r="MFM26" s="19"/>
      <c r="MFN26" s="19"/>
      <c r="MFO26" s="19"/>
      <c r="MFP26" s="19"/>
      <c r="MFQ26" s="19"/>
      <c r="MFR26" s="19"/>
      <c r="MFS26" s="19"/>
      <c r="MFT26" s="19"/>
      <c r="MFU26" s="19"/>
      <c r="MFV26" s="19"/>
      <c r="MFW26" s="19"/>
      <c r="MFX26" s="19"/>
      <c r="MFY26" s="19"/>
      <c r="MFZ26" s="19"/>
      <c r="MGA26" s="19"/>
      <c r="MGB26" s="19"/>
      <c r="MGC26" s="19"/>
      <c r="MGD26" s="19"/>
      <c r="MGE26" s="19"/>
      <c r="MGF26" s="19"/>
      <c r="MGG26" s="19"/>
      <c r="MGH26" s="19"/>
      <c r="MGI26" s="19"/>
      <c r="MGJ26" s="19"/>
      <c r="MGK26" s="19"/>
      <c r="MGL26" s="19"/>
      <c r="MGM26" s="19"/>
      <c r="MGN26" s="19"/>
      <c r="MGO26" s="19"/>
      <c r="MGP26" s="19"/>
      <c r="MGQ26" s="19"/>
      <c r="MGR26" s="19"/>
      <c r="MGS26" s="19"/>
      <c r="MGT26" s="19"/>
      <c r="MGU26" s="19"/>
      <c r="MGV26" s="19"/>
      <c r="MGW26" s="19"/>
      <c r="MGX26" s="19"/>
      <c r="MGY26" s="19"/>
      <c r="MGZ26" s="19"/>
      <c r="MHA26" s="19"/>
      <c r="MHB26" s="19"/>
      <c r="MHC26" s="19"/>
      <c r="MHD26" s="19"/>
      <c r="MHE26" s="19"/>
      <c r="MHF26" s="19"/>
      <c r="MHG26" s="19"/>
      <c r="MHH26" s="19"/>
      <c r="MHI26" s="19"/>
      <c r="MHJ26" s="19"/>
      <c r="MHK26" s="19"/>
      <c r="MHL26" s="19"/>
      <c r="MHM26" s="19"/>
      <c r="MHN26" s="19"/>
      <c r="MHO26" s="19"/>
      <c r="MHP26" s="19"/>
      <c r="MHQ26" s="19"/>
      <c r="MHR26" s="19"/>
      <c r="MHS26" s="19"/>
      <c r="MHT26" s="19"/>
      <c r="MHU26" s="19"/>
      <c r="MHV26" s="19"/>
      <c r="MHW26" s="19"/>
      <c r="MHX26" s="19"/>
      <c r="MHY26" s="19"/>
      <c r="MHZ26" s="19"/>
      <c r="MIA26" s="19"/>
      <c r="MIB26" s="19"/>
      <c r="MIC26" s="19"/>
      <c r="MID26" s="19"/>
      <c r="MIE26" s="19"/>
      <c r="MIF26" s="19"/>
      <c r="MIG26" s="19"/>
      <c r="MIH26" s="19"/>
      <c r="MII26" s="19"/>
      <c r="MIJ26" s="19"/>
      <c r="MIK26" s="19"/>
      <c r="MIL26" s="19"/>
      <c r="MIM26" s="19"/>
      <c r="MIN26" s="19"/>
      <c r="MIO26" s="19"/>
      <c r="MIP26" s="19"/>
      <c r="MIQ26" s="19"/>
      <c r="MIR26" s="19"/>
      <c r="MIS26" s="19"/>
      <c r="MIT26" s="19"/>
      <c r="MIU26" s="19"/>
      <c r="MIV26" s="19"/>
      <c r="MIW26" s="19"/>
      <c r="MIX26" s="19"/>
      <c r="MIY26" s="19"/>
      <c r="MIZ26" s="19"/>
      <c r="MJA26" s="19"/>
      <c r="MJB26" s="19"/>
      <c r="MJC26" s="19"/>
      <c r="MJD26" s="19"/>
      <c r="MJE26" s="19"/>
      <c r="MJF26" s="19"/>
      <c r="MJG26" s="19"/>
      <c r="MJH26" s="19"/>
      <c r="MJI26" s="19"/>
      <c r="MJJ26" s="19"/>
      <c r="MJK26" s="19"/>
      <c r="MJL26" s="19"/>
      <c r="MJM26" s="19"/>
      <c r="MJN26" s="19"/>
      <c r="MJO26" s="19"/>
      <c r="MJP26" s="19"/>
      <c r="MJQ26" s="19"/>
      <c r="MJR26" s="19"/>
      <c r="MJS26" s="19"/>
      <c r="MJT26" s="19"/>
      <c r="MJU26" s="19"/>
      <c r="MJV26" s="19"/>
      <c r="MJW26" s="19"/>
      <c r="MJX26" s="19"/>
      <c r="MJY26" s="19"/>
      <c r="MJZ26" s="19"/>
      <c r="MKA26" s="19"/>
      <c r="MKB26" s="19"/>
      <c r="MKC26" s="19"/>
      <c r="MKD26" s="19"/>
      <c r="MKE26" s="19"/>
      <c r="MKF26" s="19"/>
      <c r="MKG26" s="19"/>
      <c r="MKH26" s="19"/>
      <c r="MKI26" s="19"/>
      <c r="MKJ26" s="19"/>
      <c r="MKK26" s="19"/>
      <c r="MKL26" s="19"/>
      <c r="MKM26" s="19"/>
      <c r="MKN26" s="19"/>
      <c r="MKO26" s="19"/>
      <c r="MKP26" s="19"/>
      <c r="MKQ26" s="19"/>
      <c r="MKR26" s="19"/>
      <c r="MKS26" s="19"/>
      <c r="MKT26" s="19"/>
      <c r="MKU26" s="19"/>
      <c r="MKV26" s="19"/>
      <c r="MKW26" s="19"/>
      <c r="MKX26" s="19"/>
      <c r="MKY26" s="19"/>
      <c r="MKZ26" s="19"/>
      <c r="MLA26" s="19"/>
      <c r="MLB26" s="19"/>
      <c r="MLC26" s="19"/>
      <c r="MLD26" s="19"/>
      <c r="MLE26" s="19"/>
      <c r="MLF26" s="19"/>
      <c r="MLG26" s="19"/>
      <c r="MLH26" s="19"/>
      <c r="MLI26" s="19"/>
      <c r="MLJ26" s="19"/>
      <c r="MLK26" s="19"/>
      <c r="MLL26" s="19"/>
      <c r="MLM26" s="19"/>
      <c r="MLN26" s="19"/>
      <c r="MLO26" s="19"/>
      <c r="MLP26" s="19"/>
      <c r="MLQ26" s="19"/>
      <c r="MLR26" s="19"/>
      <c r="MLS26" s="19"/>
      <c r="MLT26" s="19"/>
      <c r="MLU26" s="19"/>
      <c r="MLV26" s="19"/>
      <c r="MLW26" s="19"/>
      <c r="MLX26" s="19"/>
      <c r="MLY26" s="19"/>
      <c r="MLZ26" s="19"/>
      <c r="MMA26" s="19"/>
      <c r="MMB26" s="19"/>
      <c r="MMC26" s="19"/>
      <c r="MMD26" s="19"/>
      <c r="MME26" s="19"/>
      <c r="MMF26" s="19"/>
      <c r="MMG26" s="19"/>
      <c r="MMH26" s="19"/>
      <c r="MMI26" s="19"/>
      <c r="MMJ26" s="19"/>
      <c r="MMK26" s="19"/>
      <c r="MML26" s="19"/>
      <c r="MMM26" s="19"/>
      <c r="MMN26" s="19"/>
      <c r="MMO26" s="19"/>
      <c r="MMP26" s="19"/>
      <c r="MMQ26" s="19"/>
      <c r="MMR26" s="19"/>
      <c r="MMS26" s="19"/>
      <c r="MMT26" s="19"/>
      <c r="MMU26" s="19"/>
      <c r="MMV26" s="19"/>
      <c r="MMW26" s="19"/>
      <c r="MMX26" s="19"/>
      <c r="MMY26" s="19"/>
      <c r="MMZ26" s="19"/>
      <c r="MNA26" s="19"/>
      <c r="MNB26" s="19"/>
      <c r="MNC26" s="19"/>
      <c r="MND26" s="19"/>
      <c r="MNE26" s="19"/>
      <c r="MNF26" s="19"/>
      <c r="MNG26" s="19"/>
      <c r="MNH26" s="19"/>
      <c r="MNI26" s="19"/>
      <c r="MNJ26" s="19"/>
      <c r="MNK26" s="19"/>
      <c r="MNL26" s="19"/>
      <c r="MNM26" s="19"/>
      <c r="MNN26" s="19"/>
      <c r="MNO26" s="19"/>
      <c r="MNP26" s="19"/>
      <c r="MNQ26" s="19"/>
      <c r="MNR26" s="19"/>
      <c r="MNS26" s="19"/>
      <c r="MNT26" s="19"/>
      <c r="MNU26" s="19"/>
      <c r="MNV26" s="19"/>
      <c r="MNW26" s="19"/>
      <c r="MNX26" s="19"/>
      <c r="MNY26" s="19"/>
      <c r="MNZ26" s="19"/>
      <c r="MOA26" s="19"/>
      <c r="MOB26" s="19"/>
      <c r="MOC26" s="19"/>
      <c r="MOD26" s="19"/>
      <c r="MOE26" s="19"/>
      <c r="MOF26" s="19"/>
      <c r="MOG26" s="19"/>
      <c r="MOH26" s="19"/>
      <c r="MOI26" s="19"/>
      <c r="MOJ26" s="19"/>
      <c r="MOK26" s="19"/>
      <c r="MOL26" s="19"/>
      <c r="MOM26" s="19"/>
      <c r="MON26" s="19"/>
      <c r="MOO26" s="19"/>
      <c r="MOP26" s="19"/>
      <c r="MOQ26" s="19"/>
      <c r="MOR26" s="19"/>
      <c r="MOS26" s="19"/>
      <c r="MOT26" s="19"/>
      <c r="MOU26" s="19"/>
      <c r="MOV26" s="19"/>
      <c r="MOW26" s="19"/>
      <c r="MOX26" s="19"/>
      <c r="MOY26" s="19"/>
      <c r="MOZ26" s="19"/>
      <c r="MPA26" s="19"/>
      <c r="MPB26" s="19"/>
      <c r="MPC26" s="19"/>
      <c r="MPD26" s="19"/>
      <c r="MPE26" s="19"/>
      <c r="MPF26" s="19"/>
      <c r="MPG26" s="19"/>
      <c r="MPH26" s="19"/>
      <c r="MPI26" s="19"/>
      <c r="MPJ26" s="19"/>
      <c r="MPK26" s="19"/>
      <c r="MPL26" s="19"/>
      <c r="MPM26" s="19"/>
      <c r="MPN26" s="19"/>
      <c r="MPO26" s="19"/>
      <c r="MPP26" s="19"/>
      <c r="MPQ26" s="19"/>
      <c r="MPR26" s="19"/>
      <c r="MPS26" s="19"/>
      <c r="MPT26" s="19"/>
      <c r="MPU26" s="19"/>
      <c r="MPV26" s="19"/>
      <c r="MPW26" s="19"/>
      <c r="MPX26" s="19"/>
      <c r="MPY26" s="19"/>
      <c r="MPZ26" s="19"/>
      <c r="MQA26" s="19"/>
      <c r="MQB26" s="19"/>
      <c r="MQC26" s="19"/>
      <c r="MQD26" s="19"/>
      <c r="MQE26" s="19"/>
      <c r="MQF26" s="19"/>
      <c r="MQG26" s="19"/>
      <c r="MQH26" s="19"/>
      <c r="MQI26" s="19"/>
      <c r="MQJ26" s="19"/>
      <c r="MQK26" s="19"/>
      <c r="MQL26" s="19"/>
      <c r="MQM26" s="19"/>
      <c r="MQN26" s="19"/>
      <c r="MQO26" s="19"/>
      <c r="MQP26" s="19"/>
      <c r="MQQ26" s="19"/>
      <c r="MQR26" s="19"/>
      <c r="MQS26" s="19"/>
      <c r="MQT26" s="19"/>
      <c r="MQU26" s="19"/>
      <c r="MQV26" s="19"/>
      <c r="MQW26" s="19"/>
      <c r="MQX26" s="19"/>
      <c r="MQY26" s="19"/>
      <c r="MQZ26" s="19"/>
      <c r="MRA26" s="19"/>
      <c r="MRB26" s="19"/>
      <c r="MRC26" s="19"/>
      <c r="MRD26" s="19"/>
      <c r="MRE26" s="19"/>
      <c r="MRF26" s="19"/>
      <c r="MRG26" s="19"/>
      <c r="MRH26" s="19"/>
      <c r="MRI26" s="19"/>
      <c r="MRJ26" s="19"/>
      <c r="MRK26" s="19"/>
      <c r="MRL26" s="19"/>
      <c r="MRM26" s="19"/>
      <c r="MRN26" s="19"/>
      <c r="MRO26" s="19"/>
      <c r="MRP26" s="19"/>
      <c r="MRQ26" s="19"/>
      <c r="MRR26" s="19"/>
      <c r="MRS26" s="19"/>
      <c r="MRT26" s="19"/>
      <c r="MRU26" s="19"/>
      <c r="MRV26" s="19"/>
      <c r="MRW26" s="19"/>
      <c r="MRX26" s="19"/>
      <c r="MRY26" s="19"/>
      <c r="MRZ26" s="19"/>
      <c r="MSA26" s="19"/>
      <c r="MSB26" s="19"/>
      <c r="MSC26" s="19"/>
      <c r="MSD26" s="19"/>
      <c r="MSE26" s="19"/>
      <c r="MSF26" s="19"/>
      <c r="MSG26" s="19"/>
      <c r="MSH26" s="19"/>
      <c r="MSI26" s="19"/>
      <c r="MSJ26" s="19"/>
      <c r="MSK26" s="19"/>
      <c r="MSL26" s="19"/>
      <c r="MSM26" s="19"/>
      <c r="MSN26" s="19"/>
      <c r="MSO26" s="19"/>
      <c r="MSP26" s="19"/>
      <c r="MSQ26" s="19"/>
      <c r="MSR26" s="19"/>
      <c r="MSS26" s="19"/>
      <c r="MST26" s="19"/>
      <c r="MSU26" s="19"/>
      <c r="MSV26" s="19"/>
      <c r="MSW26" s="19"/>
      <c r="MSX26" s="19"/>
      <c r="MSY26" s="19"/>
      <c r="MSZ26" s="19"/>
      <c r="MTA26" s="19"/>
      <c r="MTB26" s="19"/>
      <c r="MTC26" s="19"/>
      <c r="MTD26" s="19"/>
      <c r="MTE26" s="19"/>
      <c r="MTF26" s="19"/>
      <c r="MTG26" s="19"/>
      <c r="MTH26" s="19"/>
      <c r="MTI26" s="19"/>
      <c r="MTJ26" s="19"/>
      <c r="MTK26" s="19"/>
      <c r="MTL26" s="19"/>
      <c r="MTM26" s="19"/>
      <c r="MTN26" s="19"/>
      <c r="MTO26" s="19"/>
      <c r="MTP26" s="19"/>
      <c r="MTQ26" s="19"/>
      <c r="MTR26" s="19"/>
      <c r="MTS26" s="19"/>
      <c r="MTT26" s="19"/>
      <c r="MTU26" s="19"/>
      <c r="MTV26" s="19"/>
      <c r="MTW26" s="19"/>
      <c r="MTX26" s="19"/>
      <c r="MTY26" s="19"/>
      <c r="MTZ26" s="19"/>
      <c r="MUA26" s="19"/>
      <c r="MUB26" s="19"/>
      <c r="MUC26" s="19"/>
      <c r="MUD26" s="19"/>
      <c r="MUE26" s="19"/>
      <c r="MUF26" s="19"/>
      <c r="MUG26" s="19"/>
      <c r="MUH26" s="19"/>
      <c r="MUI26" s="19"/>
      <c r="MUJ26" s="19"/>
      <c r="MUK26" s="19"/>
      <c r="MUL26" s="19"/>
      <c r="MUM26" s="19"/>
      <c r="MUN26" s="19"/>
      <c r="MUO26" s="19"/>
      <c r="MUP26" s="19"/>
      <c r="MUQ26" s="19"/>
      <c r="MUR26" s="19"/>
      <c r="MUS26" s="19"/>
      <c r="MUT26" s="19"/>
      <c r="MUU26" s="19"/>
      <c r="MUV26" s="19"/>
      <c r="MUW26" s="19"/>
      <c r="MUX26" s="19"/>
      <c r="MUY26" s="19"/>
      <c r="MUZ26" s="19"/>
      <c r="MVA26" s="19"/>
      <c r="MVB26" s="19"/>
      <c r="MVC26" s="19"/>
      <c r="MVD26" s="19"/>
      <c r="MVE26" s="19"/>
      <c r="MVF26" s="19"/>
      <c r="MVG26" s="19"/>
      <c r="MVH26" s="19"/>
      <c r="MVI26" s="19"/>
      <c r="MVJ26" s="19"/>
      <c r="MVK26" s="19"/>
      <c r="MVL26" s="19"/>
      <c r="MVM26" s="19"/>
      <c r="MVN26" s="19"/>
      <c r="MVO26" s="19"/>
      <c r="MVP26" s="19"/>
      <c r="MVQ26" s="19"/>
      <c r="MVR26" s="19"/>
      <c r="MVS26" s="19"/>
      <c r="MVT26" s="19"/>
      <c r="MVU26" s="19"/>
      <c r="MVV26" s="19"/>
      <c r="MVW26" s="19"/>
      <c r="MVX26" s="19"/>
      <c r="MVY26" s="19"/>
      <c r="MVZ26" s="19"/>
      <c r="MWA26" s="19"/>
      <c r="MWB26" s="19"/>
      <c r="MWC26" s="19"/>
      <c r="MWD26" s="19"/>
      <c r="MWE26" s="19"/>
      <c r="MWF26" s="19"/>
      <c r="MWG26" s="19"/>
      <c r="MWH26" s="19"/>
      <c r="MWI26" s="19"/>
      <c r="MWJ26" s="19"/>
      <c r="MWK26" s="19"/>
      <c r="MWL26" s="19"/>
      <c r="MWM26" s="19"/>
      <c r="MWN26" s="19"/>
      <c r="MWO26" s="19"/>
      <c r="MWP26" s="19"/>
      <c r="MWQ26" s="19"/>
      <c r="MWR26" s="19"/>
      <c r="MWS26" s="19"/>
      <c r="MWT26" s="19"/>
      <c r="MWU26" s="19"/>
      <c r="MWV26" s="19"/>
      <c r="MWW26" s="19"/>
      <c r="MWX26" s="19"/>
      <c r="MWY26" s="19"/>
      <c r="MWZ26" s="19"/>
      <c r="MXA26" s="19"/>
      <c r="MXB26" s="19"/>
      <c r="MXC26" s="19"/>
      <c r="MXD26" s="19"/>
      <c r="MXE26" s="19"/>
      <c r="MXF26" s="19"/>
      <c r="MXG26" s="19"/>
      <c r="MXH26" s="19"/>
      <c r="MXI26" s="19"/>
      <c r="MXJ26" s="19"/>
      <c r="MXK26" s="19"/>
      <c r="MXL26" s="19"/>
      <c r="MXM26" s="19"/>
      <c r="MXN26" s="19"/>
      <c r="MXO26" s="19"/>
      <c r="MXP26" s="19"/>
      <c r="MXQ26" s="19"/>
      <c r="MXR26" s="19"/>
      <c r="MXS26" s="19"/>
      <c r="MXT26" s="19"/>
      <c r="MXU26" s="19"/>
      <c r="MXV26" s="19"/>
      <c r="MXW26" s="19"/>
      <c r="MXX26" s="19"/>
      <c r="MXY26" s="19"/>
      <c r="MXZ26" s="19"/>
      <c r="MYA26" s="19"/>
      <c r="MYB26" s="19"/>
      <c r="MYC26" s="19"/>
      <c r="MYD26" s="19"/>
      <c r="MYE26" s="19"/>
      <c r="MYF26" s="19"/>
      <c r="MYG26" s="19"/>
      <c r="MYH26" s="19"/>
      <c r="MYI26" s="19"/>
      <c r="MYJ26" s="19"/>
      <c r="MYK26" s="19"/>
      <c r="MYL26" s="19"/>
      <c r="MYM26" s="19"/>
      <c r="MYN26" s="19"/>
      <c r="MYO26" s="19"/>
      <c r="MYP26" s="19"/>
      <c r="MYQ26" s="19"/>
      <c r="MYR26" s="19"/>
      <c r="MYS26" s="19"/>
      <c r="MYT26" s="19"/>
      <c r="MYU26" s="19"/>
      <c r="MYV26" s="19"/>
      <c r="MYW26" s="19"/>
      <c r="MYX26" s="19"/>
      <c r="MYY26" s="19"/>
      <c r="MYZ26" s="19"/>
      <c r="MZA26" s="19"/>
      <c r="MZB26" s="19"/>
      <c r="MZC26" s="19"/>
      <c r="MZD26" s="19"/>
      <c r="MZE26" s="19"/>
      <c r="MZF26" s="19"/>
      <c r="MZG26" s="19"/>
      <c r="MZH26" s="19"/>
      <c r="MZI26" s="19"/>
      <c r="MZJ26" s="19"/>
      <c r="MZK26" s="19"/>
      <c r="MZL26" s="19"/>
      <c r="MZM26" s="19"/>
      <c r="MZN26" s="19"/>
      <c r="MZO26" s="19"/>
      <c r="MZP26" s="19"/>
      <c r="MZQ26" s="19"/>
      <c r="MZR26" s="19"/>
      <c r="MZS26" s="19"/>
      <c r="MZT26" s="19"/>
      <c r="MZU26" s="19"/>
      <c r="MZV26" s="19"/>
      <c r="MZW26" s="19"/>
      <c r="MZX26" s="19"/>
      <c r="MZY26" s="19"/>
      <c r="MZZ26" s="19"/>
      <c r="NAA26" s="19"/>
      <c r="NAB26" s="19"/>
      <c r="NAC26" s="19"/>
      <c r="NAD26" s="19"/>
      <c r="NAE26" s="19"/>
      <c r="NAF26" s="19"/>
      <c r="NAG26" s="19"/>
      <c r="NAH26" s="19"/>
      <c r="NAI26" s="19"/>
      <c r="NAJ26" s="19"/>
      <c r="NAK26" s="19"/>
      <c r="NAL26" s="19"/>
      <c r="NAM26" s="19"/>
      <c r="NAN26" s="19"/>
      <c r="NAO26" s="19"/>
      <c r="NAP26" s="19"/>
      <c r="NAQ26" s="19"/>
      <c r="NAR26" s="19"/>
      <c r="NAS26" s="19"/>
      <c r="NAT26" s="19"/>
      <c r="NAU26" s="19"/>
      <c r="NAV26" s="19"/>
      <c r="NAW26" s="19"/>
      <c r="NAX26" s="19"/>
      <c r="NAY26" s="19"/>
      <c r="NAZ26" s="19"/>
      <c r="NBA26" s="19"/>
      <c r="NBB26" s="19"/>
      <c r="NBC26" s="19"/>
      <c r="NBD26" s="19"/>
      <c r="NBE26" s="19"/>
      <c r="NBF26" s="19"/>
      <c r="NBG26" s="19"/>
      <c r="NBH26" s="19"/>
      <c r="NBI26" s="19"/>
      <c r="NBJ26" s="19"/>
      <c r="NBK26" s="19"/>
      <c r="NBL26" s="19"/>
      <c r="NBM26" s="19"/>
      <c r="NBN26" s="19"/>
      <c r="NBO26" s="19"/>
      <c r="NBP26" s="19"/>
      <c r="NBQ26" s="19"/>
      <c r="NBR26" s="19"/>
      <c r="NBS26" s="19"/>
      <c r="NBT26" s="19"/>
      <c r="NBU26" s="19"/>
      <c r="NBV26" s="19"/>
      <c r="NBW26" s="19"/>
      <c r="NBX26" s="19"/>
      <c r="NBY26" s="19"/>
      <c r="NBZ26" s="19"/>
      <c r="NCA26" s="19"/>
      <c r="NCB26" s="19"/>
      <c r="NCC26" s="19"/>
      <c r="NCD26" s="19"/>
      <c r="NCE26" s="19"/>
      <c r="NCF26" s="19"/>
      <c r="NCG26" s="19"/>
      <c r="NCH26" s="19"/>
      <c r="NCI26" s="19"/>
      <c r="NCJ26" s="19"/>
      <c r="NCK26" s="19"/>
      <c r="NCL26" s="19"/>
      <c r="NCM26" s="19"/>
      <c r="NCN26" s="19"/>
      <c r="NCO26" s="19"/>
      <c r="NCP26" s="19"/>
      <c r="NCQ26" s="19"/>
      <c r="NCR26" s="19"/>
      <c r="NCS26" s="19"/>
      <c r="NCT26" s="19"/>
      <c r="NCU26" s="19"/>
      <c r="NCV26" s="19"/>
      <c r="NCW26" s="19"/>
      <c r="NCX26" s="19"/>
      <c r="NCY26" s="19"/>
      <c r="NCZ26" s="19"/>
      <c r="NDA26" s="19"/>
      <c r="NDB26" s="19"/>
      <c r="NDC26" s="19"/>
      <c r="NDD26" s="19"/>
      <c r="NDE26" s="19"/>
      <c r="NDF26" s="19"/>
      <c r="NDG26" s="19"/>
      <c r="NDH26" s="19"/>
      <c r="NDI26" s="19"/>
      <c r="NDJ26" s="19"/>
      <c r="NDK26" s="19"/>
      <c r="NDL26" s="19"/>
      <c r="NDM26" s="19"/>
      <c r="NDN26" s="19"/>
      <c r="NDO26" s="19"/>
      <c r="NDP26" s="19"/>
      <c r="NDQ26" s="19"/>
      <c r="NDR26" s="19"/>
      <c r="NDS26" s="19"/>
      <c r="NDT26" s="19"/>
      <c r="NDU26" s="19"/>
      <c r="NDV26" s="19"/>
      <c r="NDW26" s="19"/>
      <c r="NDX26" s="19"/>
      <c r="NDY26" s="19"/>
      <c r="NDZ26" s="19"/>
      <c r="NEA26" s="19"/>
      <c r="NEB26" s="19"/>
      <c r="NEC26" s="19"/>
      <c r="NED26" s="19"/>
      <c r="NEE26" s="19"/>
      <c r="NEF26" s="19"/>
      <c r="NEG26" s="19"/>
      <c r="NEH26" s="19"/>
      <c r="NEI26" s="19"/>
      <c r="NEJ26" s="19"/>
      <c r="NEK26" s="19"/>
      <c r="NEL26" s="19"/>
      <c r="NEM26" s="19"/>
      <c r="NEN26" s="19"/>
      <c r="NEO26" s="19"/>
      <c r="NEP26" s="19"/>
      <c r="NEQ26" s="19"/>
      <c r="NER26" s="19"/>
      <c r="NES26" s="19"/>
      <c r="NET26" s="19"/>
      <c r="NEU26" s="19"/>
      <c r="NEV26" s="19"/>
      <c r="NEW26" s="19"/>
      <c r="NEX26" s="19"/>
      <c r="NEY26" s="19"/>
      <c r="NEZ26" s="19"/>
      <c r="NFA26" s="19"/>
      <c r="NFB26" s="19"/>
      <c r="NFC26" s="19"/>
      <c r="NFD26" s="19"/>
      <c r="NFE26" s="19"/>
      <c r="NFF26" s="19"/>
      <c r="NFG26" s="19"/>
      <c r="NFH26" s="19"/>
      <c r="NFI26" s="19"/>
      <c r="NFJ26" s="19"/>
      <c r="NFK26" s="19"/>
      <c r="NFL26" s="19"/>
      <c r="NFM26" s="19"/>
      <c r="NFN26" s="19"/>
      <c r="NFO26" s="19"/>
      <c r="NFP26" s="19"/>
      <c r="NFQ26" s="19"/>
      <c r="NFR26" s="19"/>
      <c r="NFS26" s="19"/>
      <c r="NFT26" s="19"/>
      <c r="NFU26" s="19"/>
      <c r="NFV26" s="19"/>
      <c r="NFW26" s="19"/>
      <c r="NFX26" s="19"/>
      <c r="NFY26" s="19"/>
      <c r="NFZ26" s="19"/>
      <c r="NGA26" s="19"/>
      <c r="NGB26" s="19"/>
      <c r="NGC26" s="19"/>
      <c r="NGD26" s="19"/>
      <c r="NGE26" s="19"/>
      <c r="NGF26" s="19"/>
      <c r="NGG26" s="19"/>
      <c r="NGH26" s="19"/>
      <c r="NGI26" s="19"/>
      <c r="NGJ26" s="19"/>
      <c r="NGK26" s="19"/>
      <c r="NGL26" s="19"/>
      <c r="NGM26" s="19"/>
      <c r="NGN26" s="19"/>
      <c r="NGO26" s="19"/>
      <c r="NGP26" s="19"/>
      <c r="NGQ26" s="19"/>
      <c r="NGR26" s="19"/>
      <c r="NGS26" s="19"/>
      <c r="NGT26" s="19"/>
      <c r="NGU26" s="19"/>
      <c r="NGV26" s="19"/>
      <c r="NGW26" s="19"/>
      <c r="NGX26" s="19"/>
      <c r="NGY26" s="19"/>
      <c r="NGZ26" s="19"/>
      <c r="NHA26" s="19"/>
      <c r="NHB26" s="19"/>
      <c r="NHC26" s="19"/>
      <c r="NHD26" s="19"/>
      <c r="NHE26" s="19"/>
      <c r="NHF26" s="19"/>
      <c r="NHG26" s="19"/>
      <c r="NHH26" s="19"/>
      <c r="NHI26" s="19"/>
      <c r="NHJ26" s="19"/>
      <c r="NHK26" s="19"/>
      <c r="NHL26" s="19"/>
      <c r="NHM26" s="19"/>
      <c r="NHN26" s="19"/>
      <c r="NHO26" s="19"/>
      <c r="NHP26" s="19"/>
      <c r="NHQ26" s="19"/>
      <c r="NHR26" s="19"/>
      <c r="NHS26" s="19"/>
      <c r="NHT26" s="19"/>
      <c r="NHU26" s="19"/>
      <c r="NHV26" s="19"/>
      <c r="NHW26" s="19"/>
      <c r="NHX26" s="19"/>
      <c r="NHY26" s="19"/>
      <c r="NHZ26" s="19"/>
      <c r="NIA26" s="19"/>
      <c r="NIB26" s="19"/>
      <c r="NIC26" s="19"/>
      <c r="NID26" s="19"/>
      <c r="NIE26" s="19"/>
      <c r="NIF26" s="19"/>
      <c r="NIG26" s="19"/>
      <c r="NIH26" s="19"/>
      <c r="NII26" s="19"/>
      <c r="NIJ26" s="19"/>
      <c r="NIK26" s="19"/>
      <c r="NIL26" s="19"/>
      <c r="NIM26" s="19"/>
      <c r="NIN26" s="19"/>
      <c r="NIO26" s="19"/>
      <c r="NIP26" s="19"/>
      <c r="NIQ26" s="19"/>
      <c r="NIR26" s="19"/>
      <c r="NIS26" s="19"/>
      <c r="NIT26" s="19"/>
      <c r="NIU26" s="19"/>
      <c r="NIV26" s="19"/>
      <c r="NIW26" s="19"/>
      <c r="NIX26" s="19"/>
      <c r="NIY26" s="19"/>
      <c r="NIZ26" s="19"/>
      <c r="NJA26" s="19"/>
      <c r="NJB26" s="19"/>
      <c r="NJC26" s="19"/>
      <c r="NJD26" s="19"/>
      <c r="NJE26" s="19"/>
      <c r="NJF26" s="19"/>
      <c r="NJG26" s="19"/>
      <c r="NJH26" s="19"/>
      <c r="NJI26" s="19"/>
      <c r="NJJ26" s="19"/>
      <c r="NJK26" s="19"/>
      <c r="NJL26" s="19"/>
      <c r="NJM26" s="19"/>
      <c r="NJN26" s="19"/>
      <c r="NJO26" s="19"/>
      <c r="NJP26" s="19"/>
      <c r="NJQ26" s="19"/>
      <c r="NJR26" s="19"/>
      <c r="NJS26" s="19"/>
      <c r="NJT26" s="19"/>
      <c r="NJU26" s="19"/>
      <c r="NJV26" s="19"/>
      <c r="NJW26" s="19"/>
      <c r="NJX26" s="19"/>
      <c r="NJY26" s="19"/>
      <c r="NJZ26" s="19"/>
      <c r="NKA26" s="19"/>
      <c r="NKB26" s="19"/>
      <c r="NKC26" s="19"/>
      <c r="NKD26" s="19"/>
      <c r="NKE26" s="19"/>
      <c r="NKF26" s="19"/>
      <c r="NKG26" s="19"/>
      <c r="NKH26" s="19"/>
      <c r="NKI26" s="19"/>
      <c r="NKJ26" s="19"/>
      <c r="NKK26" s="19"/>
      <c r="NKL26" s="19"/>
      <c r="NKM26" s="19"/>
      <c r="NKN26" s="19"/>
      <c r="NKO26" s="19"/>
      <c r="NKP26" s="19"/>
      <c r="NKQ26" s="19"/>
      <c r="NKR26" s="19"/>
      <c r="NKS26" s="19"/>
      <c r="NKT26" s="19"/>
      <c r="NKU26" s="19"/>
      <c r="NKV26" s="19"/>
      <c r="NKW26" s="19"/>
      <c r="NKX26" s="19"/>
      <c r="NKY26" s="19"/>
      <c r="NKZ26" s="19"/>
      <c r="NLA26" s="19"/>
      <c r="NLB26" s="19"/>
      <c r="NLC26" s="19"/>
      <c r="NLD26" s="19"/>
      <c r="NLE26" s="19"/>
      <c r="NLF26" s="19"/>
      <c r="NLG26" s="19"/>
      <c r="NLH26" s="19"/>
      <c r="NLI26" s="19"/>
      <c r="NLJ26" s="19"/>
      <c r="NLK26" s="19"/>
      <c r="NLL26" s="19"/>
      <c r="NLM26" s="19"/>
      <c r="NLN26" s="19"/>
      <c r="NLO26" s="19"/>
      <c r="NLP26" s="19"/>
      <c r="NLQ26" s="19"/>
      <c r="NLR26" s="19"/>
      <c r="NLS26" s="19"/>
      <c r="NLT26" s="19"/>
      <c r="NLU26" s="19"/>
      <c r="NLV26" s="19"/>
      <c r="NLW26" s="19"/>
      <c r="NLX26" s="19"/>
      <c r="NLY26" s="19"/>
      <c r="NLZ26" s="19"/>
      <c r="NMA26" s="19"/>
      <c r="NMB26" s="19"/>
      <c r="NMC26" s="19"/>
      <c r="NMD26" s="19"/>
      <c r="NME26" s="19"/>
      <c r="NMF26" s="19"/>
      <c r="NMG26" s="19"/>
      <c r="NMH26" s="19"/>
      <c r="NMI26" s="19"/>
      <c r="NMJ26" s="19"/>
      <c r="NMK26" s="19"/>
      <c r="NML26" s="19"/>
      <c r="NMM26" s="19"/>
      <c r="NMN26" s="19"/>
      <c r="NMO26" s="19"/>
      <c r="NMP26" s="19"/>
      <c r="NMQ26" s="19"/>
      <c r="NMR26" s="19"/>
      <c r="NMS26" s="19"/>
      <c r="NMT26" s="19"/>
      <c r="NMU26" s="19"/>
      <c r="NMV26" s="19"/>
      <c r="NMW26" s="19"/>
      <c r="NMX26" s="19"/>
      <c r="NMY26" s="19"/>
      <c r="NMZ26" s="19"/>
      <c r="NNA26" s="19"/>
      <c r="NNB26" s="19"/>
      <c r="NNC26" s="19"/>
      <c r="NND26" s="19"/>
      <c r="NNE26" s="19"/>
      <c r="NNF26" s="19"/>
      <c r="NNG26" s="19"/>
      <c r="NNH26" s="19"/>
      <c r="NNI26" s="19"/>
      <c r="NNJ26" s="19"/>
      <c r="NNK26" s="19"/>
      <c r="NNL26" s="19"/>
      <c r="NNM26" s="19"/>
      <c r="NNN26" s="19"/>
      <c r="NNO26" s="19"/>
      <c r="NNP26" s="19"/>
      <c r="NNQ26" s="19"/>
      <c r="NNR26" s="19"/>
      <c r="NNS26" s="19"/>
      <c r="NNT26" s="19"/>
      <c r="NNU26" s="19"/>
      <c r="NNV26" s="19"/>
      <c r="NNW26" s="19"/>
      <c r="NNX26" s="19"/>
      <c r="NNY26" s="19"/>
      <c r="NNZ26" s="19"/>
      <c r="NOA26" s="19"/>
      <c r="NOB26" s="19"/>
      <c r="NOC26" s="19"/>
      <c r="NOD26" s="19"/>
      <c r="NOE26" s="19"/>
      <c r="NOF26" s="19"/>
      <c r="NOG26" s="19"/>
      <c r="NOH26" s="19"/>
      <c r="NOI26" s="19"/>
      <c r="NOJ26" s="19"/>
      <c r="NOK26" s="19"/>
      <c r="NOL26" s="19"/>
      <c r="NOM26" s="19"/>
      <c r="NON26" s="19"/>
      <c r="NOO26" s="19"/>
      <c r="NOP26" s="19"/>
      <c r="NOQ26" s="19"/>
      <c r="NOR26" s="19"/>
      <c r="NOS26" s="19"/>
      <c r="NOT26" s="19"/>
      <c r="NOU26" s="19"/>
      <c r="NOV26" s="19"/>
      <c r="NOW26" s="19"/>
      <c r="NOX26" s="19"/>
      <c r="NOY26" s="19"/>
      <c r="NOZ26" s="19"/>
      <c r="NPA26" s="19"/>
      <c r="NPB26" s="19"/>
      <c r="NPC26" s="19"/>
      <c r="NPD26" s="19"/>
      <c r="NPE26" s="19"/>
      <c r="NPF26" s="19"/>
      <c r="NPG26" s="19"/>
      <c r="NPH26" s="19"/>
      <c r="NPI26" s="19"/>
      <c r="NPJ26" s="19"/>
      <c r="NPK26" s="19"/>
      <c r="NPL26" s="19"/>
      <c r="NPM26" s="19"/>
      <c r="NPN26" s="19"/>
      <c r="NPO26" s="19"/>
      <c r="NPP26" s="19"/>
      <c r="NPQ26" s="19"/>
      <c r="NPR26" s="19"/>
      <c r="NPS26" s="19"/>
      <c r="NPT26" s="19"/>
      <c r="NPU26" s="19"/>
      <c r="NPV26" s="19"/>
      <c r="NPW26" s="19"/>
      <c r="NPX26" s="19"/>
      <c r="NPY26" s="19"/>
      <c r="NPZ26" s="19"/>
      <c r="NQA26" s="19"/>
      <c r="NQB26" s="19"/>
      <c r="NQC26" s="19"/>
      <c r="NQD26" s="19"/>
      <c r="NQE26" s="19"/>
      <c r="NQF26" s="19"/>
      <c r="NQG26" s="19"/>
      <c r="NQH26" s="19"/>
      <c r="NQI26" s="19"/>
      <c r="NQJ26" s="19"/>
      <c r="NQK26" s="19"/>
      <c r="NQL26" s="19"/>
      <c r="NQM26" s="19"/>
      <c r="NQN26" s="19"/>
      <c r="NQO26" s="19"/>
      <c r="NQP26" s="19"/>
      <c r="NQQ26" s="19"/>
      <c r="NQR26" s="19"/>
      <c r="NQS26" s="19"/>
      <c r="NQT26" s="19"/>
      <c r="NQU26" s="19"/>
      <c r="NQV26" s="19"/>
      <c r="NQW26" s="19"/>
      <c r="NQX26" s="19"/>
      <c r="NQY26" s="19"/>
      <c r="NQZ26" s="19"/>
      <c r="NRA26" s="19"/>
      <c r="NRB26" s="19"/>
      <c r="NRC26" s="19"/>
      <c r="NRD26" s="19"/>
      <c r="NRE26" s="19"/>
      <c r="NRF26" s="19"/>
      <c r="NRG26" s="19"/>
      <c r="NRH26" s="19"/>
      <c r="NRI26" s="19"/>
      <c r="NRJ26" s="19"/>
      <c r="NRK26" s="19"/>
      <c r="NRL26" s="19"/>
      <c r="NRM26" s="19"/>
      <c r="NRN26" s="19"/>
      <c r="NRO26" s="19"/>
      <c r="NRP26" s="19"/>
      <c r="NRQ26" s="19"/>
      <c r="NRR26" s="19"/>
      <c r="NRS26" s="19"/>
      <c r="NRT26" s="19"/>
      <c r="NRU26" s="19"/>
      <c r="NRV26" s="19"/>
      <c r="NRW26" s="19"/>
      <c r="NRX26" s="19"/>
      <c r="NRY26" s="19"/>
      <c r="NRZ26" s="19"/>
      <c r="NSA26" s="19"/>
      <c r="NSB26" s="19"/>
      <c r="NSC26" s="19"/>
      <c r="NSD26" s="19"/>
      <c r="NSE26" s="19"/>
      <c r="NSF26" s="19"/>
      <c r="NSG26" s="19"/>
      <c r="NSH26" s="19"/>
      <c r="NSI26" s="19"/>
      <c r="NSJ26" s="19"/>
      <c r="NSK26" s="19"/>
      <c r="NSL26" s="19"/>
      <c r="NSM26" s="19"/>
      <c r="NSN26" s="19"/>
      <c r="NSO26" s="19"/>
      <c r="NSP26" s="19"/>
      <c r="NSQ26" s="19"/>
      <c r="NSR26" s="19"/>
      <c r="NSS26" s="19"/>
      <c r="NST26" s="19"/>
      <c r="NSU26" s="19"/>
      <c r="NSV26" s="19"/>
      <c r="NSW26" s="19"/>
      <c r="NSX26" s="19"/>
      <c r="NSY26" s="19"/>
      <c r="NSZ26" s="19"/>
      <c r="NTA26" s="19"/>
      <c r="NTB26" s="19"/>
      <c r="NTC26" s="19"/>
      <c r="NTD26" s="19"/>
      <c r="NTE26" s="19"/>
      <c r="NTF26" s="19"/>
      <c r="NTG26" s="19"/>
      <c r="NTH26" s="19"/>
      <c r="NTI26" s="19"/>
      <c r="NTJ26" s="19"/>
      <c r="NTK26" s="19"/>
      <c r="NTL26" s="19"/>
      <c r="NTM26" s="19"/>
      <c r="NTN26" s="19"/>
      <c r="NTO26" s="19"/>
      <c r="NTP26" s="19"/>
      <c r="NTQ26" s="19"/>
      <c r="NTR26" s="19"/>
      <c r="NTS26" s="19"/>
      <c r="NTT26" s="19"/>
      <c r="NTU26" s="19"/>
      <c r="NTV26" s="19"/>
      <c r="NTW26" s="19"/>
      <c r="NTX26" s="19"/>
      <c r="NTY26" s="19"/>
      <c r="NTZ26" s="19"/>
      <c r="NUA26" s="19"/>
      <c r="NUB26" s="19"/>
      <c r="NUC26" s="19"/>
      <c r="NUD26" s="19"/>
      <c r="NUE26" s="19"/>
      <c r="NUF26" s="19"/>
      <c r="NUG26" s="19"/>
      <c r="NUH26" s="19"/>
      <c r="NUI26" s="19"/>
      <c r="NUJ26" s="19"/>
      <c r="NUK26" s="19"/>
      <c r="NUL26" s="19"/>
      <c r="NUM26" s="19"/>
      <c r="NUN26" s="19"/>
      <c r="NUO26" s="19"/>
      <c r="NUP26" s="19"/>
      <c r="NUQ26" s="19"/>
      <c r="NUR26" s="19"/>
      <c r="NUS26" s="19"/>
      <c r="NUT26" s="19"/>
      <c r="NUU26" s="19"/>
      <c r="NUV26" s="19"/>
      <c r="NUW26" s="19"/>
      <c r="NUX26" s="19"/>
      <c r="NUY26" s="19"/>
      <c r="NUZ26" s="19"/>
      <c r="NVA26" s="19"/>
      <c r="NVB26" s="19"/>
      <c r="NVC26" s="19"/>
      <c r="NVD26" s="19"/>
      <c r="NVE26" s="19"/>
      <c r="NVF26" s="19"/>
      <c r="NVG26" s="19"/>
      <c r="NVH26" s="19"/>
      <c r="NVI26" s="19"/>
      <c r="NVJ26" s="19"/>
      <c r="NVK26" s="19"/>
      <c r="NVL26" s="19"/>
      <c r="NVM26" s="19"/>
      <c r="NVN26" s="19"/>
      <c r="NVO26" s="19"/>
      <c r="NVP26" s="19"/>
      <c r="NVQ26" s="19"/>
      <c r="NVR26" s="19"/>
      <c r="NVS26" s="19"/>
      <c r="NVT26" s="19"/>
      <c r="NVU26" s="19"/>
      <c r="NVV26" s="19"/>
      <c r="NVW26" s="19"/>
      <c r="NVX26" s="19"/>
      <c r="NVY26" s="19"/>
      <c r="NVZ26" s="19"/>
      <c r="NWA26" s="19"/>
      <c r="NWB26" s="19"/>
      <c r="NWC26" s="19"/>
      <c r="NWD26" s="19"/>
      <c r="NWE26" s="19"/>
      <c r="NWF26" s="19"/>
      <c r="NWG26" s="19"/>
      <c r="NWH26" s="19"/>
      <c r="NWI26" s="19"/>
      <c r="NWJ26" s="19"/>
      <c r="NWK26" s="19"/>
      <c r="NWL26" s="19"/>
      <c r="NWM26" s="19"/>
      <c r="NWN26" s="19"/>
      <c r="NWO26" s="19"/>
      <c r="NWP26" s="19"/>
      <c r="NWQ26" s="19"/>
      <c r="NWR26" s="19"/>
      <c r="NWS26" s="19"/>
      <c r="NWT26" s="19"/>
      <c r="NWU26" s="19"/>
      <c r="NWV26" s="19"/>
      <c r="NWW26" s="19"/>
      <c r="NWX26" s="19"/>
      <c r="NWY26" s="19"/>
      <c r="NWZ26" s="19"/>
      <c r="NXA26" s="19"/>
      <c r="NXB26" s="19"/>
      <c r="NXC26" s="19"/>
      <c r="NXD26" s="19"/>
      <c r="NXE26" s="19"/>
      <c r="NXF26" s="19"/>
      <c r="NXG26" s="19"/>
      <c r="NXH26" s="19"/>
      <c r="NXI26" s="19"/>
      <c r="NXJ26" s="19"/>
      <c r="NXK26" s="19"/>
      <c r="NXL26" s="19"/>
      <c r="NXM26" s="19"/>
      <c r="NXN26" s="19"/>
      <c r="NXO26" s="19"/>
      <c r="NXP26" s="19"/>
      <c r="NXQ26" s="19"/>
      <c r="NXR26" s="19"/>
      <c r="NXS26" s="19"/>
      <c r="NXT26" s="19"/>
      <c r="NXU26" s="19"/>
      <c r="NXV26" s="19"/>
      <c r="NXW26" s="19"/>
      <c r="NXX26" s="19"/>
      <c r="NXY26" s="19"/>
      <c r="NXZ26" s="19"/>
      <c r="NYA26" s="19"/>
      <c r="NYB26" s="19"/>
      <c r="NYC26" s="19"/>
      <c r="NYD26" s="19"/>
      <c r="NYE26" s="19"/>
      <c r="NYF26" s="19"/>
      <c r="NYG26" s="19"/>
      <c r="NYH26" s="19"/>
      <c r="NYI26" s="19"/>
      <c r="NYJ26" s="19"/>
      <c r="NYK26" s="19"/>
      <c r="NYL26" s="19"/>
      <c r="NYM26" s="19"/>
      <c r="NYN26" s="19"/>
      <c r="NYO26" s="19"/>
      <c r="NYP26" s="19"/>
      <c r="NYQ26" s="19"/>
      <c r="NYR26" s="19"/>
      <c r="NYS26" s="19"/>
      <c r="NYT26" s="19"/>
      <c r="NYU26" s="19"/>
      <c r="NYV26" s="19"/>
      <c r="NYW26" s="19"/>
      <c r="NYX26" s="19"/>
      <c r="NYY26" s="19"/>
      <c r="NYZ26" s="19"/>
      <c r="NZA26" s="19"/>
      <c r="NZB26" s="19"/>
      <c r="NZC26" s="19"/>
      <c r="NZD26" s="19"/>
      <c r="NZE26" s="19"/>
      <c r="NZF26" s="19"/>
      <c r="NZG26" s="19"/>
      <c r="NZH26" s="19"/>
      <c r="NZI26" s="19"/>
      <c r="NZJ26" s="19"/>
      <c r="NZK26" s="19"/>
      <c r="NZL26" s="19"/>
      <c r="NZM26" s="19"/>
      <c r="NZN26" s="19"/>
      <c r="NZO26" s="19"/>
      <c r="NZP26" s="19"/>
      <c r="NZQ26" s="19"/>
      <c r="NZR26" s="19"/>
      <c r="NZS26" s="19"/>
      <c r="NZT26" s="19"/>
      <c r="NZU26" s="19"/>
      <c r="NZV26" s="19"/>
      <c r="NZW26" s="19"/>
      <c r="NZX26" s="19"/>
      <c r="NZY26" s="19"/>
      <c r="NZZ26" s="19"/>
      <c r="OAA26" s="19"/>
      <c r="OAB26" s="19"/>
      <c r="OAC26" s="19"/>
      <c r="OAD26" s="19"/>
      <c r="OAE26" s="19"/>
      <c r="OAF26" s="19"/>
      <c r="OAG26" s="19"/>
      <c r="OAH26" s="19"/>
      <c r="OAI26" s="19"/>
      <c r="OAJ26" s="19"/>
      <c r="OAK26" s="19"/>
      <c r="OAL26" s="19"/>
      <c r="OAM26" s="19"/>
      <c r="OAN26" s="19"/>
      <c r="OAO26" s="19"/>
      <c r="OAP26" s="19"/>
      <c r="OAQ26" s="19"/>
      <c r="OAR26" s="19"/>
      <c r="OAS26" s="19"/>
      <c r="OAT26" s="19"/>
      <c r="OAU26" s="19"/>
      <c r="OAV26" s="19"/>
      <c r="OAW26" s="19"/>
      <c r="OAX26" s="19"/>
      <c r="OAY26" s="19"/>
      <c r="OAZ26" s="19"/>
      <c r="OBA26" s="19"/>
      <c r="OBB26" s="19"/>
      <c r="OBC26" s="19"/>
      <c r="OBD26" s="19"/>
      <c r="OBE26" s="19"/>
      <c r="OBF26" s="19"/>
      <c r="OBG26" s="19"/>
      <c r="OBH26" s="19"/>
      <c r="OBI26" s="19"/>
      <c r="OBJ26" s="19"/>
      <c r="OBK26" s="19"/>
      <c r="OBL26" s="19"/>
      <c r="OBM26" s="19"/>
      <c r="OBN26" s="19"/>
      <c r="OBO26" s="19"/>
      <c r="OBP26" s="19"/>
      <c r="OBQ26" s="19"/>
      <c r="OBR26" s="19"/>
      <c r="OBS26" s="19"/>
      <c r="OBT26" s="19"/>
      <c r="OBU26" s="19"/>
      <c r="OBV26" s="19"/>
      <c r="OBW26" s="19"/>
      <c r="OBX26" s="19"/>
      <c r="OBY26" s="19"/>
      <c r="OBZ26" s="19"/>
      <c r="OCA26" s="19"/>
      <c r="OCB26" s="19"/>
      <c r="OCC26" s="19"/>
      <c r="OCD26" s="19"/>
      <c r="OCE26" s="19"/>
      <c r="OCF26" s="19"/>
      <c r="OCG26" s="19"/>
      <c r="OCH26" s="19"/>
      <c r="OCI26" s="19"/>
      <c r="OCJ26" s="19"/>
      <c r="OCK26" s="19"/>
      <c r="OCL26" s="19"/>
      <c r="OCM26" s="19"/>
      <c r="OCN26" s="19"/>
      <c r="OCO26" s="19"/>
      <c r="OCP26" s="19"/>
      <c r="OCQ26" s="19"/>
      <c r="OCR26" s="19"/>
      <c r="OCS26" s="19"/>
      <c r="OCT26" s="19"/>
      <c r="OCU26" s="19"/>
      <c r="OCV26" s="19"/>
      <c r="OCW26" s="19"/>
      <c r="OCX26" s="19"/>
      <c r="OCY26" s="19"/>
      <c r="OCZ26" s="19"/>
      <c r="ODA26" s="19"/>
      <c r="ODB26" s="19"/>
      <c r="ODC26" s="19"/>
      <c r="ODD26" s="19"/>
      <c r="ODE26" s="19"/>
      <c r="ODF26" s="19"/>
      <c r="ODG26" s="19"/>
      <c r="ODH26" s="19"/>
      <c r="ODI26" s="19"/>
      <c r="ODJ26" s="19"/>
      <c r="ODK26" s="19"/>
      <c r="ODL26" s="19"/>
      <c r="ODM26" s="19"/>
      <c r="ODN26" s="19"/>
      <c r="ODO26" s="19"/>
      <c r="ODP26" s="19"/>
      <c r="ODQ26" s="19"/>
      <c r="ODR26" s="19"/>
      <c r="ODS26" s="19"/>
      <c r="ODT26" s="19"/>
      <c r="ODU26" s="19"/>
      <c r="ODV26" s="19"/>
      <c r="ODW26" s="19"/>
      <c r="ODX26" s="19"/>
      <c r="ODY26" s="19"/>
      <c r="ODZ26" s="19"/>
      <c r="OEA26" s="19"/>
      <c r="OEB26" s="19"/>
      <c r="OEC26" s="19"/>
      <c r="OED26" s="19"/>
      <c r="OEE26" s="19"/>
      <c r="OEF26" s="19"/>
      <c r="OEG26" s="19"/>
      <c r="OEH26" s="19"/>
      <c r="OEI26" s="19"/>
      <c r="OEJ26" s="19"/>
      <c r="OEK26" s="19"/>
      <c r="OEL26" s="19"/>
      <c r="OEM26" s="19"/>
      <c r="OEN26" s="19"/>
      <c r="OEO26" s="19"/>
      <c r="OEP26" s="19"/>
      <c r="OEQ26" s="19"/>
      <c r="OER26" s="19"/>
      <c r="OES26" s="19"/>
      <c r="OET26" s="19"/>
      <c r="OEU26" s="19"/>
      <c r="OEV26" s="19"/>
      <c r="OEW26" s="19"/>
      <c r="OEX26" s="19"/>
      <c r="OEY26" s="19"/>
      <c r="OEZ26" s="19"/>
      <c r="OFA26" s="19"/>
      <c r="OFB26" s="19"/>
      <c r="OFC26" s="19"/>
      <c r="OFD26" s="19"/>
      <c r="OFE26" s="19"/>
      <c r="OFF26" s="19"/>
      <c r="OFG26" s="19"/>
      <c r="OFH26" s="19"/>
      <c r="OFI26" s="19"/>
      <c r="OFJ26" s="19"/>
      <c r="OFK26" s="19"/>
      <c r="OFL26" s="19"/>
      <c r="OFM26" s="19"/>
      <c r="OFN26" s="19"/>
      <c r="OFO26" s="19"/>
      <c r="OFP26" s="19"/>
      <c r="OFQ26" s="19"/>
      <c r="OFR26" s="19"/>
      <c r="OFS26" s="19"/>
      <c r="OFT26" s="19"/>
      <c r="OFU26" s="19"/>
      <c r="OFV26" s="19"/>
      <c r="OFW26" s="19"/>
      <c r="OFX26" s="19"/>
      <c r="OFY26" s="19"/>
      <c r="OFZ26" s="19"/>
      <c r="OGA26" s="19"/>
      <c r="OGB26" s="19"/>
      <c r="OGC26" s="19"/>
      <c r="OGD26" s="19"/>
      <c r="OGE26" s="19"/>
      <c r="OGF26" s="19"/>
      <c r="OGG26" s="19"/>
      <c r="OGH26" s="19"/>
      <c r="OGI26" s="19"/>
      <c r="OGJ26" s="19"/>
      <c r="OGK26" s="19"/>
      <c r="OGL26" s="19"/>
      <c r="OGM26" s="19"/>
      <c r="OGN26" s="19"/>
      <c r="OGO26" s="19"/>
      <c r="OGP26" s="19"/>
      <c r="OGQ26" s="19"/>
      <c r="OGR26" s="19"/>
      <c r="OGS26" s="19"/>
      <c r="OGT26" s="19"/>
      <c r="OGU26" s="19"/>
      <c r="OGV26" s="19"/>
      <c r="OGW26" s="19"/>
      <c r="OGX26" s="19"/>
      <c r="OGY26" s="19"/>
      <c r="OGZ26" s="19"/>
      <c r="OHA26" s="19"/>
      <c r="OHB26" s="19"/>
      <c r="OHC26" s="19"/>
      <c r="OHD26" s="19"/>
      <c r="OHE26" s="19"/>
      <c r="OHF26" s="19"/>
      <c r="OHG26" s="19"/>
      <c r="OHH26" s="19"/>
      <c r="OHI26" s="19"/>
      <c r="OHJ26" s="19"/>
      <c r="OHK26" s="19"/>
      <c r="OHL26" s="19"/>
      <c r="OHM26" s="19"/>
      <c r="OHN26" s="19"/>
      <c r="OHO26" s="19"/>
      <c r="OHP26" s="19"/>
      <c r="OHQ26" s="19"/>
      <c r="OHR26" s="19"/>
      <c r="OHS26" s="19"/>
      <c r="OHT26" s="19"/>
      <c r="OHU26" s="19"/>
      <c r="OHV26" s="19"/>
      <c r="OHW26" s="19"/>
      <c r="OHX26" s="19"/>
      <c r="OHY26" s="19"/>
      <c r="OHZ26" s="19"/>
      <c r="OIA26" s="19"/>
      <c r="OIB26" s="19"/>
      <c r="OIC26" s="19"/>
      <c r="OID26" s="19"/>
      <c r="OIE26" s="19"/>
      <c r="OIF26" s="19"/>
      <c r="OIG26" s="19"/>
      <c r="OIH26" s="19"/>
      <c r="OII26" s="19"/>
      <c r="OIJ26" s="19"/>
      <c r="OIK26" s="19"/>
      <c r="OIL26" s="19"/>
      <c r="OIM26" s="19"/>
      <c r="OIN26" s="19"/>
      <c r="OIO26" s="19"/>
      <c r="OIP26" s="19"/>
      <c r="OIQ26" s="19"/>
      <c r="OIR26" s="19"/>
      <c r="OIS26" s="19"/>
      <c r="OIT26" s="19"/>
      <c r="OIU26" s="19"/>
      <c r="OIV26" s="19"/>
      <c r="OIW26" s="19"/>
      <c r="OIX26" s="19"/>
      <c r="OIY26" s="19"/>
      <c r="OIZ26" s="19"/>
      <c r="OJA26" s="19"/>
      <c r="OJB26" s="19"/>
      <c r="OJC26" s="19"/>
      <c r="OJD26" s="19"/>
      <c r="OJE26" s="19"/>
      <c r="OJF26" s="19"/>
      <c r="OJG26" s="19"/>
      <c r="OJH26" s="19"/>
      <c r="OJI26" s="19"/>
      <c r="OJJ26" s="19"/>
      <c r="OJK26" s="19"/>
      <c r="OJL26" s="19"/>
      <c r="OJM26" s="19"/>
      <c r="OJN26" s="19"/>
      <c r="OJO26" s="19"/>
      <c r="OJP26" s="19"/>
      <c r="OJQ26" s="19"/>
      <c r="OJR26" s="19"/>
      <c r="OJS26" s="19"/>
      <c r="OJT26" s="19"/>
      <c r="OJU26" s="19"/>
      <c r="OJV26" s="19"/>
      <c r="OJW26" s="19"/>
      <c r="OJX26" s="19"/>
      <c r="OJY26" s="19"/>
      <c r="OJZ26" s="19"/>
      <c r="OKA26" s="19"/>
      <c r="OKB26" s="19"/>
      <c r="OKC26" s="19"/>
      <c r="OKD26" s="19"/>
      <c r="OKE26" s="19"/>
      <c r="OKF26" s="19"/>
      <c r="OKG26" s="19"/>
      <c r="OKH26" s="19"/>
      <c r="OKI26" s="19"/>
      <c r="OKJ26" s="19"/>
      <c r="OKK26" s="19"/>
      <c r="OKL26" s="19"/>
      <c r="OKM26" s="19"/>
      <c r="OKN26" s="19"/>
      <c r="OKO26" s="19"/>
      <c r="OKP26" s="19"/>
      <c r="OKQ26" s="19"/>
      <c r="OKR26" s="19"/>
      <c r="OKS26" s="19"/>
      <c r="OKT26" s="19"/>
      <c r="OKU26" s="19"/>
      <c r="OKV26" s="19"/>
      <c r="OKW26" s="19"/>
      <c r="OKX26" s="19"/>
      <c r="OKY26" s="19"/>
      <c r="OKZ26" s="19"/>
      <c r="OLA26" s="19"/>
      <c r="OLB26" s="19"/>
      <c r="OLC26" s="19"/>
      <c r="OLD26" s="19"/>
      <c r="OLE26" s="19"/>
      <c r="OLF26" s="19"/>
      <c r="OLG26" s="19"/>
      <c r="OLH26" s="19"/>
      <c r="OLI26" s="19"/>
      <c r="OLJ26" s="19"/>
      <c r="OLK26" s="19"/>
      <c r="OLL26" s="19"/>
      <c r="OLM26" s="19"/>
      <c r="OLN26" s="19"/>
      <c r="OLO26" s="19"/>
      <c r="OLP26" s="19"/>
      <c r="OLQ26" s="19"/>
      <c r="OLR26" s="19"/>
      <c r="OLS26" s="19"/>
      <c r="OLT26" s="19"/>
      <c r="OLU26" s="19"/>
      <c r="OLV26" s="19"/>
      <c r="OLW26" s="19"/>
      <c r="OLX26" s="19"/>
      <c r="OLY26" s="19"/>
      <c r="OLZ26" s="19"/>
      <c r="OMA26" s="19"/>
      <c r="OMB26" s="19"/>
      <c r="OMC26" s="19"/>
      <c r="OMD26" s="19"/>
      <c r="OME26" s="19"/>
      <c r="OMF26" s="19"/>
      <c r="OMG26" s="19"/>
      <c r="OMH26" s="19"/>
      <c r="OMI26" s="19"/>
      <c r="OMJ26" s="19"/>
      <c r="OMK26" s="19"/>
      <c r="OML26" s="19"/>
      <c r="OMM26" s="19"/>
      <c r="OMN26" s="19"/>
      <c r="OMO26" s="19"/>
      <c r="OMP26" s="19"/>
      <c r="OMQ26" s="19"/>
      <c r="OMR26" s="19"/>
      <c r="OMS26" s="19"/>
      <c r="OMT26" s="19"/>
      <c r="OMU26" s="19"/>
      <c r="OMV26" s="19"/>
      <c r="OMW26" s="19"/>
      <c r="OMX26" s="19"/>
      <c r="OMY26" s="19"/>
      <c r="OMZ26" s="19"/>
      <c r="ONA26" s="19"/>
      <c r="ONB26" s="19"/>
      <c r="ONC26" s="19"/>
      <c r="OND26" s="19"/>
      <c r="ONE26" s="19"/>
      <c r="ONF26" s="19"/>
      <c r="ONG26" s="19"/>
      <c r="ONH26" s="19"/>
      <c r="ONI26" s="19"/>
      <c r="ONJ26" s="19"/>
      <c r="ONK26" s="19"/>
      <c r="ONL26" s="19"/>
      <c r="ONM26" s="19"/>
      <c r="ONN26" s="19"/>
      <c r="ONO26" s="19"/>
      <c r="ONP26" s="19"/>
      <c r="ONQ26" s="19"/>
      <c r="ONR26" s="19"/>
      <c r="ONS26" s="19"/>
      <c r="ONT26" s="19"/>
      <c r="ONU26" s="19"/>
      <c r="ONV26" s="19"/>
      <c r="ONW26" s="19"/>
      <c r="ONX26" s="19"/>
      <c r="ONY26" s="19"/>
      <c r="ONZ26" s="19"/>
      <c r="OOA26" s="19"/>
      <c r="OOB26" s="19"/>
      <c r="OOC26" s="19"/>
      <c r="OOD26" s="19"/>
      <c r="OOE26" s="19"/>
      <c r="OOF26" s="19"/>
      <c r="OOG26" s="19"/>
      <c r="OOH26" s="19"/>
      <c r="OOI26" s="19"/>
      <c r="OOJ26" s="19"/>
      <c r="OOK26" s="19"/>
      <c r="OOL26" s="19"/>
      <c r="OOM26" s="19"/>
      <c r="OON26" s="19"/>
      <c r="OOO26" s="19"/>
      <c r="OOP26" s="19"/>
      <c r="OOQ26" s="19"/>
      <c r="OOR26" s="19"/>
      <c r="OOS26" s="19"/>
      <c r="OOT26" s="19"/>
      <c r="OOU26" s="19"/>
      <c r="OOV26" s="19"/>
      <c r="OOW26" s="19"/>
      <c r="OOX26" s="19"/>
      <c r="OOY26" s="19"/>
      <c r="OOZ26" s="19"/>
      <c r="OPA26" s="19"/>
      <c r="OPB26" s="19"/>
      <c r="OPC26" s="19"/>
      <c r="OPD26" s="19"/>
      <c r="OPE26" s="19"/>
      <c r="OPF26" s="19"/>
      <c r="OPG26" s="19"/>
      <c r="OPH26" s="19"/>
      <c r="OPI26" s="19"/>
      <c r="OPJ26" s="19"/>
      <c r="OPK26" s="19"/>
      <c r="OPL26" s="19"/>
      <c r="OPM26" s="19"/>
      <c r="OPN26" s="19"/>
      <c r="OPO26" s="19"/>
      <c r="OPP26" s="19"/>
      <c r="OPQ26" s="19"/>
      <c r="OPR26" s="19"/>
      <c r="OPS26" s="19"/>
      <c r="OPT26" s="19"/>
      <c r="OPU26" s="19"/>
      <c r="OPV26" s="19"/>
      <c r="OPW26" s="19"/>
      <c r="OPX26" s="19"/>
      <c r="OPY26" s="19"/>
      <c r="OPZ26" s="19"/>
      <c r="OQA26" s="19"/>
      <c r="OQB26" s="19"/>
      <c r="OQC26" s="19"/>
      <c r="OQD26" s="19"/>
      <c r="OQE26" s="19"/>
      <c r="OQF26" s="19"/>
      <c r="OQG26" s="19"/>
      <c r="OQH26" s="19"/>
      <c r="OQI26" s="19"/>
      <c r="OQJ26" s="19"/>
      <c r="OQK26" s="19"/>
      <c r="OQL26" s="19"/>
      <c r="OQM26" s="19"/>
      <c r="OQN26" s="19"/>
      <c r="OQO26" s="19"/>
      <c r="OQP26" s="19"/>
      <c r="OQQ26" s="19"/>
      <c r="OQR26" s="19"/>
      <c r="OQS26" s="19"/>
      <c r="OQT26" s="19"/>
      <c r="OQU26" s="19"/>
      <c r="OQV26" s="19"/>
      <c r="OQW26" s="19"/>
      <c r="OQX26" s="19"/>
      <c r="OQY26" s="19"/>
      <c r="OQZ26" s="19"/>
      <c r="ORA26" s="19"/>
      <c r="ORB26" s="19"/>
      <c r="ORC26" s="19"/>
      <c r="ORD26" s="19"/>
      <c r="ORE26" s="19"/>
      <c r="ORF26" s="19"/>
      <c r="ORG26" s="19"/>
      <c r="ORH26" s="19"/>
      <c r="ORI26" s="19"/>
      <c r="ORJ26" s="19"/>
      <c r="ORK26" s="19"/>
      <c r="ORL26" s="19"/>
      <c r="ORM26" s="19"/>
      <c r="ORN26" s="19"/>
      <c r="ORO26" s="19"/>
      <c r="ORP26" s="19"/>
      <c r="ORQ26" s="19"/>
      <c r="ORR26" s="19"/>
      <c r="ORS26" s="19"/>
      <c r="ORT26" s="19"/>
      <c r="ORU26" s="19"/>
      <c r="ORV26" s="19"/>
      <c r="ORW26" s="19"/>
      <c r="ORX26" s="19"/>
      <c r="ORY26" s="19"/>
      <c r="ORZ26" s="19"/>
      <c r="OSA26" s="19"/>
      <c r="OSB26" s="19"/>
      <c r="OSC26" s="19"/>
      <c r="OSD26" s="19"/>
      <c r="OSE26" s="19"/>
      <c r="OSF26" s="19"/>
      <c r="OSG26" s="19"/>
      <c r="OSH26" s="19"/>
      <c r="OSI26" s="19"/>
      <c r="OSJ26" s="19"/>
      <c r="OSK26" s="19"/>
      <c r="OSL26" s="19"/>
      <c r="OSM26" s="19"/>
      <c r="OSN26" s="19"/>
      <c r="OSO26" s="19"/>
      <c r="OSP26" s="19"/>
      <c r="OSQ26" s="19"/>
      <c r="OSR26" s="19"/>
      <c r="OSS26" s="19"/>
      <c r="OST26" s="19"/>
      <c r="OSU26" s="19"/>
      <c r="OSV26" s="19"/>
      <c r="OSW26" s="19"/>
      <c r="OSX26" s="19"/>
      <c r="OSY26" s="19"/>
      <c r="OSZ26" s="19"/>
      <c r="OTA26" s="19"/>
      <c r="OTB26" s="19"/>
      <c r="OTC26" s="19"/>
      <c r="OTD26" s="19"/>
      <c r="OTE26" s="19"/>
      <c r="OTF26" s="19"/>
      <c r="OTG26" s="19"/>
      <c r="OTH26" s="19"/>
      <c r="OTI26" s="19"/>
      <c r="OTJ26" s="19"/>
      <c r="OTK26" s="19"/>
      <c r="OTL26" s="19"/>
      <c r="OTM26" s="19"/>
      <c r="OTN26" s="19"/>
      <c r="OTO26" s="19"/>
      <c r="OTP26" s="19"/>
      <c r="OTQ26" s="19"/>
      <c r="OTR26" s="19"/>
      <c r="OTS26" s="19"/>
      <c r="OTT26" s="19"/>
      <c r="OTU26" s="19"/>
      <c r="OTV26" s="19"/>
      <c r="OTW26" s="19"/>
      <c r="OTX26" s="19"/>
      <c r="OTY26" s="19"/>
      <c r="OTZ26" s="19"/>
      <c r="OUA26" s="19"/>
      <c r="OUB26" s="19"/>
      <c r="OUC26" s="19"/>
      <c r="OUD26" s="19"/>
      <c r="OUE26" s="19"/>
      <c r="OUF26" s="19"/>
      <c r="OUG26" s="19"/>
      <c r="OUH26" s="19"/>
      <c r="OUI26" s="19"/>
      <c r="OUJ26" s="19"/>
      <c r="OUK26" s="19"/>
      <c r="OUL26" s="19"/>
      <c r="OUM26" s="19"/>
      <c r="OUN26" s="19"/>
      <c r="OUO26" s="19"/>
      <c r="OUP26" s="19"/>
      <c r="OUQ26" s="19"/>
      <c r="OUR26" s="19"/>
      <c r="OUS26" s="19"/>
      <c r="OUT26" s="19"/>
      <c r="OUU26" s="19"/>
      <c r="OUV26" s="19"/>
      <c r="OUW26" s="19"/>
      <c r="OUX26" s="19"/>
      <c r="OUY26" s="19"/>
      <c r="OUZ26" s="19"/>
      <c r="OVA26" s="19"/>
      <c r="OVB26" s="19"/>
      <c r="OVC26" s="19"/>
      <c r="OVD26" s="19"/>
      <c r="OVE26" s="19"/>
      <c r="OVF26" s="19"/>
      <c r="OVG26" s="19"/>
      <c r="OVH26" s="19"/>
      <c r="OVI26" s="19"/>
      <c r="OVJ26" s="19"/>
      <c r="OVK26" s="19"/>
      <c r="OVL26" s="19"/>
      <c r="OVM26" s="19"/>
      <c r="OVN26" s="19"/>
      <c r="OVO26" s="19"/>
      <c r="OVP26" s="19"/>
      <c r="OVQ26" s="19"/>
      <c r="OVR26" s="19"/>
      <c r="OVS26" s="19"/>
      <c r="OVT26" s="19"/>
      <c r="OVU26" s="19"/>
      <c r="OVV26" s="19"/>
      <c r="OVW26" s="19"/>
      <c r="OVX26" s="19"/>
      <c r="OVY26" s="19"/>
      <c r="OVZ26" s="19"/>
      <c r="OWA26" s="19"/>
      <c r="OWB26" s="19"/>
      <c r="OWC26" s="19"/>
      <c r="OWD26" s="19"/>
      <c r="OWE26" s="19"/>
      <c r="OWF26" s="19"/>
      <c r="OWG26" s="19"/>
      <c r="OWH26" s="19"/>
      <c r="OWI26" s="19"/>
      <c r="OWJ26" s="19"/>
      <c r="OWK26" s="19"/>
      <c r="OWL26" s="19"/>
      <c r="OWM26" s="19"/>
      <c r="OWN26" s="19"/>
      <c r="OWO26" s="19"/>
      <c r="OWP26" s="19"/>
      <c r="OWQ26" s="19"/>
      <c r="OWR26" s="19"/>
      <c r="OWS26" s="19"/>
      <c r="OWT26" s="19"/>
      <c r="OWU26" s="19"/>
      <c r="OWV26" s="19"/>
      <c r="OWW26" s="19"/>
      <c r="OWX26" s="19"/>
      <c r="OWY26" s="19"/>
      <c r="OWZ26" s="19"/>
      <c r="OXA26" s="19"/>
      <c r="OXB26" s="19"/>
      <c r="OXC26" s="19"/>
      <c r="OXD26" s="19"/>
      <c r="OXE26" s="19"/>
      <c r="OXF26" s="19"/>
      <c r="OXG26" s="19"/>
      <c r="OXH26" s="19"/>
      <c r="OXI26" s="19"/>
      <c r="OXJ26" s="19"/>
      <c r="OXK26" s="19"/>
      <c r="OXL26" s="19"/>
      <c r="OXM26" s="19"/>
      <c r="OXN26" s="19"/>
      <c r="OXO26" s="19"/>
      <c r="OXP26" s="19"/>
      <c r="OXQ26" s="19"/>
      <c r="OXR26" s="19"/>
      <c r="OXS26" s="19"/>
      <c r="OXT26" s="19"/>
      <c r="OXU26" s="19"/>
      <c r="OXV26" s="19"/>
      <c r="OXW26" s="19"/>
      <c r="OXX26" s="19"/>
      <c r="OXY26" s="19"/>
      <c r="OXZ26" s="19"/>
      <c r="OYA26" s="19"/>
      <c r="OYB26" s="19"/>
      <c r="OYC26" s="19"/>
      <c r="OYD26" s="19"/>
      <c r="OYE26" s="19"/>
      <c r="OYF26" s="19"/>
      <c r="OYG26" s="19"/>
      <c r="OYH26" s="19"/>
      <c r="OYI26" s="19"/>
      <c r="OYJ26" s="19"/>
      <c r="OYK26" s="19"/>
      <c r="OYL26" s="19"/>
      <c r="OYM26" s="19"/>
      <c r="OYN26" s="19"/>
      <c r="OYO26" s="19"/>
      <c r="OYP26" s="19"/>
      <c r="OYQ26" s="19"/>
      <c r="OYR26" s="19"/>
      <c r="OYS26" s="19"/>
      <c r="OYT26" s="19"/>
      <c r="OYU26" s="19"/>
      <c r="OYV26" s="19"/>
      <c r="OYW26" s="19"/>
      <c r="OYX26" s="19"/>
      <c r="OYY26" s="19"/>
      <c r="OYZ26" s="19"/>
      <c r="OZA26" s="19"/>
      <c r="OZB26" s="19"/>
      <c r="OZC26" s="19"/>
      <c r="OZD26" s="19"/>
      <c r="OZE26" s="19"/>
      <c r="OZF26" s="19"/>
      <c r="OZG26" s="19"/>
      <c r="OZH26" s="19"/>
      <c r="OZI26" s="19"/>
      <c r="OZJ26" s="19"/>
      <c r="OZK26" s="19"/>
      <c r="OZL26" s="19"/>
      <c r="OZM26" s="19"/>
      <c r="OZN26" s="19"/>
      <c r="OZO26" s="19"/>
      <c r="OZP26" s="19"/>
      <c r="OZQ26" s="19"/>
      <c r="OZR26" s="19"/>
      <c r="OZS26" s="19"/>
      <c r="OZT26" s="19"/>
      <c r="OZU26" s="19"/>
      <c r="OZV26" s="19"/>
      <c r="OZW26" s="19"/>
      <c r="OZX26" s="19"/>
      <c r="OZY26" s="19"/>
      <c r="OZZ26" s="19"/>
      <c r="PAA26" s="19"/>
      <c r="PAB26" s="19"/>
      <c r="PAC26" s="19"/>
      <c r="PAD26" s="19"/>
      <c r="PAE26" s="19"/>
      <c r="PAF26" s="19"/>
      <c r="PAG26" s="19"/>
      <c r="PAH26" s="19"/>
      <c r="PAI26" s="19"/>
      <c r="PAJ26" s="19"/>
      <c r="PAK26" s="19"/>
      <c r="PAL26" s="19"/>
      <c r="PAM26" s="19"/>
      <c r="PAN26" s="19"/>
      <c r="PAO26" s="19"/>
      <c r="PAP26" s="19"/>
      <c r="PAQ26" s="19"/>
      <c r="PAR26" s="19"/>
      <c r="PAS26" s="19"/>
      <c r="PAT26" s="19"/>
      <c r="PAU26" s="19"/>
      <c r="PAV26" s="19"/>
      <c r="PAW26" s="19"/>
      <c r="PAX26" s="19"/>
      <c r="PAY26" s="19"/>
      <c r="PAZ26" s="19"/>
      <c r="PBA26" s="19"/>
      <c r="PBB26" s="19"/>
      <c r="PBC26" s="19"/>
      <c r="PBD26" s="19"/>
      <c r="PBE26" s="19"/>
      <c r="PBF26" s="19"/>
      <c r="PBG26" s="19"/>
      <c r="PBH26" s="19"/>
      <c r="PBI26" s="19"/>
      <c r="PBJ26" s="19"/>
      <c r="PBK26" s="19"/>
      <c r="PBL26" s="19"/>
      <c r="PBM26" s="19"/>
      <c r="PBN26" s="19"/>
      <c r="PBO26" s="19"/>
      <c r="PBP26" s="19"/>
      <c r="PBQ26" s="19"/>
      <c r="PBR26" s="19"/>
      <c r="PBS26" s="19"/>
      <c r="PBT26" s="19"/>
      <c r="PBU26" s="19"/>
      <c r="PBV26" s="19"/>
      <c r="PBW26" s="19"/>
      <c r="PBX26" s="19"/>
      <c r="PBY26" s="19"/>
      <c r="PBZ26" s="19"/>
      <c r="PCA26" s="19"/>
      <c r="PCB26" s="19"/>
      <c r="PCC26" s="19"/>
      <c r="PCD26" s="19"/>
      <c r="PCE26" s="19"/>
      <c r="PCF26" s="19"/>
      <c r="PCG26" s="19"/>
      <c r="PCH26" s="19"/>
      <c r="PCI26" s="19"/>
      <c r="PCJ26" s="19"/>
      <c r="PCK26" s="19"/>
      <c r="PCL26" s="19"/>
      <c r="PCM26" s="19"/>
      <c r="PCN26" s="19"/>
      <c r="PCO26" s="19"/>
      <c r="PCP26" s="19"/>
      <c r="PCQ26" s="19"/>
      <c r="PCR26" s="19"/>
      <c r="PCS26" s="19"/>
      <c r="PCT26" s="19"/>
      <c r="PCU26" s="19"/>
      <c r="PCV26" s="19"/>
      <c r="PCW26" s="19"/>
      <c r="PCX26" s="19"/>
      <c r="PCY26" s="19"/>
      <c r="PCZ26" s="19"/>
      <c r="PDA26" s="19"/>
      <c r="PDB26" s="19"/>
      <c r="PDC26" s="19"/>
      <c r="PDD26" s="19"/>
      <c r="PDE26" s="19"/>
      <c r="PDF26" s="19"/>
      <c r="PDG26" s="19"/>
      <c r="PDH26" s="19"/>
      <c r="PDI26" s="19"/>
      <c r="PDJ26" s="19"/>
      <c r="PDK26" s="19"/>
      <c r="PDL26" s="19"/>
      <c r="PDM26" s="19"/>
      <c r="PDN26" s="19"/>
      <c r="PDO26" s="19"/>
      <c r="PDP26" s="19"/>
      <c r="PDQ26" s="19"/>
      <c r="PDR26" s="19"/>
      <c r="PDS26" s="19"/>
      <c r="PDT26" s="19"/>
      <c r="PDU26" s="19"/>
      <c r="PDV26" s="19"/>
      <c r="PDW26" s="19"/>
      <c r="PDX26" s="19"/>
      <c r="PDY26" s="19"/>
      <c r="PDZ26" s="19"/>
      <c r="PEA26" s="19"/>
      <c r="PEB26" s="19"/>
      <c r="PEC26" s="19"/>
      <c r="PED26" s="19"/>
      <c r="PEE26" s="19"/>
      <c r="PEF26" s="19"/>
      <c r="PEG26" s="19"/>
      <c r="PEH26" s="19"/>
      <c r="PEI26" s="19"/>
      <c r="PEJ26" s="19"/>
      <c r="PEK26" s="19"/>
      <c r="PEL26" s="19"/>
      <c r="PEM26" s="19"/>
      <c r="PEN26" s="19"/>
      <c r="PEO26" s="19"/>
      <c r="PEP26" s="19"/>
      <c r="PEQ26" s="19"/>
      <c r="PER26" s="19"/>
      <c r="PES26" s="19"/>
      <c r="PET26" s="19"/>
      <c r="PEU26" s="19"/>
      <c r="PEV26" s="19"/>
      <c r="PEW26" s="19"/>
      <c r="PEX26" s="19"/>
      <c r="PEY26" s="19"/>
      <c r="PEZ26" s="19"/>
      <c r="PFA26" s="19"/>
      <c r="PFB26" s="19"/>
      <c r="PFC26" s="19"/>
      <c r="PFD26" s="19"/>
      <c r="PFE26" s="19"/>
      <c r="PFF26" s="19"/>
      <c r="PFG26" s="19"/>
      <c r="PFH26" s="19"/>
      <c r="PFI26" s="19"/>
      <c r="PFJ26" s="19"/>
      <c r="PFK26" s="19"/>
      <c r="PFL26" s="19"/>
      <c r="PFM26" s="19"/>
      <c r="PFN26" s="19"/>
      <c r="PFO26" s="19"/>
      <c r="PFP26" s="19"/>
      <c r="PFQ26" s="19"/>
      <c r="PFR26" s="19"/>
      <c r="PFS26" s="19"/>
      <c r="PFT26" s="19"/>
      <c r="PFU26" s="19"/>
      <c r="PFV26" s="19"/>
      <c r="PFW26" s="19"/>
      <c r="PFX26" s="19"/>
      <c r="PFY26" s="19"/>
      <c r="PFZ26" s="19"/>
      <c r="PGA26" s="19"/>
      <c r="PGB26" s="19"/>
      <c r="PGC26" s="19"/>
      <c r="PGD26" s="19"/>
      <c r="PGE26" s="19"/>
      <c r="PGF26" s="19"/>
      <c r="PGG26" s="19"/>
      <c r="PGH26" s="19"/>
      <c r="PGI26" s="19"/>
      <c r="PGJ26" s="19"/>
      <c r="PGK26" s="19"/>
      <c r="PGL26" s="19"/>
      <c r="PGM26" s="19"/>
      <c r="PGN26" s="19"/>
      <c r="PGO26" s="19"/>
      <c r="PGP26" s="19"/>
      <c r="PGQ26" s="19"/>
      <c r="PGR26" s="19"/>
      <c r="PGS26" s="19"/>
      <c r="PGT26" s="19"/>
      <c r="PGU26" s="19"/>
      <c r="PGV26" s="19"/>
      <c r="PGW26" s="19"/>
      <c r="PGX26" s="19"/>
      <c r="PGY26" s="19"/>
      <c r="PGZ26" s="19"/>
      <c r="PHA26" s="19"/>
      <c r="PHB26" s="19"/>
      <c r="PHC26" s="19"/>
      <c r="PHD26" s="19"/>
      <c r="PHE26" s="19"/>
      <c r="PHF26" s="19"/>
      <c r="PHG26" s="19"/>
      <c r="PHH26" s="19"/>
      <c r="PHI26" s="19"/>
      <c r="PHJ26" s="19"/>
      <c r="PHK26" s="19"/>
      <c r="PHL26" s="19"/>
      <c r="PHM26" s="19"/>
      <c r="PHN26" s="19"/>
      <c r="PHO26" s="19"/>
      <c r="PHP26" s="19"/>
      <c r="PHQ26" s="19"/>
      <c r="PHR26" s="19"/>
      <c r="PHS26" s="19"/>
      <c r="PHT26" s="19"/>
      <c r="PHU26" s="19"/>
      <c r="PHV26" s="19"/>
      <c r="PHW26" s="19"/>
      <c r="PHX26" s="19"/>
      <c r="PHY26" s="19"/>
      <c r="PHZ26" s="19"/>
      <c r="PIA26" s="19"/>
      <c r="PIB26" s="19"/>
      <c r="PIC26" s="19"/>
      <c r="PID26" s="19"/>
      <c r="PIE26" s="19"/>
      <c r="PIF26" s="19"/>
      <c r="PIG26" s="19"/>
      <c r="PIH26" s="19"/>
      <c r="PII26" s="19"/>
      <c r="PIJ26" s="19"/>
      <c r="PIK26" s="19"/>
      <c r="PIL26" s="19"/>
      <c r="PIM26" s="19"/>
      <c r="PIN26" s="19"/>
      <c r="PIO26" s="19"/>
      <c r="PIP26" s="19"/>
      <c r="PIQ26" s="19"/>
      <c r="PIR26" s="19"/>
      <c r="PIS26" s="19"/>
      <c r="PIT26" s="19"/>
      <c r="PIU26" s="19"/>
      <c r="PIV26" s="19"/>
      <c r="PIW26" s="19"/>
      <c r="PIX26" s="19"/>
      <c r="PIY26" s="19"/>
      <c r="PIZ26" s="19"/>
      <c r="PJA26" s="19"/>
      <c r="PJB26" s="19"/>
      <c r="PJC26" s="19"/>
      <c r="PJD26" s="19"/>
      <c r="PJE26" s="19"/>
      <c r="PJF26" s="19"/>
      <c r="PJG26" s="19"/>
      <c r="PJH26" s="19"/>
      <c r="PJI26" s="19"/>
      <c r="PJJ26" s="19"/>
      <c r="PJK26" s="19"/>
      <c r="PJL26" s="19"/>
      <c r="PJM26" s="19"/>
      <c r="PJN26" s="19"/>
      <c r="PJO26" s="19"/>
      <c r="PJP26" s="19"/>
      <c r="PJQ26" s="19"/>
      <c r="PJR26" s="19"/>
      <c r="PJS26" s="19"/>
      <c r="PJT26" s="19"/>
      <c r="PJU26" s="19"/>
      <c r="PJV26" s="19"/>
      <c r="PJW26" s="19"/>
      <c r="PJX26" s="19"/>
      <c r="PJY26" s="19"/>
      <c r="PJZ26" s="19"/>
      <c r="PKA26" s="19"/>
      <c r="PKB26" s="19"/>
      <c r="PKC26" s="19"/>
      <c r="PKD26" s="19"/>
      <c r="PKE26" s="19"/>
      <c r="PKF26" s="19"/>
      <c r="PKG26" s="19"/>
      <c r="PKH26" s="19"/>
      <c r="PKI26" s="19"/>
      <c r="PKJ26" s="19"/>
      <c r="PKK26" s="19"/>
      <c r="PKL26" s="19"/>
      <c r="PKM26" s="19"/>
      <c r="PKN26" s="19"/>
      <c r="PKO26" s="19"/>
      <c r="PKP26" s="19"/>
      <c r="PKQ26" s="19"/>
      <c r="PKR26" s="19"/>
      <c r="PKS26" s="19"/>
      <c r="PKT26" s="19"/>
      <c r="PKU26" s="19"/>
      <c r="PKV26" s="19"/>
      <c r="PKW26" s="19"/>
      <c r="PKX26" s="19"/>
      <c r="PKY26" s="19"/>
      <c r="PKZ26" s="19"/>
      <c r="PLA26" s="19"/>
      <c r="PLB26" s="19"/>
      <c r="PLC26" s="19"/>
      <c r="PLD26" s="19"/>
      <c r="PLE26" s="19"/>
      <c r="PLF26" s="19"/>
      <c r="PLG26" s="19"/>
      <c r="PLH26" s="19"/>
      <c r="PLI26" s="19"/>
      <c r="PLJ26" s="19"/>
      <c r="PLK26" s="19"/>
      <c r="PLL26" s="19"/>
      <c r="PLM26" s="19"/>
      <c r="PLN26" s="19"/>
      <c r="PLO26" s="19"/>
      <c r="PLP26" s="19"/>
      <c r="PLQ26" s="19"/>
      <c r="PLR26" s="19"/>
      <c r="PLS26" s="19"/>
      <c r="PLT26" s="19"/>
      <c r="PLU26" s="19"/>
      <c r="PLV26" s="19"/>
      <c r="PLW26" s="19"/>
      <c r="PLX26" s="19"/>
      <c r="PLY26" s="19"/>
      <c r="PLZ26" s="19"/>
      <c r="PMA26" s="19"/>
      <c r="PMB26" s="19"/>
      <c r="PMC26" s="19"/>
      <c r="PMD26" s="19"/>
      <c r="PME26" s="19"/>
      <c r="PMF26" s="19"/>
      <c r="PMG26" s="19"/>
      <c r="PMH26" s="19"/>
      <c r="PMI26" s="19"/>
      <c r="PMJ26" s="19"/>
      <c r="PMK26" s="19"/>
      <c r="PML26" s="19"/>
      <c r="PMM26" s="19"/>
      <c r="PMN26" s="19"/>
      <c r="PMO26" s="19"/>
      <c r="PMP26" s="19"/>
      <c r="PMQ26" s="19"/>
      <c r="PMR26" s="19"/>
      <c r="PMS26" s="19"/>
      <c r="PMT26" s="19"/>
      <c r="PMU26" s="19"/>
      <c r="PMV26" s="19"/>
      <c r="PMW26" s="19"/>
      <c r="PMX26" s="19"/>
      <c r="PMY26" s="19"/>
      <c r="PMZ26" s="19"/>
      <c r="PNA26" s="19"/>
      <c r="PNB26" s="19"/>
      <c r="PNC26" s="19"/>
      <c r="PND26" s="19"/>
      <c r="PNE26" s="19"/>
      <c r="PNF26" s="19"/>
      <c r="PNG26" s="19"/>
      <c r="PNH26" s="19"/>
      <c r="PNI26" s="19"/>
      <c r="PNJ26" s="19"/>
      <c r="PNK26" s="19"/>
      <c r="PNL26" s="19"/>
      <c r="PNM26" s="19"/>
      <c r="PNN26" s="19"/>
      <c r="PNO26" s="19"/>
      <c r="PNP26" s="19"/>
      <c r="PNQ26" s="19"/>
      <c r="PNR26" s="19"/>
      <c r="PNS26" s="19"/>
      <c r="PNT26" s="19"/>
      <c r="PNU26" s="19"/>
      <c r="PNV26" s="19"/>
      <c r="PNW26" s="19"/>
      <c r="PNX26" s="19"/>
      <c r="PNY26" s="19"/>
      <c r="PNZ26" s="19"/>
      <c r="POA26" s="19"/>
      <c r="POB26" s="19"/>
      <c r="POC26" s="19"/>
      <c r="POD26" s="19"/>
      <c r="POE26" s="19"/>
      <c r="POF26" s="19"/>
      <c r="POG26" s="19"/>
      <c r="POH26" s="19"/>
      <c r="POI26" s="19"/>
      <c r="POJ26" s="19"/>
      <c r="POK26" s="19"/>
      <c r="POL26" s="19"/>
      <c r="POM26" s="19"/>
      <c r="PON26" s="19"/>
      <c r="POO26" s="19"/>
      <c r="POP26" s="19"/>
      <c r="POQ26" s="19"/>
      <c r="POR26" s="19"/>
      <c r="POS26" s="19"/>
      <c r="POT26" s="19"/>
      <c r="POU26" s="19"/>
      <c r="POV26" s="19"/>
      <c r="POW26" s="19"/>
      <c r="POX26" s="19"/>
      <c r="POY26" s="19"/>
      <c r="POZ26" s="19"/>
      <c r="PPA26" s="19"/>
      <c r="PPB26" s="19"/>
      <c r="PPC26" s="19"/>
      <c r="PPD26" s="19"/>
      <c r="PPE26" s="19"/>
      <c r="PPF26" s="19"/>
      <c r="PPG26" s="19"/>
      <c r="PPH26" s="19"/>
      <c r="PPI26" s="19"/>
      <c r="PPJ26" s="19"/>
      <c r="PPK26" s="19"/>
      <c r="PPL26" s="19"/>
      <c r="PPM26" s="19"/>
      <c r="PPN26" s="19"/>
      <c r="PPO26" s="19"/>
      <c r="PPP26" s="19"/>
      <c r="PPQ26" s="19"/>
      <c r="PPR26" s="19"/>
      <c r="PPS26" s="19"/>
      <c r="PPT26" s="19"/>
      <c r="PPU26" s="19"/>
      <c r="PPV26" s="19"/>
      <c r="PPW26" s="19"/>
      <c r="PPX26" s="19"/>
      <c r="PPY26" s="19"/>
      <c r="PPZ26" s="19"/>
      <c r="PQA26" s="19"/>
      <c r="PQB26" s="19"/>
      <c r="PQC26" s="19"/>
      <c r="PQD26" s="19"/>
      <c r="PQE26" s="19"/>
      <c r="PQF26" s="19"/>
      <c r="PQG26" s="19"/>
      <c r="PQH26" s="19"/>
      <c r="PQI26" s="19"/>
      <c r="PQJ26" s="19"/>
      <c r="PQK26" s="19"/>
      <c r="PQL26" s="19"/>
      <c r="PQM26" s="19"/>
      <c r="PQN26" s="19"/>
      <c r="PQO26" s="19"/>
      <c r="PQP26" s="19"/>
      <c r="PQQ26" s="19"/>
      <c r="PQR26" s="19"/>
      <c r="PQS26" s="19"/>
      <c r="PQT26" s="19"/>
      <c r="PQU26" s="19"/>
      <c r="PQV26" s="19"/>
      <c r="PQW26" s="19"/>
      <c r="PQX26" s="19"/>
      <c r="PQY26" s="19"/>
      <c r="PQZ26" s="19"/>
      <c r="PRA26" s="19"/>
      <c r="PRB26" s="19"/>
      <c r="PRC26" s="19"/>
      <c r="PRD26" s="19"/>
      <c r="PRE26" s="19"/>
      <c r="PRF26" s="19"/>
      <c r="PRG26" s="19"/>
      <c r="PRH26" s="19"/>
      <c r="PRI26" s="19"/>
      <c r="PRJ26" s="19"/>
      <c r="PRK26" s="19"/>
      <c r="PRL26" s="19"/>
      <c r="PRM26" s="19"/>
      <c r="PRN26" s="19"/>
      <c r="PRO26" s="19"/>
      <c r="PRP26" s="19"/>
      <c r="PRQ26" s="19"/>
      <c r="PRR26" s="19"/>
      <c r="PRS26" s="19"/>
      <c r="PRT26" s="19"/>
      <c r="PRU26" s="19"/>
      <c r="PRV26" s="19"/>
      <c r="PRW26" s="19"/>
      <c r="PRX26" s="19"/>
      <c r="PRY26" s="19"/>
      <c r="PRZ26" s="19"/>
      <c r="PSA26" s="19"/>
      <c r="PSB26" s="19"/>
      <c r="PSC26" s="19"/>
      <c r="PSD26" s="19"/>
      <c r="PSE26" s="19"/>
      <c r="PSF26" s="19"/>
      <c r="PSG26" s="19"/>
      <c r="PSH26" s="19"/>
      <c r="PSI26" s="19"/>
      <c r="PSJ26" s="19"/>
      <c r="PSK26" s="19"/>
      <c r="PSL26" s="19"/>
      <c r="PSM26" s="19"/>
      <c r="PSN26" s="19"/>
      <c r="PSO26" s="19"/>
      <c r="PSP26" s="19"/>
      <c r="PSQ26" s="19"/>
      <c r="PSR26" s="19"/>
      <c r="PSS26" s="19"/>
      <c r="PST26" s="19"/>
      <c r="PSU26" s="19"/>
      <c r="PSV26" s="19"/>
      <c r="PSW26" s="19"/>
      <c r="PSX26" s="19"/>
      <c r="PSY26" s="19"/>
      <c r="PSZ26" s="19"/>
      <c r="PTA26" s="19"/>
      <c r="PTB26" s="19"/>
      <c r="PTC26" s="19"/>
      <c r="PTD26" s="19"/>
      <c r="PTE26" s="19"/>
      <c r="PTF26" s="19"/>
      <c r="PTG26" s="19"/>
      <c r="PTH26" s="19"/>
      <c r="PTI26" s="19"/>
      <c r="PTJ26" s="19"/>
      <c r="PTK26" s="19"/>
      <c r="PTL26" s="19"/>
      <c r="PTM26" s="19"/>
      <c r="PTN26" s="19"/>
      <c r="PTO26" s="19"/>
      <c r="PTP26" s="19"/>
      <c r="PTQ26" s="19"/>
      <c r="PTR26" s="19"/>
      <c r="PTS26" s="19"/>
      <c r="PTT26" s="19"/>
      <c r="PTU26" s="19"/>
      <c r="PTV26" s="19"/>
      <c r="PTW26" s="19"/>
      <c r="PTX26" s="19"/>
      <c r="PTY26" s="19"/>
      <c r="PTZ26" s="19"/>
      <c r="PUA26" s="19"/>
      <c r="PUB26" s="19"/>
      <c r="PUC26" s="19"/>
      <c r="PUD26" s="19"/>
      <c r="PUE26" s="19"/>
      <c r="PUF26" s="19"/>
      <c r="PUG26" s="19"/>
      <c r="PUH26" s="19"/>
      <c r="PUI26" s="19"/>
      <c r="PUJ26" s="19"/>
      <c r="PUK26" s="19"/>
      <c r="PUL26" s="19"/>
      <c r="PUM26" s="19"/>
      <c r="PUN26" s="19"/>
      <c r="PUO26" s="19"/>
      <c r="PUP26" s="19"/>
      <c r="PUQ26" s="19"/>
      <c r="PUR26" s="19"/>
      <c r="PUS26" s="19"/>
      <c r="PUT26" s="19"/>
      <c r="PUU26" s="19"/>
      <c r="PUV26" s="19"/>
      <c r="PUW26" s="19"/>
      <c r="PUX26" s="19"/>
      <c r="PUY26" s="19"/>
      <c r="PUZ26" s="19"/>
      <c r="PVA26" s="19"/>
      <c r="PVB26" s="19"/>
      <c r="PVC26" s="19"/>
      <c r="PVD26" s="19"/>
      <c r="PVE26" s="19"/>
      <c r="PVF26" s="19"/>
      <c r="PVG26" s="19"/>
      <c r="PVH26" s="19"/>
      <c r="PVI26" s="19"/>
      <c r="PVJ26" s="19"/>
      <c r="PVK26" s="19"/>
      <c r="PVL26" s="19"/>
      <c r="PVM26" s="19"/>
      <c r="PVN26" s="19"/>
      <c r="PVO26" s="19"/>
      <c r="PVP26" s="19"/>
      <c r="PVQ26" s="19"/>
      <c r="PVR26" s="19"/>
      <c r="PVS26" s="19"/>
      <c r="PVT26" s="19"/>
      <c r="PVU26" s="19"/>
      <c r="PVV26" s="19"/>
      <c r="PVW26" s="19"/>
      <c r="PVX26" s="19"/>
      <c r="PVY26" s="19"/>
      <c r="PVZ26" s="19"/>
      <c r="PWA26" s="19"/>
      <c r="PWB26" s="19"/>
      <c r="PWC26" s="19"/>
      <c r="PWD26" s="19"/>
      <c r="PWE26" s="19"/>
      <c r="PWF26" s="19"/>
      <c r="PWG26" s="19"/>
      <c r="PWH26" s="19"/>
      <c r="PWI26" s="19"/>
      <c r="PWJ26" s="19"/>
      <c r="PWK26" s="19"/>
      <c r="PWL26" s="19"/>
      <c r="PWM26" s="19"/>
      <c r="PWN26" s="19"/>
      <c r="PWO26" s="19"/>
      <c r="PWP26" s="19"/>
      <c r="PWQ26" s="19"/>
      <c r="PWR26" s="19"/>
      <c r="PWS26" s="19"/>
      <c r="PWT26" s="19"/>
      <c r="PWU26" s="19"/>
      <c r="PWV26" s="19"/>
      <c r="PWW26" s="19"/>
      <c r="PWX26" s="19"/>
      <c r="PWY26" s="19"/>
      <c r="PWZ26" s="19"/>
      <c r="PXA26" s="19"/>
      <c r="PXB26" s="19"/>
      <c r="PXC26" s="19"/>
      <c r="PXD26" s="19"/>
      <c r="PXE26" s="19"/>
      <c r="PXF26" s="19"/>
      <c r="PXG26" s="19"/>
      <c r="PXH26" s="19"/>
      <c r="PXI26" s="19"/>
      <c r="PXJ26" s="19"/>
      <c r="PXK26" s="19"/>
      <c r="PXL26" s="19"/>
      <c r="PXM26" s="19"/>
      <c r="PXN26" s="19"/>
      <c r="PXO26" s="19"/>
      <c r="PXP26" s="19"/>
      <c r="PXQ26" s="19"/>
      <c r="PXR26" s="19"/>
      <c r="PXS26" s="19"/>
      <c r="PXT26" s="19"/>
      <c r="PXU26" s="19"/>
      <c r="PXV26" s="19"/>
      <c r="PXW26" s="19"/>
      <c r="PXX26" s="19"/>
      <c r="PXY26" s="19"/>
      <c r="PXZ26" s="19"/>
      <c r="PYA26" s="19"/>
      <c r="PYB26" s="19"/>
      <c r="PYC26" s="19"/>
      <c r="PYD26" s="19"/>
      <c r="PYE26" s="19"/>
      <c r="PYF26" s="19"/>
      <c r="PYG26" s="19"/>
      <c r="PYH26" s="19"/>
      <c r="PYI26" s="19"/>
      <c r="PYJ26" s="19"/>
      <c r="PYK26" s="19"/>
      <c r="PYL26" s="19"/>
      <c r="PYM26" s="19"/>
      <c r="PYN26" s="19"/>
      <c r="PYO26" s="19"/>
      <c r="PYP26" s="19"/>
      <c r="PYQ26" s="19"/>
      <c r="PYR26" s="19"/>
      <c r="PYS26" s="19"/>
      <c r="PYT26" s="19"/>
      <c r="PYU26" s="19"/>
      <c r="PYV26" s="19"/>
      <c r="PYW26" s="19"/>
      <c r="PYX26" s="19"/>
      <c r="PYY26" s="19"/>
      <c r="PYZ26" s="19"/>
      <c r="PZA26" s="19"/>
      <c r="PZB26" s="19"/>
      <c r="PZC26" s="19"/>
      <c r="PZD26" s="19"/>
      <c r="PZE26" s="19"/>
      <c r="PZF26" s="19"/>
      <c r="PZG26" s="19"/>
      <c r="PZH26" s="19"/>
      <c r="PZI26" s="19"/>
      <c r="PZJ26" s="19"/>
      <c r="PZK26" s="19"/>
      <c r="PZL26" s="19"/>
      <c r="PZM26" s="19"/>
      <c r="PZN26" s="19"/>
      <c r="PZO26" s="19"/>
      <c r="PZP26" s="19"/>
      <c r="PZQ26" s="19"/>
      <c r="PZR26" s="19"/>
      <c r="PZS26" s="19"/>
      <c r="PZT26" s="19"/>
      <c r="PZU26" s="19"/>
      <c r="PZV26" s="19"/>
      <c r="PZW26" s="19"/>
      <c r="PZX26" s="19"/>
      <c r="PZY26" s="19"/>
      <c r="PZZ26" s="19"/>
      <c r="QAA26" s="19"/>
      <c r="QAB26" s="19"/>
      <c r="QAC26" s="19"/>
      <c r="QAD26" s="19"/>
      <c r="QAE26" s="19"/>
      <c r="QAF26" s="19"/>
      <c r="QAG26" s="19"/>
      <c r="QAH26" s="19"/>
      <c r="QAI26" s="19"/>
      <c r="QAJ26" s="19"/>
      <c r="QAK26" s="19"/>
      <c r="QAL26" s="19"/>
      <c r="QAM26" s="19"/>
      <c r="QAN26" s="19"/>
      <c r="QAO26" s="19"/>
      <c r="QAP26" s="19"/>
      <c r="QAQ26" s="19"/>
      <c r="QAR26" s="19"/>
      <c r="QAS26" s="19"/>
      <c r="QAT26" s="19"/>
      <c r="QAU26" s="19"/>
      <c r="QAV26" s="19"/>
      <c r="QAW26" s="19"/>
      <c r="QAX26" s="19"/>
      <c r="QAY26" s="19"/>
      <c r="QAZ26" s="19"/>
      <c r="QBA26" s="19"/>
      <c r="QBB26" s="19"/>
      <c r="QBC26" s="19"/>
      <c r="QBD26" s="19"/>
      <c r="QBE26" s="19"/>
      <c r="QBF26" s="19"/>
      <c r="QBG26" s="19"/>
      <c r="QBH26" s="19"/>
      <c r="QBI26" s="19"/>
      <c r="QBJ26" s="19"/>
      <c r="QBK26" s="19"/>
      <c r="QBL26" s="19"/>
      <c r="QBM26" s="19"/>
      <c r="QBN26" s="19"/>
      <c r="QBO26" s="19"/>
      <c r="QBP26" s="19"/>
      <c r="QBQ26" s="19"/>
      <c r="QBR26" s="19"/>
      <c r="QBS26" s="19"/>
      <c r="QBT26" s="19"/>
      <c r="QBU26" s="19"/>
      <c r="QBV26" s="19"/>
      <c r="QBW26" s="19"/>
      <c r="QBX26" s="19"/>
      <c r="QBY26" s="19"/>
      <c r="QBZ26" s="19"/>
      <c r="QCA26" s="19"/>
      <c r="QCB26" s="19"/>
      <c r="QCC26" s="19"/>
      <c r="QCD26" s="19"/>
      <c r="QCE26" s="19"/>
      <c r="QCF26" s="19"/>
      <c r="QCG26" s="19"/>
      <c r="QCH26" s="19"/>
      <c r="QCI26" s="19"/>
      <c r="QCJ26" s="19"/>
      <c r="QCK26" s="19"/>
      <c r="QCL26" s="19"/>
      <c r="QCM26" s="19"/>
      <c r="QCN26" s="19"/>
      <c r="QCO26" s="19"/>
      <c r="QCP26" s="19"/>
      <c r="QCQ26" s="19"/>
      <c r="QCR26" s="19"/>
      <c r="QCS26" s="19"/>
      <c r="QCT26" s="19"/>
      <c r="QCU26" s="19"/>
      <c r="QCV26" s="19"/>
      <c r="QCW26" s="19"/>
      <c r="QCX26" s="19"/>
      <c r="QCY26" s="19"/>
      <c r="QCZ26" s="19"/>
      <c r="QDA26" s="19"/>
      <c r="QDB26" s="19"/>
      <c r="QDC26" s="19"/>
      <c r="QDD26" s="19"/>
      <c r="QDE26" s="19"/>
      <c r="QDF26" s="19"/>
      <c r="QDG26" s="19"/>
      <c r="QDH26" s="19"/>
      <c r="QDI26" s="19"/>
      <c r="QDJ26" s="19"/>
      <c r="QDK26" s="19"/>
      <c r="QDL26" s="19"/>
      <c r="QDM26" s="19"/>
      <c r="QDN26" s="19"/>
      <c r="QDO26" s="19"/>
      <c r="QDP26" s="19"/>
      <c r="QDQ26" s="19"/>
      <c r="QDR26" s="19"/>
      <c r="QDS26" s="19"/>
      <c r="QDT26" s="19"/>
      <c r="QDU26" s="19"/>
      <c r="QDV26" s="19"/>
      <c r="QDW26" s="19"/>
      <c r="QDX26" s="19"/>
      <c r="QDY26" s="19"/>
      <c r="QDZ26" s="19"/>
      <c r="QEA26" s="19"/>
      <c r="QEB26" s="19"/>
      <c r="QEC26" s="19"/>
      <c r="QED26" s="19"/>
      <c r="QEE26" s="19"/>
      <c r="QEF26" s="19"/>
      <c r="QEG26" s="19"/>
      <c r="QEH26" s="19"/>
      <c r="QEI26" s="19"/>
      <c r="QEJ26" s="19"/>
      <c r="QEK26" s="19"/>
      <c r="QEL26" s="19"/>
      <c r="QEM26" s="19"/>
      <c r="QEN26" s="19"/>
      <c r="QEO26" s="19"/>
      <c r="QEP26" s="19"/>
      <c r="QEQ26" s="19"/>
      <c r="QER26" s="19"/>
      <c r="QES26" s="19"/>
      <c r="QET26" s="19"/>
      <c r="QEU26" s="19"/>
      <c r="QEV26" s="19"/>
      <c r="QEW26" s="19"/>
      <c r="QEX26" s="19"/>
      <c r="QEY26" s="19"/>
      <c r="QEZ26" s="19"/>
      <c r="QFA26" s="19"/>
      <c r="QFB26" s="19"/>
      <c r="QFC26" s="19"/>
      <c r="QFD26" s="19"/>
      <c r="QFE26" s="19"/>
      <c r="QFF26" s="19"/>
      <c r="QFG26" s="19"/>
      <c r="QFH26" s="19"/>
      <c r="QFI26" s="19"/>
      <c r="QFJ26" s="19"/>
      <c r="QFK26" s="19"/>
      <c r="QFL26" s="19"/>
      <c r="QFM26" s="19"/>
      <c r="QFN26" s="19"/>
      <c r="QFO26" s="19"/>
      <c r="QFP26" s="19"/>
      <c r="QFQ26" s="19"/>
      <c r="QFR26" s="19"/>
      <c r="QFS26" s="19"/>
      <c r="QFT26" s="19"/>
      <c r="QFU26" s="19"/>
      <c r="QFV26" s="19"/>
      <c r="QFW26" s="19"/>
      <c r="QFX26" s="19"/>
      <c r="QFY26" s="19"/>
      <c r="QFZ26" s="19"/>
      <c r="QGA26" s="19"/>
      <c r="QGB26" s="19"/>
      <c r="QGC26" s="19"/>
      <c r="QGD26" s="19"/>
      <c r="QGE26" s="19"/>
      <c r="QGF26" s="19"/>
      <c r="QGG26" s="19"/>
      <c r="QGH26" s="19"/>
      <c r="QGI26" s="19"/>
      <c r="QGJ26" s="19"/>
      <c r="QGK26" s="19"/>
      <c r="QGL26" s="19"/>
      <c r="QGM26" s="19"/>
      <c r="QGN26" s="19"/>
      <c r="QGO26" s="19"/>
      <c r="QGP26" s="19"/>
      <c r="QGQ26" s="19"/>
      <c r="QGR26" s="19"/>
      <c r="QGS26" s="19"/>
      <c r="QGT26" s="19"/>
      <c r="QGU26" s="19"/>
      <c r="QGV26" s="19"/>
      <c r="QGW26" s="19"/>
      <c r="QGX26" s="19"/>
      <c r="QGY26" s="19"/>
      <c r="QGZ26" s="19"/>
      <c r="QHA26" s="19"/>
      <c r="QHB26" s="19"/>
      <c r="QHC26" s="19"/>
      <c r="QHD26" s="19"/>
      <c r="QHE26" s="19"/>
      <c r="QHF26" s="19"/>
      <c r="QHG26" s="19"/>
      <c r="QHH26" s="19"/>
      <c r="QHI26" s="19"/>
      <c r="QHJ26" s="19"/>
      <c r="QHK26" s="19"/>
      <c r="QHL26" s="19"/>
      <c r="QHM26" s="19"/>
      <c r="QHN26" s="19"/>
      <c r="QHO26" s="19"/>
      <c r="QHP26" s="19"/>
      <c r="QHQ26" s="19"/>
      <c r="QHR26" s="19"/>
      <c r="QHS26" s="19"/>
      <c r="QHT26" s="19"/>
      <c r="QHU26" s="19"/>
      <c r="QHV26" s="19"/>
      <c r="QHW26" s="19"/>
      <c r="QHX26" s="19"/>
      <c r="QHY26" s="19"/>
      <c r="QHZ26" s="19"/>
      <c r="QIA26" s="19"/>
      <c r="QIB26" s="19"/>
      <c r="QIC26" s="19"/>
      <c r="QID26" s="19"/>
      <c r="QIE26" s="19"/>
      <c r="QIF26" s="19"/>
      <c r="QIG26" s="19"/>
      <c r="QIH26" s="19"/>
      <c r="QII26" s="19"/>
      <c r="QIJ26" s="19"/>
      <c r="QIK26" s="19"/>
      <c r="QIL26" s="19"/>
      <c r="QIM26" s="19"/>
      <c r="QIN26" s="19"/>
      <c r="QIO26" s="19"/>
      <c r="QIP26" s="19"/>
      <c r="QIQ26" s="19"/>
      <c r="QIR26" s="19"/>
      <c r="QIS26" s="19"/>
      <c r="QIT26" s="19"/>
      <c r="QIU26" s="19"/>
      <c r="QIV26" s="19"/>
      <c r="QIW26" s="19"/>
      <c r="QIX26" s="19"/>
      <c r="QIY26" s="19"/>
      <c r="QIZ26" s="19"/>
      <c r="QJA26" s="19"/>
      <c r="QJB26" s="19"/>
      <c r="QJC26" s="19"/>
      <c r="QJD26" s="19"/>
      <c r="QJE26" s="19"/>
      <c r="QJF26" s="19"/>
      <c r="QJG26" s="19"/>
      <c r="QJH26" s="19"/>
      <c r="QJI26" s="19"/>
      <c r="QJJ26" s="19"/>
      <c r="QJK26" s="19"/>
      <c r="QJL26" s="19"/>
      <c r="QJM26" s="19"/>
      <c r="QJN26" s="19"/>
      <c r="QJO26" s="19"/>
      <c r="QJP26" s="19"/>
      <c r="QJQ26" s="19"/>
      <c r="QJR26" s="19"/>
      <c r="QJS26" s="19"/>
      <c r="QJT26" s="19"/>
      <c r="QJU26" s="19"/>
      <c r="QJV26" s="19"/>
      <c r="QJW26" s="19"/>
      <c r="QJX26" s="19"/>
      <c r="QJY26" s="19"/>
      <c r="QJZ26" s="19"/>
      <c r="QKA26" s="19"/>
      <c r="QKB26" s="19"/>
      <c r="QKC26" s="19"/>
      <c r="QKD26" s="19"/>
      <c r="QKE26" s="19"/>
      <c r="QKF26" s="19"/>
      <c r="QKG26" s="19"/>
      <c r="QKH26" s="19"/>
      <c r="QKI26" s="19"/>
      <c r="QKJ26" s="19"/>
      <c r="QKK26" s="19"/>
      <c r="QKL26" s="19"/>
      <c r="QKM26" s="19"/>
      <c r="QKN26" s="19"/>
      <c r="QKO26" s="19"/>
      <c r="QKP26" s="19"/>
      <c r="QKQ26" s="19"/>
      <c r="QKR26" s="19"/>
      <c r="QKS26" s="19"/>
      <c r="QKT26" s="19"/>
      <c r="QKU26" s="19"/>
      <c r="QKV26" s="19"/>
      <c r="QKW26" s="19"/>
      <c r="QKX26" s="19"/>
      <c r="QKY26" s="19"/>
      <c r="QKZ26" s="19"/>
      <c r="QLA26" s="19"/>
      <c r="QLB26" s="19"/>
      <c r="QLC26" s="19"/>
      <c r="QLD26" s="19"/>
      <c r="QLE26" s="19"/>
      <c r="QLF26" s="19"/>
      <c r="QLG26" s="19"/>
      <c r="QLH26" s="19"/>
      <c r="QLI26" s="19"/>
      <c r="QLJ26" s="19"/>
      <c r="QLK26" s="19"/>
      <c r="QLL26" s="19"/>
      <c r="QLM26" s="19"/>
      <c r="QLN26" s="19"/>
      <c r="QLO26" s="19"/>
      <c r="QLP26" s="19"/>
      <c r="QLQ26" s="19"/>
      <c r="QLR26" s="19"/>
      <c r="QLS26" s="19"/>
      <c r="QLT26" s="19"/>
      <c r="QLU26" s="19"/>
      <c r="QLV26" s="19"/>
      <c r="QLW26" s="19"/>
      <c r="QLX26" s="19"/>
      <c r="QLY26" s="19"/>
      <c r="QLZ26" s="19"/>
      <c r="QMA26" s="19"/>
      <c r="QMB26" s="19"/>
      <c r="QMC26" s="19"/>
      <c r="QMD26" s="19"/>
      <c r="QME26" s="19"/>
      <c r="QMF26" s="19"/>
      <c r="QMG26" s="19"/>
      <c r="QMH26" s="19"/>
      <c r="QMI26" s="19"/>
      <c r="QMJ26" s="19"/>
      <c r="QMK26" s="19"/>
      <c r="QML26" s="19"/>
      <c r="QMM26" s="19"/>
      <c r="QMN26" s="19"/>
      <c r="QMO26" s="19"/>
      <c r="QMP26" s="19"/>
      <c r="QMQ26" s="19"/>
      <c r="QMR26" s="19"/>
      <c r="QMS26" s="19"/>
      <c r="QMT26" s="19"/>
      <c r="QMU26" s="19"/>
      <c r="QMV26" s="19"/>
      <c r="QMW26" s="19"/>
      <c r="QMX26" s="19"/>
      <c r="QMY26" s="19"/>
      <c r="QMZ26" s="19"/>
      <c r="QNA26" s="19"/>
      <c r="QNB26" s="19"/>
      <c r="QNC26" s="19"/>
      <c r="QND26" s="19"/>
      <c r="QNE26" s="19"/>
      <c r="QNF26" s="19"/>
      <c r="QNG26" s="19"/>
      <c r="QNH26" s="19"/>
      <c r="QNI26" s="19"/>
      <c r="QNJ26" s="19"/>
      <c r="QNK26" s="19"/>
      <c r="QNL26" s="19"/>
      <c r="QNM26" s="19"/>
      <c r="QNN26" s="19"/>
      <c r="QNO26" s="19"/>
      <c r="QNP26" s="19"/>
      <c r="QNQ26" s="19"/>
      <c r="QNR26" s="19"/>
      <c r="QNS26" s="19"/>
      <c r="QNT26" s="19"/>
      <c r="QNU26" s="19"/>
      <c r="QNV26" s="19"/>
      <c r="QNW26" s="19"/>
      <c r="QNX26" s="19"/>
      <c r="QNY26" s="19"/>
      <c r="QNZ26" s="19"/>
      <c r="QOA26" s="19"/>
      <c r="QOB26" s="19"/>
      <c r="QOC26" s="19"/>
      <c r="QOD26" s="19"/>
      <c r="QOE26" s="19"/>
      <c r="QOF26" s="19"/>
      <c r="QOG26" s="19"/>
      <c r="QOH26" s="19"/>
      <c r="QOI26" s="19"/>
      <c r="QOJ26" s="19"/>
      <c r="QOK26" s="19"/>
      <c r="QOL26" s="19"/>
      <c r="QOM26" s="19"/>
      <c r="QON26" s="19"/>
      <c r="QOO26" s="19"/>
      <c r="QOP26" s="19"/>
      <c r="QOQ26" s="19"/>
      <c r="QOR26" s="19"/>
      <c r="QOS26" s="19"/>
      <c r="QOT26" s="19"/>
      <c r="QOU26" s="19"/>
      <c r="QOV26" s="19"/>
      <c r="QOW26" s="19"/>
      <c r="QOX26" s="19"/>
      <c r="QOY26" s="19"/>
      <c r="QOZ26" s="19"/>
      <c r="QPA26" s="19"/>
      <c r="QPB26" s="19"/>
      <c r="QPC26" s="19"/>
      <c r="QPD26" s="19"/>
      <c r="QPE26" s="19"/>
      <c r="QPF26" s="19"/>
      <c r="QPG26" s="19"/>
      <c r="QPH26" s="19"/>
      <c r="QPI26" s="19"/>
      <c r="QPJ26" s="19"/>
      <c r="QPK26" s="19"/>
      <c r="QPL26" s="19"/>
      <c r="QPM26" s="19"/>
      <c r="QPN26" s="19"/>
      <c r="QPO26" s="19"/>
      <c r="QPP26" s="19"/>
      <c r="QPQ26" s="19"/>
      <c r="QPR26" s="19"/>
      <c r="QPS26" s="19"/>
      <c r="QPT26" s="19"/>
      <c r="QPU26" s="19"/>
      <c r="QPV26" s="19"/>
      <c r="QPW26" s="19"/>
      <c r="QPX26" s="19"/>
      <c r="QPY26" s="19"/>
      <c r="QPZ26" s="19"/>
      <c r="QQA26" s="19"/>
      <c r="QQB26" s="19"/>
      <c r="QQC26" s="19"/>
      <c r="QQD26" s="19"/>
      <c r="QQE26" s="19"/>
      <c r="QQF26" s="19"/>
      <c r="QQG26" s="19"/>
      <c r="QQH26" s="19"/>
      <c r="QQI26" s="19"/>
      <c r="QQJ26" s="19"/>
      <c r="QQK26" s="19"/>
      <c r="QQL26" s="19"/>
      <c r="QQM26" s="19"/>
      <c r="QQN26" s="19"/>
      <c r="QQO26" s="19"/>
      <c r="QQP26" s="19"/>
      <c r="QQQ26" s="19"/>
      <c r="QQR26" s="19"/>
      <c r="QQS26" s="19"/>
      <c r="QQT26" s="19"/>
      <c r="QQU26" s="19"/>
      <c r="QQV26" s="19"/>
      <c r="QQW26" s="19"/>
      <c r="QQX26" s="19"/>
      <c r="QQY26" s="19"/>
      <c r="QQZ26" s="19"/>
      <c r="QRA26" s="19"/>
      <c r="QRB26" s="19"/>
      <c r="QRC26" s="19"/>
      <c r="QRD26" s="19"/>
      <c r="QRE26" s="19"/>
      <c r="QRF26" s="19"/>
      <c r="QRG26" s="19"/>
      <c r="QRH26" s="19"/>
      <c r="QRI26" s="19"/>
      <c r="QRJ26" s="19"/>
      <c r="QRK26" s="19"/>
      <c r="QRL26" s="19"/>
      <c r="QRM26" s="19"/>
      <c r="QRN26" s="19"/>
      <c r="QRO26" s="19"/>
      <c r="QRP26" s="19"/>
      <c r="QRQ26" s="19"/>
      <c r="QRR26" s="19"/>
      <c r="QRS26" s="19"/>
      <c r="QRT26" s="19"/>
      <c r="QRU26" s="19"/>
      <c r="QRV26" s="19"/>
      <c r="QRW26" s="19"/>
      <c r="QRX26" s="19"/>
      <c r="QRY26" s="19"/>
      <c r="QRZ26" s="19"/>
      <c r="QSA26" s="19"/>
      <c r="QSB26" s="19"/>
      <c r="QSC26" s="19"/>
      <c r="QSD26" s="19"/>
      <c r="QSE26" s="19"/>
      <c r="QSF26" s="19"/>
      <c r="QSG26" s="19"/>
      <c r="QSH26" s="19"/>
      <c r="QSI26" s="19"/>
      <c r="QSJ26" s="19"/>
      <c r="QSK26" s="19"/>
      <c r="QSL26" s="19"/>
      <c r="QSM26" s="19"/>
      <c r="QSN26" s="19"/>
      <c r="QSO26" s="19"/>
      <c r="QSP26" s="19"/>
      <c r="QSQ26" s="19"/>
      <c r="QSR26" s="19"/>
      <c r="QSS26" s="19"/>
      <c r="QST26" s="19"/>
      <c r="QSU26" s="19"/>
      <c r="QSV26" s="19"/>
      <c r="QSW26" s="19"/>
      <c r="QSX26" s="19"/>
      <c r="QSY26" s="19"/>
      <c r="QSZ26" s="19"/>
      <c r="QTA26" s="19"/>
      <c r="QTB26" s="19"/>
      <c r="QTC26" s="19"/>
      <c r="QTD26" s="19"/>
      <c r="QTE26" s="19"/>
      <c r="QTF26" s="19"/>
      <c r="QTG26" s="19"/>
      <c r="QTH26" s="19"/>
      <c r="QTI26" s="19"/>
      <c r="QTJ26" s="19"/>
      <c r="QTK26" s="19"/>
      <c r="QTL26" s="19"/>
      <c r="QTM26" s="19"/>
      <c r="QTN26" s="19"/>
      <c r="QTO26" s="19"/>
      <c r="QTP26" s="19"/>
      <c r="QTQ26" s="19"/>
      <c r="QTR26" s="19"/>
      <c r="QTS26" s="19"/>
      <c r="QTT26" s="19"/>
      <c r="QTU26" s="19"/>
      <c r="QTV26" s="19"/>
      <c r="QTW26" s="19"/>
      <c r="QTX26" s="19"/>
      <c r="QTY26" s="19"/>
      <c r="QTZ26" s="19"/>
      <c r="QUA26" s="19"/>
      <c r="QUB26" s="19"/>
      <c r="QUC26" s="19"/>
      <c r="QUD26" s="19"/>
      <c r="QUE26" s="19"/>
      <c r="QUF26" s="19"/>
      <c r="QUG26" s="19"/>
      <c r="QUH26" s="19"/>
      <c r="QUI26" s="19"/>
      <c r="QUJ26" s="19"/>
      <c r="QUK26" s="19"/>
      <c r="QUL26" s="19"/>
      <c r="QUM26" s="19"/>
      <c r="QUN26" s="19"/>
      <c r="QUO26" s="19"/>
      <c r="QUP26" s="19"/>
      <c r="QUQ26" s="19"/>
      <c r="QUR26" s="19"/>
      <c r="QUS26" s="19"/>
      <c r="QUT26" s="19"/>
      <c r="QUU26" s="19"/>
      <c r="QUV26" s="19"/>
      <c r="QUW26" s="19"/>
      <c r="QUX26" s="19"/>
      <c r="QUY26" s="19"/>
      <c r="QUZ26" s="19"/>
      <c r="QVA26" s="19"/>
      <c r="QVB26" s="19"/>
      <c r="QVC26" s="19"/>
      <c r="QVD26" s="19"/>
      <c r="QVE26" s="19"/>
      <c r="QVF26" s="19"/>
      <c r="QVG26" s="19"/>
      <c r="QVH26" s="19"/>
      <c r="QVI26" s="19"/>
      <c r="QVJ26" s="19"/>
      <c r="QVK26" s="19"/>
      <c r="QVL26" s="19"/>
      <c r="QVM26" s="19"/>
      <c r="QVN26" s="19"/>
      <c r="QVO26" s="19"/>
      <c r="QVP26" s="19"/>
      <c r="QVQ26" s="19"/>
      <c r="QVR26" s="19"/>
      <c r="QVS26" s="19"/>
      <c r="QVT26" s="19"/>
      <c r="QVU26" s="19"/>
      <c r="QVV26" s="19"/>
      <c r="QVW26" s="19"/>
      <c r="QVX26" s="19"/>
      <c r="QVY26" s="19"/>
      <c r="QVZ26" s="19"/>
      <c r="QWA26" s="19"/>
      <c r="QWB26" s="19"/>
      <c r="QWC26" s="19"/>
      <c r="QWD26" s="19"/>
      <c r="QWE26" s="19"/>
      <c r="QWF26" s="19"/>
      <c r="QWG26" s="19"/>
      <c r="QWH26" s="19"/>
      <c r="QWI26" s="19"/>
      <c r="QWJ26" s="19"/>
      <c r="QWK26" s="19"/>
      <c r="QWL26" s="19"/>
      <c r="QWM26" s="19"/>
      <c r="QWN26" s="19"/>
      <c r="QWO26" s="19"/>
      <c r="QWP26" s="19"/>
      <c r="QWQ26" s="19"/>
      <c r="QWR26" s="19"/>
      <c r="QWS26" s="19"/>
      <c r="QWT26" s="19"/>
      <c r="QWU26" s="19"/>
      <c r="QWV26" s="19"/>
      <c r="QWW26" s="19"/>
      <c r="QWX26" s="19"/>
      <c r="QWY26" s="19"/>
      <c r="QWZ26" s="19"/>
      <c r="QXA26" s="19"/>
      <c r="QXB26" s="19"/>
      <c r="QXC26" s="19"/>
      <c r="QXD26" s="19"/>
      <c r="QXE26" s="19"/>
      <c r="QXF26" s="19"/>
      <c r="QXG26" s="19"/>
      <c r="QXH26" s="19"/>
      <c r="QXI26" s="19"/>
      <c r="QXJ26" s="19"/>
      <c r="QXK26" s="19"/>
      <c r="QXL26" s="19"/>
      <c r="QXM26" s="19"/>
      <c r="QXN26" s="19"/>
      <c r="QXO26" s="19"/>
      <c r="QXP26" s="19"/>
      <c r="QXQ26" s="19"/>
      <c r="QXR26" s="19"/>
      <c r="QXS26" s="19"/>
      <c r="QXT26" s="19"/>
      <c r="QXU26" s="19"/>
      <c r="QXV26" s="19"/>
      <c r="QXW26" s="19"/>
      <c r="QXX26" s="19"/>
      <c r="QXY26" s="19"/>
      <c r="QXZ26" s="19"/>
      <c r="QYA26" s="19"/>
      <c r="QYB26" s="19"/>
      <c r="QYC26" s="19"/>
      <c r="QYD26" s="19"/>
      <c r="QYE26" s="19"/>
      <c r="QYF26" s="19"/>
      <c r="QYG26" s="19"/>
      <c r="QYH26" s="19"/>
      <c r="QYI26" s="19"/>
      <c r="QYJ26" s="19"/>
      <c r="QYK26" s="19"/>
      <c r="QYL26" s="19"/>
      <c r="QYM26" s="19"/>
      <c r="QYN26" s="19"/>
      <c r="QYO26" s="19"/>
      <c r="QYP26" s="19"/>
      <c r="QYQ26" s="19"/>
      <c r="QYR26" s="19"/>
      <c r="QYS26" s="19"/>
      <c r="QYT26" s="19"/>
      <c r="QYU26" s="19"/>
      <c r="QYV26" s="19"/>
      <c r="QYW26" s="19"/>
      <c r="QYX26" s="19"/>
      <c r="QYY26" s="19"/>
      <c r="QYZ26" s="19"/>
      <c r="QZA26" s="19"/>
      <c r="QZB26" s="19"/>
      <c r="QZC26" s="19"/>
      <c r="QZD26" s="19"/>
      <c r="QZE26" s="19"/>
      <c r="QZF26" s="19"/>
      <c r="QZG26" s="19"/>
      <c r="QZH26" s="19"/>
      <c r="QZI26" s="19"/>
      <c r="QZJ26" s="19"/>
      <c r="QZK26" s="19"/>
      <c r="QZL26" s="19"/>
      <c r="QZM26" s="19"/>
      <c r="QZN26" s="19"/>
      <c r="QZO26" s="19"/>
      <c r="QZP26" s="19"/>
      <c r="QZQ26" s="19"/>
      <c r="QZR26" s="19"/>
      <c r="QZS26" s="19"/>
      <c r="QZT26" s="19"/>
      <c r="QZU26" s="19"/>
      <c r="QZV26" s="19"/>
      <c r="QZW26" s="19"/>
      <c r="QZX26" s="19"/>
      <c r="QZY26" s="19"/>
      <c r="QZZ26" s="19"/>
      <c r="RAA26" s="19"/>
      <c r="RAB26" s="19"/>
      <c r="RAC26" s="19"/>
      <c r="RAD26" s="19"/>
      <c r="RAE26" s="19"/>
      <c r="RAF26" s="19"/>
      <c r="RAG26" s="19"/>
      <c r="RAH26" s="19"/>
      <c r="RAI26" s="19"/>
      <c r="RAJ26" s="19"/>
      <c r="RAK26" s="19"/>
      <c r="RAL26" s="19"/>
      <c r="RAM26" s="19"/>
      <c r="RAN26" s="19"/>
      <c r="RAO26" s="19"/>
      <c r="RAP26" s="19"/>
      <c r="RAQ26" s="19"/>
      <c r="RAR26" s="19"/>
      <c r="RAS26" s="19"/>
      <c r="RAT26" s="19"/>
      <c r="RAU26" s="19"/>
      <c r="RAV26" s="19"/>
      <c r="RAW26" s="19"/>
      <c r="RAX26" s="19"/>
      <c r="RAY26" s="19"/>
      <c r="RAZ26" s="19"/>
      <c r="RBA26" s="19"/>
      <c r="RBB26" s="19"/>
      <c r="RBC26" s="19"/>
      <c r="RBD26" s="19"/>
      <c r="RBE26" s="19"/>
      <c r="RBF26" s="19"/>
      <c r="RBG26" s="19"/>
      <c r="RBH26" s="19"/>
      <c r="RBI26" s="19"/>
      <c r="RBJ26" s="19"/>
      <c r="RBK26" s="19"/>
      <c r="RBL26" s="19"/>
      <c r="RBM26" s="19"/>
      <c r="RBN26" s="19"/>
      <c r="RBO26" s="19"/>
      <c r="RBP26" s="19"/>
      <c r="RBQ26" s="19"/>
      <c r="RBR26" s="19"/>
      <c r="RBS26" s="19"/>
      <c r="RBT26" s="19"/>
      <c r="RBU26" s="19"/>
      <c r="RBV26" s="19"/>
      <c r="RBW26" s="19"/>
      <c r="RBX26" s="19"/>
      <c r="RBY26" s="19"/>
      <c r="RBZ26" s="19"/>
      <c r="RCA26" s="19"/>
      <c r="RCB26" s="19"/>
      <c r="RCC26" s="19"/>
      <c r="RCD26" s="19"/>
      <c r="RCE26" s="19"/>
      <c r="RCF26" s="19"/>
      <c r="RCG26" s="19"/>
      <c r="RCH26" s="19"/>
      <c r="RCI26" s="19"/>
      <c r="RCJ26" s="19"/>
      <c r="RCK26" s="19"/>
      <c r="RCL26" s="19"/>
      <c r="RCM26" s="19"/>
      <c r="RCN26" s="19"/>
      <c r="RCO26" s="19"/>
      <c r="RCP26" s="19"/>
      <c r="RCQ26" s="19"/>
      <c r="RCR26" s="19"/>
      <c r="RCS26" s="19"/>
      <c r="RCT26" s="19"/>
      <c r="RCU26" s="19"/>
      <c r="RCV26" s="19"/>
      <c r="RCW26" s="19"/>
      <c r="RCX26" s="19"/>
      <c r="RCY26" s="19"/>
      <c r="RCZ26" s="19"/>
      <c r="RDA26" s="19"/>
      <c r="RDB26" s="19"/>
      <c r="RDC26" s="19"/>
      <c r="RDD26" s="19"/>
      <c r="RDE26" s="19"/>
      <c r="RDF26" s="19"/>
      <c r="RDG26" s="19"/>
      <c r="RDH26" s="19"/>
      <c r="RDI26" s="19"/>
      <c r="RDJ26" s="19"/>
      <c r="RDK26" s="19"/>
      <c r="RDL26" s="19"/>
      <c r="RDM26" s="19"/>
      <c r="RDN26" s="19"/>
      <c r="RDO26" s="19"/>
      <c r="RDP26" s="19"/>
      <c r="RDQ26" s="19"/>
      <c r="RDR26" s="19"/>
      <c r="RDS26" s="19"/>
      <c r="RDT26" s="19"/>
      <c r="RDU26" s="19"/>
      <c r="RDV26" s="19"/>
      <c r="RDW26" s="19"/>
      <c r="RDX26" s="19"/>
      <c r="RDY26" s="19"/>
      <c r="RDZ26" s="19"/>
      <c r="REA26" s="19"/>
      <c r="REB26" s="19"/>
      <c r="REC26" s="19"/>
      <c r="RED26" s="19"/>
      <c r="REE26" s="19"/>
      <c r="REF26" s="19"/>
      <c r="REG26" s="19"/>
      <c r="REH26" s="19"/>
      <c r="REI26" s="19"/>
      <c r="REJ26" s="19"/>
      <c r="REK26" s="19"/>
      <c r="REL26" s="19"/>
      <c r="REM26" s="19"/>
      <c r="REN26" s="19"/>
      <c r="REO26" s="19"/>
      <c r="REP26" s="19"/>
      <c r="REQ26" s="19"/>
      <c r="RER26" s="19"/>
      <c r="RES26" s="19"/>
      <c r="RET26" s="19"/>
      <c r="REU26" s="19"/>
      <c r="REV26" s="19"/>
      <c r="REW26" s="19"/>
      <c r="REX26" s="19"/>
      <c r="REY26" s="19"/>
      <c r="REZ26" s="19"/>
      <c r="RFA26" s="19"/>
      <c r="RFB26" s="19"/>
      <c r="RFC26" s="19"/>
      <c r="RFD26" s="19"/>
      <c r="RFE26" s="19"/>
      <c r="RFF26" s="19"/>
      <c r="RFG26" s="19"/>
      <c r="RFH26" s="19"/>
      <c r="RFI26" s="19"/>
      <c r="RFJ26" s="19"/>
      <c r="RFK26" s="19"/>
      <c r="RFL26" s="19"/>
      <c r="RFM26" s="19"/>
      <c r="RFN26" s="19"/>
      <c r="RFO26" s="19"/>
      <c r="RFP26" s="19"/>
      <c r="RFQ26" s="19"/>
      <c r="RFR26" s="19"/>
      <c r="RFS26" s="19"/>
      <c r="RFT26" s="19"/>
      <c r="RFU26" s="19"/>
      <c r="RFV26" s="19"/>
      <c r="RFW26" s="19"/>
      <c r="RFX26" s="19"/>
      <c r="RFY26" s="19"/>
      <c r="RFZ26" s="19"/>
      <c r="RGA26" s="19"/>
      <c r="RGB26" s="19"/>
      <c r="RGC26" s="19"/>
      <c r="RGD26" s="19"/>
      <c r="RGE26" s="19"/>
      <c r="RGF26" s="19"/>
      <c r="RGG26" s="19"/>
      <c r="RGH26" s="19"/>
      <c r="RGI26" s="19"/>
      <c r="RGJ26" s="19"/>
      <c r="RGK26" s="19"/>
      <c r="RGL26" s="19"/>
      <c r="RGM26" s="19"/>
      <c r="RGN26" s="19"/>
      <c r="RGO26" s="19"/>
      <c r="RGP26" s="19"/>
      <c r="RGQ26" s="19"/>
      <c r="RGR26" s="19"/>
      <c r="RGS26" s="19"/>
      <c r="RGT26" s="19"/>
      <c r="RGU26" s="19"/>
      <c r="RGV26" s="19"/>
      <c r="RGW26" s="19"/>
      <c r="RGX26" s="19"/>
      <c r="RGY26" s="19"/>
      <c r="RGZ26" s="19"/>
      <c r="RHA26" s="19"/>
      <c r="RHB26" s="19"/>
      <c r="RHC26" s="19"/>
      <c r="RHD26" s="19"/>
      <c r="RHE26" s="19"/>
      <c r="RHF26" s="19"/>
      <c r="RHG26" s="19"/>
      <c r="RHH26" s="19"/>
      <c r="RHI26" s="19"/>
      <c r="RHJ26" s="19"/>
      <c r="RHK26" s="19"/>
      <c r="RHL26" s="19"/>
      <c r="RHM26" s="19"/>
      <c r="RHN26" s="19"/>
      <c r="RHO26" s="19"/>
      <c r="RHP26" s="19"/>
      <c r="RHQ26" s="19"/>
      <c r="RHR26" s="19"/>
      <c r="RHS26" s="19"/>
      <c r="RHT26" s="19"/>
      <c r="RHU26" s="19"/>
      <c r="RHV26" s="19"/>
      <c r="RHW26" s="19"/>
      <c r="RHX26" s="19"/>
      <c r="RHY26" s="19"/>
      <c r="RHZ26" s="19"/>
      <c r="RIA26" s="19"/>
      <c r="RIB26" s="19"/>
      <c r="RIC26" s="19"/>
      <c r="RID26" s="19"/>
      <c r="RIE26" s="19"/>
      <c r="RIF26" s="19"/>
      <c r="RIG26" s="19"/>
      <c r="RIH26" s="19"/>
      <c r="RII26" s="19"/>
      <c r="RIJ26" s="19"/>
      <c r="RIK26" s="19"/>
      <c r="RIL26" s="19"/>
      <c r="RIM26" s="19"/>
      <c r="RIN26" s="19"/>
      <c r="RIO26" s="19"/>
      <c r="RIP26" s="19"/>
      <c r="RIQ26" s="19"/>
      <c r="RIR26" s="19"/>
      <c r="RIS26" s="19"/>
      <c r="RIT26" s="19"/>
      <c r="RIU26" s="19"/>
      <c r="RIV26" s="19"/>
      <c r="RIW26" s="19"/>
      <c r="RIX26" s="19"/>
      <c r="RIY26" s="19"/>
      <c r="RIZ26" s="19"/>
      <c r="RJA26" s="19"/>
      <c r="RJB26" s="19"/>
      <c r="RJC26" s="19"/>
      <c r="RJD26" s="19"/>
      <c r="RJE26" s="19"/>
      <c r="RJF26" s="19"/>
      <c r="RJG26" s="19"/>
      <c r="RJH26" s="19"/>
      <c r="RJI26" s="19"/>
      <c r="RJJ26" s="19"/>
      <c r="RJK26" s="19"/>
      <c r="RJL26" s="19"/>
      <c r="RJM26" s="19"/>
      <c r="RJN26" s="19"/>
      <c r="RJO26" s="19"/>
      <c r="RJP26" s="19"/>
      <c r="RJQ26" s="19"/>
      <c r="RJR26" s="19"/>
      <c r="RJS26" s="19"/>
      <c r="RJT26" s="19"/>
      <c r="RJU26" s="19"/>
      <c r="RJV26" s="19"/>
      <c r="RJW26" s="19"/>
      <c r="RJX26" s="19"/>
      <c r="RJY26" s="19"/>
      <c r="RJZ26" s="19"/>
      <c r="RKA26" s="19"/>
      <c r="RKB26" s="19"/>
      <c r="RKC26" s="19"/>
      <c r="RKD26" s="19"/>
      <c r="RKE26" s="19"/>
      <c r="RKF26" s="19"/>
      <c r="RKG26" s="19"/>
      <c r="RKH26" s="19"/>
      <c r="RKI26" s="19"/>
      <c r="RKJ26" s="19"/>
      <c r="RKK26" s="19"/>
      <c r="RKL26" s="19"/>
      <c r="RKM26" s="19"/>
      <c r="RKN26" s="19"/>
      <c r="RKO26" s="19"/>
      <c r="RKP26" s="19"/>
      <c r="RKQ26" s="19"/>
      <c r="RKR26" s="19"/>
      <c r="RKS26" s="19"/>
      <c r="RKT26" s="19"/>
      <c r="RKU26" s="19"/>
      <c r="RKV26" s="19"/>
      <c r="RKW26" s="19"/>
      <c r="RKX26" s="19"/>
      <c r="RKY26" s="19"/>
      <c r="RKZ26" s="19"/>
      <c r="RLA26" s="19"/>
      <c r="RLB26" s="19"/>
      <c r="RLC26" s="19"/>
      <c r="RLD26" s="19"/>
      <c r="RLE26" s="19"/>
      <c r="RLF26" s="19"/>
      <c r="RLG26" s="19"/>
      <c r="RLH26" s="19"/>
      <c r="RLI26" s="19"/>
      <c r="RLJ26" s="19"/>
      <c r="RLK26" s="19"/>
      <c r="RLL26" s="19"/>
      <c r="RLM26" s="19"/>
      <c r="RLN26" s="19"/>
      <c r="RLO26" s="19"/>
      <c r="RLP26" s="19"/>
      <c r="RLQ26" s="19"/>
      <c r="RLR26" s="19"/>
      <c r="RLS26" s="19"/>
      <c r="RLT26" s="19"/>
      <c r="RLU26" s="19"/>
      <c r="RLV26" s="19"/>
      <c r="RLW26" s="19"/>
      <c r="RLX26" s="19"/>
      <c r="RLY26" s="19"/>
      <c r="RLZ26" s="19"/>
      <c r="RMA26" s="19"/>
      <c r="RMB26" s="19"/>
      <c r="RMC26" s="19"/>
      <c r="RMD26" s="19"/>
      <c r="RME26" s="19"/>
      <c r="RMF26" s="19"/>
      <c r="RMG26" s="19"/>
      <c r="RMH26" s="19"/>
      <c r="RMI26" s="19"/>
      <c r="RMJ26" s="19"/>
      <c r="RMK26" s="19"/>
      <c r="RML26" s="19"/>
      <c r="RMM26" s="19"/>
      <c r="RMN26" s="19"/>
      <c r="RMO26" s="19"/>
      <c r="RMP26" s="19"/>
      <c r="RMQ26" s="19"/>
      <c r="RMR26" s="19"/>
      <c r="RMS26" s="19"/>
      <c r="RMT26" s="19"/>
      <c r="RMU26" s="19"/>
      <c r="RMV26" s="19"/>
      <c r="RMW26" s="19"/>
      <c r="RMX26" s="19"/>
      <c r="RMY26" s="19"/>
      <c r="RMZ26" s="19"/>
      <c r="RNA26" s="19"/>
      <c r="RNB26" s="19"/>
      <c r="RNC26" s="19"/>
      <c r="RND26" s="19"/>
      <c r="RNE26" s="19"/>
      <c r="RNF26" s="19"/>
      <c r="RNG26" s="19"/>
      <c r="RNH26" s="19"/>
      <c r="RNI26" s="19"/>
      <c r="RNJ26" s="19"/>
      <c r="RNK26" s="19"/>
      <c r="RNL26" s="19"/>
      <c r="RNM26" s="19"/>
      <c r="RNN26" s="19"/>
      <c r="RNO26" s="19"/>
      <c r="RNP26" s="19"/>
      <c r="RNQ26" s="19"/>
      <c r="RNR26" s="19"/>
      <c r="RNS26" s="19"/>
      <c r="RNT26" s="19"/>
      <c r="RNU26" s="19"/>
      <c r="RNV26" s="19"/>
      <c r="RNW26" s="19"/>
      <c r="RNX26" s="19"/>
      <c r="RNY26" s="19"/>
      <c r="RNZ26" s="19"/>
      <c r="ROA26" s="19"/>
      <c r="ROB26" s="19"/>
      <c r="ROC26" s="19"/>
      <c r="ROD26" s="19"/>
      <c r="ROE26" s="19"/>
      <c r="ROF26" s="19"/>
      <c r="ROG26" s="19"/>
      <c r="ROH26" s="19"/>
      <c r="ROI26" s="19"/>
      <c r="ROJ26" s="19"/>
      <c r="ROK26" s="19"/>
      <c r="ROL26" s="19"/>
      <c r="ROM26" s="19"/>
      <c r="RON26" s="19"/>
      <c r="ROO26" s="19"/>
      <c r="ROP26" s="19"/>
      <c r="ROQ26" s="19"/>
      <c r="ROR26" s="19"/>
      <c r="ROS26" s="19"/>
      <c r="ROT26" s="19"/>
      <c r="ROU26" s="19"/>
      <c r="ROV26" s="19"/>
      <c r="ROW26" s="19"/>
      <c r="ROX26" s="19"/>
      <c r="ROY26" s="19"/>
      <c r="ROZ26" s="19"/>
      <c r="RPA26" s="19"/>
      <c r="RPB26" s="19"/>
      <c r="RPC26" s="19"/>
      <c r="RPD26" s="19"/>
      <c r="RPE26" s="19"/>
      <c r="RPF26" s="19"/>
      <c r="RPG26" s="19"/>
      <c r="RPH26" s="19"/>
      <c r="RPI26" s="19"/>
      <c r="RPJ26" s="19"/>
      <c r="RPK26" s="19"/>
      <c r="RPL26" s="19"/>
      <c r="RPM26" s="19"/>
      <c r="RPN26" s="19"/>
      <c r="RPO26" s="19"/>
      <c r="RPP26" s="19"/>
      <c r="RPQ26" s="19"/>
      <c r="RPR26" s="19"/>
      <c r="RPS26" s="19"/>
      <c r="RPT26" s="19"/>
      <c r="RPU26" s="19"/>
      <c r="RPV26" s="19"/>
      <c r="RPW26" s="19"/>
      <c r="RPX26" s="19"/>
      <c r="RPY26" s="19"/>
      <c r="RPZ26" s="19"/>
      <c r="RQA26" s="19"/>
      <c r="RQB26" s="19"/>
      <c r="RQC26" s="19"/>
      <c r="RQD26" s="19"/>
      <c r="RQE26" s="19"/>
      <c r="RQF26" s="19"/>
      <c r="RQG26" s="19"/>
      <c r="RQH26" s="19"/>
      <c r="RQI26" s="19"/>
      <c r="RQJ26" s="19"/>
      <c r="RQK26" s="19"/>
      <c r="RQL26" s="19"/>
      <c r="RQM26" s="19"/>
      <c r="RQN26" s="19"/>
      <c r="RQO26" s="19"/>
      <c r="RQP26" s="19"/>
      <c r="RQQ26" s="19"/>
      <c r="RQR26" s="19"/>
      <c r="RQS26" s="19"/>
      <c r="RQT26" s="19"/>
      <c r="RQU26" s="19"/>
      <c r="RQV26" s="19"/>
      <c r="RQW26" s="19"/>
      <c r="RQX26" s="19"/>
      <c r="RQY26" s="19"/>
      <c r="RQZ26" s="19"/>
      <c r="RRA26" s="19"/>
      <c r="RRB26" s="19"/>
      <c r="RRC26" s="19"/>
      <c r="RRD26" s="19"/>
      <c r="RRE26" s="19"/>
      <c r="RRF26" s="19"/>
      <c r="RRG26" s="19"/>
      <c r="RRH26" s="19"/>
      <c r="RRI26" s="19"/>
      <c r="RRJ26" s="19"/>
      <c r="RRK26" s="19"/>
      <c r="RRL26" s="19"/>
      <c r="RRM26" s="19"/>
      <c r="RRN26" s="19"/>
      <c r="RRO26" s="19"/>
      <c r="RRP26" s="19"/>
      <c r="RRQ26" s="19"/>
      <c r="RRR26" s="19"/>
      <c r="RRS26" s="19"/>
      <c r="RRT26" s="19"/>
      <c r="RRU26" s="19"/>
      <c r="RRV26" s="19"/>
      <c r="RRW26" s="19"/>
      <c r="RRX26" s="19"/>
      <c r="RRY26" s="19"/>
      <c r="RRZ26" s="19"/>
      <c r="RSA26" s="19"/>
      <c r="RSB26" s="19"/>
      <c r="RSC26" s="19"/>
      <c r="RSD26" s="19"/>
      <c r="RSE26" s="19"/>
      <c r="RSF26" s="19"/>
      <c r="RSG26" s="19"/>
      <c r="RSH26" s="19"/>
      <c r="RSI26" s="19"/>
      <c r="RSJ26" s="19"/>
      <c r="RSK26" s="19"/>
      <c r="RSL26" s="19"/>
      <c r="RSM26" s="19"/>
      <c r="RSN26" s="19"/>
      <c r="RSO26" s="19"/>
      <c r="RSP26" s="19"/>
      <c r="RSQ26" s="19"/>
      <c r="RSR26" s="19"/>
      <c r="RSS26" s="19"/>
      <c r="RST26" s="19"/>
      <c r="RSU26" s="19"/>
      <c r="RSV26" s="19"/>
      <c r="RSW26" s="19"/>
      <c r="RSX26" s="19"/>
      <c r="RSY26" s="19"/>
      <c r="RSZ26" s="19"/>
      <c r="RTA26" s="19"/>
      <c r="RTB26" s="19"/>
      <c r="RTC26" s="19"/>
      <c r="RTD26" s="19"/>
      <c r="RTE26" s="19"/>
      <c r="RTF26" s="19"/>
      <c r="RTG26" s="19"/>
      <c r="RTH26" s="19"/>
      <c r="RTI26" s="19"/>
      <c r="RTJ26" s="19"/>
      <c r="RTK26" s="19"/>
      <c r="RTL26" s="19"/>
      <c r="RTM26" s="19"/>
      <c r="RTN26" s="19"/>
      <c r="RTO26" s="19"/>
      <c r="RTP26" s="19"/>
      <c r="RTQ26" s="19"/>
      <c r="RTR26" s="19"/>
      <c r="RTS26" s="19"/>
      <c r="RTT26" s="19"/>
      <c r="RTU26" s="19"/>
      <c r="RTV26" s="19"/>
      <c r="RTW26" s="19"/>
      <c r="RTX26" s="19"/>
      <c r="RTY26" s="19"/>
      <c r="RTZ26" s="19"/>
      <c r="RUA26" s="19"/>
      <c r="RUB26" s="19"/>
      <c r="RUC26" s="19"/>
      <c r="RUD26" s="19"/>
      <c r="RUE26" s="19"/>
      <c r="RUF26" s="19"/>
      <c r="RUG26" s="19"/>
      <c r="RUH26" s="19"/>
      <c r="RUI26" s="19"/>
      <c r="RUJ26" s="19"/>
      <c r="RUK26" s="19"/>
      <c r="RUL26" s="19"/>
      <c r="RUM26" s="19"/>
      <c r="RUN26" s="19"/>
      <c r="RUO26" s="19"/>
      <c r="RUP26" s="19"/>
      <c r="RUQ26" s="19"/>
      <c r="RUR26" s="19"/>
      <c r="RUS26" s="19"/>
      <c r="RUT26" s="19"/>
      <c r="RUU26" s="19"/>
      <c r="RUV26" s="19"/>
      <c r="RUW26" s="19"/>
      <c r="RUX26" s="19"/>
      <c r="RUY26" s="19"/>
      <c r="RUZ26" s="19"/>
      <c r="RVA26" s="19"/>
      <c r="RVB26" s="19"/>
      <c r="RVC26" s="19"/>
      <c r="RVD26" s="19"/>
      <c r="RVE26" s="19"/>
      <c r="RVF26" s="19"/>
      <c r="RVG26" s="19"/>
      <c r="RVH26" s="19"/>
      <c r="RVI26" s="19"/>
      <c r="RVJ26" s="19"/>
      <c r="RVK26" s="19"/>
      <c r="RVL26" s="19"/>
      <c r="RVM26" s="19"/>
      <c r="RVN26" s="19"/>
      <c r="RVO26" s="19"/>
      <c r="RVP26" s="19"/>
      <c r="RVQ26" s="19"/>
      <c r="RVR26" s="19"/>
      <c r="RVS26" s="19"/>
      <c r="RVT26" s="19"/>
      <c r="RVU26" s="19"/>
      <c r="RVV26" s="19"/>
      <c r="RVW26" s="19"/>
      <c r="RVX26" s="19"/>
      <c r="RVY26" s="19"/>
      <c r="RVZ26" s="19"/>
      <c r="RWA26" s="19"/>
      <c r="RWB26" s="19"/>
      <c r="RWC26" s="19"/>
      <c r="RWD26" s="19"/>
      <c r="RWE26" s="19"/>
      <c r="RWF26" s="19"/>
      <c r="RWG26" s="19"/>
      <c r="RWH26" s="19"/>
      <c r="RWI26" s="19"/>
      <c r="RWJ26" s="19"/>
      <c r="RWK26" s="19"/>
      <c r="RWL26" s="19"/>
      <c r="RWM26" s="19"/>
      <c r="RWN26" s="19"/>
      <c r="RWO26" s="19"/>
      <c r="RWP26" s="19"/>
      <c r="RWQ26" s="19"/>
      <c r="RWR26" s="19"/>
      <c r="RWS26" s="19"/>
      <c r="RWT26" s="19"/>
      <c r="RWU26" s="19"/>
      <c r="RWV26" s="19"/>
      <c r="RWW26" s="19"/>
      <c r="RWX26" s="19"/>
      <c r="RWY26" s="19"/>
      <c r="RWZ26" s="19"/>
      <c r="RXA26" s="19"/>
      <c r="RXB26" s="19"/>
      <c r="RXC26" s="19"/>
      <c r="RXD26" s="19"/>
      <c r="RXE26" s="19"/>
      <c r="RXF26" s="19"/>
      <c r="RXG26" s="19"/>
      <c r="RXH26" s="19"/>
      <c r="RXI26" s="19"/>
      <c r="RXJ26" s="19"/>
      <c r="RXK26" s="19"/>
      <c r="RXL26" s="19"/>
      <c r="RXM26" s="19"/>
      <c r="RXN26" s="19"/>
      <c r="RXO26" s="19"/>
      <c r="RXP26" s="19"/>
      <c r="RXQ26" s="19"/>
      <c r="RXR26" s="19"/>
      <c r="RXS26" s="19"/>
      <c r="RXT26" s="19"/>
      <c r="RXU26" s="19"/>
      <c r="RXV26" s="19"/>
      <c r="RXW26" s="19"/>
      <c r="RXX26" s="19"/>
      <c r="RXY26" s="19"/>
      <c r="RXZ26" s="19"/>
      <c r="RYA26" s="19"/>
      <c r="RYB26" s="19"/>
      <c r="RYC26" s="19"/>
      <c r="RYD26" s="19"/>
      <c r="RYE26" s="19"/>
      <c r="RYF26" s="19"/>
      <c r="RYG26" s="19"/>
      <c r="RYH26" s="19"/>
      <c r="RYI26" s="19"/>
      <c r="RYJ26" s="19"/>
      <c r="RYK26" s="19"/>
      <c r="RYL26" s="19"/>
      <c r="RYM26" s="19"/>
      <c r="RYN26" s="19"/>
      <c r="RYO26" s="19"/>
      <c r="RYP26" s="19"/>
      <c r="RYQ26" s="19"/>
      <c r="RYR26" s="19"/>
      <c r="RYS26" s="19"/>
      <c r="RYT26" s="19"/>
      <c r="RYU26" s="19"/>
      <c r="RYV26" s="19"/>
      <c r="RYW26" s="19"/>
      <c r="RYX26" s="19"/>
      <c r="RYY26" s="19"/>
      <c r="RYZ26" s="19"/>
      <c r="RZA26" s="19"/>
      <c r="RZB26" s="19"/>
      <c r="RZC26" s="19"/>
      <c r="RZD26" s="19"/>
      <c r="RZE26" s="19"/>
      <c r="RZF26" s="19"/>
      <c r="RZG26" s="19"/>
      <c r="RZH26" s="19"/>
      <c r="RZI26" s="19"/>
      <c r="RZJ26" s="19"/>
      <c r="RZK26" s="19"/>
      <c r="RZL26" s="19"/>
      <c r="RZM26" s="19"/>
      <c r="RZN26" s="19"/>
      <c r="RZO26" s="19"/>
      <c r="RZP26" s="19"/>
      <c r="RZQ26" s="19"/>
      <c r="RZR26" s="19"/>
      <c r="RZS26" s="19"/>
      <c r="RZT26" s="19"/>
      <c r="RZU26" s="19"/>
      <c r="RZV26" s="19"/>
      <c r="RZW26" s="19"/>
      <c r="RZX26" s="19"/>
      <c r="RZY26" s="19"/>
      <c r="RZZ26" s="19"/>
      <c r="SAA26" s="19"/>
      <c r="SAB26" s="19"/>
      <c r="SAC26" s="19"/>
      <c r="SAD26" s="19"/>
      <c r="SAE26" s="19"/>
      <c r="SAF26" s="19"/>
      <c r="SAG26" s="19"/>
      <c r="SAH26" s="19"/>
      <c r="SAI26" s="19"/>
      <c r="SAJ26" s="19"/>
      <c r="SAK26" s="19"/>
      <c r="SAL26" s="19"/>
      <c r="SAM26" s="19"/>
      <c r="SAN26" s="19"/>
      <c r="SAO26" s="19"/>
      <c r="SAP26" s="19"/>
      <c r="SAQ26" s="19"/>
      <c r="SAR26" s="19"/>
      <c r="SAS26" s="19"/>
      <c r="SAT26" s="19"/>
      <c r="SAU26" s="19"/>
      <c r="SAV26" s="19"/>
      <c r="SAW26" s="19"/>
      <c r="SAX26" s="19"/>
      <c r="SAY26" s="19"/>
      <c r="SAZ26" s="19"/>
      <c r="SBA26" s="19"/>
      <c r="SBB26" s="19"/>
      <c r="SBC26" s="19"/>
      <c r="SBD26" s="19"/>
      <c r="SBE26" s="19"/>
      <c r="SBF26" s="19"/>
      <c r="SBG26" s="19"/>
      <c r="SBH26" s="19"/>
      <c r="SBI26" s="19"/>
      <c r="SBJ26" s="19"/>
      <c r="SBK26" s="19"/>
      <c r="SBL26" s="19"/>
      <c r="SBM26" s="19"/>
      <c r="SBN26" s="19"/>
      <c r="SBO26" s="19"/>
      <c r="SBP26" s="19"/>
      <c r="SBQ26" s="19"/>
      <c r="SBR26" s="19"/>
      <c r="SBS26" s="19"/>
      <c r="SBT26" s="19"/>
      <c r="SBU26" s="19"/>
      <c r="SBV26" s="19"/>
      <c r="SBW26" s="19"/>
      <c r="SBX26" s="19"/>
      <c r="SBY26" s="19"/>
      <c r="SBZ26" s="19"/>
      <c r="SCA26" s="19"/>
      <c r="SCB26" s="19"/>
      <c r="SCC26" s="19"/>
      <c r="SCD26" s="19"/>
      <c r="SCE26" s="19"/>
      <c r="SCF26" s="19"/>
      <c r="SCG26" s="19"/>
      <c r="SCH26" s="19"/>
      <c r="SCI26" s="19"/>
      <c r="SCJ26" s="19"/>
      <c r="SCK26" s="19"/>
      <c r="SCL26" s="19"/>
      <c r="SCM26" s="19"/>
      <c r="SCN26" s="19"/>
      <c r="SCO26" s="19"/>
      <c r="SCP26" s="19"/>
      <c r="SCQ26" s="19"/>
      <c r="SCR26" s="19"/>
      <c r="SCS26" s="19"/>
      <c r="SCT26" s="19"/>
      <c r="SCU26" s="19"/>
      <c r="SCV26" s="19"/>
      <c r="SCW26" s="19"/>
      <c r="SCX26" s="19"/>
      <c r="SCY26" s="19"/>
      <c r="SCZ26" s="19"/>
      <c r="SDA26" s="19"/>
      <c r="SDB26" s="19"/>
      <c r="SDC26" s="19"/>
      <c r="SDD26" s="19"/>
      <c r="SDE26" s="19"/>
      <c r="SDF26" s="19"/>
      <c r="SDG26" s="19"/>
      <c r="SDH26" s="19"/>
      <c r="SDI26" s="19"/>
      <c r="SDJ26" s="19"/>
      <c r="SDK26" s="19"/>
      <c r="SDL26" s="19"/>
      <c r="SDM26" s="19"/>
      <c r="SDN26" s="19"/>
      <c r="SDO26" s="19"/>
      <c r="SDP26" s="19"/>
      <c r="SDQ26" s="19"/>
      <c r="SDR26" s="19"/>
      <c r="SDS26" s="19"/>
      <c r="SDT26" s="19"/>
      <c r="SDU26" s="19"/>
      <c r="SDV26" s="19"/>
      <c r="SDW26" s="19"/>
      <c r="SDX26" s="19"/>
      <c r="SDY26" s="19"/>
      <c r="SDZ26" s="19"/>
      <c r="SEA26" s="19"/>
      <c r="SEB26" s="19"/>
      <c r="SEC26" s="19"/>
      <c r="SED26" s="19"/>
      <c r="SEE26" s="19"/>
      <c r="SEF26" s="19"/>
      <c r="SEG26" s="19"/>
      <c r="SEH26" s="19"/>
      <c r="SEI26" s="19"/>
      <c r="SEJ26" s="19"/>
      <c r="SEK26" s="19"/>
      <c r="SEL26" s="19"/>
      <c r="SEM26" s="19"/>
      <c r="SEN26" s="19"/>
      <c r="SEO26" s="19"/>
      <c r="SEP26" s="19"/>
      <c r="SEQ26" s="19"/>
      <c r="SER26" s="19"/>
      <c r="SES26" s="19"/>
      <c r="SET26" s="19"/>
      <c r="SEU26" s="19"/>
      <c r="SEV26" s="19"/>
      <c r="SEW26" s="19"/>
      <c r="SEX26" s="19"/>
      <c r="SEY26" s="19"/>
      <c r="SEZ26" s="19"/>
      <c r="SFA26" s="19"/>
      <c r="SFB26" s="19"/>
      <c r="SFC26" s="19"/>
      <c r="SFD26" s="19"/>
      <c r="SFE26" s="19"/>
      <c r="SFF26" s="19"/>
      <c r="SFG26" s="19"/>
      <c r="SFH26" s="19"/>
      <c r="SFI26" s="19"/>
      <c r="SFJ26" s="19"/>
      <c r="SFK26" s="19"/>
      <c r="SFL26" s="19"/>
      <c r="SFM26" s="19"/>
      <c r="SFN26" s="19"/>
      <c r="SFO26" s="19"/>
      <c r="SFP26" s="19"/>
      <c r="SFQ26" s="19"/>
      <c r="SFR26" s="19"/>
      <c r="SFS26" s="19"/>
      <c r="SFT26" s="19"/>
      <c r="SFU26" s="19"/>
      <c r="SFV26" s="19"/>
      <c r="SFW26" s="19"/>
      <c r="SFX26" s="19"/>
      <c r="SFY26" s="19"/>
      <c r="SFZ26" s="19"/>
      <c r="SGA26" s="19"/>
      <c r="SGB26" s="19"/>
      <c r="SGC26" s="19"/>
      <c r="SGD26" s="19"/>
      <c r="SGE26" s="19"/>
      <c r="SGF26" s="19"/>
      <c r="SGG26" s="19"/>
      <c r="SGH26" s="19"/>
      <c r="SGI26" s="19"/>
      <c r="SGJ26" s="19"/>
      <c r="SGK26" s="19"/>
      <c r="SGL26" s="19"/>
      <c r="SGM26" s="19"/>
      <c r="SGN26" s="19"/>
      <c r="SGO26" s="19"/>
      <c r="SGP26" s="19"/>
      <c r="SGQ26" s="19"/>
      <c r="SGR26" s="19"/>
      <c r="SGS26" s="19"/>
      <c r="SGT26" s="19"/>
      <c r="SGU26" s="19"/>
      <c r="SGV26" s="19"/>
      <c r="SGW26" s="19"/>
      <c r="SGX26" s="19"/>
      <c r="SGY26" s="19"/>
      <c r="SGZ26" s="19"/>
      <c r="SHA26" s="19"/>
      <c r="SHB26" s="19"/>
      <c r="SHC26" s="19"/>
      <c r="SHD26" s="19"/>
      <c r="SHE26" s="19"/>
      <c r="SHF26" s="19"/>
      <c r="SHG26" s="19"/>
      <c r="SHH26" s="19"/>
      <c r="SHI26" s="19"/>
      <c r="SHJ26" s="19"/>
      <c r="SHK26" s="19"/>
      <c r="SHL26" s="19"/>
      <c r="SHM26" s="19"/>
      <c r="SHN26" s="19"/>
      <c r="SHO26" s="19"/>
      <c r="SHP26" s="19"/>
      <c r="SHQ26" s="19"/>
      <c r="SHR26" s="19"/>
      <c r="SHS26" s="19"/>
      <c r="SHT26" s="19"/>
      <c r="SHU26" s="19"/>
      <c r="SHV26" s="19"/>
      <c r="SHW26" s="19"/>
      <c r="SHX26" s="19"/>
      <c r="SHY26" s="19"/>
      <c r="SHZ26" s="19"/>
      <c r="SIA26" s="19"/>
      <c r="SIB26" s="19"/>
      <c r="SIC26" s="19"/>
      <c r="SID26" s="19"/>
      <c r="SIE26" s="19"/>
      <c r="SIF26" s="19"/>
      <c r="SIG26" s="19"/>
      <c r="SIH26" s="19"/>
      <c r="SII26" s="19"/>
      <c r="SIJ26" s="19"/>
      <c r="SIK26" s="19"/>
      <c r="SIL26" s="19"/>
      <c r="SIM26" s="19"/>
      <c r="SIN26" s="19"/>
      <c r="SIO26" s="19"/>
      <c r="SIP26" s="19"/>
      <c r="SIQ26" s="19"/>
      <c r="SIR26" s="19"/>
      <c r="SIS26" s="19"/>
      <c r="SIT26" s="19"/>
      <c r="SIU26" s="19"/>
      <c r="SIV26" s="19"/>
      <c r="SIW26" s="19"/>
      <c r="SIX26" s="19"/>
      <c r="SIY26" s="19"/>
      <c r="SIZ26" s="19"/>
      <c r="SJA26" s="19"/>
      <c r="SJB26" s="19"/>
      <c r="SJC26" s="19"/>
      <c r="SJD26" s="19"/>
      <c r="SJE26" s="19"/>
      <c r="SJF26" s="19"/>
      <c r="SJG26" s="19"/>
      <c r="SJH26" s="19"/>
      <c r="SJI26" s="19"/>
      <c r="SJJ26" s="19"/>
      <c r="SJK26" s="19"/>
      <c r="SJL26" s="19"/>
      <c r="SJM26" s="19"/>
      <c r="SJN26" s="19"/>
      <c r="SJO26" s="19"/>
      <c r="SJP26" s="19"/>
      <c r="SJQ26" s="19"/>
      <c r="SJR26" s="19"/>
      <c r="SJS26" s="19"/>
      <c r="SJT26" s="19"/>
      <c r="SJU26" s="19"/>
      <c r="SJV26" s="19"/>
      <c r="SJW26" s="19"/>
      <c r="SJX26" s="19"/>
      <c r="SJY26" s="19"/>
      <c r="SJZ26" s="19"/>
      <c r="SKA26" s="19"/>
      <c r="SKB26" s="19"/>
      <c r="SKC26" s="19"/>
      <c r="SKD26" s="19"/>
      <c r="SKE26" s="19"/>
      <c r="SKF26" s="19"/>
      <c r="SKG26" s="19"/>
      <c r="SKH26" s="19"/>
      <c r="SKI26" s="19"/>
      <c r="SKJ26" s="19"/>
      <c r="SKK26" s="19"/>
      <c r="SKL26" s="19"/>
      <c r="SKM26" s="19"/>
      <c r="SKN26" s="19"/>
      <c r="SKO26" s="19"/>
      <c r="SKP26" s="19"/>
      <c r="SKQ26" s="19"/>
      <c r="SKR26" s="19"/>
      <c r="SKS26" s="19"/>
      <c r="SKT26" s="19"/>
      <c r="SKU26" s="19"/>
      <c r="SKV26" s="19"/>
      <c r="SKW26" s="19"/>
      <c r="SKX26" s="19"/>
      <c r="SKY26" s="19"/>
      <c r="SKZ26" s="19"/>
      <c r="SLA26" s="19"/>
      <c r="SLB26" s="19"/>
      <c r="SLC26" s="19"/>
      <c r="SLD26" s="19"/>
      <c r="SLE26" s="19"/>
      <c r="SLF26" s="19"/>
      <c r="SLG26" s="19"/>
      <c r="SLH26" s="19"/>
      <c r="SLI26" s="19"/>
      <c r="SLJ26" s="19"/>
      <c r="SLK26" s="19"/>
      <c r="SLL26" s="19"/>
      <c r="SLM26" s="19"/>
      <c r="SLN26" s="19"/>
      <c r="SLO26" s="19"/>
      <c r="SLP26" s="19"/>
      <c r="SLQ26" s="19"/>
      <c r="SLR26" s="19"/>
      <c r="SLS26" s="19"/>
      <c r="SLT26" s="19"/>
      <c r="SLU26" s="19"/>
      <c r="SLV26" s="19"/>
      <c r="SLW26" s="19"/>
      <c r="SLX26" s="19"/>
      <c r="SLY26" s="19"/>
      <c r="SLZ26" s="19"/>
      <c r="SMA26" s="19"/>
      <c r="SMB26" s="19"/>
      <c r="SMC26" s="19"/>
      <c r="SMD26" s="19"/>
      <c r="SME26" s="19"/>
      <c r="SMF26" s="19"/>
      <c r="SMG26" s="19"/>
      <c r="SMH26" s="19"/>
      <c r="SMI26" s="19"/>
      <c r="SMJ26" s="19"/>
      <c r="SMK26" s="19"/>
      <c r="SML26" s="19"/>
      <c r="SMM26" s="19"/>
      <c r="SMN26" s="19"/>
      <c r="SMO26" s="19"/>
      <c r="SMP26" s="19"/>
      <c r="SMQ26" s="19"/>
      <c r="SMR26" s="19"/>
      <c r="SMS26" s="19"/>
      <c r="SMT26" s="19"/>
      <c r="SMU26" s="19"/>
      <c r="SMV26" s="19"/>
      <c r="SMW26" s="19"/>
      <c r="SMX26" s="19"/>
      <c r="SMY26" s="19"/>
      <c r="SMZ26" s="19"/>
      <c r="SNA26" s="19"/>
      <c r="SNB26" s="19"/>
      <c r="SNC26" s="19"/>
      <c r="SND26" s="19"/>
      <c r="SNE26" s="19"/>
      <c r="SNF26" s="19"/>
      <c r="SNG26" s="19"/>
      <c r="SNH26" s="19"/>
      <c r="SNI26" s="19"/>
      <c r="SNJ26" s="19"/>
      <c r="SNK26" s="19"/>
      <c r="SNL26" s="19"/>
      <c r="SNM26" s="19"/>
      <c r="SNN26" s="19"/>
      <c r="SNO26" s="19"/>
      <c r="SNP26" s="19"/>
      <c r="SNQ26" s="19"/>
      <c r="SNR26" s="19"/>
      <c r="SNS26" s="19"/>
      <c r="SNT26" s="19"/>
      <c r="SNU26" s="19"/>
      <c r="SNV26" s="19"/>
      <c r="SNW26" s="19"/>
      <c r="SNX26" s="19"/>
      <c r="SNY26" s="19"/>
      <c r="SNZ26" s="19"/>
      <c r="SOA26" s="19"/>
      <c r="SOB26" s="19"/>
      <c r="SOC26" s="19"/>
      <c r="SOD26" s="19"/>
      <c r="SOE26" s="19"/>
      <c r="SOF26" s="19"/>
      <c r="SOG26" s="19"/>
      <c r="SOH26" s="19"/>
      <c r="SOI26" s="19"/>
      <c r="SOJ26" s="19"/>
      <c r="SOK26" s="19"/>
      <c r="SOL26" s="19"/>
      <c r="SOM26" s="19"/>
      <c r="SON26" s="19"/>
      <c r="SOO26" s="19"/>
      <c r="SOP26" s="19"/>
      <c r="SOQ26" s="19"/>
      <c r="SOR26" s="19"/>
      <c r="SOS26" s="19"/>
      <c r="SOT26" s="19"/>
      <c r="SOU26" s="19"/>
      <c r="SOV26" s="19"/>
      <c r="SOW26" s="19"/>
      <c r="SOX26" s="19"/>
      <c r="SOY26" s="19"/>
      <c r="SOZ26" s="19"/>
      <c r="SPA26" s="19"/>
      <c r="SPB26" s="19"/>
      <c r="SPC26" s="19"/>
      <c r="SPD26" s="19"/>
      <c r="SPE26" s="19"/>
      <c r="SPF26" s="19"/>
      <c r="SPG26" s="19"/>
      <c r="SPH26" s="19"/>
      <c r="SPI26" s="19"/>
      <c r="SPJ26" s="19"/>
      <c r="SPK26" s="19"/>
      <c r="SPL26" s="19"/>
      <c r="SPM26" s="19"/>
      <c r="SPN26" s="19"/>
      <c r="SPO26" s="19"/>
      <c r="SPP26" s="19"/>
      <c r="SPQ26" s="19"/>
      <c r="SPR26" s="19"/>
      <c r="SPS26" s="19"/>
      <c r="SPT26" s="19"/>
      <c r="SPU26" s="19"/>
      <c r="SPV26" s="19"/>
      <c r="SPW26" s="19"/>
      <c r="SPX26" s="19"/>
      <c r="SPY26" s="19"/>
      <c r="SPZ26" s="19"/>
      <c r="SQA26" s="19"/>
      <c r="SQB26" s="19"/>
      <c r="SQC26" s="19"/>
      <c r="SQD26" s="19"/>
      <c r="SQE26" s="19"/>
      <c r="SQF26" s="19"/>
      <c r="SQG26" s="19"/>
      <c r="SQH26" s="19"/>
      <c r="SQI26" s="19"/>
      <c r="SQJ26" s="19"/>
      <c r="SQK26" s="19"/>
      <c r="SQL26" s="19"/>
      <c r="SQM26" s="19"/>
      <c r="SQN26" s="19"/>
      <c r="SQO26" s="19"/>
      <c r="SQP26" s="19"/>
      <c r="SQQ26" s="19"/>
      <c r="SQR26" s="19"/>
      <c r="SQS26" s="19"/>
      <c r="SQT26" s="19"/>
      <c r="SQU26" s="19"/>
      <c r="SQV26" s="19"/>
      <c r="SQW26" s="19"/>
      <c r="SQX26" s="19"/>
      <c r="SQY26" s="19"/>
      <c r="SQZ26" s="19"/>
      <c r="SRA26" s="19"/>
      <c r="SRB26" s="19"/>
      <c r="SRC26" s="19"/>
      <c r="SRD26" s="19"/>
      <c r="SRE26" s="19"/>
      <c r="SRF26" s="19"/>
      <c r="SRG26" s="19"/>
      <c r="SRH26" s="19"/>
      <c r="SRI26" s="19"/>
      <c r="SRJ26" s="19"/>
      <c r="SRK26" s="19"/>
      <c r="SRL26" s="19"/>
      <c r="SRM26" s="19"/>
      <c r="SRN26" s="19"/>
      <c r="SRO26" s="19"/>
      <c r="SRP26" s="19"/>
      <c r="SRQ26" s="19"/>
      <c r="SRR26" s="19"/>
      <c r="SRS26" s="19"/>
      <c r="SRT26" s="19"/>
      <c r="SRU26" s="19"/>
      <c r="SRV26" s="19"/>
      <c r="SRW26" s="19"/>
      <c r="SRX26" s="19"/>
      <c r="SRY26" s="19"/>
      <c r="SRZ26" s="19"/>
      <c r="SSA26" s="19"/>
      <c r="SSB26" s="19"/>
      <c r="SSC26" s="19"/>
      <c r="SSD26" s="19"/>
      <c r="SSE26" s="19"/>
      <c r="SSF26" s="19"/>
      <c r="SSG26" s="19"/>
      <c r="SSH26" s="19"/>
      <c r="SSI26" s="19"/>
      <c r="SSJ26" s="19"/>
      <c r="SSK26" s="19"/>
      <c r="SSL26" s="19"/>
      <c r="SSM26" s="19"/>
      <c r="SSN26" s="19"/>
      <c r="SSO26" s="19"/>
      <c r="SSP26" s="19"/>
      <c r="SSQ26" s="19"/>
      <c r="SSR26" s="19"/>
      <c r="SSS26" s="19"/>
      <c r="SST26" s="19"/>
      <c r="SSU26" s="19"/>
      <c r="SSV26" s="19"/>
      <c r="SSW26" s="19"/>
      <c r="SSX26" s="19"/>
      <c r="SSY26" s="19"/>
      <c r="SSZ26" s="19"/>
      <c r="STA26" s="19"/>
      <c r="STB26" s="19"/>
      <c r="STC26" s="19"/>
      <c r="STD26" s="19"/>
      <c r="STE26" s="19"/>
      <c r="STF26" s="19"/>
      <c r="STG26" s="19"/>
      <c r="STH26" s="19"/>
      <c r="STI26" s="19"/>
      <c r="STJ26" s="19"/>
      <c r="STK26" s="19"/>
      <c r="STL26" s="19"/>
      <c r="STM26" s="19"/>
      <c r="STN26" s="19"/>
      <c r="STO26" s="19"/>
      <c r="STP26" s="19"/>
      <c r="STQ26" s="19"/>
      <c r="STR26" s="19"/>
      <c r="STS26" s="19"/>
      <c r="STT26" s="19"/>
      <c r="STU26" s="19"/>
      <c r="STV26" s="19"/>
      <c r="STW26" s="19"/>
      <c r="STX26" s="19"/>
      <c r="STY26" s="19"/>
      <c r="STZ26" s="19"/>
      <c r="SUA26" s="19"/>
      <c r="SUB26" s="19"/>
      <c r="SUC26" s="19"/>
      <c r="SUD26" s="19"/>
      <c r="SUE26" s="19"/>
      <c r="SUF26" s="19"/>
      <c r="SUG26" s="19"/>
      <c r="SUH26" s="19"/>
      <c r="SUI26" s="19"/>
      <c r="SUJ26" s="19"/>
      <c r="SUK26" s="19"/>
      <c r="SUL26" s="19"/>
      <c r="SUM26" s="19"/>
      <c r="SUN26" s="19"/>
      <c r="SUO26" s="19"/>
      <c r="SUP26" s="19"/>
      <c r="SUQ26" s="19"/>
      <c r="SUR26" s="19"/>
      <c r="SUS26" s="19"/>
      <c r="SUT26" s="19"/>
      <c r="SUU26" s="19"/>
      <c r="SUV26" s="19"/>
      <c r="SUW26" s="19"/>
      <c r="SUX26" s="19"/>
      <c r="SUY26" s="19"/>
      <c r="SUZ26" s="19"/>
      <c r="SVA26" s="19"/>
      <c r="SVB26" s="19"/>
      <c r="SVC26" s="19"/>
      <c r="SVD26" s="19"/>
      <c r="SVE26" s="19"/>
      <c r="SVF26" s="19"/>
      <c r="SVG26" s="19"/>
      <c r="SVH26" s="19"/>
      <c r="SVI26" s="19"/>
      <c r="SVJ26" s="19"/>
      <c r="SVK26" s="19"/>
      <c r="SVL26" s="19"/>
      <c r="SVM26" s="19"/>
      <c r="SVN26" s="19"/>
      <c r="SVO26" s="19"/>
      <c r="SVP26" s="19"/>
      <c r="SVQ26" s="19"/>
      <c r="SVR26" s="19"/>
      <c r="SVS26" s="19"/>
      <c r="SVT26" s="19"/>
      <c r="SVU26" s="19"/>
      <c r="SVV26" s="19"/>
      <c r="SVW26" s="19"/>
      <c r="SVX26" s="19"/>
      <c r="SVY26" s="19"/>
      <c r="SVZ26" s="19"/>
      <c r="SWA26" s="19"/>
      <c r="SWB26" s="19"/>
      <c r="SWC26" s="19"/>
      <c r="SWD26" s="19"/>
      <c r="SWE26" s="19"/>
      <c r="SWF26" s="19"/>
      <c r="SWG26" s="19"/>
      <c r="SWH26" s="19"/>
      <c r="SWI26" s="19"/>
      <c r="SWJ26" s="19"/>
      <c r="SWK26" s="19"/>
      <c r="SWL26" s="19"/>
      <c r="SWM26" s="19"/>
      <c r="SWN26" s="19"/>
      <c r="SWO26" s="19"/>
      <c r="SWP26" s="19"/>
      <c r="SWQ26" s="19"/>
      <c r="SWR26" s="19"/>
      <c r="SWS26" s="19"/>
      <c r="SWT26" s="19"/>
      <c r="SWU26" s="19"/>
      <c r="SWV26" s="19"/>
      <c r="SWW26" s="19"/>
      <c r="SWX26" s="19"/>
      <c r="SWY26" s="19"/>
      <c r="SWZ26" s="19"/>
      <c r="SXA26" s="19"/>
      <c r="SXB26" s="19"/>
      <c r="SXC26" s="19"/>
      <c r="SXD26" s="19"/>
      <c r="SXE26" s="19"/>
      <c r="SXF26" s="19"/>
      <c r="SXG26" s="19"/>
      <c r="SXH26" s="19"/>
      <c r="SXI26" s="19"/>
      <c r="SXJ26" s="19"/>
      <c r="SXK26" s="19"/>
      <c r="SXL26" s="19"/>
      <c r="SXM26" s="19"/>
      <c r="SXN26" s="19"/>
      <c r="SXO26" s="19"/>
      <c r="SXP26" s="19"/>
      <c r="SXQ26" s="19"/>
      <c r="SXR26" s="19"/>
      <c r="SXS26" s="19"/>
      <c r="SXT26" s="19"/>
      <c r="SXU26" s="19"/>
      <c r="SXV26" s="19"/>
      <c r="SXW26" s="19"/>
      <c r="SXX26" s="19"/>
      <c r="SXY26" s="19"/>
      <c r="SXZ26" s="19"/>
      <c r="SYA26" s="19"/>
      <c r="SYB26" s="19"/>
      <c r="SYC26" s="19"/>
      <c r="SYD26" s="19"/>
      <c r="SYE26" s="19"/>
      <c r="SYF26" s="19"/>
      <c r="SYG26" s="19"/>
      <c r="SYH26" s="19"/>
      <c r="SYI26" s="19"/>
      <c r="SYJ26" s="19"/>
      <c r="SYK26" s="19"/>
      <c r="SYL26" s="19"/>
      <c r="SYM26" s="19"/>
      <c r="SYN26" s="19"/>
      <c r="SYO26" s="19"/>
      <c r="SYP26" s="19"/>
      <c r="SYQ26" s="19"/>
      <c r="SYR26" s="19"/>
      <c r="SYS26" s="19"/>
      <c r="SYT26" s="19"/>
      <c r="SYU26" s="19"/>
      <c r="SYV26" s="19"/>
      <c r="SYW26" s="19"/>
      <c r="SYX26" s="19"/>
      <c r="SYY26" s="19"/>
      <c r="SYZ26" s="19"/>
      <c r="SZA26" s="19"/>
      <c r="SZB26" s="19"/>
      <c r="SZC26" s="19"/>
      <c r="SZD26" s="19"/>
      <c r="SZE26" s="19"/>
      <c r="SZF26" s="19"/>
      <c r="SZG26" s="19"/>
      <c r="SZH26" s="19"/>
      <c r="SZI26" s="19"/>
      <c r="SZJ26" s="19"/>
      <c r="SZK26" s="19"/>
      <c r="SZL26" s="19"/>
      <c r="SZM26" s="19"/>
      <c r="SZN26" s="19"/>
      <c r="SZO26" s="19"/>
      <c r="SZP26" s="19"/>
      <c r="SZQ26" s="19"/>
      <c r="SZR26" s="19"/>
      <c r="SZS26" s="19"/>
      <c r="SZT26" s="19"/>
      <c r="SZU26" s="19"/>
      <c r="SZV26" s="19"/>
      <c r="SZW26" s="19"/>
      <c r="SZX26" s="19"/>
      <c r="SZY26" s="19"/>
      <c r="SZZ26" s="19"/>
      <c r="TAA26" s="19"/>
      <c r="TAB26" s="19"/>
      <c r="TAC26" s="19"/>
      <c r="TAD26" s="19"/>
      <c r="TAE26" s="19"/>
      <c r="TAF26" s="19"/>
      <c r="TAG26" s="19"/>
      <c r="TAH26" s="19"/>
      <c r="TAI26" s="19"/>
      <c r="TAJ26" s="19"/>
      <c r="TAK26" s="19"/>
      <c r="TAL26" s="19"/>
      <c r="TAM26" s="19"/>
      <c r="TAN26" s="19"/>
      <c r="TAO26" s="19"/>
      <c r="TAP26" s="19"/>
      <c r="TAQ26" s="19"/>
      <c r="TAR26" s="19"/>
      <c r="TAS26" s="19"/>
      <c r="TAT26" s="19"/>
      <c r="TAU26" s="19"/>
      <c r="TAV26" s="19"/>
      <c r="TAW26" s="19"/>
      <c r="TAX26" s="19"/>
      <c r="TAY26" s="19"/>
      <c r="TAZ26" s="19"/>
      <c r="TBA26" s="19"/>
      <c r="TBB26" s="19"/>
      <c r="TBC26" s="19"/>
      <c r="TBD26" s="19"/>
      <c r="TBE26" s="19"/>
      <c r="TBF26" s="19"/>
      <c r="TBG26" s="19"/>
      <c r="TBH26" s="19"/>
      <c r="TBI26" s="19"/>
      <c r="TBJ26" s="19"/>
      <c r="TBK26" s="19"/>
      <c r="TBL26" s="19"/>
      <c r="TBM26" s="19"/>
      <c r="TBN26" s="19"/>
      <c r="TBO26" s="19"/>
      <c r="TBP26" s="19"/>
      <c r="TBQ26" s="19"/>
      <c r="TBR26" s="19"/>
      <c r="TBS26" s="19"/>
      <c r="TBT26" s="19"/>
      <c r="TBU26" s="19"/>
      <c r="TBV26" s="19"/>
      <c r="TBW26" s="19"/>
      <c r="TBX26" s="19"/>
      <c r="TBY26" s="19"/>
      <c r="TBZ26" s="19"/>
      <c r="TCA26" s="19"/>
      <c r="TCB26" s="19"/>
      <c r="TCC26" s="19"/>
      <c r="TCD26" s="19"/>
      <c r="TCE26" s="19"/>
      <c r="TCF26" s="19"/>
      <c r="TCG26" s="19"/>
      <c r="TCH26" s="19"/>
      <c r="TCI26" s="19"/>
      <c r="TCJ26" s="19"/>
      <c r="TCK26" s="19"/>
      <c r="TCL26" s="19"/>
      <c r="TCM26" s="19"/>
      <c r="TCN26" s="19"/>
      <c r="TCO26" s="19"/>
      <c r="TCP26" s="19"/>
      <c r="TCQ26" s="19"/>
      <c r="TCR26" s="19"/>
      <c r="TCS26" s="19"/>
      <c r="TCT26" s="19"/>
      <c r="TCU26" s="19"/>
      <c r="TCV26" s="19"/>
      <c r="TCW26" s="19"/>
      <c r="TCX26" s="19"/>
      <c r="TCY26" s="19"/>
      <c r="TCZ26" s="19"/>
      <c r="TDA26" s="19"/>
      <c r="TDB26" s="19"/>
      <c r="TDC26" s="19"/>
      <c r="TDD26" s="19"/>
      <c r="TDE26" s="19"/>
      <c r="TDF26" s="19"/>
      <c r="TDG26" s="19"/>
      <c r="TDH26" s="19"/>
      <c r="TDI26" s="19"/>
      <c r="TDJ26" s="19"/>
      <c r="TDK26" s="19"/>
      <c r="TDL26" s="19"/>
      <c r="TDM26" s="19"/>
      <c r="TDN26" s="19"/>
      <c r="TDO26" s="19"/>
      <c r="TDP26" s="19"/>
      <c r="TDQ26" s="19"/>
      <c r="TDR26" s="19"/>
      <c r="TDS26" s="19"/>
      <c r="TDT26" s="19"/>
      <c r="TDU26" s="19"/>
      <c r="TDV26" s="19"/>
      <c r="TDW26" s="19"/>
      <c r="TDX26" s="19"/>
      <c r="TDY26" s="19"/>
      <c r="TDZ26" s="19"/>
      <c r="TEA26" s="19"/>
      <c r="TEB26" s="19"/>
      <c r="TEC26" s="19"/>
      <c r="TED26" s="19"/>
      <c r="TEE26" s="19"/>
      <c r="TEF26" s="19"/>
      <c r="TEG26" s="19"/>
      <c r="TEH26" s="19"/>
      <c r="TEI26" s="19"/>
      <c r="TEJ26" s="19"/>
      <c r="TEK26" s="19"/>
      <c r="TEL26" s="19"/>
      <c r="TEM26" s="19"/>
      <c r="TEN26" s="19"/>
      <c r="TEO26" s="19"/>
      <c r="TEP26" s="19"/>
      <c r="TEQ26" s="19"/>
      <c r="TER26" s="19"/>
      <c r="TES26" s="19"/>
      <c r="TET26" s="19"/>
      <c r="TEU26" s="19"/>
      <c r="TEV26" s="19"/>
      <c r="TEW26" s="19"/>
      <c r="TEX26" s="19"/>
      <c r="TEY26" s="19"/>
      <c r="TEZ26" s="19"/>
      <c r="TFA26" s="19"/>
      <c r="TFB26" s="19"/>
      <c r="TFC26" s="19"/>
      <c r="TFD26" s="19"/>
      <c r="TFE26" s="19"/>
      <c r="TFF26" s="19"/>
      <c r="TFG26" s="19"/>
      <c r="TFH26" s="19"/>
      <c r="TFI26" s="19"/>
      <c r="TFJ26" s="19"/>
      <c r="TFK26" s="19"/>
      <c r="TFL26" s="19"/>
      <c r="TFM26" s="19"/>
      <c r="TFN26" s="19"/>
      <c r="TFO26" s="19"/>
      <c r="TFP26" s="19"/>
      <c r="TFQ26" s="19"/>
      <c r="TFR26" s="19"/>
      <c r="TFS26" s="19"/>
      <c r="TFT26" s="19"/>
      <c r="TFU26" s="19"/>
      <c r="TFV26" s="19"/>
      <c r="TFW26" s="19"/>
      <c r="TFX26" s="19"/>
      <c r="TFY26" s="19"/>
      <c r="TFZ26" s="19"/>
      <c r="TGA26" s="19"/>
      <c r="TGB26" s="19"/>
      <c r="TGC26" s="19"/>
      <c r="TGD26" s="19"/>
      <c r="TGE26" s="19"/>
      <c r="TGF26" s="19"/>
      <c r="TGG26" s="19"/>
      <c r="TGH26" s="19"/>
      <c r="TGI26" s="19"/>
      <c r="TGJ26" s="19"/>
      <c r="TGK26" s="19"/>
      <c r="TGL26" s="19"/>
      <c r="TGM26" s="19"/>
      <c r="TGN26" s="19"/>
      <c r="TGO26" s="19"/>
      <c r="TGP26" s="19"/>
      <c r="TGQ26" s="19"/>
      <c r="TGR26" s="19"/>
      <c r="TGS26" s="19"/>
      <c r="TGT26" s="19"/>
      <c r="TGU26" s="19"/>
      <c r="TGV26" s="19"/>
      <c r="TGW26" s="19"/>
      <c r="TGX26" s="19"/>
      <c r="TGY26" s="19"/>
      <c r="TGZ26" s="19"/>
      <c r="THA26" s="19"/>
      <c r="THB26" s="19"/>
      <c r="THC26" s="19"/>
      <c r="THD26" s="19"/>
      <c r="THE26" s="19"/>
      <c r="THF26" s="19"/>
      <c r="THG26" s="19"/>
      <c r="THH26" s="19"/>
      <c r="THI26" s="19"/>
      <c r="THJ26" s="19"/>
      <c r="THK26" s="19"/>
      <c r="THL26" s="19"/>
      <c r="THM26" s="19"/>
      <c r="THN26" s="19"/>
      <c r="THO26" s="19"/>
      <c r="THP26" s="19"/>
      <c r="THQ26" s="19"/>
      <c r="THR26" s="19"/>
      <c r="THS26" s="19"/>
      <c r="THT26" s="19"/>
      <c r="THU26" s="19"/>
      <c r="THV26" s="19"/>
      <c r="THW26" s="19"/>
      <c r="THX26" s="19"/>
      <c r="THY26" s="19"/>
      <c r="THZ26" s="19"/>
      <c r="TIA26" s="19"/>
      <c r="TIB26" s="19"/>
      <c r="TIC26" s="19"/>
      <c r="TID26" s="19"/>
      <c r="TIE26" s="19"/>
      <c r="TIF26" s="19"/>
      <c r="TIG26" s="19"/>
      <c r="TIH26" s="19"/>
      <c r="TII26" s="19"/>
      <c r="TIJ26" s="19"/>
      <c r="TIK26" s="19"/>
      <c r="TIL26" s="19"/>
      <c r="TIM26" s="19"/>
      <c r="TIN26" s="19"/>
      <c r="TIO26" s="19"/>
      <c r="TIP26" s="19"/>
      <c r="TIQ26" s="19"/>
      <c r="TIR26" s="19"/>
      <c r="TIS26" s="19"/>
      <c r="TIT26" s="19"/>
      <c r="TIU26" s="19"/>
      <c r="TIV26" s="19"/>
      <c r="TIW26" s="19"/>
      <c r="TIX26" s="19"/>
      <c r="TIY26" s="19"/>
      <c r="TIZ26" s="19"/>
      <c r="TJA26" s="19"/>
      <c r="TJB26" s="19"/>
      <c r="TJC26" s="19"/>
      <c r="TJD26" s="19"/>
      <c r="TJE26" s="19"/>
      <c r="TJF26" s="19"/>
      <c r="TJG26" s="19"/>
      <c r="TJH26" s="19"/>
      <c r="TJI26" s="19"/>
      <c r="TJJ26" s="19"/>
      <c r="TJK26" s="19"/>
      <c r="TJL26" s="19"/>
      <c r="TJM26" s="19"/>
      <c r="TJN26" s="19"/>
      <c r="TJO26" s="19"/>
      <c r="TJP26" s="19"/>
      <c r="TJQ26" s="19"/>
      <c r="TJR26" s="19"/>
      <c r="TJS26" s="19"/>
      <c r="TJT26" s="19"/>
      <c r="TJU26" s="19"/>
      <c r="TJV26" s="19"/>
      <c r="TJW26" s="19"/>
      <c r="TJX26" s="19"/>
      <c r="TJY26" s="19"/>
      <c r="TJZ26" s="19"/>
      <c r="TKA26" s="19"/>
      <c r="TKB26" s="19"/>
      <c r="TKC26" s="19"/>
      <c r="TKD26" s="19"/>
      <c r="TKE26" s="19"/>
      <c r="TKF26" s="19"/>
      <c r="TKG26" s="19"/>
      <c r="TKH26" s="19"/>
      <c r="TKI26" s="19"/>
      <c r="TKJ26" s="19"/>
      <c r="TKK26" s="19"/>
      <c r="TKL26" s="19"/>
      <c r="TKM26" s="19"/>
      <c r="TKN26" s="19"/>
      <c r="TKO26" s="19"/>
      <c r="TKP26" s="19"/>
      <c r="TKQ26" s="19"/>
      <c r="TKR26" s="19"/>
      <c r="TKS26" s="19"/>
      <c r="TKT26" s="19"/>
      <c r="TKU26" s="19"/>
      <c r="TKV26" s="19"/>
      <c r="TKW26" s="19"/>
      <c r="TKX26" s="19"/>
      <c r="TKY26" s="19"/>
      <c r="TKZ26" s="19"/>
      <c r="TLA26" s="19"/>
      <c r="TLB26" s="19"/>
      <c r="TLC26" s="19"/>
      <c r="TLD26" s="19"/>
      <c r="TLE26" s="19"/>
      <c r="TLF26" s="19"/>
      <c r="TLG26" s="19"/>
      <c r="TLH26" s="19"/>
      <c r="TLI26" s="19"/>
      <c r="TLJ26" s="19"/>
      <c r="TLK26" s="19"/>
      <c r="TLL26" s="19"/>
      <c r="TLM26" s="19"/>
      <c r="TLN26" s="19"/>
      <c r="TLO26" s="19"/>
      <c r="TLP26" s="19"/>
      <c r="TLQ26" s="19"/>
      <c r="TLR26" s="19"/>
      <c r="TLS26" s="19"/>
      <c r="TLT26" s="19"/>
      <c r="TLU26" s="19"/>
      <c r="TLV26" s="19"/>
      <c r="TLW26" s="19"/>
      <c r="TLX26" s="19"/>
      <c r="TLY26" s="19"/>
      <c r="TLZ26" s="19"/>
      <c r="TMA26" s="19"/>
      <c r="TMB26" s="19"/>
      <c r="TMC26" s="19"/>
      <c r="TMD26" s="19"/>
      <c r="TME26" s="19"/>
      <c r="TMF26" s="19"/>
      <c r="TMG26" s="19"/>
      <c r="TMH26" s="19"/>
      <c r="TMI26" s="19"/>
      <c r="TMJ26" s="19"/>
      <c r="TMK26" s="19"/>
      <c r="TML26" s="19"/>
      <c r="TMM26" s="19"/>
      <c r="TMN26" s="19"/>
      <c r="TMO26" s="19"/>
      <c r="TMP26" s="19"/>
      <c r="TMQ26" s="19"/>
      <c r="TMR26" s="19"/>
      <c r="TMS26" s="19"/>
      <c r="TMT26" s="19"/>
      <c r="TMU26" s="19"/>
      <c r="TMV26" s="19"/>
      <c r="TMW26" s="19"/>
      <c r="TMX26" s="19"/>
      <c r="TMY26" s="19"/>
      <c r="TMZ26" s="19"/>
      <c r="TNA26" s="19"/>
      <c r="TNB26" s="19"/>
      <c r="TNC26" s="19"/>
      <c r="TND26" s="19"/>
      <c r="TNE26" s="19"/>
      <c r="TNF26" s="19"/>
      <c r="TNG26" s="19"/>
      <c r="TNH26" s="19"/>
      <c r="TNI26" s="19"/>
      <c r="TNJ26" s="19"/>
      <c r="TNK26" s="19"/>
      <c r="TNL26" s="19"/>
      <c r="TNM26" s="19"/>
      <c r="TNN26" s="19"/>
      <c r="TNO26" s="19"/>
      <c r="TNP26" s="19"/>
      <c r="TNQ26" s="19"/>
      <c r="TNR26" s="19"/>
      <c r="TNS26" s="19"/>
      <c r="TNT26" s="19"/>
      <c r="TNU26" s="19"/>
      <c r="TNV26" s="19"/>
      <c r="TNW26" s="19"/>
      <c r="TNX26" s="19"/>
      <c r="TNY26" s="19"/>
      <c r="TNZ26" s="19"/>
      <c r="TOA26" s="19"/>
      <c r="TOB26" s="19"/>
      <c r="TOC26" s="19"/>
      <c r="TOD26" s="19"/>
      <c r="TOE26" s="19"/>
      <c r="TOF26" s="19"/>
      <c r="TOG26" s="19"/>
      <c r="TOH26" s="19"/>
      <c r="TOI26" s="19"/>
      <c r="TOJ26" s="19"/>
      <c r="TOK26" s="19"/>
      <c r="TOL26" s="19"/>
      <c r="TOM26" s="19"/>
      <c r="TON26" s="19"/>
      <c r="TOO26" s="19"/>
      <c r="TOP26" s="19"/>
      <c r="TOQ26" s="19"/>
      <c r="TOR26" s="19"/>
      <c r="TOS26" s="19"/>
      <c r="TOT26" s="19"/>
      <c r="TOU26" s="19"/>
      <c r="TOV26" s="19"/>
      <c r="TOW26" s="19"/>
      <c r="TOX26" s="19"/>
      <c r="TOY26" s="19"/>
      <c r="TOZ26" s="19"/>
      <c r="TPA26" s="19"/>
      <c r="TPB26" s="19"/>
      <c r="TPC26" s="19"/>
      <c r="TPD26" s="19"/>
      <c r="TPE26" s="19"/>
      <c r="TPF26" s="19"/>
      <c r="TPG26" s="19"/>
      <c r="TPH26" s="19"/>
      <c r="TPI26" s="19"/>
      <c r="TPJ26" s="19"/>
      <c r="TPK26" s="19"/>
      <c r="TPL26" s="19"/>
      <c r="TPM26" s="19"/>
      <c r="TPN26" s="19"/>
      <c r="TPO26" s="19"/>
      <c r="TPP26" s="19"/>
      <c r="TPQ26" s="19"/>
      <c r="TPR26" s="19"/>
      <c r="TPS26" s="19"/>
      <c r="TPT26" s="19"/>
      <c r="TPU26" s="19"/>
      <c r="TPV26" s="19"/>
      <c r="TPW26" s="19"/>
      <c r="TPX26" s="19"/>
      <c r="TPY26" s="19"/>
      <c r="TPZ26" s="19"/>
      <c r="TQA26" s="19"/>
      <c r="TQB26" s="19"/>
      <c r="TQC26" s="19"/>
      <c r="TQD26" s="19"/>
      <c r="TQE26" s="19"/>
      <c r="TQF26" s="19"/>
      <c r="TQG26" s="19"/>
      <c r="TQH26" s="19"/>
      <c r="TQI26" s="19"/>
      <c r="TQJ26" s="19"/>
      <c r="TQK26" s="19"/>
      <c r="TQL26" s="19"/>
      <c r="TQM26" s="19"/>
      <c r="TQN26" s="19"/>
      <c r="TQO26" s="19"/>
      <c r="TQP26" s="19"/>
      <c r="TQQ26" s="19"/>
      <c r="TQR26" s="19"/>
      <c r="TQS26" s="19"/>
      <c r="TQT26" s="19"/>
      <c r="TQU26" s="19"/>
      <c r="TQV26" s="19"/>
      <c r="TQW26" s="19"/>
      <c r="TQX26" s="19"/>
      <c r="TQY26" s="19"/>
      <c r="TQZ26" s="19"/>
      <c r="TRA26" s="19"/>
      <c r="TRB26" s="19"/>
      <c r="TRC26" s="19"/>
      <c r="TRD26" s="19"/>
      <c r="TRE26" s="19"/>
      <c r="TRF26" s="19"/>
      <c r="TRG26" s="19"/>
      <c r="TRH26" s="19"/>
      <c r="TRI26" s="19"/>
      <c r="TRJ26" s="19"/>
      <c r="TRK26" s="19"/>
      <c r="TRL26" s="19"/>
      <c r="TRM26" s="19"/>
      <c r="TRN26" s="19"/>
      <c r="TRO26" s="19"/>
      <c r="TRP26" s="19"/>
      <c r="TRQ26" s="19"/>
      <c r="TRR26" s="19"/>
      <c r="TRS26" s="19"/>
      <c r="TRT26" s="19"/>
      <c r="TRU26" s="19"/>
      <c r="TRV26" s="19"/>
      <c r="TRW26" s="19"/>
      <c r="TRX26" s="19"/>
      <c r="TRY26" s="19"/>
      <c r="TRZ26" s="19"/>
      <c r="TSA26" s="19"/>
      <c r="TSB26" s="19"/>
      <c r="TSC26" s="19"/>
      <c r="TSD26" s="19"/>
      <c r="TSE26" s="19"/>
      <c r="TSF26" s="19"/>
      <c r="TSG26" s="19"/>
      <c r="TSH26" s="19"/>
      <c r="TSI26" s="19"/>
      <c r="TSJ26" s="19"/>
      <c r="TSK26" s="19"/>
      <c r="TSL26" s="19"/>
      <c r="TSM26" s="19"/>
      <c r="TSN26" s="19"/>
      <c r="TSO26" s="19"/>
      <c r="TSP26" s="19"/>
      <c r="TSQ26" s="19"/>
      <c r="TSR26" s="19"/>
      <c r="TSS26" s="19"/>
      <c r="TST26" s="19"/>
      <c r="TSU26" s="19"/>
      <c r="TSV26" s="19"/>
      <c r="TSW26" s="19"/>
      <c r="TSX26" s="19"/>
      <c r="TSY26" s="19"/>
      <c r="TSZ26" s="19"/>
      <c r="TTA26" s="19"/>
      <c r="TTB26" s="19"/>
      <c r="TTC26" s="19"/>
      <c r="TTD26" s="19"/>
      <c r="TTE26" s="19"/>
      <c r="TTF26" s="19"/>
      <c r="TTG26" s="19"/>
      <c r="TTH26" s="19"/>
      <c r="TTI26" s="19"/>
      <c r="TTJ26" s="19"/>
      <c r="TTK26" s="19"/>
      <c r="TTL26" s="19"/>
      <c r="TTM26" s="19"/>
      <c r="TTN26" s="19"/>
      <c r="TTO26" s="19"/>
      <c r="TTP26" s="19"/>
      <c r="TTQ26" s="19"/>
      <c r="TTR26" s="19"/>
      <c r="TTS26" s="19"/>
      <c r="TTT26" s="19"/>
      <c r="TTU26" s="19"/>
      <c r="TTV26" s="19"/>
      <c r="TTW26" s="19"/>
      <c r="TTX26" s="19"/>
      <c r="TTY26" s="19"/>
      <c r="TTZ26" s="19"/>
      <c r="TUA26" s="19"/>
      <c r="TUB26" s="19"/>
      <c r="TUC26" s="19"/>
      <c r="TUD26" s="19"/>
      <c r="TUE26" s="19"/>
      <c r="TUF26" s="19"/>
      <c r="TUG26" s="19"/>
      <c r="TUH26" s="19"/>
      <c r="TUI26" s="19"/>
      <c r="TUJ26" s="19"/>
      <c r="TUK26" s="19"/>
      <c r="TUL26" s="19"/>
      <c r="TUM26" s="19"/>
      <c r="TUN26" s="19"/>
      <c r="TUO26" s="19"/>
      <c r="TUP26" s="19"/>
      <c r="TUQ26" s="19"/>
      <c r="TUR26" s="19"/>
      <c r="TUS26" s="19"/>
      <c r="TUT26" s="19"/>
      <c r="TUU26" s="19"/>
      <c r="TUV26" s="19"/>
      <c r="TUW26" s="19"/>
      <c r="TUX26" s="19"/>
      <c r="TUY26" s="19"/>
      <c r="TUZ26" s="19"/>
      <c r="TVA26" s="19"/>
      <c r="TVB26" s="19"/>
      <c r="TVC26" s="19"/>
      <c r="TVD26" s="19"/>
      <c r="TVE26" s="19"/>
      <c r="TVF26" s="19"/>
      <c r="TVG26" s="19"/>
      <c r="TVH26" s="19"/>
      <c r="TVI26" s="19"/>
      <c r="TVJ26" s="19"/>
      <c r="TVK26" s="19"/>
      <c r="TVL26" s="19"/>
      <c r="TVM26" s="19"/>
      <c r="TVN26" s="19"/>
      <c r="TVO26" s="19"/>
      <c r="TVP26" s="19"/>
      <c r="TVQ26" s="19"/>
      <c r="TVR26" s="19"/>
      <c r="TVS26" s="19"/>
      <c r="TVT26" s="19"/>
      <c r="TVU26" s="19"/>
      <c r="TVV26" s="19"/>
      <c r="TVW26" s="19"/>
      <c r="TVX26" s="19"/>
      <c r="TVY26" s="19"/>
      <c r="TVZ26" s="19"/>
      <c r="TWA26" s="19"/>
      <c r="TWB26" s="19"/>
      <c r="TWC26" s="19"/>
      <c r="TWD26" s="19"/>
      <c r="TWE26" s="19"/>
      <c r="TWF26" s="19"/>
      <c r="TWG26" s="19"/>
      <c r="TWH26" s="19"/>
      <c r="TWI26" s="19"/>
      <c r="TWJ26" s="19"/>
      <c r="TWK26" s="19"/>
      <c r="TWL26" s="19"/>
      <c r="TWM26" s="19"/>
      <c r="TWN26" s="19"/>
      <c r="TWO26" s="19"/>
      <c r="TWP26" s="19"/>
      <c r="TWQ26" s="19"/>
      <c r="TWR26" s="19"/>
      <c r="TWS26" s="19"/>
      <c r="TWT26" s="19"/>
      <c r="TWU26" s="19"/>
      <c r="TWV26" s="19"/>
      <c r="TWW26" s="19"/>
      <c r="TWX26" s="19"/>
      <c r="TWY26" s="19"/>
      <c r="TWZ26" s="19"/>
      <c r="TXA26" s="19"/>
      <c r="TXB26" s="19"/>
      <c r="TXC26" s="19"/>
      <c r="TXD26" s="19"/>
      <c r="TXE26" s="19"/>
      <c r="TXF26" s="19"/>
      <c r="TXG26" s="19"/>
      <c r="TXH26" s="19"/>
      <c r="TXI26" s="19"/>
      <c r="TXJ26" s="19"/>
      <c r="TXK26" s="19"/>
      <c r="TXL26" s="19"/>
      <c r="TXM26" s="19"/>
      <c r="TXN26" s="19"/>
      <c r="TXO26" s="19"/>
      <c r="TXP26" s="19"/>
      <c r="TXQ26" s="19"/>
      <c r="TXR26" s="19"/>
      <c r="TXS26" s="19"/>
      <c r="TXT26" s="19"/>
      <c r="TXU26" s="19"/>
      <c r="TXV26" s="19"/>
      <c r="TXW26" s="19"/>
      <c r="TXX26" s="19"/>
      <c r="TXY26" s="19"/>
      <c r="TXZ26" s="19"/>
      <c r="TYA26" s="19"/>
      <c r="TYB26" s="19"/>
      <c r="TYC26" s="19"/>
      <c r="TYD26" s="19"/>
      <c r="TYE26" s="19"/>
      <c r="TYF26" s="19"/>
      <c r="TYG26" s="19"/>
      <c r="TYH26" s="19"/>
      <c r="TYI26" s="19"/>
      <c r="TYJ26" s="19"/>
      <c r="TYK26" s="19"/>
      <c r="TYL26" s="19"/>
      <c r="TYM26" s="19"/>
      <c r="TYN26" s="19"/>
      <c r="TYO26" s="19"/>
      <c r="TYP26" s="19"/>
      <c r="TYQ26" s="19"/>
      <c r="TYR26" s="19"/>
      <c r="TYS26" s="19"/>
      <c r="TYT26" s="19"/>
      <c r="TYU26" s="19"/>
      <c r="TYV26" s="19"/>
      <c r="TYW26" s="19"/>
      <c r="TYX26" s="19"/>
      <c r="TYY26" s="19"/>
      <c r="TYZ26" s="19"/>
      <c r="TZA26" s="19"/>
      <c r="TZB26" s="19"/>
      <c r="TZC26" s="19"/>
      <c r="TZD26" s="19"/>
      <c r="TZE26" s="19"/>
      <c r="TZF26" s="19"/>
      <c r="TZG26" s="19"/>
      <c r="TZH26" s="19"/>
      <c r="TZI26" s="19"/>
      <c r="TZJ26" s="19"/>
      <c r="TZK26" s="19"/>
      <c r="TZL26" s="19"/>
      <c r="TZM26" s="19"/>
      <c r="TZN26" s="19"/>
      <c r="TZO26" s="19"/>
      <c r="TZP26" s="19"/>
      <c r="TZQ26" s="19"/>
      <c r="TZR26" s="19"/>
      <c r="TZS26" s="19"/>
      <c r="TZT26" s="19"/>
      <c r="TZU26" s="19"/>
      <c r="TZV26" s="19"/>
      <c r="TZW26" s="19"/>
      <c r="TZX26" s="19"/>
      <c r="TZY26" s="19"/>
      <c r="TZZ26" s="19"/>
      <c r="UAA26" s="19"/>
      <c r="UAB26" s="19"/>
      <c r="UAC26" s="19"/>
      <c r="UAD26" s="19"/>
      <c r="UAE26" s="19"/>
      <c r="UAF26" s="19"/>
      <c r="UAG26" s="19"/>
      <c r="UAH26" s="19"/>
      <c r="UAI26" s="19"/>
      <c r="UAJ26" s="19"/>
      <c r="UAK26" s="19"/>
      <c r="UAL26" s="19"/>
      <c r="UAM26" s="19"/>
      <c r="UAN26" s="19"/>
      <c r="UAO26" s="19"/>
      <c r="UAP26" s="19"/>
      <c r="UAQ26" s="19"/>
      <c r="UAR26" s="19"/>
      <c r="UAS26" s="19"/>
      <c r="UAT26" s="19"/>
      <c r="UAU26" s="19"/>
      <c r="UAV26" s="19"/>
      <c r="UAW26" s="19"/>
      <c r="UAX26" s="19"/>
      <c r="UAY26" s="19"/>
      <c r="UAZ26" s="19"/>
      <c r="UBA26" s="19"/>
      <c r="UBB26" s="19"/>
      <c r="UBC26" s="19"/>
      <c r="UBD26" s="19"/>
      <c r="UBE26" s="19"/>
      <c r="UBF26" s="19"/>
      <c r="UBG26" s="19"/>
      <c r="UBH26" s="19"/>
      <c r="UBI26" s="19"/>
      <c r="UBJ26" s="19"/>
      <c r="UBK26" s="19"/>
      <c r="UBL26" s="19"/>
      <c r="UBM26" s="19"/>
      <c r="UBN26" s="19"/>
      <c r="UBO26" s="19"/>
      <c r="UBP26" s="19"/>
      <c r="UBQ26" s="19"/>
      <c r="UBR26" s="19"/>
      <c r="UBS26" s="19"/>
      <c r="UBT26" s="19"/>
      <c r="UBU26" s="19"/>
      <c r="UBV26" s="19"/>
      <c r="UBW26" s="19"/>
      <c r="UBX26" s="19"/>
      <c r="UBY26" s="19"/>
      <c r="UBZ26" s="19"/>
      <c r="UCA26" s="19"/>
      <c r="UCB26" s="19"/>
      <c r="UCC26" s="19"/>
      <c r="UCD26" s="19"/>
      <c r="UCE26" s="19"/>
      <c r="UCF26" s="19"/>
      <c r="UCG26" s="19"/>
      <c r="UCH26" s="19"/>
      <c r="UCI26" s="19"/>
      <c r="UCJ26" s="19"/>
      <c r="UCK26" s="19"/>
      <c r="UCL26" s="19"/>
      <c r="UCM26" s="19"/>
      <c r="UCN26" s="19"/>
      <c r="UCO26" s="19"/>
      <c r="UCP26" s="19"/>
      <c r="UCQ26" s="19"/>
      <c r="UCR26" s="19"/>
      <c r="UCS26" s="19"/>
      <c r="UCT26" s="19"/>
      <c r="UCU26" s="19"/>
      <c r="UCV26" s="19"/>
      <c r="UCW26" s="19"/>
      <c r="UCX26" s="19"/>
      <c r="UCY26" s="19"/>
      <c r="UCZ26" s="19"/>
      <c r="UDA26" s="19"/>
      <c r="UDB26" s="19"/>
      <c r="UDC26" s="19"/>
      <c r="UDD26" s="19"/>
      <c r="UDE26" s="19"/>
      <c r="UDF26" s="19"/>
      <c r="UDG26" s="19"/>
      <c r="UDH26" s="19"/>
      <c r="UDI26" s="19"/>
      <c r="UDJ26" s="19"/>
      <c r="UDK26" s="19"/>
      <c r="UDL26" s="19"/>
      <c r="UDM26" s="19"/>
      <c r="UDN26" s="19"/>
      <c r="UDO26" s="19"/>
      <c r="UDP26" s="19"/>
      <c r="UDQ26" s="19"/>
      <c r="UDR26" s="19"/>
      <c r="UDS26" s="19"/>
      <c r="UDT26" s="19"/>
      <c r="UDU26" s="19"/>
      <c r="UDV26" s="19"/>
      <c r="UDW26" s="19"/>
      <c r="UDX26" s="19"/>
      <c r="UDY26" s="19"/>
      <c r="UDZ26" s="19"/>
      <c r="UEA26" s="19"/>
      <c r="UEB26" s="19"/>
      <c r="UEC26" s="19"/>
      <c r="UED26" s="19"/>
      <c r="UEE26" s="19"/>
      <c r="UEF26" s="19"/>
      <c r="UEG26" s="19"/>
      <c r="UEH26" s="19"/>
      <c r="UEI26" s="19"/>
      <c r="UEJ26" s="19"/>
      <c r="UEK26" s="19"/>
      <c r="UEL26" s="19"/>
      <c r="UEM26" s="19"/>
      <c r="UEN26" s="19"/>
      <c r="UEO26" s="19"/>
      <c r="UEP26" s="19"/>
      <c r="UEQ26" s="19"/>
      <c r="UER26" s="19"/>
      <c r="UES26" s="19"/>
      <c r="UET26" s="19"/>
      <c r="UEU26" s="19"/>
      <c r="UEV26" s="19"/>
      <c r="UEW26" s="19"/>
      <c r="UEX26" s="19"/>
      <c r="UEY26" s="19"/>
      <c r="UEZ26" s="19"/>
      <c r="UFA26" s="19"/>
      <c r="UFB26" s="19"/>
      <c r="UFC26" s="19"/>
      <c r="UFD26" s="19"/>
      <c r="UFE26" s="19"/>
      <c r="UFF26" s="19"/>
      <c r="UFG26" s="19"/>
      <c r="UFH26" s="19"/>
      <c r="UFI26" s="19"/>
      <c r="UFJ26" s="19"/>
      <c r="UFK26" s="19"/>
      <c r="UFL26" s="19"/>
      <c r="UFM26" s="19"/>
      <c r="UFN26" s="19"/>
      <c r="UFO26" s="19"/>
      <c r="UFP26" s="19"/>
      <c r="UFQ26" s="19"/>
      <c r="UFR26" s="19"/>
      <c r="UFS26" s="19"/>
      <c r="UFT26" s="19"/>
      <c r="UFU26" s="19"/>
      <c r="UFV26" s="19"/>
      <c r="UFW26" s="19"/>
      <c r="UFX26" s="19"/>
      <c r="UFY26" s="19"/>
      <c r="UFZ26" s="19"/>
      <c r="UGA26" s="19"/>
      <c r="UGB26" s="19"/>
      <c r="UGC26" s="19"/>
      <c r="UGD26" s="19"/>
      <c r="UGE26" s="19"/>
      <c r="UGF26" s="19"/>
      <c r="UGG26" s="19"/>
      <c r="UGH26" s="19"/>
      <c r="UGI26" s="19"/>
      <c r="UGJ26" s="19"/>
      <c r="UGK26" s="19"/>
      <c r="UGL26" s="19"/>
      <c r="UGM26" s="19"/>
      <c r="UGN26" s="19"/>
      <c r="UGO26" s="19"/>
      <c r="UGP26" s="19"/>
      <c r="UGQ26" s="19"/>
      <c r="UGR26" s="19"/>
      <c r="UGS26" s="19"/>
      <c r="UGT26" s="19"/>
      <c r="UGU26" s="19"/>
      <c r="UGV26" s="19"/>
      <c r="UGW26" s="19"/>
      <c r="UGX26" s="19"/>
      <c r="UGY26" s="19"/>
      <c r="UGZ26" s="19"/>
      <c r="UHA26" s="19"/>
      <c r="UHB26" s="19"/>
      <c r="UHC26" s="19"/>
      <c r="UHD26" s="19"/>
      <c r="UHE26" s="19"/>
      <c r="UHF26" s="19"/>
      <c r="UHG26" s="19"/>
      <c r="UHH26" s="19"/>
      <c r="UHI26" s="19"/>
      <c r="UHJ26" s="19"/>
      <c r="UHK26" s="19"/>
      <c r="UHL26" s="19"/>
      <c r="UHM26" s="19"/>
      <c r="UHN26" s="19"/>
      <c r="UHO26" s="19"/>
      <c r="UHP26" s="19"/>
      <c r="UHQ26" s="19"/>
      <c r="UHR26" s="19"/>
      <c r="UHS26" s="19"/>
      <c r="UHT26" s="19"/>
      <c r="UHU26" s="19"/>
      <c r="UHV26" s="19"/>
      <c r="UHW26" s="19"/>
      <c r="UHX26" s="19"/>
      <c r="UHY26" s="19"/>
      <c r="UHZ26" s="19"/>
      <c r="UIA26" s="19"/>
      <c r="UIB26" s="19"/>
      <c r="UIC26" s="19"/>
      <c r="UID26" s="19"/>
      <c r="UIE26" s="19"/>
      <c r="UIF26" s="19"/>
      <c r="UIG26" s="19"/>
      <c r="UIH26" s="19"/>
      <c r="UII26" s="19"/>
      <c r="UIJ26" s="19"/>
      <c r="UIK26" s="19"/>
      <c r="UIL26" s="19"/>
      <c r="UIM26" s="19"/>
      <c r="UIN26" s="19"/>
      <c r="UIO26" s="19"/>
      <c r="UIP26" s="19"/>
      <c r="UIQ26" s="19"/>
      <c r="UIR26" s="19"/>
      <c r="UIS26" s="19"/>
      <c r="UIT26" s="19"/>
      <c r="UIU26" s="19"/>
      <c r="UIV26" s="19"/>
      <c r="UIW26" s="19"/>
      <c r="UIX26" s="19"/>
      <c r="UIY26" s="19"/>
      <c r="UIZ26" s="19"/>
      <c r="UJA26" s="19"/>
      <c r="UJB26" s="19"/>
      <c r="UJC26" s="19"/>
      <c r="UJD26" s="19"/>
      <c r="UJE26" s="19"/>
      <c r="UJF26" s="19"/>
      <c r="UJG26" s="19"/>
      <c r="UJH26" s="19"/>
      <c r="UJI26" s="19"/>
      <c r="UJJ26" s="19"/>
      <c r="UJK26" s="19"/>
      <c r="UJL26" s="19"/>
      <c r="UJM26" s="19"/>
      <c r="UJN26" s="19"/>
      <c r="UJO26" s="19"/>
      <c r="UJP26" s="19"/>
      <c r="UJQ26" s="19"/>
      <c r="UJR26" s="19"/>
      <c r="UJS26" s="19"/>
      <c r="UJT26" s="19"/>
      <c r="UJU26" s="19"/>
      <c r="UJV26" s="19"/>
      <c r="UJW26" s="19"/>
      <c r="UJX26" s="19"/>
      <c r="UJY26" s="19"/>
      <c r="UJZ26" s="19"/>
      <c r="UKA26" s="19"/>
      <c r="UKB26" s="19"/>
      <c r="UKC26" s="19"/>
      <c r="UKD26" s="19"/>
      <c r="UKE26" s="19"/>
      <c r="UKF26" s="19"/>
      <c r="UKG26" s="19"/>
      <c r="UKH26" s="19"/>
      <c r="UKI26" s="19"/>
      <c r="UKJ26" s="19"/>
      <c r="UKK26" s="19"/>
      <c r="UKL26" s="19"/>
      <c r="UKM26" s="19"/>
      <c r="UKN26" s="19"/>
      <c r="UKO26" s="19"/>
      <c r="UKP26" s="19"/>
      <c r="UKQ26" s="19"/>
      <c r="UKR26" s="19"/>
      <c r="UKS26" s="19"/>
      <c r="UKT26" s="19"/>
      <c r="UKU26" s="19"/>
      <c r="UKV26" s="19"/>
      <c r="UKW26" s="19"/>
      <c r="UKX26" s="19"/>
      <c r="UKY26" s="19"/>
      <c r="UKZ26" s="19"/>
      <c r="ULA26" s="19"/>
      <c r="ULB26" s="19"/>
      <c r="ULC26" s="19"/>
      <c r="ULD26" s="19"/>
      <c r="ULE26" s="19"/>
      <c r="ULF26" s="19"/>
      <c r="ULG26" s="19"/>
      <c r="ULH26" s="19"/>
      <c r="ULI26" s="19"/>
      <c r="ULJ26" s="19"/>
      <c r="ULK26" s="19"/>
      <c r="ULL26" s="19"/>
      <c r="ULM26" s="19"/>
      <c r="ULN26" s="19"/>
      <c r="ULO26" s="19"/>
      <c r="ULP26" s="19"/>
      <c r="ULQ26" s="19"/>
      <c r="ULR26" s="19"/>
      <c r="ULS26" s="19"/>
      <c r="ULT26" s="19"/>
      <c r="ULU26" s="19"/>
      <c r="ULV26" s="19"/>
      <c r="ULW26" s="19"/>
      <c r="ULX26" s="19"/>
      <c r="ULY26" s="19"/>
      <c r="ULZ26" s="19"/>
      <c r="UMA26" s="19"/>
      <c r="UMB26" s="19"/>
      <c r="UMC26" s="19"/>
      <c r="UMD26" s="19"/>
      <c r="UME26" s="19"/>
      <c r="UMF26" s="19"/>
      <c r="UMG26" s="19"/>
      <c r="UMH26" s="19"/>
      <c r="UMI26" s="19"/>
      <c r="UMJ26" s="19"/>
      <c r="UMK26" s="19"/>
      <c r="UML26" s="19"/>
      <c r="UMM26" s="19"/>
      <c r="UMN26" s="19"/>
      <c r="UMO26" s="19"/>
      <c r="UMP26" s="19"/>
      <c r="UMQ26" s="19"/>
      <c r="UMR26" s="19"/>
      <c r="UMS26" s="19"/>
      <c r="UMT26" s="19"/>
      <c r="UMU26" s="19"/>
      <c r="UMV26" s="19"/>
      <c r="UMW26" s="19"/>
      <c r="UMX26" s="19"/>
      <c r="UMY26" s="19"/>
      <c r="UMZ26" s="19"/>
      <c r="UNA26" s="19"/>
      <c r="UNB26" s="19"/>
      <c r="UNC26" s="19"/>
      <c r="UND26" s="19"/>
      <c r="UNE26" s="19"/>
      <c r="UNF26" s="19"/>
      <c r="UNG26" s="19"/>
      <c r="UNH26" s="19"/>
      <c r="UNI26" s="19"/>
      <c r="UNJ26" s="19"/>
      <c r="UNK26" s="19"/>
      <c r="UNL26" s="19"/>
      <c r="UNM26" s="19"/>
      <c r="UNN26" s="19"/>
      <c r="UNO26" s="19"/>
      <c r="UNP26" s="19"/>
      <c r="UNQ26" s="19"/>
      <c r="UNR26" s="19"/>
      <c r="UNS26" s="19"/>
      <c r="UNT26" s="19"/>
      <c r="UNU26" s="19"/>
      <c r="UNV26" s="19"/>
      <c r="UNW26" s="19"/>
      <c r="UNX26" s="19"/>
      <c r="UNY26" s="19"/>
      <c r="UNZ26" s="19"/>
      <c r="UOA26" s="19"/>
      <c r="UOB26" s="19"/>
      <c r="UOC26" s="19"/>
      <c r="UOD26" s="19"/>
      <c r="UOE26" s="19"/>
      <c r="UOF26" s="19"/>
      <c r="UOG26" s="19"/>
      <c r="UOH26" s="19"/>
      <c r="UOI26" s="19"/>
      <c r="UOJ26" s="19"/>
      <c r="UOK26" s="19"/>
      <c r="UOL26" s="19"/>
      <c r="UOM26" s="19"/>
      <c r="UON26" s="19"/>
      <c r="UOO26" s="19"/>
      <c r="UOP26" s="19"/>
      <c r="UOQ26" s="19"/>
      <c r="UOR26" s="19"/>
      <c r="UOS26" s="19"/>
      <c r="UOT26" s="19"/>
      <c r="UOU26" s="19"/>
      <c r="UOV26" s="19"/>
      <c r="UOW26" s="19"/>
      <c r="UOX26" s="19"/>
      <c r="UOY26" s="19"/>
      <c r="UOZ26" s="19"/>
      <c r="UPA26" s="19"/>
      <c r="UPB26" s="19"/>
      <c r="UPC26" s="19"/>
      <c r="UPD26" s="19"/>
      <c r="UPE26" s="19"/>
      <c r="UPF26" s="19"/>
      <c r="UPG26" s="19"/>
      <c r="UPH26" s="19"/>
      <c r="UPI26" s="19"/>
      <c r="UPJ26" s="19"/>
      <c r="UPK26" s="19"/>
      <c r="UPL26" s="19"/>
      <c r="UPM26" s="19"/>
      <c r="UPN26" s="19"/>
      <c r="UPO26" s="19"/>
      <c r="UPP26" s="19"/>
      <c r="UPQ26" s="19"/>
      <c r="UPR26" s="19"/>
      <c r="UPS26" s="19"/>
      <c r="UPT26" s="19"/>
      <c r="UPU26" s="19"/>
      <c r="UPV26" s="19"/>
      <c r="UPW26" s="19"/>
      <c r="UPX26" s="19"/>
      <c r="UPY26" s="19"/>
      <c r="UPZ26" s="19"/>
      <c r="UQA26" s="19"/>
      <c r="UQB26" s="19"/>
      <c r="UQC26" s="19"/>
      <c r="UQD26" s="19"/>
      <c r="UQE26" s="19"/>
      <c r="UQF26" s="19"/>
      <c r="UQG26" s="19"/>
      <c r="UQH26" s="19"/>
      <c r="UQI26" s="19"/>
      <c r="UQJ26" s="19"/>
      <c r="UQK26" s="19"/>
      <c r="UQL26" s="19"/>
      <c r="UQM26" s="19"/>
      <c r="UQN26" s="19"/>
      <c r="UQO26" s="19"/>
      <c r="UQP26" s="19"/>
      <c r="UQQ26" s="19"/>
      <c r="UQR26" s="19"/>
      <c r="UQS26" s="19"/>
      <c r="UQT26" s="19"/>
      <c r="UQU26" s="19"/>
      <c r="UQV26" s="19"/>
      <c r="UQW26" s="19"/>
      <c r="UQX26" s="19"/>
      <c r="UQY26" s="19"/>
      <c r="UQZ26" s="19"/>
      <c r="URA26" s="19"/>
      <c r="URB26" s="19"/>
      <c r="URC26" s="19"/>
      <c r="URD26" s="19"/>
      <c r="URE26" s="19"/>
      <c r="URF26" s="19"/>
      <c r="URG26" s="19"/>
      <c r="URH26" s="19"/>
      <c r="URI26" s="19"/>
      <c r="URJ26" s="19"/>
      <c r="URK26" s="19"/>
      <c r="URL26" s="19"/>
      <c r="URM26" s="19"/>
      <c r="URN26" s="19"/>
      <c r="URO26" s="19"/>
      <c r="URP26" s="19"/>
      <c r="URQ26" s="19"/>
      <c r="URR26" s="19"/>
      <c r="URS26" s="19"/>
      <c r="URT26" s="19"/>
      <c r="URU26" s="19"/>
      <c r="URV26" s="19"/>
      <c r="URW26" s="19"/>
      <c r="URX26" s="19"/>
      <c r="URY26" s="19"/>
      <c r="URZ26" s="19"/>
      <c r="USA26" s="19"/>
      <c r="USB26" s="19"/>
      <c r="USC26" s="19"/>
      <c r="USD26" s="19"/>
      <c r="USE26" s="19"/>
      <c r="USF26" s="19"/>
      <c r="USG26" s="19"/>
      <c r="USH26" s="19"/>
      <c r="USI26" s="19"/>
      <c r="USJ26" s="19"/>
      <c r="USK26" s="19"/>
      <c r="USL26" s="19"/>
      <c r="USM26" s="19"/>
      <c r="USN26" s="19"/>
      <c r="USO26" s="19"/>
      <c r="USP26" s="19"/>
      <c r="USQ26" s="19"/>
      <c r="USR26" s="19"/>
      <c r="USS26" s="19"/>
      <c r="UST26" s="19"/>
      <c r="USU26" s="19"/>
      <c r="USV26" s="19"/>
      <c r="USW26" s="19"/>
      <c r="USX26" s="19"/>
      <c r="USY26" s="19"/>
      <c r="USZ26" s="19"/>
      <c r="UTA26" s="19"/>
      <c r="UTB26" s="19"/>
      <c r="UTC26" s="19"/>
      <c r="UTD26" s="19"/>
      <c r="UTE26" s="19"/>
      <c r="UTF26" s="19"/>
      <c r="UTG26" s="19"/>
      <c r="UTH26" s="19"/>
      <c r="UTI26" s="19"/>
      <c r="UTJ26" s="19"/>
      <c r="UTK26" s="19"/>
      <c r="UTL26" s="19"/>
      <c r="UTM26" s="19"/>
      <c r="UTN26" s="19"/>
      <c r="UTO26" s="19"/>
      <c r="UTP26" s="19"/>
      <c r="UTQ26" s="19"/>
      <c r="UTR26" s="19"/>
      <c r="UTS26" s="19"/>
      <c r="UTT26" s="19"/>
      <c r="UTU26" s="19"/>
      <c r="UTV26" s="19"/>
      <c r="UTW26" s="19"/>
      <c r="UTX26" s="19"/>
      <c r="UTY26" s="19"/>
      <c r="UTZ26" s="19"/>
      <c r="UUA26" s="19"/>
      <c r="UUB26" s="19"/>
      <c r="UUC26" s="19"/>
      <c r="UUD26" s="19"/>
      <c r="UUE26" s="19"/>
      <c r="UUF26" s="19"/>
      <c r="UUG26" s="19"/>
      <c r="UUH26" s="19"/>
      <c r="UUI26" s="19"/>
      <c r="UUJ26" s="19"/>
      <c r="UUK26" s="19"/>
      <c r="UUL26" s="19"/>
      <c r="UUM26" s="19"/>
      <c r="UUN26" s="19"/>
      <c r="UUO26" s="19"/>
      <c r="UUP26" s="19"/>
      <c r="UUQ26" s="19"/>
      <c r="UUR26" s="19"/>
      <c r="UUS26" s="19"/>
      <c r="UUT26" s="19"/>
      <c r="UUU26" s="19"/>
      <c r="UUV26" s="19"/>
      <c r="UUW26" s="19"/>
      <c r="UUX26" s="19"/>
      <c r="UUY26" s="19"/>
      <c r="UUZ26" s="19"/>
      <c r="UVA26" s="19"/>
      <c r="UVB26" s="19"/>
      <c r="UVC26" s="19"/>
      <c r="UVD26" s="19"/>
      <c r="UVE26" s="19"/>
      <c r="UVF26" s="19"/>
      <c r="UVG26" s="19"/>
      <c r="UVH26" s="19"/>
      <c r="UVI26" s="19"/>
      <c r="UVJ26" s="19"/>
      <c r="UVK26" s="19"/>
      <c r="UVL26" s="19"/>
      <c r="UVM26" s="19"/>
      <c r="UVN26" s="19"/>
      <c r="UVO26" s="19"/>
      <c r="UVP26" s="19"/>
      <c r="UVQ26" s="19"/>
      <c r="UVR26" s="19"/>
      <c r="UVS26" s="19"/>
      <c r="UVT26" s="19"/>
      <c r="UVU26" s="19"/>
      <c r="UVV26" s="19"/>
      <c r="UVW26" s="19"/>
      <c r="UVX26" s="19"/>
      <c r="UVY26" s="19"/>
      <c r="UVZ26" s="19"/>
      <c r="UWA26" s="19"/>
      <c r="UWB26" s="19"/>
      <c r="UWC26" s="19"/>
      <c r="UWD26" s="19"/>
      <c r="UWE26" s="19"/>
      <c r="UWF26" s="19"/>
      <c r="UWG26" s="19"/>
      <c r="UWH26" s="19"/>
      <c r="UWI26" s="19"/>
      <c r="UWJ26" s="19"/>
      <c r="UWK26" s="19"/>
      <c r="UWL26" s="19"/>
      <c r="UWM26" s="19"/>
      <c r="UWN26" s="19"/>
      <c r="UWO26" s="19"/>
      <c r="UWP26" s="19"/>
      <c r="UWQ26" s="19"/>
      <c r="UWR26" s="19"/>
      <c r="UWS26" s="19"/>
      <c r="UWT26" s="19"/>
      <c r="UWU26" s="19"/>
      <c r="UWV26" s="19"/>
      <c r="UWW26" s="19"/>
      <c r="UWX26" s="19"/>
      <c r="UWY26" s="19"/>
      <c r="UWZ26" s="19"/>
      <c r="UXA26" s="19"/>
      <c r="UXB26" s="19"/>
      <c r="UXC26" s="19"/>
      <c r="UXD26" s="19"/>
      <c r="UXE26" s="19"/>
      <c r="UXF26" s="19"/>
      <c r="UXG26" s="19"/>
      <c r="UXH26" s="19"/>
      <c r="UXI26" s="19"/>
      <c r="UXJ26" s="19"/>
      <c r="UXK26" s="19"/>
      <c r="UXL26" s="19"/>
      <c r="UXM26" s="19"/>
      <c r="UXN26" s="19"/>
      <c r="UXO26" s="19"/>
      <c r="UXP26" s="19"/>
      <c r="UXQ26" s="19"/>
      <c r="UXR26" s="19"/>
      <c r="UXS26" s="19"/>
      <c r="UXT26" s="19"/>
      <c r="UXU26" s="19"/>
      <c r="UXV26" s="19"/>
      <c r="UXW26" s="19"/>
      <c r="UXX26" s="19"/>
      <c r="UXY26" s="19"/>
      <c r="UXZ26" s="19"/>
      <c r="UYA26" s="19"/>
      <c r="UYB26" s="19"/>
      <c r="UYC26" s="19"/>
      <c r="UYD26" s="19"/>
      <c r="UYE26" s="19"/>
      <c r="UYF26" s="19"/>
      <c r="UYG26" s="19"/>
      <c r="UYH26" s="19"/>
      <c r="UYI26" s="19"/>
      <c r="UYJ26" s="19"/>
      <c r="UYK26" s="19"/>
      <c r="UYL26" s="19"/>
      <c r="UYM26" s="19"/>
      <c r="UYN26" s="19"/>
      <c r="UYO26" s="19"/>
      <c r="UYP26" s="19"/>
      <c r="UYQ26" s="19"/>
      <c r="UYR26" s="19"/>
      <c r="UYS26" s="19"/>
      <c r="UYT26" s="19"/>
      <c r="UYU26" s="19"/>
      <c r="UYV26" s="19"/>
      <c r="UYW26" s="19"/>
      <c r="UYX26" s="19"/>
      <c r="UYY26" s="19"/>
      <c r="UYZ26" s="19"/>
      <c r="UZA26" s="19"/>
      <c r="UZB26" s="19"/>
      <c r="UZC26" s="19"/>
      <c r="UZD26" s="19"/>
      <c r="UZE26" s="19"/>
      <c r="UZF26" s="19"/>
      <c r="UZG26" s="19"/>
      <c r="UZH26" s="19"/>
      <c r="UZI26" s="19"/>
      <c r="UZJ26" s="19"/>
      <c r="UZK26" s="19"/>
      <c r="UZL26" s="19"/>
      <c r="UZM26" s="19"/>
      <c r="UZN26" s="19"/>
      <c r="UZO26" s="19"/>
      <c r="UZP26" s="19"/>
      <c r="UZQ26" s="19"/>
      <c r="UZR26" s="19"/>
      <c r="UZS26" s="19"/>
      <c r="UZT26" s="19"/>
      <c r="UZU26" s="19"/>
      <c r="UZV26" s="19"/>
      <c r="UZW26" s="19"/>
      <c r="UZX26" s="19"/>
      <c r="UZY26" s="19"/>
      <c r="UZZ26" s="19"/>
      <c r="VAA26" s="19"/>
      <c r="VAB26" s="19"/>
      <c r="VAC26" s="19"/>
      <c r="VAD26" s="19"/>
      <c r="VAE26" s="19"/>
      <c r="VAF26" s="19"/>
      <c r="VAG26" s="19"/>
      <c r="VAH26" s="19"/>
      <c r="VAI26" s="19"/>
      <c r="VAJ26" s="19"/>
      <c r="VAK26" s="19"/>
      <c r="VAL26" s="19"/>
      <c r="VAM26" s="19"/>
      <c r="VAN26" s="19"/>
      <c r="VAO26" s="19"/>
      <c r="VAP26" s="19"/>
      <c r="VAQ26" s="19"/>
      <c r="VAR26" s="19"/>
      <c r="VAS26" s="19"/>
      <c r="VAT26" s="19"/>
      <c r="VAU26" s="19"/>
      <c r="VAV26" s="19"/>
      <c r="VAW26" s="19"/>
      <c r="VAX26" s="19"/>
      <c r="VAY26" s="19"/>
      <c r="VAZ26" s="19"/>
      <c r="VBA26" s="19"/>
      <c r="VBB26" s="19"/>
      <c r="VBC26" s="19"/>
      <c r="VBD26" s="19"/>
      <c r="VBE26" s="19"/>
      <c r="VBF26" s="19"/>
      <c r="VBG26" s="19"/>
      <c r="VBH26" s="19"/>
      <c r="VBI26" s="19"/>
      <c r="VBJ26" s="19"/>
      <c r="VBK26" s="19"/>
      <c r="VBL26" s="19"/>
      <c r="VBM26" s="19"/>
      <c r="VBN26" s="19"/>
      <c r="VBO26" s="19"/>
      <c r="VBP26" s="19"/>
      <c r="VBQ26" s="19"/>
      <c r="VBR26" s="19"/>
      <c r="VBS26" s="19"/>
      <c r="VBT26" s="19"/>
      <c r="VBU26" s="19"/>
      <c r="VBV26" s="19"/>
      <c r="VBW26" s="19"/>
      <c r="VBX26" s="19"/>
      <c r="VBY26" s="19"/>
      <c r="VBZ26" s="19"/>
      <c r="VCA26" s="19"/>
      <c r="VCB26" s="19"/>
      <c r="VCC26" s="19"/>
      <c r="VCD26" s="19"/>
      <c r="VCE26" s="19"/>
      <c r="VCF26" s="19"/>
      <c r="VCG26" s="19"/>
      <c r="VCH26" s="19"/>
      <c r="VCI26" s="19"/>
      <c r="VCJ26" s="19"/>
      <c r="VCK26" s="19"/>
      <c r="VCL26" s="19"/>
      <c r="VCM26" s="19"/>
      <c r="VCN26" s="19"/>
      <c r="VCO26" s="19"/>
      <c r="VCP26" s="19"/>
      <c r="VCQ26" s="19"/>
      <c r="VCR26" s="19"/>
      <c r="VCS26" s="19"/>
      <c r="VCT26" s="19"/>
      <c r="VCU26" s="19"/>
      <c r="VCV26" s="19"/>
      <c r="VCW26" s="19"/>
      <c r="VCX26" s="19"/>
      <c r="VCY26" s="19"/>
      <c r="VCZ26" s="19"/>
      <c r="VDA26" s="19"/>
      <c r="VDB26" s="19"/>
      <c r="VDC26" s="19"/>
      <c r="VDD26" s="19"/>
      <c r="VDE26" s="19"/>
      <c r="VDF26" s="19"/>
      <c r="VDG26" s="19"/>
      <c r="VDH26" s="19"/>
      <c r="VDI26" s="19"/>
      <c r="VDJ26" s="19"/>
      <c r="VDK26" s="19"/>
      <c r="VDL26" s="19"/>
      <c r="VDM26" s="19"/>
      <c r="VDN26" s="19"/>
      <c r="VDO26" s="19"/>
      <c r="VDP26" s="19"/>
      <c r="VDQ26" s="19"/>
      <c r="VDR26" s="19"/>
      <c r="VDS26" s="19"/>
      <c r="VDT26" s="19"/>
      <c r="VDU26" s="19"/>
      <c r="VDV26" s="19"/>
      <c r="VDW26" s="19"/>
      <c r="VDX26" s="19"/>
      <c r="VDY26" s="19"/>
      <c r="VDZ26" s="19"/>
      <c r="VEA26" s="19"/>
      <c r="VEB26" s="19"/>
      <c r="VEC26" s="19"/>
      <c r="VED26" s="19"/>
      <c r="VEE26" s="19"/>
      <c r="VEF26" s="19"/>
      <c r="VEG26" s="19"/>
      <c r="VEH26" s="19"/>
      <c r="VEI26" s="19"/>
      <c r="VEJ26" s="19"/>
      <c r="VEK26" s="19"/>
      <c r="VEL26" s="19"/>
      <c r="VEM26" s="19"/>
      <c r="VEN26" s="19"/>
      <c r="VEO26" s="19"/>
      <c r="VEP26" s="19"/>
      <c r="VEQ26" s="19"/>
      <c r="VER26" s="19"/>
      <c r="VES26" s="19"/>
      <c r="VET26" s="19"/>
      <c r="VEU26" s="19"/>
      <c r="VEV26" s="19"/>
      <c r="VEW26" s="19"/>
      <c r="VEX26" s="19"/>
      <c r="VEY26" s="19"/>
      <c r="VEZ26" s="19"/>
      <c r="VFA26" s="19"/>
      <c r="VFB26" s="19"/>
      <c r="VFC26" s="19"/>
      <c r="VFD26" s="19"/>
      <c r="VFE26" s="19"/>
      <c r="VFF26" s="19"/>
      <c r="VFG26" s="19"/>
      <c r="VFH26" s="19"/>
      <c r="VFI26" s="19"/>
      <c r="VFJ26" s="19"/>
      <c r="VFK26" s="19"/>
      <c r="VFL26" s="19"/>
      <c r="VFM26" s="19"/>
      <c r="VFN26" s="19"/>
      <c r="VFO26" s="19"/>
      <c r="VFP26" s="19"/>
      <c r="VFQ26" s="19"/>
      <c r="VFR26" s="19"/>
      <c r="VFS26" s="19"/>
      <c r="VFT26" s="19"/>
      <c r="VFU26" s="19"/>
      <c r="VFV26" s="19"/>
      <c r="VFW26" s="19"/>
      <c r="VFX26" s="19"/>
      <c r="VFY26" s="19"/>
      <c r="VFZ26" s="19"/>
      <c r="VGA26" s="19"/>
      <c r="VGB26" s="19"/>
      <c r="VGC26" s="19"/>
      <c r="VGD26" s="19"/>
      <c r="VGE26" s="19"/>
      <c r="VGF26" s="19"/>
      <c r="VGG26" s="19"/>
      <c r="VGH26" s="19"/>
      <c r="VGI26" s="19"/>
      <c r="VGJ26" s="19"/>
      <c r="VGK26" s="19"/>
      <c r="VGL26" s="19"/>
      <c r="VGM26" s="19"/>
      <c r="VGN26" s="19"/>
      <c r="VGO26" s="19"/>
      <c r="VGP26" s="19"/>
      <c r="VGQ26" s="19"/>
      <c r="VGR26" s="19"/>
      <c r="VGS26" s="19"/>
      <c r="VGT26" s="19"/>
      <c r="VGU26" s="19"/>
      <c r="VGV26" s="19"/>
      <c r="VGW26" s="19"/>
      <c r="VGX26" s="19"/>
      <c r="VGY26" s="19"/>
      <c r="VGZ26" s="19"/>
      <c r="VHA26" s="19"/>
      <c r="VHB26" s="19"/>
      <c r="VHC26" s="19"/>
      <c r="VHD26" s="19"/>
      <c r="VHE26" s="19"/>
      <c r="VHF26" s="19"/>
      <c r="VHG26" s="19"/>
      <c r="VHH26" s="19"/>
      <c r="VHI26" s="19"/>
      <c r="VHJ26" s="19"/>
      <c r="VHK26" s="19"/>
      <c r="VHL26" s="19"/>
      <c r="VHM26" s="19"/>
      <c r="VHN26" s="19"/>
      <c r="VHO26" s="19"/>
      <c r="VHP26" s="19"/>
      <c r="VHQ26" s="19"/>
      <c r="VHR26" s="19"/>
      <c r="VHS26" s="19"/>
      <c r="VHT26" s="19"/>
      <c r="VHU26" s="19"/>
      <c r="VHV26" s="19"/>
      <c r="VHW26" s="19"/>
      <c r="VHX26" s="19"/>
      <c r="VHY26" s="19"/>
      <c r="VHZ26" s="19"/>
      <c r="VIA26" s="19"/>
      <c r="VIB26" s="19"/>
      <c r="VIC26" s="19"/>
      <c r="VID26" s="19"/>
      <c r="VIE26" s="19"/>
      <c r="VIF26" s="19"/>
      <c r="VIG26" s="19"/>
      <c r="VIH26" s="19"/>
      <c r="VII26" s="19"/>
      <c r="VIJ26" s="19"/>
      <c r="VIK26" s="19"/>
      <c r="VIL26" s="19"/>
      <c r="VIM26" s="19"/>
      <c r="VIN26" s="19"/>
      <c r="VIO26" s="19"/>
      <c r="VIP26" s="19"/>
      <c r="VIQ26" s="19"/>
      <c r="VIR26" s="19"/>
      <c r="VIS26" s="19"/>
      <c r="VIT26" s="19"/>
      <c r="VIU26" s="19"/>
      <c r="VIV26" s="19"/>
      <c r="VIW26" s="19"/>
      <c r="VIX26" s="19"/>
      <c r="VIY26" s="19"/>
      <c r="VIZ26" s="19"/>
      <c r="VJA26" s="19"/>
      <c r="VJB26" s="19"/>
      <c r="VJC26" s="19"/>
      <c r="VJD26" s="19"/>
      <c r="VJE26" s="19"/>
      <c r="VJF26" s="19"/>
      <c r="VJG26" s="19"/>
      <c r="VJH26" s="19"/>
      <c r="VJI26" s="19"/>
      <c r="VJJ26" s="19"/>
      <c r="VJK26" s="19"/>
      <c r="VJL26" s="19"/>
      <c r="VJM26" s="19"/>
      <c r="VJN26" s="19"/>
      <c r="VJO26" s="19"/>
      <c r="VJP26" s="19"/>
      <c r="VJQ26" s="19"/>
      <c r="VJR26" s="19"/>
      <c r="VJS26" s="19"/>
      <c r="VJT26" s="19"/>
      <c r="VJU26" s="19"/>
      <c r="VJV26" s="19"/>
      <c r="VJW26" s="19"/>
      <c r="VJX26" s="19"/>
      <c r="VJY26" s="19"/>
      <c r="VJZ26" s="19"/>
      <c r="VKA26" s="19"/>
      <c r="VKB26" s="19"/>
      <c r="VKC26" s="19"/>
      <c r="VKD26" s="19"/>
      <c r="VKE26" s="19"/>
      <c r="VKF26" s="19"/>
      <c r="VKG26" s="19"/>
      <c r="VKH26" s="19"/>
      <c r="VKI26" s="19"/>
      <c r="VKJ26" s="19"/>
      <c r="VKK26" s="19"/>
      <c r="VKL26" s="19"/>
      <c r="VKM26" s="19"/>
      <c r="VKN26" s="19"/>
      <c r="VKO26" s="19"/>
      <c r="VKP26" s="19"/>
      <c r="VKQ26" s="19"/>
      <c r="VKR26" s="19"/>
      <c r="VKS26" s="19"/>
      <c r="VKT26" s="19"/>
      <c r="VKU26" s="19"/>
      <c r="VKV26" s="19"/>
      <c r="VKW26" s="19"/>
      <c r="VKX26" s="19"/>
      <c r="VKY26" s="19"/>
      <c r="VKZ26" s="19"/>
      <c r="VLA26" s="19"/>
      <c r="VLB26" s="19"/>
      <c r="VLC26" s="19"/>
      <c r="VLD26" s="19"/>
      <c r="VLE26" s="19"/>
      <c r="VLF26" s="19"/>
      <c r="VLG26" s="19"/>
      <c r="VLH26" s="19"/>
      <c r="VLI26" s="19"/>
      <c r="VLJ26" s="19"/>
      <c r="VLK26" s="19"/>
      <c r="VLL26" s="19"/>
      <c r="VLM26" s="19"/>
      <c r="VLN26" s="19"/>
      <c r="VLO26" s="19"/>
      <c r="VLP26" s="19"/>
      <c r="VLQ26" s="19"/>
      <c r="VLR26" s="19"/>
      <c r="VLS26" s="19"/>
      <c r="VLT26" s="19"/>
      <c r="VLU26" s="19"/>
      <c r="VLV26" s="19"/>
      <c r="VLW26" s="19"/>
      <c r="VLX26" s="19"/>
      <c r="VLY26" s="19"/>
      <c r="VLZ26" s="19"/>
      <c r="VMA26" s="19"/>
      <c r="VMB26" s="19"/>
      <c r="VMC26" s="19"/>
      <c r="VMD26" s="19"/>
      <c r="VME26" s="19"/>
      <c r="VMF26" s="19"/>
      <c r="VMG26" s="19"/>
      <c r="VMH26" s="19"/>
      <c r="VMI26" s="19"/>
      <c r="VMJ26" s="19"/>
      <c r="VMK26" s="19"/>
      <c r="VML26" s="19"/>
      <c r="VMM26" s="19"/>
      <c r="VMN26" s="19"/>
      <c r="VMO26" s="19"/>
      <c r="VMP26" s="19"/>
      <c r="VMQ26" s="19"/>
      <c r="VMR26" s="19"/>
      <c r="VMS26" s="19"/>
      <c r="VMT26" s="19"/>
      <c r="VMU26" s="19"/>
      <c r="VMV26" s="19"/>
      <c r="VMW26" s="19"/>
      <c r="VMX26" s="19"/>
      <c r="VMY26" s="19"/>
      <c r="VMZ26" s="19"/>
      <c r="VNA26" s="19"/>
      <c r="VNB26" s="19"/>
      <c r="VNC26" s="19"/>
      <c r="VND26" s="19"/>
      <c r="VNE26" s="19"/>
      <c r="VNF26" s="19"/>
      <c r="VNG26" s="19"/>
      <c r="VNH26" s="19"/>
      <c r="VNI26" s="19"/>
      <c r="VNJ26" s="19"/>
      <c r="VNK26" s="19"/>
      <c r="VNL26" s="19"/>
      <c r="VNM26" s="19"/>
      <c r="VNN26" s="19"/>
      <c r="VNO26" s="19"/>
      <c r="VNP26" s="19"/>
      <c r="VNQ26" s="19"/>
      <c r="VNR26" s="19"/>
      <c r="VNS26" s="19"/>
      <c r="VNT26" s="19"/>
      <c r="VNU26" s="19"/>
      <c r="VNV26" s="19"/>
      <c r="VNW26" s="19"/>
      <c r="VNX26" s="19"/>
      <c r="VNY26" s="19"/>
      <c r="VNZ26" s="19"/>
      <c r="VOA26" s="19"/>
      <c r="VOB26" s="19"/>
      <c r="VOC26" s="19"/>
      <c r="VOD26" s="19"/>
      <c r="VOE26" s="19"/>
      <c r="VOF26" s="19"/>
      <c r="VOG26" s="19"/>
      <c r="VOH26" s="19"/>
      <c r="VOI26" s="19"/>
      <c r="VOJ26" s="19"/>
      <c r="VOK26" s="19"/>
      <c r="VOL26" s="19"/>
      <c r="VOM26" s="19"/>
      <c r="VON26" s="19"/>
      <c r="VOO26" s="19"/>
      <c r="VOP26" s="19"/>
      <c r="VOQ26" s="19"/>
      <c r="VOR26" s="19"/>
      <c r="VOS26" s="19"/>
      <c r="VOT26" s="19"/>
      <c r="VOU26" s="19"/>
      <c r="VOV26" s="19"/>
      <c r="VOW26" s="19"/>
      <c r="VOX26" s="19"/>
      <c r="VOY26" s="19"/>
      <c r="VOZ26" s="19"/>
      <c r="VPA26" s="19"/>
      <c r="VPB26" s="19"/>
      <c r="VPC26" s="19"/>
      <c r="VPD26" s="19"/>
      <c r="VPE26" s="19"/>
      <c r="VPF26" s="19"/>
      <c r="VPG26" s="19"/>
      <c r="VPH26" s="19"/>
      <c r="VPI26" s="19"/>
      <c r="VPJ26" s="19"/>
      <c r="VPK26" s="19"/>
      <c r="VPL26" s="19"/>
      <c r="VPM26" s="19"/>
      <c r="VPN26" s="19"/>
      <c r="VPO26" s="19"/>
      <c r="VPP26" s="19"/>
      <c r="VPQ26" s="19"/>
      <c r="VPR26" s="19"/>
      <c r="VPS26" s="19"/>
      <c r="VPT26" s="19"/>
      <c r="VPU26" s="19"/>
      <c r="VPV26" s="19"/>
      <c r="VPW26" s="19"/>
      <c r="VPX26" s="19"/>
      <c r="VPY26" s="19"/>
      <c r="VPZ26" s="19"/>
      <c r="VQA26" s="19"/>
      <c r="VQB26" s="19"/>
      <c r="VQC26" s="19"/>
      <c r="VQD26" s="19"/>
      <c r="VQE26" s="19"/>
      <c r="VQF26" s="19"/>
      <c r="VQG26" s="19"/>
      <c r="VQH26" s="19"/>
      <c r="VQI26" s="19"/>
      <c r="VQJ26" s="19"/>
      <c r="VQK26" s="19"/>
      <c r="VQL26" s="19"/>
      <c r="VQM26" s="19"/>
      <c r="VQN26" s="19"/>
      <c r="VQO26" s="19"/>
      <c r="VQP26" s="19"/>
      <c r="VQQ26" s="19"/>
      <c r="VQR26" s="19"/>
      <c r="VQS26" s="19"/>
      <c r="VQT26" s="19"/>
      <c r="VQU26" s="19"/>
      <c r="VQV26" s="19"/>
      <c r="VQW26" s="19"/>
      <c r="VQX26" s="19"/>
      <c r="VQY26" s="19"/>
      <c r="VQZ26" s="19"/>
      <c r="VRA26" s="19"/>
      <c r="VRB26" s="19"/>
      <c r="VRC26" s="19"/>
      <c r="VRD26" s="19"/>
      <c r="VRE26" s="19"/>
      <c r="VRF26" s="19"/>
      <c r="VRG26" s="19"/>
      <c r="VRH26" s="19"/>
      <c r="VRI26" s="19"/>
      <c r="VRJ26" s="19"/>
      <c r="VRK26" s="19"/>
      <c r="VRL26" s="19"/>
      <c r="VRM26" s="19"/>
      <c r="VRN26" s="19"/>
      <c r="VRO26" s="19"/>
      <c r="VRP26" s="19"/>
      <c r="VRQ26" s="19"/>
      <c r="VRR26" s="19"/>
      <c r="VRS26" s="19"/>
      <c r="VRT26" s="19"/>
      <c r="VRU26" s="19"/>
      <c r="VRV26" s="19"/>
      <c r="VRW26" s="19"/>
      <c r="VRX26" s="19"/>
      <c r="VRY26" s="19"/>
      <c r="VRZ26" s="19"/>
      <c r="VSA26" s="19"/>
      <c r="VSB26" s="19"/>
      <c r="VSC26" s="19"/>
      <c r="VSD26" s="19"/>
      <c r="VSE26" s="19"/>
      <c r="VSF26" s="19"/>
      <c r="VSG26" s="19"/>
      <c r="VSH26" s="19"/>
      <c r="VSI26" s="19"/>
      <c r="VSJ26" s="19"/>
      <c r="VSK26" s="19"/>
      <c r="VSL26" s="19"/>
      <c r="VSM26" s="19"/>
      <c r="VSN26" s="19"/>
      <c r="VSO26" s="19"/>
      <c r="VSP26" s="19"/>
      <c r="VSQ26" s="19"/>
      <c r="VSR26" s="19"/>
      <c r="VSS26" s="19"/>
      <c r="VST26" s="19"/>
      <c r="VSU26" s="19"/>
      <c r="VSV26" s="19"/>
      <c r="VSW26" s="19"/>
      <c r="VSX26" s="19"/>
      <c r="VSY26" s="19"/>
      <c r="VSZ26" s="19"/>
      <c r="VTA26" s="19"/>
      <c r="VTB26" s="19"/>
      <c r="VTC26" s="19"/>
      <c r="VTD26" s="19"/>
      <c r="VTE26" s="19"/>
      <c r="VTF26" s="19"/>
      <c r="VTG26" s="19"/>
      <c r="VTH26" s="19"/>
      <c r="VTI26" s="19"/>
      <c r="VTJ26" s="19"/>
      <c r="VTK26" s="19"/>
      <c r="VTL26" s="19"/>
      <c r="VTM26" s="19"/>
      <c r="VTN26" s="19"/>
      <c r="VTO26" s="19"/>
      <c r="VTP26" s="19"/>
      <c r="VTQ26" s="19"/>
      <c r="VTR26" s="19"/>
      <c r="VTS26" s="19"/>
      <c r="VTT26" s="19"/>
      <c r="VTU26" s="19"/>
      <c r="VTV26" s="19"/>
      <c r="VTW26" s="19"/>
      <c r="VTX26" s="19"/>
      <c r="VTY26" s="19"/>
      <c r="VTZ26" s="19"/>
      <c r="VUA26" s="19"/>
      <c r="VUB26" s="19"/>
      <c r="VUC26" s="19"/>
      <c r="VUD26" s="19"/>
      <c r="VUE26" s="19"/>
      <c r="VUF26" s="19"/>
      <c r="VUG26" s="19"/>
      <c r="VUH26" s="19"/>
      <c r="VUI26" s="19"/>
      <c r="VUJ26" s="19"/>
      <c r="VUK26" s="19"/>
      <c r="VUL26" s="19"/>
      <c r="VUM26" s="19"/>
      <c r="VUN26" s="19"/>
      <c r="VUO26" s="19"/>
      <c r="VUP26" s="19"/>
      <c r="VUQ26" s="19"/>
      <c r="VUR26" s="19"/>
      <c r="VUS26" s="19"/>
      <c r="VUT26" s="19"/>
      <c r="VUU26" s="19"/>
      <c r="VUV26" s="19"/>
      <c r="VUW26" s="19"/>
      <c r="VUX26" s="19"/>
      <c r="VUY26" s="19"/>
      <c r="VUZ26" s="19"/>
      <c r="VVA26" s="19"/>
      <c r="VVB26" s="19"/>
      <c r="VVC26" s="19"/>
      <c r="VVD26" s="19"/>
      <c r="VVE26" s="19"/>
      <c r="VVF26" s="19"/>
      <c r="VVG26" s="19"/>
      <c r="VVH26" s="19"/>
      <c r="VVI26" s="19"/>
      <c r="VVJ26" s="19"/>
      <c r="VVK26" s="19"/>
      <c r="VVL26" s="19"/>
      <c r="VVM26" s="19"/>
      <c r="VVN26" s="19"/>
      <c r="VVO26" s="19"/>
      <c r="VVP26" s="19"/>
      <c r="VVQ26" s="19"/>
      <c r="VVR26" s="19"/>
      <c r="VVS26" s="19"/>
      <c r="VVT26" s="19"/>
      <c r="VVU26" s="19"/>
      <c r="VVV26" s="19"/>
      <c r="VVW26" s="19"/>
      <c r="VVX26" s="19"/>
      <c r="VVY26" s="19"/>
      <c r="VVZ26" s="19"/>
      <c r="VWA26" s="19"/>
      <c r="VWB26" s="19"/>
      <c r="VWC26" s="19"/>
      <c r="VWD26" s="19"/>
      <c r="VWE26" s="19"/>
      <c r="VWF26" s="19"/>
      <c r="VWG26" s="19"/>
      <c r="VWH26" s="19"/>
      <c r="VWI26" s="19"/>
      <c r="VWJ26" s="19"/>
      <c r="VWK26" s="19"/>
      <c r="VWL26" s="19"/>
      <c r="VWM26" s="19"/>
      <c r="VWN26" s="19"/>
      <c r="VWO26" s="19"/>
      <c r="VWP26" s="19"/>
      <c r="VWQ26" s="19"/>
      <c r="VWR26" s="19"/>
      <c r="VWS26" s="19"/>
      <c r="VWT26" s="19"/>
      <c r="VWU26" s="19"/>
      <c r="VWV26" s="19"/>
      <c r="VWW26" s="19"/>
      <c r="VWX26" s="19"/>
      <c r="VWY26" s="19"/>
      <c r="VWZ26" s="19"/>
      <c r="VXA26" s="19"/>
      <c r="VXB26" s="19"/>
      <c r="VXC26" s="19"/>
      <c r="VXD26" s="19"/>
      <c r="VXE26" s="19"/>
      <c r="VXF26" s="19"/>
      <c r="VXG26" s="19"/>
      <c r="VXH26" s="19"/>
      <c r="VXI26" s="19"/>
      <c r="VXJ26" s="19"/>
      <c r="VXK26" s="19"/>
      <c r="VXL26" s="19"/>
      <c r="VXM26" s="19"/>
      <c r="VXN26" s="19"/>
      <c r="VXO26" s="19"/>
      <c r="VXP26" s="19"/>
      <c r="VXQ26" s="19"/>
      <c r="VXR26" s="19"/>
      <c r="VXS26" s="19"/>
      <c r="VXT26" s="19"/>
      <c r="VXU26" s="19"/>
      <c r="VXV26" s="19"/>
      <c r="VXW26" s="19"/>
      <c r="VXX26" s="19"/>
      <c r="VXY26" s="19"/>
      <c r="VXZ26" s="19"/>
      <c r="VYA26" s="19"/>
      <c r="VYB26" s="19"/>
      <c r="VYC26" s="19"/>
      <c r="VYD26" s="19"/>
      <c r="VYE26" s="19"/>
      <c r="VYF26" s="19"/>
      <c r="VYG26" s="19"/>
      <c r="VYH26" s="19"/>
      <c r="VYI26" s="19"/>
      <c r="VYJ26" s="19"/>
      <c r="VYK26" s="19"/>
      <c r="VYL26" s="19"/>
      <c r="VYM26" s="19"/>
      <c r="VYN26" s="19"/>
      <c r="VYO26" s="19"/>
      <c r="VYP26" s="19"/>
      <c r="VYQ26" s="19"/>
      <c r="VYR26" s="19"/>
      <c r="VYS26" s="19"/>
      <c r="VYT26" s="19"/>
      <c r="VYU26" s="19"/>
      <c r="VYV26" s="19"/>
      <c r="VYW26" s="19"/>
      <c r="VYX26" s="19"/>
      <c r="VYY26" s="19"/>
      <c r="VYZ26" s="19"/>
      <c r="VZA26" s="19"/>
      <c r="VZB26" s="19"/>
      <c r="VZC26" s="19"/>
      <c r="VZD26" s="19"/>
      <c r="VZE26" s="19"/>
      <c r="VZF26" s="19"/>
      <c r="VZG26" s="19"/>
      <c r="VZH26" s="19"/>
      <c r="VZI26" s="19"/>
      <c r="VZJ26" s="19"/>
      <c r="VZK26" s="19"/>
      <c r="VZL26" s="19"/>
      <c r="VZM26" s="19"/>
      <c r="VZN26" s="19"/>
      <c r="VZO26" s="19"/>
      <c r="VZP26" s="19"/>
      <c r="VZQ26" s="19"/>
      <c r="VZR26" s="19"/>
      <c r="VZS26" s="19"/>
      <c r="VZT26" s="19"/>
      <c r="VZU26" s="19"/>
      <c r="VZV26" s="19"/>
      <c r="VZW26" s="19"/>
      <c r="VZX26" s="19"/>
      <c r="VZY26" s="19"/>
      <c r="VZZ26" s="19"/>
      <c r="WAA26" s="19"/>
      <c r="WAB26" s="19"/>
      <c r="WAC26" s="19"/>
      <c r="WAD26" s="19"/>
      <c r="WAE26" s="19"/>
      <c r="WAF26" s="19"/>
      <c r="WAG26" s="19"/>
      <c r="WAH26" s="19"/>
      <c r="WAI26" s="19"/>
      <c r="WAJ26" s="19"/>
      <c r="WAK26" s="19"/>
      <c r="WAL26" s="19"/>
      <c r="WAM26" s="19"/>
      <c r="WAN26" s="19"/>
      <c r="WAO26" s="19"/>
      <c r="WAP26" s="19"/>
      <c r="WAQ26" s="19"/>
      <c r="WAR26" s="19"/>
      <c r="WAS26" s="19"/>
      <c r="WAT26" s="19"/>
      <c r="WAU26" s="19"/>
      <c r="WAV26" s="19"/>
      <c r="WAW26" s="19"/>
      <c r="WAX26" s="19"/>
      <c r="WAY26" s="19"/>
      <c r="WAZ26" s="19"/>
      <c r="WBA26" s="19"/>
      <c r="WBB26" s="19"/>
      <c r="WBC26" s="19"/>
      <c r="WBD26" s="19"/>
      <c r="WBE26" s="19"/>
      <c r="WBF26" s="19"/>
      <c r="WBG26" s="19"/>
      <c r="WBH26" s="19"/>
      <c r="WBI26" s="19"/>
      <c r="WBJ26" s="19"/>
      <c r="WBK26" s="19"/>
      <c r="WBL26" s="19"/>
      <c r="WBM26" s="19"/>
      <c r="WBN26" s="19"/>
      <c r="WBO26" s="19"/>
      <c r="WBP26" s="19"/>
      <c r="WBQ26" s="19"/>
      <c r="WBR26" s="19"/>
      <c r="WBS26" s="19"/>
      <c r="WBT26" s="19"/>
      <c r="WBU26" s="19"/>
      <c r="WBV26" s="19"/>
      <c r="WBW26" s="19"/>
      <c r="WBX26" s="19"/>
      <c r="WBY26" s="19"/>
      <c r="WBZ26" s="19"/>
      <c r="WCA26" s="19"/>
      <c r="WCB26" s="19"/>
      <c r="WCC26" s="19"/>
      <c r="WCD26" s="19"/>
      <c r="WCE26" s="19"/>
      <c r="WCF26" s="19"/>
      <c r="WCG26" s="19"/>
      <c r="WCH26" s="19"/>
      <c r="WCI26" s="19"/>
      <c r="WCJ26" s="19"/>
      <c r="WCK26" s="19"/>
      <c r="WCL26" s="19"/>
      <c r="WCM26" s="19"/>
      <c r="WCN26" s="19"/>
      <c r="WCO26" s="19"/>
      <c r="WCP26" s="19"/>
      <c r="WCQ26" s="19"/>
      <c r="WCR26" s="19"/>
      <c r="WCS26" s="19"/>
      <c r="WCT26" s="19"/>
      <c r="WCU26" s="19"/>
      <c r="WCV26" s="19"/>
      <c r="WCW26" s="19"/>
      <c r="WCX26" s="19"/>
      <c r="WCY26" s="19"/>
      <c r="WCZ26" s="19"/>
      <c r="WDA26" s="19"/>
      <c r="WDB26" s="19"/>
      <c r="WDC26" s="19"/>
      <c r="WDD26" s="19"/>
      <c r="WDE26" s="19"/>
      <c r="WDF26" s="19"/>
      <c r="WDG26" s="19"/>
      <c r="WDH26" s="19"/>
      <c r="WDI26" s="19"/>
      <c r="WDJ26" s="19"/>
      <c r="WDK26" s="19"/>
      <c r="WDL26" s="19"/>
      <c r="WDM26" s="19"/>
      <c r="WDN26" s="19"/>
      <c r="WDO26" s="19"/>
      <c r="WDP26" s="19"/>
      <c r="WDQ26" s="19"/>
      <c r="WDR26" s="19"/>
      <c r="WDS26" s="19"/>
      <c r="WDT26" s="19"/>
      <c r="WDU26" s="19"/>
      <c r="WDV26" s="19"/>
      <c r="WDW26" s="19"/>
      <c r="WDX26" s="19"/>
      <c r="WDY26" s="19"/>
      <c r="WDZ26" s="19"/>
      <c r="WEA26" s="19"/>
      <c r="WEB26" s="19"/>
      <c r="WEC26" s="19"/>
      <c r="WED26" s="19"/>
      <c r="WEE26" s="19"/>
      <c r="WEF26" s="19"/>
      <c r="WEG26" s="19"/>
      <c r="WEH26" s="19"/>
      <c r="WEI26" s="19"/>
      <c r="WEJ26" s="19"/>
      <c r="WEK26" s="19"/>
      <c r="WEL26" s="19"/>
      <c r="WEM26" s="19"/>
      <c r="WEN26" s="19"/>
      <c r="WEO26" s="19"/>
      <c r="WEP26" s="19"/>
      <c r="WEQ26" s="19"/>
      <c r="WER26" s="19"/>
      <c r="WES26" s="19"/>
      <c r="WET26" s="19"/>
      <c r="WEU26" s="19"/>
      <c r="WEV26" s="19"/>
      <c r="WEW26" s="19"/>
      <c r="WEX26" s="19"/>
      <c r="WEY26" s="19"/>
      <c r="WEZ26" s="19"/>
      <c r="WFA26" s="19"/>
      <c r="WFB26" s="19"/>
      <c r="WFC26" s="19"/>
      <c r="WFD26" s="19"/>
      <c r="WFE26" s="19"/>
      <c r="WFF26" s="19"/>
      <c r="WFG26" s="19"/>
      <c r="WFH26" s="19"/>
      <c r="WFI26" s="19"/>
      <c r="WFJ26" s="19"/>
      <c r="WFK26" s="19"/>
      <c r="WFL26" s="19"/>
      <c r="WFM26" s="19"/>
      <c r="WFN26" s="19"/>
      <c r="WFO26" s="19"/>
      <c r="WFP26" s="19"/>
      <c r="WFQ26" s="19"/>
      <c r="WFR26" s="19"/>
      <c r="WFS26" s="19"/>
      <c r="WFT26" s="19"/>
      <c r="WFU26" s="19"/>
      <c r="WFV26" s="19"/>
      <c r="WFW26" s="19"/>
      <c r="WFX26" s="19"/>
      <c r="WFY26" s="19"/>
      <c r="WFZ26" s="19"/>
      <c r="WGA26" s="19"/>
      <c r="WGB26" s="19"/>
      <c r="WGC26" s="19"/>
      <c r="WGD26" s="19"/>
      <c r="WGE26" s="19"/>
      <c r="WGF26" s="19"/>
      <c r="WGG26" s="19"/>
      <c r="WGH26" s="19"/>
      <c r="WGI26" s="19"/>
      <c r="WGJ26" s="19"/>
      <c r="WGK26" s="19"/>
      <c r="WGL26" s="19"/>
      <c r="WGM26" s="19"/>
      <c r="WGN26" s="19"/>
      <c r="WGO26" s="19"/>
      <c r="WGP26" s="19"/>
      <c r="WGQ26" s="19"/>
      <c r="WGR26" s="19"/>
      <c r="WGS26" s="19"/>
      <c r="WGT26" s="19"/>
      <c r="WGU26" s="19"/>
      <c r="WGV26" s="19"/>
      <c r="WGW26" s="19"/>
      <c r="WGX26" s="19"/>
      <c r="WGY26" s="19"/>
      <c r="WGZ26" s="19"/>
      <c r="WHA26" s="19"/>
      <c r="WHB26" s="19"/>
      <c r="WHC26" s="19"/>
      <c r="WHD26" s="19"/>
      <c r="WHE26" s="19"/>
      <c r="WHF26" s="19"/>
      <c r="WHG26" s="19"/>
      <c r="WHH26" s="19"/>
      <c r="WHI26" s="19"/>
      <c r="WHJ26" s="19"/>
      <c r="WHK26" s="19"/>
      <c r="WHL26" s="19"/>
      <c r="WHM26" s="19"/>
      <c r="WHN26" s="19"/>
      <c r="WHO26" s="19"/>
      <c r="WHP26" s="19"/>
      <c r="WHQ26" s="19"/>
      <c r="WHR26" s="19"/>
      <c r="WHS26" s="19"/>
      <c r="WHT26" s="19"/>
      <c r="WHU26" s="19"/>
      <c r="WHV26" s="19"/>
      <c r="WHW26" s="19"/>
      <c r="WHX26" s="19"/>
      <c r="WHY26" s="19"/>
      <c r="WHZ26" s="19"/>
      <c r="WIA26" s="19"/>
      <c r="WIB26" s="19"/>
      <c r="WIC26" s="19"/>
      <c r="WID26" s="19"/>
      <c r="WIE26" s="19"/>
      <c r="WIF26" s="19"/>
      <c r="WIG26" s="19"/>
      <c r="WIH26" s="19"/>
      <c r="WII26" s="19"/>
      <c r="WIJ26" s="19"/>
      <c r="WIK26" s="19"/>
      <c r="WIL26" s="19"/>
      <c r="WIM26" s="19"/>
      <c r="WIN26" s="19"/>
      <c r="WIO26" s="19"/>
      <c r="WIP26" s="19"/>
      <c r="WIQ26" s="19"/>
      <c r="WIR26" s="19"/>
      <c r="WIS26" s="19"/>
      <c r="WIT26" s="19"/>
      <c r="WIU26" s="19"/>
      <c r="WIV26" s="19"/>
      <c r="WIW26" s="19"/>
      <c r="WIX26" s="19"/>
      <c r="WIY26" s="19"/>
      <c r="WIZ26" s="19"/>
      <c r="WJA26" s="19"/>
      <c r="WJB26" s="19"/>
      <c r="WJC26" s="19"/>
      <c r="WJD26" s="19"/>
      <c r="WJE26" s="19"/>
      <c r="WJF26" s="19"/>
      <c r="WJG26" s="19"/>
      <c r="WJH26" s="19"/>
      <c r="WJI26" s="19"/>
      <c r="WJJ26" s="19"/>
      <c r="WJK26" s="19"/>
      <c r="WJL26" s="19"/>
      <c r="WJM26" s="19"/>
      <c r="WJN26" s="19"/>
      <c r="WJO26" s="19"/>
      <c r="WJP26" s="19"/>
      <c r="WJQ26" s="19"/>
      <c r="WJR26" s="19"/>
      <c r="WJS26" s="19"/>
      <c r="WJT26" s="19"/>
      <c r="WJU26" s="19"/>
      <c r="WJV26" s="19"/>
      <c r="WJW26" s="19"/>
      <c r="WJX26" s="19"/>
      <c r="WJY26" s="19"/>
      <c r="WJZ26" s="19"/>
      <c r="WKA26" s="19"/>
      <c r="WKB26" s="19"/>
      <c r="WKC26" s="19"/>
      <c r="WKD26" s="19"/>
      <c r="WKE26" s="19"/>
      <c r="WKF26" s="19"/>
      <c r="WKG26" s="19"/>
      <c r="WKH26" s="19"/>
      <c r="WKI26" s="19"/>
      <c r="WKJ26" s="19"/>
      <c r="WKK26" s="19"/>
      <c r="WKL26" s="19"/>
      <c r="WKM26" s="19"/>
      <c r="WKN26" s="19"/>
      <c r="WKO26" s="19"/>
      <c r="WKP26" s="19"/>
      <c r="WKQ26" s="19"/>
      <c r="WKR26" s="19"/>
      <c r="WKS26" s="19"/>
      <c r="WKT26" s="19"/>
      <c r="WKU26" s="19"/>
      <c r="WKV26" s="19"/>
      <c r="WKW26" s="19"/>
      <c r="WKX26" s="19"/>
      <c r="WKY26" s="19"/>
      <c r="WKZ26" s="19"/>
      <c r="WLA26" s="19"/>
      <c r="WLB26" s="19"/>
      <c r="WLC26" s="19"/>
      <c r="WLD26" s="19"/>
      <c r="WLE26" s="19"/>
      <c r="WLF26" s="19"/>
      <c r="WLG26" s="19"/>
      <c r="WLH26" s="19"/>
      <c r="WLI26" s="19"/>
      <c r="WLJ26" s="19"/>
      <c r="WLK26" s="19"/>
      <c r="WLL26" s="19"/>
      <c r="WLM26" s="19"/>
      <c r="WLN26" s="19"/>
      <c r="WLO26" s="19"/>
      <c r="WLP26" s="19"/>
      <c r="WLQ26" s="19"/>
      <c r="WLR26" s="19"/>
      <c r="WLS26" s="19"/>
      <c r="WLT26" s="19"/>
      <c r="WLU26" s="19"/>
      <c r="WLV26" s="19"/>
      <c r="WLW26" s="19"/>
      <c r="WLX26" s="19"/>
      <c r="WLY26" s="19"/>
      <c r="WLZ26" s="19"/>
      <c r="WMA26" s="19"/>
      <c r="WMB26" s="19"/>
      <c r="WMC26" s="19"/>
      <c r="WMD26" s="19"/>
      <c r="WME26" s="19"/>
      <c r="WMF26" s="19"/>
      <c r="WMG26" s="19"/>
      <c r="WMH26" s="19"/>
      <c r="WMI26" s="19"/>
      <c r="WMJ26" s="19"/>
      <c r="WMK26" s="19"/>
      <c r="WML26" s="19"/>
      <c r="WMM26" s="19"/>
      <c r="WMN26" s="19"/>
      <c r="WMO26" s="19"/>
      <c r="WMP26" s="19"/>
      <c r="WMQ26" s="19"/>
      <c r="WMR26" s="19"/>
      <c r="WMS26" s="19"/>
      <c r="WMT26" s="19"/>
      <c r="WMU26" s="19"/>
      <c r="WMV26" s="19"/>
      <c r="WMW26" s="19"/>
      <c r="WMX26" s="19"/>
      <c r="WMY26" s="19"/>
      <c r="WMZ26" s="19"/>
      <c r="WNA26" s="19"/>
      <c r="WNB26" s="19"/>
      <c r="WNC26" s="19"/>
      <c r="WND26" s="19"/>
      <c r="WNE26" s="19"/>
      <c r="WNF26" s="19"/>
      <c r="WNG26" s="19"/>
      <c r="WNH26" s="19"/>
      <c r="WNI26" s="19"/>
      <c r="WNJ26" s="19"/>
      <c r="WNK26" s="19"/>
      <c r="WNL26" s="19"/>
      <c r="WNM26" s="19"/>
      <c r="WNN26" s="19"/>
      <c r="WNO26" s="19"/>
      <c r="WNP26" s="19"/>
      <c r="WNQ26" s="19"/>
      <c r="WNR26" s="19"/>
      <c r="WNS26" s="19"/>
      <c r="WNT26" s="19"/>
      <c r="WNU26" s="19"/>
      <c r="WNV26" s="19"/>
      <c r="WNW26" s="19"/>
      <c r="WNX26" s="19"/>
      <c r="WNY26" s="19"/>
      <c r="WNZ26" s="19"/>
      <c r="WOA26" s="19"/>
      <c r="WOB26" s="19"/>
      <c r="WOC26" s="19"/>
      <c r="WOD26" s="19"/>
      <c r="WOE26" s="19"/>
      <c r="WOF26" s="19"/>
      <c r="WOG26" s="19"/>
      <c r="WOH26" s="19"/>
      <c r="WOI26" s="19"/>
      <c r="WOJ26" s="19"/>
      <c r="WOK26" s="19"/>
      <c r="WOL26" s="19"/>
      <c r="WOM26" s="19"/>
      <c r="WON26" s="19"/>
      <c r="WOO26" s="19"/>
      <c r="WOP26" s="19"/>
      <c r="WOQ26" s="19"/>
      <c r="WOR26" s="19"/>
      <c r="WOS26" s="19"/>
      <c r="WOT26" s="19"/>
      <c r="WOU26" s="19"/>
      <c r="WOV26" s="19"/>
      <c r="WOW26" s="19"/>
      <c r="WOX26" s="19"/>
      <c r="WOY26" s="19"/>
      <c r="WOZ26" s="19"/>
      <c r="WPA26" s="19"/>
      <c r="WPB26" s="19"/>
      <c r="WPC26" s="19"/>
      <c r="WPD26" s="19"/>
      <c r="WPE26" s="19"/>
      <c r="WPF26" s="19"/>
      <c r="WPG26" s="19"/>
      <c r="WPH26" s="19"/>
      <c r="WPI26" s="19"/>
      <c r="WPJ26" s="19"/>
      <c r="WPK26" s="19"/>
      <c r="WPL26" s="19"/>
      <c r="WPM26" s="19"/>
      <c r="WPN26" s="19"/>
      <c r="WPO26" s="19"/>
      <c r="WPP26" s="19"/>
      <c r="WPQ26" s="19"/>
      <c r="WPR26" s="19"/>
      <c r="WPS26" s="19"/>
      <c r="WPT26" s="19"/>
      <c r="WPU26" s="19"/>
      <c r="WPV26" s="19"/>
      <c r="WPW26" s="19"/>
      <c r="WPX26" s="19"/>
      <c r="WPY26" s="19"/>
      <c r="WPZ26" s="19"/>
      <c r="WQA26" s="19"/>
      <c r="WQB26" s="19"/>
      <c r="WQC26" s="19"/>
      <c r="WQD26" s="19"/>
      <c r="WQE26" s="19"/>
      <c r="WQF26" s="19"/>
      <c r="WQG26" s="19"/>
      <c r="WQH26" s="19"/>
      <c r="WQI26" s="19"/>
      <c r="WQJ26" s="19"/>
      <c r="WQK26" s="19"/>
      <c r="WQL26" s="19"/>
      <c r="WQM26" s="19"/>
      <c r="WQN26" s="19"/>
      <c r="WQO26" s="19"/>
      <c r="WQP26" s="19"/>
      <c r="WQQ26" s="19"/>
      <c r="WQR26" s="19"/>
      <c r="WQS26" s="19"/>
      <c r="WQT26" s="19"/>
      <c r="WQU26" s="19"/>
      <c r="WQV26" s="19"/>
      <c r="WQW26" s="19"/>
      <c r="WQX26" s="19"/>
      <c r="WQY26" s="19"/>
      <c r="WQZ26" s="19"/>
      <c r="WRA26" s="19"/>
      <c r="WRB26" s="19"/>
      <c r="WRC26" s="19"/>
      <c r="WRD26" s="19"/>
      <c r="WRE26" s="19"/>
      <c r="WRF26" s="19"/>
      <c r="WRG26" s="19"/>
      <c r="WRH26" s="19"/>
      <c r="WRI26" s="19"/>
      <c r="WRJ26" s="19"/>
      <c r="WRK26" s="19"/>
      <c r="WRL26" s="19"/>
      <c r="WRM26" s="19"/>
      <c r="WRN26" s="19"/>
      <c r="WRO26" s="19"/>
      <c r="WRP26" s="19"/>
      <c r="WRQ26" s="19"/>
      <c r="WRR26" s="19"/>
      <c r="WRS26" s="19"/>
      <c r="WRT26" s="19"/>
      <c r="WRU26" s="19"/>
      <c r="WRV26" s="19"/>
      <c r="WRW26" s="19"/>
      <c r="WRX26" s="19"/>
      <c r="WRY26" s="19"/>
      <c r="WRZ26" s="19"/>
      <c r="WSA26" s="19"/>
      <c r="WSB26" s="19"/>
      <c r="WSC26" s="19"/>
      <c r="WSD26" s="19"/>
      <c r="WSE26" s="19"/>
      <c r="WSF26" s="19"/>
      <c r="WSG26" s="19"/>
      <c r="WSH26" s="19"/>
      <c r="WSI26" s="19"/>
      <c r="WSJ26" s="19"/>
      <c r="WSK26" s="19"/>
      <c r="WSL26" s="19"/>
      <c r="WSM26" s="19"/>
      <c r="WSN26" s="19"/>
      <c r="WSO26" s="19"/>
      <c r="WSP26" s="19"/>
      <c r="WSQ26" s="19"/>
      <c r="WSR26" s="19"/>
      <c r="WSS26" s="19"/>
      <c r="WST26" s="19"/>
      <c r="WSU26" s="19"/>
      <c r="WSV26" s="19"/>
      <c r="WSW26" s="19"/>
      <c r="WSX26" s="19"/>
      <c r="WSY26" s="19"/>
      <c r="WSZ26" s="19"/>
      <c r="WTA26" s="19"/>
      <c r="WTB26" s="19"/>
      <c r="WTC26" s="19"/>
      <c r="WTD26" s="19"/>
      <c r="WTE26" s="19"/>
      <c r="WTF26" s="19"/>
      <c r="WTG26" s="19"/>
      <c r="WTH26" s="19"/>
      <c r="WTI26" s="19"/>
      <c r="WTJ26" s="19"/>
      <c r="WTK26" s="19"/>
      <c r="WTL26" s="19"/>
      <c r="WTM26" s="19"/>
      <c r="WTN26" s="19"/>
      <c r="WTO26" s="19"/>
      <c r="WTP26" s="19"/>
      <c r="WTQ26" s="19"/>
      <c r="WTR26" s="19"/>
      <c r="WTS26" s="19"/>
      <c r="WTT26" s="19"/>
      <c r="WTU26" s="19"/>
      <c r="WTV26" s="19"/>
      <c r="WTW26" s="19"/>
      <c r="WTX26" s="19"/>
      <c r="WTY26" s="19"/>
      <c r="WTZ26" s="19"/>
      <c r="WUA26" s="19"/>
      <c r="WUB26" s="19"/>
      <c r="WUC26" s="19"/>
      <c r="WUD26" s="19"/>
      <c r="WUE26" s="19"/>
      <c r="WUF26" s="19"/>
      <c r="WUG26" s="19"/>
      <c r="WUH26" s="19"/>
      <c r="WUI26" s="19"/>
      <c r="WUJ26" s="19"/>
      <c r="WUK26" s="19"/>
      <c r="WUL26" s="19"/>
      <c r="WUM26" s="19"/>
      <c r="WUN26" s="19"/>
      <c r="WUO26" s="19"/>
      <c r="WUP26" s="19"/>
      <c r="WUQ26" s="19"/>
      <c r="WUR26" s="19"/>
      <c r="WUS26" s="19"/>
      <c r="WUT26" s="19"/>
      <c r="WUU26" s="19"/>
      <c r="WUV26" s="19"/>
      <c r="WUW26" s="19"/>
      <c r="WUX26" s="19"/>
      <c r="WUY26" s="19"/>
      <c r="WUZ26" s="19"/>
      <c r="WVA26" s="19"/>
      <c r="WVB26" s="19"/>
      <c r="WVC26" s="19"/>
      <c r="WVD26" s="19"/>
      <c r="WVE26" s="19"/>
      <c r="WVF26" s="19"/>
      <c r="WVG26" s="19"/>
      <c r="WVH26" s="19"/>
      <c r="WVI26" s="19"/>
      <c r="WVJ26" s="19"/>
      <c r="WVK26" s="19"/>
      <c r="WVL26" s="19"/>
      <c r="WVM26" s="19"/>
      <c r="WVN26" s="19"/>
      <c r="WVO26" s="19"/>
      <c r="WVP26" s="19"/>
      <c r="WVQ26" s="19"/>
      <c r="WVR26" s="19"/>
      <c r="WVS26" s="19"/>
      <c r="WVT26" s="19"/>
      <c r="WVU26" s="19"/>
      <c r="WVV26" s="19"/>
      <c r="WVW26" s="19"/>
      <c r="WVX26" s="19"/>
      <c r="WVY26" s="19"/>
      <c r="WVZ26" s="19"/>
      <c r="WWA26" s="19"/>
      <c r="WWB26" s="19"/>
      <c r="WWC26" s="19"/>
      <c r="WWD26" s="19"/>
      <c r="WWE26" s="19"/>
      <c r="WWF26" s="19"/>
      <c r="WWG26" s="19"/>
      <c r="WWH26" s="19"/>
      <c r="WWI26" s="19"/>
      <c r="WWJ26" s="19"/>
      <c r="WWK26" s="19"/>
      <c r="WWL26" s="19"/>
      <c r="WWM26" s="19"/>
      <c r="WWN26" s="19"/>
      <c r="WWO26" s="19"/>
      <c r="WWP26" s="19"/>
      <c r="WWQ26" s="19"/>
      <c r="WWR26" s="19"/>
      <c r="WWS26" s="19"/>
      <c r="WWT26" s="19"/>
      <c r="WWU26" s="19"/>
      <c r="WWV26" s="19"/>
      <c r="WWW26" s="19"/>
      <c r="WWX26" s="19"/>
      <c r="WWY26" s="19"/>
      <c r="WWZ26" s="19"/>
      <c r="WXA26" s="19"/>
      <c r="WXB26" s="19"/>
      <c r="WXC26" s="19"/>
      <c r="WXD26" s="19"/>
      <c r="WXE26" s="19"/>
      <c r="WXF26" s="19"/>
      <c r="WXG26" s="19"/>
      <c r="WXH26" s="19"/>
      <c r="WXI26" s="19"/>
      <c r="WXJ26" s="19"/>
      <c r="WXK26" s="19"/>
      <c r="WXL26" s="19"/>
      <c r="WXM26" s="19"/>
      <c r="WXN26" s="19"/>
      <c r="WXO26" s="19"/>
      <c r="WXP26" s="19"/>
      <c r="WXQ26" s="19"/>
      <c r="WXR26" s="19"/>
      <c r="WXS26" s="19"/>
      <c r="WXT26" s="19"/>
      <c r="WXU26" s="19"/>
      <c r="WXV26" s="19"/>
      <c r="WXW26" s="19"/>
      <c r="WXX26" s="19"/>
      <c r="WXY26" s="19"/>
      <c r="WXZ26" s="19"/>
      <c r="WYA26" s="19"/>
      <c r="WYB26" s="19"/>
      <c r="WYC26" s="19"/>
      <c r="WYD26" s="19"/>
      <c r="WYE26" s="19"/>
      <c r="WYF26" s="19"/>
      <c r="WYG26" s="19"/>
      <c r="WYH26" s="19"/>
      <c r="WYI26" s="19"/>
      <c r="WYJ26" s="19"/>
      <c r="WYK26" s="19"/>
      <c r="WYL26" s="19"/>
      <c r="WYM26" s="19"/>
      <c r="WYN26" s="19"/>
      <c r="WYO26" s="19"/>
      <c r="WYP26" s="19"/>
      <c r="WYQ26" s="19"/>
      <c r="WYR26" s="19"/>
      <c r="WYS26" s="19"/>
      <c r="WYT26" s="19"/>
      <c r="WYU26" s="19"/>
      <c r="WYV26" s="19"/>
      <c r="WYW26" s="19"/>
      <c r="WYX26" s="19"/>
      <c r="WYY26" s="19"/>
      <c r="WYZ26" s="19"/>
      <c r="WZA26" s="19"/>
      <c r="WZB26" s="19"/>
      <c r="WZC26" s="19"/>
      <c r="WZD26" s="19"/>
      <c r="WZE26" s="19"/>
      <c r="WZF26" s="19"/>
      <c r="WZG26" s="19"/>
      <c r="WZH26" s="19"/>
      <c r="WZI26" s="19"/>
      <c r="WZJ26" s="19"/>
      <c r="WZK26" s="19"/>
      <c r="WZL26" s="19"/>
      <c r="WZM26" s="19"/>
      <c r="WZN26" s="19"/>
      <c r="WZO26" s="19"/>
      <c r="WZP26" s="19"/>
      <c r="WZQ26" s="19"/>
      <c r="WZR26" s="19"/>
      <c r="WZS26" s="19"/>
      <c r="WZT26" s="19"/>
      <c r="WZU26" s="19"/>
      <c r="WZV26" s="19"/>
      <c r="WZW26" s="19"/>
      <c r="WZX26" s="19"/>
      <c r="WZY26" s="19"/>
      <c r="WZZ26" s="19"/>
      <c r="XAA26" s="19"/>
      <c r="XAB26" s="19"/>
      <c r="XAC26" s="19"/>
      <c r="XAD26" s="19"/>
      <c r="XAE26" s="19"/>
      <c r="XAF26" s="19"/>
      <c r="XAG26" s="19"/>
      <c r="XAH26" s="19"/>
      <c r="XAI26" s="19"/>
      <c r="XAJ26" s="19"/>
      <c r="XAK26" s="19"/>
      <c r="XAL26" s="19"/>
      <c r="XAM26" s="19"/>
      <c r="XAN26" s="19"/>
      <c r="XAO26" s="19"/>
      <c r="XAP26" s="19"/>
      <c r="XAQ26" s="19"/>
      <c r="XAR26" s="19"/>
      <c r="XAS26" s="19"/>
      <c r="XAT26" s="19"/>
      <c r="XAU26" s="19"/>
      <c r="XAV26" s="19"/>
      <c r="XAW26" s="19"/>
      <c r="XAX26" s="19"/>
      <c r="XAY26" s="19"/>
      <c r="XAZ26" s="19"/>
      <c r="XBA26" s="19"/>
      <c r="XBB26" s="19"/>
      <c r="XBC26" s="19"/>
      <c r="XBD26" s="19"/>
      <c r="XBE26" s="19"/>
      <c r="XBF26" s="19"/>
      <c r="XBG26" s="19"/>
      <c r="XBH26" s="19"/>
      <c r="XBI26" s="19"/>
      <c r="XBJ26" s="19"/>
      <c r="XBK26" s="19"/>
      <c r="XBL26" s="19"/>
      <c r="XBM26" s="19"/>
      <c r="XBN26" s="19"/>
      <c r="XBO26" s="19"/>
      <c r="XBP26" s="19"/>
      <c r="XBQ26" s="19"/>
      <c r="XBR26" s="19"/>
      <c r="XBS26" s="19"/>
      <c r="XBT26" s="19"/>
      <c r="XBU26" s="19"/>
      <c r="XBV26" s="19"/>
      <c r="XBW26" s="19"/>
      <c r="XBX26" s="19"/>
      <c r="XBY26" s="19"/>
      <c r="XBZ26" s="19"/>
      <c r="XCA26" s="19"/>
      <c r="XCB26" s="19"/>
      <c r="XCC26" s="19"/>
      <c r="XCD26" s="19"/>
      <c r="XCE26" s="19"/>
      <c r="XCF26" s="19"/>
      <c r="XCG26" s="19"/>
      <c r="XCH26" s="19"/>
      <c r="XCI26" s="19"/>
      <c r="XCJ26" s="19"/>
      <c r="XCK26" s="19"/>
      <c r="XCL26" s="19"/>
      <c r="XCM26" s="19"/>
      <c r="XCN26" s="19"/>
      <c r="XCO26" s="19"/>
      <c r="XCP26" s="19"/>
      <c r="XCQ26" s="19"/>
      <c r="XCR26" s="19"/>
      <c r="XCS26" s="19"/>
      <c r="XCT26" s="19"/>
      <c r="XCU26" s="19"/>
      <c r="XCV26" s="19"/>
      <c r="XCW26" s="19"/>
      <c r="XCX26" s="19"/>
      <c r="XCY26" s="19"/>
      <c r="XCZ26" s="19"/>
      <c r="XDA26" s="19"/>
      <c r="XDB26" s="19"/>
      <c r="XDC26" s="19"/>
      <c r="XDD26" s="19"/>
      <c r="XDE26" s="19"/>
      <c r="XDF26" s="19"/>
      <c r="XDG26" s="19"/>
      <c r="XDH26" s="19"/>
      <c r="XDI26" s="19"/>
      <c r="XDJ26" s="19"/>
      <c r="XDK26" s="19"/>
      <c r="XDL26" s="19"/>
      <c r="XDM26" s="19"/>
      <c r="XDN26" s="19"/>
      <c r="XDO26" s="19"/>
      <c r="XDP26" s="19"/>
      <c r="XDQ26" s="19"/>
      <c r="XDR26" s="19"/>
      <c r="XDS26" s="19"/>
      <c r="XDT26" s="19"/>
      <c r="XDU26" s="19"/>
      <c r="XDV26" s="19"/>
      <c r="XDW26" s="19"/>
      <c r="XDX26" s="19"/>
      <c r="XDY26" s="19"/>
      <c r="XDZ26" s="19"/>
      <c r="XEA26" s="19"/>
      <c r="XEB26" s="19"/>
      <c r="XEC26" s="19"/>
      <c r="XED26" s="19"/>
      <c r="XEE26" s="19"/>
      <c r="XEF26" s="19"/>
      <c r="XEG26" s="19"/>
      <c r="XEH26" s="19"/>
      <c r="XEI26" s="19"/>
      <c r="XEJ26" s="19"/>
      <c r="XEK26" s="19"/>
      <c r="XEL26" s="19"/>
      <c r="XEM26" s="19"/>
      <c r="XEN26" s="19"/>
      <c r="XEO26" s="19"/>
      <c r="XEP26" s="19"/>
      <c r="XEQ26" s="19"/>
      <c r="XER26" s="19"/>
      <c r="XES26" s="19"/>
      <c r="XET26" s="19"/>
      <c r="XEU26" s="19"/>
      <c r="XEV26" s="19"/>
      <c r="XEW26" s="19"/>
      <c r="XEX26" s="19"/>
      <c r="XEY26" s="19"/>
      <c r="XEZ26" s="19"/>
      <c r="XFA26" s="19"/>
      <c r="XFB26" s="19"/>
    </row>
    <row r="27" spans="1:16382" s="18" customFormat="1" ht="15" customHeight="1" x14ac:dyDescent="0.25"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  <c r="LR27" s="19"/>
      <c r="LS27" s="19"/>
      <c r="LT27" s="19"/>
      <c r="LU27" s="19"/>
      <c r="LV27" s="19"/>
      <c r="LW27" s="19"/>
      <c r="LX27" s="19"/>
      <c r="LY27" s="19"/>
      <c r="LZ27" s="19"/>
      <c r="MA27" s="19"/>
      <c r="MB27" s="19"/>
      <c r="MC27" s="19"/>
      <c r="MD27" s="19"/>
      <c r="ME27" s="19"/>
      <c r="MF27" s="19"/>
      <c r="MG27" s="19"/>
      <c r="MH27" s="19"/>
      <c r="MI27" s="19"/>
      <c r="MJ27" s="19"/>
      <c r="MK27" s="19"/>
      <c r="ML27" s="19"/>
      <c r="MM27" s="19"/>
      <c r="MN27" s="19"/>
      <c r="MO27" s="19"/>
      <c r="MP27" s="19"/>
      <c r="MQ27" s="19"/>
      <c r="MR27" s="19"/>
      <c r="MS27" s="19"/>
      <c r="MT27" s="19"/>
      <c r="MU27" s="19"/>
      <c r="MV27" s="19"/>
      <c r="MW27" s="19"/>
      <c r="MX27" s="19"/>
      <c r="MY27" s="19"/>
      <c r="MZ27" s="19"/>
      <c r="NA27" s="19"/>
      <c r="NB27" s="19"/>
      <c r="NC27" s="19"/>
      <c r="ND27" s="19"/>
      <c r="NE27" s="19"/>
      <c r="NF27" s="19"/>
      <c r="NG27" s="19"/>
      <c r="NH27" s="19"/>
      <c r="NI27" s="19"/>
      <c r="NJ27" s="19"/>
      <c r="NK27" s="19"/>
      <c r="NL27" s="19"/>
      <c r="NM27" s="19"/>
      <c r="NN27" s="19"/>
      <c r="NO27" s="19"/>
      <c r="NP27" s="19"/>
      <c r="NQ27" s="19"/>
      <c r="NR27" s="19"/>
      <c r="NS27" s="19"/>
      <c r="NT27" s="19"/>
      <c r="NU27" s="19"/>
      <c r="NV27" s="19"/>
      <c r="NW27" s="19"/>
      <c r="NX27" s="19"/>
      <c r="NY27" s="19"/>
      <c r="NZ27" s="19"/>
      <c r="OA27" s="19"/>
      <c r="OB27" s="19"/>
      <c r="OC27" s="19"/>
      <c r="OD27" s="19"/>
      <c r="OE27" s="19"/>
      <c r="OF27" s="19"/>
      <c r="OG27" s="19"/>
      <c r="OH27" s="19"/>
      <c r="OI27" s="19"/>
      <c r="OJ27" s="19"/>
      <c r="OK27" s="19"/>
      <c r="OL27" s="19"/>
      <c r="OM27" s="19"/>
      <c r="ON27" s="19"/>
      <c r="OO27" s="19"/>
      <c r="OP27" s="19"/>
      <c r="OQ27" s="19"/>
      <c r="OR27" s="19"/>
      <c r="OS27" s="19"/>
      <c r="OT27" s="19"/>
      <c r="OU27" s="19"/>
      <c r="OV27" s="19"/>
      <c r="OW27" s="19"/>
      <c r="OX27" s="19"/>
      <c r="OY27" s="19"/>
      <c r="OZ27" s="19"/>
      <c r="PA27" s="19"/>
      <c r="PB27" s="19"/>
      <c r="PC27" s="19"/>
      <c r="PD27" s="19"/>
      <c r="PE27" s="19"/>
      <c r="PF27" s="19"/>
      <c r="PG27" s="19"/>
      <c r="PH27" s="19"/>
      <c r="PI27" s="19"/>
      <c r="PJ27" s="19"/>
      <c r="PK27" s="19"/>
      <c r="PL27" s="19"/>
      <c r="PM27" s="19"/>
      <c r="PN27" s="19"/>
      <c r="PO27" s="19"/>
      <c r="PP27" s="19"/>
      <c r="PQ27" s="19"/>
      <c r="PR27" s="19"/>
      <c r="PS27" s="19"/>
      <c r="PT27" s="19"/>
      <c r="PU27" s="19"/>
      <c r="PV27" s="19"/>
      <c r="PW27" s="19"/>
      <c r="PX27" s="19"/>
      <c r="PY27" s="19"/>
      <c r="PZ27" s="19"/>
      <c r="QA27" s="19"/>
      <c r="QB27" s="19"/>
      <c r="QC27" s="19"/>
      <c r="QD27" s="19"/>
      <c r="QE27" s="19"/>
      <c r="QF27" s="19"/>
      <c r="QG27" s="19"/>
      <c r="QH27" s="19"/>
      <c r="QI27" s="19"/>
      <c r="QJ27" s="19"/>
      <c r="QK27" s="19"/>
      <c r="QL27" s="19"/>
      <c r="QM27" s="19"/>
      <c r="QN27" s="19"/>
      <c r="QO27" s="19"/>
      <c r="QP27" s="19"/>
      <c r="QQ27" s="19"/>
      <c r="QR27" s="19"/>
      <c r="QS27" s="19"/>
      <c r="QT27" s="19"/>
      <c r="QU27" s="19"/>
      <c r="QV27" s="19"/>
      <c r="QW27" s="19"/>
      <c r="QX27" s="19"/>
      <c r="QY27" s="19"/>
      <c r="QZ27" s="19"/>
      <c r="RA27" s="19"/>
      <c r="RB27" s="19"/>
      <c r="RC27" s="19"/>
      <c r="RD27" s="19"/>
      <c r="RE27" s="19"/>
      <c r="RF27" s="19"/>
      <c r="RG27" s="19"/>
      <c r="RH27" s="19"/>
      <c r="RI27" s="19"/>
      <c r="RJ27" s="19"/>
      <c r="RK27" s="19"/>
      <c r="RL27" s="19"/>
      <c r="RM27" s="19"/>
      <c r="RN27" s="19"/>
      <c r="RO27" s="19"/>
      <c r="RP27" s="19"/>
      <c r="RQ27" s="19"/>
      <c r="RR27" s="19"/>
      <c r="RS27" s="19"/>
      <c r="RT27" s="19"/>
      <c r="RU27" s="19"/>
      <c r="RV27" s="19"/>
      <c r="RW27" s="19"/>
      <c r="RX27" s="19"/>
      <c r="RY27" s="19"/>
      <c r="RZ27" s="19"/>
      <c r="SA27" s="19"/>
      <c r="SB27" s="19"/>
      <c r="SC27" s="19"/>
      <c r="SD27" s="19"/>
      <c r="SE27" s="19"/>
      <c r="SF27" s="19"/>
      <c r="SG27" s="19"/>
      <c r="SH27" s="19"/>
      <c r="SI27" s="19"/>
      <c r="SJ27" s="19"/>
      <c r="SK27" s="19"/>
      <c r="SL27" s="19"/>
      <c r="SM27" s="19"/>
      <c r="SN27" s="19"/>
      <c r="SO27" s="19"/>
      <c r="SP27" s="19"/>
      <c r="SQ27" s="19"/>
      <c r="SR27" s="19"/>
      <c r="SS27" s="19"/>
      <c r="ST27" s="19"/>
      <c r="SU27" s="19"/>
      <c r="SV27" s="19"/>
      <c r="SW27" s="19"/>
      <c r="SX27" s="19"/>
      <c r="SY27" s="19"/>
      <c r="SZ27" s="19"/>
      <c r="TA27" s="19"/>
      <c r="TB27" s="19"/>
      <c r="TC27" s="19"/>
      <c r="TD27" s="19"/>
      <c r="TE27" s="19"/>
      <c r="TF27" s="19"/>
      <c r="TG27" s="19"/>
      <c r="TH27" s="19"/>
      <c r="TI27" s="19"/>
      <c r="TJ27" s="19"/>
      <c r="TK27" s="19"/>
      <c r="TL27" s="19"/>
      <c r="TM27" s="19"/>
      <c r="TN27" s="19"/>
      <c r="TO27" s="19"/>
      <c r="TP27" s="19"/>
      <c r="TQ27" s="19"/>
      <c r="TR27" s="19"/>
      <c r="TS27" s="19"/>
      <c r="TT27" s="19"/>
      <c r="TU27" s="19"/>
      <c r="TV27" s="19"/>
      <c r="TW27" s="19"/>
      <c r="TX27" s="19"/>
      <c r="TY27" s="19"/>
      <c r="TZ27" s="19"/>
      <c r="UA27" s="19"/>
      <c r="UB27" s="19"/>
      <c r="UC27" s="19"/>
      <c r="UD27" s="19"/>
      <c r="UE27" s="19"/>
      <c r="UF27" s="19"/>
      <c r="UG27" s="19"/>
      <c r="UH27" s="19"/>
      <c r="UI27" s="19"/>
      <c r="UJ27" s="19"/>
      <c r="UK27" s="19"/>
      <c r="UL27" s="19"/>
      <c r="UM27" s="19"/>
      <c r="UN27" s="19"/>
      <c r="UO27" s="19"/>
      <c r="UP27" s="19"/>
      <c r="UQ27" s="19"/>
      <c r="UR27" s="19"/>
      <c r="US27" s="19"/>
      <c r="UT27" s="19"/>
      <c r="UU27" s="19"/>
      <c r="UV27" s="19"/>
      <c r="UW27" s="19"/>
      <c r="UX27" s="19"/>
      <c r="UY27" s="19"/>
      <c r="UZ27" s="19"/>
      <c r="VA27" s="19"/>
      <c r="VB27" s="19"/>
      <c r="VC27" s="19"/>
      <c r="VD27" s="19"/>
      <c r="VE27" s="19"/>
      <c r="VF27" s="19"/>
      <c r="VG27" s="19"/>
      <c r="VH27" s="19"/>
      <c r="VI27" s="19"/>
      <c r="VJ27" s="19"/>
      <c r="VK27" s="19"/>
      <c r="VL27" s="19"/>
      <c r="VM27" s="19"/>
      <c r="VN27" s="19"/>
      <c r="VO27" s="19"/>
      <c r="VP27" s="19"/>
      <c r="VQ27" s="19"/>
      <c r="VR27" s="19"/>
      <c r="VS27" s="19"/>
      <c r="VT27" s="19"/>
      <c r="VU27" s="19"/>
      <c r="VV27" s="19"/>
      <c r="VW27" s="19"/>
      <c r="VX27" s="19"/>
      <c r="VY27" s="19"/>
      <c r="VZ27" s="19"/>
      <c r="WA27" s="19"/>
      <c r="WB27" s="19"/>
      <c r="WC27" s="19"/>
      <c r="WD27" s="19"/>
      <c r="WE27" s="19"/>
      <c r="WF27" s="19"/>
      <c r="WG27" s="19"/>
      <c r="WH27" s="19"/>
      <c r="WI27" s="19"/>
      <c r="WJ27" s="19"/>
      <c r="WK27" s="19"/>
      <c r="WL27" s="19"/>
      <c r="WM27" s="19"/>
      <c r="WN27" s="19"/>
      <c r="WO27" s="19"/>
      <c r="WP27" s="19"/>
      <c r="WQ27" s="19"/>
      <c r="WR27" s="19"/>
      <c r="WS27" s="19"/>
      <c r="WT27" s="19"/>
      <c r="WU27" s="19"/>
      <c r="WV27" s="19"/>
      <c r="WW27" s="19"/>
      <c r="WX27" s="19"/>
      <c r="WY27" s="19"/>
      <c r="WZ27" s="19"/>
      <c r="XA27" s="19"/>
      <c r="XB27" s="19"/>
      <c r="XC27" s="19"/>
      <c r="XD27" s="19"/>
      <c r="XE27" s="19"/>
      <c r="XF27" s="19"/>
      <c r="XG27" s="19"/>
      <c r="XH27" s="19"/>
      <c r="XI27" s="19"/>
      <c r="XJ27" s="19"/>
      <c r="XK27" s="19"/>
      <c r="XL27" s="19"/>
      <c r="XM27" s="19"/>
      <c r="XN27" s="19"/>
      <c r="XO27" s="19"/>
      <c r="XP27" s="19"/>
      <c r="XQ27" s="19"/>
      <c r="XR27" s="19"/>
      <c r="XS27" s="19"/>
      <c r="XT27" s="19"/>
      <c r="XU27" s="19"/>
      <c r="XV27" s="19"/>
      <c r="XW27" s="19"/>
      <c r="XX27" s="19"/>
      <c r="XY27" s="19"/>
      <c r="XZ27" s="19"/>
      <c r="YA27" s="19"/>
      <c r="YB27" s="19"/>
      <c r="YC27" s="19"/>
      <c r="YD27" s="19"/>
      <c r="YE27" s="19"/>
      <c r="YF27" s="19"/>
      <c r="YG27" s="19"/>
      <c r="YH27" s="19"/>
      <c r="YI27" s="19"/>
      <c r="YJ27" s="19"/>
      <c r="YK27" s="19"/>
      <c r="YL27" s="19"/>
      <c r="YM27" s="19"/>
      <c r="YN27" s="19"/>
      <c r="YO27" s="19"/>
      <c r="YP27" s="19"/>
      <c r="YQ27" s="19"/>
      <c r="YR27" s="19"/>
      <c r="YS27" s="19"/>
      <c r="YT27" s="19"/>
      <c r="YU27" s="19"/>
      <c r="YV27" s="19"/>
      <c r="YW27" s="19"/>
      <c r="YX27" s="19"/>
      <c r="YY27" s="19"/>
      <c r="YZ27" s="19"/>
      <c r="ZA27" s="19"/>
      <c r="ZB27" s="19"/>
      <c r="ZC27" s="19"/>
      <c r="ZD27" s="19"/>
      <c r="ZE27" s="19"/>
      <c r="ZF27" s="19"/>
      <c r="ZG27" s="19"/>
      <c r="ZH27" s="19"/>
      <c r="ZI27" s="19"/>
      <c r="ZJ27" s="19"/>
      <c r="ZK27" s="19"/>
      <c r="ZL27" s="19"/>
      <c r="ZM27" s="19"/>
      <c r="ZN27" s="19"/>
      <c r="ZO27" s="19"/>
      <c r="ZP27" s="19"/>
      <c r="ZQ27" s="19"/>
      <c r="ZR27" s="19"/>
      <c r="ZS27" s="19"/>
      <c r="ZT27" s="19"/>
      <c r="ZU27" s="19"/>
      <c r="ZV27" s="19"/>
      <c r="ZW27" s="19"/>
      <c r="ZX27" s="19"/>
      <c r="ZY27" s="19"/>
      <c r="ZZ27" s="19"/>
      <c r="AAA27" s="19"/>
      <c r="AAB27" s="19"/>
      <c r="AAC27" s="19"/>
      <c r="AAD27" s="19"/>
      <c r="AAE27" s="19"/>
      <c r="AAF27" s="19"/>
      <c r="AAG27" s="19"/>
      <c r="AAH27" s="19"/>
      <c r="AAI27" s="19"/>
      <c r="AAJ27" s="19"/>
      <c r="AAK27" s="19"/>
      <c r="AAL27" s="19"/>
      <c r="AAM27" s="19"/>
      <c r="AAN27" s="19"/>
      <c r="AAO27" s="19"/>
      <c r="AAP27" s="19"/>
      <c r="AAQ27" s="19"/>
      <c r="AAR27" s="19"/>
      <c r="AAS27" s="19"/>
      <c r="AAT27" s="19"/>
      <c r="AAU27" s="19"/>
      <c r="AAV27" s="19"/>
      <c r="AAW27" s="19"/>
      <c r="AAX27" s="19"/>
      <c r="AAY27" s="19"/>
      <c r="AAZ27" s="19"/>
      <c r="ABA27" s="19"/>
      <c r="ABB27" s="19"/>
      <c r="ABC27" s="19"/>
      <c r="ABD27" s="19"/>
      <c r="ABE27" s="19"/>
      <c r="ABF27" s="19"/>
      <c r="ABG27" s="19"/>
      <c r="ABH27" s="19"/>
      <c r="ABI27" s="19"/>
      <c r="ABJ27" s="19"/>
      <c r="ABK27" s="19"/>
      <c r="ABL27" s="19"/>
      <c r="ABM27" s="19"/>
      <c r="ABN27" s="19"/>
      <c r="ABO27" s="19"/>
      <c r="ABP27" s="19"/>
      <c r="ABQ27" s="19"/>
      <c r="ABR27" s="19"/>
      <c r="ABS27" s="19"/>
      <c r="ABT27" s="19"/>
      <c r="ABU27" s="19"/>
      <c r="ABV27" s="19"/>
      <c r="ABW27" s="19"/>
      <c r="ABX27" s="19"/>
      <c r="ABY27" s="19"/>
      <c r="ABZ27" s="19"/>
      <c r="ACA27" s="19"/>
      <c r="ACB27" s="19"/>
      <c r="ACC27" s="19"/>
      <c r="ACD27" s="19"/>
      <c r="ACE27" s="19"/>
      <c r="ACF27" s="19"/>
      <c r="ACG27" s="19"/>
      <c r="ACH27" s="19"/>
      <c r="ACI27" s="19"/>
      <c r="ACJ27" s="19"/>
      <c r="ACK27" s="19"/>
      <c r="ACL27" s="19"/>
      <c r="ACM27" s="19"/>
      <c r="ACN27" s="19"/>
      <c r="ACO27" s="19"/>
      <c r="ACP27" s="19"/>
      <c r="ACQ27" s="19"/>
      <c r="ACR27" s="19"/>
      <c r="ACS27" s="19"/>
      <c r="ACT27" s="19"/>
      <c r="ACU27" s="19"/>
      <c r="ACV27" s="19"/>
      <c r="ACW27" s="19"/>
      <c r="ACX27" s="19"/>
      <c r="ACY27" s="19"/>
      <c r="ACZ27" s="19"/>
      <c r="ADA27" s="19"/>
      <c r="ADB27" s="19"/>
      <c r="ADC27" s="19"/>
      <c r="ADD27" s="19"/>
      <c r="ADE27" s="19"/>
      <c r="ADF27" s="19"/>
      <c r="ADG27" s="19"/>
      <c r="ADH27" s="19"/>
      <c r="ADI27" s="19"/>
      <c r="ADJ27" s="19"/>
      <c r="ADK27" s="19"/>
      <c r="ADL27" s="19"/>
      <c r="ADM27" s="19"/>
      <c r="ADN27" s="19"/>
      <c r="ADO27" s="19"/>
      <c r="ADP27" s="19"/>
      <c r="ADQ27" s="19"/>
      <c r="ADR27" s="19"/>
      <c r="ADS27" s="19"/>
      <c r="ADT27" s="19"/>
      <c r="ADU27" s="19"/>
      <c r="ADV27" s="19"/>
      <c r="ADW27" s="19"/>
      <c r="ADX27" s="19"/>
      <c r="ADY27" s="19"/>
      <c r="ADZ27" s="19"/>
      <c r="AEA27" s="19"/>
      <c r="AEB27" s="19"/>
      <c r="AEC27" s="19"/>
      <c r="AED27" s="19"/>
      <c r="AEE27" s="19"/>
      <c r="AEF27" s="19"/>
      <c r="AEG27" s="19"/>
      <c r="AEH27" s="19"/>
      <c r="AEI27" s="19"/>
      <c r="AEJ27" s="19"/>
      <c r="AEK27" s="19"/>
      <c r="AEL27" s="19"/>
      <c r="AEM27" s="19"/>
      <c r="AEN27" s="19"/>
      <c r="AEO27" s="19"/>
      <c r="AEP27" s="19"/>
      <c r="AEQ27" s="19"/>
      <c r="AER27" s="19"/>
      <c r="AES27" s="19"/>
      <c r="AET27" s="19"/>
      <c r="AEU27" s="19"/>
      <c r="AEV27" s="19"/>
      <c r="AEW27" s="19"/>
      <c r="AEX27" s="19"/>
      <c r="AEY27" s="19"/>
      <c r="AEZ27" s="19"/>
      <c r="AFA27" s="19"/>
      <c r="AFB27" s="19"/>
      <c r="AFC27" s="19"/>
      <c r="AFD27" s="19"/>
      <c r="AFE27" s="19"/>
      <c r="AFF27" s="19"/>
      <c r="AFG27" s="19"/>
      <c r="AFH27" s="19"/>
      <c r="AFI27" s="19"/>
      <c r="AFJ27" s="19"/>
      <c r="AFK27" s="19"/>
      <c r="AFL27" s="19"/>
      <c r="AFM27" s="19"/>
      <c r="AFN27" s="19"/>
      <c r="AFO27" s="19"/>
      <c r="AFP27" s="19"/>
      <c r="AFQ27" s="19"/>
      <c r="AFR27" s="19"/>
      <c r="AFS27" s="19"/>
      <c r="AFT27" s="19"/>
      <c r="AFU27" s="19"/>
      <c r="AFV27" s="19"/>
      <c r="AFW27" s="19"/>
      <c r="AFX27" s="19"/>
      <c r="AFY27" s="19"/>
      <c r="AFZ27" s="19"/>
      <c r="AGA27" s="19"/>
      <c r="AGB27" s="19"/>
      <c r="AGC27" s="19"/>
      <c r="AGD27" s="19"/>
      <c r="AGE27" s="19"/>
      <c r="AGF27" s="19"/>
      <c r="AGG27" s="19"/>
      <c r="AGH27" s="19"/>
      <c r="AGI27" s="19"/>
      <c r="AGJ27" s="19"/>
      <c r="AGK27" s="19"/>
      <c r="AGL27" s="19"/>
      <c r="AGM27" s="19"/>
      <c r="AGN27" s="19"/>
      <c r="AGO27" s="19"/>
      <c r="AGP27" s="19"/>
      <c r="AGQ27" s="19"/>
      <c r="AGR27" s="19"/>
      <c r="AGS27" s="19"/>
      <c r="AGT27" s="19"/>
      <c r="AGU27" s="19"/>
      <c r="AGV27" s="19"/>
      <c r="AGW27" s="19"/>
      <c r="AGX27" s="19"/>
      <c r="AGY27" s="19"/>
      <c r="AGZ27" s="19"/>
      <c r="AHA27" s="19"/>
      <c r="AHB27" s="19"/>
      <c r="AHC27" s="19"/>
      <c r="AHD27" s="19"/>
      <c r="AHE27" s="19"/>
      <c r="AHF27" s="19"/>
      <c r="AHG27" s="19"/>
      <c r="AHH27" s="19"/>
      <c r="AHI27" s="19"/>
      <c r="AHJ27" s="19"/>
      <c r="AHK27" s="19"/>
      <c r="AHL27" s="19"/>
      <c r="AHM27" s="19"/>
      <c r="AHN27" s="19"/>
      <c r="AHO27" s="19"/>
      <c r="AHP27" s="19"/>
      <c r="AHQ27" s="19"/>
      <c r="AHR27" s="19"/>
      <c r="AHS27" s="19"/>
      <c r="AHT27" s="19"/>
      <c r="AHU27" s="19"/>
      <c r="AHV27" s="19"/>
      <c r="AHW27" s="19"/>
      <c r="AHX27" s="19"/>
      <c r="AHY27" s="19"/>
      <c r="AHZ27" s="19"/>
      <c r="AIA27" s="19"/>
      <c r="AIB27" s="19"/>
      <c r="AIC27" s="19"/>
      <c r="AID27" s="19"/>
      <c r="AIE27" s="19"/>
      <c r="AIF27" s="19"/>
      <c r="AIG27" s="19"/>
      <c r="AIH27" s="19"/>
      <c r="AII27" s="19"/>
      <c r="AIJ27" s="19"/>
      <c r="AIK27" s="19"/>
      <c r="AIL27" s="19"/>
      <c r="AIM27" s="19"/>
      <c r="AIN27" s="19"/>
      <c r="AIO27" s="19"/>
      <c r="AIP27" s="19"/>
      <c r="AIQ27" s="19"/>
      <c r="AIR27" s="19"/>
      <c r="AIS27" s="19"/>
      <c r="AIT27" s="19"/>
      <c r="AIU27" s="19"/>
      <c r="AIV27" s="19"/>
      <c r="AIW27" s="19"/>
      <c r="AIX27" s="19"/>
      <c r="AIY27" s="19"/>
      <c r="AIZ27" s="19"/>
      <c r="AJA27" s="19"/>
      <c r="AJB27" s="19"/>
      <c r="AJC27" s="19"/>
      <c r="AJD27" s="19"/>
      <c r="AJE27" s="19"/>
      <c r="AJF27" s="19"/>
      <c r="AJG27" s="19"/>
      <c r="AJH27" s="19"/>
      <c r="AJI27" s="19"/>
      <c r="AJJ27" s="19"/>
      <c r="AJK27" s="19"/>
      <c r="AJL27" s="19"/>
      <c r="AJM27" s="19"/>
      <c r="AJN27" s="19"/>
      <c r="AJO27" s="19"/>
      <c r="AJP27" s="19"/>
      <c r="AJQ27" s="19"/>
      <c r="AJR27" s="19"/>
      <c r="AJS27" s="19"/>
      <c r="AJT27" s="19"/>
      <c r="AJU27" s="19"/>
      <c r="AJV27" s="19"/>
      <c r="AJW27" s="19"/>
      <c r="AJX27" s="19"/>
      <c r="AJY27" s="19"/>
      <c r="AJZ27" s="19"/>
      <c r="AKA27" s="19"/>
      <c r="AKB27" s="19"/>
      <c r="AKC27" s="19"/>
      <c r="AKD27" s="19"/>
      <c r="AKE27" s="19"/>
      <c r="AKF27" s="19"/>
      <c r="AKG27" s="19"/>
      <c r="AKH27" s="19"/>
      <c r="AKI27" s="19"/>
      <c r="AKJ27" s="19"/>
      <c r="AKK27" s="19"/>
      <c r="AKL27" s="19"/>
      <c r="AKM27" s="19"/>
      <c r="AKN27" s="19"/>
      <c r="AKO27" s="19"/>
      <c r="AKP27" s="19"/>
      <c r="AKQ27" s="19"/>
      <c r="AKR27" s="19"/>
      <c r="AKS27" s="19"/>
      <c r="AKT27" s="19"/>
      <c r="AKU27" s="19"/>
      <c r="AKV27" s="19"/>
      <c r="AKW27" s="19"/>
      <c r="AKX27" s="19"/>
      <c r="AKY27" s="19"/>
      <c r="AKZ27" s="19"/>
      <c r="ALA27" s="19"/>
      <c r="ALB27" s="19"/>
      <c r="ALC27" s="19"/>
      <c r="ALD27" s="19"/>
      <c r="ALE27" s="19"/>
      <c r="ALF27" s="19"/>
      <c r="ALG27" s="19"/>
      <c r="ALH27" s="19"/>
      <c r="ALI27" s="19"/>
      <c r="ALJ27" s="19"/>
      <c r="ALK27" s="19"/>
      <c r="ALL27" s="19"/>
      <c r="ALM27" s="19"/>
      <c r="ALN27" s="19"/>
      <c r="ALO27" s="19"/>
      <c r="ALP27" s="19"/>
      <c r="ALQ27" s="19"/>
      <c r="ALR27" s="19"/>
      <c r="ALS27" s="19"/>
      <c r="ALT27" s="19"/>
      <c r="ALU27" s="19"/>
      <c r="ALV27" s="19"/>
      <c r="ALW27" s="19"/>
      <c r="ALX27" s="19"/>
      <c r="ALY27" s="19"/>
      <c r="ALZ27" s="19"/>
      <c r="AMA27" s="19"/>
      <c r="AMB27" s="19"/>
      <c r="AMC27" s="19"/>
      <c r="AMD27" s="19"/>
      <c r="AME27" s="19"/>
      <c r="AMF27" s="19"/>
      <c r="AMG27" s="19"/>
      <c r="AMH27" s="19"/>
      <c r="AMI27" s="19"/>
      <c r="AMJ27" s="19"/>
      <c r="AMK27" s="19"/>
      <c r="AML27" s="19"/>
      <c r="AMM27" s="19"/>
      <c r="AMN27" s="19"/>
      <c r="AMO27" s="19"/>
      <c r="AMP27" s="19"/>
      <c r="AMQ27" s="19"/>
      <c r="AMR27" s="19"/>
      <c r="AMS27" s="19"/>
      <c r="AMT27" s="19"/>
      <c r="AMU27" s="19"/>
      <c r="AMV27" s="19"/>
      <c r="AMW27" s="19"/>
      <c r="AMX27" s="19"/>
      <c r="AMY27" s="19"/>
      <c r="AMZ27" s="19"/>
      <c r="ANA27" s="19"/>
      <c r="ANB27" s="19"/>
      <c r="ANC27" s="19"/>
      <c r="AND27" s="19"/>
      <c r="ANE27" s="19"/>
      <c r="ANF27" s="19"/>
      <c r="ANG27" s="19"/>
      <c r="ANH27" s="19"/>
      <c r="ANI27" s="19"/>
      <c r="ANJ27" s="19"/>
      <c r="ANK27" s="19"/>
      <c r="ANL27" s="19"/>
      <c r="ANM27" s="19"/>
      <c r="ANN27" s="19"/>
      <c r="ANO27" s="19"/>
      <c r="ANP27" s="19"/>
      <c r="ANQ27" s="19"/>
      <c r="ANR27" s="19"/>
      <c r="ANS27" s="19"/>
      <c r="ANT27" s="19"/>
      <c r="ANU27" s="19"/>
      <c r="ANV27" s="19"/>
      <c r="ANW27" s="19"/>
      <c r="ANX27" s="19"/>
      <c r="ANY27" s="19"/>
      <c r="ANZ27" s="19"/>
      <c r="AOA27" s="19"/>
      <c r="AOB27" s="19"/>
      <c r="AOC27" s="19"/>
      <c r="AOD27" s="19"/>
      <c r="AOE27" s="19"/>
      <c r="AOF27" s="19"/>
      <c r="AOG27" s="19"/>
      <c r="AOH27" s="19"/>
      <c r="AOI27" s="19"/>
      <c r="AOJ27" s="19"/>
      <c r="AOK27" s="19"/>
      <c r="AOL27" s="19"/>
      <c r="AOM27" s="19"/>
      <c r="AON27" s="19"/>
      <c r="AOO27" s="19"/>
      <c r="AOP27" s="19"/>
      <c r="AOQ27" s="19"/>
      <c r="AOR27" s="19"/>
      <c r="AOS27" s="19"/>
      <c r="AOT27" s="19"/>
      <c r="AOU27" s="19"/>
      <c r="AOV27" s="19"/>
      <c r="AOW27" s="19"/>
      <c r="AOX27" s="19"/>
      <c r="AOY27" s="19"/>
      <c r="AOZ27" s="19"/>
      <c r="APA27" s="19"/>
      <c r="APB27" s="19"/>
      <c r="APC27" s="19"/>
      <c r="APD27" s="19"/>
      <c r="APE27" s="19"/>
      <c r="APF27" s="19"/>
      <c r="APG27" s="19"/>
      <c r="APH27" s="19"/>
      <c r="API27" s="19"/>
      <c r="APJ27" s="19"/>
      <c r="APK27" s="19"/>
      <c r="APL27" s="19"/>
      <c r="APM27" s="19"/>
      <c r="APN27" s="19"/>
      <c r="APO27" s="19"/>
      <c r="APP27" s="19"/>
      <c r="APQ27" s="19"/>
      <c r="APR27" s="19"/>
      <c r="APS27" s="19"/>
      <c r="APT27" s="19"/>
      <c r="APU27" s="19"/>
      <c r="APV27" s="19"/>
      <c r="APW27" s="19"/>
      <c r="APX27" s="19"/>
      <c r="APY27" s="19"/>
      <c r="APZ27" s="19"/>
      <c r="AQA27" s="19"/>
      <c r="AQB27" s="19"/>
      <c r="AQC27" s="19"/>
      <c r="AQD27" s="19"/>
      <c r="AQE27" s="19"/>
      <c r="AQF27" s="19"/>
      <c r="AQG27" s="19"/>
      <c r="AQH27" s="19"/>
      <c r="AQI27" s="19"/>
      <c r="AQJ27" s="19"/>
      <c r="AQK27" s="19"/>
      <c r="AQL27" s="19"/>
      <c r="AQM27" s="19"/>
      <c r="AQN27" s="19"/>
      <c r="AQO27" s="19"/>
      <c r="AQP27" s="19"/>
      <c r="AQQ27" s="19"/>
      <c r="AQR27" s="19"/>
      <c r="AQS27" s="19"/>
      <c r="AQT27" s="19"/>
      <c r="AQU27" s="19"/>
      <c r="AQV27" s="19"/>
      <c r="AQW27" s="19"/>
      <c r="AQX27" s="19"/>
      <c r="AQY27" s="19"/>
      <c r="AQZ27" s="19"/>
      <c r="ARA27" s="19"/>
      <c r="ARB27" s="19"/>
      <c r="ARC27" s="19"/>
      <c r="ARD27" s="19"/>
      <c r="ARE27" s="19"/>
      <c r="ARF27" s="19"/>
      <c r="ARG27" s="19"/>
      <c r="ARH27" s="19"/>
      <c r="ARI27" s="19"/>
      <c r="ARJ27" s="19"/>
      <c r="ARK27" s="19"/>
      <c r="ARL27" s="19"/>
      <c r="ARM27" s="19"/>
      <c r="ARN27" s="19"/>
      <c r="ARO27" s="19"/>
      <c r="ARP27" s="19"/>
      <c r="ARQ27" s="19"/>
      <c r="ARR27" s="19"/>
      <c r="ARS27" s="19"/>
      <c r="ART27" s="19"/>
      <c r="ARU27" s="19"/>
      <c r="ARV27" s="19"/>
      <c r="ARW27" s="19"/>
      <c r="ARX27" s="19"/>
      <c r="ARY27" s="19"/>
      <c r="ARZ27" s="19"/>
      <c r="ASA27" s="19"/>
      <c r="ASB27" s="19"/>
      <c r="ASC27" s="19"/>
      <c r="ASD27" s="19"/>
      <c r="ASE27" s="19"/>
      <c r="ASF27" s="19"/>
      <c r="ASG27" s="19"/>
      <c r="ASH27" s="19"/>
      <c r="ASI27" s="19"/>
      <c r="ASJ27" s="19"/>
      <c r="ASK27" s="19"/>
      <c r="ASL27" s="19"/>
      <c r="ASM27" s="19"/>
      <c r="ASN27" s="19"/>
      <c r="ASO27" s="19"/>
      <c r="ASP27" s="19"/>
      <c r="ASQ27" s="19"/>
      <c r="ASR27" s="19"/>
      <c r="ASS27" s="19"/>
      <c r="AST27" s="19"/>
      <c r="ASU27" s="19"/>
      <c r="ASV27" s="19"/>
      <c r="ASW27" s="19"/>
      <c r="ASX27" s="19"/>
      <c r="ASY27" s="19"/>
      <c r="ASZ27" s="19"/>
      <c r="ATA27" s="19"/>
      <c r="ATB27" s="19"/>
      <c r="ATC27" s="19"/>
      <c r="ATD27" s="19"/>
      <c r="ATE27" s="19"/>
      <c r="ATF27" s="19"/>
      <c r="ATG27" s="19"/>
      <c r="ATH27" s="19"/>
      <c r="ATI27" s="19"/>
      <c r="ATJ27" s="19"/>
      <c r="ATK27" s="19"/>
      <c r="ATL27" s="19"/>
      <c r="ATM27" s="19"/>
      <c r="ATN27" s="19"/>
      <c r="ATO27" s="19"/>
      <c r="ATP27" s="19"/>
      <c r="ATQ27" s="19"/>
      <c r="ATR27" s="19"/>
      <c r="ATS27" s="19"/>
      <c r="ATT27" s="19"/>
      <c r="ATU27" s="19"/>
      <c r="ATV27" s="19"/>
      <c r="ATW27" s="19"/>
      <c r="ATX27" s="19"/>
      <c r="ATY27" s="19"/>
      <c r="ATZ27" s="19"/>
      <c r="AUA27" s="19"/>
      <c r="AUB27" s="19"/>
      <c r="AUC27" s="19"/>
      <c r="AUD27" s="19"/>
      <c r="AUE27" s="19"/>
      <c r="AUF27" s="19"/>
      <c r="AUG27" s="19"/>
      <c r="AUH27" s="19"/>
      <c r="AUI27" s="19"/>
      <c r="AUJ27" s="19"/>
      <c r="AUK27" s="19"/>
      <c r="AUL27" s="19"/>
      <c r="AUM27" s="19"/>
      <c r="AUN27" s="19"/>
      <c r="AUO27" s="19"/>
      <c r="AUP27" s="19"/>
      <c r="AUQ27" s="19"/>
      <c r="AUR27" s="19"/>
      <c r="AUS27" s="19"/>
      <c r="AUT27" s="19"/>
      <c r="AUU27" s="19"/>
      <c r="AUV27" s="19"/>
      <c r="AUW27" s="19"/>
      <c r="AUX27" s="19"/>
      <c r="AUY27" s="19"/>
      <c r="AUZ27" s="19"/>
      <c r="AVA27" s="19"/>
      <c r="AVB27" s="19"/>
      <c r="AVC27" s="19"/>
      <c r="AVD27" s="19"/>
      <c r="AVE27" s="19"/>
      <c r="AVF27" s="19"/>
      <c r="AVG27" s="19"/>
      <c r="AVH27" s="19"/>
      <c r="AVI27" s="19"/>
      <c r="AVJ27" s="19"/>
      <c r="AVK27" s="19"/>
      <c r="AVL27" s="19"/>
      <c r="AVM27" s="19"/>
      <c r="AVN27" s="19"/>
      <c r="AVO27" s="19"/>
      <c r="AVP27" s="19"/>
      <c r="AVQ27" s="19"/>
      <c r="AVR27" s="19"/>
      <c r="AVS27" s="19"/>
      <c r="AVT27" s="19"/>
      <c r="AVU27" s="19"/>
      <c r="AVV27" s="19"/>
      <c r="AVW27" s="19"/>
      <c r="AVX27" s="19"/>
      <c r="AVY27" s="19"/>
      <c r="AVZ27" s="19"/>
      <c r="AWA27" s="19"/>
      <c r="AWB27" s="19"/>
      <c r="AWC27" s="19"/>
      <c r="AWD27" s="19"/>
      <c r="AWE27" s="19"/>
      <c r="AWF27" s="19"/>
      <c r="AWG27" s="19"/>
      <c r="AWH27" s="19"/>
      <c r="AWI27" s="19"/>
      <c r="AWJ27" s="19"/>
      <c r="AWK27" s="19"/>
      <c r="AWL27" s="19"/>
      <c r="AWM27" s="19"/>
      <c r="AWN27" s="19"/>
      <c r="AWO27" s="19"/>
      <c r="AWP27" s="19"/>
      <c r="AWQ27" s="19"/>
      <c r="AWR27" s="19"/>
      <c r="AWS27" s="19"/>
      <c r="AWT27" s="19"/>
      <c r="AWU27" s="19"/>
      <c r="AWV27" s="19"/>
      <c r="AWW27" s="19"/>
      <c r="AWX27" s="19"/>
      <c r="AWY27" s="19"/>
      <c r="AWZ27" s="19"/>
      <c r="AXA27" s="19"/>
      <c r="AXB27" s="19"/>
      <c r="AXC27" s="19"/>
      <c r="AXD27" s="19"/>
      <c r="AXE27" s="19"/>
      <c r="AXF27" s="19"/>
      <c r="AXG27" s="19"/>
      <c r="AXH27" s="19"/>
      <c r="AXI27" s="19"/>
      <c r="AXJ27" s="19"/>
      <c r="AXK27" s="19"/>
      <c r="AXL27" s="19"/>
      <c r="AXM27" s="19"/>
      <c r="AXN27" s="19"/>
      <c r="AXO27" s="19"/>
      <c r="AXP27" s="19"/>
      <c r="AXQ27" s="19"/>
      <c r="AXR27" s="19"/>
      <c r="AXS27" s="19"/>
      <c r="AXT27" s="19"/>
      <c r="AXU27" s="19"/>
      <c r="AXV27" s="19"/>
      <c r="AXW27" s="19"/>
      <c r="AXX27" s="19"/>
      <c r="AXY27" s="19"/>
      <c r="AXZ27" s="19"/>
      <c r="AYA27" s="19"/>
      <c r="AYB27" s="19"/>
      <c r="AYC27" s="19"/>
      <c r="AYD27" s="19"/>
      <c r="AYE27" s="19"/>
      <c r="AYF27" s="19"/>
      <c r="AYG27" s="19"/>
      <c r="AYH27" s="19"/>
      <c r="AYI27" s="19"/>
      <c r="AYJ27" s="19"/>
      <c r="AYK27" s="19"/>
      <c r="AYL27" s="19"/>
      <c r="AYM27" s="19"/>
      <c r="AYN27" s="19"/>
      <c r="AYO27" s="19"/>
      <c r="AYP27" s="19"/>
      <c r="AYQ27" s="19"/>
      <c r="AYR27" s="19"/>
      <c r="AYS27" s="19"/>
      <c r="AYT27" s="19"/>
      <c r="AYU27" s="19"/>
      <c r="AYV27" s="19"/>
      <c r="AYW27" s="19"/>
      <c r="AYX27" s="19"/>
      <c r="AYY27" s="19"/>
      <c r="AYZ27" s="19"/>
      <c r="AZA27" s="19"/>
      <c r="AZB27" s="19"/>
      <c r="AZC27" s="19"/>
      <c r="AZD27" s="19"/>
      <c r="AZE27" s="19"/>
      <c r="AZF27" s="19"/>
      <c r="AZG27" s="19"/>
      <c r="AZH27" s="19"/>
      <c r="AZI27" s="19"/>
      <c r="AZJ27" s="19"/>
      <c r="AZK27" s="19"/>
      <c r="AZL27" s="19"/>
      <c r="AZM27" s="19"/>
      <c r="AZN27" s="19"/>
      <c r="AZO27" s="19"/>
      <c r="AZP27" s="19"/>
      <c r="AZQ27" s="19"/>
      <c r="AZR27" s="19"/>
      <c r="AZS27" s="19"/>
      <c r="AZT27" s="19"/>
      <c r="AZU27" s="19"/>
      <c r="AZV27" s="19"/>
      <c r="AZW27" s="19"/>
      <c r="AZX27" s="19"/>
      <c r="AZY27" s="19"/>
      <c r="AZZ27" s="19"/>
      <c r="BAA27" s="19"/>
      <c r="BAB27" s="19"/>
      <c r="BAC27" s="19"/>
      <c r="BAD27" s="19"/>
      <c r="BAE27" s="19"/>
      <c r="BAF27" s="19"/>
      <c r="BAG27" s="19"/>
      <c r="BAH27" s="19"/>
      <c r="BAI27" s="19"/>
      <c r="BAJ27" s="19"/>
      <c r="BAK27" s="19"/>
      <c r="BAL27" s="19"/>
      <c r="BAM27" s="19"/>
      <c r="BAN27" s="19"/>
      <c r="BAO27" s="19"/>
      <c r="BAP27" s="19"/>
      <c r="BAQ27" s="19"/>
      <c r="BAR27" s="19"/>
      <c r="BAS27" s="19"/>
      <c r="BAT27" s="19"/>
      <c r="BAU27" s="19"/>
      <c r="BAV27" s="19"/>
      <c r="BAW27" s="19"/>
      <c r="BAX27" s="19"/>
      <c r="BAY27" s="19"/>
      <c r="BAZ27" s="19"/>
      <c r="BBA27" s="19"/>
      <c r="BBB27" s="19"/>
      <c r="BBC27" s="19"/>
      <c r="BBD27" s="19"/>
      <c r="BBE27" s="19"/>
      <c r="BBF27" s="19"/>
      <c r="BBG27" s="19"/>
      <c r="BBH27" s="19"/>
      <c r="BBI27" s="19"/>
      <c r="BBJ27" s="19"/>
      <c r="BBK27" s="19"/>
      <c r="BBL27" s="19"/>
      <c r="BBM27" s="19"/>
      <c r="BBN27" s="19"/>
      <c r="BBO27" s="19"/>
      <c r="BBP27" s="19"/>
      <c r="BBQ27" s="19"/>
      <c r="BBR27" s="19"/>
      <c r="BBS27" s="19"/>
      <c r="BBT27" s="19"/>
      <c r="BBU27" s="19"/>
      <c r="BBV27" s="19"/>
      <c r="BBW27" s="19"/>
      <c r="BBX27" s="19"/>
      <c r="BBY27" s="19"/>
      <c r="BBZ27" s="19"/>
      <c r="BCA27" s="19"/>
      <c r="BCB27" s="19"/>
      <c r="BCC27" s="19"/>
      <c r="BCD27" s="19"/>
      <c r="BCE27" s="19"/>
      <c r="BCF27" s="19"/>
      <c r="BCG27" s="19"/>
      <c r="BCH27" s="19"/>
      <c r="BCI27" s="19"/>
      <c r="BCJ27" s="19"/>
      <c r="BCK27" s="19"/>
      <c r="BCL27" s="19"/>
      <c r="BCM27" s="19"/>
      <c r="BCN27" s="19"/>
      <c r="BCO27" s="19"/>
      <c r="BCP27" s="19"/>
      <c r="BCQ27" s="19"/>
      <c r="BCR27" s="19"/>
      <c r="BCS27" s="19"/>
      <c r="BCT27" s="19"/>
      <c r="BCU27" s="19"/>
      <c r="BCV27" s="19"/>
      <c r="BCW27" s="19"/>
      <c r="BCX27" s="19"/>
      <c r="BCY27" s="19"/>
      <c r="BCZ27" s="19"/>
      <c r="BDA27" s="19"/>
      <c r="BDB27" s="19"/>
      <c r="BDC27" s="19"/>
      <c r="BDD27" s="19"/>
      <c r="BDE27" s="19"/>
      <c r="BDF27" s="19"/>
      <c r="BDG27" s="19"/>
      <c r="BDH27" s="19"/>
      <c r="BDI27" s="19"/>
      <c r="BDJ27" s="19"/>
      <c r="BDK27" s="19"/>
      <c r="BDL27" s="19"/>
      <c r="BDM27" s="19"/>
      <c r="BDN27" s="19"/>
      <c r="BDO27" s="19"/>
      <c r="BDP27" s="19"/>
      <c r="BDQ27" s="19"/>
      <c r="BDR27" s="19"/>
      <c r="BDS27" s="19"/>
      <c r="BDT27" s="19"/>
      <c r="BDU27" s="19"/>
      <c r="BDV27" s="19"/>
      <c r="BDW27" s="19"/>
      <c r="BDX27" s="19"/>
      <c r="BDY27" s="19"/>
      <c r="BDZ27" s="19"/>
      <c r="BEA27" s="19"/>
      <c r="BEB27" s="19"/>
      <c r="BEC27" s="19"/>
      <c r="BED27" s="19"/>
      <c r="BEE27" s="19"/>
      <c r="BEF27" s="19"/>
      <c r="BEG27" s="19"/>
      <c r="BEH27" s="19"/>
      <c r="BEI27" s="19"/>
      <c r="BEJ27" s="19"/>
      <c r="BEK27" s="19"/>
      <c r="BEL27" s="19"/>
      <c r="BEM27" s="19"/>
      <c r="BEN27" s="19"/>
      <c r="BEO27" s="19"/>
      <c r="BEP27" s="19"/>
      <c r="BEQ27" s="19"/>
      <c r="BER27" s="19"/>
      <c r="BES27" s="19"/>
      <c r="BET27" s="19"/>
      <c r="BEU27" s="19"/>
      <c r="BEV27" s="19"/>
      <c r="BEW27" s="19"/>
      <c r="BEX27" s="19"/>
      <c r="BEY27" s="19"/>
      <c r="BEZ27" s="19"/>
      <c r="BFA27" s="19"/>
      <c r="BFB27" s="19"/>
      <c r="BFC27" s="19"/>
      <c r="BFD27" s="19"/>
      <c r="BFE27" s="19"/>
      <c r="BFF27" s="19"/>
      <c r="BFG27" s="19"/>
      <c r="BFH27" s="19"/>
      <c r="BFI27" s="19"/>
      <c r="BFJ27" s="19"/>
      <c r="BFK27" s="19"/>
      <c r="BFL27" s="19"/>
      <c r="BFM27" s="19"/>
      <c r="BFN27" s="19"/>
      <c r="BFO27" s="19"/>
      <c r="BFP27" s="19"/>
      <c r="BFQ27" s="19"/>
      <c r="BFR27" s="19"/>
      <c r="BFS27" s="19"/>
      <c r="BFT27" s="19"/>
      <c r="BFU27" s="19"/>
      <c r="BFV27" s="19"/>
      <c r="BFW27" s="19"/>
      <c r="BFX27" s="19"/>
      <c r="BFY27" s="19"/>
      <c r="BFZ27" s="19"/>
      <c r="BGA27" s="19"/>
      <c r="BGB27" s="19"/>
      <c r="BGC27" s="19"/>
      <c r="BGD27" s="19"/>
      <c r="BGE27" s="19"/>
      <c r="BGF27" s="19"/>
      <c r="BGG27" s="19"/>
      <c r="BGH27" s="19"/>
      <c r="BGI27" s="19"/>
      <c r="BGJ27" s="19"/>
      <c r="BGK27" s="19"/>
      <c r="BGL27" s="19"/>
      <c r="BGM27" s="19"/>
      <c r="BGN27" s="19"/>
      <c r="BGO27" s="19"/>
      <c r="BGP27" s="19"/>
      <c r="BGQ27" s="19"/>
      <c r="BGR27" s="19"/>
      <c r="BGS27" s="19"/>
      <c r="BGT27" s="19"/>
      <c r="BGU27" s="19"/>
      <c r="BGV27" s="19"/>
      <c r="BGW27" s="19"/>
      <c r="BGX27" s="19"/>
      <c r="BGY27" s="19"/>
      <c r="BGZ27" s="19"/>
      <c r="BHA27" s="19"/>
      <c r="BHB27" s="19"/>
      <c r="BHC27" s="19"/>
      <c r="BHD27" s="19"/>
      <c r="BHE27" s="19"/>
      <c r="BHF27" s="19"/>
      <c r="BHG27" s="19"/>
      <c r="BHH27" s="19"/>
      <c r="BHI27" s="19"/>
      <c r="BHJ27" s="19"/>
      <c r="BHK27" s="19"/>
      <c r="BHL27" s="19"/>
      <c r="BHM27" s="19"/>
      <c r="BHN27" s="19"/>
      <c r="BHO27" s="19"/>
      <c r="BHP27" s="19"/>
      <c r="BHQ27" s="19"/>
      <c r="BHR27" s="19"/>
      <c r="BHS27" s="19"/>
      <c r="BHT27" s="19"/>
      <c r="BHU27" s="19"/>
      <c r="BHV27" s="19"/>
      <c r="BHW27" s="19"/>
      <c r="BHX27" s="19"/>
      <c r="BHY27" s="19"/>
      <c r="BHZ27" s="19"/>
      <c r="BIA27" s="19"/>
      <c r="BIB27" s="19"/>
      <c r="BIC27" s="19"/>
      <c r="BID27" s="19"/>
      <c r="BIE27" s="19"/>
      <c r="BIF27" s="19"/>
      <c r="BIG27" s="19"/>
      <c r="BIH27" s="19"/>
      <c r="BII27" s="19"/>
      <c r="BIJ27" s="19"/>
      <c r="BIK27" s="19"/>
      <c r="BIL27" s="19"/>
      <c r="BIM27" s="19"/>
      <c r="BIN27" s="19"/>
      <c r="BIO27" s="19"/>
      <c r="BIP27" s="19"/>
      <c r="BIQ27" s="19"/>
      <c r="BIR27" s="19"/>
      <c r="BIS27" s="19"/>
      <c r="BIT27" s="19"/>
      <c r="BIU27" s="19"/>
      <c r="BIV27" s="19"/>
      <c r="BIW27" s="19"/>
      <c r="BIX27" s="19"/>
      <c r="BIY27" s="19"/>
      <c r="BIZ27" s="19"/>
      <c r="BJA27" s="19"/>
      <c r="BJB27" s="19"/>
      <c r="BJC27" s="19"/>
      <c r="BJD27" s="19"/>
      <c r="BJE27" s="19"/>
      <c r="BJF27" s="19"/>
      <c r="BJG27" s="19"/>
      <c r="BJH27" s="19"/>
      <c r="BJI27" s="19"/>
      <c r="BJJ27" s="19"/>
      <c r="BJK27" s="19"/>
      <c r="BJL27" s="19"/>
      <c r="BJM27" s="19"/>
      <c r="BJN27" s="19"/>
      <c r="BJO27" s="19"/>
      <c r="BJP27" s="19"/>
      <c r="BJQ27" s="19"/>
      <c r="BJR27" s="19"/>
      <c r="BJS27" s="19"/>
      <c r="BJT27" s="19"/>
      <c r="BJU27" s="19"/>
      <c r="BJV27" s="19"/>
      <c r="BJW27" s="19"/>
      <c r="BJX27" s="19"/>
      <c r="BJY27" s="19"/>
      <c r="BJZ27" s="19"/>
      <c r="BKA27" s="19"/>
      <c r="BKB27" s="19"/>
      <c r="BKC27" s="19"/>
      <c r="BKD27" s="19"/>
      <c r="BKE27" s="19"/>
      <c r="BKF27" s="19"/>
      <c r="BKG27" s="19"/>
      <c r="BKH27" s="19"/>
      <c r="BKI27" s="19"/>
      <c r="BKJ27" s="19"/>
      <c r="BKK27" s="19"/>
      <c r="BKL27" s="19"/>
      <c r="BKM27" s="19"/>
      <c r="BKN27" s="19"/>
      <c r="BKO27" s="19"/>
      <c r="BKP27" s="19"/>
      <c r="BKQ27" s="19"/>
      <c r="BKR27" s="19"/>
      <c r="BKS27" s="19"/>
      <c r="BKT27" s="19"/>
      <c r="BKU27" s="19"/>
      <c r="BKV27" s="19"/>
      <c r="BKW27" s="19"/>
      <c r="BKX27" s="19"/>
      <c r="BKY27" s="19"/>
      <c r="BKZ27" s="19"/>
      <c r="BLA27" s="19"/>
      <c r="BLB27" s="19"/>
      <c r="BLC27" s="19"/>
      <c r="BLD27" s="19"/>
      <c r="BLE27" s="19"/>
      <c r="BLF27" s="19"/>
      <c r="BLG27" s="19"/>
      <c r="BLH27" s="19"/>
      <c r="BLI27" s="19"/>
      <c r="BLJ27" s="19"/>
      <c r="BLK27" s="19"/>
      <c r="BLL27" s="19"/>
      <c r="BLM27" s="19"/>
      <c r="BLN27" s="19"/>
      <c r="BLO27" s="19"/>
      <c r="BLP27" s="19"/>
      <c r="BLQ27" s="19"/>
      <c r="BLR27" s="19"/>
      <c r="BLS27" s="19"/>
      <c r="BLT27" s="19"/>
      <c r="BLU27" s="19"/>
      <c r="BLV27" s="19"/>
      <c r="BLW27" s="19"/>
      <c r="BLX27" s="19"/>
      <c r="BLY27" s="19"/>
      <c r="BLZ27" s="19"/>
      <c r="BMA27" s="19"/>
      <c r="BMB27" s="19"/>
      <c r="BMC27" s="19"/>
      <c r="BMD27" s="19"/>
      <c r="BME27" s="19"/>
      <c r="BMF27" s="19"/>
      <c r="BMG27" s="19"/>
      <c r="BMH27" s="19"/>
      <c r="BMI27" s="19"/>
      <c r="BMJ27" s="19"/>
      <c r="BMK27" s="19"/>
      <c r="BML27" s="19"/>
      <c r="BMM27" s="19"/>
      <c r="BMN27" s="19"/>
      <c r="BMO27" s="19"/>
      <c r="BMP27" s="19"/>
      <c r="BMQ27" s="19"/>
      <c r="BMR27" s="19"/>
      <c r="BMS27" s="19"/>
      <c r="BMT27" s="19"/>
      <c r="BMU27" s="19"/>
      <c r="BMV27" s="19"/>
      <c r="BMW27" s="19"/>
      <c r="BMX27" s="19"/>
      <c r="BMY27" s="19"/>
      <c r="BMZ27" s="19"/>
      <c r="BNA27" s="19"/>
      <c r="BNB27" s="19"/>
      <c r="BNC27" s="19"/>
      <c r="BND27" s="19"/>
      <c r="BNE27" s="19"/>
      <c r="BNF27" s="19"/>
      <c r="BNG27" s="19"/>
      <c r="BNH27" s="19"/>
      <c r="BNI27" s="19"/>
      <c r="BNJ27" s="19"/>
      <c r="BNK27" s="19"/>
      <c r="BNL27" s="19"/>
      <c r="BNM27" s="19"/>
      <c r="BNN27" s="19"/>
      <c r="BNO27" s="19"/>
      <c r="BNP27" s="19"/>
      <c r="BNQ27" s="19"/>
      <c r="BNR27" s="19"/>
      <c r="BNS27" s="19"/>
      <c r="BNT27" s="19"/>
      <c r="BNU27" s="19"/>
      <c r="BNV27" s="19"/>
      <c r="BNW27" s="19"/>
      <c r="BNX27" s="19"/>
      <c r="BNY27" s="19"/>
      <c r="BNZ27" s="19"/>
      <c r="BOA27" s="19"/>
      <c r="BOB27" s="19"/>
      <c r="BOC27" s="19"/>
      <c r="BOD27" s="19"/>
      <c r="BOE27" s="19"/>
      <c r="BOF27" s="19"/>
      <c r="BOG27" s="19"/>
      <c r="BOH27" s="19"/>
      <c r="BOI27" s="19"/>
      <c r="BOJ27" s="19"/>
      <c r="BOK27" s="19"/>
      <c r="BOL27" s="19"/>
      <c r="BOM27" s="19"/>
      <c r="BON27" s="19"/>
      <c r="BOO27" s="19"/>
      <c r="BOP27" s="19"/>
      <c r="BOQ27" s="19"/>
      <c r="BOR27" s="19"/>
      <c r="BOS27" s="19"/>
      <c r="BOT27" s="19"/>
      <c r="BOU27" s="19"/>
      <c r="BOV27" s="19"/>
      <c r="BOW27" s="19"/>
      <c r="BOX27" s="19"/>
      <c r="BOY27" s="19"/>
      <c r="BOZ27" s="19"/>
      <c r="BPA27" s="19"/>
      <c r="BPB27" s="19"/>
      <c r="BPC27" s="19"/>
      <c r="BPD27" s="19"/>
      <c r="BPE27" s="19"/>
      <c r="BPF27" s="19"/>
      <c r="BPG27" s="19"/>
      <c r="BPH27" s="19"/>
      <c r="BPI27" s="19"/>
      <c r="BPJ27" s="19"/>
      <c r="BPK27" s="19"/>
      <c r="BPL27" s="19"/>
      <c r="BPM27" s="19"/>
      <c r="BPN27" s="19"/>
      <c r="BPO27" s="19"/>
      <c r="BPP27" s="19"/>
      <c r="BPQ27" s="19"/>
      <c r="BPR27" s="19"/>
      <c r="BPS27" s="19"/>
      <c r="BPT27" s="19"/>
      <c r="BPU27" s="19"/>
      <c r="BPV27" s="19"/>
      <c r="BPW27" s="19"/>
      <c r="BPX27" s="19"/>
      <c r="BPY27" s="19"/>
      <c r="BPZ27" s="19"/>
      <c r="BQA27" s="19"/>
      <c r="BQB27" s="19"/>
      <c r="BQC27" s="19"/>
      <c r="BQD27" s="19"/>
      <c r="BQE27" s="19"/>
      <c r="BQF27" s="19"/>
      <c r="BQG27" s="19"/>
      <c r="BQH27" s="19"/>
      <c r="BQI27" s="19"/>
      <c r="BQJ27" s="19"/>
      <c r="BQK27" s="19"/>
      <c r="BQL27" s="19"/>
      <c r="BQM27" s="19"/>
      <c r="BQN27" s="19"/>
      <c r="BQO27" s="19"/>
      <c r="BQP27" s="19"/>
      <c r="BQQ27" s="19"/>
      <c r="BQR27" s="19"/>
      <c r="BQS27" s="19"/>
      <c r="BQT27" s="19"/>
      <c r="BQU27" s="19"/>
      <c r="BQV27" s="19"/>
      <c r="BQW27" s="19"/>
      <c r="BQX27" s="19"/>
      <c r="BQY27" s="19"/>
      <c r="BQZ27" s="19"/>
      <c r="BRA27" s="19"/>
      <c r="BRB27" s="19"/>
      <c r="BRC27" s="19"/>
      <c r="BRD27" s="19"/>
      <c r="BRE27" s="19"/>
      <c r="BRF27" s="19"/>
      <c r="BRG27" s="19"/>
      <c r="BRH27" s="19"/>
      <c r="BRI27" s="19"/>
      <c r="BRJ27" s="19"/>
      <c r="BRK27" s="19"/>
      <c r="BRL27" s="19"/>
      <c r="BRM27" s="19"/>
      <c r="BRN27" s="19"/>
      <c r="BRO27" s="19"/>
      <c r="BRP27" s="19"/>
      <c r="BRQ27" s="19"/>
      <c r="BRR27" s="19"/>
      <c r="BRS27" s="19"/>
      <c r="BRT27" s="19"/>
      <c r="BRU27" s="19"/>
      <c r="BRV27" s="19"/>
      <c r="BRW27" s="19"/>
      <c r="BRX27" s="19"/>
      <c r="BRY27" s="19"/>
      <c r="BRZ27" s="19"/>
      <c r="BSA27" s="19"/>
      <c r="BSB27" s="19"/>
      <c r="BSC27" s="19"/>
      <c r="BSD27" s="19"/>
      <c r="BSE27" s="19"/>
      <c r="BSF27" s="19"/>
      <c r="BSG27" s="19"/>
      <c r="BSH27" s="19"/>
      <c r="BSI27" s="19"/>
      <c r="BSJ27" s="19"/>
      <c r="BSK27" s="19"/>
      <c r="BSL27" s="19"/>
      <c r="BSM27" s="19"/>
      <c r="BSN27" s="19"/>
      <c r="BSO27" s="19"/>
      <c r="BSP27" s="19"/>
      <c r="BSQ27" s="19"/>
      <c r="BSR27" s="19"/>
      <c r="BSS27" s="19"/>
      <c r="BST27" s="19"/>
      <c r="BSU27" s="19"/>
      <c r="BSV27" s="19"/>
      <c r="BSW27" s="19"/>
      <c r="BSX27" s="19"/>
      <c r="BSY27" s="19"/>
      <c r="BSZ27" s="19"/>
      <c r="BTA27" s="19"/>
      <c r="BTB27" s="19"/>
      <c r="BTC27" s="19"/>
      <c r="BTD27" s="19"/>
      <c r="BTE27" s="19"/>
      <c r="BTF27" s="19"/>
      <c r="BTG27" s="19"/>
      <c r="BTH27" s="19"/>
      <c r="BTI27" s="19"/>
      <c r="BTJ27" s="19"/>
      <c r="BTK27" s="19"/>
      <c r="BTL27" s="19"/>
      <c r="BTM27" s="19"/>
      <c r="BTN27" s="19"/>
      <c r="BTO27" s="19"/>
      <c r="BTP27" s="19"/>
      <c r="BTQ27" s="19"/>
      <c r="BTR27" s="19"/>
      <c r="BTS27" s="19"/>
      <c r="BTT27" s="19"/>
      <c r="BTU27" s="19"/>
      <c r="BTV27" s="19"/>
      <c r="BTW27" s="19"/>
      <c r="BTX27" s="19"/>
      <c r="BTY27" s="19"/>
      <c r="BTZ27" s="19"/>
      <c r="BUA27" s="19"/>
      <c r="BUB27" s="19"/>
      <c r="BUC27" s="19"/>
      <c r="BUD27" s="19"/>
      <c r="BUE27" s="19"/>
      <c r="BUF27" s="19"/>
      <c r="BUG27" s="19"/>
      <c r="BUH27" s="19"/>
      <c r="BUI27" s="19"/>
      <c r="BUJ27" s="19"/>
      <c r="BUK27" s="19"/>
      <c r="BUL27" s="19"/>
      <c r="BUM27" s="19"/>
      <c r="BUN27" s="19"/>
      <c r="BUO27" s="19"/>
      <c r="BUP27" s="19"/>
      <c r="BUQ27" s="19"/>
      <c r="BUR27" s="19"/>
      <c r="BUS27" s="19"/>
      <c r="BUT27" s="19"/>
      <c r="BUU27" s="19"/>
      <c r="BUV27" s="19"/>
      <c r="BUW27" s="19"/>
      <c r="BUX27" s="19"/>
      <c r="BUY27" s="19"/>
      <c r="BUZ27" s="19"/>
      <c r="BVA27" s="19"/>
      <c r="BVB27" s="19"/>
      <c r="BVC27" s="19"/>
      <c r="BVD27" s="19"/>
      <c r="BVE27" s="19"/>
      <c r="BVF27" s="19"/>
      <c r="BVG27" s="19"/>
      <c r="BVH27" s="19"/>
      <c r="BVI27" s="19"/>
      <c r="BVJ27" s="19"/>
      <c r="BVK27" s="19"/>
      <c r="BVL27" s="19"/>
      <c r="BVM27" s="19"/>
      <c r="BVN27" s="19"/>
      <c r="BVO27" s="19"/>
      <c r="BVP27" s="19"/>
      <c r="BVQ27" s="19"/>
      <c r="BVR27" s="19"/>
      <c r="BVS27" s="19"/>
      <c r="BVT27" s="19"/>
      <c r="BVU27" s="19"/>
      <c r="BVV27" s="19"/>
      <c r="BVW27" s="19"/>
      <c r="BVX27" s="19"/>
      <c r="BVY27" s="19"/>
      <c r="BVZ27" s="19"/>
      <c r="BWA27" s="19"/>
      <c r="BWB27" s="19"/>
      <c r="BWC27" s="19"/>
      <c r="BWD27" s="19"/>
      <c r="BWE27" s="19"/>
      <c r="BWF27" s="19"/>
      <c r="BWG27" s="19"/>
      <c r="BWH27" s="19"/>
      <c r="BWI27" s="19"/>
      <c r="BWJ27" s="19"/>
      <c r="BWK27" s="19"/>
      <c r="BWL27" s="19"/>
      <c r="BWM27" s="19"/>
      <c r="BWN27" s="19"/>
      <c r="BWO27" s="19"/>
      <c r="BWP27" s="19"/>
      <c r="BWQ27" s="19"/>
      <c r="BWR27" s="19"/>
      <c r="BWS27" s="19"/>
      <c r="BWT27" s="19"/>
      <c r="BWU27" s="19"/>
      <c r="BWV27" s="19"/>
      <c r="BWW27" s="19"/>
      <c r="BWX27" s="19"/>
      <c r="BWY27" s="19"/>
      <c r="BWZ27" s="19"/>
      <c r="BXA27" s="19"/>
      <c r="BXB27" s="19"/>
      <c r="BXC27" s="19"/>
      <c r="BXD27" s="19"/>
      <c r="BXE27" s="19"/>
      <c r="BXF27" s="19"/>
      <c r="BXG27" s="19"/>
      <c r="BXH27" s="19"/>
      <c r="BXI27" s="19"/>
      <c r="BXJ27" s="19"/>
      <c r="BXK27" s="19"/>
      <c r="BXL27" s="19"/>
      <c r="BXM27" s="19"/>
      <c r="BXN27" s="19"/>
      <c r="BXO27" s="19"/>
      <c r="BXP27" s="19"/>
      <c r="BXQ27" s="19"/>
      <c r="BXR27" s="19"/>
      <c r="BXS27" s="19"/>
      <c r="BXT27" s="19"/>
      <c r="BXU27" s="19"/>
      <c r="BXV27" s="19"/>
      <c r="BXW27" s="19"/>
      <c r="BXX27" s="19"/>
      <c r="BXY27" s="19"/>
      <c r="BXZ27" s="19"/>
      <c r="BYA27" s="19"/>
      <c r="BYB27" s="19"/>
      <c r="BYC27" s="19"/>
      <c r="BYD27" s="19"/>
      <c r="BYE27" s="19"/>
      <c r="BYF27" s="19"/>
      <c r="BYG27" s="19"/>
      <c r="BYH27" s="19"/>
      <c r="BYI27" s="19"/>
      <c r="BYJ27" s="19"/>
      <c r="BYK27" s="19"/>
      <c r="BYL27" s="19"/>
      <c r="BYM27" s="19"/>
      <c r="BYN27" s="19"/>
      <c r="BYO27" s="19"/>
      <c r="BYP27" s="19"/>
      <c r="BYQ27" s="19"/>
      <c r="BYR27" s="19"/>
      <c r="BYS27" s="19"/>
      <c r="BYT27" s="19"/>
      <c r="BYU27" s="19"/>
      <c r="BYV27" s="19"/>
      <c r="BYW27" s="19"/>
      <c r="BYX27" s="19"/>
      <c r="BYY27" s="19"/>
      <c r="BYZ27" s="19"/>
      <c r="BZA27" s="19"/>
      <c r="BZB27" s="19"/>
      <c r="BZC27" s="19"/>
      <c r="BZD27" s="19"/>
      <c r="BZE27" s="19"/>
      <c r="BZF27" s="19"/>
      <c r="BZG27" s="19"/>
      <c r="BZH27" s="19"/>
      <c r="BZI27" s="19"/>
      <c r="BZJ27" s="19"/>
      <c r="BZK27" s="19"/>
      <c r="BZL27" s="19"/>
      <c r="BZM27" s="19"/>
      <c r="BZN27" s="19"/>
      <c r="BZO27" s="19"/>
      <c r="BZP27" s="19"/>
      <c r="BZQ27" s="19"/>
      <c r="BZR27" s="19"/>
      <c r="BZS27" s="19"/>
      <c r="BZT27" s="19"/>
      <c r="BZU27" s="19"/>
      <c r="BZV27" s="19"/>
      <c r="BZW27" s="19"/>
      <c r="BZX27" s="19"/>
      <c r="BZY27" s="19"/>
      <c r="BZZ27" s="19"/>
      <c r="CAA27" s="19"/>
      <c r="CAB27" s="19"/>
      <c r="CAC27" s="19"/>
      <c r="CAD27" s="19"/>
      <c r="CAE27" s="19"/>
      <c r="CAF27" s="19"/>
      <c r="CAG27" s="19"/>
      <c r="CAH27" s="19"/>
      <c r="CAI27" s="19"/>
      <c r="CAJ27" s="19"/>
      <c r="CAK27" s="19"/>
      <c r="CAL27" s="19"/>
      <c r="CAM27" s="19"/>
      <c r="CAN27" s="19"/>
      <c r="CAO27" s="19"/>
      <c r="CAP27" s="19"/>
      <c r="CAQ27" s="19"/>
      <c r="CAR27" s="19"/>
      <c r="CAS27" s="19"/>
      <c r="CAT27" s="19"/>
      <c r="CAU27" s="19"/>
      <c r="CAV27" s="19"/>
      <c r="CAW27" s="19"/>
      <c r="CAX27" s="19"/>
      <c r="CAY27" s="19"/>
      <c r="CAZ27" s="19"/>
      <c r="CBA27" s="19"/>
      <c r="CBB27" s="19"/>
      <c r="CBC27" s="19"/>
      <c r="CBD27" s="19"/>
      <c r="CBE27" s="19"/>
      <c r="CBF27" s="19"/>
      <c r="CBG27" s="19"/>
      <c r="CBH27" s="19"/>
      <c r="CBI27" s="19"/>
      <c r="CBJ27" s="19"/>
      <c r="CBK27" s="19"/>
      <c r="CBL27" s="19"/>
      <c r="CBM27" s="19"/>
      <c r="CBN27" s="19"/>
      <c r="CBO27" s="19"/>
      <c r="CBP27" s="19"/>
      <c r="CBQ27" s="19"/>
      <c r="CBR27" s="19"/>
      <c r="CBS27" s="19"/>
      <c r="CBT27" s="19"/>
      <c r="CBU27" s="19"/>
      <c r="CBV27" s="19"/>
      <c r="CBW27" s="19"/>
      <c r="CBX27" s="19"/>
      <c r="CBY27" s="19"/>
      <c r="CBZ27" s="19"/>
      <c r="CCA27" s="19"/>
      <c r="CCB27" s="19"/>
      <c r="CCC27" s="19"/>
      <c r="CCD27" s="19"/>
      <c r="CCE27" s="19"/>
      <c r="CCF27" s="19"/>
      <c r="CCG27" s="19"/>
      <c r="CCH27" s="19"/>
      <c r="CCI27" s="19"/>
      <c r="CCJ27" s="19"/>
      <c r="CCK27" s="19"/>
      <c r="CCL27" s="19"/>
      <c r="CCM27" s="19"/>
      <c r="CCN27" s="19"/>
      <c r="CCO27" s="19"/>
      <c r="CCP27" s="19"/>
      <c r="CCQ27" s="19"/>
      <c r="CCR27" s="19"/>
      <c r="CCS27" s="19"/>
      <c r="CCT27" s="19"/>
      <c r="CCU27" s="19"/>
      <c r="CCV27" s="19"/>
      <c r="CCW27" s="19"/>
      <c r="CCX27" s="19"/>
      <c r="CCY27" s="19"/>
      <c r="CCZ27" s="19"/>
      <c r="CDA27" s="19"/>
      <c r="CDB27" s="19"/>
      <c r="CDC27" s="19"/>
      <c r="CDD27" s="19"/>
      <c r="CDE27" s="19"/>
      <c r="CDF27" s="19"/>
      <c r="CDG27" s="19"/>
      <c r="CDH27" s="19"/>
      <c r="CDI27" s="19"/>
      <c r="CDJ27" s="19"/>
      <c r="CDK27" s="19"/>
      <c r="CDL27" s="19"/>
      <c r="CDM27" s="19"/>
      <c r="CDN27" s="19"/>
      <c r="CDO27" s="19"/>
      <c r="CDP27" s="19"/>
      <c r="CDQ27" s="19"/>
      <c r="CDR27" s="19"/>
      <c r="CDS27" s="19"/>
      <c r="CDT27" s="19"/>
      <c r="CDU27" s="19"/>
      <c r="CDV27" s="19"/>
      <c r="CDW27" s="19"/>
      <c r="CDX27" s="19"/>
      <c r="CDY27" s="19"/>
      <c r="CDZ27" s="19"/>
      <c r="CEA27" s="19"/>
      <c r="CEB27" s="19"/>
      <c r="CEC27" s="19"/>
      <c r="CED27" s="19"/>
      <c r="CEE27" s="19"/>
      <c r="CEF27" s="19"/>
      <c r="CEG27" s="19"/>
      <c r="CEH27" s="19"/>
      <c r="CEI27" s="19"/>
      <c r="CEJ27" s="19"/>
      <c r="CEK27" s="19"/>
      <c r="CEL27" s="19"/>
      <c r="CEM27" s="19"/>
      <c r="CEN27" s="19"/>
      <c r="CEO27" s="19"/>
      <c r="CEP27" s="19"/>
      <c r="CEQ27" s="19"/>
      <c r="CER27" s="19"/>
      <c r="CES27" s="19"/>
      <c r="CET27" s="19"/>
      <c r="CEU27" s="19"/>
      <c r="CEV27" s="19"/>
      <c r="CEW27" s="19"/>
      <c r="CEX27" s="19"/>
      <c r="CEY27" s="19"/>
      <c r="CEZ27" s="19"/>
      <c r="CFA27" s="19"/>
      <c r="CFB27" s="19"/>
      <c r="CFC27" s="19"/>
      <c r="CFD27" s="19"/>
      <c r="CFE27" s="19"/>
      <c r="CFF27" s="19"/>
      <c r="CFG27" s="19"/>
      <c r="CFH27" s="19"/>
      <c r="CFI27" s="19"/>
      <c r="CFJ27" s="19"/>
      <c r="CFK27" s="19"/>
      <c r="CFL27" s="19"/>
      <c r="CFM27" s="19"/>
      <c r="CFN27" s="19"/>
      <c r="CFO27" s="19"/>
      <c r="CFP27" s="19"/>
      <c r="CFQ27" s="19"/>
      <c r="CFR27" s="19"/>
      <c r="CFS27" s="19"/>
      <c r="CFT27" s="19"/>
      <c r="CFU27" s="19"/>
      <c r="CFV27" s="19"/>
      <c r="CFW27" s="19"/>
      <c r="CFX27" s="19"/>
      <c r="CFY27" s="19"/>
      <c r="CFZ27" s="19"/>
      <c r="CGA27" s="19"/>
      <c r="CGB27" s="19"/>
      <c r="CGC27" s="19"/>
      <c r="CGD27" s="19"/>
      <c r="CGE27" s="19"/>
      <c r="CGF27" s="19"/>
      <c r="CGG27" s="19"/>
      <c r="CGH27" s="19"/>
      <c r="CGI27" s="19"/>
      <c r="CGJ27" s="19"/>
      <c r="CGK27" s="19"/>
      <c r="CGL27" s="19"/>
      <c r="CGM27" s="19"/>
      <c r="CGN27" s="19"/>
      <c r="CGO27" s="19"/>
      <c r="CGP27" s="19"/>
      <c r="CGQ27" s="19"/>
      <c r="CGR27" s="19"/>
      <c r="CGS27" s="19"/>
      <c r="CGT27" s="19"/>
      <c r="CGU27" s="19"/>
      <c r="CGV27" s="19"/>
      <c r="CGW27" s="19"/>
      <c r="CGX27" s="19"/>
      <c r="CGY27" s="19"/>
      <c r="CGZ27" s="19"/>
      <c r="CHA27" s="19"/>
      <c r="CHB27" s="19"/>
      <c r="CHC27" s="19"/>
      <c r="CHD27" s="19"/>
      <c r="CHE27" s="19"/>
      <c r="CHF27" s="19"/>
      <c r="CHG27" s="19"/>
      <c r="CHH27" s="19"/>
      <c r="CHI27" s="19"/>
      <c r="CHJ27" s="19"/>
      <c r="CHK27" s="19"/>
      <c r="CHL27" s="19"/>
      <c r="CHM27" s="19"/>
      <c r="CHN27" s="19"/>
      <c r="CHO27" s="19"/>
      <c r="CHP27" s="19"/>
      <c r="CHQ27" s="19"/>
      <c r="CHR27" s="19"/>
      <c r="CHS27" s="19"/>
      <c r="CHT27" s="19"/>
      <c r="CHU27" s="19"/>
      <c r="CHV27" s="19"/>
      <c r="CHW27" s="19"/>
      <c r="CHX27" s="19"/>
      <c r="CHY27" s="19"/>
      <c r="CHZ27" s="19"/>
      <c r="CIA27" s="19"/>
      <c r="CIB27" s="19"/>
      <c r="CIC27" s="19"/>
      <c r="CID27" s="19"/>
      <c r="CIE27" s="19"/>
      <c r="CIF27" s="19"/>
      <c r="CIG27" s="19"/>
      <c r="CIH27" s="19"/>
      <c r="CII27" s="19"/>
      <c r="CIJ27" s="19"/>
      <c r="CIK27" s="19"/>
      <c r="CIL27" s="19"/>
      <c r="CIM27" s="19"/>
      <c r="CIN27" s="19"/>
      <c r="CIO27" s="19"/>
      <c r="CIP27" s="19"/>
      <c r="CIQ27" s="19"/>
      <c r="CIR27" s="19"/>
      <c r="CIS27" s="19"/>
      <c r="CIT27" s="19"/>
      <c r="CIU27" s="19"/>
      <c r="CIV27" s="19"/>
      <c r="CIW27" s="19"/>
      <c r="CIX27" s="19"/>
      <c r="CIY27" s="19"/>
      <c r="CIZ27" s="19"/>
      <c r="CJA27" s="19"/>
      <c r="CJB27" s="19"/>
      <c r="CJC27" s="19"/>
      <c r="CJD27" s="19"/>
      <c r="CJE27" s="19"/>
      <c r="CJF27" s="19"/>
      <c r="CJG27" s="19"/>
      <c r="CJH27" s="19"/>
      <c r="CJI27" s="19"/>
      <c r="CJJ27" s="19"/>
      <c r="CJK27" s="19"/>
      <c r="CJL27" s="19"/>
      <c r="CJM27" s="19"/>
      <c r="CJN27" s="19"/>
      <c r="CJO27" s="19"/>
      <c r="CJP27" s="19"/>
      <c r="CJQ27" s="19"/>
      <c r="CJR27" s="19"/>
      <c r="CJS27" s="19"/>
      <c r="CJT27" s="19"/>
      <c r="CJU27" s="19"/>
      <c r="CJV27" s="19"/>
      <c r="CJW27" s="19"/>
      <c r="CJX27" s="19"/>
      <c r="CJY27" s="19"/>
      <c r="CJZ27" s="19"/>
      <c r="CKA27" s="19"/>
      <c r="CKB27" s="19"/>
      <c r="CKC27" s="19"/>
      <c r="CKD27" s="19"/>
      <c r="CKE27" s="19"/>
      <c r="CKF27" s="19"/>
      <c r="CKG27" s="19"/>
      <c r="CKH27" s="19"/>
      <c r="CKI27" s="19"/>
      <c r="CKJ27" s="19"/>
      <c r="CKK27" s="19"/>
      <c r="CKL27" s="19"/>
      <c r="CKM27" s="19"/>
      <c r="CKN27" s="19"/>
      <c r="CKO27" s="19"/>
      <c r="CKP27" s="19"/>
      <c r="CKQ27" s="19"/>
      <c r="CKR27" s="19"/>
      <c r="CKS27" s="19"/>
      <c r="CKT27" s="19"/>
      <c r="CKU27" s="19"/>
      <c r="CKV27" s="19"/>
      <c r="CKW27" s="19"/>
      <c r="CKX27" s="19"/>
      <c r="CKY27" s="19"/>
      <c r="CKZ27" s="19"/>
      <c r="CLA27" s="19"/>
      <c r="CLB27" s="19"/>
      <c r="CLC27" s="19"/>
      <c r="CLD27" s="19"/>
      <c r="CLE27" s="19"/>
      <c r="CLF27" s="19"/>
      <c r="CLG27" s="19"/>
      <c r="CLH27" s="19"/>
      <c r="CLI27" s="19"/>
      <c r="CLJ27" s="19"/>
      <c r="CLK27" s="19"/>
      <c r="CLL27" s="19"/>
      <c r="CLM27" s="19"/>
      <c r="CLN27" s="19"/>
      <c r="CLO27" s="19"/>
      <c r="CLP27" s="19"/>
      <c r="CLQ27" s="19"/>
      <c r="CLR27" s="19"/>
      <c r="CLS27" s="19"/>
      <c r="CLT27" s="19"/>
      <c r="CLU27" s="19"/>
      <c r="CLV27" s="19"/>
      <c r="CLW27" s="19"/>
      <c r="CLX27" s="19"/>
      <c r="CLY27" s="19"/>
      <c r="CLZ27" s="19"/>
      <c r="CMA27" s="19"/>
      <c r="CMB27" s="19"/>
      <c r="CMC27" s="19"/>
      <c r="CMD27" s="19"/>
      <c r="CME27" s="19"/>
      <c r="CMF27" s="19"/>
      <c r="CMG27" s="19"/>
      <c r="CMH27" s="19"/>
      <c r="CMI27" s="19"/>
      <c r="CMJ27" s="19"/>
      <c r="CMK27" s="19"/>
      <c r="CML27" s="19"/>
      <c r="CMM27" s="19"/>
      <c r="CMN27" s="19"/>
      <c r="CMO27" s="19"/>
      <c r="CMP27" s="19"/>
      <c r="CMQ27" s="19"/>
      <c r="CMR27" s="19"/>
      <c r="CMS27" s="19"/>
      <c r="CMT27" s="19"/>
      <c r="CMU27" s="19"/>
      <c r="CMV27" s="19"/>
      <c r="CMW27" s="19"/>
      <c r="CMX27" s="19"/>
      <c r="CMY27" s="19"/>
      <c r="CMZ27" s="19"/>
      <c r="CNA27" s="19"/>
      <c r="CNB27" s="19"/>
      <c r="CNC27" s="19"/>
      <c r="CND27" s="19"/>
      <c r="CNE27" s="19"/>
      <c r="CNF27" s="19"/>
      <c r="CNG27" s="19"/>
      <c r="CNH27" s="19"/>
      <c r="CNI27" s="19"/>
      <c r="CNJ27" s="19"/>
      <c r="CNK27" s="19"/>
      <c r="CNL27" s="19"/>
      <c r="CNM27" s="19"/>
      <c r="CNN27" s="19"/>
      <c r="CNO27" s="19"/>
      <c r="CNP27" s="19"/>
      <c r="CNQ27" s="19"/>
      <c r="CNR27" s="19"/>
      <c r="CNS27" s="19"/>
      <c r="CNT27" s="19"/>
      <c r="CNU27" s="19"/>
      <c r="CNV27" s="19"/>
      <c r="CNW27" s="19"/>
      <c r="CNX27" s="19"/>
      <c r="CNY27" s="19"/>
      <c r="CNZ27" s="19"/>
      <c r="COA27" s="19"/>
      <c r="COB27" s="19"/>
      <c r="COC27" s="19"/>
      <c r="COD27" s="19"/>
      <c r="COE27" s="19"/>
      <c r="COF27" s="19"/>
      <c r="COG27" s="19"/>
      <c r="COH27" s="19"/>
      <c r="COI27" s="19"/>
      <c r="COJ27" s="19"/>
      <c r="COK27" s="19"/>
      <c r="COL27" s="19"/>
      <c r="COM27" s="19"/>
      <c r="CON27" s="19"/>
      <c r="COO27" s="19"/>
      <c r="COP27" s="19"/>
      <c r="COQ27" s="19"/>
      <c r="COR27" s="19"/>
      <c r="COS27" s="19"/>
      <c r="COT27" s="19"/>
      <c r="COU27" s="19"/>
      <c r="COV27" s="19"/>
      <c r="COW27" s="19"/>
      <c r="COX27" s="19"/>
      <c r="COY27" s="19"/>
      <c r="COZ27" s="19"/>
      <c r="CPA27" s="19"/>
      <c r="CPB27" s="19"/>
      <c r="CPC27" s="19"/>
      <c r="CPD27" s="19"/>
      <c r="CPE27" s="19"/>
      <c r="CPF27" s="19"/>
      <c r="CPG27" s="19"/>
      <c r="CPH27" s="19"/>
      <c r="CPI27" s="19"/>
      <c r="CPJ27" s="19"/>
      <c r="CPK27" s="19"/>
      <c r="CPL27" s="19"/>
      <c r="CPM27" s="19"/>
      <c r="CPN27" s="19"/>
      <c r="CPO27" s="19"/>
      <c r="CPP27" s="19"/>
      <c r="CPQ27" s="19"/>
      <c r="CPR27" s="19"/>
      <c r="CPS27" s="19"/>
      <c r="CPT27" s="19"/>
      <c r="CPU27" s="19"/>
      <c r="CPV27" s="19"/>
      <c r="CPW27" s="19"/>
      <c r="CPX27" s="19"/>
      <c r="CPY27" s="19"/>
      <c r="CPZ27" s="19"/>
      <c r="CQA27" s="19"/>
      <c r="CQB27" s="19"/>
      <c r="CQC27" s="19"/>
      <c r="CQD27" s="19"/>
      <c r="CQE27" s="19"/>
      <c r="CQF27" s="19"/>
      <c r="CQG27" s="19"/>
      <c r="CQH27" s="19"/>
      <c r="CQI27" s="19"/>
      <c r="CQJ27" s="19"/>
      <c r="CQK27" s="19"/>
      <c r="CQL27" s="19"/>
      <c r="CQM27" s="19"/>
      <c r="CQN27" s="19"/>
      <c r="CQO27" s="19"/>
      <c r="CQP27" s="19"/>
      <c r="CQQ27" s="19"/>
      <c r="CQR27" s="19"/>
      <c r="CQS27" s="19"/>
      <c r="CQT27" s="19"/>
      <c r="CQU27" s="19"/>
      <c r="CQV27" s="19"/>
      <c r="CQW27" s="19"/>
      <c r="CQX27" s="19"/>
      <c r="CQY27" s="19"/>
      <c r="CQZ27" s="19"/>
      <c r="CRA27" s="19"/>
      <c r="CRB27" s="19"/>
      <c r="CRC27" s="19"/>
      <c r="CRD27" s="19"/>
      <c r="CRE27" s="19"/>
      <c r="CRF27" s="19"/>
      <c r="CRG27" s="19"/>
      <c r="CRH27" s="19"/>
      <c r="CRI27" s="19"/>
      <c r="CRJ27" s="19"/>
      <c r="CRK27" s="19"/>
      <c r="CRL27" s="19"/>
      <c r="CRM27" s="19"/>
      <c r="CRN27" s="19"/>
      <c r="CRO27" s="19"/>
      <c r="CRP27" s="19"/>
      <c r="CRQ27" s="19"/>
      <c r="CRR27" s="19"/>
      <c r="CRS27" s="19"/>
      <c r="CRT27" s="19"/>
      <c r="CRU27" s="19"/>
      <c r="CRV27" s="19"/>
      <c r="CRW27" s="19"/>
      <c r="CRX27" s="19"/>
      <c r="CRY27" s="19"/>
      <c r="CRZ27" s="19"/>
      <c r="CSA27" s="19"/>
      <c r="CSB27" s="19"/>
      <c r="CSC27" s="19"/>
      <c r="CSD27" s="19"/>
      <c r="CSE27" s="19"/>
      <c r="CSF27" s="19"/>
      <c r="CSG27" s="19"/>
      <c r="CSH27" s="19"/>
      <c r="CSI27" s="19"/>
      <c r="CSJ27" s="19"/>
      <c r="CSK27" s="19"/>
      <c r="CSL27" s="19"/>
      <c r="CSM27" s="19"/>
      <c r="CSN27" s="19"/>
      <c r="CSO27" s="19"/>
      <c r="CSP27" s="19"/>
      <c r="CSQ27" s="19"/>
      <c r="CSR27" s="19"/>
      <c r="CSS27" s="19"/>
      <c r="CST27" s="19"/>
      <c r="CSU27" s="19"/>
      <c r="CSV27" s="19"/>
      <c r="CSW27" s="19"/>
      <c r="CSX27" s="19"/>
      <c r="CSY27" s="19"/>
      <c r="CSZ27" s="19"/>
      <c r="CTA27" s="19"/>
      <c r="CTB27" s="19"/>
      <c r="CTC27" s="19"/>
      <c r="CTD27" s="19"/>
      <c r="CTE27" s="19"/>
      <c r="CTF27" s="19"/>
      <c r="CTG27" s="19"/>
      <c r="CTH27" s="19"/>
      <c r="CTI27" s="19"/>
      <c r="CTJ27" s="19"/>
      <c r="CTK27" s="19"/>
      <c r="CTL27" s="19"/>
      <c r="CTM27" s="19"/>
      <c r="CTN27" s="19"/>
      <c r="CTO27" s="19"/>
      <c r="CTP27" s="19"/>
      <c r="CTQ27" s="19"/>
      <c r="CTR27" s="19"/>
      <c r="CTS27" s="19"/>
      <c r="CTT27" s="19"/>
      <c r="CTU27" s="19"/>
      <c r="CTV27" s="19"/>
      <c r="CTW27" s="19"/>
      <c r="CTX27" s="19"/>
      <c r="CTY27" s="19"/>
      <c r="CTZ27" s="19"/>
      <c r="CUA27" s="19"/>
      <c r="CUB27" s="19"/>
      <c r="CUC27" s="19"/>
      <c r="CUD27" s="19"/>
      <c r="CUE27" s="19"/>
      <c r="CUF27" s="19"/>
      <c r="CUG27" s="19"/>
      <c r="CUH27" s="19"/>
      <c r="CUI27" s="19"/>
      <c r="CUJ27" s="19"/>
      <c r="CUK27" s="19"/>
      <c r="CUL27" s="19"/>
      <c r="CUM27" s="19"/>
      <c r="CUN27" s="19"/>
      <c r="CUO27" s="19"/>
      <c r="CUP27" s="19"/>
      <c r="CUQ27" s="19"/>
      <c r="CUR27" s="19"/>
      <c r="CUS27" s="19"/>
      <c r="CUT27" s="19"/>
      <c r="CUU27" s="19"/>
      <c r="CUV27" s="19"/>
      <c r="CUW27" s="19"/>
      <c r="CUX27" s="19"/>
      <c r="CUY27" s="19"/>
      <c r="CUZ27" s="19"/>
      <c r="CVA27" s="19"/>
      <c r="CVB27" s="19"/>
      <c r="CVC27" s="19"/>
      <c r="CVD27" s="19"/>
      <c r="CVE27" s="19"/>
      <c r="CVF27" s="19"/>
      <c r="CVG27" s="19"/>
      <c r="CVH27" s="19"/>
      <c r="CVI27" s="19"/>
      <c r="CVJ27" s="19"/>
      <c r="CVK27" s="19"/>
      <c r="CVL27" s="19"/>
      <c r="CVM27" s="19"/>
      <c r="CVN27" s="19"/>
      <c r="CVO27" s="19"/>
      <c r="CVP27" s="19"/>
      <c r="CVQ27" s="19"/>
      <c r="CVR27" s="19"/>
      <c r="CVS27" s="19"/>
      <c r="CVT27" s="19"/>
      <c r="CVU27" s="19"/>
      <c r="CVV27" s="19"/>
      <c r="CVW27" s="19"/>
      <c r="CVX27" s="19"/>
      <c r="CVY27" s="19"/>
      <c r="CVZ27" s="19"/>
      <c r="CWA27" s="19"/>
      <c r="CWB27" s="19"/>
      <c r="CWC27" s="19"/>
      <c r="CWD27" s="19"/>
      <c r="CWE27" s="19"/>
      <c r="CWF27" s="19"/>
      <c r="CWG27" s="19"/>
      <c r="CWH27" s="19"/>
      <c r="CWI27" s="19"/>
      <c r="CWJ27" s="19"/>
      <c r="CWK27" s="19"/>
      <c r="CWL27" s="19"/>
      <c r="CWM27" s="19"/>
      <c r="CWN27" s="19"/>
      <c r="CWO27" s="19"/>
      <c r="CWP27" s="19"/>
      <c r="CWQ27" s="19"/>
      <c r="CWR27" s="19"/>
      <c r="CWS27" s="19"/>
      <c r="CWT27" s="19"/>
      <c r="CWU27" s="19"/>
      <c r="CWV27" s="19"/>
      <c r="CWW27" s="19"/>
      <c r="CWX27" s="19"/>
      <c r="CWY27" s="19"/>
      <c r="CWZ27" s="19"/>
      <c r="CXA27" s="19"/>
      <c r="CXB27" s="19"/>
      <c r="CXC27" s="19"/>
      <c r="CXD27" s="19"/>
      <c r="CXE27" s="19"/>
      <c r="CXF27" s="19"/>
      <c r="CXG27" s="19"/>
      <c r="CXH27" s="19"/>
      <c r="CXI27" s="19"/>
      <c r="CXJ27" s="19"/>
      <c r="CXK27" s="19"/>
      <c r="CXL27" s="19"/>
      <c r="CXM27" s="19"/>
      <c r="CXN27" s="19"/>
      <c r="CXO27" s="19"/>
      <c r="CXP27" s="19"/>
      <c r="CXQ27" s="19"/>
      <c r="CXR27" s="19"/>
      <c r="CXS27" s="19"/>
      <c r="CXT27" s="19"/>
      <c r="CXU27" s="19"/>
      <c r="CXV27" s="19"/>
      <c r="CXW27" s="19"/>
      <c r="CXX27" s="19"/>
      <c r="CXY27" s="19"/>
      <c r="CXZ27" s="19"/>
      <c r="CYA27" s="19"/>
      <c r="CYB27" s="19"/>
      <c r="CYC27" s="19"/>
      <c r="CYD27" s="19"/>
      <c r="CYE27" s="19"/>
      <c r="CYF27" s="19"/>
      <c r="CYG27" s="19"/>
      <c r="CYH27" s="19"/>
      <c r="CYI27" s="19"/>
      <c r="CYJ27" s="19"/>
      <c r="CYK27" s="19"/>
      <c r="CYL27" s="19"/>
      <c r="CYM27" s="19"/>
      <c r="CYN27" s="19"/>
      <c r="CYO27" s="19"/>
      <c r="CYP27" s="19"/>
      <c r="CYQ27" s="19"/>
      <c r="CYR27" s="19"/>
      <c r="CYS27" s="19"/>
      <c r="CYT27" s="19"/>
      <c r="CYU27" s="19"/>
      <c r="CYV27" s="19"/>
      <c r="CYW27" s="19"/>
      <c r="CYX27" s="19"/>
      <c r="CYY27" s="19"/>
      <c r="CYZ27" s="19"/>
      <c r="CZA27" s="19"/>
      <c r="CZB27" s="19"/>
      <c r="CZC27" s="19"/>
      <c r="CZD27" s="19"/>
      <c r="CZE27" s="19"/>
      <c r="CZF27" s="19"/>
      <c r="CZG27" s="19"/>
      <c r="CZH27" s="19"/>
      <c r="CZI27" s="19"/>
      <c r="CZJ27" s="19"/>
      <c r="CZK27" s="19"/>
      <c r="CZL27" s="19"/>
      <c r="CZM27" s="19"/>
      <c r="CZN27" s="19"/>
      <c r="CZO27" s="19"/>
      <c r="CZP27" s="19"/>
      <c r="CZQ27" s="19"/>
      <c r="CZR27" s="19"/>
      <c r="CZS27" s="19"/>
      <c r="CZT27" s="19"/>
      <c r="CZU27" s="19"/>
      <c r="CZV27" s="19"/>
      <c r="CZW27" s="19"/>
      <c r="CZX27" s="19"/>
      <c r="CZY27" s="19"/>
      <c r="CZZ27" s="19"/>
      <c r="DAA27" s="19"/>
      <c r="DAB27" s="19"/>
      <c r="DAC27" s="19"/>
      <c r="DAD27" s="19"/>
      <c r="DAE27" s="19"/>
      <c r="DAF27" s="19"/>
      <c r="DAG27" s="19"/>
      <c r="DAH27" s="19"/>
      <c r="DAI27" s="19"/>
      <c r="DAJ27" s="19"/>
      <c r="DAK27" s="19"/>
      <c r="DAL27" s="19"/>
      <c r="DAM27" s="19"/>
      <c r="DAN27" s="19"/>
      <c r="DAO27" s="19"/>
      <c r="DAP27" s="19"/>
      <c r="DAQ27" s="19"/>
      <c r="DAR27" s="19"/>
      <c r="DAS27" s="19"/>
      <c r="DAT27" s="19"/>
      <c r="DAU27" s="19"/>
      <c r="DAV27" s="19"/>
      <c r="DAW27" s="19"/>
      <c r="DAX27" s="19"/>
      <c r="DAY27" s="19"/>
      <c r="DAZ27" s="19"/>
      <c r="DBA27" s="19"/>
      <c r="DBB27" s="19"/>
      <c r="DBC27" s="19"/>
      <c r="DBD27" s="19"/>
      <c r="DBE27" s="19"/>
      <c r="DBF27" s="19"/>
      <c r="DBG27" s="19"/>
      <c r="DBH27" s="19"/>
      <c r="DBI27" s="19"/>
      <c r="DBJ27" s="19"/>
      <c r="DBK27" s="19"/>
      <c r="DBL27" s="19"/>
      <c r="DBM27" s="19"/>
      <c r="DBN27" s="19"/>
      <c r="DBO27" s="19"/>
      <c r="DBP27" s="19"/>
      <c r="DBQ27" s="19"/>
      <c r="DBR27" s="19"/>
      <c r="DBS27" s="19"/>
      <c r="DBT27" s="19"/>
      <c r="DBU27" s="19"/>
      <c r="DBV27" s="19"/>
      <c r="DBW27" s="19"/>
      <c r="DBX27" s="19"/>
      <c r="DBY27" s="19"/>
      <c r="DBZ27" s="19"/>
      <c r="DCA27" s="19"/>
      <c r="DCB27" s="19"/>
      <c r="DCC27" s="19"/>
      <c r="DCD27" s="19"/>
      <c r="DCE27" s="19"/>
      <c r="DCF27" s="19"/>
      <c r="DCG27" s="19"/>
      <c r="DCH27" s="19"/>
      <c r="DCI27" s="19"/>
      <c r="DCJ27" s="19"/>
      <c r="DCK27" s="19"/>
      <c r="DCL27" s="19"/>
      <c r="DCM27" s="19"/>
      <c r="DCN27" s="19"/>
      <c r="DCO27" s="19"/>
      <c r="DCP27" s="19"/>
      <c r="DCQ27" s="19"/>
      <c r="DCR27" s="19"/>
      <c r="DCS27" s="19"/>
      <c r="DCT27" s="19"/>
      <c r="DCU27" s="19"/>
      <c r="DCV27" s="19"/>
      <c r="DCW27" s="19"/>
      <c r="DCX27" s="19"/>
      <c r="DCY27" s="19"/>
      <c r="DCZ27" s="19"/>
      <c r="DDA27" s="19"/>
      <c r="DDB27" s="19"/>
      <c r="DDC27" s="19"/>
      <c r="DDD27" s="19"/>
      <c r="DDE27" s="19"/>
      <c r="DDF27" s="19"/>
      <c r="DDG27" s="19"/>
      <c r="DDH27" s="19"/>
      <c r="DDI27" s="19"/>
      <c r="DDJ27" s="19"/>
      <c r="DDK27" s="19"/>
      <c r="DDL27" s="19"/>
      <c r="DDM27" s="19"/>
      <c r="DDN27" s="19"/>
      <c r="DDO27" s="19"/>
      <c r="DDP27" s="19"/>
      <c r="DDQ27" s="19"/>
      <c r="DDR27" s="19"/>
      <c r="DDS27" s="19"/>
      <c r="DDT27" s="19"/>
      <c r="DDU27" s="19"/>
      <c r="DDV27" s="19"/>
      <c r="DDW27" s="19"/>
      <c r="DDX27" s="19"/>
      <c r="DDY27" s="19"/>
      <c r="DDZ27" s="19"/>
      <c r="DEA27" s="19"/>
      <c r="DEB27" s="19"/>
      <c r="DEC27" s="19"/>
      <c r="DED27" s="19"/>
      <c r="DEE27" s="19"/>
      <c r="DEF27" s="19"/>
      <c r="DEG27" s="19"/>
      <c r="DEH27" s="19"/>
      <c r="DEI27" s="19"/>
      <c r="DEJ27" s="19"/>
      <c r="DEK27" s="19"/>
      <c r="DEL27" s="19"/>
      <c r="DEM27" s="19"/>
      <c r="DEN27" s="19"/>
      <c r="DEO27" s="19"/>
      <c r="DEP27" s="19"/>
      <c r="DEQ27" s="19"/>
      <c r="DER27" s="19"/>
      <c r="DES27" s="19"/>
      <c r="DET27" s="19"/>
      <c r="DEU27" s="19"/>
      <c r="DEV27" s="19"/>
      <c r="DEW27" s="19"/>
      <c r="DEX27" s="19"/>
      <c r="DEY27" s="19"/>
      <c r="DEZ27" s="19"/>
      <c r="DFA27" s="19"/>
      <c r="DFB27" s="19"/>
      <c r="DFC27" s="19"/>
      <c r="DFD27" s="19"/>
      <c r="DFE27" s="19"/>
      <c r="DFF27" s="19"/>
      <c r="DFG27" s="19"/>
      <c r="DFH27" s="19"/>
      <c r="DFI27" s="19"/>
      <c r="DFJ27" s="19"/>
      <c r="DFK27" s="19"/>
      <c r="DFL27" s="19"/>
      <c r="DFM27" s="19"/>
      <c r="DFN27" s="19"/>
      <c r="DFO27" s="19"/>
      <c r="DFP27" s="19"/>
      <c r="DFQ27" s="19"/>
      <c r="DFR27" s="19"/>
      <c r="DFS27" s="19"/>
      <c r="DFT27" s="19"/>
      <c r="DFU27" s="19"/>
      <c r="DFV27" s="19"/>
      <c r="DFW27" s="19"/>
      <c r="DFX27" s="19"/>
      <c r="DFY27" s="19"/>
      <c r="DFZ27" s="19"/>
      <c r="DGA27" s="19"/>
      <c r="DGB27" s="19"/>
      <c r="DGC27" s="19"/>
      <c r="DGD27" s="19"/>
      <c r="DGE27" s="19"/>
      <c r="DGF27" s="19"/>
      <c r="DGG27" s="19"/>
      <c r="DGH27" s="19"/>
      <c r="DGI27" s="19"/>
      <c r="DGJ27" s="19"/>
      <c r="DGK27" s="19"/>
      <c r="DGL27" s="19"/>
      <c r="DGM27" s="19"/>
      <c r="DGN27" s="19"/>
      <c r="DGO27" s="19"/>
      <c r="DGP27" s="19"/>
      <c r="DGQ27" s="19"/>
      <c r="DGR27" s="19"/>
      <c r="DGS27" s="19"/>
      <c r="DGT27" s="19"/>
      <c r="DGU27" s="19"/>
      <c r="DGV27" s="19"/>
      <c r="DGW27" s="19"/>
      <c r="DGX27" s="19"/>
      <c r="DGY27" s="19"/>
      <c r="DGZ27" s="19"/>
      <c r="DHA27" s="19"/>
      <c r="DHB27" s="19"/>
      <c r="DHC27" s="19"/>
      <c r="DHD27" s="19"/>
      <c r="DHE27" s="19"/>
      <c r="DHF27" s="19"/>
      <c r="DHG27" s="19"/>
      <c r="DHH27" s="19"/>
      <c r="DHI27" s="19"/>
      <c r="DHJ27" s="19"/>
      <c r="DHK27" s="19"/>
      <c r="DHL27" s="19"/>
      <c r="DHM27" s="19"/>
      <c r="DHN27" s="19"/>
      <c r="DHO27" s="19"/>
      <c r="DHP27" s="19"/>
      <c r="DHQ27" s="19"/>
      <c r="DHR27" s="19"/>
      <c r="DHS27" s="19"/>
      <c r="DHT27" s="19"/>
      <c r="DHU27" s="19"/>
      <c r="DHV27" s="19"/>
      <c r="DHW27" s="19"/>
      <c r="DHX27" s="19"/>
      <c r="DHY27" s="19"/>
      <c r="DHZ27" s="19"/>
      <c r="DIA27" s="19"/>
      <c r="DIB27" s="19"/>
      <c r="DIC27" s="19"/>
      <c r="DID27" s="19"/>
      <c r="DIE27" s="19"/>
      <c r="DIF27" s="19"/>
      <c r="DIG27" s="19"/>
      <c r="DIH27" s="19"/>
      <c r="DII27" s="19"/>
      <c r="DIJ27" s="19"/>
      <c r="DIK27" s="19"/>
      <c r="DIL27" s="19"/>
      <c r="DIM27" s="19"/>
      <c r="DIN27" s="19"/>
      <c r="DIO27" s="19"/>
      <c r="DIP27" s="19"/>
      <c r="DIQ27" s="19"/>
      <c r="DIR27" s="19"/>
      <c r="DIS27" s="19"/>
      <c r="DIT27" s="19"/>
      <c r="DIU27" s="19"/>
      <c r="DIV27" s="19"/>
      <c r="DIW27" s="19"/>
      <c r="DIX27" s="19"/>
      <c r="DIY27" s="19"/>
      <c r="DIZ27" s="19"/>
      <c r="DJA27" s="19"/>
      <c r="DJB27" s="19"/>
      <c r="DJC27" s="19"/>
      <c r="DJD27" s="19"/>
      <c r="DJE27" s="19"/>
      <c r="DJF27" s="19"/>
      <c r="DJG27" s="19"/>
      <c r="DJH27" s="19"/>
      <c r="DJI27" s="19"/>
      <c r="DJJ27" s="19"/>
      <c r="DJK27" s="19"/>
      <c r="DJL27" s="19"/>
      <c r="DJM27" s="19"/>
      <c r="DJN27" s="19"/>
      <c r="DJO27" s="19"/>
      <c r="DJP27" s="19"/>
      <c r="DJQ27" s="19"/>
      <c r="DJR27" s="19"/>
      <c r="DJS27" s="19"/>
      <c r="DJT27" s="19"/>
      <c r="DJU27" s="19"/>
      <c r="DJV27" s="19"/>
      <c r="DJW27" s="19"/>
      <c r="DJX27" s="19"/>
      <c r="DJY27" s="19"/>
      <c r="DJZ27" s="19"/>
      <c r="DKA27" s="19"/>
      <c r="DKB27" s="19"/>
      <c r="DKC27" s="19"/>
      <c r="DKD27" s="19"/>
      <c r="DKE27" s="19"/>
      <c r="DKF27" s="19"/>
      <c r="DKG27" s="19"/>
      <c r="DKH27" s="19"/>
      <c r="DKI27" s="19"/>
      <c r="DKJ27" s="19"/>
      <c r="DKK27" s="19"/>
      <c r="DKL27" s="19"/>
      <c r="DKM27" s="19"/>
      <c r="DKN27" s="19"/>
      <c r="DKO27" s="19"/>
      <c r="DKP27" s="19"/>
      <c r="DKQ27" s="19"/>
      <c r="DKR27" s="19"/>
      <c r="DKS27" s="19"/>
      <c r="DKT27" s="19"/>
      <c r="DKU27" s="19"/>
      <c r="DKV27" s="19"/>
      <c r="DKW27" s="19"/>
      <c r="DKX27" s="19"/>
      <c r="DKY27" s="19"/>
      <c r="DKZ27" s="19"/>
      <c r="DLA27" s="19"/>
      <c r="DLB27" s="19"/>
      <c r="DLC27" s="19"/>
      <c r="DLD27" s="19"/>
      <c r="DLE27" s="19"/>
      <c r="DLF27" s="19"/>
      <c r="DLG27" s="19"/>
      <c r="DLH27" s="19"/>
      <c r="DLI27" s="19"/>
      <c r="DLJ27" s="19"/>
      <c r="DLK27" s="19"/>
      <c r="DLL27" s="19"/>
      <c r="DLM27" s="19"/>
      <c r="DLN27" s="19"/>
      <c r="DLO27" s="19"/>
      <c r="DLP27" s="19"/>
      <c r="DLQ27" s="19"/>
      <c r="DLR27" s="19"/>
      <c r="DLS27" s="19"/>
      <c r="DLT27" s="19"/>
      <c r="DLU27" s="19"/>
      <c r="DLV27" s="19"/>
      <c r="DLW27" s="19"/>
      <c r="DLX27" s="19"/>
      <c r="DLY27" s="19"/>
      <c r="DLZ27" s="19"/>
      <c r="DMA27" s="19"/>
      <c r="DMB27" s="19"/>
      <c r="DMC27" s="19"/>
      <c r="DMD27" s="19"/>
      <c r="DME27" s="19"/>
      <c r="DMF27" s="19"/>
      <c r="DMG27" s="19"/>
      <c r="DMH27" s="19"/>
      <c r="DMI27" s="19"/>
      <c r="DMJ27" s="19"/>
      <c r="DMK27" s="19"/>
      <c r="DML27" s="19"/>
      <c r="DMM27" s="19"/>
      <c r="DMN27" s="19"/>
      <c r="DMO27" s="19"/>
      <c r="DMP27" s="19"/>
      <c r="DMQ27" s="19"/>
      <c r="DMR27" s="19"/>
      <c r="DMS27" s="19"/>
      <c r="DMT27" s="19"/>
      <c r="DMU27" s="19"/>
      <c r="DMV27" s="19"/>
      <c r="DMW27" s="19"/>
      <c r="DMX27" s="19"/>
      <c r="DMY27" s="19"/>
      <c r="DMZ27" s="19"/>
      <c r="DNA27" s="19"/>
      <c r="DNB27" s="19"/>
      <c r="DNC27" s="19"/>
      <c r="DND27" s="19"/>
      <c r="DNE27" s="19"/>
      <c r="DNF27" s="19"/>
      <c r="DNG27" s="19"/>
      <c r="DNH27" s="19"/>
      <c r="DNI27" s="19"/>
      <c r="DNJ27" s="19"/>
      <c r="DNK27" s="19"/>
      <c r="DNL27" s="19"/>
      <c r="DNM27" s="19"/>
      <c r="DNN27" s="19"/>
      <c r="DNO27" s="19"/>
      <c r="DNP27" s="19"/>
      <c r="DNQ27" s="19"/>
      <c r="DNR27" s="19"/>
      <c r="DNS27" s="19"/>
      <c r="DNT27" s="19"/>
      <c r="DNU27" s="19"/>
      <c r="DNV27" s="19"/>
      <c r="DNW27" s="19"/>
      <c r="DNX27" s="19"/>
      <c r="DNY27" s="19"/>
      <c r="DNZ27" s="19"/>
      <c r="DOA27" s="19"/>
      <c r="DOB27" s="19"/>
      <c r="DOC27" s="19"/>
      <c r="DOD27" s="19"/>
      <c r="DOE27" s="19"/>
      <c r="DOF27" s="19"/>
      <c r="DOG27" s="19"/>
      <c r="DOH27" s="19"/>
      <c r="DOI27" s="19"/>
      <c r="DOJ27" s="19"/>
      <c r="DOK27" s="19"/>
      <c r="DOL27" s="19"/>
      <c r="DOM27" s="19"/>
      <c r="DON27" s="19"/>
      <c r="DOO27" s="19"/>
      <c r="DOP27" s="19"/>
      <c r="DOQ27" s="19"/>
      <c r="DOR27" s="19"/>
      <c r="DOS27" s="19"/>
      <c r="DOT27" s="19"/>
      <c r="DOU27" s="19"/>
      <c r="DOV27" s="19"/>
      <c r="DOW27" s="19"/>
      <c r="DOX27" s="19"/>
      <c r="DOY27" s="19"/>
      <c r="DOZ27" s="19"/>
      <c r="DPA27" s="19"/>
      <c r="DPB27" s="19"/>
      <c r="DPC27" s="19"/>
      <c r="DPD27" s="19"/>
      <c r="DPE27" s="19"/>
      <c r="DPF27" s="19"/>
      <c r="DPG27" s="19"/>
      <c r="DPH27" s="19"/>
      <c r="DPI27" s="19"/>
      <c r="DPJ27" s="19"/>
      <c r="DPK27" s="19"/>
      <c r="DPL27" s="19"/>
      <c r="DPM27" s="19"/>
      <c r="DPN27" s="19"/>
      <c r="DPO27" s="19"/>
      <c r="DPP27" s="19"/>
      <c r="DPQ27" s="19"/>
      <c r="DPR27" s="19"/>
      <c r="DPS27" s="19"/>
      <c r="DPT27" s="19"/>
      <c r="DPU27" s="19"/>
      <c r="DPV27" s="19"/>
      <c r="DPW27" s="19"/>
      <c r="DPX27" s="19"/>
      <c r="DPY27" s="19"/>
      <c r="DPZ27" s="19"/>
      <c r="DQA27" s="19"/>
      <c r="DQB27" s="19"/>
      <c r="DQC27" s="19"/>
      <c r="DQD27" s="19"/>
      <c r="DQE27" s="19"/>
      <c r="DQF27" s="19"/>
      <c r="DQG27" s="19"/>
      <c r="DQH27" s="19"/>
      <c r="DQI27" s="19"/>
      <c r="DQJ27" s="19"/>
      <c r="DQK27" s="19"/>
      <c r="DQL27" s="19"/>
      <c r="DQM27" s="19"/>
      <c r="DQN27" s="19"/>
      <c r="DQO27" s="19"/>
      <c r="DQP27" s="19"/>
      <c r="DQQ27" s="19"/>
      <c r="DQR27" s="19"/>
      <c r="DQS27" s="19"/>
      <c r="DQT27" s="19"/>
      <c r="DQU27" s="19"/>
      <c r="DQV27" s="19"/>
      <c r="DQW27" s="19"/>
      <c r="DQX27" s="19"/>
      <c r="DQY27" s="19"/>
      <c r="DQZ27" s="19"/>
      <c r="DRA27" s="19"/>
      <c r="DRB27" s="19"/>
      <c r="DRC27" s="19"/>
      <c r="DRD27" s="19"/>
      <c r="DRE27" s="19"/>
      <c r="DRF27" s="19"/>
      <c r="DRG27" s="19"/>
      <c r="DRH27" s="19"/>
      <c r="DRI27" s="19"/>
      <c r="DRJ27" s="19"/>
      <c r="DRK27" s="19"/>
      <c r="DRL27" s="19"/>
      <c r="DRM27" s="19"/>
      <c r="DRN27" s="19"/>
      <c r="DRO27" s="19"/>
      <c r="DRP27" s="19"/>
      <c r="DRQ27" s="19"/>
      <c r="DRR27" s="19"/>
      <c r="DRS27" s="19"/>
      <c r="DRT27" s="19"/>
      <c r="DRU27" s="19"/>
      <c r="DRV27" s="19"/>
      <c r="DRW27" s="19"/>
      <c r="DRX27" s="19"/>
      <c r="DRY27" s="19"/>
      <c r="DRZ27" s="19"/>
      <c r="DSA27" s="19"/>
      <c r="DSB27" s="19"/>
      <c r="DSC27" s="19"/>
      <c r="DSD27" s="19"/>
      <c r="DSE27" s="19"/>
      <c r="DSF27" s="19"/>
      <c r="DSG27" s="19"/>
      <c r="DSH27" s="19"/>
      <c r="DSI27" s="19"/>
      <c r="DSJ27" s="19"/>
      <c r="DSK27" s="19"/>
      <c r="DSL27" s="19"/>
      <c r="DSM27" s="19"/>
      <c r="DSN27" s="19"/>
      <c r="DSO27" s="19"/>
      <c r="DSP27" s="19"/>
      <c r="DSQ27" s="19"/>
      <c r="DSR27" s="19"/>
      <c r="DSS27" s="19"/>
      <c r="DST27" s="19"/>
      <c r="DSU27" s="19"/>
      <c r="DSV27" s="19"/>
      <c r="DSW27" s="19"/>
      <c r="DSX27" s="19"/>
      <c r="DSY27" s="19"/>
      <c r="DSZ27" s="19"/>
      <c r="DTA27" s="19"/>
      <c r="DTB27" s="19"/>
      <c r="DTC27" s="19"/>
      <c r="DTD27" s="19"/>
      <c r="DTE27" s="19"/>
      <c r="DTF27" s="19"/>
      <c r="DTG27" s="19"/>
      <c r="DTH27" s="19"/>
      <c r="DTI27" s="19"/>
      <c r="DTJ27" s="19"/>
      <c r="DTK27" s="19"/>
      <c r="DTL27" s="19"/>
      <c r="DTM27" s="19"/>
      <c r="DTN27" s="19"/>
      <c r="DTO27" s="19"/>
      <c r="DTP27" s="19"/>
      <c r="DTQ27" s="19"/>
      <c r="DTR27" s="19"/>
      <c r="DTS27" s="19"/>
      <c r="DTT27" s="19"/>
      <c r="DTU27" s="19"/>
      <c r="DTV27" s="19"/>
      <c r="DTW27" s="19"/>
      <c r="DTX27" s="19"/>
      <c r="DTY27" s="19"/>
      <c r="DTZ27" s="19"/>
      <c r="DUA27" s="19"/>
      <c r="DUB27" s="19"/>
      <c r="DUC27" s="19"/>
      <c r="DUD27" s="19"/>
      <c r="DUE27" s="19"/>
      <c r="DUF27" s="19"/>
      <c r="DUG27" s="19"/>
      <c r="DUH27" s="19"/>
      <c r="DUI27" s="19"/>
      <c r="DUJ27" s="19"/>
      <c r="DUK27" s="19"/>
      <c r="DUL27" s="19"/>
      <c r="DUM27" s="19"/>
      <c r="DUN27" s="19"/>
      <c r="DUO27" s="19"/>
      <c r="DUP27" s="19"/>
      <c r="DUQ27" s="19"/>
      <c r="DUR27" s="19"/>
      <c r="DUS27" s="19"/>
      <c r="DUT27" s="19"/>
      <c r="DUU27" s="19"/>
      <c r="DUV27" s="19"/>
      <c r="DUW27" s="19"/>
      <c r="DUX27" s="19"/>
      <c r="DUY27" s="19"/>
      <c r="DUZ27" s="19"/>
      <c r="DVA27" s="19"/>
      <c r="DVB27" s="19"/>
      <c r="DVC27" s="19"/>
      <c r="DVD27" s="19"/>
      <c r="DVE27" s="19"/>
      <c r="DVF27" s="19"/>
      <c r="DVG27" s="19"/>
      <c r="DVH27" s="19"/>
      <c r="DVI27" s="19"/>
      <c r="DVJ27" s="19"/>
      <c r="DVK27" s="19"/>
      <c r="DVL27" s="19"/>
      <c r="DVM27" s="19"/>
      <c r="DVN27" s="19"/>
      <c r="DVO27" s="19"/>
      <c r="DVP27" s="19"/>
      <c r="DVQ27" s="19"/>
      <c r="DVR27" s="19"/>
      <c r="DVS27" s="19"/>
      <c r="DVT27" s="19"/>
      <c r="DVU27" s="19"/>
      <c r="DVV27" s="19"/>
      <c r="DVW27" s="19"/>
      <c r="DVX27" s="19"/>
      <c r="DVY27" s="19"/>
      <c r="DVZ27" s="19"/>
      <c r="DWA27" s="19"/>
      <c r="DWB27" s="19"/>
      <c r="DWC27" s="19"/>
      <c r="DWD27" s="19"/>
      <c r="DWE27" s="19"/>
      <c r="DWF27" s="19"/>
      <c r="DWG27" s="19"/>
      <c r="DWH27" s="19"/>
      <c r="DWI27" s="19"/>
      <c r="DWJ27" s="19"/>
      <c r="DWK27" s="19"/>
      <c r="DWL27" s="19"/>
      <c r="DWM27" s="19"/>
      <c r="DWN27" s="19"/>
      <c r="DWO27" s="19"/>
      <c r="DWP27" s="19"/>
      <c r="DWQ27" s="19"/>
      <c r="DWR27" s="19"/>
      <c r="DWS27" s="19"/>
      <c r="DWT27" s="19"/>
      <c r="DWU27" s="19"/>
      <c r="DWV27" s="19"/>
      <c r="DWW27" s="19"/>
      <c r="DWX27" s="19"/>
      <c r="DWY27" s="19"/>
      <c r="DWZ27" s="19"/>
      <c r="DXA27" s="19"/>
      <c r="DXB27" s="19"/>
      <c r="DXC27" s="19"/>
      <c r="DXD27" s="19"/>
      <c r="DXE27" s="19"/>
      <c r="DXF27" s="19"/>
      <c r="DXG27" s="19"/>
      <c r="DXH27" s="19"/>
      <c r="DXI27" s="19"/>
      <c r="DXJ27" s="19"/>
      <c r="DXK27" s="19"/>
      <c r="DXL27" s="19"/>
      <c r="DXM27" s="19"/>
      <c r="DXN27" s="19"/>
      <c r="DXO27" s="19"/>
      <c r="DXP27" s="19"/>
      <c r="DXQ27" s="19"/>
      <c r="DXR27" s="19"/>
      <c r="DXS27" s="19"/>
      <c r="DXT27" s="19"/>
      <c r="DXU27" s="19"/>
      <c r="DXV27" s="19"/>
      <c r="DXW27" s="19"/>
      <c r="DXX27" s="19"/>
      <c r="DXY27" s="19"/>
      <c r="DXZ27" s="19"/>
      <c r="DYA27" s="19"/>
      <c r="DYB27" s="19"/>
      <c r="DYC27" s="19"/>
      <c r="DYD27" s="19"/>
      <c r="DYE27" s="19"/>
      <c r="DYF27" s="19"/>
      <c r="DYG27" s="19"/>
      <c r="DYH27" s="19"/>
      <c r="DYI27" s="19"/>
      <c r="DYJ27" s="19"/>
      <c r="DYK27" s="19"/>
      <c r="DYL27" s="19"/>
      <c r="DYM27" s="19"/>
      <c r="DYN27" s="19"/>
      <c r="DYO27" s="19"/>
      <c r="DYP27" s="19"/>
      <c r="DYQ27" s="19"/>
      <c r="DYR27" s="19"/>
      <c r="DYS27" s="19"/>
      <c r="DYT27" s="19"/>
      <c r="DYU27" s="19"/>
      <c r="DYV27" s="19"/>
      <c r="DYW27" s="19"/>
      <c r="DYX27" s="19"/>
      <c r="DYY27" s="19"/>
      <c r="DYZ27" s="19"/>
      <c r="DZA27" s="19"/>
      <c r="DZB27" s="19"/>
      <c r="DZC27" s="19"/>
      <c r="DZD27" s="19"/>
      <c r="DZE27" s="19"/>
      <c r="DZF27" s="19"/>
      <c r="DZG27" s="19"/>
      <c r="DZH27" s="19"/>
      <c r="DZI27" s="19"/>
      <c r="DZJ27" s="19"/>
      <c r="DZK27" s="19"/>
      <c r="DZL27" s="19"/>
      <c r="DZM27" s="19"/>
      <c r="DZN27" s="19"/>
      <c r="DZO27" s="19"/>
      <c r="DZP27" s="19"/>
      <c r="DZQ27" s="19"/>
      <c r="DZR27" s="19"/>
      <c r="DZS27" s="19"/>
      <c r="DZT27" s="19"/>
      <c r="DZU27" s="19"/>
      <c r="DZV27" s="19"/>
      <c r="DZW27" s="19"/>
      <c r="DZX27" s="19"/>
      <c r="DZY27" s="19"/>
      <c r="DZZ27" s="19"/>
      <c r="EAA27" s="19"/>
      <c r="EAB27" s="19"/>
      <c r="EAC27" s="19"/>
      <c r="EAD27" s="19"/>
      <c r="EAE27" s="19"/>
      <c r="EAF27" s="19"/>
      <c r="EAG27" s="19"/>
      <c r="EAH27" s="19"/>
      <c r="EAI27" s="19"/>
      <c r="EAJ27" s="19"/>
      <c r="EAK27" s="19"/>
      <c r="EAL27" s="19"/>
      <c r="EAM27" s="19"/>
      <c r="EAN27" s="19"/>
      <c r="EAO27" s="19"/>
      <c r="EAP27" s="19"/>
      <c r="EAQ27" s="19"/>
      <c r="EAR27" s="19"/>
      <c r="EAS27" s="19"/>
      <c r="EAT27" s="19"/>
      <c r="EAU27" s="19"/>
      <c r="EAV27" s="19"/>
      <c r="EAW27" s="19"/>
      <c r="EAX27" s="19"/>
      <c r="EAY27" s="19"/>
      <c r="EAZ27" s="19"/>
      <c r="EBA27" s="19"/>
      <c r="EBB27" s="19"/>
      <c r="EBC27" s="19"/>
      <c r="EBD27" s="19"/>
      <c r="EBE27" s="19"/>
      <c r="EBF27" s="19"/>
      <c r="EBG27" s="19"/>
      <c r="EBH27" s="19"/>
      <c r="EBI27" s="19"/>
      <c r="EBJ27" s="19"/>
      <c r="EBK27" s="19"/>
      <c r="EBL27" s="19"/>
      <c r="EBM27" s="19"/>
      <c r="EBN27" s="19"/>
      <c r="EBO27" s="19"/>
      <c r="EBP27" s="19"/>
      <c r="EBQ27" s="19"/>
      <c r="EBR27" s="19"/>
      <c r="EBS27" s="19"/>
      <c r="EBT27" s="19"/>
      <c r="EBU27" s="19"/>
      <c r="EBV27" s="19"/>
      <c r="EBW27" s="19"/>
      <c r="EBX27" s="19"/>
      <c r="EBY27" s="19"/>
      <c r="EBZ27" s="19"/>
      <c r="ECA27" s="19"/>
      <c r="ECB27" s="19"/>
      <c r="ECC27" s="19"/>
      <c r="ECD27" s="19"/>
      <c r="ECE27" s="19"/>
      <c r="ECF27" s="19"/>
      <c r="ECG27" s="19"/>
      <c r="ECH27" s="19"/>
      <c r="ECI27" s="19"/>
      <c r="ECJ27" s="19"/>
      <c r="ECK27" s="19"/>
      <c r="ECL27" s="19"/>
      <c r="ECM27" s="19"/>
      <c r="ECN27" s="19"/>
      <c r="ECO27" s="19"/>
      <c r="ECP27" s="19"/>
      <c r="ECQ27" s="19"/>
      <c r="ECR27" s="19"/>
      <c r="ECS27" s="19"/>
      <c r="ECT27" s="19"/>
      <c r="ECU27" s="19"/>
      <c r="ECV27" s="19"/>
      <c r="ECW27" s="19"/>
      <c r="ECX27" s="19"/>
      <c r="ECY27" s="19"/>
      <c r="ECZ27" s="19"/>
      <c r="EDA27" s="19"/>
      <c r="EDB27" s="19"/>
      <c r="EDC27" s="19"/>
      <c r="EDD27" s="19"/>
      <c r="EDE27" s="19"/>
      <c r="EDF27" s="19"/>
      <c r="EDG27" s="19"/>
      <c r="EDH27" s="19"/>
      <c r="EDI27" s="19"/>
      <c r="EDJ27" s="19"/>
      <c r="EDK27" s="19"/>
      <c r="EDL27" s="19"/>
      <c r="EDM27" s="19"/>
      <c r="EDN27" s="19"/>
      <c r="EDO27" s="19"/>
      <c r="EDP27" s="19"/>
      <c r="EDQ27" s="19"/>
      <c r="EDR27" s="19"/>
      <c r="EDS27" s="19"/>
      <c r="EDT27" s="19"/>
      <c r="EDU27" s="19"/>
      <c r="EDV27" s="19"/>
      <c r="EDW27" s="19"/>
      <c r="EDX27" s="19"/>
      <c r="EDY27" s="19"/>
      <c r="EDZ27" s="19"/>
      <c r="EEA27" s="19"/>
      <c r="EEB27" s="19"/>
      <c r="EEC27" s="19"/>
      <c r="EED27" s="19"/>
      <c r="EEE27" s="19"/>
      <c r="EEF27" s="19"/>
      <c r="EEG27" s="19"/>
      <c r="EEH27" s="19"/>
      <c r="EEI27" s="19"/>
      <c r="EEJ27" s="19"/>
      <c r="EEK27" s="19"/>
      <c r="EEL27" s="19"/>
      <c r="EEM27" s="19"/>
      <c r="EEN27" s="19"/>
      <c r="EEO27" s="19"/>
      <c r="EEP27" s="19"/>
      <c r="EEQ27" s="19"/>
      <c r="EER27" s="19"/>
      <c r="EES27" s="19"/>
      <c r="EET27" s="19"/>
      <c r="EEU27" s="19"/>
      <c r="EEV27" s="19"/>
      <c r="EEW27" s="19"/>
      <c r="EEX27" s="19"/>
      <c r="EEY27" s="19"/>
      <c r="EEZ27" s="19"/>
      <c r="EFA27" s="19"/>
      <c r="EFB27" s="19"/>
      <c r="EFC27" s="19"/>
      <c r="EFD27" s="19"/>
      <c r="EFE27" s="19"/>
      <c r="EFF27" s="19"/>
      <c r="EFG27" s="19"/>
      <c r="EFH27" s="19"/>
      <c r="EFI27" s="19"/>
      <c r="EFJ27" s="19"/>
      <c r="EFK27" s="19"/>
      <c r="EFL27" s="19"/>
      <c r="EFM27" s="19"/>
      <c r="EFN27" s="19"/>
      <c r="EFO27" s="19"/>
      <c r="EFP27" s="19"/>
      <c r="EFQ27" s="19"/>
      <c r="EFR27" s="19"/>
      <c r="EFS27" s="19"/>
      <c r="EFT27" s="19"/>
      <c r="EFU27" s="19"/>
      <c r="EFV27" s="19"/>
      <c r="EFW27" s="19"/>
      <c r="EFX27" s="19"/>
      <c r="EFY27" s="19"/>
      <c r="EFZ27" s="19"/>
      <c r="EGA27" s="19"/>
      <c r="EGB27" s="19"/>
      <c r="EGC27" s="19"/>
      <c r="EGD27" s="19"/>
      <c r="EGE27" s="19"/>
      <c r="EGF27" s="19"/>
      <c r="EGG27" s="19"/>
      <c r="EGH27" s="19"/>
      <c r="EGI27" s="19"/>
      <c r="EGJ27" s="19"/>
      <c r="EGK27" s="19"/>
      <c r="EGL27" s="19"/>
      <c r="EGM27" s="19"/>
      <c r="EGN27" s="19"/>
      <c r="EGO27" s="19"/>
      <c r="EGP27" s="19"/>
      <c r="EGQ27" s="19"/>
      <c r="EGR27" s="19"/>
      <c r="EGS27" s="19"/>
      <c r="EGT27" s="19"/>
      <c r="EGU27" s="19"/>
      <c r="EGV27" s="19"/>
      <c r="EGW27" s="19"/>
      <c r="EGX27" s="19"/>
      <c r="EGY27" s="19"/>
      <c r="EGZ27" s="19"/>
      <c r="EHA27" s="19"/>
      <c r="EHB27" s="19"/>
      <c r="EHC27" s="19"/>
      <c r="EHD27" s="19"/>
      <c r="EHE27" s="19"/>
      <c r="EHF27" s="19"/>
      <c r="EHG27" s="19"/>
      <c r="EHH27" s="19"/>
      <c r="EHI27" s="19"/>
      <c r="EHJ27" s="19"/>
      <c r="EHK27" s="19"/>
      <c r="EHL27" s="19"/>
      <c r="EHM27" s="19"/>
      <c r="EHN27" s="19"/>
      <c r="EHO27" s="19"/>
      <c r="EHP27" s="19"/>
      <c r="EHQ27" s="19"/>
      <c r="EHR27" s="19"/>
      <c r="EHS27" s="19"/>
      <c r="EHT27" s="19"/>
      <c r="EHU27" s="19"/>
      <c r="EHV27" s="19"/>
      <c r="EHW27" s="19"/>
      <c r="EHX27" s="19"/>
      <c r="EHY27" s="19"/>
      <c r="EHZ27" s="19"/>
      <c r="EIA27" s="19"/>
      <c r="EIB27" s="19"/>
      <c r="EIC27" s="19"/>
      <c r="EID27" s="19"/>
      <c r="EIE27" s="19"/>
      <c r="EIF27" s="19"/>
      <c r="EIG27" s="19"/>
      <c r="EIH27" s="19"/>
      <c r="EII27" s="19"/>
      <c r="EIJ27" s="19"/>
      <c r="EIK27" s="19"/>
      <c r="EIL27" s="19"/>
      <c r="EIM27" s="19"/>
      <c r="EIN27" s="19"/>
      <c r="EIO27" s="19"/>
      <c r="EIP27" s="19"/>
      <c r="EIQ27" s="19"/>
      <c r="EIR27" s="19"/>
      <c r="EIS27" s="19"/>
      <c r="EIT27" s="19"/>
      <c r="EIU27" s="19"/>
      <c r="EIV27" s="19"/>
      <c r="EIW27" s="19"/>
      <c r="EIX27" s="19"/>
      <c r="EIY27" s="19"/>
      <c r="EIZ27" s="19"/>
      <c r="EJA27" s="19"/>
      <c r="EJB27" s="19"/>
      <c r="EJC27" s="19"/>
      <c r="EJD27" s="19"/>
      <c r="EJE27" s="19"/>
      <c r="EJF27" s="19"/>
      <c r="EJG27" s="19"/>
      <c r="EJH27" s="19"/>
      <c r="EJI27" s="19"/>
      <c r="EJJ27" s="19"/>
      <c r="EJK27" s="19"/>
      <c r="EJL27" s="19"/>
      <c r="EJM27" s="19"/>
      <c r="EJN27" s="19"/>
      <c r="EJO27" s="19"/>
      <c r="EJP27" s="19"/>
      <c r="EJQ27" s="19"/>
      <c r="EJR27" s="19"/>
      <c r="EJS27" s="19"/>
      <c r="EJT27" s="19"/>
      <c r="EJU27" s="19"/>
      <c r="EJV27" s="19"/>
      <c r="EJW27" s="19"/>
      <c r="EJX27" s="19"/>
      <c r="EJY27" s="19"/>
      <c r="EJZ27" s="19"/>
      <c r="EKA27" s="19"/>
      <c r="EKB27" s="19"/>
      <c r="EKC27" s="19"/>
      <c r="EKD27" s="19"/>
      <c r="EKE27" s="19"/>
      <c r="EKF27" s="19"/>
      <c r="EKG27" s="19"/>
      <c r="EKH27" s="19"/>
      <c r="EKI27" s="19"/>
      <c r="EKJ27" s="19"/>
      <c r="EKK27" s="19"/>
      <c r="EKL27" s="19"/>
      <c r="EKM27" s="19"/>
      <c r="EKN27" s="19"/>
      <c r="EKO27" s="19"/>
      <c r="EKP27" s="19"/>
      <c r="EKQ27" s="19"/>
      <c r="EKR27" s="19"/>
      <c r="EKS27" s="19"/>
      <c r="EKT27" s="19"/>
      <c r="EKU27" s="19"/>
      <c r="EKV27" s="19"/>
      <c r="EKW27" s="19"/>
      <c r="EKX27" s="19"/>
      <c r="EKY27" s="19"/>
      <c r="EKZ27" s="19"/>
      <c r="ELA27" s="19"/>
      <c r="ELB27" s="19"/>
      <c r="ELC27" s="19"/>
      <c r="ELD27" s="19"/>
      <c r="ELE27" s="19"/>
      <c r="ELF27" s="19"/>
      <c r="ELG27" s="19"/>
      <c r="ELH27" s="19"/>
      <c r="ELI27" s="19"/>
      <c r="ELJ27" s="19"/>
      <c r="ELK27" s="19"/>
      <c r="ELL27" s="19"/>
      <c r="ELM27" s="19"/>
      <c r="ELN27" s="19"/>
      <c r="ELO27" s="19"/>
      <c r="ELP27" s="19"/>
      <c r="ELQ27" s="19"/>
      <c r="ELR27" s="19"/>
      <c r="ELS27" s="19"/>
      <c r="ELT27" s="19"/>
      <c r="ELU27" s="19"/>
      <c r="ELV27" s="19"/>
      <c r="ELW27" s="19"/>
      <c r="ELX27" s="19"/>
      <c r="ELY27" s="19"/>
      <c r="ELZ27" s="19"/>
      <c r="EMA27" s="19"/>
      <c r="EMB27" s="19"/>
      <c r="EMC27" s="19"/>
      <c r="EMD27" s="19"/>
      <c r="EME27" s="19"/>
      <c r="EMF27" s="19"/>
      <c r="EMG27" s="19"/>
      <c r="EMH27" s="19"/>
      <c r="EMI27" s="19"/>
      <c r="EMJ27" s="19"/>
      <c r="EMK27" s="19"/>
      <c r="EML27" s="19"/>
      <c r="EMM27" s="19"/>
      <c r="EMN27" s="19"/>
      <c r="EMO27" s="19"/>
      <c r="EMP27" s="19"/>
      <c r="EMQ27" s="19"/>
      <c r="EMR27" s="19"/>
      <c r="EMS27" s="19"/>
      <c r="EMT27" s="19"/>
      <c r="EMU27" s="19"/>
      <c r="EMV27" s="19"/>
      <c r="EMW27" s="19"/>
      <c r="EMX27" s="19"/>
      <c r="EMY27" s="19"/>
      <c r="EMZ27" s="19"/>
      <c r="ENA27" s="19"/>
      <c r="ENB27" s="19"/>
      <c r="ENC27" s="19"/>
      <c r="END27" s="19"/>
      <c r="ENE27" s="19"/>
      <c r="ENF27" s="19"/>
      <c r="ENG27" s="19"/>
      <c r="ENH27" s="19"/>
      <c r="ENI27" s="19"/>
      <c r="ENJ27" s="19"/>
      <c r="ENK27" s="19"/>
      <c r="ENL27" s="19"/>
      <c r="ENM27" s="19"/>
      <c r="ENN27" s="19"/>
      <c r="ENO27" s="19"/>
      <c r="ENP27" s="19"/>
      <c r="ENQ27" s="19"/>
      <c r="ENR27" s="19"/>
      <c r="ENS27" s="19"/>
      <c r="ENT27" s="19"/>
      <c r="ENU27" s="19"/>
      <c r="ENV27" s="19"/>
      <c r="ENW27" s="19"/>
      <c r="ENX27" s="19"/>
      <c r="ENY27" s="19"/>
      <c r="ENZ27" s="19"/>
      <c r="EOA27" s="19"/>
      <c r="EOB27" s="19"/>
      <c r="EOC27" s="19"/>
      <c r="EOD27" s="19"/>
      <c r="EOE27" s="19"/>
      <c r="EOF27" s="19"/>
      <c r="EOG27" s="19"/>
      <c r="EOH27" s="19"/>
      <c r="EOI27" s="19"/>
      <c r="EOJ27" s="19"/>
      <c r="EOK27" s="19"/>
      <c r="EOL27" s="19"/>
      <c r="EOM27" s="19"/>
      <c r="EON27" s="19"/>
      <c r="EOO27" s="19"/>
      <c r="EOP27" s="19"/>
      <c r="EOQ27" s="19"/>
      <c r="EOR27" s="19"/>
      <c r="EOS27" s="19"/>
      <c r="EOT27" s="19"/>
      <c r="EOU27" s="19"/>
      <c r="EOV27" s="19"/>
      <c r="EOW27" s="19"/>
      <c r="EOX27" s="19"/>
      <c r="EOY27" s="19"/>
      <c r="EOZ27" s="19"/>
      <c r="EPA27" s="19"/>
      <c r="EPB27" s="19"/>
      <c r="EPC27" s="19"/>
      <c r="EPD27" s="19"/>
      <c r="EPE27" s="19"/>
      <c r="EPF27" s="19"/>
      <c r="EPG27" s="19"/>
      <c r="EPH27" s="19"/>
      <c r="EPI27" s="19"/>
      <c r="EPJ27" s="19"/>
      <c r="EPK27" s="19"/>
      <c r="EPL27" s="19"/>
      <c r="EPM27" s="19"/>
      <c r="EPN27" s="19"/>
      <c r="EPO27" s="19"/>
      <c r="EPP27" s="19"/>
      <c r="EPQ27" s="19"/>
      <c r="EPR27" s="19"/>
      <c r="EPS27" s="19"/>
      <c r="EPT27" s="19"/>
      <c r="EPU27" s="19"/>
      <c r="EPV27" s="19"/>
      <c r="EPW27" s="19"/>
      <c r="EPX27" s="19"/>
      <c r="EPY27" s="19"/>
      <c r="EPZ27" s="19"/>
      <c r="EQA27" s="19"/>
      <c r="EQB27" s="19"/>
      <c r="EQC27" s="19"/>
      <c r="EQD27" s="19"/>
      <c r="EQE27" s="19"/>
      <c r="EQF27" s="19"/>
      <c r="EQG27" s="19"/>
      <c r="EQH27" s="19"/>
      <c r="EQI27" s="19"/>
      <c r="EQJ27" s="19"/>
      <c r="EQK27" s="19"/>
      <c r="EQL27" s="19"/>
      <c r="EQM27" s="19"/>
      <c r="EQN27" s="19"/>
      <c r="EQO27" s="19"/>
      <c r="EQP27" s="19"/>
      <c r="EQQ27" s="19"/>
      <c r="EQR27" s="19"/>
      <c r="EQS27" s="19"/>
      <c r="EQT27" s="19"/>
      <c r="EQU27" s="19"/>
      <c r="EQV27" s="19"/>
      <c r="EQW27" s="19"/>
      <c r="EQX27" s="19"/>
      <c r="EQY27" s="19"/>
      <c r="EQZ27" s="19"/>
      <c r="ERA27" s="19"/>
      <c r="ERB27" s="19"/>
      <c r="ERC27" s="19"/>
      <c r="ERD27" s="19"/>
      <c r="ERE27" s="19"/>
      <c r="ERF27" s="19"/>
      <c r="ERG27" s="19"/>
      <c r="ERH27" s="19"/>
      <c r="ERI27" s="19"/>
      <c r="ERJ27" s="19"/>
      <c r="ERK27" s="19"/>
      <c r="ERL27" s="19"/>
      <c r="ERM27" s="19"/>
      <c r="ERN27" s="19"/>
      <c r="ERO27" s="19"/>
      <c r="ERP27" s="19"/>
      <c r="ERQ27" s="19"/>
      <c r="ERR27" s="19"/>
      <c r="ERS27" s="19"/>
      <c r="ERT27" s="19"/>
      <c r="ERU27" s="19"/>
      <c r="ERV27" s="19"/>
      <c r="ERW27" s="19"/>
      <c r="ERX27" s="19"/>
      <c r="ERY27" s="19"/>
      <c r="ERZ27" s="19"/>
      <c r="ESA27" s="19"/>
      <c r="ESB27" s="19"/>
      <c r="ESC27" s="19"/>
      <c r="ESD27" s="19"/>
      <c r="ESE27" s="19"/>
      <c r="ESF27" s="19"/>
      <c r="ESG27" s="19"/>
      <c r="ESH27" s="19"/>
      <c r="ESI27" s="19"/>
      <c r="ESJ27" s="19"/>
      <c r="ESK27" s="19"/>
      <c r="ESL27" s="19"/>
      <c r="ESM27" s="19"/>
      <c r="ESN27" s="19"/>
      <c r="ESO27" s="19"/>
      <c r="ESP27" s="19"/>
      <c r="ESQ27" s="19"/>
      <c r="ESR27" s="19"/>
      <c r="ESS27" s="19"/>
      <c r="EST27" s="19"/>
      <c r="ESU27" s="19"/>
      <c r="ESV27" s="19"/>
      <c r="ESW27" s="19"/>
      <c r="ESX27" s="19"/>
      <c r="ESY27" s="19"/>
      <c r="ESZ27" s="19"/>
      <c r="ETA27" s="19"/>
      <c r="ETB27" s="19"/>
      <c r="ETC27" s="19"/>
      <c r="ETD27" s="19"/>
      <c r="ETE27" s="19"/>
      <c r="ETF27" s="19"/>
      <c r="ETG27" s="19"/>
      <c r="ETH27" s="19"/>
      <c r="ETI27" s="19"/>
      <c r="ETJ27" s="19"/>
      <c r="ETK27" s="19"/>
      <c r="ETL27" s="19"/>
      <c r="ETM27" s="19"/>
      <c r="ETN27" s="19"/>
      <c r="ETO27" s="19"/>
      <c r="ETP27" s="19"/>
      <c r="ETQ27" s="19"/>
      <c r="ETR27" s="19"/>
      <c r="ETS27" s="19"/>
      <c r="ETT27" s="19"/>
      <c r="ETU27" s="19"/>
      <c r="ETV27" s="19"/>
      <c r="ETW27" s="19"/>
      <c r="ETX27" s="19"/>
      <c r="ETY27" s="19"/>
      <c r="ETZ27" s="19"/>
      <c r="EUA27" s="19"/>
      <c r="EUB27" s="19"/>
      <c r="EUC27" s="19"/>
      <c r="EUD27" s="19"/>
      <c r="EUE27" s="19"/>
      <c r="EUF27" s="19"/>
      <c r="EUG27" s="19"/>
      <c r="EUH27" s="19"/>
      <c r="EUI27" s="19"/>
      <c r="EUJ27" s="19"/>
      <c r="EUK27" s="19"/>
      <c r="EUL27" s="19"/>
      <c r="EUM27" s="19"/>
      <c r="EUN27" s="19"/>
      <c r="EUO27" s="19"/>
      <c r="EUP27" s="19"/>
      <c r="EUQ27" s="19"/>
      <c r="EUR27" s="19"/>
      <c r="EUS27" s="19"/>
      <c r="EUT27" s="19"/>
      <c r="EUU27" s="19"/>
      <c r="EUV27" s="19"/>
      <c r="EUW27" s="19"/>
      <c r="EUX27" s="19"/>
      <c r="EUY27" s="19"/>
      <c r="EUZ27" s="19"/>
      <c r="EVA27" s="19"/>
      <c r="EVB27" s="19"/>
      <c r="EVC27" s="19"/>
      <c r="EVD27" s="19"/>
      <c r="EVE27" s="19"/>
      <c r="EVF27" s="19"/>
      <c r="EVG27" s="19"/>
      <c r="EVH27" s="19"/>
      <c r="EVI27" s="19"/>
      <c r="EVJ27" s="19"/>
      <c r="EVK27" s="19"/>
      <c r="EVL27" s="19"/>
      <c r="EVM27" s="19"/>
      <c r="EVN27" s="19"/>
      <c r="EVO27" s="19"/>
      <c r="EVP27" s="19"/>
      <c r="EVQ27" s="19"/>
      <c r="EVR27" s="19"/>
      <c r="EVS27" s="19"/>
      <c r="EVT27" s="19"/>
      <c r="EVU27" s="19"/>
      <c r="EVV27" s="19"/>
      <c r="EVW27" s="19"/>
      <c r="EVX27" s="19"/>
      <c r="EVY27" s="19"/>
      <c r="EVZ27" s="19"/>
      <c r="EWA27" s="19"/>
      <c r="EWB27" s="19"/>
      <c r="EWC27" s="19"/>
      <c r="EWD27" s="19"/>
      <c r="EWE27" s="19"/>
      <c r="EWF27" s="19"/>
      <c r="EWG27" s="19"/>
      <c r="EWH27" s="19"/>
      <c r="EWI27" s="19"/>
      <c r="EWJ27" s="19"/>
      <c r="EWK27" s="19"/>
      <c r="EWL27" s="19"/>
      <c r="EWM27" s="19"/>
      <c r="EWN27" s="19"/>
      <c r="EWO27" s="19"/>
      <c r="EWP27" s="19"/>
      <c r="EWQ27" s="19"/>
      <c r="EWR27" s="19"/>
      <c r="EWS27" s="19"/>
      <c r="EWT27" s="19"/>
      <c r="EWU27" s="19"/>
      <c r="EWV27" s="19"/>
      <c r="EWW27" s="19"/>
      <c r="EWX27" s="19"/>
      <c r="EWY27" s="19"/>
      <c r="EWZ27" s="19"/>
      <c r="EXA27" s="19"/>
      <c r="EXB27" s="19"/>
      <c r="EXC27" s="19"/>
      <c r="EXD27" s="19"/>
      <c r="EXE27" s="19"/>
      <c r="EXF27" s="19"/>
      <c r="EXG27" s="19"/>
      <c r="EXH27" s="19"/>
      <c r="EXI27" s="19"/>
      <c r="EXJ27" s="19"/>
      <c r="EXK27" s="19"/>
      <c r="EXL27" s="19"/>
      <c r="EXM27" s="19"/>
      <c r="EXN27" s="19"/>
      <c r="EXO27" s="19"/>
      <c r="EXP27" s="19"/>
      <c r="EXQ27" s="19"/>
      <c r="EXR27" s="19"/>
      <c r="EXS27" s="19"/>
      <c r="EXT27" s="19"/>
      <c r="EXU27" s="19"/>
      <c r="EXV27" s="19"/>
      <c r="EXW27" s="19"/>
      <c r="EXX27" s="19"/>
      <c r="EXY27" s="19"/>
      <c r="EXZ27" s="19"/>
      <c r="EYA27" s="19"/>
      <c r="EYB27" s="19"/>
      <c r="EYC27" s="19"/>
      <c r="EYD27" s="19"/>
      <c r="EYE27" s="19"/>
      <c r="EYF27" s="19"/>
      <c r="EYG27" s="19"/>
      <c r="EYH27" s="19"/>
      <c r="EYI27" s="19"/>
      <c r="EYJ27" s="19"/>
      <c r="EYK27" s="19"/>
      <c r="EYL27" s="19"/>
      <c r="EYM27" s="19"/>
      <c r="EYN27" s="19"/>
      <c r="EYO27" s="19"/>
      <c r="EYP27" s="19"/>
      <c r="EYQ27" s="19"/>
      <c r="EYR27" s="19"/>
      <c r="EYS27" s="19"/>
      <c r="EYT27" s="19"/>
      <c r="EYU27" s="19"/>
      <c r="EYV27" s="19"/>
      <c r="EYW27" s="19"/>
      <c r="EYX27" s="19"/>
      <c r="EYY27" s="19"/>
      <c r="EYZ27" s="19"/>
      <c r="EZA27" s="19"/>
      <c r="EZB27" s="19"/>
      <c r="EZC27" s="19"/>
      <c r="EZD27" s="19"/>
      <c r="EZE27" s="19"/>
      <c r="EZF27" s="19"/>
      <c r="EZG27" s="19"/>
      <c r="EZH27" s="19"/>
      <c r="EZI27" s="19"/>
      <c r="EZJ27" s="19"/>
      <c r="EZK27" s="19"/>
      <c r="EZL27" s="19"/>
      <c r="EZM27" s="19"/>
      <c r="EZN27" s="19"/>
      <c r="EZO27" s="19"/>
      <c r="EZP27" s="19"/>
      <c r="EZQ27" s="19"/>
      <c r="EZR27" s="19"/>
      <c r="EZS27" s="19"/>
      <c r="EZT27" s="19"/>
      <c r="EZU27" s="19"/>
      <c r="EZV27" s="19"/>
      <c r="EZW27" s="19"/>
      <c r="EZX27" s="19"/>
      <c r="EZY27" s="19"/>
      <c r="EZZ27" s="19"/>
      <c r="FAA27" s="19"/>
      <c r="FAB27" s="19"/>
      <c r="FAC27" s="19"/>
      <c r="FAD27" s="19"/>
      <c r="FAE27" s="19"/>
      <c r="FAF27" s="19"/>
      <c r="FAG27" s="19"/>
      <c r="FAH27" s="19"/>
      <c r="FAI27" s="19"/>
      <c r="FAJ27" s="19"/>
      <c r="FAK27" s="19"/>
      <c r="FAL27" s="19"/>
      <c r="FAM27" s="19"/>
      <c r="FAN27" s="19"/>
      <c r="FAO27" s="19"/>
      <c r="FAP27" s="19"/>
      <c r="FAQ27" s="19"/>
      <c r="FAR27" s="19"/>
      <c r="FAS27" s="19"/>
      <c r="FAT27" s="19"/>
      <c r="FAU27" s="19"/>
      <c r="FAV27" s="19"/>
      <c r="FAW27" s="19"/>
      <c r="FAX27" s="19"/>
      <c r="FAY27" s="19"/>
      <c r="FAZ27" s="19"/>
      <c r="FBA27" s="19"/>
      <c r="FBB27" s="19"/>
      <c r="FBC27" s="19"/>
      <c r="FBD27" s="19"/>
      <c r="FBE27" s="19"/>
      <c r="FBF27" s="19"/>
      <c r="FBG27" s="19"/>
      <c r="FBH27" s="19"/>
      <c r="FBI27" s="19"/>
      <c r="FBJ27" s="19"/>
      <c r="FBK27" s="19"/>
      <c r="FBL27" s="19"/>
      <c r="FBM27" s="19"/>
      <c r="FBN27" s="19"/>
      <c r="FBO27" s="19"/>
      <c r="FBP27" s="19"/>
      <c r="FBQ27" s="19"/>
      <c r="FBR27" s="19"/>
      <c r="FBS27" s="19"/>
      <c r="FBT27" s="19"/>
      <c r="FBU27" s="19"/>
      <c r="FBV27" s="19"/>
      <c r="FBW27" s="19"/>
      <c r="FBX27" s="19"/>
      <c r="FBY27" s="19"/>
      <c r="FBZ27" s="19"/>
      <c r="FCA27" s="19"/>
      <c r="FCB27" s="19"/>
      <c r="FCC27" s="19"/>
      <c r="FCD27" s="19"/>
      <c r="FCE27" s="19"/>
      <c r="FCF27" s="19"/>
      <c r="FCG27" s="19"/>
      <c r="FCH27" s="19"/>
      <c r="FCI27" s="19"/>
      <c r="FCJ27" s="19"/>
      <c r="FCK27" s="19"/>
      <c r="FCL27" s="19"/>
      <c r="FCM27" s="19"/>
      <c r="FCN27" s="19"/>
      <c r="FCO27" s="19"/>
      <c r="FCP27" s="19"/>
      <c r="FCQ27" s="19"/>
      <c r="FCR27" s="19"/>
      <c r="FCS27" s="19"/>
      <c r="FCT27" s="19"/>
      <c r="FCU27" s="19"/>
      <c r="FCV27" s="19"/>
      <c r="FCW27" s="19"/>
      <c r="FCX27" s="19"/>
      <c r="FCY27" s="19"/>
      <c r="FCZ27" s="19"/>
      <c r="FDA27" s="19"/>
      <c r="FDB27" s="19"/>
      <c r="FDC27" s="19"/>
      <c r="FDD27" s="19"/>
      <c r="FDE27" s="19"/>
      <c r="FDF27" s="19"/>
      <c r="FDG27" s="19"/>
      <c r="FDH27" s="19"/>
      <c r="FDI27" s="19"/>
      <c r="FDJ27" s="19"/>
      <c r="FDK27" s="19"/>
      <c r="FDL27" s="19"/>
      <c r="FDM27" s="19"/>
      <c r="FDN27" s="19"/>
      <c r="FDO27" s="19"/>
      <c r="FDP27" s="19"/>
      <c r="FDQ27" s="19"/>
      <c r="FDR27" s="19"/>
      <c r="FDS27" s="19"/>
      <c r="FDT27" s="19"/>
      <c r="FDU27" s="19"/>
      <c r="FDV27" s="19"/>
      <c r="FDW27" s="19"/>
      <c r="FDX27" s="19"/>
      <c r="FDY27" s="19"/>
      <c r="FDZ27" s="19"/>
      <c r="FEA27" s="19"/>
      <c r="FEB27" s="19"/>
      <c r="FEC27" s="19"/>
      <c r="FED27" s="19"/>
      <c r="FEE27" s="19"/>
      <c r="FEF27" s="19"/>
      <c r="FEG27" s="19"/>
      <c r="FEH27" s="19"/>
      <c r="FEI27" s="19"/>
      <c r="FEJ27" s="19"/>
      <c r="FEK27" s="19"/>
      <c r="FEL27" s="19"/>
      <c r="FEM27" s="19"/>
      <c r="FEN27" s="19"/>
      <c r="FEO27" s="19"/>
      <c r="FEP27" s="19"/>
      <c r="FEQ27" s="19"/>
      <c r="FER27" s="19"/>
      <c r="FES27" s="19"/>
      <c r="FET27" s="19"/>
      <c r="FEU27" s="19"/>
      <c r="FEV27" s="19"/>
      <c r="FEW27" s="19"/>
      <c r="FEX27" s="19"/>
      <c r="FEY27" s="19"/>
      <c r="FEZ27" s="19"/>
      <c r="FFA27" s="19"/>
      <c r="FFB27" s="19"/>
      <c r="FFC27" s="19"/>
      <c r="FFD27" s="19"/>
      <c r="FFE27" s="19"/>
      <c r="FFF27" s="19"/>
      <c r="FFG27" s="19"/>
      <c r="FFH27" s="19"/>
      <c r="FFI27" s="19"/>
      <c r="FFJ27" s="19"/>
      <c r="FFK27" s="19"/>
      <c r="FFL27" s="19"/>
      <c r="FFM27" s="19"/>
      <c r="FFN27" s="19"/>
      <c r="FFO27" s="19"/>
      <c r="FFP27" s="19"/>
      <c r="FFQ27" s="19"/>
      <c r="FFR27" s="19"/>
      <c r="FFS27" s="19"/>
      <c r="FFT27" s="19"/>
      <c r="FFU27" s="19"/>
      <c r="FFV27" s="19"/>
      <c r="FFW27" s="19"/>
      <c r="FFX27" s="19"/>
      <c r="FFY27" s="19"/>
      <c r="FFZ27" s="19"/>
      <c r="FGA27" s="19"/>
      <c r="FGB27" s="19"/>
      <c r="FGC27" s="19"/>
      <c r="FGD27" s="19"/>
      <c r="FGE27" s="19"/>
      <c r="FGF27" s="19"/>
      <c r="FGG27" s="19"/>
      <c r="FGH27" s="19"/>
      <c r="FGI27" s="19"/>
      <c r="FGJ27" s="19"/>
      <c r="FGK27" s="19"/>
      <c r="FGL27" s="19"/>
      <c r="FGM27" s="19"/>
      <c r="FGN27" s="19"/>
      <c r="FGO27" s="19"/>
      <c r="FGP27" s="19"/>
      <c r="FGQ27" s="19"/>
      <c r="FGR27" s="19"/>
      <c r="FGS27" s="19"/>
      <c r="FGT27" s="19"/>
      <c r="FGU27" s="19"/>
      <c r="FGV27" s="19"/>
      <c r="FGW27" s="19"/>
      <c r="FGX27" s="19"/>
      <c r="FGY27" s="19"/>
      <c r="FGZ27" s="19"/>
      <c r="FHA27" s="19"/>
      <c r="FHB27" s="19"/>
      <c r="FHC27" s="19"/>
      <c r="FHD27" s="19"/>
      <c r="FHE27" s="19"/>
      <c r="FHF27" s="19"/>
      <c r="FHG27" s="19"/>
      <c r="FHH27" s="19"/>
      <c r="FHI27" s="19"/>
      <c r="FHJ27" s="19"/>
      <c r="FHK27" s="19"/>
      <c r="FHL27" s="19"/>
      <c r="FHM27" s="19"/>
      <c r="FHN27" s="19"/>
      <c r="FHO27" s="19"/>
      <c r="FHP27" s="19"/>
      <c r="FHQ27" s="19"/>
      <c r="FHR27" s="19"/>
      <c r="FHS27" s="19"/>
      <c r="FHT27" s="19"/>
      <c r="FHU27" s="19"/>
      <c r="FHV27" s="19"/>
      <c r="FHW27" s="19"/>
      <c r="FHX27" s="19"/>
      <c r="FHY27" s="19"/>
      <c r="FHZ27" s="19"/>
      <c r="FIA27" s="19"/>
      <c r="FIB27" s="19"/>
      <c r="FIC27" s="19"/>
      <c r="FID27" s="19"/>
      <c r="FIE27" s="19"/>
      <c r="FIF27" s="19"/>
      <c r="FIG27" s="19"/>
      <c r="FIH27" s="19"/>
      <c r="FII27" s="19"/>
      <c r="FIJ27" s="19"/>
      <c r="FIK27" s="19"/>
      <c r="FIL27" s="19"/>
      <c r="FIM27" s="19"/>
      <c r="FIN27" s="19"/>
      <c r="FIO27" s="19"/>
      <c r="FIP27" s="19"/>
      <c r="FIQ27" s="19"/>
      <c r="FIR27" s="19"/>
      <c r="FIS27" s="19"/>
      <c r="FIT27" s="19"/>
      <c r="FIU27" s="19"/>
      <c r="FIV27" s="19"/>
      <c r="FIW27" s="19"/>
      <c r="FIX27" s="19"/>
      <c r="FIY27" s="19"/>
      <c r="FIZ27" s="19"/>
      <c r="FJA27" s="19"/>
      <c r="FJB27" s="19"/>
      <c r="FJC27" s="19"/>
      <c r="FJD27" s="19"/>
      <c r="FJE27" s="19"/>
      <c r="FJF27" s="19"/>
      <c r="FJG27" s="19"/>
      <c r="FJH27" s="19"/>
      <c r="FJI27" s="19"/>
      <c r="FJJ27" s="19"/>
      <c r="FJK27" s="19"/>
      <c r="FJL27" s="19"/>
      <c r="FJM27" s="19"/>
      <c r="FJN27" s="19"/>
      <c r="FJO27" s="19"/>
      <c r="FJP27" s="19"/>
      <c r="FJQ27" s="19"/>
      <c r="FJR27" s="19"/>
      <c r="FJS27" s="19"/>
      <c r="FJT27" s="19"/>
      <c r="FJU27" s="19"/>
      <c r="FJV27" s="19"/>
      <c r="FJW27" s="19"/>
      <c r="FJX27" s="19"/>
      <c r="FJY27" s="19"/>
      <c r="FJZ27" s="19"/>
      <c r="FKA27" s="19"/>
      <c r="FKB27" s="19"/>
      <c r="FKC27" s="19"/>
      <c r="FKD27" s="19"/>
      <c r="FKE27" s="19"/>
      <c r="FKF27" s="19"/>
      <c r="FKG27" s="19"/>
      <c r="FKH27" s="19"/>
      <c r="FKI27" s="19"/>
      <c r="FKJ27" s="19"/>
      <c r="FKK27" s="19"/>
      <c r="FKL27" s="19"/>
      <c r="FKM27" s="19"/>
      <c r="FKN27" s="19"/>
      <c r="FKO27" s="19"/>
      <c r="FKP27" s="19"/>
      <c r="FKQ27" s="19"/>
      <c r="FKR27" s="19"/>
      <c r="FKS27" s="19"/>
      <c r="FKT27" s="19"/>
      <c r="FKU27" s="19"/>
      <c r="FKV27" s="19"/>
      <c r="FKW27" s="19"/>
      <c r="FKX27" s="19"/>
      <c r="FKY27" s="19"/>
      <c r="FKZ27" s="19"/>
      <c r="FLA27" s="19"/>
      <c r="FLB27" s="19"/>
      <c r="FLC27" s="19"/>
      <c r="FLD27" s="19"/>
      <c r="FLE27" s="19"/>
      <c r="FLF27" s="19"/>
      <c r="FLG27" s="19"/>
      <c r="FLH27" s="19"/>
      <c r="FLI27" s="19"/>
      <c r="FLJ27" s="19"/>
      <c r="FLK27" s="19"/>
      <c r="FLL27" s="19"/>
      <c r="FLM27" s="19"/>
      <c r="FLN27" s="19"/>
      <c r="FLO27" s="19"/>
      <c r="FLP27" s="19"/>
      <c r="FLQ27" s="19"/>
      <c r="FLR27" s="19"/>
      <c r="FLS27" s="19"/>
      <c r="FLT27" s="19"/>
      <c r="FLU27" s="19"/>
      <c r="FLV27" s="19"/>
      <c r="FLW27" s="19"/>
      <c r="FLX27" s="19"/>
      <c r="FLY27" s="19"/>
      <c r="FLZ27" s="19"/>
      <c r="FMA27" s="19"/>
      <c r="FMB27" s="19"/>
      <c r="FMC27" s="19"/>
      <c r="FMD27" s="19"/>
      <c r="FME27" s="19"/>
      <c r="FMF27" s="19"/>
      <c r="FMG27" s="19"/>
      <c r="FMH27" s="19"/>
      <c r="FMI27" s="19"/>
      <c r="FMJ27" s="19"/>
      <c r="FMK27" s="19"/>
      <c r="FML27" s="19"/>
      <c r="FMM27" s="19"/>
      <c r="FMN27" s="19"/>
      <c r="FMO27" s="19"/>
      <c r="FMP27" s="19"/>
      <c r="FMQ27" s="19"/>
      <c r="FMR27" s="19"/>
      <c r="FMS27" s="19"/>
      <c r="FMT27" s="19"/>
      <c r="FMU27" s="19"/>
      <c r="FMV27" s="19"/>
      <c r="FMW27" s="19"/>
      <c r="FMX27" s="19"/>
      <c r="FMY27" s="19"/>
      <c r="FMZ27" s="19"/>
      <c r="FNA27" s="19"/>
      <c r="FNB27" s="19"/>
      <c r="FNC27" s="19"/>
      <c r="FND27" s="19"/>
      <c r="FNE27" s="19"/>
      <c r="FNF27" s="19"/>
      <c r="FNG27" s="19"/>
      <c r="FNH27" s="19"/>
      <c r="FNI27" s="19"/>
      <c r="FNJ27" s="19"/>
      <c r="FNK27" s="19"/>
      <c r="FNL27" s="19"/>
      <c r="FNM27" s="19"/>
      <c r="FNN27" s="19"/>
      <c r="FNO27" s="19"/>
      <c r="FNP27" s="19"/>
      <c r="FNQ27" s="19"/>
      <c r="FNR27" s="19"/>
      <c r="FNS27" s="19"/>
      <c r="FNT27" s="19"/>
      <c r="FNU27" s="19"/>
      <c r="FNV27" s="19"/>
      <c r="FNW27" s="19"/>
      <c r="FNX27" s="19"/>
      <c r="FNY27" s="19"/>
      <c r="FNZ27" s="19"/>
      <c r="FOA27" s="19"/>
      <c r="FOB27" s="19"/>
      <c r="FOC27" s="19"/>
      <c r="FOD27" s="19"/>
      <c r="FOE27" s="19"/>
      <c r="FOF27" s="19"/>
      <c r="FOG27" s="19"/>
      <c r="FOH27" s="19"/>
      <c r="FOI27" s="19"/>
      <c r="FOJ27" s="19"/>
      <c r="FOK27" s="19"/>
      <c r="FOL27" s="19"/>
      <c r="FOM27" s="19"/>
      <c r="FON27" s="19"/>
      <c r="FOO27" s="19"/>
      <c r="FOP27" s="19"/>
      <c r="FOQ27" s="19"/>
      <c r="FOR27" s="19"/>
      <c r="FOS27" s="19"/>
      <c r="FOT27" s="19"/>
      <c r="FOU27" s="19"/>
      <c r="FOV27" s="19"/>
      <c r="FOW27" s="19"/>
      <c r="FOX27" s="19"/>
      <c r="FOY27" s="19"/>
      <c r="FOZ27" s="19"/>
      <c r="FPA27" s="19"/>
      <c r="FPB27" s="19"/>
      <c r="FPC27" s="19"/>
      <c r="FPD27" s="19"/>
      <c r="FPE27" s="19"/>
      <c r="FPF27" s="19"/>
      <c r="FPG27" s="19"/>
      <c r="FPH27" s="19"/>
      <c r="FPI27" s="19"/>
      <c r="FPJ27" s="19"/>
      <c r="FPK27" s="19"/>
      <c r="FPL27" s="19"/>
      <c r="FPM27" s="19"/>
      <c r="FPN27" s="19"/>
      <c r="FPO27" s="19"/>
      <c r="FPP27" s="19"/>
      <c r="FPQ27" s="19"/>
      <c r="FPR27" s="19"/>
      <c r="FPS27" s="19"/>
      <c r="FPT27" s="19"/>
      <c r="FPU27" s="19"/>
      <c r="FPV27" s="19"/>
      <c r="FPW27" s="19"/>
      <c r="FPX27" s="19"/>
      <c r="FPY27" s="19"/>
      <c r="FPZ27" s="19"/>
      <c r="FQA27" s="19"/>
      <c r="FQB27" s="19"/>
      <c r="FQC27" s="19"/>
      <c r="FQD27" s="19"/>
      <c r="FQE27" s="19"/>
      <c r="FQF27" s="19"/>
      <c r="FQG27" s="19"/>
      <c r="FQH27" s="19"/>
      <c r="FQI27" s="19"/>
      <c r="FQJ27" s="19"/>
      <c r="FQK27" s="19"/>
      <c r="FQL27" s="19"/>
      <c r="FQM27" s="19"/>
      <c r="FQN27" s="19"/>
      <c r="FQO27" s="19"/>
      <c r="FQP27" s="19"/>
      <c r="FQQ27" s="19"/>
      <c r="FQR27" s="19"/>
      <c r="FQS27" s="19"/>
      <c r="FQT27" s="19"/>
      <c r="FQU27" s="19"/>
      <c r="FQV27" s="19"/>
      <c r="FQW27" s="19"/>
      <c r="FQX27" s="19"/>
      <c r="FQY27" s="19"/>
      <c r="FQZ27" s="19"/>
      <c r="FRA27" s="19"/>
      <c r="FRB27" s="19"/>
      <c r="FRC27" s="19"/>
      <c r="FRD27" s="19"/>
      <c r="FRE27" s="19"/>
      <c r="FRF27" s="19"/>
      <c r="FRG27" s="19"/>
      <c r="FRH27" s="19"/>
      <c r="FRI27" s="19"/>
      <c r="FRJ27" s="19"/>
      <c r="FRK27" s="19"/>
      <c r="FRL27" s="19"/>
      <c r="FRM27" s="19"/>
      <c r="FRN27" s="19"/>
      <c r="FRO27" s="19"/>
      <c r="FRP27" s="19"/>
      <c r="FRQ27" s="19"/>
      <c r="FRR27" s="19"/>
      <c r="FRS27" s="19"/>
      <c r="FRT27" s="19"/>
      <c r="FRU27" s="19"/>
      <c r="FRV27" s="19"/>
      <c r="FRW27" s="19"/>
      <c r="FRX27" s="19"/>
      <c r="FRY27" s="19"/>
      <c r="FRZ27" s="19"/>
      <c r="FSA27" s="19"/>
      <c r="FSB27" s="19"/>
      <c r="FSC27" s="19"/>
      <c r="FSD27" s="19"/>
      <c r="FSE27" s="19"/>
      <c r="FSF27" s="19"/>
      <c r="FSG27" s="19"/>
      <c r="FSH27" s="19"/>
      <c r="FSI27" s="19"/>
      <c r="FSJ27" s="19"/>
      <c r="FSK27" s="19"/>
      <c r="FSL27" s="19"/>
      <c r="FSM27" s="19"/>
      <c r="FSN27" s="19"/>
      <c r="FSO27" s="19"/>
      <c r="FSP27" s="19"/>
      <c r="FSQ27" s="19"/>
      <c r="FSR27" s="19"/>
      <c r="FSS27" s="19"/>
      <c r="FST27" s="19"/>
      <c r="FSU27" s="19"/>
      <c r="FSV27" s="19"/>
      <c r="FSW27" s="19"/>
      <c r="FSX27" s="19"/>
      <c r="FSY27" s="19"/>
      <c r="FSZ27" s="19"/>
      <c r="FTA27" s="19"/>
      <c r="FTB27" s="19"/>
      <c r="FTC27" s="19"/>
      <c r="FTD27" s="19"/>
      <c r="FTE27" s="19"/>
      <c r="FTF27" s="19"/>
      <c r="FTG27" s="19"/>
      <c r="FTH27" s="19"/>
      <c r="FTI27" s="19"/>
      <c r="FTJ27" s="19"/>
      <c r="FTK27" s="19"/>
      <c r="FTL27" s="19"/>
      <c r="FTM27" s="19"/>
      <c r="FTN27" s="19"/>
      <c r="FTO27" s="19"/>
      <c r="FTP27" s="19"/>
      <c r="FTQ27" s="19"/>
      <c r="FTR27" s="19"/>
      <c r="FTS27" s="19"/>
      <c r="FTT27" s="19"/>
      <c r="FTU27" s="19"/>
      <c r="FTV27" s="19"/>
      <c r="FTW27" s="19"/>
      <c r="FTX27" s="19"/>
      <c r="FTY27" s="19"/>
      <c r="FTZ27" s="19"/>
      <c r="FUA27" s="19"/>
      <c r="FUB27" s="19"/>
      <c r="FUC27" s="19"/>
      <c r="FUD27" s="19"/>
      <c r="FUE27" s="19"/>
      <c r="FUF27" s="19"/>
      <c r="FUG27" s="19"/>
      <c r="FUH27" s="19"/>
      <c r="FUI27" s="19"/>
      <c r="FUJ27" s="19"/>
      <c r="FUK27" s="19"/>
      <c r="FUL27" s="19"/>
      <c r="FUM27" s="19"/>
      <c r="FUN27" s="19"/>
      <c r="FUO27" s="19"/>
      <c r="FUP27" s="19"/>
      <c r="FUQ27" s="19"/>
      <c r="FUR27" s="19"/>
      <c r="FUS27" s="19"/>
      <c r="FUT27" s="19"/>
      <c r="FUU27" s="19"/>
      <c r="FUV27" s="19"/>
      <c r="FUW27" s="19"/>
      <c r="FUX27" s="19"/>
      <c r="FUY27" s="19"/>
      <c r="FUZ27" s="19"/>
      <c r="FVA27" s="19"/>
      <c r="FVB27" s="19"/>
      <c r="FVC27" s="19"/>
      <c r="FVD27" s="19"/>
      <c r="FVE27" s="19"/>
      <c r="FVF27" s="19"/>
      <c r="FVG27" s="19"/>
      <c r="FVH27" s="19"/>
      <c r="FVI27" s="19"/>
      <c r="FVJ27" s="19"/>
      <c r="FVK27" s="19"/>
      <c r="FVL27" s="19"/>
      <c r="FVM27" s="19"/>
      <c r="FVN27" s="19"/>
      <c r="FVO27" s="19"/>
      <c r="FVP27" s="19"/>
      <c r="FVQ27" s="19"/>
      <c r="FVR27" s="19"/>
      <c r="FVS27" s="19"/>
      <c r="FVT27" s="19"/>
      <c r="FVU27" s="19"/>
      <c r="FVV27" s="19"/>
      <c r="FVW27" s="19"/>
      <c r="FVX27" s="19"/>
      <c r="FVY27" s="19"/>
      <c r="FVZ27" s="19"/>
      <c r="FWA27" s="19"/>
      <c r="FWB27" s="19"/>
      <c r="FWC27" s="19"/>
      <c r="FWD27" s="19"/>
      <c r="FWE27" s="19"/>
      <c r="FWF27" s="19"/>
      <c r="FWG27" s="19"/>
      <c r="FWH27" s="19"/>
      <c r="FWI27" s="19"/>
      <c r="FWJ27" s="19"/>
      <c r="FWK27" s="19"/>
      <c r="FWL27" s="19"/>
      <c r="FWM27" s="19"/>
      <c r="FWN27" s="19"/>
      <c r="FWO27" s="19"/>
      <c r="FWP27" s="19"/>
      <c r="FWQ27" s="19"/>
      <c r="FWR27" s="19"/>
      <c r="FWS27" s="19"/>
      <c r="FWT27" s="19"/>
      <c r="FWU27" s="19"/>
      <c r="FWV27" s="19"/>
      <c r="FWW27" s="19"/>
      <c r="FWX27" s="19"/>
      <c r="FWY27" s="19"/>
      <c r="FWZ27" s="19"/>
      <c r="FXA27" s="19"/>
      <c r="FXB27" s="19"/>
      <c r="FXC27" s="19"/>
      <c r="FXD27" s="19"/>
      <c r="FXE27" s="19"/>
      <c r="FXF27" s="19"/>
      <c r="FXG27" s="19"/>
      <c r="FXH27" s="19"/>
      <c r="FXI27" s="19"/>
      <c r="FXJ27" s="19"/>
      <c r="FXK27" s="19"/>
      <c r="FXL27" s="19"/>
      <c r="FXM27" s="19"/>
      <c r="FXN27" s="19"/>
      <c r="FXO27" s="19"/>
      <c r="FXP27" s="19"/>
      <c r="FXQ27" s="19"/>
      <c r="FXR27" s="19"/>
      <c r="FXS27" s="19"/>
      <c r="FXT27" s="19"/>
      <c r="FXU27" s="19"/>
      <c r="FXV27" s="19"/>
      <c r="FXW27" s="19"/>
      <c r="FXX27" s="19"/>
      <c r="FXY27" s="19"/>
      <c r="FXZ27" s="19"/>
      <c r="FYA27" s="19"/>
      <c r="FYB27" s="19"/>
      <c r="FYC27" s="19"/>
      <c r="FYD27" s="19"/>
      <c r="FYE27" s="19"/>
      <c r="FYF27" s="19"/>
      <c r="FYG27" s="19"/>
      <c r="FYH27" s="19"/>
      <c r="FYI27" s="19"/>
      <c r="FYJ27" s="19"/>
      <c r="FYK27" s="19"/>
      <c r="FYL27" s="19"/>
      <c r="FYM27" s="19"/>
      <c r="FYN27" s="19"/>
      <c r="FYO27" s="19"/>
      <c r="FYP27" s="19"/>
      <c r="FYQ27" s="19"/>
      <c r="FYR27" s="19"/>
      <c r="FYS27" s="19"/>
      <c r="FYT27" s="19"/>
      <c r="FYU27" s="19"/>
      <c r="FYV27" s="19"/>
      <c r="FYW27" s="19"/>
      <c r="FYX27" s="19"/>
      <c r="FYY27" s="19"/>
      <c r="FYZ27" s="19"/>
      <c r="FZA27" s="19"/>
      <c r="FZB27" s="19"/>
      <c r="FZC27" s="19"/>
      <c r="FZD27" s="19"/>
      <c r="FZE27" s="19"/>
      <c r="FZF27" s="19"/>
      <c r="FZG27" s="19"/>
      <c r="FZH27" s="19"/>
      <c r="FZI27" s="19"/>
      <c r="FZJ27" s="19"/>
      <c r="FZK27" s="19"/>
      <c r="FZL27" s="19"/>
      <c r="FZM27" s="19"/>
      <c r="FZN27" s="19"/>
      <c r="FZO27" s="19"/>
      <c r="FZP27" s="19"/>
      <c r="FZQ27" s="19"/>
      <c r="FZR27" s="19"/>
      <c r="FZS27" s="19"/>
      <c r="FZT27" s="19"/>
      <c r="FZU27" s="19"/>
      <c r="FZV27" s="19"/>
      <c r="FZW27" s="19"/>
      <c r="FZX27" s="19"/>
      <c r="FZY27" s="19"/>
      <c r="FZZ27" s="19"/>
      <c r="GAA27" s="19"/>
      <c r="GAB27" s="19"/>
      <c r="GAC27" s="19"/>
      <c r="GAD27" s="19"/>
      <c r="GAE27" s="19"/>
      <c r="GAF27" s="19"/>
      <c r="GAG27" s="19"/>
      <c r="GAH27" s="19"/>
      <c r="GAI27" s="19"/>
      <c r="GAJ27" s="19"/>
      <c r="GAK27" s="19"/>
      <c r="GAL27" s="19"/>
      <c r="GAM27" s="19"/>
      <c r="GAN27" s="19"/>
      <c r="GAO27" s="19"/>
      <c r="GAP27" s="19"/>
      <c r="GAQ27" s="19"/>
      <c r="GAR27" s="19"/>
      <c r="GAS27" s="19"/>
      <c r="GAT27" s="19"/>
      <c r="GAU27" s="19"/>
      <c r="GAV27" s="19"/>
      <c r="GAW27" s="19"/>
      <c r="GAX27" s="19"/>
      <c r="GAY27" s="19"/>
      <c r="GAZ27" s="19"/>
      <c r="GBA27" s="19"/>
      <c r="GBB27" s="19"/>
      <c r="GBC27" s="19"/>
      <c r="GBD27" s="19"/>
      <c r="GBE27" s="19"/>
      <c r="GBF27" s="19"/>
      <c r="GBG27" s="19"/>
      <c r="GBH27" s="19"/>
      <c r="GBI27" s="19"/>
      <c r="GBJ27" s="19"/>
      <c r="GBK27" s="19"/>
      <c r="GBL27" s="19"/>
      <c r="GBM27" s="19"/>
      <c r="GBN27" s="19"/>
      <c r="GBO27" s="19"/>
      <c r="GBP27" s="19"/>
      <c r="GBQ27" s="19"/>
      <c r="GBR27" s="19"/>
      <c r="GBS27" s="19"/>
      <c r="GBT27" s="19"/>
      <c r="GBU27" s="19"/>
      <c r="GBV27" s="19"/>
      <c r="GBW27" s="19"/>
      <c r="GBX27" s="19"/>
      <c r="GBY27" s="19"/>
      <c r="GBZ27" s="19"/>
      <c r="GCA27" s="19"/>
      <c r="GCB27" s="19"/>
      <c r="GCC27" s="19"/>
      <c r="GCD27" s="19"/>
      <c r="GCE27" s="19"/>
      <c r="GCF27" s="19"/>
      <c r="GCG27" s="19"/>
      <c r="GCH27" s="19"/>
      <c r="GCI27" s="19"/>
      <c r="GCJ27" s="19"/>
      <c r="GCK27" s="19"/>
      <c r="GCL27" s="19"/>
      <c r="GCM27" s="19"/>
      <c r="GCN27" s="19"/>
      <c r="GCO27" s="19"/>
      <c r="GCP27" s="19"/>
      <c r="GCQ27" s="19"/>
      <c r="GCR27" s="19"/>
      <c r="GCS27" s="19"/>
      <c r="GCT27" s="19"/>
      <c r="GCU27" s="19"/>
      <c r="GCV27" s="19"/>
      <c r="GCW27" s="19"/>
      <c r="GCX27" s="19"/>
      <c r="GCY27" s="19"/>
      <c r="GCZ27" s="19"/>
      <c r="GDA27" s="19"/>
      <c r="GDB27" s="19"/>
      <c r="GDC27" s="19"/>
      <c r="GDD27" s="19"/>
      <c r="GDE27" s="19"/>
      <c r="GDF27" s="19"/>
      <c r="GDG27" s="19"/>
      <c r="GDH27" s="19"/>
      <c r="GDI27" s="19"/>
      <c r="GDJ27" s="19"/>
      <c r="GDK27" s="19"/>
      <c r="GDL27" s="19"/>
      <c r="GDM27" s="19"/>
      <c r="GDN27" s="19"/>
      <c r="GDO27" s="19"/>
      <c r="GDP27" s="19"/>
      <c r="GDQ27" s="19"/>
      <c r="GDR27" s="19"/>
      <c r="GDS27" s="19"/>
      <c r="GDT27" s="19"/>
      <c r="GDU27" s="19"/>
      <c r="GDV27" s="19"/>
      <c r="GDW27" s="19"/>
      <c r="GDX27" s="19"/>
      <c r="GDY27" s="19"/>
      <c r="GDZ27" s="19"/>
      <c r="GEA27" s="19"/>
      <c r="GEB27" s="19"/>
      <c r="GEC27" s="19"/>
      <c r="GED27" s="19"/>
      <c r="GEE27" s="19"/>
      <c r="GEF27" s="19"/>
      <c r="GEG27" s="19"/>
      <c r="GEH27" s="19"/>
      <c r="GEI27" s="19"/>
      <c r="GEJ27" s="19"/>
      <c r="GEK27" s="19"/>
      <c r="GEL27" s="19"/>
      <c r="GEM27" s="19"/>
      <c r="GEN27" s="19"/>
      <c r="GEO27" s="19"/>
      <c r="GEP27" s="19"/>
      <c r="GEQ27" s="19"/>
      <c r="GER27" s="19"/>
      <c r="GES27" s="19"/>
      <c r="GET27" s="19"/>
      <c r="GEU27" s="19"/>
      <c r="GEV27" s="19"/>
      <c r="GEW27" s="19"/>
      <c r="GEX27" s="19"/>
      <c r="GEY27" s="19"/>
      <c r="GEZ27" s="19"/>
      <c r="GFA27" s="19"/>
      <c r="GFB27" s="19"/>
      <c r="GFC27" s="19"/>
      <c r="GFD27" s="19"/>
      <c r="GFE27" s="19"/>
      <c r="GFF27" s="19"/>
      <c r="GFG27" s="19"/>
      <c r="GFH27" s="19"/>
      <c r="GFI27" s="19"/>
      <c r="GFJ27" s="19"/>
      <c r="GFK27" s="19"/>
      <c r="GFL27" s="19"/>
      <c r="GFM27" s="19"/>
      <c r="GFN27" s="19"/>
      <c r="GFO27" s="19"/>
      <c r="GFP27" s="19"/>
      <c r="GFQ27" s="19"/>
      <c r="GFR27" s="19"/>
      <c r="GFS27" s="19"/>
      <c r="GFT27" s="19"/>
      <c r="GFU27" s="19"/>
      <c r="GFV27" s="19"/>
      <c r="GFW27" s="19"/>
      <c r="GFX27" s="19"/>
      <c r="GFY27" s="19"/>
      <c r="GFZ27" s="19"/>
      <c r="GGA27" s="19"/>
      <c r="GGB27" s="19"/>
      <c r="GGC27" s="19"/>
      <c r="GGD27" s="19"/>
      <c r="GGE27" s="19"/>
      <c r="GGF27" s="19"/>
      <c r="GGG27" s="19"/>
      <c r="GGH27" s="19"/>
      <c r="GGI27" s="19"/>
      <c r="GGJ27" s="19"/>
      <c r="GGK27" s="19"/>
      <c r="GGL27" s="19"/>
      <c r="GGM27" s="19"/>
      <c r="GGN27" s="19"/>
      <c r="GGO27" s="19"/>
      <c r="GGP27" s="19"/>
      <c r="GGQ27" s="19"/>
      <c r="GGR27" s="19"/>
      <c r="GGS27" s="19"/>
      <c r="GGT27" s="19"/>
      <c r="GGU27" s="19"/>
      <c r="GGV27" s="19"/>
      <c r="GGW27" s="19"/>
      <c r="GGX27" s="19"/>
      <c r="GGY27" s="19"/>
      <c r="GGZ27" s="19"/>
      <c r="GHA27" s="19"/>
      <c r="GHB27" s="19"/>
      <c r="GHC27" s="19"/>
      <c r="GHD27" s="19"/>
      <c r="GHE27" s="19"/>
      <c r="GHF27" s="19"/>
      <c r="GHG27" s="19"/>
      <c r="GHH27" s="19"/>
      <c r="GHI27" s="19"/>
      <c r="GHJ27" s="19"/>
      <c r="GHK27" s="19"/>
      <c r="GHL27" s="19"/>
      <c r="GHM27" s="19"/>
      <c r="GHN27" s="19"/>
      <c r="GHO27" s="19"/>
      <c r="GHP27" s="19"/>
      <c r="GHQ27" s="19"/>
      <c r="GHR27" s="19"/>
      <c r="GHS27" s="19"/>
      <c r="GHT27" s="19"/>
      <c r="GHU27" s="19"/>
      <c r="GHV27" s="19"/>
      <c r="GHW27" s="19"/>
      <c r="GHX27" s="19"/>
      <c r="GHY27" s="19"/>
      <c r="GHZ27" s="19"/>
      <c r="GIA27" s="19"/>
      <c r="GIB27" s="19"/>
      <c r="GIC27" s="19"/>
      <c r="GID27" s="19"/>
      <c r="GIE27" s="19"/>
      <c r="GIF27" s="19"/>
      <c r="GIG27" s="19"/>
      <c r="GIH27" s="19"/>
      <c r="GII27" s="19"/>
      <c r="GIJ27" s="19"/>
      <c r="GIK27" s="19"/>
      <c r="GIL27" s="19"/>
      <c r="GIM27" s="19"/>
      <c r="GIN27" s="19"/>
      <c r="GIO27" s="19"/>
      <c r="GIP27" s="19"/>
      <c r="GIQ27" s="19"/>
      <c r="GIR27" s="19"/>
      <c r="GIS27" s="19"/>
      <c r="GIT27" s="19"/>
      <c r="GIU27" s="19"/>
      <c r="GIV27" s="19"/>
      <c r="GIW27" s="19"/>
      <c r="GIX27" s="19"/>
      <c r="GIY27" s="19"/>
      <c r="GIZ27" s="19"/>
      <c r="GJA27" s="19"/>
      <c r="GJB27" s="19"/>
      <c r="GJC27" s="19"/>
      <c r="GJD27" s="19"/>
      <c r="GJE27" s="19"/>
      <c r="GJF27" s="19"/>
      <c r="GJG27" s="19"/>
      <c r="GJH27" s="19"/>
      <c r="GJI27" s="19"/>
      <c r="GJJ27" s="19"/>
      <c r="GJK27" s="19"/>
      <c r="GJL27" s="19"/>
      <c r="GJM27" s="19"/>
      <c r="GJN27" s="19"/>
      <c r="GJO27" s="19"/>
      <c r="GJP27" s="19"/>
      <c r="GJQ27" s="19"/>
      <c r="GJR27" s="19"/>
      <c r="GJS27" s="19"/>
      <c r="GJT27" s="19"/>
      <c r="GJU27" s="19"/>
      <c r="GJV27" s="19"/>
      <c r="GJW27" s="19"/>
      <c r="GJX27" s="19"/>
      <c r="GJY27" s="19"/>
      <c r="GJZ27" s="19"/>
      <c r="GKA27" s="19"/>
      <c r="GKB27" s="19"/>
      <c r="GKC27" s="19"/>
      <c r="GKD27" s="19"/>
      <c r="GKE27" s="19"/>
      <c r="GKF27" s="19"/>
      <c r="GKG27" s="19"/>
      <c r="GKH27" s="19"/>
      <c r="GKI27" s="19"/>
      <c r="GKJ27" s="19"/>
      <c r="GKK27" s="19"/>
      <c r="GKL27" s="19"/>
      <c r="GKM27" s="19"/>
      <c r="GKN27" s="19"/>
      <c r="GKO27" s="19"/>
      <c r="GKP27" s="19"/>
      <c r="GKQ27" s="19"/>
      <c r="GKR27" s="19"/>
      <c r="GKS27" s="19"/>
      <c r="GKT27" s="19"/>
      <c r="GKU27" s="19"/>
      <c r="GKV27" s="19"/>
      <c r="GKW27" s="19"/>
      <c r="GKX27" s="19"/>
      <c r="GKY27" s="19"/>
      <c r="GKZ27" s="19"/>
      <c r="GLA27" s="19"/>
      <c r="GLB27" s="19"/>
      <c r="GLC27" s="19"/>
      <c r="GLD27" s="19"/>
      <c r="GLE27" s="19"/>
      <c r="GLF27" s="19"/>
      <c r="GLG27" s="19"/>
      <c r="GLH27" s="19"/>
      <c r="GLI27" s="19"/>
      <c r="GLJ27" s="19"/>
      <c r="GLK27" s="19"/>
      <c r="GLL27" s="19"/>
      <c r="GLM27" s="19"/>
      <c r="GLN27" s="19"/>
      <c r="GLO27" s="19"/>
      <c r="GLP27" s="19"/>
      <c r="GLQ27" s="19"/>
      <c r="GLR27" s="19"/>
      <c r="GLS27" s="19"/>
      <c r="GLT27" s="19"/>
      <c r="GLU27" s="19"/>
      <c r="GLV27" s="19"/>
      <c r="GLW27" s="19"/>
      <c r="GLX27" s="19"/>
      <c r="GLY27" s="19"/>
      <c r="GLZ27" s="19"/>
      <c r="GMA27" s="19"/>
      <c r="GMB27" s="19"/>
      <c r="GMC27" s="19"/>
      <c r="GMD27" s="19"/>
      <c r="GME27" s="19"/>
      <c r="GMF27" s="19"/>
      <c r="GMG27" s="19"/>
      <c r="GMH27" s="19"/>
      <c r="GMI27" s="19"/>
      <c r="GMJ27" s="19"/>
      <c r="GMK27" s="19"/>
      <c r="GML27" s="19"/>
      <c r="GMM27" s="19"/>
      <c r="GMN27" s="19"/>
      <c r="GMO27" s="19"/>
      <c r="GMP27" s="19"/>
      <c r="GMQ27" s="19"/>
      <c r="GMR27" s="19"/>
      <c r="GMS27" s="19"/>
      <c r="GMT27" s="19"/>
      <c r="GMU27" s="19"/>
      <c r="GMV27" s="19"/>
      <c r="GMW27" s="19"/>
      <c r="GMX27" s="19"/>
      <c r="GMY27" s="19"/>
      <c r="GMZ27" s="19"/>
      <c r="GNA27" s="19"/>
      <c r="GNB27" s="19"/>
      <c r="GNC27" s="19"/>
      <c r="GND27" s="19"/>
      <c r="GNE27" s="19"/>
      <c r="GNF27" s="19"/>
      <c r="GNG27" s="19"/>
      <c r="GNH27" s="19"/>
      <c r="GNI27" s="19"/>
      <c r="GNJ27" s="19"/>
      <c r="GNK27" s="19"/>
      <c r="GNL27" s="19"/>
      <c r="GNM27" s="19"/>
      <c r="GNN27" s="19"/>
      <c r="GNO27" s="19"/>
      <c r="GNP27" s="19"/>
      <c r="GNQ27" s="19"/>
      <c r="GNR27" s="19"/>
      <c r="GNS27" s="19"/>
      <c r="GNT27" s="19"/>
      <c r="GNU27" s="19"/>
      <c r="GNV27" s="19"/>
      <c r="GNW27" s="19"/>
      <c r="GNX27" s="19"/>
      <c r="GNY27" s="19"/>
      <c r="GNZ27" s="19"/>
      <c r="GOA27" s="19"/>
      <c r="GOB27" s="19"/>
      <c r="GOC27" s="19"/>
      <c r="GOD27" s="19"/>
      <c r="GOE27" s="19"/>
      <c r="GOF27" s="19"/>
      <c r="GOG27" s="19"/>
      <c r="GOH27" s="19"/>
      <c r="GOI27" s="19"/>
      <c r="GOJ27" s="19"/>
      <c r="GOK27" s="19"/>
      <c r="GOL27" s="19"/>
      <c r="GOM27" s="19"/>
      <c r="GON27" s="19"/>
      <c r="GOO27" s="19"/>
      <c r="GOP27" s="19"/>
      <c r="GOQ27" s="19"/>
      <c r="GOR27" s="19"/>
      <c r="GOS27" s="19"/>
      <c r="GOT27" s="19"/>
      <c r="GOU27" s="19"/>
      <c r="GOV27" s="19"/>
      <c r="GOW27" s="19"/>
      <c r="GOX27" s="19"/>
      <c r="GOY27" s="19"/>
      <c r="GOZ27" s="19"/>
      <c r="GPA27" s="19"/>
      <c r="GPB27" s="19"/>
      <c r="GPC27" s="19"/>
      <c r="GPD27" s="19"/>
      <c r="GPE27" s="19"/>
      <c r="GPF27" s="19"/>
      <c r="GPG27" s="19"/>
      <c r="GPH27" s="19"/>
      <c r="GPI27" s="19"/>
      <c r="GPJ27" s="19"/>
      <c r="GPK27" s="19"/>
      <c r="GPL27" s="19"/>
      <c r="GPM27" s="19"/>
      <c r="GPN27" s="19"/>
      <c r="GPO27" s="19"/>
      <c r="GPP27" s="19"/>
      <c r="GPQ27" s="19"/>
      <c r="GPR27" s="19"/>
      <c r="GPS27" s="19"/>
      <c r="GPT27" s="19"/>
      <c r="GPU27" s="19"/>
      <c r="GPV27" s="19"/>
      <c r="GPW27" s="19"/>
      <c r="GPX27" s="19"/>
      <c r="GPY27" s="19"/>
      <c r="GPZ27" s="19"/>
      <c r="GQA27" s="19"/>
      <c r="GQB27" s="19"/>
      <c r="GQC27" s="19"/>
      <c r="GQD27" s="19"/>
      <c r="GQE27" s="19"/>
      <c r="GQF27" s="19"/>
      <c r="GQG27" s="19"/>
      <c r="GQH27" s="19"/>
      <c r="GQI27" s="19"/>
      <c r="GQJ27" s="19"/>
      <c r="GQK27" s="19"/>
      <c r="GQL27" s="19"/>
      <c r="GQM27" s="19"/>
      <c r="GQN27" s="19"/>
      <c r="GQO27" s="19"/>
      <c r="GQP27" s="19"/>
      <c r="GQQ27" s="19"/>
      <c r="GQR27" s="19"/>
      <c r="GQS27" s="19"/>
      <c r="GQT27" s="19"/>
      <c r="GQU27" s="19"/>
      <c r="GQV27" s="19"/>
      <c r="GQW27" s="19"/>
      <c r="GQX27" s="19"/>
      <c r="GQY27" s="19"/>
      <c r="GQZ27" s="19"/>
      <c r="GRA27" s="19"/>
      <c r="GRB27" s="19"/>
      <c r="GRC27" s="19"/>
      <c r="GRD27" s="19"/>
      <c r="GRE27" s="19"/>
      <c r="GRF27" s="19"/>
      <c r="GRG27" s="19"/>
      <c r="GRH27" s="19"/>
      <c r="GRI27" s="19"/>
      <c r="GRJ27" s="19"/>
      <c r="GRK27" s="19"/>
      <c r="GRL27" s="19"/>
      <c r="GRM27" s="19"/>
      <c r="GRN27" s="19"/>
      <c r="GRO27" s="19"/>
      <c r="GRP27" s="19"/>
      <c r="GRQ27" s="19"/>
      <c r="GRR27" s="19"/>
      <c r="GRS27" s="19"/>
      <c r="GRT27" s="19"/>
      <c r="GRU27" s="19"/>
      <c r="GRV27" s="19"/>
      <c r="GRW27" s="19"/>
      <c r="GRX27" s="19"/>
      <c r="GRY27" s="19"/>
      <c r="GRZ27" s="19"/>
      <c r="GSA27" s="19"/>
      <c r="GSB27" s="19"/>
      <c r="GSC27" s="19"/>
      <c r="GSD27" s="19"/>
      <c r="GSE27" s="19"/>
      <c r="GSF27" s="19"/>
      <c r="GSG27" s="19"/>
      <c r="GSH27" s="19"/>
      <c r="GSI27" s="19"/>
      <c r="GSJ27" s="19"/>
      <c r="GSK27" s="19"/>
      <c r="GSL27" s="19"/>
      <c r="GSM27" s="19"/>
      <c r="GSN27" s="19"/>
      <c r="GSO27" s="19"/>
      <c r="GSP27" s="19"/>
      <c r="GSQ27" s="19"/>
      <c r="GSR27" s="19"/>
      <c r="GSS27" s="19"/>
      <c r="GST27" s="19"/>
      <c r="GSU27" s="19"/>
      <c r="GSV27" s="19"/>
      <c r="GSW27" s="19"/>
      <c r="GSX27" s="19"/>
      <c r="GSY27" s="19"/>
      <c r="GSZ27" s="19"/>
      <c r="GTA27" s="19"/>
      <c r="GTB27" s="19"/>
      <c r="GTC27" s="19"/>
      <c r="GTD27" s="19"/>
      <c r="GTE27" s="19"/>
      <c r="GTF27" s="19"/>
      <c r="GTG27" s="19"/>
      <c r="GTH27" s="19"/>
      <c r="GTI27" s="19"/>
      <c r="GTJ27" s="19"/>
      <c r="GTK27" s="19"/>
      <c r="GTL27" s="19"/>
      <c r="GTM27" s="19"/>
      <c r="GTN27" s="19"/>
      <c r="GTO27" s="19"/>
      <c r="GTP27" s="19"/>
      <c r="GTQ27" s="19"/>
      <c r="GTR27" s="19"/>
      <c r="GTS27" s="19"/>
      <c r="GTT27" s="19"/>
      <c r="GTU27" s="19"/>
      <c r="GTV27" s="19"/>
      <c r="GTW27" s="19"/>
      <c r="GTX27" s="19"/>
      <c r="GTY27" s="19"/>
      <c r="GTZ27" s="19"/>
      <c r="GUA27" s="19"/>
      <c r="GUB27" s="19"/>
      <c r="GUC27" s="19"/>
      <c r="GUD27" s="19"/>
      <c r="GUE27" s="19"/>
      <c r="GUF27" s="19"/>
      <c r="GUG27" s="19"/>
      <c r="GUH27" s="19"/>
      <c r="GUI27" s="19"/>
      <c r="GUJ27" s="19"/>
      <c r="GUK27" s="19"/>
      <c r="GUL27" s="19"/>
      <c r="GUM27" s="19"/>
      <c r="GUN27" s="19"/>
      <c r="GUO27" s="19"/>
      <c r="GUP27" s="19"/>
      <c r="GUQ27" s="19"/>
      <c r="GUR27" s="19"/>
      <c r="GUS27" s="19"/>
      <c r="GUT27" s="19"/>
      <c r="GUU27" s="19"/>
      <c r="GUV27" s="19"/>
      <c r="GUW27" s="19"/>
      <c r="GUX27" s="19"/>
      <c r="GUY27" s="19"/>
      <c r="GUZ27" s="19"/>
      <c r="GVA27" s="19"/>
      <c r="GVB27" s="19"/>
      <c r="GVC27" s="19"/>
      <c r="GVD27" s="19"/>
      <c r="GVE27" s="19"/>
      <c r="GVF27" s="19"/>
      <c r="GVG27" s="19"/>
      <c r="GVH27" s="19"/>
      <c r="GVI27" s="19"/>
      <c r="GVJ27" s="19"/>
      <c r="GVK27" s="19"/>
      <c r="GVL27" s="19"/>
      <c r="GVM27" s="19"/>
      <c r="GVN27" s="19"/>
      <c r="GVO27" s="19"/>
      <c r="GVP27" s="19"/>
      <c r="GVQ27" s="19"/>
      <c r="GVR27" s="19"/>
      <c r="GVS27" s="19"/>
      <c r="GVT27" s="19"/>
      <c r="GVU27" s="19"/>
      <c r="GVV27" s="19"/>
      <c r="GVW27" s="19"/>
      <c r="GVX27" s="19"/>
      <c r="GVY27" s="19"/>
      <c r="GVZ27" s="19"/>
      <c r="GWA27" s="19"/>
      <c r="GWB27" s="19"/>
      <c r="GWC27" s="19"/>
      <c r="GWD27" s="19"/>
      <c r="GWE27" s="19"/>
      <c r="GWF27" s="19"/>
      <c r="GWG27" s="19"/>
      <c r="GWH27" s="19"/>
      <c r="GWI27" s="19"/>
      <c r="GWJ27" s="19"/>
      <c r="GWK27" s="19"/>
      <c r="GWL27" s="19"/>
      <c r="GWM27" s="19"/>
      <c r="GWN27" s="19"/>
      <c r="GWO27" s="19"/>
      <c r="GWP27" s="19"/>
      <c r="GWQ27" s="19"/>
      <c r="GWR27" s="19"/>
      <c r="GWS27" s="19"/>
      <c r="GWT27" s="19"/>
      <c r="GWU27" s="19"/>
      <c r="GWV27" s="19"/>
      <c r="GWW27" s="19"/>
      <c r="GWX27" s="19"/>
      <c r="GWY27" s="19"/>
      <c r="GWZ27" s="19"/>
      <c r="GXA27" s="19"/>
      <c r="GXB27" s="19"/>
      <c r="GXC27" s="19"/>
      <c r="GXD27" s="19"/>
      <c r="GXE27" s="19"/>
      <c r="GXF27" s="19"/>
      <c r="GXG27" s="19"/>
      <c r="GXH27" s="19"/>
      <c r="GXI27" s="19"/>
      <c r="GXJ27" s="19"/>
      <c r="GXK27" s="19"/>
      <c r="GXL27" s="19"/>
      <c r="GXM27" s="19"/>
      <c r="GXN27" s="19"/>
      <c r="GXO27" s="19"/>
      <c r="GXP27" s="19"/>
      <c r="GXQ27" s="19"/>
      <c r="GXR27" s="19"/>
      <c r="GXS27" s="19"/>
      <c r="GXT27" s="19"/>
      <c r="GXU27" s="19"/>
      <c r="GXV27" s="19"/>
      <c r="GXW27" s="19"/>
      <c r="GXX27" s="19"/>
      <c r="GXY27" s="19"/>
      <c r="GXZ27" s="19"/>
      <c r="GYA27" s="19"/>
      <c r="GYB27" s="19"/>
      <c r="GYC27" s="19"/>
      <c r="GYD27" s="19"/>
      <c r="GYE27" s="19"/>
      <c r="GYF27" s="19"/>
      <c r="GYG27" s="19"/>
      <c r="GYH27" s="19"/>
      <c r="GYI27" s="19"/>
      <c r="GYJ27" s="19"/>
      <c r="GYK27" s="19"/>
      <c r="GYL27" s="19"/>
      <c r="GYM27" s="19"/>
      <c r="GYN27" s="19"/>
      <c r="GYO27" s="19"/>
      <c r="GYP27" s="19"/>
      <c r="GYQ27" s="19"/>
      <c r="GYR27" s="19"/>
      <c r="GYS27" s="19"/>
      <c r="GYT27" s="19"/>
      <c r="GYU27" s="19"/>
      <c r="GYV27" s="19"/>
      <c r="GYW27" s="19"/>
      <c r="GYX27" s="19"/>
      <c r="GYY27" s="19"/>
      <c r="GYZ27" s="19"/>
      <c r="GZA27" s="19"/>
      <c r="GZB27" s="19"/>
      <c r="GZC27" s="19"/>
      <c r="GZD27" s="19"/>
      <c r="GZE27" s="19"/>
      <c r="GZF27" s="19"/>
      <c r="GZG27" s="19"/>
      <c r="GZH27" s="19"/>
      <c r="GZI27" s="19"/>
      <c r="GZJ27" s="19"/>
      <c r="GZK27" s="19"/>
      <c r="GZL27" s="19"/>
      <c r="GZM27" s="19"/>
      <c r="GZN27" s="19"/>
      <c r="GZO27" s="19"/>
      <c r="GZP27" s="19"/>
      <c r="GZQ27" s="19"/>
      <c r="GZR27" s="19"/>
      <c r="GZS27" s="19"/>
      <c r="GZT27" s="19"/>
      <c r="GZU27" s="19"/>
      <c r="GZV27" s="19"/>
      <c r="GZW27" s="19"/>
      <c r="GZX27" s="19"/>
      <c r="GZY27" s="19"/>
      <c r="GZZ27" s="19"/>
      <c r="HAA27" s="19"/>
      <c r="HAB27" s="19"/>
      <c r="HAC27" s="19"/>
      <c r="HAD27" s="19"/>
      <c r="HAE27" s="19"/>
      <c r="HAF27" s="19"/>
      <c r="HAG27" s="19"/>
      <c r="HAH27" s="19"/>
      <c r="HAI27" s="19"/>
      <c r="HAJ27" s="19"/>
      <c r="HAK27" s="19"/>
      <c r="HAL27" s="19"/>
      <c r="HAM27" s="19"/>
      <c r="HAN27" s="19"/>
      <c r="HAO27" s="19"/>
      <c r="HAP27" s="19"/>
      <c r="HAQ27" s="19"/>
      <c r="HAR27" s="19"/>
      <c r="HAS27" s="19"/>
      <c r="HAT27" s="19"/>
      <c r="HAU27" s="19"/>
      <c r="HAV27" s="19"/>
      <c r="HAW27" s="19"/>
      <c r="HAX27" s="19"/>
      <c r="HAY27" s="19"/>
      <c r="HAZ27" s="19"/>
      <c r="HBA27" s="19"/>
      <c r="HBB27" s="19"/>
      <c r="HBC27" s="19"/>
      <c r="HBD27" s="19"/>
      <c r="HBE27" s="19"/>
      <c r="HBF27" s="19"/>
      <c r="HBG27" s="19"/>
      <c r="HBH27" s="19"/>
      <c r="HBI27" s="19"/>
      <c r="HBJ27" s="19"/>
      <c r="HBK27" s="19"/>
      <c r="HBL27" s="19"/>
      <c r="HBM27" s="19"/>
      <c r="HBN27" s="19"/>
      <c r="HBO27" s="19"/>
      <c r="HBP27" s="19"/>
      <c r="HBQ27" s="19"/>
      <c r="HBR27" s="19"/>
      <c r="HBS27" s="19"/>
      <c r="HBT27" s="19"/>
      <c r="HBU27" s="19"/>
      <c r="HBV27" s="19"/>
      <c r="HBW27" s="19"/>
      <c r="HBX27" s="19"/>
      <c r="HBY27" s="19"/>
      <c r="HBZ27" s="19"/>
      <c r="HCA27" s="19"/>
      <c r="HCB27" s="19"/>
      <c r="HCC27" s="19"/>
      <c r="HCD27" s="19"/>
      <c r="HCE27" s="19"/>
      <c r="HCF27" s="19"/>
      <c r="HCG27" s="19"/>
      <c r="HCH27" s="19"/>
      <c r="HCI27" s="19"/>
      <c r="HCJ27" s="19"/>
      <c r="HCK27" s="19"/>
      <c r="HCL27" s="19"/>
      <c r="HCM27" s="19"/>
      <c r="HCN27" s="19"/>
      <c r="HCO27" s="19"/>
      <c r="HCP27" s="19"/>
      <c r="HCQ27" s="19"/>
      <c r="HCR27" s="19"/>
      <c r="HCS27" s="19"/>
      <c r="HCT27" s="19"/>
      <c r="HCU27" s="19"/>
      <c r="HCV27" s="19"/>
      <c r="HCW27" s="19"/>
      <c r="HCX27" s="19"/>
      <c r="HCY27" s="19"/>
      <c r="HCZ27" s="19"/>
      <c r="HDA27" s="19"/>
      <c r="HDB27" s="19"/>
      <c r="HDC27" s="19"/>
      <c r="HDD27" s="19"/>
      <c r="HDE27" s="19"/>
      <c r="HDF27" s="19"/>
      <c r="HDG27" s="19"/>
      <c r="HDH27" s="19"/>
      <c r="HDI27" s="19"/>
      <c r="HDJ27" s="19"/>
      <c r="HDK27" s="19"/>
      <c r="HDL27" s="19"/>
      <c r="HDM27" s="19"/>
      <c r="HDN27" s="19"/>
      <c r="HDO27" s="19"/>
      <c r="HDP27" s="19"/>
      <c r="HDQ27" s="19"/>
      <c r="HDR27" s="19"/>
      <c r="HDS27" s="19"/>
      <c r="HDT27" s="19"/>
      <c r="HDU27" s="19"/>
      <c r="HDV27" s="19"/>
      <c r="HDW27" s="19"/>
      <c r="HDX27" s="19"/>
      <c r="HDY27" s="19"/>
      <c r="HDZ27" s="19"/>
      <c r="HEA27" s="19"/>
      <c r="HEB27" s="19"/>
      <c r="HEC27" s="19"/>
      <c r="HED27" s="19"/>
      <c r="HEE27" s="19"/>
      <c r="HEF27" s="19"/>
      <c r="HEG27" s="19"/>
      <c r="HEH27" s="19"/>
      <c r="HEI27" s="19"/>
      <c r="HEJ27" s="19"/>
      <c r="HEK27" s="19"/>
      <c r="HEL27" s="19"/>
      <c r="HEM27" s="19"/>
      <c r="HEN27" s="19"/>
      <c r="HEO27" s="19"/>
      <c r="HEP27" s="19"/>
      <c r="HEQ27" s="19"/>
      <c r="HER27" s="19"/>
      <c r="HES27" s="19"/>
      <c r="HET27" s="19"/>
      <c r="HEU27" s="19"/>
      <c r="HEV27" s="19"/>
      <c r="HEW27" s="19"/>
      <c r="HEX27" s="19"/>
      <c r="HEY27" s="19"/>
      <c r="HEZ27" s="19"/>
      <c r="HFA27" s="19"/>
      <c r="HFB27" s="19"/>
      <c r="HFC27" s="19"/>
      <c r="HFD27" s="19"/>
      <c r="HFE27" s="19"/>
      <c r="HFF27" s="19"/>
      <c r="HFG27" s="19"/>
      <c r="HFH27" s="19"/>
      <c r="HFI27" s="19"/>
      <c r="HFJ27" s="19"/>
      <c r="HFK27" s="19"/>
      <c r="HFL27" s="19"/>
      <c r="HFM27" s="19"/>
      <c r="HFN27" s="19"/>
      <c r="HFO27" s="19"/>
      <c r="HFP27" s="19"/>
      <c r="HFQ27" s="19"/>
      <c r="HFR27" s="19"/>
      <c r="HFS27" s="19"/>
      <c r="HFT27" s="19"/>
      <c r="HFU27" s="19"/>
      <c r="HFV27" s="19"/>
      <c r="HFW27" s="19"/>
      <c r="HFX27" s="19"/>
      <c r="HFY27" s="19"/>
      <c r="HFZ27" s="19"/>
      <c r="HGA27" s="19"/>
      <c r="HGB27" s="19"/>
      <c r="HGC27" s="19"/>
      <c r="HGD27" s="19"/>
      <c r="HGE27" s="19"/>
      <c r="HGF27" s="19"/>
      <c r="HGG27" s="19"/>
      <c r="HGH27" s="19"/>
      <c r="HGI27" s="19"/>
      <c r="HGJ27" s="19"/>
      <c r="HGK27" s="19"/>
      <c r="HGL27" s="19"/>
      <c r="HGM27" s="19"/>
      <c r="HGN27" s="19"/>
      <c r="HGO27" s="19"/>
      <c r="HGP27" s="19"/>
      <c r="HGQ27" s="19"/>
      <c r="HGR27" s="19"/>
      <c r="HGS27" s="19"/>
      <c r="HGT27" s="19"/>
      <c r="HGU27" s="19"/>
      <c r="HGV27" s="19"/>
      <c r="HGW27" s="19"/>
      <c r="HGX27" s="19"/>
      <c r="HGY27" s="19"/>
      <c r="HGZ27" s="19"/>
      <c r="HHA27" s="19"/>
      <c r="HHB27" s="19"/>
      <c r="HHC27" s="19"/>
      <c r="HHD27" s="19"/>
      <c r="HHE27" s="19"/>
      <c r="HHF27" s="19"/>
      <c r="HHG27" s="19"/>
      <c r="HHH27" s="19"/>
      <c r="HHI27" s="19"/>
      <c r="HHJ27" s="19"/>
      <c r="HHK27" s="19"/>
      <c r="HHL27" s="19"/>
      <c r="HHM27" s="19"/>
      <c r="HHN27" s="19"/>
      <c r="HHO27" s="19"/>
      <c r="HHP27" s="19"/>
      <c r="HHQ27" s="19"/>
      <c r="HHR27" s="19"/>
      <c r="HHS27" s="19"/>
      <c r="HHT27" s="19"/>
      <c r="HHU27" s="19"/>
      <c r="HHV27" s="19"/>
      <c r="HHW27" s="19"/>
      <c r="HHX27" s="19"/>
      <c r="HHY27" s="19"/>
      <c r="HHZ27" s="19"/>
      <c r="HIA27" s="19"/>
      <c r="HIB27" s="19"/>
      <c r="HIC27" s="19"/>
      <c r="HID27" s="19"/>
      <c r="HIE27" s="19"/>
      <c r="HIF27" s="19"/>
      <c r="HIG27" s="19"/>
      <c r="HIH27" s="19"/>
      <c r="HII27" s="19"/>
      <c r="HIJ27" s="19"/>
      <c r="HIK27" s="19"/>
      <c r="HIL27" s="19"/>
      <c r="HIM27" s="19"/>
      <c r="HIN27" s="19"/>
      <c r="HIO27" s="19"/>
      <c r="HIP27" s="19"/>
      <c r="HIQ27" s="19"/>
      <c r="HIR27" s="19"/>
      <c r="HIS27" s="19"/>
      <c r="HIT27" s="19"/>
      <c r="HIU27" s="19"/>
      <c r="HIV27" s="19"/>
      <c r="HIW27" s="19"/>
      <c r="HIX27" s="19"/>
      <c r="HIY27" s="19"/>
      <c r="HIZ27" s="19"/>
      <c r="HJA27" s="19"/>
      <c r="HJB27" s="19"/>
      <c r="HJC27" s="19"/>
      <c r="HJD27" s="19"/>
      <c r="HJE27" s="19"/>
      <c r="HJF27" s="19"/>
      <c r="HJG27" s="19"/>
      <c r="HJH27" s="19"/>
      <c r="HJI27" s="19"/>
      <c r="HJJ27" s="19"/>
      <c r="HJK27" s="19"/>
      <c r="HJL27" s="19"/>
      <c r="HJM27" s="19"/>
      <c r="HJN27" s="19"/>
      <c r="HJO27" s="19"/>
      <c r="HJP27" s="19"/>
      <c r="HJQ27" s="19"/>
      <c r="HJR27" s="19"/>
      <c r="HJS27" s="19"/>
      <c r="HJT27" s="19"/>
      <c r="HJU27" s="19"/>
      <c r="HJV27" s="19"/>
      <c r="HJW27" s="19"/>
      <c r="HJX27" s="19"/>
      <c r="HJY27" s="19"/>
      <c r="HJZ27" s="19"/>
      <c r="HKA27" s="19"/>
      <c r="HKB27" s="19"/>
      <c r="HKC27" s="19"/>
      <c r="HKD27" s="19"/>
      <c r="HKE27" s="19"/>
      <c r="HKF27" s="19"/>
      <c r="HKG27" s="19"/>
      <c r="HKH27" s="19"/>
      <c r="HKI27" s="19"/>
      <c r="HKJ27" s="19"/>
      <c r="HKK27" s="19"/>
      <c r="HKL27" s="19"/>
      <c r="HKM27" s="19"/>
      <c r="HKN27" s="19"/>
      <c r="HKO27" s="19"/>
      <c r="HKP27" s="19"/>
      <c r="HKQ27" s="19"/>
      <c r="HKR27" s="19"/>
      <c r="HKS27" s="19"/>
      <c r="HKT27" s="19"/>
      <c r="HKU27" s="19"/>
      <c r="HKV27" s="19"/>
      <c r="HKW27" s="19"/>
      <c r="HKX27" s="19"/>
      <c r="HKY27" s="19"/>
      <c r="HKZ27" s="19"/>
      <c r="HLA27" s="19"/>
      <c r="HLB27" s="19"/>
      <c r="HLC27" s="19"/>
      <c r="HLD27" s="19"/>
      <c r="HLE27" s="19"/>
      <c r="HLF27" s="19"/>
      <c r="HLG27" s="19"/>
      <c r="HLH27" s="19"/>
      <c r="HLI27" s="19"/>
      <c r="HLJ27" s="19"/>
      <c r="HLK27" s="19"/>
      <c r="HLL27" s="19"/>
      <c r="HLM27" s="19"/>
      <c r="HLN27" s="19"/>
      <c r="HLO27" s="19"/>
      <c r="HLP27" s="19"/>
      <c r="HLQ27" s="19"/>
      <c r="HLR27" s="19"/>
      <c r="HLS27" s="19"/>
      <c r="HLT27" s="19"/>
      <c r="HLU27" s="19"/>
      <c r="HLV27" s="19"/>
      <c r="HLW27" s="19"/>
      <c r="HLX27" s="19"/>
      <c r="HLY27" s="19"/>
      <c r="HLZ27" s="19"/>
      <c r="HMA27" s="19"/>
      <c r="HMB27" s="19"/>
      <c r="HMC27" s="19"/>
      <c r="HMD27" s="19"/>
      <c r="HME27" s="19"/>
      <c r="HMF27" s="19"/>
      <c r="HMG27" s="19"/>
      <c r="HMH27" s="19"/>
      <c r="HMI27" s="19"/>
      <c r="HMJ27" s="19"/>
      <c r="HMK27" s="19"/>
      <c r="HML27" s="19"/>
      <c r="HMM27" s="19"/>
      <c r="HMN27" s="19"/>
      <c r="HMO27" s="19"/>
      <c r="HMP27" s="19"/>
      <c r="HMQ27" s="19"/>
      <c r="HMR27" s="19"/>
      <c r="HMS27" s="19"/>
      <c r="HMT27" s="19"/>
      <c r="HMU27" s="19"/>
      <c r="HMV27" s="19"/>
      <c r="HMW27" s="19"/>
      <c r="HMX27" s="19"/>
      <c r="HMY27" s="19"/>
      <c r="HMZ27" s="19"/>
      <c r="HNA27" s="19"/>
      <c r="HNB27" s="19"/>
      <c r="HNC27" s="19"/>
      <c r="HND27" s="19"/>
      <c r="HNE27" s="19"/>
      <c r="HNF27" s="19"/>
      <c r="HNG27" s="19"/>
      <c r="HNH27" s="19"/>
      <c r="HNI27" s="19"/>
      <c r="HNJ27" s="19"/>
      <c r="HNK27" s="19"/>
      <c r="HNL27" s="19"/>
      <c r="HNM27" s="19"/>
      <c r="HNN27" s="19"/>
      <c r="HNO27" s="19"/>
      <c r="HNP27" s="19"/>
      <c r="HNQ27" s="19"/>
      <c r="HNR27" s="19"/>
      <c r="HNS27" s="19"/>
      <c r="HNT27" s="19"/>
      <c r="HNU27" s="19"/>
      <c r="HNV27" s="19"/>
      <c r="HNW27" s="19"/>
      <c r="HNX27" s="19"/>
      <c r="HNY27" s="19"/>
      <c r="HNZ27" s="19"/>
      <c r="HOA27" s="19"/>
      <c r="HOB27" s="19"/>
      <c r="HOC27" s="19"/>
      <c r="HOD27" s="19"/>
      <c r="HOE27" s="19"/>
      <c r="HOF27" s="19"/>
      <c r="HOG27" s="19"/>
      <c r="HOH27" s="19"/>
      <c r="HOI27" s="19"/>
      <c r="HOJ27" s="19"/>
      <c r="HOK27" s="19"/>
      <c r="HOL27" s="19"/>
      <c r="HOM27" s="19"/>
      <c r="HON27" s="19"/>
      <c r="HOO27" s="19"/>
      <c r="HOP27" s="19"/>
      <c r="HOQ27" s="19"/>
      <c r="HOR27" s="19"/>
      <c r="HOS27" s="19"/>
      <c r="HOT27" s="19"/>
      <c r="HOU27" s="19"/>
      <c r="HOV27" s="19"/>
      <c r="HOW27" s="19"/>
      <c r="HOX27" s="19"/>
      <c r="HOY27" s="19"/>
      <c r="HOZ27" s="19"/>
      <c r="HPA27" s="19"/>
      <c r="HPB27" s="19"/>
      <c r="HPC27" s="19"/>
      <c r="HPD27" s="19"/>
      <c r="HPE27" s="19"/>
      <c r="HPF27" s="19"/>
      <c r="HPG27" s="19"/>
      <c r="HPH27" s="19"/>
      <c r="HPI27" s="19"/>
      <c r="HPJ27" s="19"/>
      <c r="HPK27" s="19"/>
      <c r="HPL27" s="19"/>
      <c r="HPM27" s="19"/>
      <c r="HPN27" s="19"/>
      <c r="HPO27" s="19"/>
      <c r="HPP27" s="19"/>
      <c r="HPQ27" s="19"/>
      <c r="HPR27" s="19"/>
      <c r="HPS27" s="19"/>
      <c r="HPT27" s="19"/>
      <c r="HPU27" s="19"/>
      <c r="HPV27" s="19"/>
      <c r="HPW27" s="19"/>
      <c r="HPX27" s="19"/>
      <c r="HPY27" s="19"/>
      <c r="HPZ27" s="19"/>
      <c r="HQA27" s="19"/>
      <c r="HQB27" s="19"/>
      <c r="HQC27" s="19"/>
      <c r="HQD27" s="19"/>
      <c r="HQE27" s="19"/>
      <c r="HQF27" s="19"/>
      <c r="HQG27" s="19"/>
      <c r="HQH27" s="19"/>
      <c r="HQI27" s="19"/>
      <c r="HQJ27" s="19"/>
      <c r="HQK27" s="19"/>
      <c r="HQL27" s="19"/>
      <c r="HQM27" s="19"/>
      <c r="HQN27" s="19"/>
      <c r="HQO27" s="19"/>
      <c r="HQP27" s="19"/>
      <c r="HQQ27" s="19"/>
      <c r="HQR27" s="19"/>
      <c r="HQS27" s="19"/>
      <c r="HQT27" s="19"/>
      <c r="HQU27" s="19"/>
      <c r="HQV27" s="19"/>
      <c r="HQW27" s="19"/>
      <c r="HQX27" s="19"/>
      <c r="HQY27" s="19"/>
      <c r="HQZ27" s="19"/>
      <c r="HRA27" s="19"/>
      <c r="HRB27" s="19"/>
      <c r="HRC27" s="19"/>
      <c r="HRD27" s="19"/>
      <c r="HRE27" s="19"/>
      <c r="HRF27" s="19"/>
      <c r="HRG27" s="19"/>
      <c r="HRH27" s="19"/>
      <c r="HRI27" s="19"/>
      <c r="HRJ27" s="19"/>
      <c r="HRK27" s="19"/>
      <c r="HRL27" s="19"/>
      <c r="HRM27" s="19"/>
      <c r="HRN27" s="19"/>
      <c r="HRO27" s="19"/>
      <c r="HRP27" s="19"/>
      <c r="HRQ27" s="19"/>
      <c r="HRR27" s="19"/>
      <c r="HRS27" s="19"/>
      <c r="HRT27" s="19"/>
      <c r="HRU27" s="19"/>
      <c r="HRV27" s="19"/>
      <c r="HRW27" s="19"/>
      <c r="HRX27" s="19"/>
      <c r="HRY27" s="19"/>
      <c r="HRZ27" s="19"/>
      <c r="HSA27" s="19"/>
      <c r="HSB27" s="19"/>
      <c r="HSC27" s="19"/>
      <c r="HSD27" s="19"/>
      <c r="HSE27" s="19"/>
      <c r="HSF27" s="19"/>
      <c r="HSG27" s="19"/>
      <c r="HSH27" s="19"/>
      <c r="HSI27" s="19"/>
      <c r="HSJ27" s="19"/>
      <c r="HSK27" s="19"/>
      <c r="HSL27" s="19"/>
      <c r="HSM27" s="19"/>
      <c r="HSN27" s="19"/>
      <c r="HSO27" s="19"/>
      <c r="HSP27" s="19"/>
      <c r="HSQ27" s="19"/>
      <c r="HSR27" s="19"/>
      <c r="HSS27" s="19"/>
      <c r="HST27" s="19"/>
      <c r="HSU27" s="19"/>
      <c r="HSV27" s="19"/>
      <c r="HSW27" s="19"/>
      <c r="HSX27" s="19"/>
      <c r="HSY27" s="19"/>
      <c r="HSZ27" s="19"/>
      <c r="HTA27" s="19"/>
      <c r="HTB27" s="19"/>
      <c r="HTC27" s="19"/>
      <c r="HTD27" s="19"/>
      <c r="HTE27" s="19"/>
      <c r="HTF27" s="19"/>
      <c r="HTG27" s="19"/>
      <c r="HTH27" s="19"/>
      <c r="HTI27" s="19"/>
      <c r="HTJ27" s="19"/>
      <c r="HTK27" s="19"/>
      <c r="HTL27" s="19"/>
      <c r="HTM27" s="19"/>
      <c r="HTN27" s="19"/>
      <c r="HTO27" s="19"/>
      <c r="HTP27" s="19"/>
      <c r="HTQ27" s="19"/>
      <c r="HTR27" s="19"/>
      <c r="HTS27" s="19"/>
      <c r="HTT27" s="19"/>
      <c r="HTU27" s="19"/>
      <c r="HTV27" s="19"/>
      <c r="HTW27" s="19"/>
      <c r="HTX27" s="19"/>
      <c r="HTY27" s="19"/>
      <c r="HTZ27" s="19"/>
      <c r="HUA27" s="19"/>
      <c r="HUB27" s="19"/>
      <c r="HUC27" s="19"/>
      <c r="HUD27" s="19"/>
      <c r="HUE27" s="19"/>
      <c r="HUF27" s="19"/>
      <c r="HUG27" s="19"/>
      <c r="HUH27" s="19"/>
      <c r="HUI27" s="19"/>
      <c r="HUJ27" s="19"/>
      <c r="HUK27" s="19"/>
      <c r="HUL27" s="19"/>
      <c r="HUM27" s="19"/>
      <c r="HUN27" s="19"/>
      <c r="HUO27" s="19"/>
      <c r="HUP27" s="19"/>
      <c r="HUQ27" s="19"/>
      <c r="HUR27" s="19"/>
      <c r="HUS27" s="19"/>
      <c r="HUT27" s="19"/>
      <c r="HUU27" s="19"/>
      <c r="HUV27" s="19"/>
      <c r="HUW27" s="19"/>
      <c r="HUX27" s="19"/>
      <c r="HUY27" s="19"/>
      <c r="HUZ27" s="19"/>
      <c r="HVA27" s="19"/>
      <c r="HVB27" s="19"/>
      <c r="HVC27" s="19"/>
      <c r="HVD27" s="19"/>
      <c r="HVE27" s="19"/>
      <c r="HVF27" s="19"/>
      <c r="HVG27" s="19"/>
      <c r="HVH27" s="19"/>
      <c r="HVI27" s="19"/>
      <c r="HVJ27" s="19"/>
      <c r="HVK27" s="19"/>
      <c r="HVL27" s="19"/>
      <c r="HVM27" s="19"/>
      <c r="HVN27" s="19"/>
      <c r="HVO27" s="19"/>
      <c r="HVP27" s="19"/>
      <c r="HVQ27" s="19"/>
      <c r="HVR27" s="19"/>
      <c r="HVS27" s="19"/>
      <c r="HVT27" s="19"/>
      <c r="HVU27" s="19"/>
      <c r="HVV27" s="19"/>
      <c r="HVW27" s="19"/>
      <c r="HVX27" s="19"/>
      <c r="HVY27" s="19"/>
      <c r="HVZ27" s="19"/>
      <c r="HWA27" s="19"/>
      <c r="HWB27" s="19"/>
      <c r="HWC27" s="19"/>
      <c r="HWD27" s="19"/>
      <c r="HWE27" s="19"/>
      <c r="HWF27" s="19"/>
      <c r="HWG27" s="19"/>
      <c r="HWH27" s="19"/>
      <c r="HWI27" s="19"/>
      <c r="HWJ27" s="19"/>
      <c r="HWK27" s="19"/>
      <c r="HWL27" s="19"/>
      <c r="HWM27" s="19"/>
      <c r="HWN27" s="19"/>
      <c r="HWO27" s="19"/>
      <c r="HWP27" s="19"/>
      <c r="HWQ27" s="19"/>
      <c r="HWR27" s="19"/>
      <c r="HWS27" s="19"/>
      <c r="HWT27" s="19"/>
      <c r="HWU27" s="19"/>
      <c r="HWV27" s="19"/>
      <c r="HWW27" s="19"/>
      <c r="HWX27" s="19"/>
      <c r="HWY27" s="19"/>
      <c r="HWZ27" s="19"/>
      <c r="HXA27" s="19"/>
      <c r="HXB27" s="19"/>
      <c r="HXC27" s="19"/>
      <c r="HXD27" s="19"/>
      <c r="HXE27" s="19"/>
      <c r="HXF27" s="19"/>
      <c r="HXG27" s="19"/>
      <c r="HXH27" s="19"/>
      <c r="HXI27" s="19"/>
      <c r="HXJ27" s="19"/>
      <c r="HXK27" s="19"/>
      <c r="HXL27" s="19"/>
      <c r="HXM27" s="19"/>
      <c r="HXN27" s="19"/>
      <c r="HXO27" s="19"/>
      <c r="HXP27" s="19"/>
      <c r="HXQ27" s="19"/>
      <c r="HXR27" s="19"/>
      <c r="HXS27" s="19"/>
      <c r="HXT27" s="19"/>
      <c r="HXU27" s="19"/>
      <c r="HXV27" s="19"/>
      <c r="HXW27" s="19"/>
      <c r="HXX27" s="19"/>
      <c r="HXY27" s="19"/>
      <c r="HXZ27" s="19"/>
      <c r="HYA27" s="19"/>
      <c r="HYB27" s="19"/>
      <c r="HYC27" s="19"/>
      <c r="HYD27" s="19"/>
      <c r="HYE27" s="19"/>
      <c r="HYF27" s="19"/>
      <c r="HYG27" s="19"/>
      <c r="HYH27" s="19"/>
      <c r="HYI27" s="19"/>
      <c r="HYJ27" s="19"/>
      <c r="HYK27" s="19"/>
      <c r="HYL27" s="19"/>
      <c r="HYM27" s="19"/>
      <c r="HYN27" s="19"/>
      <c r="HYO27" s="19"/>
      <c r="HYP27" s="19"/>
      <c r="HYQ27" s="19"/>
      <c r="HYR27" s="19"/>
      <c r="HYS27" s="19"/>
      <c r="HYT27" s="19"/>
      <c r="HYU27" s="19"/>
      <c r="HYV27" s="19"/>
      <c r="HYW27" s="19"/>
      <c r="HYX27" s="19"/>
      <c r="HYY27" s="19"/>
      <c r="HYZ27" s="19"/>
      <c r="HZA27" s="19"/>
      <c r="HZB27" s="19"/>
      <c r="HZC27" s="19"/>
      <c r="HZD27" s="19"/>
      <c r="HZE27" s="19"/>
      <c r="HZF27" s="19"/>
      <c r="HZG27" s="19"/>
      <c r="HZH27" s="19"/>
      <c r="HZI27" s="19"/>
      <c r="HZJ27" s="19"/>
      <c r="HZK27" s="19"/>
      <c r="HZL27" s="19"/>
      <c r="HZM27" s="19"/>
      <c r="HZN27" s="19"/>
      <c r="HZO27" s="19"/>
      <c r="HZP27" s="19"/>
      <c r="HZQ27" s="19"/>
      <c r="HZR27" s="19"/>
      <c r="HZS27" s="19"/>
      <c r="HZT27" s="19"/>
      <c r="HZU27" s="19"/>
      <c r="HZV27" s="19"/>
      <c r="HZW27" s="19"/>
      <c r="HZX27" s="19"/>
      <c r="HZY27" s="19"/>
      <c r="HZZ27" s="19"/>
      <c r="IAA27" s="19"/>
      <c r="IAB27" s="19"/>
      <c r="IAC27" s="19"/>
      <c r="IAD27" s="19"/>
      <c r="IAE27" s="19"/>
      <c r="IAF27" s="19"/>
      <c r="IAG27" s="19"/>
      <c r="IAH27" s="19"/>
      <c r="IAI27" s="19"/>
      <c r="IAJ27" s="19"/>
      <c r="IAK27" s="19"/>
      <c r="IAL27" s="19"/>
      <c r="IAM27" s="19"/>
      <c r="IAN27" s="19"/>
      <c r="IAO27" s="19"/>
      <c r="IAP27" s="19"/>
      <c r="IAQ27" s="19"/>
      <c r="IAR27" s="19"/>
      <c r="IAS27" s="19"/>
      <c r="IAT27" s="19"/>
      <c r="IAU27" s="19"/>
      <c r="IAV27" s="19"/>
      <c r="IAW27" s="19"/>
      <c r="IAX27" s="19"/>
      <c r="IAY27" s="19"/>
      <c r="IAZ27" s="19"/>
      <c r="IBA27" s="19"/>
      <c r="IBB27" s="19"/>
      <c r="IBC27" s="19"/>
      <c r="IBD27" s="19"/>
      <c r="IBE27" s="19"/>
      <c r="IBF27" s="19"/>
      <c r="IBG27" s="19"/>
      <c r="IBH27" s="19"/>
      <c r="IBI27" s="19"/>
      <c r="IBJ27" s="19"/>
      <c r="IBK27" s="19"/>
      <c r="IBL27" s="19"/>
      <c r="IBM27" s="19"/>
      <c r="IBN27" s="19"/>
      <c r="IBO27" s="19"/>
      <c r="IBP27" s="19"/>
      <c r="IBQ27" s="19"/>
      <c r="IBR27" s="19"/>
      <c r="IBS27" s="19"/>
      <c r="IBT27" s="19"/>
      <c r="IBU27" s="19"/>
      <c r="IBV27" s="19"/>
      <c r="IBW27" s="19"/>
      <c r="IBX27" s="19"/>
      <c r="IBY27" s="19"/>
      <c r="IBZ27" s="19"/>
      <c r="ICA27" s="19"/>
      <c r="ICB27" s="19"/>
      <c r="ICC27" s="19"/>
      <c r="ICD27" s="19"/>
      <c r="ICE27" s="19"/>
      <c r="ICF27" s="19"/>
      <c r="ICG27" s="19"/>
      <c r="ICH27" s="19"/>
      <c r="ICI27" s="19"/>
      <c r="ICJ27" s="19"/>
      <c r="ICK27" s="19"/>
      <c r="ICL27" s="19"/>
      <c r="ICM27" s="19"/>
      <c r="ICN27" s="19"/>
      <c r="ICO27" s="19"/>
      <c r="ICP27" s="19"/>
      <c r="ICQ27" s="19"/>
      <c r="ICR27" s="19"/>
      <c r="ICS27" s="19"/>
      <c r="ICT27" s="19"/>
      <c r="ICU27" s="19"/>
      <c r="ICV27" s="19"/>
      <c r="ICW27" s="19"/>
      <c r="ICX27" s="19"/>
      <c r="ICY27" s="19"/>
      <c r="ICZ27" s="19"/>
      <c r="IDA27" s="19"/>
      <c r="IDB27" s="19"/>
      <c r="IDC27" s="19"/>
      <c r="IDD27" s="19"/>
      <c r="IDE27" s="19"/>
      <c r="IDF27" s="19"/>
      <c r="IDG27" s="19"/>
      <c r="IDH27" s="19"/>
      <c r="IDI27" s="19"/>
      <c r="IDJ27" s="19"/>
      <c r="IDK27" s="19"/>
      <c r="IDL27" s="19"/>
      <c r="IDM27" s="19"/>
      <c r="IDN27" s="19"/>
      <c r="IDO27" s="19"/>
      <c r="IDP27" s="19"/>
      <c r="IDQ27" s="19"/>
      <c r="IDR27" s="19"/>
      <c r="IDS27" s="19"/>
      <c r="IDT27" s="19"/>
      <c r="IDU27" s="19"/>
      <c r="IDV27" s="19"/>
      <c r="IDW27" s="19"/>
      <c r="IDX27" s="19"/>
      <c r="IDY27" s="19"/>
      <c r="IDZ27" s="19"/>
      <c r="IEA27" s="19"/>
      <c r="IEB27" s="19"/>
      <c r="IEC27" s="19"/>
      <c r="IED27" s="19"/>
      <c r="IEE27" s="19"/>
      <c r="IEF27" s="19"/>
      <c r="IEG27" s="19"/>
      <c r="IEH27" s="19"/>
      <c r="IEI27" s="19"/>
      <c r="IEJ27" s="19"/>
      <c r="IEK27" s="19"/>
      <c r="IEL27" s="19"/>
      <c r="IEM27" s="19"/>
      <c r="IEN27" s="19"/>
      <c r="IEO27" s="19"/>
      <c r="IEP27" s="19"/>
      <c r="IEQ27" s="19"/>
      <c r="IER27" s="19"/>
      <c r="IES27" s="19"/>
      <c r="IET27" s="19"/>
      <c r="IEU27" s="19"/>
      <c r="IEV27" s="19"/>
      <c r="IEW27" s="19"/>
      <c r="IEX27" s="19"/>
      <c r="IEY27" s="19"/>
      <c r="IEZ27" s="19"/>
      <c r="IFA27" s="19"/>
      <c r="IFB27" s="19"/>
      <c r="IFC27" s="19"/>
      <c r="IFD27" s="19"/>
      <c r="IFE27" s="19"/>
      <c r="IFF27" s="19"/>
      <c r="IFG27" s="19"/>
      <c r="IFH27" s="19"/>
      <c r="IFI27" s="19"/>
      <c r="IFJ27" s="19"/>
      <c r="IFK27" s="19"/>
      <c r="IFL27" s="19"/>
      <c r="IFM27" s="19"/>
      <c r="IFN27" s="19"/>
      <c r="IFO27" s="19"/>
      <c r="IFP27" s="19"/>
      <c r="IFQ27" s="19"/>
      <c r="IFR27" s="19"/>
      <c r="IFS27" s="19"/>
      <c r="IFT27" s="19"/>
      <c r="IFU27" s="19"/>
      <c r="IFV27" s="19"/>
      <c r="IFW27" s="19"/>
      <c r="IFX27" s="19"/>
      <c r="IFY27" s="19"/>
      <c r="IFZ27" s="19"/>
      <c r="IGA27" s="19"/>
      <c r="IGB27" s="19"/>
      <c r="IGC27" s="19"/>
      <c r="IGD27" s="19"/>
      <c r="IGE27" s="19"/>
      <c r="IGF27" s="19"/>
      <c r="IGG27" s="19"/>
      <c r="IGH27" s="19"/>
      <c r="IGI27" s="19"/>
      <c r="IGJ27" s="19"/>
      <c r="IGK27" s="19"/>
      <c r="IGL27" s="19"/>
      <c r="IGM27" s="19"/>
      <c r="IGN27" s="19"/>
      <c r="IGO27" s="19"/>
      <c r="IGP27" s="19"/>
      <c r="IGQ27" s="19"/>
      <c r="IGR27" s="19"/>
      <c r="IGS27" s="19"/>
      <c r="IGT27" s="19"/>
      <c r="IGU27" s="19"/>
      <c r="IGV27" s="19"/>
      <c r="IGW27" s="19"/>
      <c r="IGX27" s="19"/>
      <c r="IGY27" s="19"/>
      <c r="IGZ27" s="19"/>
      <c r="IHA27" s="19"/>
      <c r="IHB27" s="19"/>
      <c r="IHC27" s="19"/>
      <c r="IHD27" s="19"/>
      <c r="IHE27" s="19"/>
      <c r="IHF27" s="19"/>
      <c r="IHG27" s="19"/>
      <c r="IHH27" s="19"/>
      <c r="IHI27" s="19"/>
      <c r="IHJ27" s="19"/>
      <c r="IHK27" s="19"/>
      <c r="IHL27" s="19"/>
      <c r="IHM27" s="19"/>
      <c r="IHN27" s="19"/>
      <c r="IHO27" s="19"/>
      <c r="IHP27" s="19"/>
      <c r="IHQ27" s="19"/>
      <c r="IHR27" s="19"/>
      <c r="IHS27" s="19"/>
      <c r="IHT27" s="19"/>
      <c r="IHU27" s="19"/>
      <c r="IHV27" s="19"/>
      <c r="IHW27" s="19"/>
      <c r="IHX27" s="19"/>
      <c r="IHY27" s="19"/>
      <c r="IHZ27" s="19"/>
      <c r="IIA27" s="19"/>
      <c r="IIB27" s="19"/>
      <c r="IIC27" s="19"/>
      <c r="IID27" s="19"/>
      <c r="IIE27" s="19"/>
      <c r="IIF27" s="19"/>
      <c r="IIG27" s="19"/>
      <c r="IIH27" s="19"/>
      <c r="III27" s="19"/>
      <c r="IIJ27" s="19"/>
      <c r="IIK27" s="19"/>
      <c r="IIL27" s="19"/>
      <c r="IIM27" s="19"/>
      <c r="IIN27" s="19"/>
      <c r="IIO27" s="19"/>
      <c r="IIP27" s="19"/>
      <c r="IIQ27" s="19"/>
      <c r="IIR27" s="19"/>
      <c r="IIS27" s="19"/>
      <c r="IIT27" s="19"/>
      <c r="IIU27" s="19"/>
      <c r="IIV27" s="19"/>
      <c r="IIW27" s="19"/>
      <c r="IIX27" s="19"/>
      <c r="IIY27" s="19"/>
      <c r="IIZ27" s="19"/>
      <c r="IJA27" s="19"/>
      <c r="IJB27" s="19"/>
      <c r="IJC27" s="19"/>
      <c r="IJD27" s="19"/>
      <c r="IJE27" s="19"/>
      <c r="IJF27" s="19"/>
      <c r="IJG27" s="19"/>
      <c r="IJH27" s="19"/>
      <c r="IJI27" s="19"/>
      <c r="IJJ27" s="19"/>
      <c r="IJK27" s="19"/>
      <c r="IJL27" s="19"/>
      <c r="IJM27" s="19"/>
      <c r="IJN27" s="19"/>
      <c r="IJO27" s="19"/>
      <c r="IJP27" s="19"/>
      <c r="IJQ27" s="19"/>
      <c r="IJR27" s="19"/>
      <c r="IJS27" s="19"/>
      <c r="IJT27" s="19"/>
      <c r="IJU27" s="19"/>
      <c r="IJV27" s="19"/>
      <c r="IJW27" s="19"/>
      <c r="IJX27" s="19"/>
      <c r="IJY27" s="19"/>
      <c r="IJZ27" s="19"/>
      <c r="IKA27" s="19"/>
      <c r="IKB27" s="19"/>
      <c r="IKC27" s="19"/>
      <c r="IKD27" s="19"/>
      <c r="IKE27" s="19"/>
      <c r="IKF27" s="19"/>
      <c r="IKG27" s="19"/>
      <c r="IKH27" s="19"/>
      <c r="IKI27" s="19"/>
      <c r="IKJ27" s="19"/>
      <c r="IKK27" s="19"/>
      <c r="IKL27" s="19"/>
      <c r="IKM27" s="19"/>
      <c r="IKN27" s="19"/>
      <c r="IKO27" s="19"/>
      <c r="IKP27" s="19"/>
      <c r="IKQ27" s="19"/>
      <c r="IKR27" s="19"/>
      <c r="IKS27" s="19"/>
      <c r="IKT27" s="19"/>
      <c r="IKU27" s="19"/>
      <c r="IKV27" s="19"/>
      <c r="IKW27" s="19"/>
      <c r="IKX27" s="19"/>
      <c r="IKY27" s="19"/>
      <c r="IKZ27" s="19"/>
      <c r="ILA27" s="19"/>
      <c r="ILB27" s="19"/>
      <c r="ILC27" s="19"/>
      <c r="ILD27" s="19"/>
      <c r="ILE27" s="19"/>
      <c r="ILF27" s="19"/>
      <c r="ILG27" s="19"/>
      <c r="ILH27" s="19"/>
      <c r="ILI27" s="19"/>
      <c r="ILJ27" s="19"/>
      <c r="ILK27" s="19"/>
      <c r="ILL27" s="19"/>
      <c r="ILM27" s="19"/>
      <c r="ILN27" s="19"/>
      <c r="ILO27" s="19"/>
      <c r="ILP27" s="19"/>
      <c r="ILQ27" s="19"/>
      <c r="ILR27" s="19"/>
      <c r="ILS27" s="19"/>
      <c r="ILT27" s="19"/>
      <c r="ILU27" s="19"/>
      <c r="ILV27" s="19"/>
      <c r="ILW27" s="19"/>
      <c r="ILX27" s="19"/>
      <c r="ILY27" s="19"/>
      <c r="ILZ27" s="19"/>
      <c r="IMA27" s="19"/>
      <c r="IMB27" s="19"/>
      <c r="IMC27" s="19"/>
      <c r="IMD27" s="19"/>
      <c r="IME27" s="19"/>
      <c r="IMF27" s="19"/>
      <c r="IMG27" s="19"/>
      <c r="IMH27" s="19"/>
      <c r="IMI27" s="19"/>
      <c r="IMJ27" s="19"/>
      <c r="IMK27" s="19"/>
      <c r="IML27" s="19"/>
      <c r="IMM27" s="19"/>
      <c r="IMN27" s="19"/>
      <c r="IMO27" s="19"/>
      <c r="IMP27" s="19"/>
      <c r="IMQ27" s="19"/>
      <c r="IMR27" s="19"/>
      <c r="IMS27" s="19"/>
      <c r="IMT27" s="19"/>
      <c r="IMU27" s="19"/>
      <c r="IMV27" s="19"/>
      <c r="IMW27" s="19"/>
      <c r="IMX27" s="19"/>
      <c r="IMY27" s="19"/>
      <c r="IMZ27" s="19"/>
      <c r="INA27" s="19"/>
      <c r="INB27" s="19"/>
      <c r="INC27" s="19"/>
      <c r="IND27" s="19"/>
      <c r="INE27" s="19"/>
      <c r="INF27" s="19"/>
      <c r="ING27" s="19"/>
      <c r="INH27" s="19"/>
      <c r="INI27" s="19"/>
      <c r="INJ27" s="19"/>
      <c r="INK27" s="19"/>
      <c r="INL27" s="19"/>
      <c r="INM27" s="19"/>
      <c r="INN27" s="19"/>
      <c r="INO27" s="19"/>
      <c r="INP27" s="19"/>
      <c r="INQ27" s="19"/>
      <c r="INR27" s="19"/>
      <c r="INS27" s="19"/>
      <c r="INT27" s="19"/>
      <c r="INU27" s="19"/>
      <c r="INV27" s="19"/>
      <c r="INW27" s="19"/>
      <c r="INX27" s="19"/>
      <c r="INY27" s="19"/>
      <c r="INZ27" s="19"/>
      <c r="IOA27" s="19"/>
      <c r="IOB27" s="19"/>
      <c r="IOC27" s="19"/>
      <c r="IOD27" s="19"/>
      <c r="IOE27" s="19"/>
      <c r="IOF27" s="19"/>
      <c r="IOG27" s="19"/>
      <c r="IOH27" s="19"/>
      <c r="IOI27" s="19"/>
      <c r="IOJ27" s="19"/>
      <c r="IOK27" s="19"/>
      <c r="IOL27" s="19"/>
      <c r="IOM27" s="19"/>
      <c r="ION27" s="19"/>
      <c r="IOO27" s="19"/>
      <c r="IOP27" s="19"/>
      <c r="IOQ27" s="19"/>
      <c r="IOR27" s="19"/>
      <c r="IOS27" s="19"/>
      <c r="IOT27" s="19"/>
      <c r="IOU27" s="19"/>
      <c r="IOV27" s="19"/>
      <c r="IOW27" s="19"/>
      <c r="IOX27" s="19"/>
      <c r="IOY27" s="19"/>
      <c r="IOZ27" s="19"/>
      <c r="IPA27" s="19"/>
      <c r="IPB27" s="19"/>
      <c r="IPC27" s="19"/>
      <c r="IPD27" s="19"/>
      <c r="IPE27" s="19"/>
      <c r="IPF27" s="19"/>
      <c r="IPG27" s="19"/>
      <c r="IPH27" s="19"/>
      <c r="IPI27" s="19"/>
      <c r="IPJ27" s="19"/>
      <c r="IPK27" s="19"/>
      <c r="IPL27" s="19"/>
      <c r="IPM27" s="19"/>
      <c r="IPN27" s="19"/>
      <c r="IPO27" s="19"/>
      <c r="IPP27" s="19"/>
      <c r="IPQ27" s="19"/>
      <c r="IPR27" s="19"/>
      <c r="IPS27" s="19"/>
      <c r="IPT27" s="19"/>
      <c r="IPU27" s="19"/>
      <c r="IPV27" s="19"/>
      <c r="IPW27" s="19"/>
      <c r="IPX27" s="19"/>
      <c r="IPY27" s="19"/>
      <c r="IPZ27" s="19"/>
      <c r="IQA27" s="19"/>
      <c r="IQB27" s="19"/>
      <c r="IQC27" s="19"/>
      <c r="IQD27" s="19"/>
      <c r="IQE27" s="19"/>
      <c r="IQF27" s="19"/>
      <c r="IQG27" s="19"/>
      <c r="IQH27" s="19"/>
      <c r="IQI27" s="19"/>
      <c r="IQJ27" s="19"/>
      <c r="IQK27" s="19"/>
      <c r="IQL27" s="19"/>
      <c r="IQM27" s="19"/>
      <c r="IQN27" s="19"/>
      <c r="IQO27" s="19"/>
      <c r="IQP27" s="19"/>
      <c r="IQQ27" s="19"/>
      <c r="IQR27" s="19"/>
      <c r="IQS27" s="19"/>
      <c r="IQT27" s="19"/>
      <c r="IQU27" s="19"/>
      <c r="IQV27" s="19"/>
      <c r="IQW27" s="19"/>
      <c r="IQX27" s="19"/>
      <c r="IQY27" s="19"/>
      <c r="IQZ27" s="19"/>
      <c r="IRA27" s="19"/>
      <c r="IRB27" s="19"/>
      <c r="IRC27" s="19"/>
      <c r="IRD27" s="19"/>
      <c r="IRE27" s="19"/>
      <c r="IRF27" s="19"/>
      <c r="IRG27" s="19"/>
      <c r="IRH27" s="19"/>
      <c r="IRI27" s="19"/>
      <c r="IRJ27" s="19"/>
      <c r="IRK27" s="19"/>
      <c r="IRL27" s="19"/>
      <c r="IRM27" s="19"/>
      <c r="IRN27" s="19"/>
      <c r="IRO27" s="19"/>
      <c r="IRP27" s="19"/>
      <c r="IRQ27" s="19"/>
      <c r="IRR27" s="19"/>
      <c r="IRS27" s="19"/>
      <c r="IRT27" s="19"/>
      <c r="IRU27" s="19"/>
      <c r="IRV27" s="19"/>
      <c r="IRW27" s="19"/>
      <c r="IRX27" s="19"/>
      <c r="IRY27" s="19"/>
      <c r="IRZ27" s="19"/>
      <c r="ISA27" s="19"/>
      <c r="ISB27" s="19"/>
      <c r="ISC27" s="19"/>
      <c r="ISD27" s="19"/>
      <c r="ISE27" s="19"/>
      <c r="ISF27" s="19"/>
      <c r="ISG27" s="19"/>
      <c r="ISH27" s="19"/>
      <c r="ISI27" s="19"/>
      <c r="ISJ27" s="19"/>
      <c r="ISK27" s="19"/>
      <c r="ISL27" s="19"/>
      <c r="ISM27" s="19"/>
      <c r="ISN27" s="19"/>
      <c r="ISO27" s="19"/>
      <c r="ISP27" s="19"/>
      <c r="ISQ27" s="19"/>
      <c r="ISR27" s="19"/>
      <c r="ISS27" s="19"/>
      <c r="IST27" s="19"/>
      <c r="ISU27" s="19"/>
      <c r="ISV27" s="19"/>
      <c r="ISW27" s="19"/>
      <c r="ISX27" s="19"/>
      <c r="ISY27" s="19"/>
      <c r="ISZ27" s="19"/>
      <c r="ITA27" s="19"/>
      <c r="ITB27" s="19"/>
      <c r="ITC27" s="19"/>
      <c r="ITD27" s="19"/>
      <c r="ITE27" s="19"/>
      <c r="ITF27" s="19"/>
      <c r="ITG27" s="19"/>
      <c r="ITH27" s="19"/>
      <c r="ITI27" s="19"/>
      <c r="ITJ27" s="19"/>
      <c r="ITK27" s="19"/>
      <c r="ITL27" s="19"/>
      <c r="ITM27" s="19"/>
      <c r="ITN27" s="19"/>
      <c r="ITO27" s="19"/>
      <c r="ITP27" s="19"/>
      <c r="ITQ27" s="19"/>
      <c r="ITR27" s="19"/>
      <c r="ITS27" s="19"/>
      <c r="ITT27" s="19"/>
      <c r="ITU27" s="19"/>
      <c r="ITV27" s="19"/>
      <c r="ITW27" s="19"/>
      <c r="ITX27" s="19"/>
      <c r="ITY27" s="19"/>
      <c r="ITZ27" s="19"/>
      <c r="IUA27" s="19"/>
      <c r="IUB27" s="19"/>
      <c r="IUC27" s="19"/>
      <c r="IUD27" s="19"/>
      <c r="IUE27" s="19"/>
      <c r="IUF27" s="19"/>
      <c r="IUG27" s="19"/>
      <c r="IUH27" s="19"/>
      <c r="IUI27" s="19"/>
      <c r="IUJ27" s="19"/>
      <c r="IUK27" s="19"/>
      <c r="IUL27" s="19"/>
      <c r="IUM27" s="19"/>
      <c r="IUN27" s="19"/>
      <c r="IUO27" s="19"/>
      <c r="IUP27" s="19"/>
      <c r="IUQ27" s="19"/>
      <c r="IUR27" s="19"/>
      <c r="IUS27" s="19"/>
      <c r="IUT27" s="19"/>
      <c r="IUU27" s="19"/>
      <c r="IUV27" s="19"/>
      <c r="IUW27" s="19"/>
      <c r="IUX27" s="19"/>
      <c r="IUY27" s="19"/>
      <c r="IUZ27" s="19"/>
      <c r="IVA27" s="19"/>
      <c r="IVB27" s="19"/>
      <c r="IVC27" s="19"/>
      <c r="IVD27" s="19"/>
      <c r="IVE27" s="19"/>
      <c r="IVF27" s="19"/>
      <c r="IVG27" s="19"/>
      <c r="IVH27" s="19"/>
      <c r="IVI27" s="19"/>
      <c r="IVJ27" s="19"/>
      <c r="IVK27" s="19"/>
      <c r="IVL27" s="19"/>
      <c r="IVM27" s="19"/>
      <c r="IVN27" s="19"/>
      <c r="IVO27" s="19"/>
      <c r="IVP27" s="19"/>
      <c r="IVQ27" s="19"/>
      <c r="IVR27" s="19"/>
      <c r="IVS27" s="19"/>
      <c r="IVT27" s="19"/>
      <c r="IVU27" s="19"/>
      <c r="IVV27" s="19"/>
      <c r="IVW27" s="19"/>
      <c r="IVX27" s="19"/>
      <c r="IVY27" s="19"/>
      <c r="IVZ27" s="19"/>
      <c r="IWA27" s="19"/>
      <c r="IWB27" s="19"/>
      <c r="IWC27" s="19"/>
      <c r="IWD27" s="19"/>
      <c r="IWE27" s="19"/>
      <c r="IWF27" s="19"/>
      <c r="IWG27" s="19"/>
      <c r="IWH27" s="19"/>
      <c r="IWI27" s="19"/>
      <c r="IWJ27" s="19"/>
      <c r="IWK27" s="19"/>
      <c r="IWL27" s="19"/>
      <c r="IWM27" s="19"/>
      <c r="IWN27" s="19"/>
      <c r="IWO27" s="19"/>
      <c r="IWP27" s="19"/>
      <c r="IWQ27" s="19"/>
      <c r="IWR27" s="19"/>
      <c r="IWS27" s="19"/>
      <c r="IWT27" s="19"/>
      <c r="IWU27" s="19"/>
      <c r="IWV27" s="19"/>
      <c r="IWW27" s="19"/>
      <c r="IWX27" s="19"/>
      <c r="IWY27" s="19"/>
      <c r="IWZ27" s="19"/>
      <c r="IXA27" s="19"/>
      <c r="IXB27" s="19"/>
      <c r="IXC27" s="19"/>
      <c r="IXD27" s="19"/>
      <c r="IXE27" s="19"/>
      <c r="IXF27" s="19"/>
      <c r="IXG27" s="19"/>
      <c r="IXH27" s="19"/>
      <c r="IXI27" s="19"/>
      <c r="IXJ27" s="19"/>
      <c r="IXK27" s="19"/>
      <c r="IXL27" s="19"/>
      <c r="IXM27" s="19"/>
      <c r="IXN27" s="19"/>
      <c r="IXO27" s="19"/>
      <c r="IXP27" s="19"/>
      <c r="IXQ27" s="19"/>
      <c r="IXR27" s="19"/>
      <c r="IXS27" s="19"/>
      <c r="IXT27" s="19"/>
      <c r="IXU27" s="19"/>
      <c r="IXV27" s="19"/>
      <c r="IXW27" s="19"/>
      <c r="IXX27" s="19"/>
      <c r="IXY27" s="19"/>
      <c r="IXZ27" s="19"/>
      <c r="IYA27" s="19"/>
      <c r="IYB27" s="19"/>
      <c r="IYC27" s="19"/>
      <c r="IYD27" s="19"/>
      <c r="IYE27" s="19"/>
      <c r="IYF27" s="19"/>
      <c r="IYG27" s="19"/>
      <c r="IYH27" s="19"/>
      <c r="IYI27" s="19"/>
      <c r="IYJ27" s="19"/>
      <c r="IYK27" s="19"/>
      <c r="IYL27" s="19"/>
      <c r="IYM27" s="19"/>
      <c r="IYN27" s="19"/>
      <c r="IYO27" s="19"/>
      <c r="IYP27" s="19"/>
      <c r="IYQ27" s="19"/>
      <c r="IYR27" s="19"/>
      <c r="IYS27" s="19"/>
      <c r="IYT27" s="19"/>
      <c r="IYU27" s="19"/>
      <c r="IYV27" s="19"/>
      <c r="IYW27" s="19"/>
      <c r="IYX27" s="19"/>
      <c r="IYY27" s="19"/>
      <c r="IYZ27" s="19"/>
      <c r="IZA27" s="19"/>
      <c r="IZB27" s="19"/>
      <c r="IZC27" s="19"/>
      <c r="IZD27" s="19"/>
      <c r="IZE27" s="19"/>
      <c r="IZF27" s="19"/>
      <c r="IZG27" s="19"/>
      <c r="IZH27" s="19"/>
      <c r="IZI27" s="19"/>
      <c r="IZJ27" s="19"/>
      <c r="IZK27" s="19"/>
      <c r="IZL27" s="19"/>
      <c r="IZM27" s="19"/>
      <c r="IZN27" s="19"/>
      <c r="IZO27" s="19"/>
      <c r="IZP27" s="19"/>
      <c r="IZQ27" s="19"/>
      <c r="IZR27" s="19"/>
      <c r="IZS27" s="19"/>
      <c r="IZT27" s="19"/>
      <c r="IZU27" s="19"/>
      <c r="IZV27" s="19"/>
      <c r="IZW27" s="19"/>
      <c r="IZX27" s="19"/>
      <c r="IZY27" s="19"/>
      <c r="IZZ27" s="19"/>
      <c r="JAA27" s="19"/>
      <c r="JAB27" s="19"/>
      <c r="JAC27" s="19"/>
      <c r="JAD27" s="19"/>
      <c r="JAE27" s="19"/>
      <c r="JAF27" s="19"/>
      <c r="JAG27" s="19"/>
      <c r="JAH27" s="19"/>
      <c r="JAI27" s="19"/>
      <c r="JAJ27" s="19"/>
      <c r="JAK27" s="19"/>
      <c r="JAL27" s="19"/>
      <c r="JAM27" s="19"/>
      <c r="JAN27" s="19"/>
      <c r="JAO27" s="19"/>
      <c r="JAP27" s="19"/>
      <c r="JAQ27" s="19"/>
      <c r="JAR27" s="19"/>
      <c r="JAS27" s="19"/>
      <c r="JAT27" s="19"/>
      <c r="JAU27" s="19"/>
      <c r="JAV27" s="19"/>
      <c r="JAW27" s="19"/>
      <c r="JAX27" s="19"/>
      <c r="JAY27" s="19"/>
      <c r="JAZ27" s="19"/>
      <c r="JBA27" s="19"/>
      <c r="JBB27" s="19"/>
      <c r="JBC27" s="19"/>
      <c r="JBD27" s="19"/>
      <c r="JBE27" s="19"/>
      <c r="JBF27" s="19"/>
      <c r="JBG27" s="19"/>
      <c r="JBH27" s="19"/>
      <c r="JBI27" s="19"/>
      <c r="JBJ27" s="19"/>
      <c r="JBK27" s="19"/>
      <c r="JBL27" s="19"/>
      <c r="JBM27" s="19"/>
      <c r="JBN27" s="19"/>
      <c r="JBO27" s="19"/>
      <c r="JBP27" s="19"/>
      <c r="JBQ27" s="19"/>
      <c r="JBR27" s="19"/>
      <c r="JBS27" s="19"/>
      <c r="JBT27" s="19"/>
      <c r="JBU27" s="19"/>
      <c r="JBV27" s="19"/>
      <c r="JBW27" s="19"/>
      <c r="JBX27" s="19"/>
      <c r="JBY27" s="19"/>
      <c r="JBZ27" s="19"/>
      <c r="JCA27" s="19"/>
      <c r="JCB27" s="19"/>
      <c r="JCC27" s="19"/>
      <c r="JCD27" s="19"/>
      <c r="JCE27" s="19"/>
      <c r="JCF27" s="19"/>
      <c r="JCG27" s="19"/>
      <c r="JCH27" s="19"/>
      <c r="JCI27" s="19"/>
      <c r="JCJ27" s="19"/>
      <c r="JCK27" s="19"/>
      <c r="JCL27" s="19"/>
      <c r="JCM27" s="19"/>
      <c r="JCN27" s="19"/>
      <c r="JCO27" s="19"/>
      <c r="JCP27" s="19"/>
      <c r="JCQ27" s="19"/>
      <c r="JCR27" s="19"/>
      <c r="JCS27" s="19"/>
      <c r="JCT27" s="19"/>
      <c r="JCU27" s="19"/>
      <c r="JCV27" s="19"/>
      <c r="JCW27" s="19"/>
      <c r="JCX27" s="19"/>
      <c r="JCY27" s="19"/>
      <c r="JCZ27" s="19"/>
      <c r="JDA27" s="19"/>
      <c r="JDB27" s="19"/>
      <c r="JDC27" s="19"/>
      <c r="JDD27" s="19"/>
      <c r="JDE27" s="19"/>
      <c r="JDF27" s="19"/>
      <c r="JDG27" s="19"/>
      <c r="JDH27" s="19"/>
      <c r="JDI27" s="19"/>
      <c r="JDJ27" s="19"/>
      <c r="JDK27" s="19"/>
      <c r="JDL27" s="19"/>
      <c r="JDM27" s="19"/>
      <c r="JDN27" s="19"/>
      <c r="JDO27" s="19"/>
      <c r="JDP27" s="19"/>
      <c r="JDQ27" s="19"/>
      <c r="JDR27" s="19"/>
      <c r="JDS27" s="19"/>
      <c r="JDT27" s="19"/>
      <c r="JDU27" s="19"/>
      <c r="JDV27" s="19"/>
      <c r="JDW27" s="19"/>
      <c r="JDX27" s="19"/>
      <c r="JDY27" s="19"/>
      <c r="JDZ27" s="19"/>
      <c r="JEA27" s="19"/>
      <c r="JEB27" s="19"/>
      <c r="JEC27" s="19"/>
      <c r="JED27" s="19"/>
      <c r="JEE27" s="19"/>
      <c r="JEF27" s="19"/>
      <c r="JEG27" s="19"/>
      <c r="JEH27" s="19"/>
      <c r="JEI27" s="19"/>
      <c r="JEJ27" s="19"/>
      <c r="JEK27" s="19"/>
      <c r="JEL27" s="19"/>
      <c r="JEM27" s="19"/>
      <c r="JEN27" s="19"/>
      <c r="JEO27" s="19"/>
      <c r="JEP27" s="19"/>
      <c r="JEQ27" s="19"/>
      <c r="JER27" s="19"/>
      <c r="JES27" s="19"/>
      <c r="JET27" s="19"/>
      <c r="JEU27" s="19"/>
      <c r="JEV27" s="19"/>
      <c r="JEW27" s="19"/>
      <c r="JEX27" s="19"/>
      <c r="JEY27" s="19"/>
      <c r="JEZ27" s="19"/>
      <c r="JFA27" s="19"/>
      <c r="JFB27" s="19"/>
      <c r="JFC27" s="19"/>
      <c r="JFD27" s="19"/>
      <c r="JFE27" s="19"/>
      <c r="JFF27" s="19"/>
      <c r="JFG27" s="19"/>
      <c r="JFH27" s="19"/>
      <c r="JFI27" s="19"/>
      <c r="JFJ27" s="19"/>
      <c r="JFK27" s="19"/>
      <c r="JFL27" s="19"/>
      <c r="JFM27" s="19"/>
      <c r="JFN27" s="19"/>
      <c r="JFO27" s="19"/>
      <c r="JFP27" s="19"/>
      <c r="JFQ27" s="19"/>
      <c r="JFR27" s="19"/>
      <c r="JFS27" s="19"/>
      <c r="JFT27" s="19"/>
      <c r="JFU27" s="19"/>
      <c r="JFV27" s="19"/>
      <c r="JFW27" s="19"/>
      <c r="JFX27" s="19"/>
      <c r="JFY27" s="19"/>
      <c r="JFZ27" s="19"/>
      <c r="JGA27" s="19"/>
      <c r="JGB27" s="19"/>
      <c r="JGC27" s="19"/>
      <c r="JGD27" s="19"/>
      <c r="JGE27" s="19"/>
      <c r="JGF27" s="19"/>
      <c r="JGG27" s="19"/>
      <c r="JGH27" s="19"/>
      <c r="JGI27" s="19"/>
      <c r="JGJ27" s="19"/>
      <c r="JGK27" s="19"/>
      <c r="JGL27" s="19"/>
      <c r="JGM27" s="19"/>
      <c r="JGN27" s="19"/>
      <c r="JGO27" s="19"/>
      <c r="JGP27" s="19"/>
      <c r="JGQ27" s="19"/>
      <c r="JGR27" s="19"/>
      <c r="JGS27" s="19"/>
      <c r="JGT27" s="19"/>
      <c r="JGU27" s="19"/>
      <c r="JGV27" s="19"/>
      <c r="JGW27" s="19"/>
      <c r="JGX27" s="19"/>
      <c r="JGY27" s="19"/>
      <c r="JGZ27" s="19"/>
      <c r="JHA27" s="19"/>
      <c r="JHB27" s="19"/>
      <c r="JHC27" s="19"/>
      <c r="JHD27" s="19"/>
      <c r="JHE27" s="19"/>
      <c r="JHF27" s="19"/>
      <c r="JHG27" s="19"/>
      <c r="JHH27" s="19"/>
      <c r="JHI27" s="19"/>
      <c r="JHJ27" s="19"/>
      <c r="JHK27" s="19"/>
      <c r="JHL27" s="19"/>
      <c r="JHM27" s="19"/>
      <c r="JHN27" s="19"/>
      <c r="JHO27" s="19"/>
      <c r="JHP27" s="19"/>
      <c r="JHQ27" s="19"/>
      <c r="JHR27" s="19"/>
      <c r="JHS27" s="19"/>
      <c r="JHT27" s="19"/>
      <c r="JHU27" s="19"/>
      <c r="JHV27" s="19"/>
      <c r="JHW27" s="19"/>
      <c r="JHX27" s="19"/>
      <c r="JHY27" s="19"/>
      <c r="JHZ27" s="19"/>
      <c r="JIA27" s="19"/>
      <c r="JIB27" s="19"/>
      <c r="JIC27" s="19"/>
      <c r="JID27" s="19"/>
      <c r="JIE27" s="19"/>
      <c r="JIF27" s="19"/>
      <c r="JIG27" s="19"/>
      <c r="JIH27" s="19"/>
      <c r="JII27" s="19"/>
      <c r="JIJ27" s="19"/>
      <c r="JIK27" s="19"/>
      <c r="JIL27" s="19"/>
      <c r="JIM27" s="19"/>
      <c r="JIN27" s="19"/>
      <c r="JIO27" s="19"/>
      <c r="JIP27" s="19"/>
      <c r="JIQ27" s="19"/>
      <c r="JIR27" s="19"/>
      <c r="JIS27" s="19"/>
      <c r="JIT27" s="19"/>
      <c r="JIU27" s="19"/>
      <c r="JIV27" s="19"/>
      <c r="JIW27" s="19"/>
      <c r="JIX27" s="19"/>
      <c r="JIY27" s="19"/>
      <c r="JIZ27" s="19"/>
      <c r="JJA27" s="19"/>
      <c r="JJB27" s="19"/>
      <c r="JJC27" s="19"/>
      <c r="JJD27" s="19"/>
      <c r="JJE27" s="19"/>
      <c r="JJF27" s="19"/>
      <c r="JJG27" s="19"/>
      <c r="JJH27" s="19"/>
      <c r="JJI27" s="19"/>
      <c r="JJJ27" s="19"/>
      <c r="JJK27" s="19"/>
      <c r="JJL27" s="19"/>
      <c r="JJM27" s="19"/>
      <c r="JJN27" s="19"/>
      <c r="JJO27" s="19"/>
      <c r="JJP27" s="19"/>
      <c r="JJQ27" s="19"/>
      <c r="JJR27" s="19"/>
      <c r="JJS27" s="19"/>
      <c r="JJT27" s="19"/>
      <c r="JJU27" s="19"/>
      <c r="JJV27" s="19"/>
      <c r="JJW27" s="19"/>
      <c r="JJX27" s="19"/>
      <c r="JJY27" s="19"/>
      <c r="JJZ27" s="19"/>
      <c r="JKA27" s="19"/>
      <c r="JKB27" s="19"/>
      <c r="JKC27" s="19"/>
      <c r="JKD27" s="19"/>
      <c r="JKE27" s="19"/>
      <c r="JKF27" s="19"/>
      <c r="JKG27" s="19"/>
      <c r="JKH27" s="19"/>
      <c r="JKI27" s="19"/>
      <c r="JKJ27" s="19"/>
      <c r="JKK27" s="19"/>
      <c r="JKL27" s="19"/>
      <c r="JKM27" s="19"/>
      <c r="JKN27" s="19"/>
      <c r="JKO27" s="19"/>
      <c r="JKP27" s="19"/>
      <c r="JKQ27" s="19"/>
      <c r="JKR27" s="19"/>
      <c r="JKS27" s="19"/>
      <c r="JKT27" s="19"/>
      <c r="JKU27" s="19"/>
      <c r="JKV27" s="19"/>
      <c r="JKW27" s="19"/>
      <c r="JKX27" s="19"/>
      <c r="JKY27" s="19"/>
      <c r="JKZ27" s="19"/>
      <c r="JLA27" s="19"/>
      <c r="JLB27" s="19"/>
      <c r="JLC27" s="19"/>
      <c r="JLD27" s="19"/>
      <c r="JLE27" s="19"/>
      <c r="JLF27" s="19"/>
      <c r="JLG27" s="19"/>
      <c r="JLH27" s="19"/>
      <c r="JLI27" s="19"/>
      <c r="JLJ27" s="19"/>
      <c r="JLK27" s="19"/>
      <c r="JLL27" s="19"/>
      <c r="JLM27" s="19"/>
      <c r="JLN27" s="19"/>
      <c r="JLO27" s="19"/>
      <c r="JLP27" s="19"/>
      <c r="JLQ27" s="19"/>
      <c r="JLR27" s="19"/>
      <c r="JLS27" s="19"/>
      <c r="JLT27" s="19"/>
      <c r="JLU27" s="19"/>
      <c r="JLV27" s="19"/>
      <c r="JLW27" s="19"/>
      <c r="JLX27" s="19"/>
      <c r="JLY27" s="19"/>
      <c r="JLZ27" s="19"/>
      <c r="JMA27" s="19"/>
      <c r="JMB27" s="19"/>
      <c r="JMC27" s="19"/>
      <c r="JMD27" s="19"/>
      <c r="JME27" s="19"/>
      <c r="JMF27" s="19"/>
      <c r="JMG27" s="19"/>
      <c r="JMH27" s="19"/>
      <c r="JMI27" s="19"/>
      <c r="JMJ27" s="19"/>
      <c r="JMK27" s="19"/>
      <c r="JML27" s="19"/>
      <c r="JMM27" s="19"/>
      <c r="JMN27" s="19"/>
      <c r="JMO27" s="19"/>
      <c r="JMP27" s="19"/>
      <c r="JMQ27" s="19"/>
      <c r="JMR27" s="19"/>
      <c r="JMS27" s="19"/>
      <c r="JMT27" s="19"/>
      <c r="JMU27" s="19"/>
      <c r="JMV27" s="19"/>
      <c r="JMW27" s="19"/>
      <c r="JMX27" s="19"/>
      <c r="JMY27" s="19"/>
      <c r="JMZ27" s="19"/>
      <c r="JNA27" s="19"/>
      <c r="JNB27" s="19"/>
      <c r="JNC27" s="19"/>
      <c r="JND27" s="19"/>
      <c r="JNE27" s="19"/>
      <c r="JNF27" s="19"/>
      <c r="JNG27" s="19"/>
      <c r="JNH27" s="19"/>
      <c r="JNI27" s="19"/>
      <c r="JNJ27" s="19"/>
      <c r="JNK27" s="19"/>
      <c r="JNL27" s="19"/>
      <c r="JNM27" s="19"/>
      <c r="JNN27" s="19"/>
      <c r="JNO27" s="19"/>
      <c r="JNP27" s="19"/>
      <c r="JNQ27" s="19"/>
      <c r="JNR27" s="19"/>
      <c r="JNS27" s="19"/>
      <c r="JNT27" s="19"/>
      <c r="JNU27" s="19"/>
      <c r="JNV27" s="19"/>
      <c r="JNW27" s="19"/>
      <c r="JNX27" s="19"/>
      <c r="JNY27" s="19"/>
      <c r="JNZ27" s="19"/>
      <c r="JOA27" s="19"/>
      <c r="JOB27" s="19"/>
      <c r="JOC27" s="19"/>
      <c r="JOD27" s="19"/>
      <c r="JOE27" s="19"/>
      <c r="JOF27" s="19"/>
      <c r="JOG27" s="19"/>
      <c r="JOH27" s="19"/>
      <c r="JOI27" s="19"/>
      <c r="JOJ27" s="19"/>
      <c r="JOK27" s="19"/>
      <c r="JOL27" s="19"/>
      <c r="JOM27" s="19"/>
      <c r="JON27" s="19"/>
      <c r="JOO27" s="19"/>
      <c r="JOP27" s="19"/>
      <c r="JOQ27" s="19"/>
      <c r="JOR27" s="19"/>
      <c r="JOS27" s="19"/>
      <c r="JOT27" s="19"/>
      <c r="JOU27" s="19"/>
      <c r="JOV27" s="19"/>
      <c r="JOW27" s="19"/>
      <c r="JOX27" s="19"/>
      <c r="JOY27" s="19"/>
      <c r="JOZ27" s="19"/>
      <c r="JPA27" s="19"/>
      <c r="JPB27" s="19"/>
      <c r="JPC27" s="19"/>
      <c r="JPD27" s="19"/>
      <c r="JPE27" s="19"/>
      <c r="JPF27" s="19"/>
      <c r="JPG27" s="19"/>
      <c r="JPH27" s="19"/>
      <c r="JPI27" s="19"/>
      <c r="JPJ27" s="19"/>
      <c r="JPK27" s="19"/>
      <c r="JPL27" s="19"/>
      <c r="JPM27" s="19"/>
      <c r="JPN27" s="19"/>
      <c r="JPO27" s="19"/>
      <c r="JPP27" s="19"/>
      <c r="JPQ27" s="19"/>
      <c r="JPR27" s="19"/>
      <c r="JPS27" s="19"/>
      <c r="JPT27" s="19"/>
      <c r="JPU27" s="19"/>
      <c r="JPV27" s="19"/>
      <c r="JPW27" s="19"/>
      <c r="JPX27" s="19"/>
      <c r="JPY27" s="19"/>
      <c r="JPZ27" s="19"/>
      <c r="JQA27" s="19"/>
      <c r="JQB27" s="19"/>
      <c r="JQC27" s="19"/>
      <c r="JQD27" s="19"/>
      <c r="JQE27" s="19"/>
      <c r="JQF27" s="19"/>
      <c r="JQG27" s="19"/>
      <c r="JQH27" s="19"/>
      <c r="JQI27" s="19"/>
      <c r="JQJ27" s="19"/>
      <c r="JQK27" s="19"/>
      <c r="JQL27" s="19"/>
      <c r="JQM27" s="19"/>
      <c r="JQN27" s="19"/>
      <c r="JQO27" s="19"/>
      <c r="JQP27" s="19"/>
      <c r="JQQ27" s="19"/>
      <c r="JQR27" s="19"/>
      <c r="JQS27" s="19"/>
      <c r="JQT27" s="19"/>
      <c r="JQU27" s="19"/>
      <c r="JQV27" s="19"/>
      <c r="JQW27" s="19"/>
      <c r="JQX27" s="19"/>
      <c r="JQY27" s="19"/>
      <c r="JQZ27" s="19"/>
      <c r="JRA27" s="19"/>
      <c r="JRB27" s="19"/>
      <c r="JRC27" s="19"/>
      <c r="JRD27" s="19"/>
      <c r="JRE27" s="19"/>
      <c r="JRF27" s="19"/>
      <c r="JRG27" s="19"/>
      <c r="JRH27" s="19"/>
      <c r="JRI27" s="19"/>
      <c r="JRJ27" s="19"/>
      <c r="JRK27" s="19"/>
      <c r="JRL27" s="19"/>
      <c r="JRM27" s="19"/>
      <c r="JRN27" s="19"/>
      <c r="JRO27" s="19"/>
      <c r="JRP27" s="19"/>
      <c r="JRQ27" s="19"/>
      <c r="JRR27" s="19"/>
      <c r="JRS27" s="19"/>
      <c r="JRT27" s="19"/>
      <c r="JRU27" s="19"/>
      <c r="JRV27" s="19"/>
      <c r="JRW27" s="19"/>
      <c r="JRX27" s="19"/>
      <c r="JRY27" s="19"/>
      <c r="JRZ27" s="19"/>
      <c r="JSA27" s="19"/>
      <c r="JSB27" s="19"/>
      <c r="JSC27" s="19"/>
      <c r="JSD27" s="19"/>
      <c r="JSE27" s="19"/>
      <c r="JSF27" s="19"/>
      <c r="JSG27" s="19"/>
      <c r="JSH27" s="19"/>
      <c r="JSI27" s="19"/>
      <c r="JSJ27" s="19"/>
      <c r="JSK27" s="19"/>
      <c r="JSL27" s="19"/>
      <c r="JSM27" s="19"/>
      <c r="JSN27" s="19"/>
      <c r="JSO27" s="19"/>
      <c r="JSP27" s="19"/>
      <c r="JSQ27" s="19"/>
      <c r="JSR27" s="19"/>
      <c r="JSS27" s="19"/>
      <c r="JST27" s="19"/>
      <c r="JSU27" s="19"/>
      <c r="JSV27" s="19"/>
      <c r="JSW27" s="19"/>
      <c r="JSX27" s="19"/>
      <c r="JSY27" s="19"/>
      <c r="JSZ27" s="19"/>
      <c r="JTA27" s="19"/>
      <c r="JTB27" s="19"/>
      <c r="JTC27" s="19"/>
      <c r="JTD27" s="19"/>
      <c r="JTE27" s="19"/>
      <c r="JTF27" s="19"/>
      <c r="JTG27" s="19"/>
      <c r="JTH27" s="19"/>
      <c r="JTI27" s="19"/>
      <c r="JTJ27" s="19"/>
      <c r="JTK27" s="19"/>
      <c r="JTL27" s="19"/>
      <c r="JTM27" s="19"/>
      <c r="JTN27" s="19"/>
      <c r="JTO27" s="19"/>
      <c r="JTP27" s="19"/>
      <c r="JTQ27" s="19"/>
      <c r="JTR27" s="19"/>
      <c r="JTS27" s="19"/>
      <c r="JTT27" s="19"/>
      <c r="JTU27" s="19"/>
      <c r="JTV27" s="19"/>
      <c r="JTW27" s="19"/>
      <c r="JTX27" s="19"/>
      <c r="JTY27" s="19"/>
      <c r="JTZ27" s="19"/>
      <c r="JUA27" s="19"/>
      <c r="JUB27" s="19"/>
      <c r="JUC27" s="19"/>
      <c r="JUD27" s="19"/>
      <c r="JUE27" s="19"/>
      <c r="JUF27" s="19"/>
      <c r="JUG27" s="19"/>
      <c r="JUH27" s="19"/>
      <c r="JUI27" s="19"/>
      <c r="JUJ27" s="19"/>
      <c r="JUK27" s="19"/>
      <c r="JUL27" s="19"/>
      <c r="JUM27" s="19"/>
      <c r="JUN27" s="19"/>
      <c r="JUO27" s="19"/>
      <c r="JUP27" s="19"/>
      <c r="JUQ27" s="19"/>
      <c r="JUR27" s="19"/>
      <c r="JUS27" s="19"/>
      <c r="JUT27" s="19"/>
      <c r="JUU27" s="19"/>
      <c r="JUV27" s="19"/>
      <c r="JUW27" s="19"/>
      <c r="JUX27" s="19"/>
      <c r="JUY27" s="19"/>
      <c r="JUZ27" s="19"/>
      <c r="JVA27" s="19"/>
      <c r="JVB27" s="19"/>
      <c r="JVC27" s="19"/>
      <c r="JVD27" s="19"/>
      <c r="JVE27" s="19"/>
      <c r="JVF27" s="19"/>
      <c r="JVG27" s="19"/>
      <c r="JVH27" s="19"/>
      <c r="JVI27" s="19"/>
      <c r="JVJ27" s="19"/>
      <c r="JVK27" s="19"/>
      <c r="JVL27" s="19"/>
      <c r="JVM27" s="19"/>
      <c r="JVN27" s="19"/>
      <c r="JVO27" s="19"/>
      <c r="JVP27" s="19"/>
      <c r="JVQ27" s="19"/>
      <c r="JVR27" s="19"/>
      <c r="JVS27" s="19"/>
      <c r="JVT27" s="19"/>
      <c r="JVU27" s="19"/>
      <c r="JVV27" s="19"/>
      <c r="JVW27" s="19"/>
      <c r="JVX27" s="19"/>
      <c r="JVY27" s="19"/>
      <c r="JVZ27" s="19"/>
      <c r="JWA27" s="19"/>
      <c r="JWB27" s="19"/>
      <c r="JWC27" s="19"/>
      <c r="JWD27" s="19"/>
      <c r="JWE27" s="19"/>
      <c r="JWF27" s="19"/>
      <c r="JWG27" s="19"/>
      <c r="JWH27" s="19"/>
      <c r="JWI27" s="19"/>
      <c r="JWJ27" s="19"/>
      <c r="JWK27" s="19"/>
      <c r="JWL27" s="19"/>
      <c r="JWM27" s="19"/>
      <c r="JWN27" s="19"/>
      <c r="JWO27" s="19"/>
      <c r="JWP27" s="19"/>
      <c r="JWQ27" s="19"/>
      <c r="JWR27" s="19"/>
      <c r="JWS27" s="19"/>
      <c r="JWT27" s="19"/>
      <c r="JWU27" s="19"/>
      <c r="JWV27" s="19"/>
      <c r="JWW27" s="19"/>
      <c r="JWX27" s="19"/>
      <c r="JWY27" s="19"/>
      <c r="JWZ27" s="19"/>
      <c r="JXA27" s="19"/>
      <c r="JXB27" s="19"/>
      <c r="JXC27" s="19"/>
      <c r="JXD27" s="19"/>
      <c r="JXE27" s="19"/>
      <c r="JXF27" s="19"/>
      <c r="JXG27" s="19"/>
      <c r="JXH27" s="19"/>
      <c r="JXI27" s="19"/>
      <c r="JXJ27" s="19"/>
      <c r="JXK27" s="19"/>
      <c r="JXL27" s="19"/>
      <c r="JXM27" s="19"/>
      <c r="JXN27" s="19"/>
      <c r="JXO27" s="19"/>
      <c r="JXP27" s="19"/>
      <c r="JXQ27" s="19"/>
      <c r="JXR27" s="19"/>
      <c r="JXS27" s="19"/>
      <c r="JXT27" s="19"/>
      <c r="JXU27" s="19"/>
      <c r="JXV27" s="19"/>
      <c r="JXW27" s="19"/>
      <c r="JXX27" s="19"/>
      <c r="JXY27" s="19"/>
      <c r="JXZ27" s="19"/>
      <c r="JYA27" s="19"/>
      <c r="JYB27" s="19"/>
      <c r="JYC27" s="19"/>
      <c r="JYD27" s="19"/>
      <c r="JYE27" s="19"/>
      <c r="JYF27" s="19"/>
      <c r="JYG27" s="19"/>
      <c r="JYH27" s="19"/>
      <c r="JYI27" s="19"/>
      <c r="JYJ27" s="19"/>
      <c r="JYK27" s="19"/>
      <c r="JYL27" s="19"/>
      <c r="JYM27" s="19"/>
      <c r="JYN27" s="19"/>
      <c r="JYO27" s="19"/>
      <c r="JYP27" s="19"/>
      <c r="JYQ27" s="19"/>
      <c r="JYR27" s="19"/>
      <c r="JYS27" s="19"/>
      <c r="JYT27" s="19"/>
      <c r="JYU27" s="19"/>
      <c r="JYV27" s="19"/>
      <c r="JYW27" s="19"/>
      <c r="JYX27" s="19"/>
      <c r="JYY27" s="19"/>
      <c r="JYZ27" s="19"/>
      <c r="JZA27" s="19"/>
      <c r="JZB27" s="19"/>
      <c r="JZC27" s="19"/>
      <c r="JZD27" s="19"/>
      <c r="JZE27" s="19"/>
      <c r="JZF27" s="19"/>
      <c r="JZG27" s="19"/>
      <c r="JZH27" s="19"/>
      <c r="JZI27" s="19"/>
      <c r="JZJ27" s="19"/>
      <c r="JZK27" s="19"/>
      <c r="JZL27" s="19"/>
      <c r="JZM27" s="19"/>
      <c r="JZN27" s="19"/>
      <c r="JZO27" s="19"/>
      <c r="JZP27" s="19"/>
      <c r="JZQ27" s="19"/>
      <c r="JZR27" s="19"/>
      <c r="JZS27" s="19"/>
      <c r="JZT27" s="19"/>
      <c r="JZU27" s="19"/>
      <c r="JZV27" s="19"/>
      <c r="JZW27" s="19"/>
      <c r="JZX27" s="19"/>
      <c r="JZY27" s="19"/>
      <c r="JZZ27" s="19"/>
      <c r="KAA27" s="19"/>
      <c r="KAB27" s="19"/>
      <c r="KAC27" s="19"/>
      <c r="KAD27" s="19"/>
      <c r="KAE27" s="19"/>
      <c r="KAF27" s="19"/>
      <c r="KAG27" s="19"/>
      <c r="KAH27" s="19"/>
      <c r="KAI27" s="19"/>
      <c r="KAJ27" s="19"/>
      <c r="KAK27" s="19"/>
      <c r="KAL27" s="19"/>
      <c r="KAM27" s="19"/>
      <c r="KAN27" s="19"/>
      <c r="KAO27" s="19"/>
      <c r="KAP27" s="19"/>
      <c r="KAQ27" s="19"/>
      <c r="KAR27" s="19"/>
      <c r="KAS27" s="19"/>
      <c r="KAT27" s="19"/>
      <c r="KAU27" s="19"/>
      <c r="KAV27" s="19"/>
      <c r="KAW27" s="19"/>
      <c r="KAX27" s="19"/>
      <c r="KAY27" s="19"/>
      <c r="KAZ27" s="19"/>
      <c r="KBA27" s="19"/>
      <c r="KBB27" s="19"/>
      <c r="KBC27" s="19"/>
      <c r="KBD27" s="19"/>
      <c r="KBE27" s="19"/>
      <c r="KBF27" s="19"/>
      <c r="KBG27" s="19"/>
      <c r="KBH27" s="19"/>
      <c r="KBI27" s="19"/>
      <c r="KBJ27" s="19"/>
      <c r="KBK27" s="19"/>
      <c r="KBL27" s="19"/>
      <c r="KBM27" s="19"/>
      <c r="KBN27" s="19"/>
      <c r="KBO27" s="19"/>
      <c r="KBP27" s="19"/>
      <c r="KBQ27" s="19"/>
      <c r="KBR27" s="19"/>
      <c r="KBS27" s="19"/>
      <c r="KBT27" s="19"/>
      <c r="KBU27" s="19"/>
      <c r="KBV27" s="19"/>
      <c r="KBW27" s="19"/>
      <c r="KBX27" s="19"/>
      <c r="KBY27" s="19"/>
      <c r="KBZ27" s="19"/>
      <c r="KCA27" s="19"/>
      <c r="KCB27" s="19"/>
      <c r="KCC27" s="19"/>
      <c r="KCD27" s="19"/>
      <c r="KCE27" s="19"/>
      <c r="KCF27" s="19"/>
      <c r="KCG27" s="19"/>
      <c r="KCH27" s="19"/>
      <c r="KCI27" s="19"/>
      <c r="KCJ27" s="19"/>
      <c r="KCK27" s="19"/>
      <c r="KCL27" s="19"/>
      <c r="KCM27" s="19"/>
      <c r="KCN27" s="19"/>
      <c r="KCO27" s="19"/>
      <c r="KCP27" s="19"/>
      <c r="KCQ27" s="19"/>
      <c r="KCR27" s="19"/>
      <c r="KCS27" s="19"/>
      <c r="KCT27" s="19"/>
      <c r="KCU27" s="19"/>
      <c r="KCV27" s="19"/>
      <c r="KCW27" s="19"/>
      <c r="KCX27" s="19"/>
      <c r="KCY27" s="19"/>
      <c r="KCZ27" s="19"/>
      <c r="KDA27" s="19"/>
      <c r="KDB27" s="19"/>
      <c r="KDC27" s="19"/>
      <c r="KDD27" s="19"/>
      <c r="KDE27" s="19"/>
      <c r="KDF27" s="19"/>
      <c r="KDG27" s="19"/>
      <c r="KDH27" s="19"/>
      <c r="KDI27" s="19"/>
      <c r="KDJ27" s="19"/>
      <c r="KDK27" s="19"/>
      <c r="KDL27" s="19"/>
      <c r="KDM27" s="19"/>
      <c r="KDN27" s="19"/>
      <c r="KDO27" s="19"/>
      <c r="KDP27" s="19"/>
      <c r="KDQ27" s="19"/>
      <c r="KDR27" s="19"/>
      <c r="KDS27" s="19"/>
      <c r="KDT27" s="19"/>
      <c r="KDU27" s="19"/>
      <c r="KDV27" s="19"/>
      <c r="KDW27" s="19"/>
      <c r="KDX27" s="19"/>
      <c r="KDY27" s="19"/>
      <c r="KDZ27" s="19"/>
      <c r="KEA27" s="19"/>
      <c r="KEB27" s="19"/>
      <c r="KEC27" s="19"/>
      <c r="KED27" s="19"/>
      <c r="KEE27" s="19"/>
      <c r="KEF27" s="19"/>
      <c r="KEG27" s="19"/>
      <c r="KEH27" s="19"/>
      <c r="KEI27" s="19"/>
      <c r="KEJ27" s="19"/>
      <c r="KEK27" s="19"/>
      <c r="KEL27" s="19"/>
      <c r="KEM27" s="19"/>
      <c r="KEN27" s="19"/>
      <c r="KEO27" s="19"/>
      <c r="KEP27" s="19"/>
      <c r="KEQ27" s="19"/>
      <c r="KER27" s="19"/>
      <c r="KES27" s="19"/>
      <c r="KET27" s="19"/>
      <c r="KEU27" s="19"/>
      <c r="KEV27" s="19"/>
      <c r="KEW27" s="19"/>
      <c r="KEX27" s="19"/>
      <c r="KEY27" s="19"/>
      <c r="KEZ27" s="19"/>
      <c r="KFA27" s="19"/>
      <c r="KFB27" s="19"/>
      <c r="KFC27" s="19"/>
      <c r="KFD27" s="19"/>
      <c r="KFE27" s="19"/>
      <c r="KFF27" s="19"/>
      <c r="KFG27" s="19"/>
      <c r="KFH27" s="19"/>
      <c r="KFI27" s="19"/>
      <c r="KFJ27" s="19"/>
      <c r="KFK27" s="19"/>
      <c r="KFL27" s="19"/>
      <c r="KFM27" s="19"/>
      <c r="KFN27" s="19"/>
      <c r="KFO27" s="19"/>
      <c r="KFP27" s="19"/>
      <c r="KFQ27" s="19"/>
      <c r="KFR27" s="19"/>
      <c r="KFS27" s="19"/>
      <c r="KFT27" s="19"/>
      <c r="KFU27" s="19"/>
      <c r="KFV27" s="19"/>
      <c r="KFW27" s="19"/>
      <c r="KFX27" s="19"/>
      <c r="KFY27" s="19"/>
      <c r="KFZ27" s="19"/>
      <c r="KGA27" s="19"/>
      <c r="KGB27" s="19"/>
      <c r="KGC27" s="19"/>
      <c r="KGD27" s="19"/>
      <c r="KGE27" s="19"/>
      <c r="KGF27" s="19"/>
      <c r="KGG27" s="19"/>
      <c r="KGH27" s="19"/>
      <c r="KGI27" s="19"/>
      <c r="KGJ27" s="19"/>
      <c r="KGK27" s="19"/>
      <c r="KGL27" s="19"/>
      <c r="KGM27" s="19"/>
      <c r="KGN27" s="19"/>
      <c r="KGO27" s="19"/>
      <c r="KGP27" s="19"/>
      <c r="KGQ27" s="19"/>
      <c r="KGR27" s="19"/>
      <c r="KGS27" s="19"/>
      <c r="KGT27" s="19"/>
      <c r="KGU27" s="19"/>
      <c r="KGV27" s="19"/>
      <c r="KGW27" s="19"/>
      <c r="KGX27" s="19"/>
      <c r="KGY27" s="19"/>
      <c r="KGZ27" s="19"/>
      <c r="KHA27" s="19"/>
      <c r="KHB27" s="19"/>
      <c r="KHC27" s="19"/>
      <c r="KHD27" s="19"/>
      <c r="KHE27" s="19"/>
      <c r="KHF27" s="19"/>
      <c r="KHG27" s="19"/>
      <c r="KHH27" s="19"/>
      <c r="KHI27" s="19"/>
      <c r="KHJ27" s="19"/>
      <c r="KHK27" s="19"/>
      <c r="KHL27" s="19"/>
      <c r="KHM27" s="19"/>
      <c r="KHN27" s="19"/>
      <c r="KHO27" s="19"/>
      <c r="KHP27" s="19"/>
      <c r="KHQ27" s="19"/>
      <c r="KHR27" s="19"/>
      <c r="KHS27" s="19"/>
      <c r="KHT27" s="19"/>
      <c r="KHU27" s="19"/>
      <c r="KHV27" s="19"/>
      <c r="KHW27" s="19"/>
      <c r="KHX27" s="19"/>
      <c r="KHY27" s="19"/>
      <c r="KHZ27" s="19"/>
      <c r="KIA27" s="19"/>
      <c r="KIB27" s="19"/>
      <c r="KIC27" s="19"/>
      <c r="KID27" s="19"/>
      <c r="KIE27" s="19"/>
      <c r="KIF27" s="19"/>
      <c r="KIG27" s="19"/>
      <c r="KIH27" s="19"/>
      <c r="KII27" s="19"/>
      <c r="KIJ27" s="19"/>
      <c r="KIK27" s="19"/>
      <c r="KIL27" s="19"/>
      <c r="KIM27" s="19"/>
      <c r="KIN27" s="19"/>
      <c r="KIO27" s="19"/>
      <c r="KIP27" s="19"/>
      <c r="KIQ27" s="19"/>
      <c r="KIR27" s="19"/>
      <c r="KIS27" s="19"/>
      <c r="KIT27" s="19"/>
      <c r="KIU27" s="19"/>
      <c r="KIV27" s="19"/>
      <c r="KIW27" s="19"/>
      <c r="KIX27" s="19"/>
      <c r="KIY27" s="19"/>
      <c r="KIZ27" s="19"/>
      <c r="KJA27" s="19"/>
      <c r="KJB27" s="19"/>
      <c r="KJC27" s="19"/>
      <c r="KJD27" s="19"/>
      <c r="KJE27" s="19"/>
      <c r="KJF27" s="19"/>
      <c r="KJG27" s="19"/>
      <c r="KJH27" s="19"/>
      <c r="KJI27" s="19"/>
      <c r="KJJ27" s="19"/>
      <c r="KJK27" s="19"/>
      <c r="KJL27" s="19"/>
      <c r="KJM27" s="19"/>
      <c r="KJN27" s="19"/>
      <c r="KJO27" s="19"/>
      <c r="KJP27" s="19"/>
      <c r="KJQ27" s="19"/>
      <c r="KJR27" s="19"/>
      <c r="KJS27" s="19"/>
      <c r="KJT27" s="19"/>
      <c r="KJU27" s="19"/>
      <c r="KJV27" s="19"/>
      <c r="KJW27" s="19"/>
      <c r="KJX27" s="19"/>
      <c r="KJY27" s="19"/>
      <c r="KJZ27" s="19"/>
      <c r="KKA27" s="19"/>
      <c r="KKB27" s="19"/>
      <c r="KKC27" s="19"/>
      <c r="KKD27" s="19"/>
      <c r="KKE27" s="19"/>
      <c r="KKF27" s="19"/>
      <c r="KKG27" s="19"/>
      <c r="KKH27" s="19"/>
      <c r="KKI27" s="19"/>
      <c r="KKJ27" s="19"/>
      <c r="KKK27" s="19"/>
      <c r="KKL27" s="19"/>
      <c r="KKM27" s="19"/>
      <c r="KKN27" s="19"/>
      <c r="KKO27" s="19"/>
      <c r="KKP27" s="19"/>
      <c r="KKQ27" s="19"/>
      <c r="KKR27" s="19"/>
      <c r="KKS27" s="19"/>
      <c r="KKT27" s="19"/>
      <c r="KKU27" s="19"/>
      <c r="KKV27" s="19"/>
      <c r="KKW27" s="19"/>
      <c r="KKX27" s="19"/>
      <c r="KKY27" s="19"/>
      <c r="KKZ27" s="19"/>
      <c r="KLA27" s="19"/>
      <c r="KLB27" s="19"/>
      <c r="KLC27" s="19"/>
      <c r="KLD27" s="19"/>
      <c r="KLE27" s="19"/>
      <c r="KLF27" s="19"/>
      <c r="KLG27" s="19"/>
      <c r="KLH27" s="19"/>
      <c r="KLI27" s="19"/>
      <c r="KLJ27" s="19"/>
      <c r="KLK27" s="19"/>
      <c r="KLL27" s="19"/>
      <c r="KLM27" s="19"/>
      <c r="KLN27" s="19"/>
      <c r="KLO27" s="19"/>
      <c r="KLP27" s="19"/>
      <c r="KLQ27" s="19"/>
      <c r="KLR27" s="19"/>
      <c r="KLS27" s="19"/>
      <c r="KLT27" s="19"/>
      <c r="KLU27" s="19"/>
      <c r="KLV27" s="19"/>
      <c r="KLW27" s="19"/>
      <c r="KLX27" s="19"/>
      <c r="KLY27" s="19"/>
      <c r="KLZ27" s="19"/>
      <c r="KMA27" s="19"/>
      <c r="KMB27" s="19"/>
      <c r="KMC27" s="19"/>
      <c r="KMD27" s="19"/>
      <c r="KME27" s="19"/>
      <c r="KMF27" s="19"/>
      <c r="KMG27" s="19"/>
      <c r="KMH27" s="19"/>
      <c r="KMI27" s="19"/>
      <c r="KMJ27" s="19"/>
      <c r="KMK27" s="19"/>
      <c r="KML27" s="19"/>
      <c r="KMM27" s="19"/>
      <c r="KMN27" s="19"/>
      <c r="KMO27" s="19"/>
      <c r="KMP27" s="19"/>
      <c r="KMQ27" s="19"/>
      <c r="KMR27" s="19"/>
      <c r="KMS27" s="19"/>
      <c r="KMT27" s="19"/>
      <c r="KMU27" s="19"/>
      <c r="KMV27" s="19"/>
      <c r="KMW27" s="19"/>
      <c r="KMX27" s="19"/>
      <c r="KMY27" s="19"/>
      <c r="KMZ27" s="19"/>
      <c r="KNA27" s="19"/>
      <c r="KNB27" s="19"/>
      <c r="KNC27" s="19"/>
      <c r="KND27" s="19"/>
      <c r="KNE27" s="19"/>
      <c r="KNF27" s="19"/>
      <c r="KNG27" s="19"/>
      <c r="KNH27" s="19"/>
      <c r="KNI27" s="19"/>
      <c r="KNJ27" s="19"/>
      <c r="KNK27" s="19"/>
      <c r="KNL27" s="19"/>
      <c r="KNM27" s="19"/>
      <c r="KNN27" s="19"/>
      <c r="KNO27" s="19"/>
      <c r="KNP27" s="19"/>
      <c r="KNQ27" s="19"/>
      <c r="KNR27" s="19"/>
      <c r="KNS27" s="19"/>
      <c r="KNT27" s="19"/>
      <c r="KNU27" s="19"/>
      <c r="KNV27" s="19"/>
      <c r="KNW27" s="19"/>
      <c r="KNX27" s="19"/>
      <c r="KNY27" s="19"/>
      <c r="KNZ27" s="19"/>
      <c r="KOA27" s="19"/>
      <c r="KOB27" s="19"/>
      <c r="KOC27" s="19"/>
      <c r="KOD27" s="19"/>
      <c r="KOE27" s="19"/>
      <c r="KOF27" s="19"/>
      <c r="KOG27" s="19"/>
      <c r="KOH27" s="19"/>
      <c r="KOI27" s="19"/>
      <c r="KOJ27" s="19"/>
      <c r="KOK27" s="19"/>
      <c r="KOL27" s="19"/>
      <c r="KOM27" s="19"/>
      <c r="KON27" s="19"/>
      <c r="KOO27" s="19"/>
      <c r="KOP27" s="19"/>
      <c r="KOQ27" s="19"/>
      <c r="KOR27" s="19"/>
      <c r="KOS27" s="19"/>
      <c r="KOT27" s="19"/>
      <c r="KOU27" s="19"/>
      <c r="KOV27" s="19"/>
      <c r="KOW27" s="19"/>
      <c r="KOX27" s="19"/>
      <c r="KOY27" s="19"/>
      <c r="KOZ27" s="19"/>
      <c r="KPA27" s="19"/>
      <c r="KPB27" s="19"/>
      <c r="KPC27" s="19"/>
      <c r="KPD27" s="19"/>
      <c r="KPE27" s="19"/>
      <c r="KPF27" s="19"/>
      <c r="KPG27" s="19"/>
      <c r="KPH27" s="19"/>
      <c r="KPI27" s="19"/>
      <c r="KPJ27" s="19"/>
      <c r="KPK27" s="19"/>
      <c r="KPL27" s="19"/>
      <c r="KPM27" s="19"/>
      <c r="KPN27" s="19"/>
      <c r="KPO27" s="19"/>
      <c r="KPP27" s="19"/>
      <c r="KPQ27" s="19"/>
      <c r="KPR27" s="19"/>
      <c r="KPS27" s="19"/>
      <c r="KPT27" s="19"/>
      <c r="KPU27" s="19"/>
      <c r="KPV27" s="19"/>
      <c r="KPW27" s="19"/>
      <c r="KPX27" s="19"/>
      <c r="KPY27" s="19"/>
      <c r="KPZ27" s="19"/>
      <c r="KQA27" s="19"/>
      <c r="KQB27" s="19"/>
      <c r="KQC27" s="19"/>
      <c r="KQD27" s="19"/>
      <c r="KQE27" s="19"/>
      <c r="KQF27" s="19"/>
      <c r="KQG27" s="19"/>
      <c r="KQH27" s="19"/>
      <c r="KQI27" s="19"/>
      <c r="KQJ27" s="19"/>
      <c r="KQK27" s="19"/>
      <c r="KQL27" s="19"/>
      <c r="KQM27" s="19"/>
      <c r="KQN27" s="19"/>
      <c r="KQO27" s="19"/>
      <c r="KQP27" s="19"/>
      <c r="KQQ27" s="19"/>
      <c r="KQR27" s="19"/>
      <c r="KQS27" s="19"/>
      <c r="KQT27" s="19"/>
      <c r="KQU27" s="19"/>
      <c r="KQV27" s="19"/>
      <c r="KQW27" s="19"/>
      <c r="KQX27" s="19"/>
      <c r="KQY27" s="19"/>
      <c r="KQZ27" s="19"/>
      <c r="KRA27" s="19"/>
      <c r="KRB27" s="19"/>
      <c r="KRC27" s="19"/>
      <c r="KRD27" s="19"/>
      <c r="KRE27" s="19"/>
      <c r="KRF27" s="19"/>
      <c r="KRG27" s="19"/>
      <c r="KRH27" s="19"/>
      <c r="KRI27" s="19"/>
      <c r="KRJ27" s="19"/>
      <c r="KRK27" s="19"/>
      <c r="KRL27" s="19"/>
      <c r="KRM27" s="19"/>
      <c r="KRN27" s="19"/>
      <c r="KRO27" s="19"/>
      <c r="KRP27" s="19"/>
      <c r="KRQ27" s="19"/>
      <c r="KRR27" s="19"/>
      <c r="KRS27" s="19"/>
      <c r="KRT27" s="19"/>
      <c r="KRU27" s="19"/>
      <c r="KRV27" s="19"/>
      <c r="KRW27" s="19"/>
      <c r="KRX27" s="19"/>
      <c r="KRY27" s="19"/>
      <c r="KRZ27" s="19"/>
      <c r="KSA27" s="19"/>
      <c r="KSB27" s="19"/>
      <c r="KSC27" s="19"/>
      <c r="KSD27" s="19"/>
      <c r="KSE27" s="19"/>
      <c r="KSF27" s="19"/>
      <c r="KSG27" s="19"/>
      <c r="KSH27" s="19"/>
      <c r="KSI27" s="19"/>
      <c r="KSJ27" s="19"/>
      <c r="KSK27" s="19"/>
      <c r="KSL27" s="19"/>
      <c r="KSM27" s="19"/>
      <c r="KSN27" s="19"/>
      <c r="KSO27" s="19"/>
      <c r="KSP27" s="19"/>
      <c r="KSQ27" s="19"/>
      <c r="KSR27" s="19"/>
      <c r="KSS27" s="19"/>
      <c r="KST27" s="19"/>
      <c r="KSU27" s="19"/>
      <c r="KSV27" s="19"/>
      <c r="KSW27" s="19"/>
      <c r="KSX27" s="19"/>
      <c r="KSY27" s="19"/>
      <c r="KSZ27" s="19"/>
      <c r="KTA27" s="19"/>
      <c r="KTB27" s="19"/>
      <c r="KTC27" s="19"/>
      <c r="KTD27" s="19"/>
      <c r="KTE27" s="19"/>
      <c r="KTF27" s="19"/>
      <c r="KTG27" s="19"/>
      <c r="KTH27" s="19"/>
      <c r="KTI27" s="19"/>
      <c r="KTJ27" s="19"/>
      <c r="KTK27" s="19"/>
      <c r="KTL27" s="19"/>
      <c r="KTM27" s="19"/>
      <c r="KTN27" s="19"/>
      <c r="KTO27" s="19"/>
      <c r="KTP27" s="19"/>
      <c r="KTQ27" s="19"/>
      <c r="KTR27" s="19"/>
      <c r="KTS27" s="19"/>
      <c r="KTT27" s="19"/>
      <c r="KTU27" s="19"/>
      <c r="KTV27" s="19"/>
      <c r="KTW27" s="19"/>
      <c r="KTX27" s="19"/>
      <c r="KTY27" s="19"/>
      <c r="KTZ27" s="19"/>
      <c r="KUA27" s="19"/>
      <c r="KUB27" s="19"/>
      <c r="KUC27" s="19"/>
      <c r="KUD27" s="19"/>
      <c r="KUE27" s="19"/>
      <c r="KUF27" s="19"/>
      <c r="KUG27" s="19"/>
      <c r="KUH27" s="19"/>
      <c r="KUI27" s="19"/>
      <c r="KUJ27" s="19"/>
      <c r="KUK27" s="19"/>
      <c r="KUL27" s="19"/>
      <c r="KUM27" s="19"/>
      <c r="KUN27" s="19"/>
      <c r="KUO27" s="19"/>
      <c r="KUP27" s="19"/>
      <c r="KUQ27" s="19"/>
      <c r="KUR27" s="19"/>
      <c r="KUS27" s="19"/>
      <c r="KUT27" s="19"/>
      <c r="KUU27" s="19"/>
      <c r="KUV27" s="19"/>
      <c r="KUW27" s="19"/>
      <c r="KUX27" s="19"/>
      <c r="KUY27" s="19"/>
      <c r="KUZ27" s="19"/>
      <c r="KVA27" s="19"/>
      <c r="KVB27" s="19"/>
      <c r="KVC27" s="19"/>
      <c r="KVD27" s="19"/>
      <c r="KVE27" s="19"/>
      <c r="KVF27" s="19"/>
      <c r="KVG27" s="19"/>
      <c r="KVH27" s="19"/>
      <c r="KVI27" s="19"/>
      <c r="KVJ27" s="19"/>
      <c r="KVK27" s="19"/>
      <c r="KVL27" s="19"/>
      <c r="KVM27" s="19"/>
      <c r="KVN27" s="19"/>
      <c r="KVO27" s="19"/>
      <c r="KVP27" s="19"/>
      <c r="KVQ27" s="19"/>
      <c r="KVR27" s="19"/>
      <c r="KVS27" s="19"/>
      <c r="KVT27" s="19"/>
      <c r="KVU27" s="19"/>
      <c r="KVV27" s="19"/>
      <c r="KVW27" s="19"/>
      <c r="KVX27" s="19"/>
      <c r="KVY27" s="19"/>
      <c r="KVZ27" s="19"/>
      <c r="KWA27" s="19"/>
      <c r="KWB27" s="19"/>
      <c r="KWC27" s="19"/>
      <c r="KWD27" s="19"/>
      <c r="KWE27" s="19"/>
      <c r="KWF27" s="19"/>
      <c r="KWG27" s="19"/>
      <c r="KWH27" s="19"/>
      <c r="KWI27" s="19"/>
      <c r="KWJ27" s="19"/>
      <c r="KWK27" s="19"/>
      <c r="KWL27" s="19"/>
      <c r="KWM27" s="19"/>
      <c r="KWN27" s="19"/>
      <c r="KWO27" s="19"/>
      <c r="KWP27" s="19"/>
      <c r="KWQ27" s="19"/>
      <c r="KWR27" s="19"/>
      <c r="KWS27" s="19"/>
      <c r="KWT27" s="19"/>
      <c r="KWU27" s="19"/>
      <c r="KWV27" s="19"/>
      <c r="KWW27" s="19"/>
      <c r="KWX27" s="19"/>
      <c r="KWY27" s="19"/>
      <c r="KWZ27" s="19"/>
      <c r="KXA27" s="19"/>
      <c r="KXB27" s="19"/>
      <c r="KXC27" s="19"/>
      <c r="KXD27" s="19"/>
      <c r="KXE27" s="19"/>
      <c r="KXF27" s="19"/>
      <c r="KXG27" s="19"/>
      <c r="KXH27" s="19"/>
      <c r="KXI27" s="19"/>
      <c r="KXJ27" s="19"/>
      <c r="KXK27" s="19"/>
      <c r="KXL27" s="19"/>
      <c r="KXM27" s="19"/>
      <c r="KXN27" s="19"/>
      <c r="KXO27" s="19"/>
      <c r="KXP27" s="19"/>
      <c r="KXQ27" s="19"/>
      <c r="KXR27" s="19"/>
      <c r="KXS27" s="19"/>
      <c r="KXT27" s="19"/>
      <c r="KXU27" s="19"/>
      <c r="KXV27" s="19"/>
      <c r="KXW27" s="19"/>
      <c r="KXX27" s="19"/>
      <c r="KXY27" s="19"/>
      <c r="KXZ27" s="19"/>
      <c r="KYA27" s="19"/>
      <c r="KYB27" s="19"/>
      <c r="KYC27" s="19"/>
      <c r="KYD27" s="19"/>
      <c r="KYE27" s="19"/>
      <c r="KYF27" s="19"/>
      <c r="KYG27" s="19"/>
      <c r="KYH27" s="19"/>
      <c r="KYI27" s="19"/>
      <c r="KYJ27" s="19"/>
      <c r="KYK27" s="19"/>
      <c r="KYL27" s="19"/>
      <c r="KYM27" s="19"/>
      <c r="KYN27" s="19"/>
      <c r="KYO27" s="19"/>
      <c r="KYP27" s="19"/>
      <c r="KYQ27" s="19"/>
      <c r="KYR27" s="19"/>
      <c r="KYS27" s="19"/>
      <c r="KYT27" s="19"/>
      <c r="KYU27" s="19"/>
      <c r="KYV27" s="19"/>
      <c r="KYW27" s="19"/>
      <c r="KYX27" s="19"/>
      <c r="KYY27" s="19"/>
      <c r="KYZ27" s="19"/>
      <c r="KZA27" s="19"/>
      <c r="KZB27" s="19"/>
      <c r="KZC27" s="19"/>
      <c r="KZD27" s="19"/>
      <c r="KZE27" s="19"/>
      <c r="KZF27" s="19"/>
      <c r="KZG27" s="19"/>
      <c r="KZH27" s="19"/>
      <c r="KZI27" s="19"/>
      <c r="KZJ27" s="19"/>
      <c r="KZK27" s="19"/>
      <c r="KZL27" s="19"/>
      <c r="KZM27" s="19"/>
      <c r="KZN27" s="19"/>
      <c r="KZO27" s="19"/>
      <c r="KZP27" s="19"/>
      <c r="KZQ27" s="19"/>
      <c r="KZR27" s="19"/>
      <c r="KZS27" s="19"/>
      <c r="KZT27" s="19"/>
      <c r="KZU27" s="19"/>
      <c r="KZV27" s="19"/>
      <c r="KZW27" s="19"/>
      <c r="KZX27" s="19"/>
      <c r="KZY27" s="19"/>
      <c r="KZZ27" s="19"/>
      <c r="LAA27" s="19"/>
      <c r="LAB27" s="19"/>
      <c r="LAC27" s="19"/>
      <c r="LAD27" s="19"/>
      <c r="LAE27" s="19"/>
      <c r="LAF27" s="19"/>
      <c r="LAG27" s="19"/>
      <c r="LAH27" s="19"/>
      <c r="LAI27" s="19"/>
      <c r="LAJ27" s="19"/>
      <c r="LAK27" s="19"/>
      <c r="LAL27" s="19"/>
      <c r="LAM27" s="19"/>
      <c r="LAN27" s="19"/>
      <c r="LAO27" s="19"/>
      <c r="LAP27" s="19"/>
      <c r="LAQ27" s="19"/>
      <c r="LAR27" s="19"/>
      <c r="LAS27" s="19"/>
      <c r="LAT27" s="19"/>
      <c r="LAU27" s="19"/>
      <c r="LAV27" s="19"/>
      <c r="LAW27" s="19"/>
      <c r="LAX27" s="19"/>
      <c r="LAY27" s="19"/>
      <c r="LAZ27" s="19"/>
      <c r="LBA27" s="19"/>
      <c r="LBB27" s="19"/>
      <c r="LBC27" s="19"/>
      <c r="LBD27" s="19"/>
      <c r="LBE27" s="19"/>
      <c r="LBF27" s="19"/>
      <c r="LBG27" s="19"/>
      <c r="LBH27" s="19"/>
      <c r="LBI27" s="19"/>
      <c r="LBJ27" s="19"/>
      <c r="LBK27" s="19"/>
      <c r="LBL27" s="19"/>
      <c r="LBM27" s="19"/>
      <c r="LBN27" s="19"/>
      <c r="LBO27" s="19"/>
      <c r="LBP27" s="19"/>
      <c r="LBQ27" s="19"/>
      <c r="LBR27" s="19"/>
      <c r="LBS27" s="19"/>
      <c r="LBT27" s="19"/>
      <c r="LBU27" s="19"/>
      <c r="LBV27" s="19"/>
      <c r="LBW27" s="19"/>
      <c r="LBX27" s="19"/>
      <c r="LBY27" s="19"/>
      <c r="LBZ27" s="19"/>
      <c r="LCA27" s="19"/>
      <c r="LCB27" s="19"/>
      <c r="LCC27" s="19"/>
      <c r="LCD27" s="19"/>
      <c r="LCE27" s="19"/>
      <c r="LCF27" s="19"/>
      <c r="LCG27" s="19"/>
      <c r="LCH27" s="19"/>
      <c r="LCI27" s="19"/>
      <c r="LCJ27" s="19"/>
      <c r="LCK27" s="19"/>
      <c r="LCL27" s="19"/>
      <c r="LCM27" s="19"/>
      <c r="LCN27" s="19"/>
      <c r="LCO27" s="19"/>
      <c r="LCP27" s="19"/>
      <c r="LCQ27" s="19"/>
      <c r="LCR27" s="19"/>
      <c r="LCS27" s="19"/>
      <c r="LCT27" s="19"/>
      <c r="LCU27" s="19"/>
      <c r="LCV27" s="19"/>
      <c r="LCW27" s="19"/>
      <c r="LCX27" s="19"/>
      <c r="LCY27" s="19"/>
      <c r="LCZ27" s="19"/>
      <c r="LDA27" s="19"/>
      <c r="LDB27" s="19"/>
      <c r="LDC27" s="19"/>
      <c r="LDD27" s="19"/>
      <c r="LDE27" s="19"/>
      <c r="LDF27" s="19"/>
      <c r="LDG27" s="19"/>
      <c r="LDH27" s="19"/>
      <c r="LDI27" s="19"/>
      <c r="LDJ27" s="19"/>
      <c r="LDK27" s="19"/>
      <c r="LDL27" s="19"/>
      <c r="LDM27" s="19"/>
      <c r="LDN27" s="19"/>
      <c r="LDO27" s="19"/>
      <c r="LDP27" s="19"/>
      <c r="LDQ27" s="19"/>
      <c r="LDR27" s="19"/>
      <c r="LDS27" s="19"/>
      <c r="LDT27" s="19"/>
      <c r="LDU27" s="19"/>
      <c r="LDV27" s="19"/>
      <c r="LDW27" s="19"/>
      <c r="LDX27" s="19"/>
      <c r="LDY27" s="19"/>
      <c r="LDZ27" s="19"/>
      <c r="LEA27" s="19"/>
      <c r="LEB27" s="19"/>
      <c r="LEC27" s="19"/>
      <c r="LED27" s="19"/>
      <c r="LEE27" s="19"/>
      <c r="LEF27" s="19"/>
      <c r="LEG27" s="19"/>
      <c r="LEH27" s="19"/>
      <c r="LEI27" s="19"/>
      <c r="LEJ27" s="19"/>
      <c r="LEK27" s="19"/>
      <c r="LEL27" s="19"/>
      <c r="LEM27" s="19"/>
      <c r="LEN27" s="19"/>
      <c r="LEO27" s="19"/>
      <c r="LEP27" s="19"/>
      <c r="LEQ27" s="19"/>
      <c r="LER27" s="19"/>
      <c r="LES27" s="19"/>
      <c r="LET27" s="19"/>
      <c r="LEU27" s="19"/>
      <c r="LEV27" s="19"/>
      <c r="LEW27" s="19"/>
      <c r="LEX27" s="19"/>
      <c r="LEY27" s="19"/>
      <c r="LEZ27" s="19"/>
      <c r="LFA27" s="19"/>
      <c r="LFB27" s="19"/>
      <c r="LFC27" s="19"/>
      <c r="LFD27" s="19"/>
      <c r="LFE27" s="19"/>
      <c r="LFF27" s="19"/>
      <c r="LFG27" s="19"/>
      <c r="LFH27" s="19"/>
      <c r="LFI27" s="19"/>
      <c r="LFJ27" s="19"/>
      <c r="LFK27" s="19"/>
      <c r="LFL27" s="19"/>
      <c r="LFM27" s="19"/>
      <c r="LFN27" s="19"/>
      <c r="LFO27" s="19"/>
      <c r="LFP27" s="19"/>
      <c r="LFQ27" s="19"/>
      <c r="LFR27" s="19"/>
      <c r="LFS27" s="19"/>
      <c r="LFT27" s="19"/>
      <c r="LFU27" s="19"/>
      <c r="LFV27" s="19"/>
      <c r="LFW27" s="19"/>
      <c r="LFX27" s="19"/>
      <c r="LFY27" s="19"/>
      <c r="LFZ27" s="19"/>
      <c r="LGA27" s="19"/>
      <c r="LGB27" s="19"/>
      <c r="LGC27" s="19"/>
      <c r="LGD27" s="19"/>
      <c r="LGE27" s="19"/>
      <c r="LGF27" s="19"/>
      <c r="LGG27" s="19"/>
      <c r="LGH27" s="19"/>
      <c r="LGI27" s="19"/>
      <c r="LGJ27" s="19"/>
      <c r="LGK27" s="19"/>
      <c r="LGL27" s="19"/>
      <c r="LGM27" s="19"/>
      <c r="LGN27" s="19"/>
      <c r="LGO27" s="19"/>
      <c r="LGP27" s="19"/>
      <c r="LGQ27" s="19"/>
      <c r="LGR27" s="19"/>
      <c r="LGS27" s="19"/>
      <c r="LGT27" s="19"/>
      <c r="LGU27" s="19"/>
      <c r="LGV27" s="19"/>
      <c r="LGW27" s="19"/>
      <c r="LGX27" s="19"/>
      <c r="LGY27" s="19"/>
      <c r="LGZ27" s="19"/>
      <c r="LHA27" s="19"/>
      <c r="LHB27" s="19"/>
      <c r="LHC27" s="19"/>
      <c r="LHD27" s="19"/>
      <c r="LHE27" s="19"/>
      <c r="LHF27" s="19"/>
      <c r="LHG27" s="19"/>
      <c r="LHH27" s="19"/>
      <c r="LHI27" s="19"/>
      <c r="LHJ27" s="19"/>
      <c r="LHK27" s="19"/>
      <c r="LHL27" s="19"/>
      <c r="LHM27" s="19"/>
      <c r="LHN27" s="19"/>
      <c r="LHO27" s="19"/>
      <c r="LHP27" s="19"/>
      <c r="LHQ27" s="19"/>
      <c r="LHR27" s="19"/>
      <c r="LHS27" s="19"/>
      <c r="LHT27" s="19"/>
      <c r="LHU27" s="19"/>
      <c r="LHV27" s="19"/>
      <c r="LHW27" s="19"/>
      <c r="LHX27" s="19"/>
      <c r="LHY27" s="19"/>
      <c r="LHZ27" s="19"/>
      <c r="LIA27" s="19"/>
      <c r="LIB27" s="19"/>
      <c r="LIC27" s="19"/>
      <c r="LID27" s="19"/>
      <c r="LIE27" s="19"/>
      <c r="LIF27" s="19"/>
      <c r="LIG27" s="19"/>
      <c r="LIH27" s="19"/>
      <c r="LII27" s="19"/>
      <c r="LIJ27" s="19"/>
      <c r="LIK27" s="19"/>
      <c r="LIL27" s="19"/>
      <c r="LIM27" s="19"/>
      <c r="LIN27" s="19"/>
      <c r="LIO27" s="19"/>
      <c r="LIP27" s="19"/>
      <c r="LIQ27" s="19"/>
      <c r="LIR27" s="19"/>
      <c r="LIS27" s="19"/>
      <c r="LIT27" s="19"/>
      <c r="LIU27" s="19"/>
      <c r="LIV27" s="19"/>
      <c r="LIW27" s="19"/>
      <c r="LIX27" s="19"/>
      <c r="LIY27" s="19"/>
      <c r="LIZ27" s="19"/>
      <c r="LJA27" s="19"/>
      <c r="LJB27" s="19"/>
      <c r="LJC27" s="19"/>
      <c r="LJD27" s="19"/>
      <c r="LJE27" s="19"/>
      <c r="LJF27" s="19"/>
      <c r="LJG27" s="19"/>
      <c r="LJH27" s="19"/>
      <c r="LJI27" s="19"/>
      <c r="LJJ27" s="19"/>
      <c r="LJK27" s="19"/>
      <c r="LJL27" s="19"/>
      <c r="LJM27" s="19"/>
      <c r="LJN27" s="19"/>
      <c r="LJO27" s="19"/>
      <c r="LJP27" s="19"/>
      <c r="LJQ27" s="19"/>
      <c r="LJR27" s="19"/>
      <c r="LJS27" s="19"/>
      <c r="LJT27" s="19"/>
      <c r="LJU27" s="19"/>
      <c r="LJV27" s="19"/>
      <c r="LJW27" s="19"/>
      <c r="LJX27" s="19"/>
      <c r="LJY27" s="19"/>
      <c r="LJZ27" s="19"/>
      <c r="LKA27" s="19"/>
      <c r="LKB27" s="19"/>
      <c r="LKC27" s="19"/>
      <c r="LKD27" s="19"/>
      <c r="LKE27" s="19"/>
      <c r="LKF27" s="19"/>
      <c r="LKG27" s="19"/>
      <c r="LKH27" s="19"/>
      <c r="LKI27" s="19"/>
      <c r="LKJ27" s="19"/>
      <c r="LKK27" s="19"/>
      <c r="LKL27" s="19"/>
      <c r="LKM27" s="19"/>
      <c r="LKN27" s="19"/>
      <c r="LKO27" s="19"/>
      <c r="LKP27" s="19"/>
      <c r="LKQ27" s="19"/>
      <c r="LKR27" s="19"/>
      <c r="LKS27" s="19"/>
      <c r="LKT27" s="19"/>
      <c r="LKU27" s="19"/>
      <c r="LKV27" s="19"/>
      <c r="LKW27" s="19"/>
      <c r="LKX27" s="19"/>
      <c r="LKY27" s="19"/>
      <c r="LKZ27" s="19"/>
      <c r="LLA27" s="19"/>
      <c r="LLB27" s="19"/>
      <c r="LLC27" s="19"/>
      <c r="LLD27" s="19"/>
      <c r="LLE27" s="19"/>
      <c r="LLF27" s="19"/>
      <c r="LLG27" s="19"/>
      <c r="LLH27" s="19"/>
      <c r="LLI27" s="19"/>
      <c r="LLJ27" s="19"/>
      <c r="LLK27" s="19"/>
      <c r="LLL27" s="19"/>
      <c r="LLM27" s="19"/>
      <c r="LLN27" s="19"/>
      <c r="LLO27" s="19"/>
      <c r="LLP27" s="19"/>
      <c r="LLQ27" s="19"/>
      <c r="LLR27" s="19"/>
      <c r="LLS27" s="19"/>
      <c r="LLT27" s="19"/>
      <c r="LLU27" s="19"/>
      <c r="LLV27" s="19"/>
      <c r="LLW27" s="19"/>
      <c r="LLX27" s="19"/>
      <c r="LLY27" s="19"/>
      <c r="LLZ27" s="19"/>
      <c r="LMA27" s="19"/>
      <c r="LMB27" s="19"/>
      <c r="LMC27" s="19"/>
      <c r="LMD27" s="19"/>
      <c r="LME27" s="19"/>
      <c r="LMF27" s="19"/>
      <c r="LMG27" s="19"/>
      <c r="LMH27" s="19"/>
      <c r="LMI27" s="19"/>
      <c r="LMJ27" s="19"/>
      <c r="LMK27" s="19"/>
      <c r="LML27" s="19"/>
      <c r="LMM27" s="19"/>
      <c r="LMN27" s="19"/>
      <c r="LMO27" s="19"/>
      <c r="LMP27" s="19"/>
      <c r="LMQ27" s="19"/>
      <c r="LMR27" s="19"/>
      <c r="LMS27" s="19"/>
      <c r="LMT27" s="19"/>
      <c r="LMU27" s="19"/>
      <c r="LMV27" s="19"/>
      <c r="LMW27" s="19"/>
      <c r="LMX27" s="19"/>
      <c r="LMY27" s="19"/>
      <c r="LMZ27" s="19"/>
      <c r="LNA27" s="19"/>
      <c r="LNB27" s="19"/>
      <c r="LNC27" s="19"/>
      <c r="LND27" s="19"/>
      <c r="LNE27" s="19"/>
      <c r="LNF27" s="19"/>
      <c r="LNG27" s="19"/>
      <c r="LNH27" s="19"/>
      <c r="LNI27" s="19"/>
      <c r="LNJ27" s="19"/>
      <c r="LNK27" s="19"/>
      <c r="LNL27" s="19"/>
      <c r="LNM27" s="19"/>
      <c r="LNN27" s="19"/>
      <c r="LNO27" s="19"/>
      <c r="LNP27" s="19"/>
      <c r="LNQ27" s="19"/>
      <c r="LNR27" s="19"/>
      <c r="LNS27" s="19"/>
      <c r="LNT27" s="19"/>
      <c r="LNU27" s="19"/>
      <c r="LNV27" s="19"/>
      <c r="LNW27" s="19"/>
      <c r="LNX27" s="19"/>
      <c r="LNY27" s="19"/>
      <c r="LNZ27" s="19"/>
      <c r="LOA27" s="19"/>
      <c r="LOB27" s="19"/>
      <c r="LOC27" s="19"/>
      <c r="LOD27" s="19"/>
      <c r="LOE27" s="19"/>
      <c r="LOF27" s="19"/>
      <c r="LOG27" s="19"/>
      <c r="LOH27" s="19"/>
      <c r="LOI27" s="19"/>
      <c r="LOJ27" s="19"/>
      <c r="LOK27" s="19"/>
      <c r="LOL27" s="19"/>
      <c r="LOM27" s="19"/>
      <c r="LON27" s="19"/>
      <c r="LOO27" s="19"/>
      <c r="LOP27" s="19"/>
      <c r="LOQ27" s="19"/>
      <c r="LOR27" s="19"/>
      <c r="LOS27" s="19"/>
      <c r="LOT27" s="19"/>
      <c r="LOU27" s="19"/>
      <c r="LOV27" s="19"/>
      <c r="LOW27" s="19"/>
      <c r="LOX27" s="19"/>
      <c r="LOY27" s="19"/>
      <c r="LOZ27" s="19"/>
      <c r="LPA27" s="19"/>
      <c r="LPB27" s="19"/>
      <c r="LPC27" s="19"/>
      <c r="LPD27" s="19"/>
      <c r="LPE27" s="19"/>
      <c r="LPF27" s="19"/>
      <c r="LPG27" s="19"/>
      <c r="LPH27" s="19"/>
      <c r="LPI27" s="19"/>
      <c r="LPJ27" s="19"/>
      <c r="LPK27" s="19"/>
      <c r="LPL27" s="19"/>
      <c r="LPM27" s="19"/>
      <c r="LPN27" s="19"/>
      <c r="LPO27" s="19"/>
      <c r="LPP27" s="19"/>
      <c r="LPQ27" s="19"/>
      <c r="LPR27" s="19"/>
      <c r="LPS27" s="19"/>
      <c r="LPT27" s="19"/>
      <c r="LPU27" s="19"/>
      <c r="LPV27" s="19"/>
      <c r="LPW27" s="19"/>
      <c r="LPX27" s="19"/>
      <c r="LPY27" s="19"/>
      <c r="LPZ27" s="19"/>
      <c r="LQA27" s="19"/>
      <c r="LQB27" s="19"/>
      <c r="LQC27" s="19"/>
      <c r="LQD27" s="19"/>
      <c r="LQE27" s="19"/>
      <c r="LQF27" s="19"/>
      <c r="LQG27" s="19"/>
      <c r="LQH27" s="19"/>
      <c r="LQI27" s="19"/>
      <c r="LQJ27" s="19"/>
      <c r="LQK27" s="19"/>
      <c r="LQL27" s="19"/>
      <c r="LQM27" s="19"/>
      <c r="LQN27" s="19"/>
      <c r="LQO27" s="19"/>
      <c r="LQP27" s="19"/>
      <c r="LQQ27" s="19"/>
      <c r="LQR27" s="19"/>
      <c r="LQS27" s="19"/>
      <c r="LQT27" s="19"/>
      <c r="LQU27" s="19"/>
      <c r="LQV27" s="19"/>
      <c r="LQW27" s="19"/>
      <c r="LQX27" s="19"/>
      <c r="LQY27" s="19"/>
      <c r="LQZ27" s="19"/>
      <c r="LRA27" s="19"/>
      <c r="LRB27" s="19"/>
      <c r="LRC27" s="19"/>
      <c r="LRD27" s="19"/>
      <c r="LRE27" s="19"/>
      <c r="LRF27" s="19"/>
      <c r="LRG27" s="19"/>
      <c r="LRH27" s="19"/>
      <c r="LRI27" s="19"/>
      <c r="LRJ27" s="19"/>
      <c r="LRK27" s="19"/>
      <c r="LRL27" s="19"/>
      <c r="LRM27" s="19"/>
      <c r="LRN27" s="19"/>
      <c r="LRO27" s="19"/>
      <c r="LRP27" s="19"/>
      <c r="LRQ27" s="19"/>
      <c r="LRR27" s="19"/>
      <c r="LRS27" s="19"/>
      <c r="LRT27" s="19"/>
      <c r="LRU27" s="19"/>
      <c r="LRV27" s="19"/>
      <c r="LRW27" s="19"/>
      <c r="LRX27" s="19"/>
      <c r="LRY27" s="19"/>
      <c r="LRZ27" s="19"/>
      <c r="LSA27" s="19"/>
      <c r="LSB27" s="19"/>
      <c r="LSC27" s="19"/>
      <c r="LSD27" s="19"/>
      <c r="LSE27" s="19"/>
      <c r="LSF27" s="19"/>
      <c r="LSG27" s="19"/>
      <c r="LSH27" s="19"/>
      <c r="LSI27" s="19"/>
      <c r="LSJ27" s="19"/>
      <c r="LSK27" s="19"/>
      <c r="LSL27" s="19"/>
      <c r="LSM27" s="19"/>
      <c r="LSN27" s="19"/>
      <c r="LSO27" s="19"/>
      <c r="LSP27" s="19"/>
      <c r="LSQ27" s="19"/>
      <c r="LSR27" s="19"/>
      <c r="LSS27" s="19"/>
      <c r="LST27" s="19"/>
      <c r="LSU27" s="19"/>
      <c r="LSV27" s="19"/>
      <c r="LSW27" s="19"/>
      <c r="LSX27" s="19"/>
      <c r="LSY27" s="19"/>
      <c r="LSZ27" s="19"/>
      <c r="LTA27" s="19"/>
      <c r="LTB27" s="19"/>
      <c r="LTC27" s="19"/>
      <c r="LTD27" s="19"/>
      <c r="LTE27" s="19"/>
      <c r="LTF27" s="19"/>
      <c r="LTG27" s="19"/>
      <c r="LTH27" s="19"/>
      <c r="LTI27" s="19"/>
      <c r="LTJ27" s="19"/>
      <c r="LTK27" s="19"/>
      <c r="LTL27" s="19"/>
      <c r="LTM27" s="19"/>
      <c r="LTN27" s="19"/>
      <c r="LTO27" s="19"/>
      <c r="LTP27" s="19"/>
      <c r="LTQ27" s="19"/>
      <c r="LTR27" s="19"/>
      <c r="LTS27" s="19"/>
      <c r="LTT27" s="19"/>
      <c r="LTU27" s="19"/>
      <c r="LTV27" s="19"/>
      <c r="LTW27" s="19"/>
      <c r="LTX27" s="19"/>
      <c r="LTY27" s="19"/>
      <c r="LTZ27" s="19"/>
      <c r="LUA27" s="19"/>
      <c r="LUB27" s="19"/>
      <c r="LUC27" s="19"/>
      <c r="LUD27" s="19"/>
      <c r="LUE27" s="19"/>
      <c r="LUF27" s="19"/>
      <c r="LUG27" s="19"/>
      <c r="LUH27" s="19"/>
      <c r="LUI27" s="19"/>
      <c r="LUJ27" s="19"/>
      <c r="LUK27" s="19"/>
      <c r="LUL27" s="19"/>
      <c r="LUM27" s="19"/>
      <c r="LUN27" s="19"/>
      <c r="LUO27" s="19"/>
      <c r="LUP27" s="19"/>
      <c r="LUQ27" s="19"/>
      <c r="LUR27" s="19"/>
      <c r="LUS27" s="19"/>
      <c r="LUT27" s="19"/>
      <c r="LUU27" s="19"/>
      <c r="LUV27" s="19"/>
      <c r="LUW27" s="19"/>
      <c r="LUX27" s="19"/>
      <c r="LUY27" s="19"/>
      <c r="LUZ27" s="19"/>
      <c r="LVA27" s="19"/>
      <c r="LVB27" s="19"/>
      <c r="LVC27" s="19"/>
      <c r="LVD27" s="19"/>
      <c r="LVE27" s="19"/>
      <c r="LVF27" s="19"/>
      <c r="LVG27" s="19"/>
      <c r="LVH27" s="19"/>
      <c r="LVI27" s="19"/>
      <c r="LVJ27" s="19"/>
      <c r="LVK27" s="19"/>
      <c r="LVL27" s="19"/>
      <c r="LVM27" s="19"/>
      <c r="LVN27" s="19"/>
      <c r="LVO27" s="19"/>
      <c r="LVP27" s="19"/>
      <c r="LVQ27" s="19"/>
      <c r="LVR27" s="19"/>
      <c r="LVS27" s="19"/>
      <c r="LVT27" s="19"/>
      <c r="LVU27" s="19"/>
      <c r="LVV27" s="19"/>
      <c r="LVW27" s="19"/>
      <c r="LVX27" s="19"/>
      <c r="LVY27" s="19"/>
      <c r="LVZ27" s="19"/>
      <c r="LWA27" s="19"/>
      <c r="LWB27" s="19"/>
      <c r="LWC27" s="19"/>
      <c r="LWD27" s="19"/>
      <c r="LWE27" s="19"/>
      <c r="LWF27" s="19"/>
      <c r="LWG27" s="19"/>
      <c r="LWH27" s="19"/>
      <c r="LWI27" s="19"/>
      <c r="LWJ27" s="19"/>
      <c r="LWK27" s="19"/>
      <c r="LWL27" s="19"/>
      <c r="LWM27" s="19"/>
      <c r="LWN27" s="19"/>
      <c r="LWO27" s="19"/>
      <c r="LWP27" s="19"/>
      <c r="LWQ27" s="19"/>
      <c r="LWR27" s="19"/>
      <c r="LWS27" s="19"/>
      <c r="LWT27" s="19"/>
      <c r="LWU27" s="19"/>
      <c r="LWV27" s="19"/>
      <c r="LWW27" s="19"/>
      <c r="LWX27" s="19"/>
      <c r="LWY27" s="19"/>
      <c r="LWZ27" s="19"/>
      <c r="LXA27" s="19"/>
      <c r="LXB27" s="19"/>
      <c r="LXC27" s="19"/>
      <c r="LXD27" s="19"/>
      <c r="LXE27" s="19"/>
      <c r="LXF27" s="19"/>
      <c r="LXG27" s="19"/>
      <c r="LXH27" s="19"/>
      <c r="LXI27" s="19"/>
      <c r="LXJ27" s="19"/>
      <c r="LXK27" s="19"/>
      <c r="LXL27" s="19"/>
      <c r="LXM27" s="19"/>
      <c r="LXN27" s="19"/>
      <c r="LXO27" s="19"/>
      <c r="LXP27" s="19"/>
      <c r="LXQ27" s="19"/>
      <c r="LXR27" s="19"/>
      <c r="LXS27" s="19"/>
      <c r="LXT27" s="19"/>
      <c r="LXU27" s="19"/>
      <c r="LXV27" s="19"/>
      <c r="LXW27" s="19"/>
      <c r="LXX27" s="19"/>
      <c r="LXY27" s="19"/>
      <c r="LXZ27" s="19"/>
      <c r="LYA27" s="19"/>
      <c r="LYB27" s="19"/>
      <c r="LYC27" s="19"/>
      <c r="LYD27" s="19"/>
      <c r="LYE27" s="19"/>
      <c r="LYF27" s="19"/>
      <c r="LYG27" s="19"/>
      <c r="LYH27" s="19"/>
      <c r="LYI27" s="19"/>
      <c r="LYJ27" s="19"/>
      <c r="LYK27" s="19"/>
      <c r="LYL27" s="19"/>
      <c r="LYM27" s="19"/>
      <c r="LYN27" s="19"/>
      <c r="LYO27" s="19"/>
      <c r="LYP27" s="19"/>
      <c r="LYQ27" s="19"/>
      <c r="LYR27" s="19"/>
      <c r="LYS27" s="19"/>
      <c r="LYT27" s="19"/>
      <c r="LYU27" s="19"/>
      <c r="LYV27" s="19"/>
      <c r="LYW27" s="19"/>
      <c r="LYX27" s="19"/>
      <c r="LYY27" s="19"/>
      <c r="LYZ27" s="19"/>
      <c r="LZA27" s="19"/>
      <c r="LZB27" s="19"/>
      <c r="LZC27" s="19"/>
      <c r="LZD27" s="19"/>
      <c r="LZE27" s="19"/>
      <c r="LZF27" s="19"/>
      <c r="LZG27" s="19"/>
      <c r="LZH27" s="19"/>
      <c r="LZI27" s="19"/>
      <c r="LZJ27" s="19"/>
      <c r="LZK27" s="19"/>
      <c r="LZL27" s="19"/>
      <c r="LZM27" s="19"/>
      <c r="LZN27" s="19"/>
      <c r="LZO27" s="19"/>
      <c r="LZP27" s="19"/>
      <c r="LZQ27" s="19"/>
      <c r="LZR27" s="19"/>
      <c r="LZS27" s="19"/>
      <c r="LZT27" s="19"/>
      <c r="LZU27" s="19"/>
      <c r="LZV27" s="19"/>
      <c r="LZW27" s="19"/>
      <c r="LZX27" s="19"/>
      <c r="LZY27" s="19"/>
      <c r="LZZ27" s="19"/>
      <c r="MAA27" s="19"/>
      <c r="MAB27" s="19"/>
      <c r="MAC27" s="19"/>
      <c r="MAD27" s="19"/>
      <c r="MAE27" s="19"/>
      <c r="MAF27" s="19"/>
      <c r="MAG27" s="19"/>
      <c r="MAH27" s="19"/>
      <c r="MAI27" s="19"/>
      <c r="MAJ27" s="19"/>
      <c r="MAK27" s="19"/>
      <c r="MAL27" s="19"/>
      <c r="MAM27" s="19"/>
      <c r="MAN27" s="19"/>
      <c r="MAO27" s="19"/>
      <c r="MAP27" s="19"/>
      <c r="MAQ27" s="19"/>
      <c r="MAR27" s="19"/>
      <c r="MAS27" s="19"/>
      <c r="MAT27" s="19"/>
      <c r="MAU27" s="19"/>
      <c r="MAV27" s="19"/>
      <c r="MAW27" s="19"/>
      <c r="MAX27" s="19"/>
      <c r="MAY27" s="19"/>
      <c r="MAZ27" s="19"/>
      <c r="MBA27" s="19"/>
      <c r="MBB27" s="19"/>
      <c r="MBC27" s="19"/>
      <c r="MBD27" s="19"/>
      <c r="MBE27" s="19"/>
      <c r="MBF27" s="19"/>
      <c r="MBG27" s="19"/>
      <c r="MBH27" s="19"/>
      <c r="MBI27" s="19"/>
      <c r="MBJ27" s="19"/>
      <c r="MBK27" s="19"/>
      <c r="MBL27" s="19"/>
      <c r="MBM27" s="19"/>
      <c r="MBN27" s="19"/>
      <c r="MBO27" s="19"/>
      <c r="MBP27" s="19"/>
      <c r="MBQ27" s="19"/>
      <c r="MBR27" s="19"/>
      <c r="MBS27" s="19"/>
      <c r="MBT27" s="19"/>
      <c r="MBU27" s="19"/>
      <c r="MBV27" s="19"/>
      <c r="MBW27" s="19"/>
      <c r="MBX27" s="19"/>
      <c r="MBY27" s="19"/>
      <c r="MBZ27" s="19"/>
      <c r="MCA27" s="19"/>
      <c r="MCB27" s="19"/>
      <c r="MCC27" s="19"/>
      <c r="MCD27" s="19"/>
      <c r="MCE27" s="19"/>
      <c r="MCF27" s="19"/>
      <c r="MCG27" s="19"/>
      <c r="MCH27" s="19"/>
      <c r="MCI27" s="19"/>
      <c r="MCJ27" s="19"/>
      <c r="MCK27" s="19"/>
      <c r="MCL27" s="19"/>
      <c r="MCM27" s="19"/>
      <c r="MCN27" s="19"/>
      <c r="MCO27" s="19"/>
      <c r="MCP27" s="19"/>
      <c r="MCQ27" s="19"/>
      <c r="MCR27" s="19"/>
      <c r="MCS27" s="19"/>
      <c r="MCT27" s="19"/>
      <c r="MCU27" s="19"/>
      <c r="MCV27" s="19"/>
      <c r="MCW27" s="19"/>
      <c r="MCX27" s="19"/>
      <c r="MCY27" s="19"/>
      <c r="MCZ27" s="19"/>
      <c r="MDA27" s="19"/>
      <c r="MDB27" s="19"/>
      <c r="MDC27" s="19"/>
      <c r="MDD27" s="19"/>
      <c r="MDE27" s="19"/>
      <c r="MDF27" s="19"/>
      <c r="MDG27" s="19"/>
      <c r="MDH27" s="19"/>
      <c r="MDI27" s="19"/>
      <c r="MDJ27" s="19"/>
      <c r="MDK27" s="19"/>
      <c r="MDL27" s="19"/>
      <c r="MDM27" s="19"/>
      <c r="MDN27" s="19"/>
      <c r="MDO27" s="19"/>
      <c r="MDP27" s="19"/>
      <c r="MDQ27" s="19"/>
      <c r="MDR27" s="19"/>
      <c r="MDS27" s="19"/>
      <c r="MDT27" s="19"/>
      <c r="MDU27" s="19"/>
      <c r="MDV27" s="19"/>
      <c r="MDW27" s="19"/>
      <c r="MDX27" s="19"/>
      <c r="MDY27" s="19"/>
      <c r="MDZ27" s="19"/>
      <c r="MEA27" s="19"/>
      <c r="MEB27" s="19"/>
      <c r="MEC27" s="19"/>
      <c r="MED27" s="19"/>
      <c r="MEE27" s="19"/>
      <c r="MEF27" s="19"/>
      <c r="MEG27" s="19"/>
      <c r="MEH27" s="19"/>
      <c r="MEI27" s="19"/>
      <c r="MEJ27" s="19"/>
      <c r="MEK27" s="19"/>
      <c r="MEL27" s="19"/>
      <c r="MEM27" s="19"/>
      <c r="MEN27" s="19"/>
      <c r="MEO27" s="19"/>
      <c r="MEP27" s="19"/>
      <c r="MEQ27" s="19"/>
      <c r="MER27" s="19"/>
      <c r="MES27" s="19"/>
      <c r="MET27" s="19"/>
      <c r="MEU27" s="19"/>
      <c r="MEV27" s="19"/>
      <c r="MEW27" s="19"/>
      <c r="MEX27" s="19"/>
      <c r="MEY27" s="19"/>
      <c r="MEZ27" s="19"/>
      <c r="MFA27" s="19"/>
      <c r="MFB27" s="19"/>
      <c r="MFC27" s="19"/>
      <c r="MFD27" s="19"/>
      <c r="MFE27" s="19"/>
      <c r="MFF27" s="19"/>
      <c r="MFG27" s="19"/>
      <c r="MFH27" s="19"/>
      <c r="MFI27" s="19"/>
      <c r="MFJ27" s="19"/>
      <c r="MFK27" s="19"/>
      <c r="MFL27" s="19"/>
      <c r="MFM27" s="19"/>
      <c r="MFN27" s="19"/>
      <c r="MFO27" s="19"/>
      <c r="MFP27" s="19"/>
      <c r="MFQ27" s="19"/>
      <c r="MFR27" s="19"/>
      <c r="MFS27" s="19"/>
      <c r="MFT27" s="19"/>
      <c r="MFU27" s="19"/>
      <c r="MFV27" s="19"/>
      <c r="MFW27" s="19"/>
      <c r="MFX27" s="19"/>
      <c r="MFY27" s="19"/>
      <c r="MFZ27" s="19"/>
      <c r="MGA27" s="19"/>
      <c r="MGB27" s="19"/>
      <c r="MGC27" s="19"/>
      <c r="MGD27" s="19"/>
      <c r="MGE27" s="19"/>
      <c r="MGF27" s="19"/>
      <c r="MGG27" s="19"/>
      <c r="MGH27" s="19"/>
      <c r="MGI27" s="19"/>
      <c r="MGJ27" s="19"/>
      <c r="MGK27" s="19"/>
      <c r="MGL27" s="19"/>
      <c r="MGM27" s="19"/>
      <c r="MGN27" s="19"/>
      <c r="MGO27" s="19"/>
      <c r="MGP27" s="19"/>
      <c r="MGQ27" s="19"/>
      <c r="MGR27" s="19"/>
      <c r="MGS27" s="19"/>
      <c r="MGT27" s="19"/>
      <c r="MGU27" s="19"/>
      <c r="MGV27" s="19"/>
      <c r="MGW27" s="19"/>
      <c r="MGX27" s="19"/>
      <c r="MGY27" s="19"/>
      <c r="MGZ27" s="19"/>
      <c r="MHA27" s="19"/>
      <c r="MHB27" s="19"/>
      <c r="MHC27" s="19"/>
      <c r="MHD27" s="19"/>
      <c r="MHE27" s="19"/>
      <c r="MHF27" s="19"/>
      <c r="MHG27" s="19"/>
      <c r="MHH27" s="19"/>
      <c r="MHI27" s="19"/>
      <c r="MHJ27" s="19"/>
      <c r="MHK27" s="19"/>
      <c r="MHL27" s="19"/>
      <c r="MHM27" s="19"/>
      <c r="MHN27" s="19"/>
      <c r="MHO27" s="19"/>
      <c r="MHP27" s="19"/>
      <c r="MHQ27" s="19"/>
      <c r="MHR27" s="19"/>
      <c r="MHS27" s="19"/>
      <c r="MHT27" s="19"/>
      <c r="MHU27" s="19"/>
      <c r="MHV27" s="19"/>
      <c r="MHW27" s="19"/>
      <c r="MHX27" s="19"/>
      <c r="MHY27" s="19"/>
      <c r="MHZ27" s="19"/>
      <c r="MIA27" s="19"/>
      <c r="MIB27" s="19"/>
      <c r="MIC27" s="19"/>
      <c r="MID27" s="19"/>
      <c r="MIE27" s="19"/>
      <c r="MIF27" s="19"/>
      <c r="MIG27" s="19"/>
      <c r="MIH27" s="19"/>
      <c r="MII27" s="19"/>
      <c r="MIJ27" s="19"/>
      <c r="MIK27" s="19"/>
      <c r="MIL27" s="19"/>
      <c r="MIM27" s="19"/>
      <c r="MIN27" s="19"/>
      <c r="MIO27" s="19"/>
      <c r="MIP27" s="19"/>
      <c r="MIQ27" s="19"/>
      <c r="MIR27" s="19"/>
      <c r="MIS27" s="19"/>
      <c r="MIT27" s="19"/>
      <c r="MIU27" s="19"/>
      <c r="MIV27" s="19"/>
      <c r="MIW27" s="19"/>
      <c r="MIX27" s="19"/>
      <c r="MIY27" s="19"/>
      <c r="MIZ27" s="19"/>
      <c r="MJA27" s="19"/>
      <c r="MJB27" s="19"/>
      <c r="MJC27" s="19"/>
      <c r="MJD27" s="19"/>
      <c r="MJE27" s="19"/>
      <c r="MJF27" s="19"/>
      <c r="MJG27" s="19"/>
      <c r="MJH27" s="19"/>
      <c r="MJI27" s="19"/>
      <c r="MJJ27" s="19"/>
      <c r="MJK27" s="19"/>
      <c r="MJL27" s="19"/>
      <c r="MJM27" s="19"/>
      <c r="MJN27" s="19"/>
      <c r="MJO27" s="19"/>
      <c r="MJP27" s="19"/>
      <c r="MJQ27" s="19"/>
      <c r="MJR27" s="19"/>
      <c r="MJS27" s="19"/>
      <c r="MJT27" s="19"/>
      <c r="MJU27" s="19"/>
      <c r="MJV27" s="19"/>
      <c r="MJW27" s="19"/>
      <c r="MJX27" s="19"/>
      <c r="MJY27" s="19"/>
      <c r="MJZ27" s="19"/>
      <c r="MKA27" s="19"/>
      <c r="MKB27" s="19"/>
      <c r="MKC27" s="19"/>
      <c r="MKD27" s="19"/>
      <c r="MKE27" s="19"/>
      <c r="MKF27" s="19"/>
      <c r="MKG27" s="19"/>
      <c r="MKH27" s="19"/>
      <c r="MKI27" s="19"/>
      <c r="MKJ27" s="19"/>
      <c r="MKK27" s="19"/>
      <c r="MKL27" s="19"/>
      <c r="MKM27" s="19"/>
      <c r="MKN27" s="19"/>
      <c r="MKO27" s="19"/>
      <c r="MKP27" s="19"/>
      <c r="MKQ27" s="19"/>
      <c r="MKR27" s="19"/>
      <c r="MKS27" s="19"/>
      <c r="MKT27" s="19"/>
      <c r="MKU27" s="19"/>
      <c r="MKV27" s="19"/>
      <c r="MKW27" s="19"/>
      <c r="MKX27" s="19"/>
      <c r="MKY27" s="19"/>
      <c r="MKZ27" s="19"/>
      <c r="MLA27" s="19"/>
      <c r="MLB27" s="19"/>
      <c r="MLC27" s="19"/>
      <c r="MLD27" s="19"/>
      <c r="MLE27" s="19"/>
      <c r="MLF27" s="19"/>
      <c r="MLG27" s="19"/>
      <c r="MLH27" s="19"/>
      <c r="MLI27" s="19"/>
      <c r="MLJ27" s="19"/>
      <c r="MLK27" s="19"/>
      <c r="MLL27" s="19"/>
      <c r="MLM27" s="19"/>
      <c r="MLN27" s="19"/>
      <c r="MLO27" s="19"/>
      <c r="MLP27" s="19"/>
      <c r="MLQ27" s="19"/>
      <c r="MLR27" s="19"/>
      <c r="MLS27" s="19"/>
      <c r="MLT27" s="19"/>
      <c r="MLU27" s="19"/>
      <c r="MLV27" s="19"/>
      <c r="MLW27" s="19"/>
      <c r="MLX27" s="19"/>
      <c r="MLY27" s="19"/>
      <c r="MLZ27" s="19"/>
      <c r="MMA27" s="19"/>
      <c r="MMB27" s="19"/>
      <c r="MMC27" s="19"/>
      <c r="MMD27" s="19"/>
      <c r="MME27" s="19"/>
      <c r="MMF27" s="19"/>
      <c r="MMG27" s="19"/>
      <c r="MMH27" s="19"/>
      <c r="MMI27" s="19"/>
      <c r="MMJ27" s="19"/>
      <c r="MMK27" s="19"/>
      <c r="MML27" s="19"/>
      <c r="MMM27" s="19"/>
      <c r="MMN27" s="19"/>
      <c r="MMO27" s="19"/>
      <c r="MMP27" s="19"/>
      <c r="MMQ27" s="19"/>
      <c r="MMR27" s="19"/>
      <c r="MMS27" s="19"/>
      <c r="MMT27" s="19"/>
      <c r="MMU27" s="19"/>
      <c r="MMV27" s="19"/>
      <c r="MMW27" s="19"/>
      <c r="MMX27" s="19"/>
      <c r="MMY27" s="19"/>
      <c r="MMZ27" s="19"/>
      <c r="MNA27" s="19"/>
      <c r="MNB27" s="19"/>
      <c r="MNC27" s="19"/>
      <c r="MND27" s="19"/>
      <c r="MNE27" s="19"/>
      <c r="MNF27" s="19"/>
      <c r="MNG27" s="19"/>
      <c r="MNH27" s="19"/>
      <c r="MNI27" s="19"/>
      <c r="MNJ27" s="19"/>
      <c r="MNK27" s="19"/>
      <c r="MNL27" s="19"/>
      <c r="MNM27" s="19"/>
      <c r="MNN27" s="19"/>
      <c r="MNO27" s="19"/>
      <c r="MNP27" s="19"/>
      <c r="MNQ27" s="19"/>
      <c r="MNR27" s="19"/>
      <c r="MNS27" s="19"/>
      <c r="MNT27" s="19"/>
      <c r="MNU27" s="19"/>
      <c r="MNV27" s="19"/>
      <c r="MNW27" s="19"/>
      <c r="MNX27" s="19"/>
      <c r="MNY27" s="19"/>
      <c r="MNZ27" s="19"/>
      <c r="MOA27" s="19"/>
      <c r="MOB27" s="19"/>
      <c r="MOC27" s="19"/>
      <c r="MOD27" s="19"/>
      <c r="MOE27" s="19"/>
      <c r="MOF27" s="19"/>
      <c r="MOG27" s="19"/>
      <c r="MOH27" s="19"/>
      <c r="MOI27" s="19"/>
      <c r="MOJ27" s="19"/>
      <c r="MOK27" s="19"/>
      <c r="MOL27" s="19"/>
      <c r="MOM27" s="19"/>
      <c r="MON27" s="19"/>
      <c r="MOO27" s="19"/>
      <c r="MOP27" s="19"/>
      <c r="MOQ27" s="19"/>
      <c r="MOR27" s="19"/>
      <c r="MOS27" s="19"/>
      <c r="MOT27" s="19"/>
      <c r="MOU27" s="19"/>
      <c r="MOV27" s="19"/>
      <c r="MOW27" s="19"/>
      <c r="MOX27" s="19"/>
      <c r="MOY27" s="19"/>
      <c r="MOZ27" s="19"/>
      <c r="MPA27" s="19"/>
      <c r="MPB27" s="19"/>
      <c r="MPC27" s="19"/>
      <c r="MPD27" s="19"/>
      <c r="MPE27" s="19"/>
      <c r="MPF27" s="19"/>
      <c r="MPG27" s="19"/>
      <c r="MPH27" s="19"/>
      <c r="MPI27" s="19"/>
      <c r="MPJ27" s="19"/>
      <c r="MPK27" s="19"/>
      <c r="MPL27" s="19"/>
      <c r="MPM27" s="19"/>
      <c r="MPN27" s="19"/>
      <c r="MPO27" s="19"/>
      <c r="MPP27" s="19"/>
      <c r="MPQ27" s="19"/>
      <c r="MPR27" s="19"/>
      <c r="MPS27" s="19"/>
      <c r="MPT27" s="19"/>
      <c r="MPU27" s="19"/>
      <c r="MPV27" s="19"/>
      <c r="MPW27" s="19"/>
      <c r="MPX27" s="19"/>
      <c r="MPY27" s="19"/>
      <c r="MPZ27" s="19"/>
      <c r="MQA27" s="19"/>
      <c r="MQB27" s="19"/>
      <c r="MQC27" s="19"/>
      <c r="MQD27" s="19"/>
      <c r="MQE27" s="19"/>
      <c r="MQF27" s="19"/>
      <c r="MQG27" s="19"/>
      <c r="MQH27" s="19"/>
      <c r="MQI27" s="19"/>
      <c r="MQJ27" s="19"/>
      <c r="MQK27" s="19"/>
      <c r="MQL27" s="19"/>
      <c r="MQM27" s="19"/>
      <c r="MQN27" s="19"/>
      <c r="MQO27" s="19"/>
      <c r="MQP27" s="19"/>
      <c r="MQQ27" s="19"/>
      <c r="MQR27" s="19"/>
      <c r="MQS27" s="19"/>
      <c r="MQT27" s="19"/>
      <c r="MQU27" s="19"/>
      <c r="MQV27" s="19"/>
      <c r="MQW27" s="19"/>
      <c r="MQX27" s="19"/>
      <c r="MQY27" s="19"/>
      <c r="MQZ27" s="19"/>
      <c r="MRA27" s="19"/>
      <c r="MRB27" s="19"/>
      <c r="MRC27" s="19"/>
      <c r="MRD27" s="19"/>
      <c r="MRE27" s="19"/>
      <c r="MRF27" s="19"/>
      <c r="MRG27" s="19"/>
      <c r="MRH27" s="19"/>
      <c r="MRI27" s="19"/>
      <c r="MRJ27" s="19"/>
      <c r="MRK27" s="19"/>
      <c r="MRL27" s="19"/>
      <c r="MRM27" s="19"/>
      <c r="MRN27" s="19"/>
      <c r="MRO27" s="19"/>
      <c r="MRP27" s="19"/>
      <c r="MRQ27" s="19"/>
      <c r="MRR27" s="19"/>
      <c r="MRS27" s="19"/>
      <c r="MRT27" s="19"/>
      <c r="MRU27" s="19"/>
      <c r="MRV27" s="19"/>
      <c r="MRW27" s="19"/>
      <c r="MRX27" s="19"/>
      <c r="MRY27" s="19"/>
      <c r="MRZ27" s="19"/>
      <c r="MSA27" s="19"/>
      <c r="MSB27" s="19"/>
      <c r="MSC27" s="19"/>
      <c r="MSD27" s="19"/>
      <c r="MSE27" s="19"/>
      <c r="MSF27" s="19"/>
      <c r="MSG27" s="19"/>
      <c r="MSH27" s="19"/>
      <c r="MSI27" s="19"/>
      <c r="MSJ27" s="19"/>
      <c r="MSK27" s="19"/>
      <c r="MSL27" s="19"/>
      <c r="MSM27" s="19"/>
      <c r="MSN27" s="19"/>
      <c r="MSO27" s="19"/>
      <c r="MSP27" s="19"/>
      <c r="MSQ27" s="19"/>
      <c r="MSR27" s="19"/>
      <c r="MSS27" s="19"/>
      <c r="MST27" s="19"/>
      <c r="MSU27" s="19"/>
      <c r="MSV27" s="19"/>
      <c r="MSW27" s="19"/>
      <c r="MSX27" s="19"/>
      <c r="MSY27" s="19"/>
      <c r="MSZ27" s="19"/>
      <c r="MTA27" s="19"/>
      <c r="MTB27" s="19"/>
      <c r="MTC27" s="19"/>
      <c r="MTD27" s="19"/>
      <c r="MTE27" s="19"/>
      <c r="MTF27" s="19"/>
      <c r="MTG27" s="19"/>
      <c r="MTH27" s="19"/>
      <c r="MTI27" s="19"/>
      <c r="MTJ27" s="19"/>
      <c r="MTK27" s="19"/>
      <c r="MTL27" s="19"/>
      <c r="MTM27" s="19"/>
      <c r="MTN27" s="19"/>
      <c r="MTO27" s="19"/>
      <c r="MTP27" s="19"/>
      <c r="MTQ27" s="19"/>
      <c r="MTR27" s="19"/>
      <c r="MTS27" s="19"/>
      <c r="MTT27" s="19"/>
      <c r="MTU27" s="19"/>
      <c r="MTV27" s="19"/>
      <c r="MTW27" s="19"/>
      <c r="MTX27" s="19"/>
      <c r="MTY27" s="19"/>
      <c r="MTZ27" s="19"/>
      <c r="MUA27" s="19"/>
      <c r="MUB27" s="19"/>
      <c r="MUC27" s="19"/>
      <c r="MUD27" s="19"/>
      <c r="MUE27" s="19"/>
      <c r="MUF27" s="19"/>
      <c r="MUG27" s="19"/>
      <c r="MUH27" s="19"/>
      <c r="MUI27" s="19"/>
      <c r="MUJ27" s="19"/>
      <c r="MUK27" s="19"/>
      <c r="MUL27" s="19"/>
      <c r="MUM27" s="19"/>
      <c r="MUN27" s="19"/>
      <c r="MUO27" s="19"/>
      <c r="MUP27" s="19"/>
      <c r="MUQ27" s="19"/>
      <c r="MUR27" s="19"/>
      <c r="MUS27" s="19"/>
      <c r="MUT27" s="19"/>
      <c r="MUU27" s="19"/>
      <c r="MUV27" s="19"/>
      <c r="MUW27" s="19"/>
      <c r="MUX27" s="19"/>
      <c r="MUY27" s="19"/>
      <c r="MUZ27" s="19"/>
      <c r="MVA27" s="19"/>
      <c r="MVB27" s="19"/>
      <c r="MVC27" s="19"/>
      <c r="MVD27" s="19"/>
      <c r="MVE27" s="19"/>
      <c r="MVF27" s="19"/>
      <c r="MVG27" s="19"/>
      <c r="MVH27" s="19"/>
      <c r="MVI27" s="19"/>
      <c r="MVJ27" s="19"/>
      <c r="MVK27" s="19"/>
      <c r="MVL27" s="19"/>
      <c r="MVM27" s="19"/>
      <c r="MVN27" s="19"/>
      <c r="MVO27" s="19"/>
      <c r="MVP27" s="19"/>
      <c r="MVQ27" s="19"/>
      <c r="MVR27" s="19"/>
      <c r="MVS27" s="19"/>
      <c r="MVT27" s="19"/>
      <c r="MVU27" s="19"/>
      <c r="MVV27" s="19"/>
      <c r="MVW27" s="19"/>
      <c r="MVX27" s="19"/>
      <c r="MVY27" s="19"/>
      <c r="MVZ27" s="19"/>
      <c r="MWA27" s="19"/>
      <c r="MWB27" s="19"/>
      <c r="MWC27" s="19"/>
      <c r="MWD27" s="19"/>
      <c r="MWE27" s="19"/>
      <c r="MWF27" s="19"/>
      <c r="MWG27" s="19"/>
      <c r="MWH27" s="19"/>
      <c r="MWI27" s="19"/>
      <c r="MWJ27" s="19"/>
      <c r="MWK27" s="19"/>
      <c r="MWL27" s="19"/>
      <c r="MWM27" s="19"/>
      <c r="MWN27" s="19"/>
      <c r="MWO27" s="19"/>
      <c r="MWP27" s="19"/>
      <c r="MWQ27" s="19"/>
      <c r="MWR27" s="19"/>
      <c r="MWS27" s="19"/>
      <c r="MWT27" s="19"/>
      <c r="MWU27" s="19"/>
      <c r="MWV27" s="19"/>
      <c r="MWW27" s="19"/>
      <c r="MWX27" s="19"/>
      <c r="MWY27" s="19"/>
      <c r="MWZ27" s="19"/>
      <c r="MXA27" s="19"/>
      <c r="MXB27" s="19"/>
      <c r="MXC27" s="19"/>
      <c r="MXD27" s="19"/>
      <c r="MXE27" s="19"/>
      <c r="MXF27" s="19"/>
      <c r="MXG27" s="19"/>
      <c r="MXH27" s="19"/>
      <c r="MXI27" s="19"/>
      <c r="MXJ27" s="19"/>
      <c r="MXK27" s="19"/>
      <c r="MXL27" s="19"/>
      <c r="MXM27" s="19"/>
      <c r="MXN27" s="19"/>
      <c r="MXO27" s="19"/>
      <c r="MXP27" s="19"/>
      <c r="MXQ27" s="19"/>
      <c r="MXR27" s="19"/>
      <c r="MXS27" s="19"/>
      <c r="MXT27" s="19"/>
      <c r="MXU27" s="19"/>
      <c r="MXV27" s="19"/>
      <c r="MXW27" s="19"/>
      <c r="MXX27" s="19"/>
      <c r="MXY27" s="19"/>
      <c r="MXZ27" s="19"/>
      <c r="MYA27" s="19"/>
      <c r="MYB27" s="19"/>
      <c r="MYC27" s="19"/>
      <c r="MYD27" s="19"/>
      <c r="MYE27" s="19"/>
      <c r="MYF27" s="19"/>
      <c r="MYG27" s="19"/>
      <c r="MYH27" s="19"/>
      <c r="MYI27" s="19"/>
      <c r="MYJ27" s="19"/>
      <c r="MYK27" s="19"/>
      <c r="MYL27" s="19"/>
      <c r="MYM27" s="19"/>
      <c r="MYN27" s="19"/>
      <c r="MYO27" s="19"/>
      <c r="MYP27" s="19"/>
      <c r="MYQ27" s="19"/>
      <c r="MYR27" s="19"/>
      <c r="MYS27" s="19"/>
      <c r="MYT27" s="19"/>
      <c r="MYU27" s="19"/>
      <c r="MYV27" s="19"/>
      <c r="MYW27" s="19"/>
      <c r="MYX27" s="19"/>
      <c r="MYY27" s="19"/>
      <c r="MYZ27" s="19"/>
      <c r="MZA27" s="19"/>
      <c r="MZB27" s="19"/>
      <c r="MZC27" s="19"/>
      <c r="MZD27" s="19"/>
      <c r="MZE27" s="19"/>
      <c r="MZF27" s="19"/>
      <c r="MZG27" s="19"/>
      <c r="MZH27" s="19"/>
      <c r="MZI27" s="19"/>
      <c r="MZJ27" s="19"/>
      <c r="MZK27" s="19"/>
      <c r="MZL27" s="19"/>
      <c r="MZM27" s="19"/>
      <c r="MZN27" s="19"/>
      <c r="MZO27" s="19"/>
      <c r="MZP27" s="19"/>
      <c r="MZQ27" s="19"/>
      <c r="MZR27" s="19"/>
      <c r="MZS27" s="19"/>
      <c r="MZT27" s="19"/>
      <c r="MZU27" s="19"/>
      <c r="MZV27" s="19"/>
      <c r="MZW27" s="19"/>
      <c r="MZX27" s="19"/>
      <c r="MZY27" s="19"/>
      <c r="MZZ27" s="19"/>
      <c r="NAA27" s="19"/>
      <c r="NAB27" s="19"/>
      <c r="NAC27" s="19"/>
      <c r="NAD27" s="19"/>
      <c r="NAE27" s="19"/>
      <c r="NAF27" s="19"/>
      <c r="NAG27" s="19"/>
      <c r="NAH27" s="19"/>
      <c r="NAI27" s="19"/>
      <c r="NAJ27" s="19"/>
      <c r="NAK27" s="19"/>
      <c r="NAL27" s="19"/>
      <c r="NAM27" s="19"/>
      <c r="NAN27" s="19"/>
      <c r="NAO27" s="19"/>
      <c r="NAP27" s="19"/>
      <c r="NAQ27" s="19"/>
      <c r="NAR27" s="19"/>
      <c r="NAS27" s="19"/>
      <c r="NAT27" s="19"/>
      <c r="NAU27" s="19"/>
      <c r="NAV27" s="19"/>
      <c r="NAW27" s="19"/>
      <c r="NAX27" s="19"/>
      <c r="NAY27" s="19"/>
      <c r="NAZ27" s="19"/>
      <c r="NBA27" s="19"/>
      <c r="NBB27" s="19"/>
      <c r="NBC27" s="19"/>
      <c r="NBD27" s="19"/>
      <c r="NBE27" s="19"/>
      <c r="NBF27" s="19"/>
      <c r="NBG27" s="19"/>
      <c r="NBH27" s="19"/>
      <c r="NBI27" s="19"/>
      <c r="NBJ27" s="19"/>
      <c r="NBK27" s="19"/>
      <c r="NBL27" s="19"/>
      <c r="NBM27" s="19"/>
      <c r="NBN27" s="19"/>
      <c r="NBO27" s="19"/>
      <c r="NBP27" s="19"/>
      <c r="NBQ27" s="19"/>
      <c r="NBR27" s="19"/>
      <c r="NBS27" s="19"/>
      <c r="NBT27" s="19"/>
      <c r="NBU27" s="19"/>
      <c r="NBV27" s="19"/>
      <c r="NBW27" s="19"/>
      <c r="NBX27" s="19"/>
      <c r="NBY27" s="19"/>
      <c r="NBZ27" s="19"/>
      <c r="NCA27" s="19"/>
      <c r="NCB27" s="19"/>
      <c r="NCC27" s="19"/>
      <c r="NCD27" s="19"/>
      <c r="NCE27" s="19"/>
      <c r="NCF27" s="19"/>
      <c r="NCG27" s="19"/>
      <c r="NCH27" s="19"/>
      <c r="NCI27" s="19"/>
      <c r="NCJ27" s="19"/>
      <c r="NCK27" s="19"/>
      <c r="NCL27" s="19"/>
      <c r="NCM27" s="19"/>
      <c r="NCN27" s="19"/>
      <c r="NCO27" s="19"/>
      <c r="NCP27" s="19"/>
      <c r="NCQ27" s="19"/>
      <c r="NCR27" s="19"/>
      <c r="NCS27" s="19"/>
      <c r="NCT27" s="19"/>
      <c r="NCU27" s="19"/>
      <c r="NCV27" s="19"/>
      <c r="NCW27" s="19"/>
      <c r="NCX27" s="19"/>
      <c r="NCY27" s="19"/>
      <c r="NCZ27" s="19"/>
      <c r="NDA27" s="19"/>
      <c r="NDB27" s="19"/>
      <c r="NDC27" s="19"/>
      <c r="NDD27" s="19"/>
      <c r="NDE27" s="19"/>
      <c r="NDF27" s="19"/>
      <c r="NDG27" s="19"/>
      <c r="NDH27" s="19"/>
      <c r="NDI27" s="19"/>
      <c r="NDJ27" s="19"/>
      <c r="NDK27" s="19"/>
      <c r="NDL27" s="19"/>
      <c r="NDM27" s="19"/>
      <c r="NDN27" s="19"/>
      <c r="NDO27" s="19"/>
      <c r="NDP27" s="19"/>
      <c r="NDQ27" s="19"/>
      <c r="NDR27" s="19"/>
      <c r="NDS27" s="19"/>
      <c r="NDT27" s="19"/>
      <c r="NDU27" s="19"/>
      <c r="NDV27" s="19"/>
      <c r="NDW27" s="19"/>
      <c r="NDX27" s="19"/>
      <c r="NDY27" s="19"/>
      <c r="NDZ27" s="19"/>
      <c r="NEA27" s="19"/>
      <c r="NEB27" s="19"/>
      <c r="NEC27" s="19"/>
      <c r="NED27" s="19"/>
      <c r="NEE27" s="19"/>
      <c r="NEF27" s="19"/>
      <c r="NEG27" s="19"/>
      <c r="NEH27" s="19"/>
      <c r="NEI27" s="19"/>
      <c r="NEJ27" s="19"/>
      <c r="NEK27" s="19"/>
      <c r="NEL27" s="19"/>
      <c r="NEM27" s="19"/>
      <c r="NEN27" s="19"/>
      <c r="NEO27" s="19"/>
      <c r="NEP27" s="19"/>
      <c r="NEQ27" s="19"/>
      <c r="NER27" s="19"/>
      <c r="NES27" s="19"/>
      <c r="NET27" s="19"/>
      <c r="NEU27" s="19"/>
      <c r="NEV27" s="19"/>
      <c r="NEW27" s="19"/>
      <c r="NEX27" s="19"/>
      <c r="NEY27" s="19"/>
      <c r="NEZ27" s="19"/>
      <c r="NFA27" s="19"/>
      <c r="NFB27" s="19"/>
      <c r="NFC27" s="19"/>
      <c r="NFD27" s="19"/>
      <c r="NFE27" s="19"/>
      <c r="NFF27" s="19"/>
      <c r="NFG27" s="19"/>
      <c r="NFH27" s="19"/>
      <c r="NFI27" s="19"/>
      <c r="NFJ27" s="19"/>
      <c r="NFK27" s="19"/>
      <c r="NFL27" s="19"/>
      <c r="NFM27" s="19"/>
      <c r="NFN27" s="19"/>
      <c r="NFO27" s="19"/>
      <c r="NFP27" s="19"/>
      <c r="NFQ27" s="19"/>
      <c r="NFR27" s="19"/>
      <c r="NFS27" s="19"/>
      <c r="NFT27" s="19"/>
      <c r="NFU27" s="19"/>
      <c r="NFV27" s="19"/>
      <c r="NFW27" s="19"/>
      <c r="NFX27" s="19"/>
      <c r="NFY27" s="19"/>
      <c r="NFZ27" s="19"/>
      <c r="NGA27" s="19"/>
      <c r="NGB27" s="19"/>
      <c r="NGC27" s="19"/>
      <c r="NGD27" s="19"/>
      <c r="NGE27" s="19"/>
      <c r="NGF27" s="19"/>
      <c r="NGG27" s="19"/>
      <c r="NGH27" s="19"/>
      <c r="NGI27" s="19"/>
      <c r="NGJ27" s="19"/>
      <c r="NGK27" s="19"/>
      <c r="NGL27" s="19"/>
      <c r="NGM27" s="19"/>
      <c r="NGN27" s="19"/>
      <c r="NGO27" s="19"/>
      <c r="NGP27" s="19"/>
      <c r="NGQ27" s="19"/>
      <c r="NGR27" s="19"/>
      <c r="NGS27" s="19"/>
      <c r="NGT27" s="19"/>
      <c r="NGU27" s="19"/>
      <c r="NGV27" s="19"/>
      <c r="NGW27" s="19"/>
      <c r="NGX27" s="19"/>
      <c r="NGY27" s="19"/>
      <c r="NGZ27" s="19"/>
      <c r="NHA27" s="19"/>
      <c r="NHB27" s="19"/>
      <c r="NHC27" s="19"/>
      <c r="NHD27" s="19"/>
      <c r="NHE27" s="19"/>
      <c r="NHF27" s="19"/>
      <c r="NHG27" s="19"/>
      <c r="NHH27" s="19"/>
      <c r="NHI27" s="19"/>
      <c r="NHJ27" s="19"/>
      <c r="NHK27" s="19"/>
      <c r="NHL27" s="19"/>
      <c r="NHM27" s="19"/>
      <c r="NHN27" s="19"/>
      <c r="NHO27" s="19"/>
      <c r="NHP27" s="19"/>
      <c r="NHQ27" s="19"/>
      <c r="NHR27" s="19"/>
      <c r="NHS27" s="19"/>
      <c r="NHT27" s="19"/>
      <c r="NHU27" s="19"/>
      <c r="NHV27" s="19"/>
      <c r="NHW27" s="19"/>
      <c r="NHX27" s="19"/>
      <c r="NHY27" s="19"/>
      <c r="NHZ27" s="19"/>
      <c r="NIA27" s="19"/>
      <c r="NIB27" s="19"/>
      <c r="NIC27" s="19"/>
      <c r="NID27" s="19"/>
      <c r="NIE27" s="19"/>
      <c r="NIF27" s="19"/>
      <c r="NIG27" s="19"/>
      <c r="NIH27" s="19"/>
      <c r="NII27" s="19"/>
      <c r="NIJ27" s="19"/>
      <c r="NIK27" s="19"/>
      <c r="NIL27" s="19"/>
      <c r="NIM27" s="19"/>
      <c r="NIN27" s="19"/>
      <c r="NIO27" s="19"/>
      <c r="NIP27" s="19"/>
      <c r="NIQ27" s="19"/>
      <c r="NIR27" s="19"/>
      <c r="NIS27" s="19"/>
      <c r="NIT27" s="19"/>
      <c r="NIU27" s="19"/>
      <c r="NIV27" s="19"/>
      <c r="NIW27" s="19"/>
      <c r="NIX27" s="19"/>
      <c r="NIY27" s="19"/>
      <c r="NIZ27" s="19"/>
      <c r="NJA27" s="19"/>
      <c r="NJB27" s="19"/>
      <c r="NJC27" s="19"/>
      <c r="NJD27" s="19"/>
      <c r="NJE27" s="19"/>
      <c r="NJF27" s="19"/>
      <c r="NJG27" s="19"/>
      <c r="NJH27" s="19"/>
      <c r="NJI27" s="19"/>
      <c r="NJJ27" s="19"/>
      <c r="NJK27" s="19"/>
      <c r="NJL27" s="19"/>
      <c r="NJM27" s="19"/>
      <c r="NJN27" s="19"/>
      <c r="NJO27" s="19"/>
      <c r="NJP27" s="19"/>
      <c r="NJQ27" s="19"/>
      <c r="NJR27" s="19"/>
      <c r="NJS27" s="19"/>
      <c r="NJT27" s="19"/>
      <c r="NJU27" s="19"/>
      <c r="NJV27" s="19"/>
      <c r="NJW27" s="19"/>
      <c r="NJX27" s="19"/>
      <c r="NJY27" s="19"/>
      <c r="NJZ27" s="19"/>
      <c r="NKA27" s="19"/>
      <c r="NKB27" s="19"/>
      <c r="NKC27" s="19"/>
      <c r="NKD27" s="19"/>
      <c r="NKE27" s="19"/>
      <c r="NKF27" s="19"/>
      <c r="NKG27" s="19"/>
      <c r="NKH27" s="19"/>
      <c r="NKI27" s="19"/>
      <c r="NKJ27" s="19"/>
      <c r="NKK27" s="19"/>
      <c r="NKL27" s="19"/>
      <c r="NKM27" s="19"/>
      <c r="NKN27" s="19"/>
      <c r="NKO27" s="19"/>
      <c r="NKP27" s="19"/>
      <c r="NKQ27" s="19"/>
      <c r="NKR27" s="19"/>
      <c r="NKS27" s="19"/>
      <c r="NKT27" s="19"/>
      <c r="NKU27" s="19"/>
      <c r="NKV27" s="19"/>
      <c r="NKW27" s="19"/>
      <c r="NKX27" s="19"/>
      <c r="NKY27" s="19"/>
      <c r="NKZ27" s="19"/>
      <c r="NLA27" s="19"/>
      <c r="NLB27" s="19"/>
      <c r="NLC27" s="19"/>
      <c r="NLD27" s="19"/>
      <c r="NLE27" s="19"/>
      <c r="NLF27" s="19"/>
      <c r="NLG27" s="19"/>
      <c r="NLH27" s="19"/>
      <c r="NLI27" s="19"/>
      <c r="NLJ27" s="19"/>
      <c r="NLK27" s="19"/>
      <c r="NLL27" s="19"/>
      <c r="NLM27" s="19"/>
      <c r="NLN27" s="19"/>
      <c r="NLO27" s="19"/>
      <c r="NLP27" s="19"/>
      <c r="NLQ27" s="19"/>
      <c r="NLR27" s="19"/>
      <c r="NLS27" s="19"/>
      <c r="NLT27" s="19"/>
      <c r="NLU27" s="19"/>
      <c r="NLV27" s="19"/>
      <c r="NLW27" s="19"/>
      <c r="NLX27" s="19"/>
      <c r="NLY27" s="19"/>
      <c r="NLZ27" s="19"/>
      <c r="NMA27" s="19"/>
      <c r="NMB27" s="19"/>
      <c r="NMC27" s="19"/>
      <c r="NMD27" s="19"/>
      <c r="NME27" s="19"/>
      <c r="NMF27" s="19"/>
      <c r="NMG27" s="19"/>
      <c r="NMH27" s="19"/>
      <c r="NMI27" s="19"/>
      <c r="NMJ27" s="19"/>
      <c r="NMK27" s="19"/>
      <c r="NML27" s="19"/>
      <c r="NMM27" s="19"/>
      <c r="NMN27" s="19"/>
      <c r="NMO27" s="19"/>
      <c r="NMP27" s="19"/>
      <c r="NMQ27" s="19"/>
      <c r="NMR27" s="19"/>
      <c r="NMS27" s="19"/>
      <c r="NMT27" s="19"/>
      <c r="NMU27" s="19"/>
      <c r="NMV27" s="19"/>
      <c r="NMW27" s="19"/>
      <c r="NMX27" s="19"/>
      <c r="NMY27" s="19"/>
      <c r="NMZ27" s="19"/>
      <c r="NNA27" s="19"/>
      <c r="NNB27" s="19"/>
      <c r="NNC27" s="19"/>
      <c r="NND27" s="19"/>
      <c r="NNE27" s="19"/>
      <c r="NNF27" s="19"/>
      <c r="NNG27" s="19"/>
      <c r="NNH27" s="19"/>
      <c r="NNI27" s="19"/>
      <c r="NNJ27" s="19"/>
      <c r="NNK27" s="19"/>
      <c r="NNL27" s="19"/>
      <c r="NNM27" s="19"/>
      <c r="NNN27" s="19"/>
      <c r="NNO27" s="19"/>
      <c r="NNP27" s="19"/>
      <c r="NNQ27" s="19"/>
      <c r="NNR27" s="19"/>
      <c r="NNS27" s="19"/>
      <c r="NNT27" s="19"/>
      <c r="NNU27" s="19"/>
      <c r="NNV27" s="19"/>
      <c r="NNW27" s="19"/>
      <c r="NNX27" s="19"/>
      <c r="NNY27" s="19"/>
      <c r="NNZ27" s="19"/>
      <c r="NOA27" s="19"/>
      <c r="NOB27" s="19"/>
      <c r="NOC27" s="19"/>
      <c r="NOD27" s="19"/>
      <c r="NOE27" s="19"/>
      <c r="NOF27" s="19"/>
      <c r="NOG27" s="19"/>
      <c r="NOH27" s="19"/>
      <c r="NOI27" s="19"/>
      <c r="NOJ27" s="19"/>
      <c r="NOK27" s="19"/>
      <c r="NOL27" s="19"/>
      <c r="NOM27" s="19"/>
      <c r="NON27" s="19"/>
      <c r="NOO27" s="19"/>
      <c r="NOP27" s="19"/>
      <c r="NOQ27" s="19"/>
      <c r="NOR27" s="19"/>
      <c r="NOS27" s="19"/>
      <c r="NOT27" s="19"/>
      <c r="NOU27" s="19"/>
      <c r="NOV27" s="19"/>
      <c r="NOW27" s="19"/>
      <c r="NOX27" s="19"/>
      <c r="NOY27" s="19"/>
      <c r="NOZ27" s="19"/>
      <c r="NPA27" s="19"/>
      <c r="NPB27" s="19"/>
      <c r="NPC27" s="19"/>
      <c r="NPD27" s="19"/>
      <c r="NPE27" s="19"/>
      <c r="NPF27" s="19"/>
      <c r="NPG27" s="19"/>
      <c r="NPH27" s="19"/>
      <c r="NPI27" s="19"/>
      <c r="NPJ27" s="19"/>
      <c r="NPK27" s="19"/>
      <c r="NPL27" s="19"/>
      <c r="NPM27" s="19"/>
      <c r="NPN27" s="19"/>
      <c r="NPO27" s="19"/>
      <c r="NPP27" s="19"/>
      <c r="NPQ27" s="19"/>
      <c r="NPR27" s="19"/>
      <c r="NPS27" s="19"/>
      <c r="NPT27" s="19"/>
      <c r="NPU27" s="19"/>
      <c r="NPV27" s="19"/>
      <c r="NPW27" s="19"/>
      <c r="NPX27" s="19"/>
      <c r="NPY27" s="19"/>
      <c r="NPZ27" s="19"/>
      <c r="NQA27" s="19"/>
      <c r="NQB27" s="19"/>
      <c r="NQC27" s="19"/>
      <c r="NQD27" s="19"/>
      <c r="NQE27" s="19"/>
      <c r="NQF27" s="19"/>
      <c r="NQG27" s="19"/>
      <c r="NQH27" s="19"/>
      <c r="NQI27" s="19"/>
      <c r="NQJ27" s="19"/>
      <c r="NQK27" s="19"/>
      <c r="NQL27" s="19"/>
      <c r="NQM27" s="19"/>
      <c r="NQN27" s="19"/>
      <c r="NQO27" s="19"/>
      <c r="NQP27" s="19"/>
      <c r="NQQ27" s="19"/>
      <c r="NQR27" s="19"/>
      <c r="NQS27" s="19"/>
      <c r="NQT27" s="19"/>
      <c r="NQU27" s="19"/>
      <c r="NQV27" s="19"/>
      <c r="NQW27" s="19"/>
      <c r="NQX27" s="19"/>
      <c r="NQY27" s="19"/>
      <c r="NQZ27" s="19"/>
      <c r="NRA27" s="19"/>
      <c r="NRB27" s="19"/>
      <c r="NRC27" s="19"/>
      <c r="NRD27" s="19"/>
      <c r="NRE27" s="19"/>
      <c r="NRF27" s="19"/>
      <c r="NRG27" s="19"/>
      <c r="NRH27" s="19"/>
      <c r="NRI27" s="19"/>
      <c r="NRJ27" s="19"/>
      <c r="NRK27" s="19"/>
      <c r="NRL27" s="19"/>
      <c r="NRM27" s="19"/>
      <c r="NRN27" s="19"/>
      <c r="NRO27" s="19"/>
      <c r="NRP27" s="19"/>
      <c r="NRQ27" s="19"/>
      <c r="NRR27" s="19"/>
      <c r="NRS27" s="19"/>
      <c r="NRT27" s="19"/>
      <c r="NRU27" s="19"/>
      <c r="NRV27" s="19"/>
      <c r="NRW27" s="19"/>
      <c r="NRX27" s="19"/>
      <c r="NRY27" s="19"/>
      <c r="NRZ27" s="19"/>
      <c r="NSA27" s="19"/>
      <c r="NSB27" s="19"/>
      <c r="NSC27" s="19"/>
      <c r="NSD27" s="19"/>
      <c r="NSE27" s="19"/>
      <c r="NSF27" s="19"/>
      <c r="NSG27" s="19"/>
      <c r="NSH27" s="19"/>
      <c r="NSI27" s="19"/>
      <c r="NSJ27" s="19"/>
      <c r="NSK27" s="19"/>
      <c r="NSL27" s="19"/>
      <c r="NSM27" s="19"/>
      <c r="NSN27" s="19"/>
      <c r="NSO27" s="19"/>
      <c r="NSP27" s="19"/>
      <c r="NSQ27" s="19"/>
      <c r="NSR27" s="19"/>
      <c r="NSS27" s="19"/>
      <c r="NST27" s="19"/>
      <c r="NSU27" s="19"/>
      <c r="NSV27" s="19"/>
      <c r="NSW27" s="19"/>
      <c r="NSX27" s="19"/>
      <c r="NSY27" s="19"/>
      <c r="NSZ27" s="19"/>
      <c r="NTA27" s="19"/>
      <c r="NTB27" s="19"/>
      <c r="NTC27" s="19"/>
      <c r="NTD27" s="19"/>
      <c r="NTE27" s="19"/>
      <c r="NTF27" s="19"/>
      <c r="NTG27" s="19"/>
      <c r="NTH27" s="19"/>
      <c r="NTI27" s="19"/>
      <c r="NTJ27" s="19"/>
      <c r="NTK27" s="19"/>
      <c r="NTL27" s="19"/>
      <c r="NTM27" s="19"/>
      <c r="NTN27" s="19"/>
      <c r="NTO27" s="19"/>
      <c r="NTP27" s="19"/>
      <c r="NTQ27" s="19"/>
      <c r="NTR27" s="19"/>
      <c r="NTS27" s="19"/>
      <c r="NTT27" s="19"/>
      <c r="NTU27" s="19"/>
      <c r="NTV27" s="19"/>
      <c r="NTW27" s="19"/>
      <c r="NTX27" s="19"/>
      <c r="NTY27" s="19"/>
      <c r="NTZ27" s="19"/>
      <c r="NUA27" s="19"/>
      <c r="NUB27" s="19"/>
      <c r="NUC27" s="19"/>
      <c r="NUD27" s="19"/>
      <c r="NUE27" s="19"/>
      <c r="NUF27" s="19"/>
      <c r="NUG27" s="19"/>
      <c r="NUH27" s="19"/>
      <c r="NUI27" s="19"/>
      <c r="NUJ27" s="19"/>
      <c r="NUK27" s="19"/>
      <c r="NUL27" s="19"/>
      <c r="NUM27" s="19"/>
      <c r="NUN27" s="19"/>
      <c r="NUO27" s="19"/>
      <c r="NUP27" s="19"/>
      <c r="NUQ27" s="19"/>
      <c r="NUR27" s="19"/>
      <c r="NUS27" s="19"/>
      <c r="NUT27" s="19"/>
      <c r="NUU27" s="19"/>
      <c r="NUV27" s="19"/>
      <c r="NUW27" s="19"/>
      <c r="NUX27" s="19"/>
      <c r="NUY27" s="19"/>
      <c r="NUZ27" s="19"/>
      <c r="NVA27" s="19"/>
      <c r="NVB27" s="19"/>
      <c r="NVC27" s="19"/>
      <c r="NVD27" s="19"/>
      <c r="NVE27" s="19"/>
      <c r="NVF27" s="19"/>
      <c r="NVG27" s="19"/>
      <c r="NVH27" s="19"/>
      <c r="NVI27" s="19"/>
      <c r="NVJ27" s="19"/>
      <c r="NVK27" s="19"/>
      <c r="NVL27" s="19"/>
      <c r="NVM27" s="19"/>
      <c r="NVN27" s="19"/>
      <c r="NVO27" s="19"/>
      <c r="NVP27" s="19"/>
      <c r="NVQ27" s="19"/>
      <c r="NVR27" s="19"/>
      <c r="NVS27" s="19"/>
      <c r="NVT27" s="19"/>
      <c r="NVU27" s="19"/>
      <c r="NVV27" s="19"/>
      <c r="NVW27" s="19"/>
      <c r="NVX27" s="19"/>
      <c r="NVY27" s="19"/>
      <c r="NVZ27" s="19"/>
      <c r="NWA27" s="19"/>
      <c r="NWB27" s="19"/>
      <c r="NWC27" s="19"/>
      <c r="NWD27" s="19"/>
      <c r="NWE27" s="19"/>
      <c r="NWF27" s="19"/>
      <c r="NWG27" s="19"/>
      <c r="NWH27" s="19"/>
      <c r="NWI27" s="19"/>
      <c r="NWJ27" s="19"/>
      <c r="NWK27" s="19"/>
      <c r="NWL27" s="19"/>
      <c r="NWM27" s="19"/>
      <c r="NWN27" s="19"/>
      <c r="NWO27" s="19"/>
      <c r="NWP27" s="19"/>
      <c r="NWQ27" s="19"/>
      <c r="NWR27" s="19"/>
      <c r="NWS27" s="19"/>
      <c r="NWT27" s="19"/>
      <c r="NWU27" s="19"/>
      <c r="NWV27" s="19"/>
      <c r="NWW27" s="19"/>
      <c r="NWX27" s="19"/>
      <c r="NWY27" s="19"/>
      <c r="NWZ27" s="19"/>
      <c r="NXA27" s="19"/>
      <c r="NXB27" s="19"/>
      <c r="NXC27" s="19"/>
      <c r="NXD27" s="19"/>
      <c r="NXE27" s="19"/>
      <c r="NXF27" s="19"/>
      <c r="NXG27" s="19"/>
      <c r="NXH27" s="19"/>
      <c r="NXI27" s="19"/>
      <c r="NXJ27" s="19"/>
      <c r="NXK27" s="19"/>
      <c r="NXL27" s="19"/>
      <c r="NXM27" s="19"/>
      <c r="NXN27" s="19"/>
      <c r="NXO27" s="19"/>
      <c r="NXP27" s="19"/>
      <c r="NXQ27" s="19"/>
      <c r="NXR27" s="19"/>
      <c r="NXS27" s="19"/>
      <c r="NXT27" s="19"/>
      <c r="NXU27" s="19"/>
      <c r="NXV27" s="19"/>
      <c r="NXW27" s="19"/>
      <c r="NXX27" s="19"/>
      <c r="NXY27" s="19"/>
      <c r="NXZ27" s="19"/>
      <c r="NYA27" s="19"/>
      <c r="NYB27" s="19"/>
      <c r="NYC27" s="19"/>
      <c r="NYD27" s="19"/>
      <c r="NYE27" s="19"/>
      <c r="NYF27" s="19"/>
      <c r="NYG27" s="19"/>
      <c r="NYH27" s="19"/>
      <c r="NYI27" s="19"/>
      <c r="NYJ27" s="19"/>
      <c r="NYK27" s="19"/>
      <c r="NYL27" s="19"/>
      <c r="NYM27" s="19"/>
      <c r="NYN27" s="19"/>
      <c r="NYO27" s="19"/>
      <c r="NYP27" s="19"/>
      <c r="NYQ27" s="19"/>
      <c r="NYR27" s="19"/>
      <c r="NYS27" s="19"/>
      <c r="NYT27" s="19"/>
      <c r="NYU27" s="19"/>
      <c r="NYV27" s="19"/>
      <c r="NYW27" s="19"/>
      <c r="NYX27" s="19"/>
      <c r="NYY27" s="19"/>
      <c r="NYZ27" s="19"/>
      <c r="NZA27" s="19"/>
      <c r="NZB27" s="19"/>
      <c r="NZC27" s="19"/>
      <c r="NZD27" s="19"/>
      <c r="NZE27" s="19"/>
      <c r="NZF27" s="19"/>
      <c r="NZG27" s="19"/>
      <c r="NZH27" s="19"/>
      <c r="NZI27" s="19"/>
      <c r="NZJ27" s="19"/>
      <c r="NZK27" s="19"/>
      <c r="NZL27" s="19"/>
      <c r="NZM27" s="19"/>
      <c r="NZN27" s="19"/>
      <c r="NZO27" s="19"/>
      <c r="NZP27" s="19"/>
      <c r="NZQ27" s="19"/>
      <c r="NZR27" s="19"/>
      <c r="NZS27" s="19"/>
      <c r="NZT27" s="19"/>
      <c r="NZU27" s="19"/>
      <c r="NZV27" s="19"/>
      <c r="NZW27" s="19"/>
      <c r="NZX27" s="19"/>
      <c r="NZY27" s="19"/>
      <c r="NZZ27" s="19"/>
      <c r="OAA27" s="19"/>
      <c r="OAB27" s="19"/>
      <c r="OAC27" s="19"/>
      <c r="OAD27" s="19"/>
      <c r="OAE27" s="19"/>
      <c r="OAF27" s="19"/>
      <c r="OAG27" s="19"/>
      <c r="OAH27" s="19"/>
      <c r="OAI27" s="19"/>
      <c r="OAJ27" s="19"/>
      <c r="OAK27" s="19"/>
      <c r="OAL27" s="19"/>
      <c r="OAM27" s="19"/>
      <c r="OAN27" s="19"/>
      <c r="OAO27" s="19"/>
      <c r="OAP27" s="19"/>
      <c r="OAQ27" s="19"/>
      <c r="OAR27" s="19"/>
      <c r="OAS27" s="19"/>
      <c r="OAT27" s="19"/>
      <c r="OAU27" s="19"/>
      <c r="OAV27" s="19"/>
      <c r="OAW27" s="19"/>
      <c r="OAX27" s="19"/>
      <c r="OAY27" s="19"/>
      <c r="OAZ27" s="19"/>
      <c r="OBA27" s="19"/>
      <c r="OBB27" s="19"/>
      <c r="OBC27" s="19"/>
      <c r="OBD27" s="19"/>
      <c r="OBE27" s="19"/>
      <c r="OBF27" s="19"/>
      <c r="OBG27" s="19"/>
      <c r="OBH27" s="19"/>
      <c r="OBI27" s="19"/>
      <c r="OBJ27" s="19"/>
      <c r="OBK27" s="19"/>
      <c r="OBL27" s="19"/>
      <c r="OBM27" s="19"/>
      <c r="OBN27" s="19"/>
      <c r="OBO27" s="19"/>
      <c r="OBP27" s="19"/>
      <c r="OBQ27" s="19"/>
      <c r="OBR27" s="19"/>
      <c r="OBS27" s="19"/>
      <c r="OBT27" s="19"/>
      <c r="OBU27" s="19"/>
      <c r="OBV27" s="19"/>
      <c r="OBW27" s="19"/>
      <c r="OBX27" s="19"/>
      <c r="OBY27" s="19"/>
      <c r="OBZ27" s="19"/>
      <c r="OCA27" s="19"/>
      <c r="OCB27" s="19"/>
      <c r="OCC27" s="19"/>
      <c r="OCD27" s="19"/>
      <c r="OCE27" s="19"/>
      <c r="OCF27" s="19"/>
      <c r="OCG27" s="19"/>
      <c r="OCH27" s="19"/>
      <c r="OCI27" s="19"/>
      <c r="OCJ27" s="19"/>
      <c r="OCK27" s="19"/>
      <c r="OCL27" s="19"/>
      <c r="OCM27" s="19"/>
      <c r="OCN27" s="19"/>
      <c r="OCO27" s="19"/>
      <c r="OCP27" s="19"/>
      <c r="OCQ27" s="19"/>
      <c r="OCR27" s="19"/>
      <c r="OCS27" s="19"/>
      <c r="OCT27" s="19"/>
      <c r="OCU27" s="19"/>
      <c r="OCV27" s="19"/>
      <c r="OCW27" s="19"/>
      <c r="OCX27" s="19"/>
      <c r="OCY27" s="19"/>
      <c r="OCZ27" s="19"/>
      <c r="ODA27" s="19"/>
      <c r="ODB27" s="19"/>
      <c r="ODC27" s="19"/>
      <c r="ODD27" s="19"/>
      <c r="ODE27" s="19"/>
      <c r="ODF27" s="19"/>
      <c r="ODG27" s="19"/>
      <c r="ODH27" s="19"/>
      <c r="ODI27" s="19"/>
      <c r="ODJ27" s="19"/>
      <c r="ODK27" s="19"/>
      <c r="ODL27" s="19"/>
      <c r="ODM27" s="19"/>
      <c r="ODN27" s="19"/>
      <c r="ODO27" s="19"/>
      <c r="ODP27" s="19"/>
      <c r="ODQ27" s="19"/>
      <c r="ODR27" s="19"/>
      <c r="ODS27" s="19"/>
      <c r="ODT27" s="19"/>
      <c r="ODU27" s="19"/>
      <c r="ODV27" s="19"/>
      <c r="ODW27" s="19"/>
      <c r="ODX27" s="19"/>
      <c r="ODY27" s="19"/>
      <c r="ODZ27" s="19"/>
      <c r="OEA27" s="19"/>
      <c r="OEB27" s="19"/>
      <c r="OEC27" s="19"/>
      <c r="OED27" s="19"/>
      <c r="OEE27" s="19"/>
      <c r="OEF27" s="19"/>
      <c r="OEG27" s="19"/>
      <c r="OEH27" s="19"/>
      <c r="OEI27" s="19"/>
      <c r="OEJ27" s="19"/>
      <c r="OEK27" s="19"/>
      <c r="OEL27" s="19"/>
      <c r="OEM27" s="19"/>
      <c r="OEN27" s="19"/>
      <c r="OEO27" s="19"/>
      <c r="OEP27" s="19"/>
      <c r="OEQ27" s="19"/>
      <c r="OER27" s="19"/>
      <c r="OES27" s="19"/>
      <c r="OET27" s="19"/>
      <c r="OEU27" s="19"/>
      <c r="OEV27" s="19"/>
      <c r="OEW27" s="19"/>
      <c r="OEX27" s="19"/>
      <c r="OEY27" s="19"/>
      <c r="OEZ27" s="19"/>
      <c r="OFA27" s="19"/>
      <c r="OFB27" s="19"/>
      <c r="OFC27" s="19"/>
      <c r="OFD27" s="19"/>
      <c r="OFE27" s="19"/>
      <c r="OFF27" s="19"/>
      <c r="OFG27" s="19"/>
      <c r="OFH27" s="19"/>
      <c r="OFI27" s="19"/>
      <c r="OFJ27" s="19"/>
      <c r="OFK27" s="19"/>
      <c r="OFL27" s="19"/>
      <c r="OFM27" s="19"/>
      <c r="OFN27" s="19"/>
      <c r="OFO27" s="19"/>
      <c r="OFP27" s="19"/>
      <c r="OFQ27" s="19"/>
      <c r="OFR27" s="19"/>
      <c r="OFS27" s="19"/>
      <c r="OFT27" s="19"/>
      <c r="OFU27" s="19"/>
      <c r="OFV27" s="19"/>
      <c r="OFW27" s="19"/>
      <c r="OFX27" s="19"/>
      <c r="OFY27" s="19"/>
      <c r="OFZ27" s="19"/>
      <c r="OGA27" s="19"/>
      <c r="OGB27" s="19"/>
      <c r="OGC27" s="19"/>
      <c r="OGD27" s="19"/>
      <c r="OGE27" s="19"/>
      <c r="OGF27" s="19"/>
      <c r="OGG27" s="19"/>
      <c r="OGH27" s="19"/>
      <c r="OGI27" s="19"/>
      <c r="OGJ27" s="19"/>
      <c r="OGK27" s="19"/>
      <c r="OGL27" s="19"/>
      <c r="OGM27" s="19"/>
      <c r="OGN27" s="19"/>
      <c r="OGO27" s="19"/>
      <c r="OGP27" s="19"/>
      <c r="OGQ27" s="19"/>
      <c r="OGR27" s="19"/>
      <c r="OGS27" s="19"/>
      <c r="OGT27" s="19"/>
      <c r="OGU27" s="19"/>
      <c r="OGV27" s="19"/>
      <c r="OGW27" s="19"/>
      <c r="OGX27" s="19"/>
      <c r="OGY27" s="19"/>
      <c r="OGZ27" s="19"/>
      <c r="OHA27" s="19"/>
      <c r="OHB27" s="19"/>
      <c r="OHC27" s="19"/>
      <c r="OHD27" s="19"/>
      <c r="OHE27" s="19"/>
      <c r="OHF27" s="19"/>
      <c r="OHG27" s="19"/>
      <c r="OHH27" s="19"/>
      <c r="OHI27" s="19"/>
      <c r="OHJ27" s="19"/>
      <c r="OHK27" s="19"/>
      <c r="OHL27" s="19"/>
      <c r="OHM27" s="19"/>
      <c r="OHN27" s="19"/>
      <c r="OHO27" s="19"/>
      <c r="OHP27" s="19"/>
      <c r="OHQ27" s="19"/>
      <c r="OHR27" s="19"/>
      <c r="OHS27" s="19"/>
      <c r="OHT27" s="19"/>
      <c r="OHU27" s="19"/>
      <c r="OHV27" s="19"/>
      <c r="OHW27" s="19"/>
      <c r="OHX27" s="19"/>
      <c r="OHY27" s="19"/>
      <c r="OHZ27" s="19"/>
      <c r="OIA27" s="19"/>
      <c r="OIB27" s="19"/>
      <c r="OIC27" s="19"/>
      <c r="OID27" s="19"/>
      <c r="OIE27" s="19"/>
      <c r="OIF27" s="19"/>
      <c r="OIG27" s="19"/>
      <c r="OIH27" s="19"/>
      <c r="OII27" s="19"/>
      <c r="OIJ27" s="19"/>
      <c r="OIK27" s="19"/>
      <c r="OIL27" s="19"/>
      <c r="OIM27" s="19"/>
      <c r="OIN27" s="19"/>
      <c r="OIO27" s="19"/>
      <c r="OIP27" s="19"/>
      <c r="OIQ27" s="19"/>
      <c r="OIR27" s="19"/>
      <c r="OIS27" s="19"/>
      <c r="OIT27" s="19"/>
      <c r="OIU27" s="19"/>
      <c r="OIV27" s="19"/>
      <c r="OIW27" s="19"/>
      <c r="OIX27" s="19"/>
      <c r="OIY27" s="19"/>
      <c r="OIZ27" s="19"/>
      <c r="OJA27" s="19"/>
      <c r="OJB27" s="19"/>
      <c r="OJC27" s="19"/>
      <c r="OJD27" s="19"/>
      <c r="OJE27" s="19"/>
      <c r="OJF27" s="19"/>
      <c r="OJG27" s="19"/>
      <c r="OJH27" s="19"/>
      <c r="OJI27" s="19"/>
      <c r="OJJ27" s="19"/>
      <c r="OJK27" s="19"/>
      <c r="OJL27" s="19"/>
      <c r="OJM27" s="19"/>
      <c r="OJN27" s="19"/>
      <c r="OJO27" s="19"/>
      <c r="OJP27" s="19"/>
      <c r="OJQ27" s="19"/>
      <c r="OJR27" s="19"/>
      <c r="OJS27" s="19"/>
      <c r="OJT27" s="19"/>
      <c r="OJU27" s="19"/>
      <c r="OJV27" s="19"/>
      <c r="OJW27" s="19"/>
      <c r="OJX27" s="19"/>
      <c r="OJY27" s="19"/>
      <c r="OJZ27" s="19"/>
      <c r="OKA27" s="19"/>
      <c r="OKB27" s="19"/>
      <c r="OKC27" s="19"/>
      <c r="OKD27" s="19"/>
      <c r="OKE27" s="19"/>
      <c r="OKF27" s="19"/>
      <c r="OKG27" s="19"/>
      <c r="OKH27" s="19"/>
      <c r="OKI27" s="19"/>
      <c r="OKJ27" s="19"/>
      <c r="OKK27" s="19"/>
      <c r="OKL27" s="19"/>
      <c r="OKM27" s="19"/>
      <c r="OKN27" s="19"/>
      <c r="OKO27" s="19"/>
      <c r="OKP27" s="19"/>
      <c r="OKQ27" s="19"/>
      <c r="OKR27" s="19"/>
      <c r="OKS27" s="19"/>
      <c r="OKT27" s="19"/>
      <c r="OKU27" s="19"/>
      <c r="OKV27" s="19"/>
      <c r="OKW27" s="19"/>
      <c r="OKX27" s="19"/>
      <c r="OKY27" s="19"/>
      <c r="OKZ27" s="19"/>
      <c r="OLA27" s="19"/>
      <c r="OLB27" s="19"/>
      <c r="OLC27" s="19"/>
      <c r="OLD27" s="19"/>
      <c r="OLE27" s="19"/>
      <c r="OLF27" s="19"/>
      <c r="OLG27" s="19"/>
      <c r="OLH27" s="19"/>
      <c r="OLI27" s="19"/>
      <c r="OLJ27" s="19"/>
      <c r="OLK27" s="19"/>
      <c r="OLL27" s="19"/>
      <c r="OLM27" s="19"/>
      <c r="OLN27" s="19"/>
      <c r="OLO27" s="19"/>
      <c r="OLP27" s="19"/>
      <c r="OLQ27" s="19"/>
      <c r="OLR27" s="19"/>
      <c r="OLS27" s="19"/>
      <c r="OLT27" s="19"/>
      <c r="OLU27" s="19"/>
      <c r="OLV27" s="19"/>
      <c r="OLW27" s="19"/>
      <c r="OLX27" s="19"/>
      <c r="OLY27" s="19"/>
      <c r="OLZ27" s="19"/>
      <c r="OMA27" s="19"/>
      <c r="OMB27" s="19"/>
      <c r="OMC27" s="19"/>
      <c r="OMD27" s="19"/>
      <c r="OME27" s="19"/>
      <c r="OMF27" s="19"/>
      <c r="OMG27" s="19"/>
      <c r="OMH27" s="19"/>
      <c r="OMI27" s="19"/>
      <c r="OMJ27" s="19"/>
      <c r="OMK27" s="19"/>
      <c r="OML27" s="19"/>
      <c r="OMM27" s="19"/>
      <c r="OMN27" s="19"/>
      <c r="OMO27" s="19"/>
      <c r="OMP27" s="19"/>
      <c r="OMQ27" s="19"/>
      <c r="OMR27" s="19"/>
      <c r="OMS27" s="19"/>
      <c r="OMT27" s="19"/>
      <c r="OMU27" s="19"/>
      <c r="OMV27" s="19"/>
      <c r="OMW27" s="19"/>
      <c r="OMX27" s="19"/>
      <c r="OMY27" s="19"/>
      <c r="OMZ27" s="19"/>
      <c r="ONA27" s="19"/>
      <c r="ONB27" s="19"/>
      <c r="ONC27" s="19"/>
      <c r="OND27" s="19"/>
      <c r="ONE27" s="19"/>
      <c r="ONF27" s="19"/>
      <c r="ONG27" s="19"/>
      <c r="ONH27" s="19"/>
      <c r="ONI27" s="19"/>
      <c r="ONJ27" s="19"/>
      <c r="ONK27" s="19"/>
      <c r="ONL27" s="19"/>
      <c r="ONM27" s="19"/>
      <c r="ONN27" s="19"/>
      <c r="ONO27" s="19"/>
      <c r="ONP27" s="19"/>
      <c r="ONQ27" s="19"/>
      <c r="ONR27" s="19"/>
      <c r="ONS27" s="19"/>
      <c r="ONT27" s="19"/>
      <c r="ONU27" s="19"/>
      <c r="ONV27" s="19"/>
      <c r="ONW27" s="19"/>
      <c r="ONX27" s="19"/>
      <c r="ONY27" s="19"/>
      <c r="ONZ27" s="19"/>
      <c r="OOA27" s="19"/>
      <c r="OOB27" s="19"/>
      <c r="OOC27" s="19"/>
      <c r="OOD27" s="19"/>
      <c r="OOE27" s="19"/>
      <c r="OOF27" s="19"/>
      <c r="OOG27" s="19"/>
      <c r="OOH27" s="19"/>
      <c r="OOI27" s="19"/>
      <c r="OOJ27" s="19"/>
      <c r="OOK27" s="19"/>
      <c r="OOL27" s="19"/>
      <c r="OOM27" s="19"/>
      <c r="OON27" s="19"/>
      <c r="OOO27" s="19"/>
      <c r="OOP27" s="19"/>
      <c r="OOQ27" s="19"/>
      <c r="OOR27" s="19"/>
      <c r="OOS27" s="19"/>
      <c r="OOT27" s="19"/>
      <c r="OOU27" s="19"/>
      <c r="OOV27" s="19"/>
      <c r="OOW27" s="19"/>
      <c r="OOX27" s="19"/>
      <c r="OOY27" s="19"/>
      <c r="OOZ27" s="19"/>
      <c r="OPA27" s="19"/>
      <c r="OPB27" s="19"/>
      <c r="OPC27" s="19"/>
      <c r="OPD27" s="19"/>
      <c r="OPE27" s="19"/>
      <c r="OPF27" s="19"/>
      <c r="OPG27" s="19"/>
      <c r="OPH27" s="19"/>
      <c r="OPI27" s="19"/>
      <c r="OPJ27" s="19"/>
      <c r="OPK27" s="19"/>
      <c r="OPL27" s="19"/>
      <c r="OPM27" s="19"/>
      <c r="OPN27" s="19"/>
      <c r="OPO27" s="19"/>
      <c r="OPP27" s="19"/>
      <c r="OPQ27" s="19"/>
      <c r="OPR27" s="19"/>
      <c r="OPS27" s="19"/>
      <c r="OPT27" s="19"/>
      <c r="OPU27" s="19"/>
      <c r="OPV27" s="19"/>
      <c r="OPW27" s="19"/>
      <c r="OPX27" s="19"/>
      <c r="OPY27" s="19"/>
      <c r="OPZ27" s="19"/>
      <c r="OQA27" s="19"/>
      <c r="OQB27" s="19"/>
      <c r="OQC27" s="19"/>
      <c r="OQD27" s="19"/>
      <c r="OQE27" s="19"/>
      <c r="OQF27" s="19"/>
      <c r="OQG27" s="19"/>
      <c r="OQH27" s="19"/>
      <c r="OQI27" s="19"/>
      <c r="OQJ27" s="19"/>
      <c r="OQK27" s="19"/>
      <c r="OQL27" s="19"/>
      <c r="OQM27" s="19"/>
      <c r="OQN27" s="19"/>
      <c r="OQO27" s="19"/>
      <c r="OQP27" s="19"/>
      <c r="OQQ27" s="19"/>
      <c r="OQR27" s="19"/>
      <c r="OQS27" s="19"/>
      <c r="OQT27" s="19"/>
      <c r="OQU27" s="19"/>
      <c r="OQV27" s="19"/>
      <c r="OQW27" s="19"/>
      <c r="OQX27" s="19"/>
      <c r="OQY27" s="19"/>
      <c r="OQZ27" s="19"/>
      <c r="ORA27" s="19"/>
      <c r="ORB27" s="19"/>
      <c r="ORC27" s="19"/>
      <c r="ORD27" s="19"/>
      <c r="ORE27" s="19"/>
      <c r="ORF27" s="19"/>
      <c r="ORG27" s="19"/>
      <c r="ORH27" s="19"/>
      <c r="ORI27" s="19"/>
      <c r="ORJ27" s="19"/>
      <c r="ORK27" s="19"/>
      <c r="ORL27" s="19"/>
      <c r="ORM27" s="19"/>
      <c r="ORN27" s="19"/>
      <c r="ORO27" s="19"/>
      <c r="ORP27" s="19"/>
      <c r="ORQ27" s="19"/>
      <c r="ORR27" s="19"/>
      <c r="ORS27" s="19"/>
      <c r="ORT27" s="19"/>
      <c r="ORU27" s="19"/>
      <c r="ORV27" s="19"/>
      <c r="ORW27" s="19"/>
      <c r="ORX27" s="19"/>
      <c r="ORY27" s="19"/>
      <c r="ORZ27" s="19"/>
      <c r="OSA27" s="19"/>
      <c r="OSB27" s="19"/>
      <c r="OSC27" s="19"/>
      <c r="OSD27" s="19"/>
      <c r="OSE27" s="19"/>
      <c r="OSF27" s="19"/>
      <c r="OSG27" s="19"/>
      <c r="OSH27" s="19"/>
      <c r="OSI27" s="19"/>
      <c r="OSJ27" s="19"/>
      <c r="OSK27" s="19"/>
      <c r="OSL27" s="19"/>
      <c r="OSM27" s="19"/>
      <c r="OSN27" s="19"/>
      <c r="OSO27" s="19"/>
      <c r="OSP27" s="19"/>
      <c r="OSQ27" s="19"/>
      <c r="OSR27" s="19"/>
      <c r="OSS27" s="19"/>
      <c r="OST27" s="19"/>
      <c r="OSU27" s="19"/>
      <c r="OSV27" s="19"/>
      <c r="OSW27" s="19"/>
      <c r="OSX27" s="19"/>
      <c r="OSY27" s="19"/>
      <c r="OSZ27" s="19"/>
      <c r="OTA27" s="19"/>
      <c r="OTB27" s="19"/>
      <c r="OTC27" s="19"/>
      <c r="OTD27" s="19"/>
      <c r="OTE27" s="19"/>
      <c r="OTF27" s="19"/>
      <c r="OTG27" s="19"/>
      <c r="OTH27" s="19"/>
      <c r="OTI27" s="19"/>
      <c r="OTJ27" s="19"/>
      <c r="OTK27" s="19"/>
      <c r="OTL27" s="19"/>
      <c r="OTM27" s="19"/>
      <c r="OTN27" s="19"/>
      <c r="OTO27" s="19"/>
      <c r="OTP27" s="19"/>
      <c r="OTQ27" s="19"/>
      <c r="OTR27" s="19"/>
      <c r="OTS27" s="19"/>
      <c r="OTT27" s="19"/>
      <c r="OTU27" s="19"/>
      <c r="OTV27" s="19"/>
      <c r="OTW27" s="19"/>
      <c r="OTX27" s="19"/>
      <c r="OTY27" s="19"/>
      <c r="OTZ27" s="19"/>
      <c r="OUA27" s="19"/>
      <c r="OUB27" s="19"/>
      <c r="OUC27" s="19"/>
      <c r="OUD27" s="19"/>
      <c r="OUE27" s="19"/>
      <c r="OUF27" s="19"/>
      <c r="OUG27" s="19"/>
      <c r="OUH27" s="19"/>
      <c r="OUI27" s="19"/>
      <c r="OUJ27" s="19"/>
      <c r="OUK27" s="19"/>
      <c r="OUL27" s="19"/>
      <c r="OUM27" s="19"/>
      <c r="OUN27" s="19"/>
      <c r="OUO27" s="19"/>
      <c r="OUP27" s="19"/>
      <c r="OUQ27" s="19"/>
      <c r="OUR27" s="19"/>
      <c r="OUS27" s="19"/>
      <c r="OUT27" s="19"/>
      <c r="OUU27" s="19"/>
      <c r="OUV27" s="19"/>
      <c r="OUW27" s="19"/>
      <c r="OUX27" s="19"/>
      <c r="OUY27" s="19"/>
      <c r="OUZ27" s="19"/>
      <c r="OVA27" s="19"/>
      <c r="OVB27" s="19"/>
      <c r="OVC27" s="19"/>
      <c r="OVD27" s="19"/>
      <c r="OVE27" s="19"/>
      <c r="OVF27" s="19"/>
      <c r="OVG27" s="19"/>
      <c r="OVH27" s="19"/>
      <c r="OVI27" s="19"/>
      <c r="OVJ27" s="19"/>
      <c r="OVK27" s="19"/>
      <c r="OVL27" s="19"/>
      <c r="OVM27" s="19"/>
      <c r="OVN27" s="19"/>
      <c r="OVO27" s="19"/>
      <c r="OVP27" s="19"/>
      <c r="OVQ27" s="19"/>
      <c r="OVR27" s="19"/>
      <c r="OVS27" s="19"/>
      <c r="OVT27" s="19"/>
      <c r="OVU27" s="19"/>
      <c r="OVV27" s="19"/>
      <c r="OVW27" s="19"/>
      <c r="OVX27" s="19"/>
      <c r="OVY27" s="19"/>
      <c r="OVZ27" s="19"/>
      <c r="OWA27" s="19"/>
      <c r="OWB27" s="19"/>
      <c r="OWC27" s="19"/>
      <c r="OWD27" s="19"/>
      <c r="OWE27" s="19"/>
      <c r="OWF27" s="19"/>
      <c r="OWG27" s="19"/>
      <c r="OWH27" s="19"/>
      <c r="OWI27" s="19"/>
      <c r="OWJ27" s="19"/>
      <c r="OWK27" s="19"/>
      <c r="OWL27" s="19"/>
      <c r="OWM27" s="19"/>
      <c r="OWN27" s="19"/>
      <c r="OWO27" s="19"/>
      <c r="OWP27" s="19"/>
      <c r="OWQ27" s="19"/>
      <c r="OWR27" s="19"/>
      <c r="OWS27" s="19"/>
      <c r="OWT27" s="19"/>
      <c r="OWU27" s="19"/>
      <c r="OWV27" s="19"/>
      <c r="OWW27" s="19"/>
      <c r="OWX27" s="19"/>
      <c r="OWY27" s="19"/>
      <c r="OWZ27" s="19"/>
      <c r="OXA27" s="19"/>
      <c r="OXB27" s="19"/>
      <c r="OXC27" s="19"/>
      <c r="OXD27" s="19"/>
      <c r="OXE27" s="19"/>
      <c r="OXF27" s="19"/>
      <c r="OXG27" s="19"/>
      <c r="OXH27" s="19"/>
      <c r="OXI27" s="19"/>
      <c r="OXJ27" s="19"/>
      <c r="OXK27" s="19"/>
      <c r="OXL27" s="19"/>
      <c r="OXM27" s="19"/>
      <c r="OXN27" s="19"/>
      <c r="OXO27" s="19"/>
      <c r="OXP27" s="19"/>
      <c r="OXQ27" s="19"/>
      <c r="OXR27" s="19"/>
      <c r="OXS27" s="19"/>
      <c r="OXT27" s="19"/>
      <c r="OXU27" s="19"/>
      <c r="OXV27" s="19"/>
      <c r="OXW27" s="19"/>
      <c r="OXX27" s="19"/>
      <c r="OXY27" s="19"/>
      <c r="OXZ27" s="19"/>
      <c r="OYA27" s="19"/>
      <c r="OYB27" s="19"/>
      <c r="OYC27" s="19"/>
      <c r="OYD27" s="19"/>
      <c r="OYE27" s="19"/>
      <c r="OYF27" s="19"/>
      <c r="OYG27" s="19"/>
      <c r="OYH27" s="19"/>
      <c r="OYI27" s="19"/>
      <c r="OYJ27" s="19"/>
      <c r="OYK27" s="19"/>
      <c r="OYL27" s="19"/>
      <c r="OYM27" s="19"/>
      <c r="OYN27" s="19"/>
      <c r="OYO27" s="19"/>
      <c r="OYP27" s="19"/>
      <c r="OYQ27" s="19"/>
      <c r="OYR27" s="19"/>
      <c r="OYS27" s="19"/>
      <c r="OYT27" s="19"/>
      <c r="OYU27" s="19"/>
      <c r="OYV27" s="19"/>
      <c r="OYW27" s="19"/>
      <c r="OYX27" s="19"/>
      <c r="OYY27" s="19"/>
      <c r="OYZ27" s="19"/>
      <c r="OZA27" s="19"/>
      <c r="OZB27" s="19"/>
      <c r="OZC27" s="19"/>
      <c r="OZD27" s="19"/>
      <c r="OZE27" s="19"/>
      <c r="OZF27" s="19"/>
      <c r="OZG27" s="19"/>
      <c r="OZH27" s="19"/>
      <c r="OZI27" s="19"/>
      <c r="OZJ27" s="19"/>
      <c r="OZK27" s="19"/>
      <c r="OZL27" s="19"/>
      <c r="OZM27" s="19"/>
      <c r="OZN27" s="19"/>
      <c r="OZO27" s="19"/>
      <c r="OZP27" s="19"/>
      <c r="OZQ27" s="19"/>
      <c r="OZR27" s="19"/>
      <c r="OZS27" s="19"/>
      <c r="OZT27" s="19"/>
      <c r="OZU27" s="19"/>
      <c r="OZV27" s="19"/>
      <c r="OZW27" s="19"/>
      <c r="OZX27" s="19"/>
      <c r="OZY27" s="19"/>
      <c r="OZZ27" s="19"/>
      <c r="PAA27" s="19"/>
      <c r="PAB27" s="19"/>
      <c r="PAC27" s="19"/>
      <c r="PAD27" s="19"/>
      <c r="PAE27" s="19"/>
      <c r="PAF27" s="19"/>
      <c r="PAG27" s="19"/>
      <c r="PAH27" s="19"/>
      <c r="PAI27" s="19"/>
      <c r="PAJ27" s="19"/>
      <c r="PAK27" s="19"/>
      <c r="PAL27" s="19"/>
      <c r="PAM27" s="19"/>
      <c r="PAN27" s="19"/>
      <c r="PAO27" s="19"/>
      <c r="PAP27" s="19"/>
      <c r="PAQ27" s="19"/>
      <c r="PAR27" s="19"/>
      <c r="PAS27" s="19"/>
      <c r="PAT27" s="19"/>
      <c r="PAU27" s="19"/>
      <c r="PAV27" s="19"/>
      <c r="PAW27" s="19"/>
      <c r="PAX27" s="19"/>
      <c r="PAY27" s="19"/>
      <c r="PAZ27" s="19"/>
      <c r="PBA27" s="19"/>
      <c r="PBB27" s="19"/>
      <c r="PBC27" s="19"/>
      <c r="PBD27" s="19"/>
      <c r="PBE27" s="19"/>
      <c r="PBF27" s="19"/>
      <c r="PBG27" s="19"/>
      <c r="PBH27" s="19"/>
      <c r="PBI27" s="19"/>
      <c r="PBJ27" s="19"/>
      <c r="PBK27" s="19"/>
      <c r="PBL27" s="19"/>
      <c r="PBM27" s="19"/>
      <c r="PBN27" s="19"/>
      <c r="PBO27" s="19"/>
      <c r="PBP27" s="19"/>
      <c r="PBQ27" s="19"/>
      <c r="PBR27" s="19"/>
      <c r="PBS27" s="19"/>
      <c r="PBT27" s="19"/>
      <c r="PBU27" s="19"/>
      <c r="PBV27" s="19"/>
      <c r="PBW27" s="19"/>
      <c r="PBX27" s="19"/>
      <c r="PBY27" s="19"/>
      <c r="PBZ27" s="19"/>
      <c r="PCA27" s="19"/>
      <c r="PCB27" s="19"/>
      <c r="PCC27" s="19"/>
      <c r="PCD27" s="19"/>
      <c r="PCE27" s="19"/>
      <c r="PCF27" s="19"/>
      <c r="PCG27" s="19"/>
      <c r="PCH27" s="19"/>
      <c r="PCI27" s="19"/>
      <c r="PCJ27" s="19"/>
      <c r="PCK27" s="19"/>
      <c r="PCL27" s="19"/>
      <c r="PCM27" s="19"/>
      <c r="PCN27" s="19"/>
      <c r="PCO27" s="19"/>
      <c r="PCP27" s="19"/>
      <c r="PCQ27" s="19"/>
      <c r="PCR27" s="19"/>
      <c r="PCS27" s="19"/>
      <c r="PCT27" s="19"/>
      <c r="PCU27" s="19"/>
      <c r="PCV27" s="19"/>
      <c r="PCW27" s="19"/>
      <c r="PCX27" s="19"/>
      <c r="PCY27" s="19"/>
      <c r="PCZ27" s="19"/>
      <c r="PDA27" s="19"/>
      <c r="PDB27" s="19"/>
      <c r="PDC27" s="19"/>
      <c r="PDD27" s="19"/>
      <c r="PDE27" s="19"/>
      <c r="PDF27" s="19"/>
      <c r="PDG27" s="19"/>
      <c r="PDH27" s="19"/>
      <c r="PDI27" s="19"/>
      <c r="PDJ27" s="19"/>
      <c r="PDK27" s="19"/>
      <c r="PDL27" s="19"/>
      <c r="PDM27" s="19"/>
      <c r="PDN27" s="19"/>
      <c r="PDO27" s="19"/>
      <c r="PDP27" s="19"/>
      <c r="PDQ27" s="19"/>
      <c r="PDR27" s="19"/>
      <c r="PDS27" s="19"/>
      <c r="PDT27" s="19"/>
      <c r="PDU27" s="19"/>
      <c r="PDV27" s="19"/>
      <c r="PDW27" s="19"/>
      <c r="PDX27" s="19"/>
      <c r="PDY27" s="19"/>
      <c r="PDZ27" s="19"/>
      <c r="PEA27" s="19"/>
      <c r="PEB27" s="19"/>
      <c r="PEC27" s="19"/>
      <c r="PED27" s="19"/>
      <c r="PEE27" s="19"/>
      <c r="PEF27" s="19"/>
      <c r="PEG27" s="19"/>
      <c r="PEH27" s="19"/>
      <c r="PEI27" s="19"/>
      <c r="PEJ27" s="19"/>
      <c r="PEK27" s="19"/>
      <c r="PEL27" s="19"/>
      <c r="PEM27" s="19"/>
      <c r="PEN27" s="19"/>
      <c r="PEO27" s="19"/>
      <c r="PEP27" s="19"/>
      <c r="PEQ27" s="19"/>
      <c r="PER27" s="19"/>
      <c r="PES27" s="19"/>
      <c r="PET27" s="19"/>
      <c r="PEU27" s="19"/>
      <c r="PEV27" s="19"/>
      <c r="PEW27" s="19"/>
      <c r="PEX27" s="19"/>
      <c r="PEY27" s="19"/>
      <c r="PEZ27" s="19"/>
      <c r="PFA27" s="19"/>
      <c r="PFB27" s="19"/>
      <c r="PFC27" s="19"/>
      <c r="PFD27" s="19"/>
      <c r="PFE27" s="19"/>
      <c r="PFF27" s="19"/>
      <c r="PFG27" s="19"/>
      <c r="PFH27" s="19"/>
      <c r="PFI27" s="19"/>
      <c r="PFJ27" s="19"/>
      <c r="PFK27" s="19"/>
      <c r="PFL27" s="19"/>
      <c r="PFM27" s="19"/>
      <c r="PFN27" s="19"/>
      <c r="PFO27" s="19"/>
      <c r="PFP27" s="19"/>
      <c r="PFQ27" s="19"/>
      <c r="PFR27" s="19"/>
      <c r="PFS27" s="19"/>
      <c r="PFT27" s="19"/>
      <c r="PFU27" s="19"/>
      <c r="PFV27" s="19"/>
      <c r="PFW27" s="19"/>
      <c r="PFX27" s="19"/>
      <c r="PFY27" s="19"/>
      <c r="PFZ27" s="19"/>
      <c r="PGA27" s="19"/>
      <c r="PGB27" s="19"/>
      <c r="PGC27" s="19"/>
      <c r="PGD27" s="19"/>
      <c r="PGE27" s="19"/>
      <c r="PGF27" s="19"/>
      <c r="PGG27" s="19"/>
      <c r="PGH27" s="19"/>
      <c r="PGI27" s="19"/>
      <c r="PGJ27" s="19"/>
      <c r="PGK27" s="19"/>
      <c r="PGL27" s="19"/>
      <c r="PGM27" s="19"/>
      <c r="PGN27" s="19"/>
      <c r="PGO27" s="19"/>
      <c r="PGP27" s="19"/>
      <c r="PGQ27" s="19"/>
      <c r="PGR27" s="19"/>
      <c r="PGS27" s="19"/>
      <c r="PGT27" s="19"/>
      <c r="PGU27" s="19"/>
      <c r="PGV27" s="19"/>
      <c r="PGW27" s="19"/>
      <c r="PGX27" s="19"/>
      <c r="PGY27" s="19"/>
      <c r="PGZ27" s="19"/>
      <c r="PHA27" s="19"/>
      <c r="PHB27" s="19"/>
      <c r="PHC27" s="19"/>
      <c r="PHD27" s="19"/>
      <c r="PHE27" s="19"/>
      <c r="PHF27" s="19"/>
      <c r="PHG27" s="19"/>
      <c r="PHH27" s="19"/>
      <c r="PHI27" s="19"/>
      <c r="PHJ27" s="19"/>
      <c r="PHK27" s="19"/>
      <c r="PHL27" s="19"/>
      <c r="PHM27" s="19"/>
      <c r="PHN27" s="19"/>
      <c r="PHO27" s="19"/>
      <c r="PHP27" s="19"/>
      <c r="PHQ27" s="19"/>
      <c r="PHR27" s="19"/>
      <c r="PHS27" s="19"/>
      <c r="PHT27" s="19"/>
      <c r="PHU27" s="19"/>
      <c r="PHV27" s="19"/>
      <c r="PHW27" s="19"/>
      <c r="PHX27" s="19"/>
      <c r="PHY27" s="19"/>
      <c r="PHZ27" s="19"/>
      <c r="PIA27" s="19"/>
      <c r="PIB27" s="19"/>
      <c r="PIC27" s="19"/>
      <c r="PID27" s="19"/>
      <c r="PIE27" s="19"/>
      <c r="PIF27" s="19"/>
      <c r="PIG27" s="19"/>
      <c r="PIH27" s="19"/>
      <c r="PII27" s="19"/>
      <c r="PIJ27" s="19"/>
      <c r="PIK27" s="19"/>
      <c r="PIL27" s="19"/>
      <c r="PIM27" s="19"/>
      <c r="PIN27" s="19"/>
      <c r="PIO27" s="19"/>
      <c r="PIP27" s="19"/>
      <c r="PIQ27" s="19"/>
      <c r="PIR27" s="19"/>
      <c r="PIS27" s="19"/>
      <c r="PIT27" s="19"/>
      <c r="PIU27" s="19"/>
      <c r="PIV27" s="19"/>
      <c r="PIW27" s="19"/>
      <c r="PIX27" s="19"/>
      <c r="PIY27" s="19"/>
      <c r="PIZ27" s="19"/>
      <c r="PJA27" s="19"/>
      <c r="PJB27" s="19"/>
      <c r="PJC27" s="19"/>
      <c r="PJD27" s="19"/>
      <c r="PJE27" s="19"/>
      <c r="PJF27" s="19"/>
      <c r="PJG27" s="19"/>
      <c r="PJH27" s="19"/>
      <c r="PJI27" s="19"/>
      <c r="PJJ27" s="19"/>
      <c r="PJK27" s="19"/>
      <c r="PJL27" s="19"/>
      <c r="PJM27" s="19"/>
      <c r="PJN27" s="19"/>
      <c r="PJO27" s="19"/>
      <c r="PJP27" s="19"/>
      <c r="PJQ27" s="19"/>
      <c r="PJR27" s="19"/>
      <c r="PJS27" s="19"/>
      <c r="PJT27" s="19"/>
      <c r="PJU27" s="19"/>
      <c r="PJV27" s="19"/>
      <c r="PJW27" s="19"/>
      <c r="PJX27" s="19"/>
      <c r="PJY27" s="19"/>
      <c r="PJZ27" s="19"/>
      <c r="PKA27" s="19"/>
      <c r="PKB27" s="19"/>
      <c r="PKC27" s="19"/>
      <c r="PKD27" s="19"/>
      <c r="PKE27" s="19"/>
      <c r="PKF27" s="19"/>
      <c r="PKG27" s="19"/>
      <c r="PKH27" s="19"/>
      <c r="PKI27" s="19"/>
      <c r="PKJ27" s="19"/>
      <c r="PKK27" s="19"/>
      <c r="PKL27" s="19"/>
      <c r="PKM27" s="19"/>
      <c r="PKN27" s="19"/>
      <c r="PKO27" s="19"/>
      <c r="PKP27" s="19"/>
      <c r="PKQ27" s="19"/>
      <c r="PKR27" s="19"/>
      <c r="PKS27" s="19"/>
      <c r="PKT27" s="19"/>
      <c r="PKU27" s="19"/>
      <c r="PKV27" s="19"/>
      <c r="PKW27" s="19"/>
      <c r="PKX27" s="19"/>
      <c r="PKY27" s="19"/>
      <c r="PKZ27" s="19"/>
      <c r="PLA27" s="19"/>
      <c r="PLB27" s="19"/>
      <c r="PLC27" s="19"/>
      <c r="PLD27" s="19"/>
      <c r="PLE27" s="19"/>
      <c r="PLF27" s="19"/>
      <c r="PLG27" s="19"/>
      <c r="PLH27" s="19"/>
      <c r="PLI27" s="19"/>
      <c r="PLJ27" s="19"/>
      <c r="PLK27" s="19"/>
      <c r="PLL27" s="19"/>
      <c r="PLM27" s="19"/>
      <c r="PLN27" s="19"/>
      <c r="PLO27" s="19"/>
      <c r="PLP27" s="19"/>
      <c r="PLQ27" s="19"/>
      <c r="PLR27" s="19"/>
      <c r="PLS27" s="19"/>
      <c r="PLT27" s="19"/>
      <c r="PLU27" s="19"/>
      <c r="PLV27" s="19"/>
      <c r="PLW27" s="19"/>
      <c r="PLX27" s="19"/>
      <c r="PLY27" s="19"/>
      <c r="PLZ27" s="19"/>
      <c r="PMA27" s="19"/>
      <c r="PMB27" s="19"/>
      <c r="PMC27" s="19"/>
      <c r="PMD27" s="19"/>
      <c r="PME27" s="19"/>
      <c r="PMF27" s="19"/>
      <c r="PMG27" s="19"/>
      <c r="PMH27" s="19"/>
      <c r="PMI27" s="19"/>
      <c r="PMJ27" s="19"/>
      <c r="PMK27" s="19"/>
      <c r="PML27" s="19"/>
      <c r="PMM27" s="19"/>
      <c r="PMN27" s="19"/>
      <c r="PMO27" s="19"/>
      <c r="PMP27" s="19"/>
      <c r="PMQ27" s="19"/>
      <c r="PMR27" s="19"/>
      <c r="PMS27" s="19"/>
      <c r="PMT27" s="19"/>
      <c r="PMU27" s="19"/>
      <c r="PMV27" s="19"/>
      <c r="PMW27" s="19"/>
      <c r="PMX27" s="19"/>
      <c r="PMY27" s="19"/>
      <c r="PMZ27" s="19"/>
      <c r="PNA27" s="19"/>
      <c r="PNB27" s="19"/>
      <c r="PNC27" s="19"/>
      <c r="PND27" s="19"/>
      <c r="PNE27" s="19"/>
      <c r="PNF27" s="19"/>
      <c r="PNG27" s="19"/>
      <c r="PNH27" s="19"/>
      <c r="PNI27" s="19"/>
      <c r="PNJ27" s="19"/>
      <c r="PNK27" s="19"/>
      <c r="PNL27" s="19"/>
      <c r="PNM27" s="19"/>
      <c r="PNN27" s="19"/>
      <c r="PNO27" s="19"/>
      <c r="PNP27" s="19"/>
      <c r="PNQ27" s="19"/>
      <c r="PNR27" s="19"/>
      <c r="PNS27" s="19"/>
      <c r="PNT27" s="19"/>
      <c r="PNU27" s="19"/>
      <c r="PNV27" s="19"/>
      <c r="PNW27" s="19"/>
      <c r="PNX27" s="19"/>
      <c r="PNY27" s="19"/>
      <c r="PNZ27" s="19"/>
      <c r="POA27" s="19"/>
      <c r="POB27" s="19"/>
      <c r="POC27" s="19"/>
      <c r="POD27" s="19"/>
      <c r="POE27" s="19"/>
      <c r="POF27" s="19"/>
      <c r="POG27" s="19"/>
      <c r="POH27" s="19"/>
      <c r="POI27" s="19"/>
      <c r="POJ27" s="19"/>
      <c r="POK27" s="19"/>
      <c r="POL27" s="19"/>
      <c r="POM27" s="19"/>
      <c r="PON27" s="19"/>
      <c r="POO27" s="19"/>
      <c r="POP27" s="19"/>
      <c r="POQ27" s="19"/>
      <c r="POR27" s="19"/>
      <c r="POS27" s="19"/>
      <c r="POT27" s="19"/>
      <c r="POU27" s="19"/>
      <c r="POV27" s="19"/>
      <c r="POW27" s="19"/>
      <c r="POX27" s="19"/>
      <c r="POY27" s="19"/>
      <c r="POZ27" s="19"/>
      <c r="PPA27" s="19"/>
      <c r="PPB27" s="19"/>
      <c r="PPC27" s="19"/>
      <c r="PPD27" s="19"/>
      <c r="PPE27" s="19"/>
      <c r="PPF27" s="19"/>
      <c r="PPG27" s="19"/>
      <c r="PPH27" s="19"/>
      <c r="PPI27" s="19"/>
      <c r="PPJ27" s="19"/>
      <c r="PPK27" s="19"/>
      <c r="PPL27" s="19"/>
      <c r="PPM27" s="19"/>
      <c r="PPN27" s="19"/>
      <c r="PPO27" s="19"/>
      <c r="PPP27" s="19"/>
      <c r="PPQ27" s="19"/>
      <c r="PPR27" s="19"/>
      <c r="PPS27" s="19"/>
      <c r="PPT27" s="19"/>
      <c r="PPU27" s="19"/>
      <c r="PPV27" s="19"/>
      <c r="PPW27" s="19"/>
      <c r="PPX27" s="19"/>
      <c r="PPY27" s="19"/>
      <c r="PPZ27" s="19"/>
      <c r="PQA27" s="19"/>
      <c r="PQB27" s="19"/>
      <c r="PQC27" s="19"/>
      <c r="PQD27" s="19"/>
      <c r="PQE27" s="19"/>
      <c r="PQF27" s="19"/>
      <c r="PQG27" s="19"/>
      <c r="PQH27" s="19"/>
      <c r="PQI27" s="19"/>
      <c r="PQJ27" s="19"/>
      <c r="PQK27" s="19"/>
      <c r="PQL27" s="19"/>
      <c r="PQM27" s="19"/>
      <c r="PQN27" s="19"/>
      <c r="PQO27" s="19"/>
      <c r="PQP27" s="19"/>
      <c r="PQQ27" s="19"/>
      <c r="PQR27" s="19"/>
      <c r="PQS27" s="19"/>
      <c r="PQT27" s="19"/>
      <c r="PQU27" s="19"/>
      <c r="PQV27" s="19"/>
      <c r="PQW27" s="19"/>
      <c r="PQX27" s="19"/>
      <c r="PQY27" s="19"/>
      <c r="PQZ27" s="19"/>
      <c r="PRA27" s="19"/>
      <c r="PRB27" s="19"/>
      <c r="PRC27" s="19"/>
      <c r="PRD27" s="19"/>
      <c r="PRE27" s="19"/>
      <c r="PRF27" s="19"/>
      <c r="PRG27" s="19"/>
      <c r="PRH27" s="19"/>
      <c r="PRI27" s="19"/>
      <c r="PRJ27" s="19"/>
      <c r="PRK27" s="19"/>
      <c r="PRL27" s="19"/>
      <c r="PRM27" s="19"/>
      <c r="PRN27" s="19"/>
      <c r="PRO27" s="19"/>
      <c r="PRP27" s="19"/>
      <c r="PRQ27" s="19"/>
      <c r="PRR27" s="19"/>
      <c r="PRS27" s="19"/>
      <c r="PRT27" s="19"/>
      <c r="PRU27" s="19"/>
      <c r="PRV27" s="19"/>
      <c r="PRW27" s="19"/>
      <c r="PRX27" s="19"/>
      <c r="PRY27" s="19"/>
      <c r="PRZ27" s="19"/>
      <c r="PSA27" s="19"/>
      <c r="PSB27" s="19"/>
      <c r="PSC27" s="19"/>
      <c r="PSD27" s="19"/>
      <c r="PSE27" s="19"/>
      <c r="PSF27" s="19"/>
      <c r="PSG27" s="19"/>
      <c r="PSH27" s="19"/>
      <c r="PSI27" s="19"/>
      <c r="PSJ27" s="19"/>
      <c r="PSK27" s="19"/>
      <c r="PSL27" s="19"/>
      <c r="PSM27" s="19"/>
      <c r="PSN27" s="19"/>
      <c r="PSO27" s="19"/>
      <c r="PSP27" s="19"/>
      <c r="PSQ27" s="19"/>
      <c r="PSR27" s="19"/>
      <c r="PSS27" s="19"/>
      <c r="PST27" s="19"/>
      <c r="PSU27" s="19"/>
      <c r="PSV27" s="19"/>
      <c r="PSW27" s="19"/>
      <c r="PSX27" s="19"/>
      <c r="PSY27" s="19"/>
      <c r="PSZ27" s="19"/>
      <c r="PTA27" s="19"/>
      <c r="PTB27" s="19"/>
      <c r="PTC27" s="19"/>
      <c r="PTD27" s="19"/>
      <c r="PTE27" s="19"/>
      <c r="PTF27" s="19"/>
      <c r="PTG27" s="19"/>
      <c r="PTH27" s="19"/>
      <c r="PTI27" s="19"/>
      <c r="PTJ27" s="19"/>
      <c r="PTK27" s="19"/>
      <c r="PTL27" s="19"/>
      <c r="PTM27" s="19"/>
      <c r="PTN27" s="19"/>
      <c r="PTO27" s="19"/>
      <c r="PTP27" s="19"/>
      <c r="PTQ27" s="19"/>
      <c r="PTR27" s="19"/>
      <c r="PTS27" s="19"/>
      <c r="PTT27" s="19"/>
      <c r="PTU27" s="19"/>
      <c r="PTV27" s="19"/>
      <c r="PTW27" s="19"/>
      <c r="PTX27" s="19"/>
      <c r="PTY27" s="19"/>
      <c r="PTZ27" s="19"/>
      <c r="PUA27" s="19"/>
      <c r="PUB27" s="19"/>
      <c r="PUC27" s="19"/>
      <c r="PUD27" s="19"/>
      <c r="PUE27" s="19"/>
      <c r="PUF27" s="19"/>
      <c r="PUG27" s="19"/>
      <c r="PUH27" s="19"/>
      <c r="PUI27" s="19"/>
      <c r="PUJ27" s="19"/>
      <c r="PUK27" s="19"/>
      <c r="PUL27" s="19"/>
      <c r="PUM27" s="19"/>
      <c r="PUN27" s="19"/>
      <c r="PUO27" s="19"/>
      <c r="PUP27" s="19"/>
      <c r="PUQ27" s="19"/>
      <c r="PUR27" s="19"/>
      <c r="PUS27" s="19"/>
      <c r="PUT27" s="19"/>
      <c r="PUU27" s="19"/>
      <c r="PUV27" s="19"/>
      <c r="PUW27" s="19"/>
      <c r="PUX27" s="19"/>
      <c r="PUY27" s="19"/>
      <c r="PUZ27" s="19"/>
      <c r="PVA27" s="19"/>
      <c r="PVB27" s="19"/>
      <c r="PVC27" s="19"/>
      <c r="PVD27" s="19"/>
      <c r="PVE27" s="19"/>
      <c r="PVF27" s="19"/>
      <c r="PVG27" s="19"/>
      <c r="PVH27" s="19"/>
      <c r="PVI27" s="19"/>
      <c r="PVJ27" s="19"/>
      <c r="PVK27" s="19"/>
      <c r="PVL27" s="19"/>
      <c r="PVM27" s="19"/>
      <c r="PVN27" s="19"/>
      <c r="PVO27" s="19"/>
      <c r="PVP27" s="19"/>
      <c r="PVQ27" s="19"/>
      <c r="PVR27" s="19"/>
      <c r="PVS27" s="19"/>
      <c r="PVT27" s="19"/>
      <c r="PVU27" s="19"/>
      <c r="PVV27" s="19"/>
      <c r="PVW27" s="19"/>
      <c r="PVX27" s="19"/>
      <c r="PVY27" s="19"/>
      <c r="PVZ27" s="19"/>
      <c r="PWA27" s="19"/>
      <c r="PWB27" s="19"/>
      <c r="PWC27" s="19"/>
      <c r="PWD27" s="19"/>
      <c r="PWE27" s="19"/>
      <c r="PWF27" s="19"/>
      <c r="PWG27" s="19"/>
      <c r="PWH27" s="19"/>
      <c r="PWI27" s="19"/>
      <c r="PWJ27" s="19"/>
      <c r="PWK27" s="19"/>
      <c r="PWL27" s="19"/>
      <c r="PWM27" s="19"/>
      <c r="PWN27" s="19"/>
      <c r="PWO27" s="19"/>
      <c r="PWP27" s="19"/>
      <c r="PWQ27" s="19"/>
      <c r="PWR27" s="19"/>
      <c r="PWS27" s="19"/>
      <c r="PWT27" s="19"/>
      <c r="PWU27" s="19"/>
      <c r="PWV27" s="19"/>
      <c r="PWW27" s="19"/>
      <c r="PWX27" s="19"/>
      <c r="PWY27" s="19"/>
      <c r="PWZ27" s="19"/>
      <c r="PXA27" s="19"/>
      <c r="PXB27" s="19"/>
      <c r="PXC27" s="19"/>
      <c r="PXD27" s="19"/>
      <c r="PXE27" s="19"/>
      <c r="PXF27" s="19"/>
      <c r="PXG27" s="19"/>
      <c r="PXH27" s="19"/>
      <c r="PXI27" s="19"/>
      <c r="PXJ27" s="19"/>
      <c r="PXK27" s="19"/>
      <c r="PXL27" s="19"/>
      <c r="PXM27" s="19"/>
      <c r="PXN27" s="19"/>
      <c r="PXO27" s="19"/>
      <c r="PXP27" s="19"/>
      <c r="PXQ27" s="19"/>
      <c r="PXR27" s="19"/>
      <c r="PXS27" s="19"/>
      <c r="PXT27" s="19"/>
      <c r="PXU27" s="19"/>
      <c r="PXV27" s="19"/>
      <c r="PXW27" s="19"/>
      <c r="PXX27" s="19"/>
      <c r="PXY27" s="19"/>
      <c r="PXZ27" s="19"/>
      <c r="PYA27" s="19"/>
      <c r="PYB27" s="19"/>
      <c r="PYC27" s="19"/>
      <c r="PYD27" s="19"/>
      <c r="PYE27" s="19"/>
      <c r="PYF27" s="19"/>
      <c r="PYG27" s="19"/>
      <c r="PYH27" s="19"/>
      <c r="PYI27" s="19"/>
      <c r="PYJ27" s="19"/>
      <c r="PYK27" s="19"/>
      <c r="PYL27" s="19"/>
      <c r="PYM27" s="19"/>
      <c r="PYN27" s="19"/>
      <c r="PYO27" s="19"/>
      <c r="PYP27" s="19"/>
      <c r="PYQ27" s="19"/>
      <c r="PYR27" s="19"/>
      <c r="PYS27" s="19"/>
      <c r="PYT27" s="19"/>
      <c r="PYU27" s="19"/>
      <c r="PYV27" s="19"/>
      <c r="PYW27" s="19"/>
      <c r="PYX27" s="19"/>
      <c r="PYY27" s="19"/>
      <c r="PYZ27" s="19"/>
      <c r="PZA27" s="19"/>
      <c r="PZB27" s="19"/>
      <c r="PZC27" s="19"/>
      <c r="PZD27" s="19"/>
      <c r="PZE27" s="19"/>
      <c r="PZF27" s="19"/>
      <c r="PZG27" s="19"/>
      <c r="PZH27" s="19"/>
      <c r="PZI27" s="19"/>
      <c r="PZJ27" s="19"/>
      <c r="PZK27" s="19"/>
      <c r="PZL27" s="19"/>
      <c r="PZM27" s="19"/>
      <c r="PZN27" s="19"/>
      <c r="PZO27" s="19"/>
      <c r="PZP27" s="19"/>
      <c r="PZQ27" s="19"/>
      <c r="PZR27" s="19"/>
      <c r="PZS27" s="19"/>
      <c r="PZT27" s="19"/>
      <c r="PZU27" s="19"/>
      <c r="PZV27" s="19"/>
      <c r="PZW27" s="19"/>
      <c r="PZX27" s="19"/>
      <c r="PZY27" s="19"/>
      <c r="PZZ27" s="19"/>
      <c r="QAA27" s="19"/>
      <c r="QAB27" s="19"/>
      <c r="QAC27" s="19"/>
      <c r="QAD27" s="19"/>
      <c r="QAE27" s="19"/>
      <c r="QAF27" s="19"/>
      <c r="QAG27" s="19"/>
      <c r="QAH27" s="19"/>
      <c r="QAI27" s="19"/>
      <c r="QAJ27" s="19"/>
      <c r="QAK27" s="19"/>
      <c r="QAL27" s="19"/>
      <c r="QAM27" s="19"/>
      <c r="QAN27" s="19"/>
      <c r="QAO27" s="19"/>
      <c r="QAP27" s="19"/>
      <c r="QAQ27" s="19"/>
      <c r="QAR27" s="19"/>
      <c r="QAS27" s="19"/>
      <c r="QAT27" s="19"/>
      <c r="QAU27" s="19"/>
      <c r="QAV27" s="19"/>
      <c r="QAW27" s="19"/>
      <c r="QAX27" s="19"/>
      <c r="QAY27" s="19"/>
      <c r="QAZ27" s="19"/>
      <c r="QBA27" s="19"/>
      <c r="QBB27" s="19"/>
      <c r="QBC27" s="19"/>
      <c r="QBD27" s="19"/>
      <c r="QBE27" s="19"/>
      <c r="QBF27" s="19"/>
      <c r="QBG27" s="19"/>
      <c r="QBH27" s="19"/>
      <c r="QBI27" s="19"/>
      <c r="QBJ27" s="19"/>
      <c r="QBK27" s="19"/>
      <c r="QBL27" s="19"/>
      <c r="QBM27" s="19"/>
      <c r="QBN27" s="19"/>
      <c r="QBO27" s="19"/>
      <c r="QBP27" s="19"/>
      <c r="QBQ27" s="19"/>
      <c r="QBR27" s="19"/>
      <c r="QBS27" s="19"/>
      <c r="QBT27" s="19"/>
      <c r="QBU27" s="19"/>
      <c r="QBV27" s="19"/>
      <c r="QBW27" s="19"/>
      <c r="QBX27" s="19"/>
      <c r="QBY27" s="19"/>
      <c r="QBZ27" s="19"/>
      <c r="QCA27" s="19"/>
      <c r="QCB27" s="19"/>
      <c r="QCC27" s="19"/>
      <c r="QCD27" s="19"/>
      <c r="QCE27" s="19"/>
      <c r="QCF27" s="19"/>
      <c r="QCG27" s="19"/>
      <c r="QCH27" s="19"/>
      <c r="QCI27" s="19"/>
      <c r="QCJ27" s="19"/>
      <c r="QCK27" s="19"/>
      <c r="QCL27" s="19"/>
      <c r="QCM27" s="19"/>
      <c r="QCN27" s="19"/>
      <c r="QCO27" s="19"/>
      <c r="QCP27" s="19"/>
      <c r="QCQ27" s="19"/>
      <c r="QCR27" s="19"/>
      <c r="QCS27" s="19"/>
      <c r="QCT27" s="19"/>
      <c r="QCU27" s="19"/>
      <c r="QCV27" s="19"/>
      <c r="QCW27" s="19"/>
      <c r="QCX27" s="19"/>
      <c r="QCY27" s="19"/>
      <c r="QCZ27" s="19"/>
      <c r="QDA27" s="19"/>
      <c r="QDB27" s="19"/>
      <c r="QDC27" s="19"/>
      <c r="QDD27" s="19"/>
      <c r="QDE27" s="19"/>
      <c r="QDF27" s="19"/>
      <c r="QDG27" s="19"/>
      <c r="QDH27" s="19"/>
      <c r="QDI27" s="19"/>
      <c r="QDJ27" s="19"/>
      <c r="QDK27" s="19"/>
      <c r="QDL27" s="19"/>
      <c r="QDM27" s="19"/>
      <c r="QDN27" s="19"/>
      <c r="QDO27" s="19"/>
      <c r="QDP27" s="19"/>
      <c r="QDQ27" s="19"/>
      <c r="QDR27" s="19"/>
      <c r="QDS27" s="19"/>
      <c r="QDT27" s="19"/>
      <c r="QDU27" s="19"/>
      <c r="QDV27" s="19"/>
      <c r="QDW27" s="19"/>
      <c r="QDX27" s="19"/>
      <c r="QDY27" s="19"/>
      <c r="QDZ27" s="19"/>
      <c r="QEA27" s="19"/>
      <c r="QEB27" s="19"/>
      <c r="QEC27" s="19"/>
      <c r="QED27" s="19"/>
      <c r="QEE27" s="19"/>
      <c r="QEF27" s="19"/>
      <c r="QEG27" s="19"/>
      <c r="QEH27" s="19"/>
      <c r="QEI27" s="19"/>
      <c r="QEJ27" s="19"/>
      <c r="QEK27" s="19"/>
      <c r="QEL27" s="19"/>
      <c r="QEM27" s="19"/>
      <c r="QEN27" s="19"/>
      <c r="QEO27" s="19"/>
      <c r="QEP27" s="19"/>
      <c r="QEQ27" s="19"/>
      <c r="QER27" s="19"/>
      <c r="QES27" s="19"/>
      <c r="QET27" s="19"/>
      <c r="QEU27" s="19"/>
      <c r="QEV27" s="19"/>
      <c r="QEW27" s="19"/>
      <c r="QEX27" s="19"/>
      <c r="QEY27" s="19"/>
      <c r="QEZ27" s="19"/>
      <c r="QFA27" s="19"/>
      <c r="QFB27" s="19"/>
      <c r="QFC27" s="19"/>
      <c r="QFD27" s="19"/>
      <c r="QFE27" s="19"/>
      <c r="QFF27" s="19"/>
      <c r="QFG27" s="19"/>
      <c r="QFH27" s="19"/>
      <c r="QFI27" s="19"/>
      <c r="QFJ27" s="19"/>
      <c r="QFK27" s="19"/>
      <c r="QFL27" s="19"/>
      <c r="QFM27" s="19"/>
      <c r="QFN27" s="19"/>
      <c r="QFO27" s="19"/>
      <c r="QFP27" s="19"/>
      <c r="QFQ27" s="19"/>
      <c r="QFR27" s="19"/>
      <c r="QFS27" s="19"/>
      <c r="QFT27" s="19"/>
      <c r="QFU27" s="19"/>
      <c r="QFV27" s="19"/>
      <c r="QFW27" s="19"/>
      <c r="QFX27" s="19"/>
      <c r="QFY27" s="19"/>
      <c r="QFZ27" s="19"/>
      <c r="QGA27" s="19"/>
      <c r="QGB27" s="19"/>
      <c r="QGC27" s="19"/>
      <c r="QGD27" s="19"/>
      <c r="QGE27" s="19"/>
      <c r="QGF27" s="19"/>
      <c r="QGG27" s="19"/>
      <c r="QGH27" s="19"/>
      <c r="QGI27" s="19"/>
      <c r="QGJ27" s="19"/>
      <c r="QGK27" s="19"/>
      <c r="QGL27" s="19"/>
      <c r="QGM27" s="19"/>
      <c r="QGN27" s="19"/>
      <c r="QGO27" s="19"/>
      <c r="QGP27" s="19"/>
      <c r="QGQ27" s="19"/>
      <c r="QGR27" s="19"/>
      <c r="QGS27" s="19"/>
      <c r="QGT27" s="19"/>
      <c r="QGU27" s="19"/>
      <c r="QGV27" s="19"/>
      <c r="QGW27" s="19"/>
      <c r="QGX27" s="19"/>
      <c r="QGY27" s="19"/>
      <c r="QGZ27" s="19"/>
      <c r="QHA27" s="19"/>
      <c r="QHB27" s="19"/>
      <c r="QHC27" s="19"/>
      <c r="QHD27" s="19"/>
      <c r="QHE27" s="19"/>
      <c r="QHF27" s="19"/>
      <c r="QHG27" s="19"/>
      <c r="QHH27" s="19"/>
      <c r="QHI27" s="19"/>
      <c r="QHJ27" s="19"/>
      <c r="QHK27" s="19"/>
      <c r="QHL27" s="19"/>
      <c r="QHM27" s="19"/>
      <c r="QHN27" s="19"/>
      <c r="QHO27" s="19"/>
      <c r="QHP27" s="19"/>
      <c r="QHQ27" s="19"/>
      <c r="QHR27" s="19"/>
      <c r="QHS27" s="19"/>
      <c r="QHT27" s="19"/>
      <c r="QHU27" s="19"/>
      <c r="QHV27" s="19"/>
      <c r="QHW27" s="19"/>
      <c r="QHX27" s="19"/>
      <c r="QHY27" s="19"/>
      <c r="QHZ27" s="19"/>
      <c r="QIA27" s="19"/>
      <c r="QIB27" s="19"/>
      <c r="QIC27" s="19"/>
      <c r="QID27" s="19"/>
      <c r="QIE27" s="19"/>
      <c r="QIF27" s="19"/>
      <c r="QIG27" s="19"/>
      <c r="QIH27" s="19"/>
      <c r="QII27" s="19"/>
      <c r="QIJ27" s="19"/>
      <c r="QIK27" s="19"/>
      <c r="QIL27" s="19"/>
      <c r="QIM27" s="19"/>
      <c r="QIN27" s="19"/>
      <c r="QIO27" s="19"/>
      <c r="QIP27" s="19"/>
      <c r="QIQ27" s="19"/>
      <c r="QIR27" s="19"/>
      <c r="QIS27" s="19"/>
      <c r="QIT27" s="19"/>
      <c r="QIU27" s="19"/>
      <c r="QIV27" s="19"/>
      <c r="QIW27" s="19"/>
      <c r="QIX27" s="19"/>
      <c r="QIY27" s="19"/>
      <c r="QIZ27" s="19"/>
      <c r="QJA27" s="19"/>
      <c r="QJB27" s="19"/>
      <c r="QJC27" s="19"/>
      <c r="QJD27" s="19"/>
      <c r="QJE27" s="19"/>
      <c r="QJF27" s="19"/>
      <c r="QJG27" s="19"/>
      <c r="QJH27" s="19"/>
      <c r="QJI27" s="19"/>
      <c r="QJJ27" s="19"/>
      <c r="QJK27" s="19"/>
      <c r="QJL27" s="19"/>
      <c r="QJM27" s="19"/>
      <c r="QJN27" s="19"/>
      <c r="QJO27" s="19"/>
      <c r="QJP27" s="19"/>
      <c r="QJQ27" s="19"/>
      <c r="QJR27" s="19"/>
      <c r="QJS27" s="19"/>
      <c r="QJT27" s="19"/>
      <c r="QJU27" s="19"/>
      <c r="QJV27" s="19"/>
      <c r="QJW27" s="19"/>
      <c r="QJX27" s="19"/>
      <c r="QJY27" s="19"/>
      <c r="QJZ27" s="19"/>
      <c r="QKA27" s="19"/>
      <c r="QKB27" s="19"/>
      <c r="QKC27" s="19"/>
      <c r="QKD27" s="19"/>
      <c r="QKE27" s="19"/>
      <c r="QKF27" s="19"/>
      <c r="QKG27" s="19"/>
      <c r="QKH27" s="19"/>
      <c r="QKI27" s="19"/>
      <c r="QKJ27" s="19"/>
      <c r="QKK27" s="19"/>
      <c r="QKL27" s="19"/>
      <c r="QKM27" s="19"/>
      <c r="QKN27" s="19"/>
      <c r="QKO27" s="19"/>
      <c r="QKP27" s="19"/>
      <c r="QKQ27" s="19"/>
      <c r="QKR27" s="19"/>
      <c r="QKS27" s="19"/>
      <c r="QKT27" s="19"/>
      <c r="QKU27" s="19"/>
      <c r="QKV27" s="19"/>
      <c r="QKW27" s="19"/>
      <c r="QKX27" s="19"/>
      <c r="QKY27" s="19"/>
      <c r="QKZ27" s="19"/>
      <c r="QLA27" s="19"/>
      <c r="QLB27" s="19"/>
      <c r="QLC27" s="19"/>
      <c r="QLD27" s="19"/>
      <c r="QLE27" s="19"/>
      <c r="QLF27" s="19"/>
      <c r="QLG27" s="19"/>
      <c r="QLH27" s="19"/>
      <c r="QLI27" s="19"/>
      <c r="QLJ27" s="19"/>
      <c r="QLK27" s="19"/>
      <c r="QLL27" s="19"/>
      <c r="QLM27" s="19"/>
      <c r="QLN27" s="19"/>
      <c r="QLO27" s="19"/>
      <c r="QLP27" s="19"/>
      <c r="QLQ27" s="19"/>
      <c r="QLR27" s="19"/>
      <c r="QLS27" s="19"/>
      <c r="QLT27" s="19"/>
      <c r="QLU27" s="19"/>
      <c r="QLV27" s="19"/>
      <c r="QLW27" s="19"/>
      <c r="QLX27" s="19"/>
      <c r="QLY27" s="19"/>
      <c r="QLZ27" s="19"/>
      <c r="QMA27" s="19"/>
      <c r="QMB27" s="19"/>
      <c r="QMC27" s="19"/>
      <c r="QMD27" s="19"/>
      <c r="QME27" s="19"/>
      <c r="QMF27" s="19"/>
      <c r="QMG27" s="19"/>
      <c r="QMH27" s="19"/>
      <c r="QMI27" s="19"/>
      <c r="QMJ27" s="19"/>
      <c r="QMK27" s="19"/>
      <c r="QML27" s="19"/>
      <c r="QMM27" s="19"/>
      <c r="QMN27" s="19"/>
      <c r="QMO27" s="19"/>
      <c r="QMP27" s="19"/>
      <c r="QMQ27" s="19"/>
      <c r="QMR27" s="19"/>
      <c r="QMS27" s="19"/>
      <c r="QMT27" s="19"/>
      <c r="QMU27" s="19"/>
      <c r="QMV27" s="19"/>
      <c r="QMW27" s="19"/>
      <c r="QMX27" s="19"/>
      <c r="QMY27" s="19"/>
      <c r="QMZ27" s="19"/>
      <c r="QNA27" s="19"/>
      <c r="QNB27" s="19"/>
      <c r="QNC27" s="19"/>
      <c r="QND27" s="19"/>
      <c r="QNE27" s="19"/>
      <c r="QNF27" s="19"/>
      <c r="QNG27" s="19"/>
      <c r="QNH27" s="19"/>
      <c r="QNI27" s="19"/>
      <c r="QNJ27" s="19"/>
      <c r="QNK27" s="19"/>
      <c r="QNL27" s="19"/>
      <c r="QNM27" s="19"/>
      <c r="QNN27" s="19"/>
      <c r="QNO27" s="19"/>
      <c r="QNP27" s="19"/>
      <c r="QNQ27" s="19"/>
      <c r="QNR27" s="19"/>
      <c r="QNS27" s="19"/>
      <c r="QNT27" s="19"/>
      <c r="QNU27" s="19"/>
      <c r="QNV27" s="19"/>
      <c r="QNW27" s="19"/>
      <c r="QNX27" s="19"/>
      <c r="QNY27" s="19"/>
      <c r="QNZ27" s="19"/>
      <c r="QOA27" s="19"/>
      <c r="QOB27" s="19"/>
      <c r="QOC27" s="19"/>
      <c r="QOD27" s="19"/>
      <c r="QOE27" s="19"/>
      <c r="QOF27" s="19"/>
      <c r="QOG27" s="19"/>
      <c r="QOH27" s="19"/>
      <c r="QOI27" s="19"/>
      <c r="QOJ27" s="19"/>
      <c r="QOK27" s="19"/>
      <c r="QOL27" s="19"/>
      <c r="QOM27" s="19"/>
      <c r="QON27" s="19"/>
      <c r="QOO27" s="19"/>
      <c r="QOP27" s="19"/>
      <c r="QOQ27" s="19"/>
      <c r="QOR27" s="19"/>
      <c r="QOS27" s="19"/>
      <c r="QOT27" s="19"/>
      <c r="QOU27" s="19"/>
      <c r="QOV27" s="19"/>
      <c r="QOW27" s="19"/>
      <c r="QOX27" s="19"/>
      <c r="QOY27" s="19"/>
      <c r="QOZ27" s="19"/>
      <c r="QPA27" s="19"/>
      <c r="QPB27" s="19"/>
      <c r="QPC27" s="19"/>
      <c r="QPD27" s="19"/>
      <c r="QPE27" s="19"/>
      <c r="QPF27" s="19"/>
      <c r="QPG27" s="19"/>
      <c r="QPH27" s="19"/>
      <c r="QPI27" s="19"/>
      <c r="QPJ27" s="19"/>
      <c r="QPK27" s="19"/>
      <c r="QPL27" s="19"/>
      <c r="QPM27" s="19"/>
      <c r="QPN27" s="19"/>
      <c r="QPO27" s="19"/>
      <c r="QPP27" s="19"/>
      <c r="QPQ27" s="19"/>
      <c r="QPR27" s="19"/>
      <c r="QPS27" s="19"/>
      <c r="QPT27" s="19"/>
      <c r="QPU27" s="19"/>
      <c r="QPV27" s="19"/>
      <c r="QPW27" s="19"/>
      <c r="QPX27" s="19"/>
      <c r="QPY27" s="19"/>
      <c r="QPZ27" s="19"/>
      <c r="QQA27" s="19"/>
      <c r="QQB27" s="19"/>
      <c r="QQC27" s="19"/>
      <c r="QQD27" s="19"/>
      <c r="QQE27" s="19"/>
      <c r="QQF27" s="19"/>
      <c r="QQG27" s="19"/>
      <c r="QQH27" s="19"/>
      <c r="QQI27" s="19"/>
      <c r="QQJ27" s="19"/>
      <c r="QQK27" s="19"/>
      <c r="QQL27" s="19"/>
      <c r="QQM27" s="19"/>
      <c r="QQN27" s="19"/>
      <c r="QQO27" s="19"/>
      <c r="QQP27" s="19"/>
      <c r="QQQ27" s="19"/>
      <c r="QQR27" s="19"/>
      <c r="QQS27" s="19"/>
      <c r="QQT27" s="19"/>
      <c r="QQU27" s="19"/>
      <c r="QQV27" s="19"/>
      <c r="QQW27" s="19"/>
      <c r="QQX27" s="19"/>
      <c r="QQY27" s="19"/>
      <c r="QQZ27" s="19"/>
      <c r="QRA27" s="19"/>
      <c r="QRB27" s="19"/>
      <c r="QRC27" s="19"/>
      <c r="QRD27" s="19"/>
      <c r="QRE27" s="19"/>
      <c r="QRF27" s="19"/>
      <c r="QRG27" s="19"/>
      <c r="QRH27" s="19"/>
      <c r="QRI27" s="19"/>
      <c r="QRJ27" s="19"/>
      <c r="QRK27" s="19"/>
      <c r="QRL27" s="19"/>
      <c r="QRM27" s="19"/>
      <c r="QRN27" s="19"/>
      <c r="QRO27" s="19"/>
      <c r="QRP27" s="19"/>
      <c r="QRQ27" s="19"/>
      <c r="QRR27" s="19"/>
      <c r="QRS27" s="19"/>
      <c r="QRT27" s="19"/>
      <c r="QRU27" s="19"/>
      <c r="QRV27" s="19"/>
      <c r="QRW27" s="19"/>
      <c r="QRX27" s="19"/>
      <c r="QRY27" s="19"/>
      <c r="QRZ27" s="19"/>
      <c r="QSA27" s="19"/>
      <c r="QSB27" s="19"/>
      <c r="QSC27" s="19"/>
      <c r="QSD27" s="19"/>
      <c r="QSE27" s="19"/>
      <c r="QSF27" s="19"/>
      <c r="QSG27" s="19"/>
      <c r="QSH27" s="19"/>
      <c r="QSI27" s="19"/>
      <c r="QSJ27" s="19"/>
      <c r="QSK27" s="19"/>
      <c r="QSL27" s="19"/>
      <c r="QSM27" s="19"/>
      <c r="QSN27" s="19"/>
      <c r="QSO27" s="19"/>
      <c r="QSP27" s="19"/>
      <c r="QSQ27" s="19"/>
      <c r="QSR27" s="19"/>
      <c r="QSS27" s="19"/>
      <c r="QST27" s="19"/>
      <c r="QSU27" s="19"/>
      <c r="QSV27" s="19"/>
      <c r="QSW27" s="19"/>
      <c r="QSX27" s="19"/>
      <c r="QSY27" s="19"/>
      <c r="QSZ27" s="19"/>
      <c r="QTA27" s="19"/>
      <c r="QTB27" s="19"/>
      <c r="QTC27" s="19"/>
      <c r="QTD27" s="19"/>
      <c r="QTE27" s="19"/>
      <c r="QTF27" s="19"/>
      <c r="QTG27" s="19"/>
      <c r="QTH27" s="19"/>
      <c r="QTI27" s="19"/>
      <c r="QTJ27" s="19"/>
      <c r="QTK27" s="19"/>
      <c r="QTL27" s="19"/>
      <c r="QTM27" s="19"/>
      <c r="QTN27" s="19"/>
      <c r="QTO27" s="19"/>
      <c r="QTP27" s="19"/>
      <c r="QTQ27" s="19"/>
      <c r="QTR27" s="19"/>
      <c r="QTS27" s="19"/>
      <c r="QTT27" s="19"/>
      <c r="QTU27" s="19"/>
      <c r="QTV27" s="19"/>
      <c r="QTW27" s="19"/>
      <c r="QTX27" s="19"/>
      <c r="QTY27" s="19"/>
      <c r="QTZ27" s="19"/>
      <c r="QUA27" s="19"/>
      <c r="QUB27" s="19"/>
      <c r="QUC27" s="19"/>
      <c r="QUD27" s="19"/>
      <c r="QUE27" s="19"/>
      <c r="QUF27" s="19"/>
      <c r="QUG27" s="19"/>
      <c r="QUH27" s="19"/>
      <c r="QUI27" s="19"/>
      <c r="QUJ27" s="19"/>
      <c r="QUK27" s="19"/>
      <c r="QUL27" s="19"/>
      <c r="QUM27" s="19"/>
      <c r="QUN27" s="19"/>
      <c r="QUO27" s="19"/>
      <c r="QUP27" s="19"/>
      <c r="QUQ27" s="19"/>
      <c r="QUR27" s="19"/>
      <c r="QUS27" s="19"/>
      <c r="QUT27" s="19"/>
      <c r="QUU27" s="19"/>
      <c r="QUV27" s="19"/>
      <c r="QUW27" s="19"/>
      <c r="QUX27" s="19"/>
      <c r="QUY27" s="19"/>
      <c r="QUZ27" s="19"/>
      <c r="QVA27" s="19"/>
      <c r="QVB27" s="19"/>
      <c r="QVC27" s="19"/>
      <c r="QVD27" s="19"/>
      <c r="QVE27" s="19"/>
      <c r="QVF27" s="19"/>
      <c r="QVG27" s="19"/>
      <c r="QVH27" s="19"/>
      <c r="QVI27" s="19"/>
      <c r="QVJ27" s="19"/>
      <c r="QVK27" s="19"/>
      <c r="QVL27" s="19"/>
      <c r="QVM27" s="19"/>
      <c r="QVN27" s="19"/>
      <c r="QVO27" s="19"/>
      <c r="QVP27" s="19"/>
      <c r="QVQ27" s="19"/>
      <c r="QVR27" s="19"/>
      <c r="QVS27" s="19"/>
      <c r="QVT27" s="19"/>
      <c r="QVU27" s="19"/>
      <c r="QVV27" s="19"/>
      <c r="QVW27" s="19"/>
      <c r="QVX27" s="19"/>
      <c r="QVY27" s="19"/>
      <c r="QVZ27" s="19"/>
      <c r="QWA27" s="19"/>
      <c r="QWB27" s="19"/>
      <c r="QWC27" s="19"/>
      <c r="QWD27" s="19"/>
      <c r="QWE27" s="19"/>
      <c r="QWF27" s="19"/>
      <c r="QWG27" s="19"/>
      <c r="QWH27" s="19"/>
      <c r="QWI27" s="19"/>
      <c r="QWJ27" s="19"/>
      <c r="QWK27" s="19"/>
      <c r="QWL27" s="19"/>
      <c r="QWM27" s="19"/>
      <c r="QWN27" s="19"/>
      <c r="QWO27" s="19"/>
      <c r="QWP27" s="19"/>
      <c r="QWQ27" s="19"/>
      <c r="QWR27" s="19"/>
      <c r="QWS27" s="19"/>
      <c r="QWT27" s="19"/>
      <c r="QWU27" s="19"/>
      <c r="QWV27" s="19"/>
      <c r="QWW27" s="19"/>
      <c r="QWX27" s="19"/>
      <c r="QWY27" s="19"/>
      <c r="QWZ27" s="19"/>
      <c r="QXA27" s="19"/>
      <c r="QXB27" s="19"/>
      <c r="QXC27" s="19"/>
      <c r="QXD27" s="19"/>
      <c r="QXE27" s="19"/>
      <c r="QXF27" s="19"/>
      <c r="QXG27" s="19"/>
      <c r="QXH27" s="19"/>
      <c r="QXI27" s="19"/>
      <c r="QXJ27" s="19"/>
      <c r="QXK27" s="19"/>
      <c r="QXL27" s="19"/>
      <c r="QXM27" s="19"/>
      <c r="QXN27" s="19"/>
      <c r="QXO27" s="19"/>
      <c r="QXP27" s="19"/>
      <c r="QXQ27" s="19"/>
      <c r="QXR27" s="19"/>
      <c r="QXS27" s="19"/>
      <c r="QXT27" s="19"/>
      <c r="QXU27" s="19"/>
      <c r="QXV27" s="19"/>
      <c r="QXW27" s="19"/>
      <c r="QXX27" s="19"/>
      <c r="QXY27" s="19"/>
      <c r="QXZ27" s="19"/>
      <c r="QYA27" s="19"/>
      <c r="QYB27" s="19"/>
      <c r="QYC27" s="19"/>
      <c r="QYD27" s="19"/>
      <c r="QYE27" s="19"/>
      <c r="QYF27" s="19"/>
      <c r="QYG27" s="19"/>
      <c r="QYH27" s="19"/>
      <c r="QYI27" s="19"/>
      <c r="QYJ27" s="19"/>
      <c r="QYK27" s="19"/>
      <c r="QYL27" s="19"/>
      <c r="QYM27" s="19"/>
      <c r="QYN27" s="19"/>
      <c r="QYO27" s="19"/>
      <c r="QYP27" s="19"/>
      <c r="QYQ27" s="19"/>
      <c r="QYR27" s="19"/>
      <c r="QYS27" s="19"/>
      <c r="QYT27" s="19"/>
      <c r="QYU27" s="19"/>
      <c r="QYV27" s="19"/>
      <c r="QYW27" s="19"/>
      <c r="QYX27" s="19"/>
      <c r="QYY27" s="19"/>
      <c r="QYZ27" s="19"/>
      <c r="QZA27" s="19"/>
      <c r="QZB27" s="19"/>
      <c r="QZC27" s="19"/>
      <c r="QZD27" s="19"/>
      <c r="QZE27" s="19"/>
      <c r="QZF27" s="19"/>
      <c r="QZG27" s="19"/>
      <c r="QZH27" s="19"/>
      <c r="QZI27" s="19"/>
      <c r="QZJ27" s="19"/>
      <c r="QZK27" s="19"/>
      <c r="QZL27" s="19"/>
      <c r="QZM27" s="19"/>
      <c r="QZN27" s="19"/>
      <c r="QZO27" s="19"/>
      <c r="QZP27" s="19"/>
      <c r="QZQ27" s="19"/>
      <c r="QZR27" s="19"/>
      <c r="QZS27" s="19"/>
      <c r="QZT27" s="19"/>
      <c r="QZU27" s="19"/>
      <c r="QZV27" s="19"/>
      <c r="QZW27" s="19"/>
      <c r="QZX27" s="19"/>
      <c r="QZY27" s="19"/>
      <c r="QZZ27" s="19"/>
      <c r="RAA27" s="19"/>
      <c r="RAB27" s="19"/>
      <c r="RAC27" s="19"/>
      <c r="RAD27" s="19"/>
      <c r="RAE27" s="19"/>
      <c r="RAF27" s="19"/>
      <c r="RAG27" s="19"/>
      <c r="RAH27" s="19"/>
      <c r="RAI27" s="19"/>
      <c r="RAJ27" s="19"/>
      <c r="RAK27" s="19"/>
      <c r="RAL27" s="19"/>
      <c r="RAM27" s="19"/>
      <c r="RAN27" s="19"/>
      <c r="RAO27" s="19"/>
      <c r="RAP27" s="19"/>
      <c r="RAQ27" s="19"/>
      <c r="RAR27" s="19"/>
      <c r="RAS27" s="19"/>
      <c r="RAT27" s="19"/>
      <c r="RAU27" s="19"/>
      <c r="RAV27" s="19"/>
      <c r="RAW27" s="19"/>
      <c r="RAX27" s="19"/>
      <c r="RAY27" s="19"/>
      <c r="RAZ27" s="19"/>
      <c r="RBA27" s="19"/>
      <c r="RBB27" s="19"/>
      <c r="RBC27" s="19"/>
      <c r="RBD27" s="19"/>
      <c r="RBE27" s="19"/>
      <c r="RBF27" s="19"/>
      <c r="RBG27" s="19"/>
      <c r="RBH27" s="19"/>
      <c r="RBI27" s="19"/>
      <c r="RBJ27" s="19"/>
      <c r="RBK27" s="19"/>
      <c r="RBL27" s="19"/>
      <c r="RBM27" s="19"/>
      <c r="RBN27" s="19"/>
      <c r="RBO27" s="19"/>
      <c r="RBP27" s="19"/>
      <c r="RBQ27" s="19"/>
      <c r="RBR27" s="19"/>
      <c r="RBS27" s="19"/>
      <c r="RBT27" s="19"/>
      <c r="RBU27" s="19"/>
      <c r="RBV27" s="19"/>
      <c r="RBW27" s="19"/>
      <c r="RBX27" s="19"/>
      <c r="RBY27" s="19"/>
      <c r="RBZ27" s="19"/>
      <c r="RCA27" s="19"/>
      <c r="RCB27" s="19"/>
      <c r="RCC27" s="19"/>
      <c r="RCD27" s="19"/>
      <c r="RCE27" s="19"/>
      <c r="RCF27" s="19"/>
      <c r="RCG27" s="19"/>
      <c r="RCH27" s="19"/>
      <c r="RCI27" s="19"/>
      <c r="RCJ27" s="19"/>
      <c r="RCK27" s="19"/>
      <c r="RCL27" s="19"/>
      <c r="RCM27" s="19"/>
      <c r="RCN27" s="19"/>
      <c r="RCO27" s="19"/>
      <c r="RCP27" s="19"/>
      <c r="RCQ27" s="19"/>
      <c r="RCR27" s="19"/>
      <c r="RCS27" s="19"/>
      <c r="RCT27" s="19"/>
      <c r="RCU27" s="19"/>
      <c r="RCV27" s="19"/>
      <c r="RCW27" s="19"/>
      <c r="RCX27" s="19"/>
      <c r="RCY27" s="19"/>
      <c r="RCZ27" s="19"/>
      <c r="RDA27" s="19"/>
      <c r="RDB27" s="19"/>
      <c r="RDC27" s="19"/>
      <c r="RDD27" s="19"/>
      <c r="RDE27" s="19"/>
      <c r="RDF27" s="19"/>
      <c r="RDG27" s="19"/>
      <c r="RDH27" s="19"/>
      <c r="RDI27" s="19"/>
      <c r="RDJ27" s="19"/>
      <c r="RDK27" s="19"/>
      <c r="RDL27" s="19"/>
      <c r="RDM27" s="19"/>
      <c r="RDN27" s="19"/>
      <c r="RDO27" s="19"/>
      <c r="RDP27" s="19"/>
      <c r="RDQ27" s="19"/>
      <c r="RDR27" s="19"/>
      <c r="RDS27" s="19"/>
      <c r="RDT27" s="19"/>
      <c r="RDU27" s="19"/>
      <c r="RDV27" s="19"/>
      <c r="RDW27" s="19"/>
      <c r="RDX27" s="19"/>
      <c r="RDY27" s="19"/>
      <c r="RDZ27" s="19"/>
      <c r="REA27" s="19"/>
      <c r="REB27" s="19"/>
      <c r="REC27" s="19"/>
      <c r="RED27" s="19"/>
      <c r="REE27" s="19"/>
      <c r="REF27" s="19"/>
      <c r="REG27" s="19"/>
      <c r="REH27" s="19"/>
      <c r="REI27" s="19"/>
      <c r="REJ27" s="19"/>
      <c r="REK27" s="19"/>
      <c r="REL27" s="19"/>
      <c r="REM27" s="19"/>
      <c r="REN27" s="19"/>
      <c r="REO27" s="19"/>
      <c r="REP27" s="19"/>
      <c r="REQ27" s="19"/>
      <c r="RER27" s="19"/>
      <c r="RES27" s="19"/>
      <c r="RET27" s="19"/>
      <c r="REU27" s="19"/>
      <c r="REV27" s="19"/>
      <c r="REW27" s="19"/>
      <c r="REX27" s="19"/>
      <c r="REY27" s="19"/>
      <c r="REZ27" s="19"/>
      <c r="RFA27" s="19"/>
      <c r="RFB27" s="19"/>
      <c r="RFC27" s="19"/>
      <c r="RFD27" s="19"/>
      <c r="RFE27" s="19"/>
      <c r="RFF27" s="19"/>
      <c r="RFG27" s="19"/>
      <c r="RFH27" s="19"/>
      <c r="RFI27" s="19"/>
      <c r="RFJ27" s="19"/>
      <c r="RFK27" s="19"/>
      <c r="RFL27" s="19"/>
      <c r="RFM27" s="19"/>
      <c r="RFN27" s="19"/>
      <c r="RFO27" s="19"/>
      <c r="RFP27" s="19"/>
      <c r="RFQ27" s="19"/>
      <c r="RFR27" s="19"/>
      <c r="RFS27" s="19"/>
      <c r="RFT27" s="19"/>
      <c r="RFU27" s="19"/>
      <c r="RFV27" s="19"/>
      <c r="RFW27" s="19"/>
      <c r="RFX27" s="19"/>
      <c r="RFY27" s="19"/>
      <c r="RFZ27" s="19"/>
      <c r="RGA27" s="19"/>
      <c r="RGB27" s="19"/>
      <c r="RGC27" s="19"/>
      <c r="RGD27" s="19"/>
      <c r="RGE27" s="19"/>
      <c r="RGF27" s="19"/>
      <c r="RGG27" s="19"/>
      <c r="RGH27" s="19"/>
      <c r="RGI27" s="19"/>
      <c r="RGJ27" s="19"/>
      <c r="RGK27" s="19"/>
      <c r="RGL27" s="19"/>
      <c r="RGM27" s="19"/>
      <c r="RGN27" s="19"/>
      <c r="RGO27" s="19"/>
      <c r="RGP27" s="19"/>
      <c r="RGQ27" s="19"/>
      <c r="RGR27" s="19"/>
      <c r="RGS27" s="19"/>
      <c r="RGT27" s="19"/>
      <c r="RGU27" s="19"/>
      <c r="RGV27" s="19"/>
      <c r="RGW27" s="19"/>
      <c r="RGX27" s="19"/>
      <c r="RGY27" s="19"/>
      <c r="RGZ27" s="19"/>
      <c r="RHA27" s="19"/>
      <c r="RHB27" s="19"/>
      <c r="RHC27" s="19"/>
      <c r="RHD27" s="19"/>
      <c r="RHE27" s="19"/>
      <c r="RHF27" s="19"/>
      <c r="RHG27" s="19"/>
      <c r="RHH27" s="19"/>
      <c r="RHI27" s="19"/>
      <c r="RHJ27" s="19"/>
      <c r="RHK27" s="19"/>
      <c r="RHL27" s="19"/>
      <c r="RHM27" s="19"/>
      <c r="RHN27" s="19"/>
      <c r="RHO27" s="19"/>
      <c r="RHP27" s="19"/>
      <c r="RHQ27" s="19"/>
      <c r="RHR27" s="19"/>
      <c r="RHS27" s="19"/>
      <c r="RHT27" s="19"/>
      <c r="RHU27" s="19"/>
      <c r="RHV27" s="19"/>
      <c r="RHW27" s="19"/>
      <c r="RHX27" s="19"/>
      <c r="RHY27" s="19"/>
      <c r="RHZ27" s="19"/>
      <c r="RIA27" s="19"/>
      <c r="RIB27" s="19"/>
      <c r="RIC27" s="19"/>
      <c r="RID27" s="19"/>
      <c r="RIE27" s="19"/>
      <c r="RIF27" s="19"/>
      <c r="RIG27" s="19"/>
      <c r="RIH27" s="19"/>
      <c r="RII27" s="19"/>
      <c r="RIJ27" s="19"/>
      <c r="RIK27" s="19"/>
      <c r="RIL27" s="19"/>
      <c r="RIM27" s="19"/>
      <c r="RIN27" s="19"/>
      <c r="RIO27" s="19"/>
      <c r="RIP27" s="19"/>
      <c r="RIQ27" s="19"/>
      <c r="RIR27" s="19"/>
      <c r="RIS27" s="19"/>
      <c r="RIT27" s="19"/>
      <c r="RIU27" s="19"/>
      <c r="RIV27" s="19"/>
      <c r="RIW27" s="19"/>
      <c r="RIX27" s="19"/>
      <c r="RIY27" s="19"/>
      <c r="RIZ27" s="19"/>
      <c r="RJA27" s="19"/>
      <c r="RJB27" s="19"/>
      <c r="RJC27" s="19"/>
      <c r="RJD27" s="19"/>
      <c r="RJE27" s="19"/>
      <c r="RJF27" s="19"/>
      <c r="RJG27" s="19"/>
      <c r="RJH27" s="19"/>
      <c r="RJI27" s="19"/>
      <c r="RJJ27" s="19"/>
      <c r="RJK27" s="19"/>
      <c r="RJL27" s="19"/>
      <c r="RJM27" s="19"/>
      <c r="RJN27" s="19"/>
      <c r="RJO27" s="19"/>
      <c r="RJP27" s="19"/>
      <c r="RJQ27" s="19"/>
      <c r="RJR27" s="19"/>
      <c r="RJS27" s="19"/>
      <c r="RJT27" s="19"/>
      <c r="RJU27" s="19"/>
      <c r="RJV27" s="19"/>
      <c r="RJW27" s="19"/>
      <c r="RJX27" s="19"/>
      <c r="RJY27" s="19"/>
      <c r="RJZ27" s="19"/>
      <c r="RKA27" s="19"/>
      <c r="RKB27" s="19"/>
      <c r="RKC27" s="19"/>
      <c r="RKD27" s="19"/>
      <c r="RKE27" s="19"/>
      <c r="RKF27" s="19"/>
      <c r="RKG27" s="19"/>
      <c r="RKH27" s="19"/>
      <c r="RKI27" s="19"/>
      <c r="RKJ27" s="19"/>
      <c r="RKK27" s="19"/>
      <c r="RKL27" s="19"/>
      <c r="RKM27" s="19"/>
      <c r="RKN27" s="19"/>
      <c r="RKO27" s="19"/>
      <c r="RKP27" s="19"/>
      <c r="RKQ27" s="19"/>
      <c r="RKR27" s="19"/>
      <c r="RKS27" s="19"/>
      <c r="RKT27" s="19"/>
      <c r="RKU27" s="19"/>
      <c r="RKV27" s="19"/>
      <c r="RKW27" s="19"/>
      <c r="RKX27" s="19"/>
      <c r="RKY27" s="19"/>
      <c r="RKZ27" s="19"/>
      <c r="RLA27" s="19"/>
      <c r="RLB27" s="19"/>
      <c r="RLC27" s="19"/>
      <c r="RLD27" s="19"/>
      <c r="RLE27" s="19"/>
      <c r="RLF27" s="19"/>
      <c r="RLG27" s="19"/>
      <c r="RLH27" s="19"/>
      <c r="RLI27" s="19"/>
      <c r="RLJ27" s="19"/>
      <c r="RLK27" s="19"/>
      <c r="RLL27" s="19"/>
      <c r="RLM27" s="19"/>
      <c r="RLN27" s="19"/>
      <c r="RLO27" s="19"/>
      <c r="RLP27" s="19"/>
      <c r="RLQ27" s="19"/>
      <c r="RLR27" s="19"/>
      <c r="RLS27" s="19"/>
      <c r="RLT27" s="19"/>
      <c r="RLU27" s="19"/>
      <c r="RLV27" s="19"/>
      <c r="RLW27" s="19"/>
      <c r="RLX27" s="19"/>
      <c r="RLY27" s="19"/>
      <c r="RLZ27" s="19"/>
      <c r="RMA27" s="19"/>
      <c r="RMB27" s="19"/>
      <c r="RMC27" s="19"/>
      <c r="RMD27" s="19"/>
      <c r="RME27" s="19"/>
      <c r="RMF27" s="19"/>
      <c r="RMG27" s="19"/>
      <c r="RMH27" s="19"/>
      <c r="RMI27" s="19"/>
      <c r="RMJ27" s="19"/>
      <c r="RMK27" s="19"/>
      <c r="RML27" s="19"/>
      <c r="RMM27" s="19"/>
      <c r="RMN27" s="19"/>
      <c r="RMO27" s="19"/>
      <c r="RMP27" s="19"/>
      <c r="RMQ27" s="19"/>
      <c r="RMR27" s="19"/>
      <c r="RMS27" s="19"/>
      <c r="RMT27" s="19"/>
      <c r="RMU27" s="19"/>
      <c r="RMV27" s="19"/>
      <c r="RMW27" s="19"/>
      <c r="RMX27" s="19"/>
      <c r="RMY27" s="19"/>
      <c r="RMZ27" s="19"/>
      <c r="RNA27" s="19"/>
      <c r="RNB27" s="19"/>
      <c r="RNC27" s="19"/>
      <c r="RND27" s="19"/>
      <c r="RNE27" s="19"/>
      <c r="RNF27" s="19"/>
      <c r="RNG27" s="19"/>
      <c r="RNH27" s="19"/>
      <c r="RNI27" s="19"/>
      <c r="RNJ27" s="19"/>
      <c r="RNK27" s="19"/>
      <c r="RNL27" s="19"/>
      <c r="RNM27" s="19"/>
      <c r="RNN27" s="19"/>
      <c r="RNO27" s="19"/>
      <c r="RNP27" s="19"/>
      <c r="RNQ27" s="19"/>
      <c r="RNR27" s="19"/>
      <c r="RNS27" s="19"/>
      <c r="RNT27" s="19"/>
      <c r="RNU27" s="19"/>
      <c r="RNV27" s="19"/>
      <c r="RNW27" s="19"/>
      <c r="RNX27" s="19"/>
      <c r="RNY27" s="19"/>
      <c r="RNZ27" s="19"/>
      <c r="ROA27" s="19"/>
      <c r="ROB27" s="19"/>
      <c r="ROC27" s="19"/>
      <c r="ROD27" s="19"/>
      <c r="ROE27" s="19"/>
      <c r="ROF27" s="19"/>
      <c r="ROG27" s="19"/>
      <c r="ROH27" s="19"/>
      <c r="ROI27" s="19"/>
      <c r="ROJ27" s="19"/>
      <c r="ROK27" s="19"/>
      <c r="ROL27" s="19"/>
      <c r="ROM27" s="19"/>
      <c r="RON27" s="19"/>
      <c r="ROO27" s="19"/>
      <c r="ROP27" s="19"/>
      <c r="ROQ27" s="19"/>
      <c r="ROR27" s="19"/>
      <c r="ROS27" s="19"/>
      <c r="ROT27" s="19"/>
      <c r="ROU27" s="19"/>
      <c r="ROV27" s="19"/>
      <c r="ROW27" s="19"/>
      <c r="ROX27" s="19"/>
      <c r="ROY27" s="19"/>
      <c r="ROZ27" s="19"/>
      <c r="RPA27" s="19"/>
      <c r="RPB27" s="19"/>
      <c r="RPC27" s="19"/>
      <c r="RPD27" s="19"/>
      <c r="RPE27" s="19"/>
      <c r="RPF27" s="19"/>
      <c r="RPG27" s="19"/>
      <c r="RPH27" s="19"/>
      <c r="RPI27" s="19"/>
      <c r="RPJ27" s="19"/>
      <c r="RPK27" s="19"/>
      <c r="RPL27" s="19"/>
      <c r="RPM27" s="19"/>
      <c r="RPN27" s="19"/>
      <c r="RPO27" s="19"/>
      <c r="RPP27" s="19"/>
      <c r="RPQ27" s="19"/>
      <c r="RPR27" s="19"/>
      <c r="RPS27" s="19"/>
      <c r="RPT27" s="19"/>
      <c r="RPU27" s="19"/>
      <c r="RPV27" s="19"/>
      <c r="RPW27" s="19"/>
      <c r="RPX27" s="19"/>
      <c r="RPY27" s="19"/>
      <c r="RPZ27" s="19"/>
      <c r="RQA27" s="19"/>
      <c r="RQB27" s="19"/>
      <c r="RQC27" s="19"/>
      <c r="RQD27" s="19"/>
      <c r="RQE27" s="19"/>
      <c r="RQF27" s="19"/>
      <c r="RQG27" s="19"/>
      <c r="RQH27" s="19"/>
      <c r="RQI27" s="19"/>
      <c r="RQJ27" s="19"/>
      <c r="RQK27" s="19"/>
      <c r="RQL27" s="19"/>
      <c r="RQM27" s="19"/>
      <c r="RQN27" s="19"/>
      <c r="RQO27" s="19"/>
      <c r="RQP27" s="19"/>
      <c r="RQQ27" s="19"/>
      <c r="RQR27" s="19"/>
      <c r="RQS27" s="19"/>
      <c r="RQT27" s="19"/>
      <c r="RQU27" s="19"/>
      <c r="RQV27" s="19"/>
      <c r="RQW27" s="19"/>
      <c r="RQX27" s="19"/>
      <c r="RQY27" s="19"/>
      <c r="RQZ27" s="19"/>
      <c r="RRA27" s="19"/>
      <c r="RRB27" s="19"/>
      <c r="RRC27" s="19"/>
      <c r="RRD27" s="19"/>
      <c r="RRE27" s="19"/>
      <c r="RRF27" s="19"/>
      <c r="RRG27" s="19"/>
      <c r="RRH27" s="19"/>
      <c r="RRI27" s="19"/>
      <c r="RRJ27" s="19"/>
      <c r="RRK27" s="19"/>
      <c r="RRL27" s="19"/>
      <c r="RRM27" s="19"/>
      <c r="RRN27" s="19"/>
      <c r="RRO27" s="19"/>
      <c r="RRP27" s="19"/>
      <c r="RRQ27" s="19"/>
      <c r="RRR27" s="19"/>
      <c r="RRS27" s="19"/>
      <c r="RRT27" s="19"/>
      <c r="RRU27" s="19"/>
      <c r="RRV27" s="19"/>
      <c r="RRW27" s="19"/>
      <c r="RRX27" s="19"/>
      <c r="RRY27" s="19"/>
      <c r="RRZ27" s="19"/>
      <c r="RSA27" s="19"/>
      <c r="RSB27" s="19"/>
      <c r="RSC27" s="19"/>
      <c r="RSD27" s="19"/>
      <c r="RSE27" s="19"/>
      <c r="RSF27" s="19"/>
      <c r="RSG27" s="19"/>
      <c r="RSH27" s="19"/>
      <c r="RSI27" s="19"/>
      <c r="RSJ27" s="19"/>
      <c r="RSK27" s="19"/>
      <c r="RSL27" s="19"/>
      <c r="RSM27" s="19"/>
      <c r="RSN27" s="19"/>
      <c r="RSO27" s="19"/>
      <c r="RSP27" s="19"/>
      <c r="RSQ27" s="19"/>
      <c r="RSR27" s="19"/>
      <c r="RSS27" s="19"/>
      <c r="RST27" s="19"/>
      <c r="RSU27" s="19"/>
      <c r="RSV27" s="19"/>
      <c r="RSW27" s="19"/>
      <c r="RSX27" s="19"/>
      <c r="RSY27" s="19"/>
      <c r="RSZ27" s="19"/>
      <c r="RTA27" s="19"/>
      <c r="RTB27" s="19"/>
      <c r="RTC27" s="19"/>
      <c r="RTD27" s="19"/>
      <c r="RTE27" s="19"/>
      <c r="RTF27" s="19"/>
      <c r="RTG27" s="19"/>
      <c r="RTH27" s="19"/>
      <c r="RTI27" s="19"/>
      <c r="RTJ27" s="19"/>
      <c r="RTK27" s="19"/>
      <c r="RTL27" s="19"/>
      <c r="RTM27" s="19"/>
      <c r="RTN27" s="19"/>
      <c r="RTO27" s="19"/>
      <c r="RTP27" s="19"/>
      <c r="RTQ27" s="19"/>
      <c r="RTR27" s="19"/>
      <c r="RTS27" s="19"/>
      <c r="RTT27" s="19"/>
      <c r="RTU27" s="19"/>
      <c r="RTV27" s="19"/>
      <c r="RTW27" s="19"/>
      <c r="RTX27" s="19"/>
      <c r="RTY27" s="19"/>
      <c r="RTZ27" s="19"/>
      <c r="RUA27" s="19"/>
      <c r="RUB27" s="19"/>
      <c r="RUC27" s="19"/>
      <c r="RUD27" s="19"/>
      <c r="RUE27" s="19"/>
      <c r="RUF27" s="19"/>
      <c r="RUG27" s="19"/>
      <c r="RUH27" s="19"/>
      <c r="RUI27" s="19"/>
      <c r="RUJ27" s="19"/>
      <c r="RUK27" s="19"/>
      <c r="RUL27" s="19"/>
      <c r="RUM27" s="19"/>
      <c r="RUN27" s="19"/>
      <c r="RUO27" s="19"/>
      <c r="RUP27" s="19"/>
      <c r="RUQ27" s="19"/>
      <c r="RUR27" s="19"/>
      <c r="RUS27" s="19"/>
      <c r="RUT27" s="19"/>
      <c r="RUU27" s="19"/>
      <c r="RUV27" s="19"/>
      <c r="RUW27" s="19"/>
      <c r="RUX27" s="19"/>
      <c r="RUY27" s="19"/>
      <c r="RUZ27" s="19"/>
      <c r="RVA27" s="19"/>
      <c r="RVB27" s="19"/>
      <c r="RVC27" s="19"/>
      <c r="RVD27" s="19"/>
      <c r="RVE27" s="19"/>
      <c r="RVF27" s="19"/>
      <c r="RVG27" s="19"/>
      <c r="RVH27" s="19"/>
      <c r="RVI27" s="19"/>
      <c r="RVJ27" s="19"/>
      <c r="RVK27" s="19"/>
      <c r="RVL27" s="19"/>
      <c r="RVM27" s="19"/>
      <c r="RVN27" s="19"/>
      <c r="RVO27" s="19"/>
      <c r="RVP27" s="19"/>
      <c r="RVQ27" s="19"/>
      <c r="RVR27" s="19"/>
      <c r="RVS27" s="19"/>
      <c r="RVT27" s="19"/>
      <c r="RVU27" s="19"/>
      <c r="RVV27" s="19"/>
      <c r="RVW27" s="19"/>
      <c r="RVX27" s="19"/>
      <c r="RVY27" s="19"/>
      <c r="RVZ27" s="19"/>
      <c r="RWA27" s="19"/>
      <c r="RWB27" s="19"/>
      <c r="RWC27" s="19"/>
      <c r="RWD27" s="19"/>
      <c r="RWE27" s="19"/>
      <c r="RWF27" s="19"/>
      <c r="RWG27" s="19"/>
      <c r="RWH27" s="19"/>
      <c r="RWI27" s="19"/>
      <c r="RWJ27" s="19"/>
      <c r="RWK27" s="19"/>
      <c r="RWL27" s="19"/>
      <c r="RWM27" s="19"/>
      <c r="RWN27" s="19"/>
      <c r="RWO27" s="19"/>
      <c r="RWP27" s="19"/>
      <c r="RWQ27" s="19"/>
      <c r="RWR27" s="19"/>
      <c r="RWS27" s="19"/>
      <c r="RWT27" s="19"/>
      <c r="RWU27" s="19"/>
      <c r="RWV27" s="19"/>
      <c r="RWW27" s="19"/>
      <c r="RWX27" s="19"/>
      <c r="RWY27" s="19"/>
      <c r="RWZ27" s="19"/>
      <c r="RXA27" s="19"/>
      <c r="RXB27" s="19"/>
      <c r="RXC27" s="19"/>
      <c r="RXD27" s="19"/>
      <c r="RXE27" s="19"/>
      <c r="RXF27" s="19"/>
      <c r="RXG27" s="19"/>
      <c r="RXH27" s="19"/>
      <c r="RXI27" s="19"/>
      <c r="RXJ27" s="19"/>
      <c r="RXK27" s="19"/>
      <c r="RXL27" s="19"/>
      <c r="RXM27" s="19"/>
      <c r="RXN27" s="19"/>
      <c r="RXO27" s="19"/>
      <c r="RXP27" s="19"/>
      <c r="RXQ27" s="19"/>
      <c r="RXR27" s="19"/>
      <c r="RXS27" s="19"/>
      <c r="RXT27" s="19"/>
      <c r="RXU27" s="19"/>
      <c r="RXV27" s="19"/>
      <c r="RXW27" s="19"/>
      <c r="RXX27" s="19"/>
      <c r="RXY27" s="19"/>
      <c r="RXZ27" s="19"/>
      <c r="RYA27" s="19"/>
      <c r="RYB27" s="19"/>
      <c r="RYC27" s="19"/>
      <c r="RYD27" s="19"/>
      <c r="RYE27" s="19"/>
      <c r="RYF27" s="19"/>
      <c r="RYG27" s="19"/>
      <c r="RYH27" s="19"/>
      <c r="RYI27" s="19"/>
      <c r="RYJ27" s="19"/>
      <c r="RYK27" s="19"/>
      <c r="RYL27" s="19"/>
      <c r="RYM27" s="19"/>
      <c r="RYN27" s="19"/>
      <c r="RYO27" s="19"/>
      <c r="RYP27" s="19"/>
      <c r="RYQ27" s="19"/>
      <c r="RYR27" s="19"/>
      <c r="RYS27" s="19"/>
      <c r="RYT27" s="19"/>
      <c r="RYU27" s="19"/>
      <c r="RYV27" s="19"/>
      <c r="RYW27" s="19"/>
      <c r="RYX27" s="19"/>
      <c r="RYY27" s="19"/>
      <c r="RYZ27" s="19"/>
      <c r="RZA27" s="19"/>
      <c r="RZB27" s="19"/>
      <c r="RZC27" s="19"/>
      <c r="RZD27" s="19"/>
      <c r="RZE27" s="19"/>
      <c r="RZF27" s="19"/>
      <c r="RZG27" s="19"/>
      <c r="RZH27" s="19"/>
      <c r="RZI27" s="19"/>
      <c r="RZJ27" s="19"/>
      <c r="RZK27" s="19"/>
      <c r="RZL27" s="19"/>
      <c r="RZM27" s="19"/>
      <c r="RZN27" s="19"/>
      <c r="RZO27" s="19"/>
      <c r="RZP27" s="19"/>
      <c r="RZQ27" s="19"/>
      <c r="RZR27" s="19"/>
      <c r="RZS27" s="19"/>
      <c r="RZT27" s="19"/>
      <c r="RZU27" s="19"/>
      <c r="RZV27" s="19"/>
      <c r="RZW27" s="19"/>
      <c r="RZX27" s="19"/>
      <c r="RZY27" s="19"/>
      <c r="RZZ27" s="19"/>
      <c r="SAA27" s="19"/>
      <c r="SAB27" s="19"/>
      <c r="SAC27" s="19"/>
      <c r="SAD27" s="19"/>
      <c r="SAE27" s="19"/>
      <c r="SAF27" s="19"/>
      <c r="SAG27" s="19"/>
      <c r="SAH27" s="19"/>
      <c r="SAI27" s="19"/>
      <c r="SAJ27" s="19"/>
      <c r="SAK27" s="19"/>
      <c r="SAL27" s="19"/>
      <c r="SAM27" s="19"/>
      <c r="SAN27" s="19"/>
      <c r="SAO27" s="19"/>
      <c r="SAP27" s="19"/>
      <c r="SAQ27" s="19"/>
      <c r="SAR27" s="19"/>
      <c r="SAS27" s="19"/>
      <c r="SAT27" s="19"/>
      <c r="SAU27" s="19"/>
      <c r="SAV27" s="19"/>
      <c r="SAW27" s="19"/>
      <c r="SAX27" s="19"/>
      <c r="SAY27" s="19"/>
      <c r="SAZ27" s="19"/>
      <c r="SBA27" s="19"/>
      <c r="SBB27" s="19"/>
      <c r="SBC27" s="19"/>
      <c r="SBD27" s="19"/>
      <c r="SBE27" s="19"/>
      <c r="SBF27" s="19"/>
      <c r="SBG27" s="19"/>
      <c r="SBH27" s="19"/>
      <c r="SBI27" s="19"/>
      <c r="SBJ27" s="19"/>
      <c r="SBK27" s="19"/>
      <c r="SBL27" s="19"/>
      <c r="SBM27" s="19"/>
      <c r="SBN27" s="19"/>
      <c r="SBO27" s="19"/>
      <c r="SBP27" s="19"/>
      <c r="SBQ27" s="19"/>
      <c r="SBR27" s="19"/>
      <c r="SBS27" s="19"/>
      <c r="SBT27" s="19"/>
      <c r="SBU27" s="19"/>
      <c r="SBV27" s="19"/>
      <c r="SBW27" s="19"/>
      <c r="SBX27" s="19"/>
      <c r="SBY27" s="19"/>
      <c r="SBZ27" s="19"/>
      <c r="SCA27" s="19"/>
      <c r="SCB27" s="19"/>
      <c r="SCC27" s="19"/>
      <c r="SCD27" s="19"/>
      <c r="SCE27" s="19"/>
      <c r="SCF27" s="19"/>
      <c r="SCG27" s="19"/>
      <c r="SCH27" s="19"/>
      <c r="SCI27" s="19"/>
      <c r="SCJ27" s="19"/>
      <c r="SCK27" s="19"/>
      <c r="SCL27" s="19"/>
      <c r="SCM27" s="19"/>
      <c r="SCN27" s="19"/>
      <c r="SCO27" s="19"/>
      <c r="SCP27" s="19"/>
      <c r="SCQ27" s="19"/>
      <c r="SCR27" s="19"/>
      <c r="SCS27" s="19"/>
      <c r="SCT27" s="19"/>
      <c r="SCU27" s="19"/>
      <c r="SCV27" s="19"/>
      <c r="SCW27" s="19"/>
      <c r="SCX27" s="19"/>
      <c r="SCY27" s="19"/>
      <c r="SCZ27" s="19"/>
      <c r="SDA27" s="19"/>
      <c r="SDB27" s="19"/>
      <c r="SDC27" s="19"/>
      <c r="SDD27" s="19"/>
      <c r="SDE27" s="19"/>
      <c r="SDF27" s="19"/>
      <c r="SDG27" s="19"/>
      <c r="SDH27" s="19"/>
      <c r="SDI27" s="19"/>
      <c r="SDJ27" s="19"/>
      <c r="SDK27" s="19"/>
      <c r="SDL27" s="19"/>
      <c r="SDM27" s="19"/>
      <c r="SDN27" s="19"/>
      <c r="SDO27" s="19"/>
      <c r="SDP27" s="19"/>
      <c r="SDQ27" s="19"/>
      <c r="SDR27" s="19"/>
      <c r="SDS27" s="19"/>
      <c r="SDT27" s="19"/>
      <c r="SDU27" s="19"/>
      <c r="SDV27" s="19"/>
      <c r="SDW27" s="19"/>
      <c r="SDX27" s="19"/>
      <c r="SDY27" s="19"/>
      <c r="SDZ27" s="19"/>
      <c r="SEA27" s="19"/>
      <c r="SEB27" s="19"/>
      <c r="SEC27" s="19"/>
      <c r="SED27" s="19"/>
      <c r="SEE27" s="19"/>
      <c r="SEF27" s="19"/>
      <c r="SEG27" s="19"/>
      <c r="SEH27" s="19"/>
      <c r="SEI27" s="19"/>
      <c r="SEJ27" s="19"/>
      <c r="SEK27" s="19"/>
      <c r="SEL27" s="19"/>
      <c r="SEM27" s="19"/>
      <c r="SEN27" s="19"/>
      <c r="SEO27" s="19"/>
      <c r="SEP27" s="19"/>
      <c r="SEQ27" s="19"/>
      <c r="SER27" s="19"/>
      <c r="SES27" s="19"/>
      <c r="SET27" s="19"/>
      <c r="SEU27" s="19"/>
      <c r="SEV27" s="19"/>
      <c r="SEW27" s="19"/>
      <c r="SEX27" s="19"/>
      <c r="SEY27" s="19"/>
      <c r="SEZ27" s="19"/>
      <c r="SFA27" s="19"/>
      <c r="SFB27" s="19"/>
      <c r="SFC27" s="19"/>
      <c r="SFD27" s="19"/>
      <c r="SFE27" s="19"/>
      <c r="SFF27" s="19"/>
      <c r="SFG27" s="19"/>
      <c r="SFH27" s="19"/>
      <c r="SFI27" s="19"/>
      <c r="SFJ27" s="19"/>
      <c r="SFK27" s="19"/>
      <c r="SFL27" s="19"/>
      <c r="SFM27" s="19"/>
      <c r="SFN27" s="19"/>
      <c r="SFO27" s="19"/>
      <c r="SFP27" s="19"/>
      <c r="SFQ27" s="19"/>
      <c r="SFR27" s="19"/>
      <c r="SFS27" s="19"/>
      <c r="SFT27" s="19"/>
      <c r="SFU27" s="19"/>
      <c r="SFV27" s="19"/>
      <c r="SFW27" s="19"/>
      <c r="SFX27" s="19"/>
      <c r="SFY27" s="19"/>
      <c r="SFZ27" s="19"/>
      <c r="SGA27" s="19"/>
      <c r="SGB27" s="19"/>
      <c r="SGC27" s="19"/>
      <c r="SGD27" s="19"/>
      <c r="SGE27" s="19"/>
      <c r="SGF27" s="19"/>
      <c r="SGG27" s="19"/>
      <c r="SGH27" s="19"/>
      <c r="SGI27" s="19"/>
      <c r="SGJ27" s="19"/>
      <c r="SGK27" s="19"/>
      <c r="SGL27" s="19"/>
      <c r="SGM27" s="19"/>
      <c r="SGN27" s="19"/>
      <c r="SGO27" s="19"/>
      <c r="SGP27" s="19"/>
      <c r="SGQ27" s="19"/>
      <c r="SGR27" s="19"/>
      <c r="SGS27" s="19"/>
      <c r="SGT27" s="19"/>
      <c r="SGU27" s="19"/>
      <c r="SGV27" s="19"/>
      <c r="SGW27" s="19"/>
      <c r="SGX27" s="19"/>
      <c r="SGY27" s="19"/>
      <c r="SGZ27" s="19"/>
      <c r="SHA27" s="19"/>
      <c r="SHB27" s="19"/>
      <c r="SHC27" s="19"/>
      <c r="SHD27" s="19"/>
      <c r="SHE27" s="19"/>
      <c r="SHF27" s="19"/>
      <c r="SHG27" s="19"/>
      <c r="SHH27" s="19"/>
      <c r="SHI27" s="19"/>
      <c r="SHJ27" s="19"/>
      <c r="SHK27" s="19"/>
      <c r="SHL27" s="19"/>
      <c r="SHM27" s="19"/>
      <c r="SHN27" s="19"/>
      <c r="SHO27" s="19"/>
      <c r="SHP27" s="19"/>
      <c r="SHQ27" s="19"/>
      <c r="SHR27" s="19"/>
      <c r="SHS27" s="19"/>
      <c r="SHT27" s="19"/>
      <c r="SHU27" s="19"/>
      <c r="SHV27" s="19"/>
      <c r="SHW27" s="19"/>
      <c r="SHX27" s="19"/>
      <c r="SHY27" s="19"/>
      <c r="SHZ27" s="19"/>
      <c r="SIA27" s="19"/>
      <c r="SIB27" s="19"/>
      <c r="SIC27" s="19"/>
      <c r="SID27" s="19"/>
      <c r="SIE27" s="19"/>
      <c r="SIF27" s="19"/>
      <c r="SIG27" s="19"/>
      <c r="SIH27" s="19"/>
      <c r="SII27" s="19"/>
      <c r="SIJ27" s="19"/>
      <c r="SIK27" s="19"/>
      <c r="SIL27" s="19"/>
      <c r="SIM27" s="19"/>
      <c r="SIN27" s="19"/>
      <c r="SIO27" s="19"/>
      <c r="SIP27" s="19"/>
      <c r="SIQ27" s="19"/>
      <c r="SIR27" s="19"/>
      <c r="SIS27" s="19"/>
      <c r="SIT27" s="19"/>
      <c r="SIU27" s="19"/>
      <c r="SIV27" s="19"/>
      <c r="SIW27" s="19"/>
      <c r="SIX27" s="19"/>
      <c r="SIY27" s="19"/>
      <c r="SIZ27" s="19"/>
      <c r="SJA27" s="19"/>
      <c r="SJB27" s="19"/>
      <c r="SJC27" s="19"/>
      <c r="SJD27" s="19"/>
      <c r="SJE27" s="19"/>
      <c r="SJF27" s="19"/>
      <c r="SJG27" s="19"/>
      <c r="SJH27" s="19"/>
      <c r="SJI27" s="19"/>
      <c r="SJJ27" s="19"/>
      <c r="SJK27" s="19"/>
      <c r="SJL27" s="19"/>
      <c r="SJM27" s="19"/>
      <c r="SJN27" s="19"/>
      <c r="SJO27" s="19"/>
      <c r="SJP27" s="19"/>
      <c r="SJQ27" s="19"/>
      <c r="SJR27" s="19"/>
      <c r="SJS27" s="19"/>
      <c r="SJT27" s="19"/>
      <c r="SJU27" s="19"/>
      <c r="SJV27" s="19"/>
      <c r="SJW27" s="19"/>
      <c r="SJX27" s="19"/>
      <c r="SJY27" s="19"/>
      <c r="SJZ27" s="19"/>
      <c r="SKA27" s="19"/>
      <c r="SKB27" s="19"/>
      <c r="SKC27" s="19"/>
      <c r="SKD27" s="19"/>
      <c r="SKE27" s="19"/>
      <c r="SKF27" s="19"/>
      <c r="SKG27" s="19"/>
      <c r="SKH27" s="19"/>
      <c r="SKI27" s="19"/>
      <c r="SKJ27" s="19"/>
      <c r="SKK27" s="19"/>
      <c r="SKL27" s="19"/>
      <c r="SKM27" s="19"/>
      <c r="SKN27" s="19"/>
      <c r="SKO27" s="19"/>
      <c r="SKP27" s="19"/>
      <c r="SKQ27" s="19"/>
      <c r="SKR27" s="19"/>
      <c r="SKS27" s="19"/>
      <c r="SKT27" s="19"/>
      <c r="SKU27" s="19"/>
      <c r="SKV27" s="19"/>
      <c r="SKW27" s="19"/>
      <c r="SKX27" s="19"/>
      <c r="SKY27" s="19"/>
      <c r="SKZ27" s="19"/>
      <c r="SLA27" s="19"/>
      <c r="SLB27" s="19"/>
      <c r="SLC27" s="19"/>
      <c r="SLD27" s="19"/>
      <c r="SLE27" s="19"/>
      <c r="SLF27" s="19"/>
      <c r="SLG27" s="19"/>
      <c r="SLH27" s="19"/>
      <c r="SLI27" s="19"/>
      <c r="SLJ27" s="19"/>
      <c r="SLK27" s="19"/>
      <c r="SLL27" s="19"/>
      <c r="SLM27" s="19"/>
      <c r="SLN27" s="19"/>
      <c r="SLO27" s="19"/>
      <c r="SLP27" s="19"/>
      <c r="SLQ27" s="19"/>
      <c r="SLR27" s="19"/>
      <c r="SLS27" s="19"/>
      <c r="SLT27" s="19"/>
      <c r="SLU27" s="19"/>
      <c r="SLV27" s="19"/>
      <c r="SLW27" s="19"/>
      <c r="SLX27" s="19"/>
      <c r="SLY27" s="19"/>
      <c r="SLZ27" s="19"/>
      <c r="SMA27" s="19"/>
      <c r="SMB27" s="19"/>
      <c r="SMC27" s="19"/>
      <c r="SMD27" s="19"/>
      <c r="SME27" s="19"/>
      <c r="SMF27" s="19"/>
      <c r="SMG27" s="19"/>
      <c r="SMH27" s="19"/>
      <c r="SMI27" s="19"/>
      <c r="SMJ27" s="19"/>
      <c r="SMK27" s="19"/>
      <c r="SML27" s="19"/>
      <c r="SMM27" s="19"/>
      <c r="SMN27" s="19"/>
      <c r="SMO27" s="19"/>
      <c r="SMP27" s="19"/>
      <c r="SMQ27" s="19"/>
      <c r="SMR27" s="19"/>
      <c r="SMS27" s="19"/>
      <c r="SMT27" s="19"/>
      <c r="SMU27" s="19"/>
      <c r="SMV27" s="19"/>
      <c r="SMW27" s="19"/>
      <c r="SMX27" s="19"/>
      <c r="SMY27" s="19"/>
      <c r="SMZ27" s="19"/>
      <c r="SNA27" s="19"/>
      <c r="SNB27" s="19"/>
      <c r="SNC27" s="19"/>
      <c r="SND27" s="19"/>
      <c r="SNE27" s="19"/>
      <c r="SNF27" s="19"/>
      <c r="SNG27" s="19"/>
      <c r="SNH27" s="19"/>
      <c r="SNI27" s="19"/>
      <c r="SNJ27" s="19"/>
      <c r="SNK27" s="19"/>
      <c r="SNL27" s="19"/>
      <c r="SNM27" s="19"/>
      <c r="SNN27" s="19"/>
      <c r="SNO27" s="19"/>
      <c r="SNP27" s="19"/>
      <c r="SNQ27" s="19"/>
      <c r="SNR27" s="19"/>
      <c r="SNS27" s="19"/>
      <c r="SNT27" s="19"/>
      <c r="SNU27" s="19"/>
      <c r="SNV27" s="19"/>
      <c r="SNW27" s="19"/>
      <c r="SNX27" s="19"/>
      <c r="SNY27" s="19"/>
      <c r="SNZ27" s="19"/>
      <c r="SOA27" s="19"/>
      <c r="SOB27" s="19"/>
      <c r="SOC27" s="19"/>
      <c r="SOD27" s="19"/>
      <c r="SOE27" s="19"/>
      <c r="SOF27" s="19"/>
      <c r="SOG27" s="19"/>
      <c r="SOH27" s="19"/>
      <c r="SOI27" s="19"/>
      <c r="SOJ27" s="19"/>
      <c r="SOK27" s="19"/>
      <c r="SOL27" s="19"/>
      <c r="SOM27" s="19"/>
      <c r="SON27" s="19"/>
      <c r="SOO27" s="19"/>
      <c r="SOP27" s="19"/>
      <c r="SOQ27" s="19"/>
      <c r="SOR27" s="19"/>
      <c r="SOS27" s="19"/>
      <c r="SOT27" s="19"/>
      <c r="SOU27" s="19"/>
      <c r="SOV27" s="19"/>
      <c r="SOW27" s="19"/>
      <c r="SOX27" s="19"/>
      <c r="SOY27" s="19"/>
      <c r="SOZ27" s="19"/>
      <c r="SPA27" s="19"/>
      <c r="SPB27" s="19"/>
      <c r="SPC27" s="19"/>
      <c r="SPD27" s="19"/>
      <c r="SPE27" s="19"/>
      <c r="SPF27" s="19"/>
      <c r="SPG27" s="19"/>
      <c r="SPH27" s="19"/>
      <c r="SPI27" s="19"/>
      <c r="SPJ27" s="19"/>
      <c r="SPK27" s="19"/>
      <c r="SPL27" s="19"/>
      <c r="SPM27" s="19"/>
      <c r="SPN27" s="19"/>
      <c r="SPO27" s="19"/>
      <c r="SPP27" s="19"/>
      <c r="SPQ27" s="19"/>
      <c r="SPR27" s="19"/>
      <c r="SPS27" s="19"/>
      <c r="SPT27" s="19"/>
      <c r="SPU27" s="19"/>
      <c r="SPV27" s="19"/>
      <c r="SPW27" s="19"/>
      <c r="SPX27" s="19"/>
      <c r="SPY27" s="19"/>
      <c r="SPZ27" s="19"/>
      <c r="SQA27" s="19"/>
      <c r="SQB27" s="19"/>
      <c r="SQC27" s="19"/>
      <c r="SQD27" s="19"/>
      <c r="SQE27" s="19"/>
      <c r="SQF27" s="19"/>
      <c r="SQG27" s="19"/>
      <c r="SQH27" s="19"/>
      <c r="SQI27" s="19"/>
      <c r="SQJ27" s="19"/>
      <c r="SQK27" s="19"/>
      <c r="SQL27" s="19"/>
      <c r="SQM27" s="19"/>
      <c r="SQN27" s="19"/>
      <c r="SQO27" s="19"/>
      <c r="SQP27" s="19"/>
      <c r="SQQ27" s="19"/>
      <c r="SQR27" s="19"/>
      <c r="SQS27" s="19"/>
      <c r="SQT27" s="19"/>
      <c r="SQU27" s="19"/>
      <c r="SQV27" s="19"/>
      <c r="SQW27" s="19"/>
      <c r="SQX27" s="19"/>
      <c r="SQY27" s="19"/>
      <c r="SQZ27" s="19"/>
      <c r="SRA27" s="19"/>
      <c r="SRB27" s="19"/>
      <c r="SRC27" s="19"/>
      <c r="SRD27" s="19"/>
      <c r="SRE27" s="19"/>
      <c r="SRF27" s="19"/>
      <c r="SRG27" s="19"/>
      <c r="SRH27" s="19"/>
      <c r="SRI27" s="19"/>
      <c r="SRJ27" s="19"/>
      <c r="SRK27" s="19"/>
      <c r="SRL27" s="19"/>
      <c r="SRM27" s="19"/>
      <c r="SRN27" s="19"/>
      <c r="SRO27" s="19"/>
      <c r="SRP27" s="19"/>
      <c r="SRQ27" s="19"/>
      <c r="SRR27" s="19"/>
      <c r="SRS27" s="19"/>
      <c r="SRT27" s="19"/>
      <c r="SRU27" s="19"/>
      <c r="SRV27" s="19"/>
      <c r="SRW27" s="19"/>
      <c r="SRX27" s="19"/>
      <c r="SRY27" s="19"/>
      <c r="SRZ27" s="19"/>
      <c r="SSA27" s="19"/>
      <c r="SSB27" s="19"/>
      <c r="SSC27" s="19"/>
      <c r="SSD27" s="19"/>
      <c r="SSE27" s="19"/>
      <c r="SSF27" s="19"/>
      <c r="SSG27" s="19"/>
      <c r="SSH27" s="19"/>
      <c r="SSI27" s="19"/>
      <c r="SSJ27" s="19"/>
      <c r="SSK27" s="19"/>
      <c r="SSL27" s="19"/>
      <c r="SSM27" s="19"/>
      <c r="SSN27" s="19"/>
      <c r="SSO27" s="19"/>
      <c r="SSP27" s="19"/>
      <c r="SSQ27" s="19"/>
      <c r="SSR27" s="19"/>
      <c r="SSS27" s="19"/>
      <c r="SST27" s="19"/>
      <c r="SSU27" s="19"/>
      <c r="SSV27" s="19"/>
      <c r="SSW27" s="19"/>
      <c r="SSX27" s="19"/>
      <c r="SSY27" s="19"/>
      <c r="SSZ27" s="19"/>
      <c r="STA27" s="19"/>
      <c r="STB27" s="19"/>
      <c r="STC27" s="19"/>
      <c r="STD27" s="19"/>
      <c r="STE27" s="19"/>
      <c r="STF27" s="19"/>
      <c r="STG27" s="19"/>
      <c r="STH27" s="19"/>
      <c r="STI27" s="19"/>
      <c r="STJ27" s="19"/>
      <c r="STK27" s="19"/>
      <c r="STL27" s="19"/>
      <c r="STM27" s="19"/>
      <c r="STN27" s="19"/>
      <c r="STO27" s="19"/>
      <c r="STP27" s="19"/>
      <c r="STQ27" s="19"/>
      <c r="STR27" s="19"/>
      <c r="STS27" s="19"/>
      <c r="STT27" s="19"/>
      <c r="STU27" s="19"/>
      <c r="STV27" s="19"/>
      <c r="STW27" s="19"/>
      <c r="STX27" s="19"/>
      <c r="STY27" s="19"/>
      <c r="STZ27" s="19"/>
      <c r="SUA27" s="19"/>
      <c r="SUB27" s="19"/>
      <c r="SUC27" s="19"/>
      <c r="SUD27" s="19"/>
      <c r="SUE27" s="19"/>
      <c r="SUF27" s="19"/>
      <c r="SUG27" s="19"/>
      <c r="SUH27" s="19"/>
      <c r="SUI27" s="19"/>
      <c r="SUJ27" s="19"/>
      <c r="SUK27" s="19"/>
      <c r="SUL27" s="19"/>
      <c r="SUM27" s="19"/>
      <c r="SUN27" s="19"/>
      <c r="SUO27" s="19"/>
      <c r="SUP27" s="19"/>
      <c r="SUQ27" s="19"/>
      <c r="SUR27" s="19"/>
      <c r="SUS27" s="19"/>
      <c r="SUT27" s="19"/>
      <c r="SUU27" s="19"/>
      <c r="SUV27" s="19"/>
      <c r="SUW27" s="19"/>
      <c r="SUX27" s="19"/>
      <c r="SUY27" s="19"/>
      <c r="SUZ27" s="19"/>
      <c r="SVA27" s="19"/>
      <c r="SVB27" s="19"/>
      <c r="SVC27" s="19"/>
      <c r="SVD27" s="19"/>
      <c r="SVE27" s="19"/>
      <c r="SVF27" s="19"/>
      <c r="SVG27" s="19"/>
      <c r="SVH27" s="19"/>
      <c r="SVI27" s="19"/>
      <c r="SVJ27" s="19"/>
      <c r="SVK27" s="19"/>
      <c r="SVL27" s="19"/>
      <c r="SVM27" s="19"/>
      <c r="SVN27" s="19"/>
      <c r="SVO27" s="19"/>
      <c r="SVP27" s="19"/>
      <c r="SVQ27" s="19"/>
      <c r="SVR27" s="19"/>
      <c r="SVS27" s="19"/>
      <c r="SVT27" s="19"/>
      <c r="SVU27" s="19"/>
      <c r="SVV27" s="19"/>
      <c r="SVW27" s="19"/>
      <c r="SVX27" s="19"/>
      <c r="SVY27" s="19"/>
      <c r="SVZ27" s="19"/>
      <c r="SWA27" s="19"/>
      <c r="SWB27" s="19"/>
      <c r="SWC27" s="19"/>
      <c r="SWD27" s="19"/>
      <c r="SWE27" s="19"/>
      <c r="SWF27" s="19"/>
      <c r="SWG27" s="19"/>
      <c r="SWH27" s="19"/>
      <c r="SWI27" s="19"/>
      <c r="SWJ27" s="19"/>
      <c r="SWK27" s="19"/>
      <c r="SWL27" s="19"/>
      <c r="SWM27" s="19"/>
      <c r="SWN27" s="19"/>
      <c r="SWO27" s="19"/>
      <c r="SWP27" s="19"/>
      <c r="SWQ27" s="19"/>
      <c r="SWR27" s="19"/>
      <c r="SWS27" s="19"/>
      <c r="SWT27" s="19"/>
      <c r="SWU27" s="19"/>
      <c r="SWV27" s="19"/>
      <c r="SWW27" s="19"/>
      <c r="SWX27" s="19"/>
      <c r="SWY27" s="19"/>
      <c r="SWZ27" s="19"/>
      <c r="SXA27" s="19"/>
      <c r="SXB27" s="19"/>
      <c r="SXC27" s="19"/>
      <c r="SXD27" s="19"/>
      <c r="SXE27" s="19"/>
      <c r="SXF27" s="19"/>
      <c r="SXG27" s="19"/>
      <c r="SXH27" s="19"/>
      <c r="SXI27" s="19"/>
      <c r="SXJ27" s="19"/>
      <c r="SXK27" s="19"/>
      <c r="SXL27" s="19"/>
      <c r="SXM27" s="19"/>
      <c r="SXN27" s="19"/>
      <c r="SXO27" s="19"/>
      <c r="SXP27" s="19"/>
      <c r="SXQ27" s="19"/>
      <c r="SXR27" s="19"/>
      <c r="SXS27" s="19"/>
      <c r="SXT27" s="19"/>
      <c r="SXU27" s="19"/>
      <c r="SXV27" s="19"/>
      <c r="SXW27" s="19"/>
      <c r="SXX27" s="19"/>
      <c r="SXY27" s="19"/>
      <c r="SXZ27" s="19"/>
      <c r="SYA27" s="19"/>
      <c r="SYB27" s="19"/>
      <c r="SYC27" s="19"/>
      <c r="SYD27" s="19"/>
      <c r="SYE27" s="19"/>
      <c r="SYF27" s="19"/>
      <c r="SYG27" s="19"/>
      <c r="SYH27" s="19"/>
      <c r="SYI27" s="19"/>
      <c r="SYJ27" s="19"/>
      <c r="SYK27" s="19"/>
      <c r="SYL27" s="19"/>
      <c r="SYM27" s="19"/>
      <c r="SYN27" s="19"/>
      <c r="SYO27" s="19"/>
      <c r="SYP27" s="19"/>
      <c r="SYQ27" s="19"/>
      <c r="SYR27" s="19"/>
      <c r="SYS27" s="19"/>
      <c r="SYT27" s="19"/>
      <c r="SYU27" s="19"/>
      <c r="SYV27" s="19"/>
      <c r="SYW27" s="19"/>
      <c r="SYX27" s="19"/>
      <c r="SYY27" s="19"/>
      <c r="SYZ27" s="19"/>
      <c r="SZA27" s="19"/>
      <c r="SZB27" s="19"/>
      <c r="SZC27" s="19"/>
      <c r="SZD27" s="19"/>
      <c r="SZE27" s="19"/>
      <c r="SZF27" s="19"/>
      <c r="SZG27" s="19"/>
      <c r="SZH27" s="19"/>
      <c r="SZI27" s="19"/>
      <c r="SZJ27" s="19"/>
      <c r="SZK27" s="19"/>
      <c r="SZL27" s="19"/>
      <c r="SZM27" s="19"/>
      <c r="SZN27" s="19"/>
      <c r="SZO27" s="19"/>
      <c r="SZP27" s="19"/>
      <c r="SZQ27" s="19"/>
      <c r="SZR27" s="19"/>
      <c r="SZS27" s="19"/>
      <c r="SZT27" s="19"/>
      <c r="SZU27" s="19"/>
      <c r="SZV27" s="19"/>
      <c r="SZW27" s="19"/>
      <c r="SZX27" s="19"/>
      <c r="SZY27" s="19"/>
      <c r="SZZ27" s="19"/>
      <c r="TAA27" s="19"/>
      <c r="TAB27" s="19"/>
      <c r="TAC27" s="19"/>
      <c r="TAD27" s="19"/>
      <c r="TAE27" s="19"/>
      <c r="TAF27" s="19"/>
      <c r="TAG27" s="19"/>
      <c r="TAH27" s="19"/>
      <c r="TAI27" s="19"/>
      <c r="TAJ27" s="19"/>
      <c r="TAK27" s="19"/>
      <c r="TAL27" s="19"/>
      <c r="TAM27" s="19"/>
      <c r="TAN27" s="19"/>
      <c r="TAO27" s="19"/>
      <c r="TAP27" s="19"/>
      <c r="TAQ27" s="19"/>
      <c r="TAR27" s="19"/>
      <c r="TAS27" s="19"/>
      <c r="TAT27" s="19"/>
      <c r="TAU27" s="19"/>
      <c r="TAV27" s="19"/>
      <c r="TAW27" s="19"/>
      <c r="TAX27" s="19"/>
      <c r="TAY27" s="19"/>
      <c r="TAZ27" s="19"/>
      <c r="TBA27" s="19"/>
      <c r="TBB27" s="19"/>
      <c r="TBC27" s="19"/>
      <c r="TBD27" s="19"/>
      <c r="TBE27" s="19"/>
      <c r="TBF27" s="19"/>
      <c r="TBG27" s="19"/>
      <c r="TBH27" s="19"/>
      <c r="TBI27" s="19"/>
      <c r="TBJ27" s="19"/>
      <c r="TBK27" s="19"/>
      <c r="TBL27" s="19"/>
      <c r="TBM27" s="19"/>
      <c r="TBN27" s="19"/>
      <c r="TBO27" s="19"/>
      <c r="TBP27" s="19"/>
      <c r="TBQ27" s="19"/>
      <c r="TBR27" s="19"/>
      <c r="TBS27" s="19"/>
      <c r="TBT27" s="19"/>
      <c r="TBU27" s="19"/>
      <c r="TBV27" s="19"/>
      <c r="TBW27" s="19"/>
      <c r="TBX27" s="19"/>
      <c r="TBY27" s="19"/>
      <c r="TBZ27" s="19"/>
      <c r="TCA27" s="19"/>
      <c r="TCB27" s="19"/>
      <c r="TCC27" s="19"/>
      <c r="TCD27" s="19"/>
      <c r="TCE27" s="19"/>
      <c r="TCF27" s="19"/>
      <c r="TCG27" s="19"/>
      <c r="TCH27" s="19"/>
      <c r="TCI27" s="19"/>
      <c r="TCJ27" s="19"/>
      <c r="TCK27" s="19"/>
      <c r="TCL27" s="19"/>
      <c r="TCM27" s="19"/>
      <c r="TCN27" s="19"/>
      <c r="TCO27" s="19"/>
      <c r="TCP27" s="19"/>
      <c r="TCQ27" s="19"/>
      <c r="TCR27" s="19"/>
      <c r="TCS27" s="19"/>
      <c r="TCT27" s="19"/>
      <c r="TCU27" s="19"/>
      <c r="TCV27" s="19"/>
      <c r="TCW27" s="19"/>
      <c r="TCX27" s="19"/>
      <c r="TCY27" s="19"/>
      <c r="TCZ27" s="19"/>
      <c r="TDA27" s="19"/>
      <c r="TDB27" s="19"/>
      <c r="TDC27" s="19"/>
      <c r="TDD27" s="19"/>
      <c r="TDE27" s="19"/>
      <c r="TDF27" s="19"/>
      <c r="TDG27" s="19"/>
      <c r="TDH27" s="19"/>
      <c r="TDI27" s="19"/>
      <c r="TDJ27" s="19"/>
      <c r="TDK27" s="19"/>
      <c r="TDL27" s="19"/>
      <c r="TDM27" s="19"/>
      <c r="TDN27" s="19"/>
      <c r="TDO27" s="19"/>
      <c r="TDP27" s="19"/>
      <c r="TDQ27" s="19"/>
      <c r="TDR27" s="19"/>
      <c r="TDS27" s="19"/>
      <c r="TDT27" s="19"/>
      <c r="TDU27" s="19"/>
      <c r="TDV27" s="19"/>
      <c r="TDW27" s="19"/>
      <c r="TDX27" s="19"/>
      <c r="TDY27" s="19"/>
      <c r="TDZ27" s="19"/>
      <c r="TEA27" s="19"/>
      <c r="TEB27" s="19"/>
      <c r="TEC27" s="19"/>
      <c r="TED27" s="19"/>
      <c r="TEE27" s="19"/>
      <c r="TEF27" s="19"/>
      <c r="TEG27" s="19"/>
      <c r="TEH27" s="19"/>
      <c r="TEI27" s="19"/>
      <c r="TEJ27" s="19"/>
      <c r="TEK27" s="19"/>
      <c r="TEL27" s="19"/>
      <c r="TEM27" s="19"/>
      <c r="TEN27" s="19"/>
      <c r="TEO27" s="19"/>
      <c r="TEP27" s="19"/>
      <c r="TEQ27" s="19"/>
      <c r="TER27" s="19"/>
      <c r="TES27" s="19"/>
      <c r="TET27" s="19"/>
      <c r="TEU27" s="19"/>
      <c r="TEV27" s="19"/>
      <c r="TEW27" s="19"/>
      <c r="TEX27" s="19"/>
      <c r="TEY27" s="19"/>
      <c r="TEZ27" s="19"/>
      <c r="TFA27" s="19"/>
      <c r="TFB27" s="19"/>
      <c r="TFC27" s="19"/>
      <c r="TFD27" s="19"/>
      <c r="TFE27" s="19"/>
      <c r="TFF27" s="19"/>
      <c r="TFG27" s="19"/>
      <c r="TFH27" s="19"/>
      <c r="TFI27" s="19"/>
      <c r="TFJ27" s="19"/>
      <c r="TFK27" s="19"/>
      <c r="TFL27" s="19"/>
      <c r="TFM27" s="19"/>
      <c r="TFN27" s="19"/>
      <c r="TFO27" s="19"/>
      <c r="TFP27" s="19"/>
      <c r="TFQ27" s="19"/>
      <c r="TFR27" s="19"/>
      <c r="TFS27" s="19"/>
      <c r="TFT27" s="19"/>
      <c r="TFU27" s="19"/>
      <c r="TFV27" s="19"/>
      <c r="TFW27" s="19"/>
      <c r="TFX27" s="19"/>
      <c r="TFY27" s="19"/>
      <c r="TFZ27" s="19"/>
      <c r="TGA27" s="19"/>
      <c r="TGB27" s="19"/>
      <c r="TGC27" s="19"/>
      <c r="TGD27" s="19"/>
      <c r="TGE27" s="19"/>
      <c r="TGF27" s="19"/>
      <c r="TGG27" s="19"/>
      <c r="TGH27" s="19"/>
      <c r="TGI27" s="19"/>
      <c r="TGJ27" s="19"/>
      <c r="TGK27" s="19"/>
      <c r="TGL27" s="19"/>
      <c r="TGM27" s="19"/>
      <c r="TGN27" s="19"/>
      <c r="TGO27" s="19"/>
      <c r="TGP27" s="19"/>
      <c r="TGQ27" s="19"/>
      <c r="TGR27" s="19"/>
      <c r="TGS27" s="19"/>
      <c r="TGT27" s="19"/>
      <c r="TGU27" s="19"/>
      <c r="TGV27" s="19"/>
      <c r="TGW27" s="19"/>
      <c r="TGX27" s="19"/>
      <c r="TGY27" s="19"/>
      <c r="TGZ27" s="19"/>
      <c r="THA27" s="19"/>
      <c r="THB27" s="19"/>
      <c r="THC27" s="19"/>
      <c r="THD27" s="19"/>
      <c r="THE27" s="19"/>
      <c r="THF27" s="19"/>
      <c r="THG27" s="19"/>
      <c r="THH27" s="19"/>
      <c r="THI27" s="19"/>
      <c r="THJ27" s="19"/>
      <c r="THK27" s="19"/>
      <c r="THL27" s="19"/>
      <c r="THM27" s="19"/>
      <c r="THN27" s="19"/>
      <c r="THO27" s="19"/>
      <c r="THP27" s="19"/>
      <c r="THQ27" s="19"/>
      <c r="THR27" s="19"/>
      <c r="THS27" s="19"/>
      <c r="THT27" s="19"/>
      <c r="THU27" s="19"/>
      <c r="THV27" s="19"/>
      <c r="THW27" s="19"/>
      <c r="THX27" s="19"/>
      <c r="THY27" s="19"/>
      <c r="THZ27" s="19"/>
      <c r="TIA27" s="19"/>
      <c r="TIB27" s="19"/>
      <c r="TIC27" s="19"/>
      <c r="TID27" s="19"/>
      <c r="TIE27" s="19"/>
      <c r="TIF27" s="19"/>
      <c r="TIG27" s="19"/>
      <c r="TIH27" s="19"/>
      <c r="TII27" s="19"/>
      <c r="TIJ27" s="19"/>
      <c r="TIK27" s="19"/>
      <c r="TIL27" s="19"/>
      <c r="TIM27" s="19"/>
      <c r="TIN27" s="19"/>
      <c r="TIO27" s="19"/>
      <c r="TIP27" s="19"/>
      <c r="TIQ27" s="19"/>
      <c r="TIR27" s="19"/>
      <c r="TIS27" s="19"/>
      <c r="TIT27" s="19"/>
      <c r="TIU27" s="19"/>
      <c r="TIV27" s="19"/>
      <c r="TIW27" s="19"/>
      <c r="TIX27" s="19"/>
      <c r="TIY27" s="19"/>
      <c r="TIZ27" s="19"/>
      <c r="TJA27" s="19"/>
      <c r="TJB27" s="19"/>
      <c r="TJC27" s="19"/>
      <c r="TJD27" s="19"/>
      <c r="TJE27" s="19"/>
      <c r="TJF27" s="19"/>
      <c r="TJG27" s="19"/>
      <c r="TJH27" s="19"/>
      <c r="TJI27" s="19"/>
      <c r="TJJ27" s="19"/>
      <c r="TJK27" s="19"/>
      <c r="TJL27" s="19"/>
      <c r="TJM27" s="19"/>
      <c r="TJN27" s="19"/>
      <c r="TJO27" s="19"/>
      <c r="TJP27" s="19"/>
      <c r="TJQ27" s="19"/>
      <c r="TJR27" s="19"/>
      <c r="TJS27" s="19"/>
      <c r="TJT27" s="19"/>
      <c r="TJU27" s="19"/>
      <c r="TJV27" s="19"/>
      <c r="TJW27" s="19"/>
      <c r="TJX27" s="19"/>
      <c r="TJY27" s="19"/>
      <c r="TJZ27" s="19"/>
      <c r="TKA27" s="19"/>
      <c r="TKB27" s="19"/>
      <c r="TKC27" s="19"/>
      <c r="TKD27" s="19"/>
      <c r="TKE27" s="19"/>
      <c r="TKF27" s="19"/>
      <c r="TKG27" s="19"/>
      <c r="TKH27" s="19"/>
      <c r="TKI27" s="19"/>
      <c r="TKJ27" s="19"/>
      <c r="TKK27" s="19"/>
      <c r="TKL27" s="19"/>
      <c r="TKM27" s="19"/>
      <c r="TKN27" s="19"/>
      <c r="TKO27" s="19"/>
      <c r="TKP27" s="19"/>
      <c r="TKQ27" s="19"/>
      <c r="TKR27" s="19"/>
      <c r="TKS27" s="19"/>
      <c r="TKT27" s="19"/>
      <c r="TKU27" s="19"/>
      <c r="TKV27" s="19"/>
      <c r="TKW27" s="19"/>
      <c r="TKX27" s="19"/>
      <c r="TKY27" s="19"/>
      <c r="TKZ27" s="19"/>
      <c r="TLA27" s="19"/>
      <c r="TLB27" s="19"/>
      <c r="TLC27" s="19"/>
      <c r="TLD27" s="19"/>
      <c r="TLE27" s="19"/>
      <c r="TLF27" s="19"/>
      <c r="TLG27" s="19"/>
      <c r="TLH27" s="19"/>
      <c r="TLI27" s="19"/>
      <c r="TLJ27" s="19"/>
      <c r="TLK27" s="19"/>
      <c r="TLL27" s="19"/>
      <c r="TLM27" s="19"/>
      <c r="TLN27" s="19"/>
      <c r="TLO27" s="19"/>
      <c r="TLP27" s="19"/>
      <c r="TLQ27" s="19"/>
      <c r="TLR27" s="19"/>
      <c r="TLS27" s="19"/>
      <c r="TLT27" s="19"/>
      <c r="TLU27" s="19"/>
      <c r="TLV27" s="19"/>
      <c r="TLW27" s="19"/>
      <c r="TLX27" s="19"/>
      <c r="TLY27" s="19"/>
      <c r="TLZ27" s="19"/>
      <c r="TMA27" s="19"/>
      <c r="TMB27" s="19"/>
      <c r="TMC27" s="19"/>
      <c r="TMD27" s="19"/>
      <c r="TME27" s="19"/>
      <c r="TMF27" s="19"/>
      <c r="TMG27" s="19"/>
      <c r="TMH27" s="19"/>
      <c r="TMI27" s="19"/>
      <c r="TMJ27" s="19"/>
      <c r="TMK27" s="19"/>
      <c r="TML27" s="19"/>
      <c r="TMM27" s="19"/>
      <c r="TMN27" s="19"/>
      <c r="TMO27" s="19"/>
      <c r="TMP27" s="19"/>
      <c r="TMQ27" s="19"/>
      <c r="TMR27" s="19"/>
      <c r="TMS27" s="19"/>
      <c r="TMT27" s="19"/>
      <c r="TMU27" s="19"/>
      <c r="TMV27" s="19"/>
      <c r="TMW27" s="19"/>
      <c r="TMX27" s="19"/>
      <c r="TMY27" s="19"/>
      <c r="TMZ27" s="19"/>
      <c r="TNA27" s="19"/>
      <c r="TNB27" s="19"/>
      <c r="TNC27" s="19"/>
      <c r="TND27" s="19"/>
      <c r="TNE27" s="19"/>
      <c r="TNF27" s="19"/>
      <c r="TNG27" s="19"/>
      <c r="TNH27" s="19"/>
      <c r="TNI27" s="19"/>
      <c r="TNJ27" s="19"/>
      <c r="TNK27" s="19"/>
      <c r="TNL27" s="19"/>
      <c r="TNM27" s="19"/>
      <c r="TNN27" s="19"/>
      <c r="TNO27" s="19"/>
      <c r="TNP27" s="19"/>
      <c r="TNQ27" s="19"/>
      <c r="TNR27" s="19"/>
      <c r="TNS27" s="19"/>
      <c r="TNT27" s="19"/>
      <c r="TNU27" s="19"/>
      <c r="TNV27" s="19"/>
      <c r="TNW27" s="19"/>
      <c r="TNX27" s="19"/>
      <c r="TNY27" s="19"/>
      <c r="TNZ27" s="19"/>
      <c r="TOA27" s="19"/>
      <c r="TOB27" s="19"/>
      <c r="TOC27" s="19"/>
      <c r="TOD27" s="19"/>
      <c r="TOE27" s="19"/>
      <c r="TOF27" s="19"/>
      <c r="TOG27" s="19"/>
      <c r="TOH27" s="19"/>
      <c r="TOI27" s="19"/>
      <c r="TOJ27" s="19"/>
      <c r="TOK27" s="19"/>
      <c r="TOL27" s="19"/>
      <c r="TOM27" s="19"/>
      <c r="TON27" s="19"/>
      <c r="TOO27" s="19"/>
      <c r="TOP27" s="19"/>
      <c r="TOQ27" s="19"/>
      <c r="TOR27" s="19"/>
      <c r="TOS27" s="19"/>
      <c r="TOT27" s="19"/>
      <c r="TOU27" s="19"/>
      <c r="TOV27" s="19"/>
      <c r="TOW27" s="19"/>
      <c r="TOX27" s="19"/>
      <c r="TOY27" s="19"/>
      <c r="TOZ27" s="19"/>
      <c r="TPA27" s="19"/>
      <c r="TPB27" s="19"/>
      <c r="TPC27" s="19"/>
      <c r="TPD27" s="19"/>
      <c r="TPE27" s="19"/>
      <c r="TPF27" s="19"/>
      <c r="TPG27" s="19"/>
      <c r="TPH27" s="19"/>
      <c r="TPI27" s="19"/>
      <c r="TPJ27" s="19"/>
      <c r="TPK27" s="19"/>
      <c r="TPL27" s="19"/>
      <c r="TPM27" s="19"/>
      <c r="TPN27" s="19"/>
      <c r="TPO27" s="19"/>
      <c r="TPP27" s="19"/>
      <c r="TPQ27" s="19"/>
      <c r="TPR27" s="19"/>
      <c r="TPS27" s="19"/>
      <c r="TPT27" s="19"/>
      <c r="TPU27" s="19"/>
      <c r="TPV27" s="19"/>
      <c r="TPW27" s="19"/>
      <c r="TPX27" s="19"/>
      <c r="TPY27" s="19"/>
      <c r="TPZ27" s="19"/>
      <c r="TQA27" s="19"/>
      <c r="TQB27" s="19"/>
      <c r="TQC27" s="19"/>
      <c r="TQD27" s="19"/>
      <c r="TQE27" s="19"/>
      <c r="TQF27" s="19"/>
      <c r="TQG27" s="19"/>
      <c r="TQH27" s="19"/>
      <c r="TQI27" s="19"/>
      <c r="TQJ27" s="19"/>
      <c r="TQK27" s="19"/>
      <c r="TQL27" s="19"/>
      <c r="TQM27" s="19"/>
      <c r="TQN27" s="19"/>
      <c r="TQO27" s="19"/>
      <c r="TQP27" s="19"/>
      <c r="TQQ27" s="19"/>
      <c r="TQR27" s="19"/>
      <c r="TQS27" s="19"/>
      <c r="TQT27" s="19"/>
      <c r="TQU27" s="19"/>
      <c r="TQV27" s="19"/>
      <c r="TQW27" s="19"/>
      <c r="TQX27" s="19"/>
      <c r="TQY27" s="19"/>
      <c r="TQZ27" s="19"/>
      <c r="TRA27" s="19"/>
      <c r="TRB27" s="19"/>
      <c r="TRC27" s="19"/>
      <c r="TRD27" s="19"/>
      <c r="TRE27" s="19"/>
      <c r="TRF27" s="19"/>
      <c r="TRG27" s="19"/>
      <c r="TRH27" s="19"/>
      <c r="TRI27" s="19"/>
      <c r="TRJ27" s="19"/>
      <c r="TRK27" s="19"/>
      <c r="TRL27" s="19"/>
      <c r="TRM27" s="19"/>
      <c r="TRN27" s="19"/>
      <c r="TRO27" s="19"/>
      <c r="TRP27" s="19"/>
      <c r="TRQ27" s="19"/>
      <c r="TRR27" s="19"/>
      <c r="TRS27" s="19"/>
      <c r="TRT27" s="19"/>
      <c r="TRU27" s="19"/>
      <c r="TRV27" s="19"/>
      <c r="TRW27" s="19"/>
      <c r="TRX27" s="19"/>
      <c r="TRY27" s="19"/>
      <c r="TRZ27" s="19"/>
      <c r="TSA27" s="19"/>
      <c r="TSB27" s="19"/>
      <c r="TSC27" s="19"/>
      <c r="TSD27" s="19"/>
      <c r="TSE27" s="19"/>
      <c r="TSF27" s="19"/>
      <c r="TSG27" s="19"/>
      <c r="TSH27" s="19"/>
      <c r="TSI27" s="19"/>
      <c r="TSJ27" s="19"/>
      <c r="TSK27" s="19"/>
      <c r="TSL27" s="19"/>
      <c r="TSM27" s="19"/>
      <c r="TSN27" s="19"/>
      <c r="TSO27" s="19"/>
      <c r="TSP27" s="19"/>
      <c r="TSQ27" s="19"/>
      <c r="TSR27" s="19"/>
      <c r="TSS27" s="19"/>
      <c r="TST27" s="19"/>
      <c r="TSU27" s="19"/>
      <c r="TSV27" s="19"/>
      <c r="TSW27" s="19"/>
      <c r="TSX27" s="19"/>
      <c r="TSY27" s="19"/>
      <c r="TSZ27" s="19"/>
      <c r="TTA27" s="19"/>
      <c r="TTB27" s="19"/>
      <c r="TTC27" s="19"/>
      <c r="TTD27" s="19"/>
      <c r="TTE27" s="19"/>
      <c r="TTF27" s="19"/>
      <c r="TTG27" s="19"/>
      <c r="TTH27" s="19"/>
      <c r="TTI27" s="19"/>
      <c r="TTJ27" s="19"/>
      <c r="TTK27" s="19"/>
      <c r="TTL27" s="19"/>
      <c r="TTM27" s="19"/>
      <c r="TTN27" s="19"/>
      <c r="TTO27" s="19"/>
      <c r="TTP27" s="19"/>
      <c r="TTQ27" s="19"/>
      <c r="TTR27" s="19"/>
      <c r="TTS27" s="19"/>
      <c r="TTT27" s="19"/>
      <c r="TTU27" s="19"/>
      <c r="TTV27" s="19"/>
      <c r="TTW27" s="19"/>
      <c r="TTX27" s="19"/>
      <c r="TTY27" s="19"/>
      <c r="TTZ27" s="19"/>
      <c r="TUA27" s="19"/>
      <c r="TUB27" s="19"/>
      <c r="TUC27" s="19"/>
      <c r="TUD27" s="19"/>
      <c r="TUE27" s="19"/>
      <c r="TUF27" s="19"/>
      <c r="TUG27" s="19"/>
      <c r="TUH27" s="19"/>
      <c r="TUI27" s="19"/>
      <c r="TUJ27" s="19"/>
      <c r="TUK27" s="19"/>
      <c r="TUL27" s="19"/>
      <c r="TUM27" s="19"/>
      <c r="TUN27" s="19"/>
      <c r="TUO27" s="19"/>
      <c r="TUP27" s="19"/>
      <c r="TUQ27" s="19"/>
      <c r="TUR27" s="19"/>
      <c r="TUS27" s="19"/>
      <c r="TUT27" s="19"/>
      <c r="TUU27" s="19"/>
      <c r="TUV27" s="19"/>
      <c r="TUW27" s="19"/>
      <c r="TUX27" s="19"/>
      <c r="TUY27" s="19"/>
      <c r="TUZ27" s="19"/>
      <c r="TVA27" s="19"/>
      <c r="TVB27" s="19"/>
      <c r="TVC27" s="19"/>
      <c r="TVD27" s="19"/>
      <c r="TVE27" s="19"/>
      <c r="TVF27" s="19"/>
      <c r="TVG27" s="19"/>
      <c r="TVH27" s="19"/>
      <c r="TVI27" s="19"/>
      <c r="TVJ27" s="19"/>
      <c r="TVK27" s="19"/>
      <c r="TVL27" s="19"/>
      <c r="TVM27" s="19"/>
      <c r="TVN27" s="19"/>
      <c r="TVO27" s="19"/>
      <c r="TVP27" s="19"/>
      <c r="TVQ27" s="19"/>
      <c r="TVR27" s="19"/>
      <c r="TVS27" s="19"/>
      <c r="TVT27" s="19"/>
      <c r="TVU27" s="19"/>
      <c r="TVV27" s="19"/>
      <c r="TVW27" s="19"/>
      <c r="TVX27" s="19"/>
      <c r="TVY27" s="19"/>
      <c r="TVZ27" s="19"/>
      <c r="TWA27" s="19"/>
      <c r="TWB27" s="19"/>
      <c r="TWC27" s="19"/>
      <c r="TWD27" s="19"/>
      <c r="TWE27" s="19"/>
      <c r="TWF27" s="19"/>
      <c r="TWG27" s="19"/>
      <c r="TWH27" s="19"/>
      <c r="TWI27" s="19"/>
      <c r="TWJ27" s="19"/>
      <c r="TWK27" s="19"/>
      <c r="TWL27" s="19"/>
      <c r="TWM27" s="19"/>
      <c r="TWN27" s="19"/>
      <c r="TWO27" s="19"/>
      <c r="TWP27" s="19"/>
      <c r="TWQ27" s="19"/>
      <c r="TWR27" s="19"/>
      <c r="TWS27" s="19"/>
      <c r="TWT27" s="19"/>
      <c r="TWU27" s="19"/>
      <c r="TWV27" s="19"/>
      <c r="TWW27" s="19"/>
      <c r="TWX27" s="19"/>
      <c r="TWY27" s="19"/>
      <c r="TWZ27" s="19"/>
      <c r="TXA27" s="19"/>
      <c r="TXB27" s="19"/>
      <c r="TXC27" s="19"/>
      <c r="TXD27" s="19"/>
      <c r="TXE27" s="19"/>
      <c r="TXF27" s="19"/>
      <c r="TXG27" s="19"/>
      <c r="TXH27" s="19"/>
      <c r="TXI27" s="19"/>
      <c r="TXJ27" s="19"/>
      <c r="TXK27" s="19"/>
      <c r="TXL27" s="19"/>
      <c r="TXM27" s="19"/>
      <c r="TXN27" s="19"/>
      <c r="TXO27" s="19"/>
      <c r="TXP27" s="19"/>
      <c r="TXQ27" s="19"/>
      <c r="TXR27" s="19"/>
      <c r="TXS27" s="19"/>
      <c r="TXT27" s="19"/>
      <c r="TXU27" s="19"/>
      <c r="TXV27" s="19"/>
      <c r="TXW27" s="19"/>
      <c r="TXX27" s="19"/>
      <c r="TXY27" s="19"/>
      <c r="TXZ27" s="19"/>
      <c r="TYA27" s="19"/>
      <c r="TYB27" s="19"/>
      <c r="TYC27" s="19"/>
      <c r="TYD27" s="19"/>
      <c r="TYE27" s="19"/>
      <c r="TYF27" s="19"/>
      <c r="TYG27" s="19"/>
      <c r="TYH27" s="19"/>
      <c r="TYI27" s="19"/>
      <c r="TYJ27" s="19"/>
      <c r="TYK27" s="19"/>
      <c r="TYL27" s="19"/>
      <c r="TYM27" s="19"/>
      <c r="TYN27" s="19"/>
      <c r="TYO27" s="19"/>
      <c r="TYP27" s="19"/>
      <c r="TYQ27" s="19"/>
      <c r="TYR27" s="19"/>
      <c r="TYS27" s="19"/>
      <c r="TYT27" s="19"/>
      <c r="TYU27" s="19"/>
      <c r="TYV27" s="19"/>
      <c r="TYW27" s="19"/>
      <c r="TYX27" s="19"/>
      <c r="TYY27" s="19"/>
      <c r="TYZ27" s="19"/>
      <c r="TZA27" s="19"/>
      <c r="TZB27" s="19"/>
      <c r="TZC27" s="19"/>
      <c r="TZD27" s="19"/>
      <c r="TZE27" s="19"/>
      <c r="TZF27" s="19"/>
      <c r="TZG27" s="19"/>
      <c r="TZH27" s="19"/>
      <c r="TZI27" s="19"/>
      <c r="TZJ27" s="19"/>
      <c r="TZK27" s="19"/>
      <c r="TZL27" s="19"/>
      <c r="TZM27" s="19"/>
      <c r="TZN27" s="19"/>
      <c r="TZO27" s="19"/>
      <c r="TZP27" s="19"/>
      <c r="TZQ27" s="19"/>
      <c r="TZR27" s="19"/>
      <c r="TZS27" s="19"/>
      <c r="TZT27" s="19"/>
      <c r="TZU27" s="19"/>
      <c r="TZV27" s="19"/>
      <c r="TZW27" s="19"/>
      <c r="TZX27" s="19"/>
      <c r="TZY27" s="19"/>
      <c r="TZZ27" s="19"/>
      <c r="UAA27" s="19"/>
      <c r="UAB27" s="19"/>
      <c r="UAC27" s="19"/>
      <c r="UAD27" s="19"/>
      <c r="UAE27" s="19"/>
      <c r="UAF27" s="19"/>
      <c r="UAG27" s="19"/>
      <c r="UAH27" s="19"/>
      <c r="UAI27" s="19"/>
      <c r="UAJ27" s="19"/>
      <c r="UAK27" s="19"/>
      <c r="UAL27" s="19"/>
      <c r="UAM27" s="19"/>
      <c r="UAN27" s="19"/>
      <c r="UAO27" s="19"/>
      <c r="UAP27" s="19"/>
      <c r="UAQ27" s="19"/>
      <c r="UAR27" s="19"/>
      <c r="UAS27" s="19"/>
      <c r="UAT27" s="19"/>
      <c r="UAU27" s="19"/>
      <c r="UAV27" s="19"/>
      <c r="UAW27" s="19"/>
      <c r="UAX27" s="19"/>
      <c r="UAY27" s="19"/>
      <c r="UAZ27" s="19"/>
      <c r="UBA27" s="19"/>
      <c r="UBB27" s="19"/>
      <c r="UBC27" s="19"/>
      <c r="UBD27" s="19"/>
      <c r="UBE27" s="19"/>
      <c r="UBF27" s="19"/>
      <c r="UBG27" s="19"/>
      <c r="UBH27" s="19"/>
      <c r="UBI27" s="19"/>
      <c r="UBJ27" s="19"/>
      <c r="UBK27" s="19"/>
      <c r="UBL27" s="19"/>
      <c r="UBM27" s="19"/>
      <c r="UBN27" s="19"/>
      <c r="UBO27" s="19"/>
      <c r="UBP27" s="19"/>
      <c r="UBQ27" s="19"/>
      <c r="UBR27" s="19"/>
      <c r="UBS27" s="19"/>
      <c r="UBT27" s="19"/>
      <c r="UBU27" s="19"/>
      <c r="UBV27" s="19"/>
      <c r="UBW27" s="19"/>
      <c r="UBX27" s="19"/>
      <c r="UBY27" s="19"/>
      <c r="UBZ27" s="19"/>
      <c r="UCA27" s="19"/>
      <c r="UCB27" s="19"/>
      <c r="UCC27" s="19"/>
      <c r="UCD27" s="19"/>
      <c r="UCE27" s="19"/>
      <c r="UCF27" s="19"/>
      <c r="UCG27" s="19"/>
      <c r="UCH27" s="19"/>
      <c r="UCI27" s="19"/>
      <c r="UCJ27" s="19"/>
      <c r="UCK27" s="19"/>
      <c r="UCL27" s="19"/>
      <c r="UCM27" s="19"/>
      <c r="UCN27" s="19"/>
      <c r="UCO27" s="19"/>
      <c r="UCP27" s="19"/>
      <c r="UCQ27" s="19"/>
      <c r="UCR27" s="19"/>
      <c r="UCS27" s="19"/>
      <c r="UCT27" s="19"/>
      <c r="UCU27" s="19"/>
      <c r="UCV27" s="19"/>
      <c r="UCW27" s="19"/>
      <c r="UCX27" s="19"/>
      <c r="UCY27" s="19"/>
      <c r="UCZ27" s="19"/>
      <c r="UDA27" s="19"/>
      <c r="UDB27" s="19"/>
      <c r="UDC27" s="19"/>
      <c r="UDD27" s="19"/>
      <c r="UDE27" s="19"/>
      <c r="UDF27" s="19"/>
      <c r="UDG27" s="19"/>
      <c r="UDH27" s="19"/>
      <c r="UDI27" s="19"/>
      <c r="UDJ27" s="19"/>
      <c r="UDK27" s="19"/>
      <c r="UDL27" s="19"/>
      <c r="UDM27" s="19"/>
      <c r="UDN27" s="19"/>
      <c r="UDO27" s="19"/>
      <c r="UDP27" s="19"/>
      <c r="UDQ27" s="19"/>
      <c r="UDR27" s="19"/>
      <c r="UDS27" s="19"/>
      <c r="UDT27" s="19"/>
      <c r="UDU27" s="19"/>
      <c r="UDV27" s="19"/>
      <c r="UDW27" s="19"/>
      <c r="UDX27" s="19"/>
      <c r="UDY27" s="19"/>
      <c r="UDZ27" s="19"/>
      <c r="UEA27" s="19"/>
      <c r="UEB27" s="19"/>
      <c r="UEC27" s="19"/>
      <c r="UED27" s="19"/>
      <c r="UEE27" s="19"/>
      <c r="UEF27" s="19"/>
      <c r="UEG27" s="19"/>
      <c r="UEH27" s="19"/>
      <c r="UEI27" s="19"/>
      <c r="UEJ27" s="19"/>
      <c r="UEK27" s="19"/>
      <c r="UEL27" s="19"/>
      <c r="UEM27" s="19"/>
      <c r="UEN27" s="19"/>
      <c r="UEO27" s="19"/>
      <c r="UEP27" s="19"/>
      <c r="UEQ27" s="19"/>
      <c r="UER27" s="19"/>
      <c r="UES27" s="19"/>
      <c r="UET27" s="19"/>
      <c r="UEU27" s="19"/>
      <c r="UEV27" s="19"/>
      <c r="UEW27" s="19"/>
      <c r="UEX27" s="19"/>
      <c r="UEY27" s="19"/>
      <c r="UEZ27" s="19"/>
      <c r="UFA27" s="19"/>
      <c r="UFB27" s="19"/>
      <c r="UFC27" s="19"/>
      <c r="UFD27" s="19"/>
      <c r="UFE27" s="19"/>
      <c r="UFF27" s="19"/>
      <c r="UFG27" s="19"/>
      <c r="UFH27" s="19"/>
      <c r="UFI27" s="19"/>
      <c r="UFJ27" s="19"/>
      <c r="UFK27" s="19"/>
      <c r="UFL27" s="19"/>
      <c r="UFM27" s="19"/>
      <c r="UFN27" s="19"/>
      <c r="UFO27" s="19"/>
      <c r="UFP27" s="19"/>
      <c r="UFQ27" s="19"/>
      <c r="UFR27" s="19"/>
      <c r="UFS27" s="19"/>
      <c r="UFT27" s="19"/>
      <c r="UFU27" s="19"/>
      <c r="UFV27" s="19"/>
      <c r="UFW27" s="19"/>
      <c r="UFX27" s="19"/>
      <c r="UFY27" s="19"/>
      <c r="UFZ27" s="19"/>
      <c r="UGA27" s="19"/>
      <c r="UGB27" s="19"/>
      <c r="UGC27" s="19"/>
      <c r="UGD27" s="19"/>
      <c r="UGE27" s="19"/>
      <c r="UGF27" s="19"/>
      <c r="UGG27" s="19"/>
      <c r="UGH27" s="19"/>
      <c r="UGI27" s="19"/>
      <c r="UGJ27" s="19"/>
      <c r="UGK27" s="19"/>
      <c r="UGL27" s="19"/>
      <c r="UGM27" s="19"/>
      <c r="UGN27" s="19"/>
      <c r="UGO27" s="19"/>
      <c r="UGP27" s="19"/>
      <c r="UGQ27" s="19"/>
      <c r="UGR27" s="19"/>
      <c r="UGS27" s="19"/>
      <c r="UGT27" s="19"/>
      <c r="UGU27" s="19"/>
      <c r="UGV27" s="19"/>
      <c r="UGW27" s="19"/>
      <c r="UGX27" s="19"/>
      <c r="UGY27" s="19"/>
      <c r="UGZ27" s="19"/>
      <c r="UHA27" s="19"/>
      <c r="UHB27" s="19"/>
      <c r="UHC27" s="19"/>
      <c r="UHD27" s="19"/>
      <c r="UHE27" s="19"/>
      <c r="UHF27" s="19"/>
      <c r="UHG27" s="19"/>
      <c r="UHH27" s="19"/>
      <c r="UHI27" s="19"/>
      <c r="UHJ27" s="19"/>
      <c r="UHK27" s="19"/>
      <c r="UHL27" s="19"/>
      <c r="UHM27" s="19"/>
      <c r="UHN27" s="19"/>
      <c r="UHO27" s="19"/>
      <c r="UHP27" s="19"/>
      <c r="UHQ27" s="19"/>
      <c r="UHR27" s="19"/>
      <c r="UHS27" s="19"/>
      <c r="UHT27" s="19"/>
      <c r="UHU27" s="19"/>
      <c r="UHV27" s="19"/>
      <c r="UHW27" s="19"/>
      <c r="UHX27" s="19"/>
      <c r="UHY27" s="19"/>
      <c r="UHZ27" s="19"/>
      <c r="UIA27" s="19"/>
      <c r="UIB27" s="19"/>
      <c r="UIC27" s="19"/>
      <c r="UID27" s="19"/>
      <c r="UIE27" s="19"/>
      <c r="UIF27" s="19"/>
      <c r="UIG27" s="19"/>
      <c r="UIH27" s="19"/>
      <c r="UII27" s="19"/>
      <c r="UIJ27" s="19"/>
      <c r="UIK27" s="19"/>
      <c r="UIL27" s="19"/>
      <c r="UIM27" s="19"/>
      <c r="UIN27" s="19"/>
      <c r="UIO27" s="19"/>
      <c r="UIP27" s="19"/>
      <c r="UIQ27" s="19"/>
      <c r="UIR27" s="19"/>
      <c r="UIS27" s="19"/>
      <c r="UIT27" s="19"/>
      <c r="UIU27" s="19"/>
      <c r="UIV27" s="19"/>
      <c r="UIW27" s="19"/>
      <c r="UIX27" s="19"/>
      <c r="UIY27" s="19"/>
      <c r="UIZ27" s="19"/>
      <c r="UJA27" s="19"/>
      <c r="UJB27" s="19"/>
      <c r="UJC27" s="19"/>
      <c r="UJD27" s="19"/>
      <c r="UJE27" s="19"/>
      <c r="UJF27" s="19"/>
      <c r="UJG27" s="19"/>
      <c r="UJH27" s="19"/>
      <c r="UJI27" s="19"/>
      <c r="UJJ27" s="19"/>
      <c r="UJK27" s="19"/>
      <c r="UJL27" s="19"/>
      <c r="UJM27" s="19"/>
      <c r="UJN27" s="19"/>
      <c r="UJO27" s="19"/>
      <c r="UJP27" s="19"/>
      <c r="UJQ27" s="19"/>
      <c r="UJR27" s="19"/>
      <c r="UJS27" s="19"/>
      <c r="UJT27" s="19"/>
      <c r="UJU27" s="19"/>
      <c r="UJV27" s="19"/>
      <c r="UJW27" s="19"/>
      <c r="UJX27" s="19"/>
      <c r="UJY27" s="19"/>
      <c r="UJZ27" s="19"/>
      <c r="UKA27" s="19"/>
      <c r="UKB27" s="19"/>
      <c r="UKC27" s="19"/>
      <c r="UKD27" s="19"/>
      <c r="UKE27" s="19"/>
      <c r="UKF27" s="19"/>
      <c r="UKG27" s="19"/>
      <c r="UKH27" s="19"/>
      <c r="UKI27" s="19"/>
      <c r="UKJ27" s="19"/>
      <c r="UKK27" s="19"/>
      <c r="UKL27" s="19"/>
      <c r="UKM27" s="19"/>
      <c r="UKN27" s="19"/>
      <c r="UKO27" s="19"/>
      <c r="UKP27" s="19"/>
      <c r="UKQ27" s="19"/>
      <c r="UKR27" s="19"/>
      <c r="UKS27" s="19"/>
      <c r="UKT27" s="19"/>
      <c r="UKU27" s="19"/>
      <c r="UKV27" s="19"/>
      <c r="UKW27" s="19"/>
      <c r="UKX27" s="19"/>
      <c r="UKY27" s="19"/>
      <c r="UKZ27" s="19"/>
      <c r="ULA27" s="19"/>
      <c r="ULB27" s="19"/>
      <c r="ULC27" s="19"/>
      <c r="ULD27" s="19"/>
      <c r="ULE27" s="19"/>
      <c r="ULF27" s="19"/>
      <c r="ULG27" s="19"/>
      <c r="ULH27" s="19"/>
      <c r="ULI27" s="19"/>
      <c r="ULJ27" s="19"/>
      <c r="ULK27" s="19"/>
      <c r="ULL27" s="19"/>
      <c r="ULM27" s="19"/>
      <c r="ULN27" s="19"/>
      <c r="ULO27" s="19"/>
      <c r="ULP27" s="19"/>
      <c r="ULQ27" s="19"/>
      <c r="ULR27" s="19"/>
      <c r="ULS27" s="19"/>
      <c r="ULT27" s="19"/>
      <c r="ULU27" s="19"/>
      <c r="ULV27" s="19"/>
      <c r="ULW27" s="19"/>
      <c r="ULX27" s="19"/>
      <c r="ULY27" s="19"/>
      <c r="ULZ27" s="19"/>
      <c r="UMA27" s="19"/>
      <c r="UMB27" s="19"/>
      <c r="UMC27" s="19"/>
      <c r="UMD27" s="19"/>
      <c r="UME27" s="19"/>
      <c r="UMF27" s="19"/>
      <c r="UMG27" s="19"/>
      <c r="UMH27" s="19"/>
      <c r="UMI27" s="19"/>
      <c r="UMJ27" s="19"/>
      <c r="UMK27" s="19"/>
      <c r="UML27" s="19"/>
      <c r="UMM27" s="19"/>
      <c r="UMN27" s="19"/>
      <c r="UMO27" s="19"/>
      <c r="UMP27" s="19"/>
      <c r="UMQ27" s="19"/>
      <c r="UMR27" s="19"/>
      <c r="UMS27" s="19"/>
      <c r="UMT27" s="19"/>
      <c r="UMU27" s="19"/>
      <c r="UMV27" s="19"/>
      <c r="UMW27" s="19"/>
      <c r="UMX27" s="19"/>
      <c r="UMY27" s="19"/>
      <c r="UMZ27" s="19"/>
      <c r="UNA27" s="19"/>
      <c r="UNB27" s="19"/>
      <c r="UNC27" s="19"/>
      <c r="UND27" s="19"/>
      <c r="UNE27" s="19"/>
      <c r="UNF27" s="19"/>
      <c r="UNG27" s="19"/>
      <c r="UNH27" s="19"/>
      <c r="UNI27" s="19"/>
      <c r="UNJ27" s="19"/>
      <c r="UNK27" s="19"/>
      <c r="UNL27" s="19"/>
      <c r="UNM27" s="19"/>
      <c r="UNN27" s="19"/>
      <c r="UNO27" s="19"/>
      <c r="UNP27" s="19"/>
      <c r="UNQ27" s="19"/>
      <c r="UNR27" s="19"/>
      <c r="UNS27" s="19"/>
      <c r="UNT27" s="19"/>
      <c r="UNU27" s="19"/>
      <c r="UNV27" s="19"/>
      <c r="UNW27" s="19"/>
      <c r="UNX27" s="19"/>
      <c r="UNY27" s="19"/>
      <c r="UNZ27" s="19"/>
      <c r="UOA27" s="19"/>
      <c r="UOB27" s="19"/>
      <c r="UOC27" s="19"/>
      <c r="UOD27" s="19"/>
      <c r="UOE27" s="19"/>
      <c r="UOF27" s="19"/>
      <c r="UOG27" s="19"/>
      <c r="UOH27" s="19"/>
      <c r="UOI27" s="19"/>
      <c r="UOJ27" s="19"/>
      <c r="UOK27" s="19"/>
      <c r="UOL27" s="19"/>
      <c r="UOM27" s="19"/>
      <c r="UON27" s="19"/>
      <c r="UOO27" s="19"/>
      <c r="UOP27" s="19"/>
      <c r="UOQ27" s="19"/>
      <c r="UOR27" s="19"/>
      <c r="UOS27" s="19"/>
      <c r="UOT27" s="19"/>
      <c r="UOU27" s="19"/>
      <c r="UOV27" s="19"/>
      <c r="UOW27" s="19"/>
      <c r="UOX27" s="19"/>
      <c r="UOY27" s="19"/>
      <c r="UOZ27" s="19"/>
      <c r="UPA27" s="19"/>
      <c r="UPB27" s="19"/>
      <c r="UPC27" s="19"/>
      <c r="UPD27" s="19"/>
      <c r="UPE27" s="19"/>
      <c r="UPF27" s="19"/>
      <c r="UPG27" s="19"/>
      <c r="UPH27" s="19"/>
      <c r="UPI27" s="19"/>
      <c r="UPJ27" s="19"/>
      <c r="UPK27" s="19"/>
      <c r="UPL27" s="19"/>
      <c r="UPM27" s="19"/>
      <c r="UPN27" s="19"/>
      <c r="UPO27" s="19"/>
      <c r="UPP27" s="19"/>
      <c r="UPQ27" s="19"/>
      <c r="UPR27" s="19"/>
      <c r="UPS27" s="19"/>
      <c r="UPT27" s="19"/>
      <c r="UPU27" s="19"/>
      <c r="UPV27" s="19"/>
      <c r="UPW27" s="19"/>
      <c r="UPX27" s="19"/>
      <c r="UPY27" s="19"/>
      <c r="UPZ27" s="19"/>
      <c r="UQA27" s="19"/>
      <c r="UQB27" s="19"/>
      <c r="UQC27" s="19"/>
      <c r="UQD27" s="19"/>
      <c r="UQE27" s="19"/>
      <c r="UQF27" s="19"/>
      <c r="UQG27" s="19"/>
      <c r="UQH27" s="19"/>
      <c r="UQI27" s="19"/>
      <c r="UQJ27" s="19"/>
      <c r="UQK27" s="19"/>
      <c r="UQL27" s="19"/>
      <c r="UQM27" s="19"/>
      <c r="UQN27" s="19"/>
      <c r="UQO27" s="19"/>
      <c r="UQP27" s="19"/>
      <c r="UQQ27" s="19"/>
      <c r="UQR27" s="19"/>
      <c r="UQS27" s="19"/>
      <c r="UQT27" s="19"/>
      <c r="UQU27" s="19"/>
      <c r="UQV27" s="19"/>
      <c r="UQW27" s="19"/>
      <c r="UQX27" s="19"/>
      <c r="UQY27" s="19"/>
      <c r="UQZ27" s="19"/>
      <c r="URA27" s="19"/>
      <c r="URB27" s="19"/>
      <c r="URC27" s="19"/>
      <c r="URD27" s="19"/>
      <c r="URE27" s="19"/>
      <c r="URF27" s="19"/>
      <c r="URG27" s="19"/>
      <c r="URH27" s="19"/>
      <c r="URI27" s="19"/>
      <c r="URJ27" s="19"/>
      <c r="URK27" s="19"/>
      <c r="URL27" s="19"/>
      <c r="URM27" s="19"/>
      <c r="URN27" s="19"/>
      <c r="URO27" s="19"/>
      <c r="URP27" s="19"/>
      <c r="URQ27" s="19"/>
      <c r="URR27" s="19"/>
      <c r="URS27" s="19"/>
      <c r="URT27" s="19"/>
      <c r="URU27" s="19"/>
      <c r="URV27" s="19"/>
      <c r="URW27" s="19"/>
      <c r="URX27" s="19"/>
      <c r="URY27" s="19"/>
      <c r="URZ27" s="19"/>
      <c r="USA27" s="19"/>
      <c r="USB27" s="19"/>
      <c r="USC27" s="19"/>
      <c r="USD27" s="19"/>
      <c r="USE27" s="19"/>
      <c r="USF27" s="19"/>
      <c r="USG27" s="19"/>
      <c r="USH27" s="19"/>
      <c r="USI27" s="19"/>
      <c r="USJ27" s="19"/>
      <c r="USK27" s="19"/>
      <c r="USL27" s="19"/>
      <c r="USM27" s="19"/>
      <c r="USN27" s="19"/>
      <c r="USO27" s="19"/>
      <c r="USP27" s="19"/>
      <c r="USQ27" s="19"/>
      <c r="USR27" s="19"/>
      <c r="USS27" s="19"/>
      <c r="UST27" s="19"/>
      <c r="USU27" s="19"/>
      <c r="USV27" s="19"/>
      <c r="USW27" s="19"/>
      <c r="USX27" s="19"/>
      <c r="USY27" s="19"/>
      <c r="USZ27" s="19"/>
      <c r="UTA27" s="19"/>
      <c r="UTB27" s="19"/>
      <c r="UTC27" s="19"/>
      <c r="UTD27" s="19"/>
      <c r="UTE27" s="19"/>
      <c r="UTF27" s="19"/>
      <c r="UTG27" s="19"/>
      <c r="UTH27" s="19"/>
      <c r="UTI27" s="19"/>
      <c r="UTJ27" s="19"/>
      <c r="UTK27" s="19"/>
      <c r="UTL27" s="19"/>
      <c r="UTM27" s="19"/>
      <c r="UTN27" s="19"/>
      <c r="UTO27" s="19"/>
      <c r="UTP27" s="19"/>
      <c r="UTQ27" s="19"/>
      <c r="UTR27" s="19"/>
      <c r="UTS27" s="19"/>
      <c r="UTT27" s="19"/>
      <c r="UTU27" s="19"/>
      <c r="UTV27" s="19"/>
      <c r="UTW27" s="19"/>
      <c r="UTX27" s="19"/>
      <c r="UTY27" s="19"/>
      <c r="UTZ27" s="19"/>
      <c r="UUA27" s="19"/>
      <c r="UUB27" s="19"/>
      <c r="UUC27" s="19"/>
      <c r="UUD27" s="19"/>
      <c r="UUE27" s="19"/>
      <c r="UUF27" s="19"/>
      <c r="UUG27" s="19"/>
      <c r="UUH27" s="19"/>
      <c r="UUI27" s="19"/>
      <c r="UUJ27" s="19"/>
      <c r="UUK27" s="19"/>
      <c r="UUL27" s="19"/>
      <c r="UUM27" s="19"/>
      <c r="UUN27" s="19"/>
      <c r="UUO27" s="19"/>
      <c r="UUP27" s="19"/>
      <c r="UUQ27" s="19"/>
      <c r="UUR27" s="19"/>
      <c r="UUS27" s="19"/>
      <c r="UUT27" s="19"/>
      <c r="UUU27" s="19"/>
      <c r="UUV27" s="19"/>
      <c r="UUW27" s="19"/>
      <c r="UUX27" s="19"/>
      <c r="UUY27" s="19"/>
      <c r="UUZ27" s="19"/>
      <c r="UVA27" s="19"/>
      <c r="UVB27" s="19"/>
      <c r="UVC27" s="19"/>
      <c r="UVD27" s="19"/>
      <c r="UVE27" s="19"/>
      <c r="UVF27" s="19"/>
      <c r="UVG27" s="19"/>
      <c r="UVH27" s="19"/>
      <c r="UVI27" s="19"/>
      <c r="UVJ27" s="19"/>
      <c r="UVK27" s="19"/>
      <c r="UVL27" s="19"/>
      <c r="UVM27" s="19"/>
      <c r="UVN27" s="19"/>
      <c r="UVO27" s="19"/>
      <c r="UVP27" s="19"/>
      <c r="UVQ27" s="19"/>
      <c r="UVR27" s="19"/>
      <c r="UVS27" s="19"/>
      <c r="UVT27" s="19"/>
      <c r="UVU27" s="19"/>
      <c r="UVV27" s="19"/>
      <c r="UVW27" s="19"/>
      <c r="UVX27" s="19"/>
      <c r="UVY27" s="19"/>
      <c r="UVZ27" s="19"/>
      <c r="UWA27" s="19"/>
      <c r="UWB27" s="19"/>
      <c r="UWC27" s="19"/>
      <c r="UWD27" s="19"/>
      <c r="UWE27" s="19"/>
      <c r="UWF27" s="19"/>
      <c r="UWG27" s="19"/>
      <c r="UWH27" s="19"/>
      <c r="UWI27" s="19"/>
      <c r="UWJ27" s="19"/>
      <c r="UWK27" s="19"/>
      <c r="UWL27" s="19"/>
      <c r="UWM27" s="19"/>
      <c r="UWN27" s="19"/>
      <c r="UWO27" s="19"/>
      <c r="UWP27" s="19"/>
      <c r="UWQ27" s="19"/>
      <c r="UWR27" s="19"/>
      <c r="UWS27" s="19"/>
      <c r="UWT27" s="19"/>
      <c r="UWU27" s="19"/>
      <c r="UWV27" s="19"/>
      <c r="UWW27" s="19"/>
      <c r="UWX27" s="19"/>
      <c r="UWY27" s="19"/>
      <c r="UWZ27" s="19"/>
      <c r="UXA27" s="19"/>
      <c r="UXB27" s="19"/>
      <c r="UXC27" s="19"/>
      <c r="UXD27" s="19"/>
      <c r="UXE27" s="19"/>
      <c r="UXF27" s="19"/>
      <c r="UXG27" s="19"/>
      <c r="UXH27" s="19"/>
      <c r="UXI27" s="19"/>
      <c r="UXJ27" s="19"/>
      <c r="UXK27" s="19"/>
      <c r="UXL27" s="19"/>
      <c r="UXM27" s="19"/>
      <c r="UXN27" s="19"/>
      <c r="UXO27" s="19"/>
      <c r="UXP27" s="19"/>
      <c r="UXQ27" s="19"/>
      <c r="UXR27" s="19"/>
      <c r="UXS27" s="19"/>
      <c r="UXT27" s="19"/>
      <c r="UXU27" s="19"/>
      <c r="UXV27" s="19"/>
      <c r="UXW27" s="19"/>
      <c r="UXX27" s="19"/>
      <c r="UXY27" s="19"/>
      <c r="UXZ27" s="19"/>
      <c r="UYA27" s="19"/>
      <c r="UYB27" s="19"/>
      <c r="UYC27" s="19"/>
      <c r="UYD27" s="19"/>
      <c r="UYE27" s="19"/>
      <c r="UYF27" s="19"/>
      <c r="UYG27" s="19"/>
      <c r="UYH27" s="19"/>
      <c r="UYI27" s="19"/>
      <c r="UYJ27" s="19"/>
      <c r="UYK27" s="19"/>
      <c r="UYL27" s="19"/>
      <c r="UYM27" s="19"/>
      <c r="UYN27" s="19"/>
      <c r="UYO27" s="19"/>
      <c r="UYP27" s="19"/>
      <c r="UYQ27" s="19"/>
      <c r="UYR27" s="19"/>
      <c r="UYS27" s="19"/>
      <c r="UYT27" s="19"/>
      <c r="UYU27" s="19"/>
      <c r="UYV27" s="19"/>
      <c r="UYW27" s="19"/>
      <c r="UYX27" s="19"/>
      <c r="UYY27" s="19"/>
      <c r="UYZ27" s="19"/>
      <c r="UZA27" s="19"/>
      <c r="UZB27" s="19"/>
      <c r="UZC27" s="19"/>
      <c r="UZD27" s="19"/>
      <c r="UZE27" s="19"/>
      <c r="UZF27" s="19"/>
      <c r="UZG27" s="19"/>
      <c r="UZH27" s="19"/>
      <c r="UZI27" s="19"/>
      <c r="UZJ27" s="19"/>
      <c r="UZK27" s="19"/>
      <c r="UZL27" s="19"/>
      <c r="UZM27" s="19"/>
      <c r="UZN27" s="19"/>
      <c r="UZO27" s="19"/>
      <c r="UZP27" s="19"/>
      <c r="UZQ27" s="19"/>
      <c r="UZR27" s="19"/>
      <c r="UZS27" s="19"/>
      <c r="UZT27" s="19"/>
      <c r="UZU27" s="19"/>
      <c r="UZV27" s="19"/>
      <c r="UZW27" s="19"/>
      <c r="UZX27" s="19"/>
      <c r="UZY27" s="19"/>
      <c r="UZZ27" s="19"/>
      <c r="VAA27" s="19"/>
      <c r="VAB27" s="19"/>
      <c r="VAC27" s="19"/>
      <c r="VAD27" s="19"/>
      <c r="VAE27" s="19"/>
      <c r="VAF27" s="19"/>
      <c r="VAG27" s="19"/>
      <c r="VAH27" s="19"/>
      <c r="VAI27" s="19"/>
      <c r="VAJ27" s="19"/>
      <c r="VAK27" s="19"/>
      <c r="VAL27" s="19"/>
      <c r="VAM27" s="19"/>
      <c r="VAN27" s="19"/>
      <c r="VAO27" s="19"/>
      <c r="VAP27" s="19"/>
      <c r="VAQ27" s="19"/>
      <c r="VAR27" s="19"/>
      <c r="VAS27" s="19"/>
      <c r="VAT27" s="19"/>
      <c r="VAU27" s="19"/>
      <c r="VAV27" s="19"/>
      <c r="VAW27" s="19"/>
      <c r="VAX27" s="19"/>
      <c r="VAY27" s="19"/>
      <c r="VAZ27" s="19"/>
      <c r="VBA27" s="19"/>
      <c r="VBB27" s="19"/>
      <c r="VBC27" s="19"/>
      <c r="VBD27" s="19"/>
      <c r="VBE27" s="19"/>
      <c r="VBF27" s="19"/>
      <c r="VBG27" s="19"/>
      <c r="VBH27" s="19"/>
      <c r="VBI27" s="19"/>
      <c r="VBJ27" s="19"/>
      <c r="VBK27" s="19"/>
      <c r="VBL27" s="19"/>
      <c r="VBM27" s="19"/>
      <c r="VBN27" s="19"/>
      <c r="VBO27" s="19"/>
      <c r="VBP27" s="19"/>
      <c r="VBQ27" s="19"/>
      <c r="VBR27" s="19"/>
      <c r="VBS27" s="19"/>
      <c r="VBT27" s="19"/>
      <c r="VBU27" s="19"/>
      <c r="VBV27" s="19"/>
      <c r="VBW27" s="19"/>
      <c r="VBX27" s="19"/>
      <c r="VBY27" s="19"/>
      <c r="VBZ27" s="19"/>
      <c r="VCA27" s="19"/>
      <c r="VCB27" s="19"/>
      <c r="VCC27" s="19"/>
      <c r="VCD27" s="19"/>
      <c r="VCE27" s="19"/>
      <c r="VCF27" s="19"/>
      <c r="VCG27" s="19"/>
      <c r="VCH27" s="19"/>
      <c r="VCI27" s="19"/>
      <c r="VCJ27" s="19"/>
      <c r="VCK27" s="19"/>
      <c r="VCL27" s="19"/>
      <c r="VCM27" s="19"/>
      <c r="VCN27" s="19"/>
      <c r="VCO27" s="19"/>
      <c r="VCP27" s="19"/>
      <c r="VCQ27" s="19"/>
      <c r="VCR27" s="19"/>
      <c r="VCS27" s="19"/>
      <c r="VCT27" s="19"/>
      <c r="VCU27" s="19"/>
      <c r="VCV27" s="19"/>
      <c r="VCW27" s="19"/>
      <c r="VCX27" s="19"/>
      <c r="VCY27" s="19"/>
      <c r="VCZ27" s="19"/>
      <c r="VDA27" s="19"/>
      <c r="VDB27" s="19"/>
      <c r="VDC27" s="19"/>
      <c r="VDD27" s="19"/>
      <c r="VDE27" s="19"/>
      <c r="VDF27" s="19"/>
      <c r="VDG27" s="19"/>
      <c r="VDH27" s="19"/>
      <c r="VDI27" s="19"/>
      <c r="VDJ27" s="19"/>
      <c r="VDK27" s="19"/>
      <c r="VDL27" s="19"/>
      <c r="VDM27" s="19"/>
      <c r="VDN27" s="19"/>
      <c r="VDO27" s="19"/>
      <c r="VDP27" s="19"/>
      <c r="VDQ27" s="19"/>
      <c r="VDR27" s="19"/>
      <c r="VDS27" s="19"/>
      <c r="VDT27" s="19"/>
      <c r="VDU27" s="19"/>
      <c r="VDV27" s="19"/>
      <c r="VDW27" s="19"/>
      <c r="VDX27" s="19"/>
      <c r="VDY27" s="19"/>
      <c r="VDZ27" s="19"/>
      <c r="VEA27" s="19"/>
      <c r="VEB27" s="19"/>
      <c r="VEC27" s="19"/>
      <c r="VED27" s="19"/>
      <c r="VEE27" s="19"/>
      <c r="VEF27" s="19"/>
      <c r="VEG27" s="19"/>
      <c r="VEH27" s="19"/>
      <c r="VEI27" s="19"/>
      <c r="VEJ27" s="19"/>
      <c r="VEK27" s="19"/>
      <c r="VEL27" s="19"/>
      <c r="VEM27" s="19"/>
      <c r="VEN27" s="19"/>
      <c r="VEO27" s="19"/>
      <c r="VEP27" s="19"/>
      <c r="VEQ27" s="19"/>
      <c r="VER27" s="19"/>
      <c r="VES27" s="19"/>
      <c r="VET27" s="19"/>
      <c r="VEU27" s="19"/>
      <c r="VEV27" s="19"/>
      <c r="VEW27" s="19"/>
      <c r="VEX27" s="19"/>
      <c r="VEY27" s="19"/>
      <c r="VEZ27" s="19"/>
      <c r="VFA27" s="19"/>
      <c r="VFB27" s="19"/>
      <c r="VFC27" s="19"/>
      <c r="VFD27" s="19"/>
      <c r="VFE27" s="19"/>
      <c r="VFF27" s="19"/>
      <c r="VFG27" s="19"/>
      <c r="VFH27" s="19"/>
      <c r="VFI27" s="19"/>
      <c r="VFJ27" s="19"/>
      <c r="VFK27" s="19"/>
      <c r="VFL27" s="19"/>
      <c r="VFM27" s="19"/>
      <c r="VFN27" s="19"/>
      <c r="VFO27" s="19"/>
      <c r="VFP27" s="19"/>
      <c r="VFQ27" s="19"/>
      <c r="VFR27" s="19"/>
      <c r="VFS27" s="19"/>
      <c r="VFT27" s="19"/>
      <c r="VFU27" s="19"/>
      <c r="VFV27" s="19"/>
      <c r="VFW27" s="19"/>
      <c r="VFX27" s="19"/>
      <c r="VFY27" s="19"/>
      <c r="VFZ27" s="19"/>
      <c r="VGA27" s="19"/>
      <c r="VGB27" s="19"/>
      <c r="VGC27" s="19"/>
      <c r="VGD27" s="19"/>
      <c r="VGE27" s="19"/>
      <c r="VGF27" s="19"/>
      <c r="VGG27" s="19"/>
      <c r="VGH27" s="19"/>
      <c r="VGI27" s="19"/>
      <c r="VGJ27" s="19"/>
      <c r="VGK27" s="19"/>
      <c r="VGL27" s="19"/>
      <c r="VGM27" s="19"/>
      <c r="VGN27" s="19"/>
      <c r="VGO27" s="19"/>
      <c r="VGP27" s="19"/>
      <c r="VGQ27" s="19"/>
      <c r="VGR27" s="19"/>
      <c r="VGS27" s="19"/>
      <c r="VGT27" s="19"/>
      <c r="VGU27" s="19"/>
      <c r="VGV27" s="19"/>
      <c r="VGW27" s="19"/>
      <c r="VGX27" s="19"/>
      <c r="VGY27" s="19"/>
      <c r="VGZ27" s="19"/>
      <c r="VHA27" s="19"/>
      <c r="VHB27" s="19"/>
      <c r="VHC27" s="19"/>
      <c r="VHD27" s="19"/>
      <c r="VHE27" s="19"/>
      <c r="VHF27" s="19"/>
      <c r="VHG27" s="19"/>
      <c r="VHH27" s="19"/>
      <c r="VHI27" s="19"/>
      <c r="VHJ27" s="19"/>
      <c r="VHK27" s="19"/>
      <c r="VHL27" s="19"/>
      <c r="VHM27" s="19"/>
      <c r="VHN27" s="19"/>
      <c r="VHO27" s="19"/>
      <c r="VHP27" s="19"/>
      <c r="VHQ27" s="19"/>
      <c r="VHR27" s="19"/>
      <c r="VHS27" s="19"/>
      <c r="VHT27" s="19"/>
      <c r="VHU27" s="19"/>
      <c r="VHV27" s="19"/>
      <c r="VHW27" s="19"/>
      <c r="VHX27" s="19"/>
      <c r="VHY27" s="19"/>
      <c r="VHZ27" s="19"/>
      <c r="VIA27" s="19"/>
      <c r="VIB27" s="19"/>
      <c r="VIC27" s="19"/>
      <c r="VID27" s="19"/>
      <c r="VIE27" s="19"/>
      <c r="VIF27" s="19"/>
      <c r="VIG27" s="19"/>
      <c r="VIH27" s="19"/>
      <c r="VII27" s="19"/>
      <c r="VIJ27" s="19"/>
      <c r="VIK27" s="19"/>
      <c r="VIL27" s="19"/>
      <c r="VIM27" s="19"/>
      <c r="VIN27" s="19"/>
      <c r="VIO27" s="19"/>
      <c r="VIP27" s="19"/>
      <c r="VIQ27" s="19"/>
      <c r="VIR27" s="19"/>
      <c r="VIS27" s="19"/>
      <c r="VIT27" s="19"/>
      <c r="VIU27" s="19"/>
      <c r="VIV27" s="19"/>
      <c r="VIW27" s="19"/>
      <c r="VIX27" s="19"/>
      <c r="VIY27" s="19"/>
      <c r="VIZ27" s="19"/>
      <c r="VJA27" s="19"/>
      <c r="VJB27" s="19"/>
      <c r="VJC27" s="19"/>
      <c r="VJD27" s="19"/>
      <c r="VJE27" s="19"/>
      <c r="VJF27" s="19"/>
      <c r="VJG27" s="19"/>
      <c r="VJH27" s="19"/>
      <c r="VJI27" s="19"/>
      <c r="VJJ27" s="19"/>
      <c r="VJK27" s="19"/>
      <c r="VJL27" s="19"/>
      <c r="VJM27" s="19"/>
      <c r="VJN27" s="19"/>
      <c r="VJO27" s="19"/>
      <c r="VJP27" s="19"/>
      <c r="VJQ27" s="19"/>
      <c r="VJR27" s="19"/>
      <c r="VJS27" s="19"/>
      <c r="VJT27" s="19"/>
      <c r="VJU27" s="19"/>
      <c r="VJV27" s="19"/>
      <c r="VJW27" s="19"/>
      <c r="VJX27" s="19"/>
      <c r="VJY27" s="19"/>
      <c r="VJZ27" s="19"/>
      <c r="VKA27" s="19"/>
      <c r="VKB27" s="19"/>
      <c r="VKC27" s="19"/>
      <c r="VKD27" s="19"/>
      <c r="VKE27" s="19"/>
      <c r="VKF27" s="19"/>
      <c r="VKG27" s="19"/>
      <c r="VKH27" s="19"/>
      <c r="VKI27" s="19"/>
      <c r="VKJ27" s="19"/>
      <c r="VKK27" s="19"/>
      <c r="VKL27" s="19"/>
      <c r="VKM27" s="19"/>
      <c r="VKN27" s="19"/>
      <c r="VKO27" s="19"/>
      <c r="VKP27" s="19"/>
      <c r="VKQ27" s="19"/>
      <c r="VKR27" s="19"/>
      <c r="VKS27" s="19"/>
      <c r="VKT27" s="19"/>
      <c r="VKU27" s="19"/>
      <c r="VKV27" s="19"/>
      <c r="VKW27" s="19"/>
      <c r="VKX27" s="19"/>
      <c r="VKY27" s="19"/>
      <c r="VKZ27" s="19"/>
      <c r="VLA27" s="19"/>
      <c r="VLB27" s="19"/>
      <c r="VLC27" s="19"/>
      <c r="VLD27" s="19"/>
      <c r="VLE27" s="19"/>
      <c r="VLF27" s="19"/>
      <c r="VLG27" s="19"/>
      <c r="VLH27" s="19"/>
      <c r="VLI27" s="19"/>
      <c r="VLJ27" s="19"/>
      <c r="VLK27" s="19"/>
      <c r="VLL27" s="19"/>
      <c r="VLM27" s="19"/>
      <c r="VLN27" s="19"/>
      <c r="VLO27" s="19"/>
      <c r="VLP27" s="19"/>
      <c r="VLQ27" s="19"/>
      <c r="VLR27" s="19"/>
      <c r="VLS27" s="19"/>
      <c r="VLT27" s="19"/>
      <c r="VLU27" s="19"/>
      <c r="VLV27" s="19"/>
      <c r="VLW27" s="19"/>
      <c r="VLX27" s="19"/>
      <c r="VLY27" s="19"/>
      <c r="VLZ27" s="19"/>
      <c r="VMA27" s="19"/>
      <c r="VMB27" s="19"/>
      <c r="VMC27" s="19"/>
      <c r="VMD27" s="19"/>
      <c r="VME27" s="19"/>
      <c r="VMF27" s="19"/>
      <c r="VMG27" s="19"/>
      <c r="VMH27" s="19"/>
      <c r="VMI27" s="19"/>
      <c r="VMJ27" s="19"/>
      <c r="VMK27" s="19"/>
      <c r="VML27" s="19"/>
      <c r="VMM27" s="19"/>
      <c r="VMN27" s="19"/>
      <c r="VMO27" s="19"/>
      <c r="VMP27" s="19"/>
      <c r="VMQ27" s="19"/>
      <c r="VMR27" s="19"/>
      <c r="VMS27" s="19"/>
      <c r="VMT27" s="19"/>
      <c r="VMU27" s="19"/>
      <c r="VMV27" s="19"/>
      <c r="VMW27" s="19"/>
      <c r="VMX27" s="19"/>
      <c r="VMY27" s="19"/>
      <c r="VMZ27" s="19"/>
      <c r="VNA27" s="19"/>
      <c r="VNB27" s="19"/>
      <c r="VNC27" s="19"/>
      <c r="VND27" s="19"/>
      <c r="VNE27" s="19"/>
      <c r="VNF27" s="19"/>
      <c r="VNG27" s="19"/>
      <c r="VNH27" s="19"/>
      <c r="VNI27" s="19"/>
      <c r="VNJ27" s="19"/>
      <c r="VNK27" s="19"/>
      <c r="VNL27" s="19"/>
      <c r="VNM27" s="19"/>
      <c r="VNN27" s="19"/>
      <c r="VNO27" s="19"/>
      <c r="VNP27" s="19"/>
      <c r="VNQ27" s="19"/>
      <c r="VNR27" s="19"/>
      <c r="VNS27" s="19"/>
      <c r="VNT27" s="19"/>
      <c r="VNU27" s="19"/>
      <c r="VNV27" s="19"/>
      <c r="VNW27" s="19"/>
      <c r="VNX27" s="19"/>
      <c r="VNY27" s="19"/>
      <c r="VNZ27" s="19"/>
      <c r="VOA27" s="19"/>
      <c r="VOB27" s="19"/>
      <c r="VOC27" s="19"/>
      <c r="VOD27" s="19"/>
      <c r="VOE27" s="19"/>
      <c r="VOF27" s="19"/>
      <c r="VOG27" s="19"/>
      <c r="VOH27" s="19"/>
      <c r="VOI27" s="19"/>
      <c r="VOJ27" s="19"/>
      <c r="VOK27" s="19"/>
      <c r="VOL27" s="19"/>
      <c r="VOM27" s="19"/>
      <c r="VON27" s="19"/>
      <c r="VOO27" s="19"/>
      <c r="VOP27" s="19"/>
      <c r="VOQ27" s="19"/>
      <c r="VOR27" s="19"/>
      <c r="VOS27" s="19"/>
      <c r="VOT27" s="19"/>
      <c r="VOU27" s="19"/>
      <c r="VOV27" s="19"/>
      <c r="VOW27" s="19"/>
      <c r="VOX27" s="19"/>
      <c r="VOY27" s="19"/>
      <c r="VOZ27" s="19"/>
      <c r="VPA27" s="19"/>
      <c r="VPB27" s="19"/>
      <c r="VPC27" s="19"/>
      <c r="VPD27" s="19"/>
      <c r="VPE27" s="19"/>
      <c r="VPF27" s="19"/>
      <c r="VPG27" s="19"/>
      <c r="VPH27" s="19"/>
      <c r="VPI27" s="19"/>
      <c r="VPJ27" s="19"/>
      <c r="VPK27" s="19"/>
      <c r="VPL27" s="19"/>
      <c r="VPM27" s="19"/>
      <c r="VPN27" s="19"/>
      <c r="VPO27" s="19"/>
      <c r="VPP27" s="19"/>
      <c r="VPQ27" s="19"/>
      <c r="VPR27" s="19"/>
      <c r="VPS27" s="19"/>
      <c r="VPT27" s="19"/>
      <c r="VPU27" s="19"/>
      <c r="VPV27" s="19"/>
      <c r="VPW27" s="19"/>
      <c r="VPX27" s="19"/>
      <c r="VPY27" s="19"/>
      <c r="VPZ27" s="19"/>
      <c r="VQA27" s="19"/>
      <c r="VQB27" s="19"/>
      <c r="VQC27" s="19"/>
      <c r="VQD27" s="19"/>
      <c r="VQE27" s="19"/>
      <c r="VQF27" s="19"/>
      <c r="VQG27" s="19"/>
      <c r="VQH27" s="19"/>
      <c r="VQI27" s="19"/>
      <c r="VQJ27" s="19"/>
      <c r="VQK27" s="19"/>
      <c r="VQL27" s="19"/>
      <c r="VQM27" s="19"/>
      <c r="VQN27" s="19"/>
      <c r="VQO27" s="19"/>
      <c r="VQP27" s="19"/>
      <c r="VQQ27" s="19"/>
      <c r="VQR27" s="19"/>
      <c r="VQS27" s="19"/>
      <c r="VQT27" s="19"/>
      <c r="VQU27" s="19"/>
      <c r="VQV27" s="19"/>
      <c r="VQW27" s="19"/>
      <c r="VQX27" s="19"/>
      <c r="VQY27" s="19"/>
      <c r="VQZ27" s="19"/>
      <c r="VRA27" s="19"/>
      <c r="VRB27" s="19"/>
      <c r="VRC27" s="19"/>
      <c r="VRD27" s="19"/>
      <c r="VRE27" s="19"/>
      <c r="VRF27" s="19"/>
      <c r="VRG27" s="19"/>
      <c r="VRH27" s="19"/>
      <c r="VRI27" s="19"/>
      <c r="VRJ27" s="19"/>
      <c r="VRK27" s="19"/>
      <c r="VRL27" s="19"/>
      <c r="VRM27" s="19"/>
      <c r="VRN27" s="19"/>
      <c r="VRO27" s="19"/>
      <c r="VRP27" s="19"/>
      <c r="VRQ27" s="19"/>
      <c r="VRR27" s="19"/>
      <c r="VRS27" s="19"/>
      <c r="VRT27" s="19"/>
      <c r="VRU27" s="19"/>
      <c r="VRV27" s="19"/>
      <c r="VRW27" s="19"/>
      <c r="VRX27" s="19"/>
      <c r="VRY27" s="19"/>
      <c r="VRZ27" s="19"/>
      <c r="VSA27" s="19"/>
      <c r="VSB27" s="19"/>
      <c r="VSC27" s="19"/>
      <c r="VSD27" s="19"/>
      <c r="VSE27" s="19"/>
      <c r="VSF27" s="19"/>
      <c r="VSG27" s="19"/>
      <c r="VSH27" s="19"/>
      <c r="VSI27" s="19"/>
      <c r="VSJ27" s="19"/>
      <c r="VSK27" s="19"/>
      <c r="VSL27" s="19"/>
      <c r="VSM27" s="19"/>
      <c r="VSN27" s="19"/>
      <c r="VSO27" s="19"/>
      <c r="VSP27" s="19"/>
      <c r="VSQ27" s="19"/>
      <c r="VSR27" s="19"/>
      <c r="VSS27" s="19"/>
      <c r="VST27" s="19"/>
      <c r="VSU27" s="19"/>
      <c r="VSV27" s="19"/>
      <c r="VSW27" s="19"/>
      <c r="VSX27" s="19"/>
      <c r="VSY27" s="19"/>
      <c r="VSZ27" s="19"/>
      <c r="VTA27" s="19"/>
      <c r="VTB27" s="19"/>
      <c r="VTC27" s="19"/>
      <c r="VTD27" s="19"/>
      <c r="VTE27" s="19"/>
      <c r="VTF27" s="19"/>
      <c r="VTG27" s="19"/>
      <c r="VTH27" s="19"/>
      <c r="VTI27" s="19"/>
      <c r="VTJ27" s="19"/>
      <c r="VTK27" s="19"/>
      <c r="VTL27" s="19"/>
      <c r="VTM27" s="19"/>
      <c r="VTN27" s="19"/>
      <c r="VTO27" s="19"/>
      <c r="VTP27" s="19"/>
      <c r="VTQ27" s="19"/>
      <c r="VTR27" s="19"/>
      <c r="VTS27" s="19"/>
      <c r="VTT27" s="19"/>
      <c r="VTU27" s="19"/>
      <c r="VTV27" s="19"/>
      <c r="VTW27" s="19"/>
      <c r="VTX27" s="19"/>
      <c r="VTY27" s="19"/>
      <c r="VTZ27" s="19"/>
      <c r="VUA27" s="19"/>
      <c r="VUB27" s="19"/>
      <c r="VUC27" s="19"/>
      <c r="VUD27" s="19"/>
      <c r="VUE27" s="19"/>
      <c r="VUF27" s="19"/>
      <c r="VUG27" s="19"/>
      <c r="VUH27" s="19"/>
      <c r="VUI27" s="19"/>
      <c r="VUJ27" s="19"/>
      <c r="VUK27" s="19"/>
      <c r="VUL27" s="19"/>
      <c r="VUM27" s="19"/>
      <c r="VUN27" s="19"/>
      <c r="VUO27" s="19"/>
      <c r="VUP27" s="19"/>
      <c r="VUQ27" s="19"/>
      <c r="VUR27" s="19"/>
      <c r="VUS27" s="19"/>
      <c r="VUT27" s="19"/>
      <c r="VUU27" s="19"/>
      <c r="VUV27" s="19"/>
      <c r="VUW27" s="19"/>
      <c r="VUX27" s="19"/>
      <c r="VUY27" s="19"/>
      <c r="VUZ27" s="19"/>
      <c r="VVA27" s="19"/>
      <c r="VVB27" s="19"/>
      <c r="VVC27" s="19"/>
      <c r="VVD27" s="19"/>
      <c r="VVE27" s="19"/>
      <c r="VVF27" s="19"/>
      <c r="VVG27" s="19"/>
      <c r="VVH27" s="19"/>
      <c r="VVI27" s="19"/>
      <c r="VVJ27" s="19"/>
      <c r="VVK27" s="19"/>
      <c r="VVL27" s="19"/>
      <c r="VVM27" s="19"/>
      <c r="VVN27" s="19"/>
      <c r="VVO27" s="19"/>
      <c r="VVP27" s="19"/>
      <c r="VVQ27" s="19"/>
      <c r="VVR27" s="19"/>
      <c r="VVS27" s="19"/>
      <c r="VVT27" s="19"/>
      <c r="VVU27" s="19"/>
      <c r="VVV27" s="19"/>
      <c r="VVW27" s="19"/>
      <c r="VVX27" s="19"/>
      <c r="VVY27" s="19"/>
      <c r="VVZ27" s="19"/>
      <c r="VWA27" s="19"/>
      <c r="VWB27" s="19"/>
      <c r="VWC27" s="19"/>
      <c r="VWD27" s="19"/>
      <c r="VWE27" s="19"/>
      <c r="VWF27" s="19"/>
      <c r="VWG27" s="19"/>
      <c r="VWH27" s="19"/>
      <c r="VWI27" s="19"/>
      <c r="VWJ27" s="19"/>
      <c r="VWK27" s="19"/>
      <c r="VWL27" s="19"/>
      <c r="VWM27" s="19"/>
      <c r="VWN27" s="19"/>
      <c r="VWO27" s="19"/>
      <c r="VWP27" s="19"/>
      <c r="VWQ27" s="19"/>
      <c r="VWR27" s="19"/>
      <c r="VWS27" s="19"/>
      <c r="VWT27" s="19"/>
      <c r="VWU27" s="19"/>
      <c r="VWV27" s="19"/>
      <c r="VWW27" s="19"/>
      <c r="VWX27" s="19"/>
      <c r="VWY27" s="19"/>
      <c r="VWZ27" s="19"/>
      <c r="VXA27" s="19"/>
      <c r="VXB27" s="19"/>
      <c r="VXC27" s="19"/>
      <c r="VXD27" s="19"/>
      <c r="VXE27" s="19"/>
      <c r="VXF27" s="19"/>
      <c r="VXG27" s="19"/>
      <c r="VXH27" s="19"/>
      <c r="VXI27" s="19"/>
      <c r="VXJ27" s="19"/>
      <c r="VXK27" s="19"/>
      <c r="VXL27" s="19"/>
      <c r="VXM27" s="19"/>
      <c r="VXN27" s="19"/>
      <c r="VXO27" s="19"/>
      <c r="VXP27" s="19"/>
      <c r="VXQ27" s="19"/>
      <c r="VXR27" s="19"/>
      <c r="VXS27" s="19"/>
      <c r="VXT27" s="19"/>
      <c r="VXU27" s="19"/>
      <c r="VXV27" s="19"/>
      <c r="VXW27" s="19"/>
      <c r="VXX27" s="19"/>
      <c r="VXY27" s="19"/>
      <c r="VXZ27" s="19"/>
      <c r="VYA27" s="19"/>
      <c r="VYB27" s="19"/>
      <c r="VYC27" s="19"/>
      <c r="VYD27" s="19"/>
      <c r="VYE27" s="19"/>
      <c r="VYF27" s="19"/>
      <c r="VYG27" s="19"/>
      <c r="VYH27" s="19"/>
      <c r="VYI27" s="19"/>
      <c r="VYJ27" s="19"/>
      <c r="VYK27" s="19"/>
      <c r="VYL27" s="19"/>
      <c r="VYM27" s="19"/>
      <c r="VYN27" s="19"/>
      <c r="VYO27" s="19"/>
      <c r="VYP27" s="19"/>
      <c r="VYQ27" s="19"/>
      <c r="VYR27" s="19"/>
      <c r="VYS27" s="19"/>
      <c r="VYT27" s="19"/>
      <c r="VYU27" s="19"/>
      <c r="VYV27" s="19"/>
      <c r="VYW27" s="19"/>
      <c r="VYX27" s="19"/>
      <c r="VYY27" s="19"/>
      <c r="VYZ27" s="19"/>
      <c r="VZA27" s="19"/>
      <c r="VZB27" s="19"/>
      <c r="VZC27" s="19"/>
      <c r="VZD27" s="19"/>
      <c r="VZE27" s="19"/>
      <c r="VZF27" s="19"/>
      <c r="VZG27" s="19"/>
      <c r="VZH27" s="19"/>
      <c r="VZI27" s="19"/>
      <c r="VZJ27" s="19"/>
      <c r="VZK27" s="19"/>
      <c r="VZL27" s="19"/>
      <c r="VZM27" s="19"/>
      <c r="VZN27" s="19"/>
      <c r="VZO27" s="19"/>
      <c r="VZP27" s="19"/>
      <c r="VZQ27" s="19"/>
      <c r="VZR27" s="19"/>
      <c r="VZS27" s="19"/>
      <c r="VZT27" s="19"/>
      <c r="VZU27" s="19"/>
      <c r="VZV27" s="19"/>
      <c r="VZW27" s="19"/>
      <c r="VZX27" s="19"/>
      <c r="VZY27" s="19"/>
      <c r="VZZ27" s="19"/>
      <c r="WAA27" s="19"/>
      <c r="WAB27" s="19"/>
      <c r="WAC27" s="19"/>
      <c r="WAD27" s="19"/>
      <c r="WAE27" s="19"/>
      <c r="WAF27" s="19"/>
      <c r="WAG27" s="19"/>
      <c r="WAH27" s="19"/>
      <c r="WAI27" s="19"/>
      <c r="WAJ27" s="19"/>
      <c r="WAK27" s="19"/>
      <c r="WAL27" s="19"/>
      <c r="WAM27" s="19"/>
      <c r="WAN27" s="19"/>
      <c r="WAO27" s="19"/>
      <c r="WAP27" s="19"/>
      <c r="WAQ27" s="19"/>
      <c r="WAR27" s="19"/>
      <c r="WAS27" s="19"/>
      <c r="WAT27" s="19"/>
      <c r="WAU27" s="19"/>
      <c r="WAV27" s="19"/>
      <c r="WAW27" s="19"/>
      <c r="WAX27" s="19"/>
      <c r="WAY27" s="19"/>
      <c r="WAZ27" s="19"/>
      <c r="WBA27" s="19"/>
      <c r="WBB27" s="19"/>
      <c r="WBC27" s="19"/>
      <c r="WBD27" s="19"/>
      <c r="WBE27" s="19"/>
      <c r="WBF27" s="19"/>
      <c r="WBG27" s="19"/>
      <c r="WBH27" s="19"/>
      <c r="WBI27" s="19"/>
      <c r="WBJ27" s="19"/>
      <c r="WBK27" s="19"/>
      <c r="WBL27" s="19"/>
      <c r="WBM27" s="19"/>
      <c r="WBN27" s="19"/>
      <c r="WBO27" s="19"/>
      <c r="WBP27" s="19"/>
      <c r="WBQ27" s="19"/>
      <c r="WBR27" s="19"/>
      <c r="WBS27" s="19"/>
      <c r="WBT27" s="19"/>
      <c r="WBU27" s="19"/>
      <c r="WBV27" s="19"/>
      <c r="WBW27" s="19"/>
      <c r="WBX27" s="19"/>
      <c r="WBY27" s="19"/>
      <c r="WBZ27" s="19"/>
      <c r="WCA27" s="19"/>
      <c r="WCB27" s="19"/>
      <c r="WCC27" s="19"/>
      <c r="WCD27" s="19"/>
      <c r="WCE27" s="19"/>
      <c r="WCF27" s="19"/>
      <c r="WCG27" s="19"/>
      <c r="WCH27" s="19"/>
      <c r="WCI27" s="19"/>
      <c r="WCJ27" s="19"/>
      <c r="WCK27" s="19"/>
      <c r="WCL27" s="19"/>
      <c r="WCM27" s="19"/>
      <c r="WCN27" s="19"/>
      <c r="WCO27" s="19"/>
      <c r="WCP27" s="19"/>
      <c r="WCQ27" s="19"/>
      <c r="WCR27" s="19"/>
      <c r="WCS27" s="19"/>
      <c r="WCT27" s="19"/>
      <c r="WCU27" s="19"/>
      <c r="WCV27" s="19"/>
      <c r="WCW27" s="19"/>
      <c r="WCX27" s="19"/>
      <c r="WCY27" s="19"/>
      <c r="WCZ27" s="19"/>
      <c r="WDA27" s="19"/>
      <c r="WDB27" s="19"/>
      <c r="WDC27" s="19"/>
      <c r="WDD27" s="19"/>
      <c r="WDE27" s="19"/>
      <c r="WDF27" s="19"/>
      <c r="WDG27" s="19"/>
      <c r="WDH27" s="19"/>
      <c r="WDI27" s="19"/>
      <c r="WDJ27" s="19"/>
      <c r="WDK27" s="19"/>
      <c r="WDL27" s="19"/>
      <c r="WDM27" s="19"/>
      <c r="WDN27" s="19"/>
      <c r="WDO27" s="19"/>
      <c r="WDP27" s="19"/>
      <c r="WDQ27" s="19"/>
      <c r="WDR27" s="19"/>
      <c r="WDS27" s="19"/>
      <c r="WDT27" s="19"/>
      <c r="WDU27" s="19"/>
      <c r="WDV27" s="19"/>
      <c r="WDW27" s="19"/>
      <c r="WDX27" s="19"/>
      <c r="WDY27" s="19"/>
      <c r="WDZ27" s="19"/>
      <c r="WEA27" s="19"/>
      <c r="WEB27" s="19"/>
      <c r="WEC27" s="19"/>
      <c r="WED27" s="19"/>
      <c r="WEE27" s="19"/>
      <c r="WEF27" s="19"/>
      <c r="WEG27" s="19"/>
      <c r="WEH27" s="19"/>
      <c r="WEI27" s="19"/>
      <c r="WEJ27" s="19"/>
      <c r="WEK27" s="19"/>
      <c r="WEL27" s="19"/>
      <c r="WEM27" s="19"/>
      <c r="WEN27" s="19"/>
      <c r="WEO27" s="19"/>
      <c r="WEP27" s="19"/>
      <c r="WEQ27" s="19"/>
      <c r="WER27" s="19"/>
      <c r="WES27" s="19"/>
      <c r="WET27" s="19"/>
      <c r="WEU27" s="19"/>
      <c r="WEV27" s="19"/>
      <c r="WEW27" s="19"/>
      <c r="WEX27" s="19"/>
      <c r="WEY27" s="19"/>
      <c r="WEZ27" s="19"/>
      <c r="WFA27" s="19"/>
      <c r="WFB27" s="19"/>
      <c r="WFC27" s="19"/>
      <c r="WFD27" s="19"/>
      <c r="WFE27" s="19"/>
      <c r="WFF27" s="19"/>
      <c r="WFG27" s="19"/>
      <c r="WFH27" s="19"/>
      <c r="WFI27" s="19"/>
      <c r="WFJ27" s="19"/>
      <c r="WFK27" s="19"/>
      <c r="WFL27" s="19"/>
      <c r="WFM27" s="19"/>
      <c r="WFN27" s="19"/>
      <c r="WFO27" s="19"/>
      <c r="WFP27" s="19"/>
      <c r="WFQ27" s="19"/>
      <c r="WFR27" s="19"/>
      <c r="WFS27" s="19"/>
      <c r="WFT27" s="19"/>
      <c r="WFU27" s="19"/>
      <c r="WFV27" s="19"/>
      <c r="WFW27" s="19"/>
      <c r="WFX27" s="19"/>
      <c r="WFY27" s="19"/>
      <c r="WFZ27" s="19"/>
      <c r="WGA27" s="19"/>
      <c r="WGB27" s="19"/>
      <c r="WGC27" s="19"/>
      <c r="WGD27" s="19"/>
      <c r="WGE27" s="19"/>
      <c r="WGF27" s="19"/>
      <c r="WGG27" s="19"/>
      <c r="WGH27" s="19"/>
      <c r="WGI27" s="19"/>
      <c r="WGJ27" s="19"/>
      <c r="WGK27" s="19"/>
      <c r="WGL27" s="19"/>
      <c r="WGM27" s="19"/>
      <c r="WGN27" s="19"/>
      <c r="WGO27" s="19"/>
      <c r="WGP27" s="19"/>
      <c r="WGQ27" s="19"/>
      <c r="WGR27" s="19"/>
      <c r="WGS27" s="19"/>
      <c r="WGT27" s="19"/>
      <c r="WGU27" s="19"/>
      <c r="WGV27" s="19"/>
      <c r="WGW27" s="19"/>
      <c r="WGX27" s="19"/>
      <c r="WGY27" s="19"/>
      <c r="WGZ27" s="19"/>
      <c r="WHA27" s="19"/>
      <c r="WHB27" s="19"/>
      <c r="WHC27" s="19"/>
      <c r="WHD27" s="19"/>
      <c r="WHE27" s="19"/>
      <c r="WHF27" s="19"/>
      <c r="WHG27" s="19"/>
      <c r="WHH27" s="19"/>
      <c r="WHI27" s="19"/>
      <c r="WHJ27" s="19"/>
      <c r="WHK27" s="19"/>
      <c r="WHL27" s="19"/>
      <c r="WHM27" s="19"/>
      <c r="WHN27" s="19"/>
      <c r="WHO27" s="19"/>
      <c r="WHP27" s="19"/>
      <c r="WHQ27" s="19"/>
      <c r="WHR27" s="19"/>
      <c r="WHS27" s="19"/>
      <c r="WHT27" s="19"/>
      <c r="WHU27" s="19"/>
      <c r="WHV27" s="19"/>
      <c r="WHW27" s="19"/>
      <c r="WHX27" s="19"/>
      <c r="WHY27" s="19"/>
      <c r="WHZ27" s="19"/>
      <c r="WIA27" s="19"/>
      <c r="WIB27" s="19"/>
      <c r="WIC27" s="19"/>
      <c r="WID27" s="19"/>
      <c r="WIE27" s="19"/>
      <c r="WIF27" s="19"/>
      <c r="WIG27" s="19"/>
      <c r="WIH27" s="19"/>
      <c r="WII27" s="19"/>
      <c r="WIJ27" s="19"/>
      <c r="WIK27" s="19"/>
      <c r="WIL27" s="19"/>
      <c r="WIM27" s="19"/>
      <c r="WIN27" s="19"/>
      <c r="WIO27" s="19"/>
      <c r="WIP27" s="19"/>
      <c r="WIQ27" s="19"/>
      <c r="WIR27" s="19"/>
      <c r="WIS27" s="19"/>
      <c r="WIT27" s="19"/>
      <c r="WIU27" s="19"/>
      <c r="WIV27" s="19"/>
      <c r="WIW27" s="19"/>
      <c r="WIX27" s="19"/>
      <c r="WIY27" s="19"/>
      <c r="WIZ27" s="19"/>
      <c r="WJA27" s="19"/>
      <c r="WJB27" s="19"/>
      <c r="WJC27" s="19"/>
      <c r="WJD27" s="19"/>
      <c r="WJE27" s="19"/>
      <c r="WJF27" s="19"/>
      <c r="WJG27" s="19"/>
      <c r="WJH27" s="19"/>
      <c r="WJI27" s="19"/>
      <c r="WJJ27" s="19"/>
      <c r="WJK27" s="19"/>
      <c r="WJL27" s="19"/>
      <c r="WJM27" s="19"/>
      <c r="WJN27" s="19"/>
      <c r="WJO27" s="19"/>
      <c r="WJP27" s="19"/>
      <c r="WJQ27" s="19"/>
      <c r="WJR27" s="19"/>
      <c r="WJS27" s="19"/>
      <c r="WJT27" s="19"/>
      <c r="WJU27" s="19"/>
      <c r="WJV27" s="19"/>
      <c r="WJW27" s="19"/>
      <c r="WJX27" s="19"/>
      <c r="WJY27" s="19"/>
      <c r="WJZ27" s="19"/>
      <c r="WKA27" s="19"/>
      <c r="WKB27" s="19"/>
      <c r="WKC27" s="19"/>
      <c r="WKD27" s="19"/>
      <c r="WKE27" s="19"/>
      <c r="WKF27" s="19"/>
      <c r="WKG27" s="19"/>
      <c r="WKH27" s="19"/>
      <c r="WKI27" s="19"/>
      <c r="WKJ27" s="19"/>
      <c r="WKK27" s="19"/>
      <c r="WKL27" s="19"/>
      <c r="WKM27" s="19"/>
      <c r="WKN27" s="19"/>
      <c r="WKO27" s="19"/>
      <c r="WKP27" s="19"/>
      <c r="WKQ27" s="19"/>
      <c r="WKR27" s="19"/>
      <c r="WKS27" s="19"/>
      <c r="WKT27" s="19"/>
      <c r="WKU27" s="19"/>
      <c r="WKV27" s="19"/>
      <c r="WKW27" s="19"/>
      <c r="WKX27" s="19"/>
      <c r="WKY27" s="19"/>
      <c r="WKZ27" s="19"/>
      <c r="WLA27" s="19"/>
      <c r="WLB27" s="19"/>
      <c r="WLC27" s="19"/>
      <c r="WLD27" s="19"/>
      <c r="WLE27" s="19"/>
      <c r="WLF27" s="19"/>
      <c r="WLG27" s="19"/>
      <c r="WLH27" s="19"/>
      <c r="WLI27" s="19"/>
      <c r="WLJ27" s="19"/>
      <c r="WLK27" s="19"/>
      <c r="WLL27" s="19"/>
      <c r="WLM27" s="19"/>
      <c r="WLN27" s="19"/>
      <c r="WLO27" s="19"/>
      <c r="WLP27" s="19"/>
      <c r="WLQ27" s="19"/>
      <c r="WLR27" s="19"/>
      <c r="WLS27" s="19"/>
      <c r="WLT27" s="19"/>
      <c r="WLU27" s="19"/>
      <c r="WLV27" s="19"/>
      <c r="WLW27" s="19"/>
      <c r="WLX27" s="19"/>
      <c r="WLY27" s="19"/>
      <c r="WLZ27" s="19"/>
      <c r="WMA27" s="19"/>
      <c r="WMB27" s="19"/>
      <c r="WMC27" s="19"/>
      <c r="WMD27" s="19"/>
      <c r="WME27" s="19"/>
      <c r="WMF27" s="19"/>
      <c r="WMG27" s="19"/>
      <c r="WMH27" s="19"/>
      <c r="WMI27" s="19"/>
      <c r="WMJ27" s="19"/>
      <c r="WMK27" s="19"/>
      <c r="WML27" s="19"/>
      <c r="WMM27" s="19"/>
      <c r="WMN27" s="19"/>
      <c r="WMO27" s="19"/>
      <c r="WMP27" s="19"/>
      <c r="WMQ27" s="19"/>
      <c r="WMR27" s="19"/>
      <c r="WMS27" s="19"/>
      <c r="WMT27" s="19"/>
      <c r="WMU27" s="19"/>
      <c r="WMV27" s="19"/>
      <c r="WMW27" s="19"/>
      <c r="WMX27" s="19"/>
      <c r="WMY27" s="19"/>
      <c r="WMZ27" s="19"/>
      <c r="WNA27" s="19"/>
      <c r="WNB27" s="19"/>
      <c r="WNC27" s="19"/>
      <c r="WND27" s="19"/>
      <c r="WNE27" s="19"/>
      <c r="WNF27" s="19"/>
      <c r="WNG27" s="19"/>
      <c r="WNH27" s="19"/>
      <c r="WNI27" s="19"/>
      <c r="WNJ27" s="19"/>
      <c r="WNK27" s="19"/>
      <c r="WNL27" s="19"/>
      <c r="WNM27" s="19"/>
      <c r="WNN27" s="19"/>
      <c r="WNO27" s="19"/>
      <c r="WNP27" s="19"/>
      <c r="WNQ27" s="19"/>
      <c r="WNR27" s="19"/>
      <c r="WNS27" s="19"/>
      <c r="WNT27" s="19"/>
      <c r="WNU27" s="19"/>
      <c r="WNV27" s="19"/>
      <c r="WNW27" s="19"/>
      <c r="WNX27" s="19"/>
      <c r="WNY27" s="19"/>
      <c r="WNZ27" s="19"/>
      <c r="WOA27" s="19"/>
      <c r="WOB27" s="19"/>
      <c r="WOC27" s="19"/>
      <c r="WOD27" s="19"/>
      <c r="WOE27" s="19"/>
      <c r="WOF27" s="19"/>
      <c r="WOG27" s="19"/>
      <c r="WOH27" s="19"/>
      <c r="WOI27" s="19"/>
      <c r="WOJ27" s="19"/>
      <c r="WOK27" s="19"/>
      <c r="WOL27" s="19"/>
      <c r="WOM27" s="19"/>
      <c r="WON27" s="19"/>
      <c r="WOO27" s="19"/>
      <c r="WOP27" s="19"/>
      <c r="WOQ27" s="19"/>
      <c r="WOR27" s="19"/>
      <c r="WOS27" s="19"/>
      <c r="WOT27" s="19"/>
      <c r="WOU27" s="19"/>
      <c r="WOV27" s="19"/>
      <c r="WOW27" s="19"/>
      <c r="WOX27" s="19"/>
      <c r="WOY27" s="19"/>
      <c r="WOZ27" s="19"/>
      <c r="WPA27" s="19"/>
      <c r="WPB27" s="19"/>
      <c r="WPC27" s="19"/>
      <c r="WPD27" s="19"/>
      <c r="WPE27" s="19"/>
      <c r="WPF27" s="19"/>
      <c r="WPG27" s="19"/>
      <c r="WPH27" s="19"/>
      <c r="WPI27" s="19"/>
      <c r="WPJ27" s="19"/>
      <c r="WPK27" s="19"/>
      <c r="WPL27" s="19"/>
      <c r="WPM27" s="19"/>
      <c r="WPN27" s="19"/>
      <c r="WPO27" s="19"/>
      <c r="WPP27" s="19"/>
      <c r="WPQ27" s="19"/>
      <c r="WPR27" s="19"/>
      <c r="WPS27" s="19"/>
      <c r="WPT27" s="19"/>
      <c r="WPU27" s="19"/>
      <c r="WPV27" s="19"/>
      <c r="WPW27" s="19"/>
      <c r="WPX27" s="19"/>
      <c r="WPY27" s="19"/>
      <c r="WPZ27" s="19"/>
      <c r="WQA27" s="19"/>
      <c r="WQB27" s="19"/>
      <c r="WQC27" s="19"/>
      <c r="WQD27" s="19"/>
      <c r="WQE27" s="19"/>
      <c r="WQF27" s="19"/>
      <c r="WQG27" s="19"/>
      <c r="WQH27" s="19"/>
      <c r="WQI27" s="19"/>
      <c r="WQJ27" s="19"/>
      <c r="WQK27" s="19"/>
      <c r="WQL27" s="19"/>
      <c r="WQM27" s="19"/>
      <c r="WQN27" s="19"/>
      <c r="WQO27" s="19"/>
      <c r="WQP27" s="19"/>
      <c r="WQQ27" s="19"/>
      <c r="WQR27" s="19"/>
      <c r="WQS27" s="19"/>
      <c r="WQT27" s="19"/>
      <c r="WQU27" s="19"/>
      <c r="WQV27" s="19"/>
      <c r="WQW27" s="19"/>
      <c r="WQX27" s="19"/>
      <c r="WQY27" s="19"/>
      <c r="WQZ27" s="19"/>
      <c r="WRA27" s="19"/>
      <c r="WRB27" s="19"/>
      <c r="WRC27" s="19"/>
      <c r="WRD27" s="19"/>
      <c r="WRE27" s="19"/>
      <c r="WRF27" s="19"/>
      <c r="WRG27" s="19"/>
      <c r="WRH27" s="19"/>
      <c r="WRI27" s="19"/>
      <c r="WRJ27" s="19"/>
      <c r="WRK27" s="19"/>
      <c r="WRL27" s="19"/>
      <c r="WRM27" s="19"/>
      <c r="WRN27" s="19"/>
      <c r="WRO27" s="19"/>
      <c r="WRP27" s="19"/>
      <c r="WRQ27" s="19"/>
      <c r="WRR27" s="19"/>
      <c r="WRS27" s="19"/>
      <c r="WRT27" s="19"/>
      <c r="WRU27" s="19"/>
      <c r="WRV27" s="19"/>
      <c r="WRW27" s="19"/>
      <c r="WRX27" s="19"/>
      <c r="WRY27" s="19"/>
      <c r="WRZ27" s="19"/>
      <c r="WSA27" s="19"/>
      <c r="WSB27" s="19"/>
      <c r="WSC27" s="19"/>
      <c r="WSD27" s="19"/>
      <c r="WSE27" s="19"/>
      <c r="WSF27" s="19"/>
      <c r="WSG27" s="19"/>
      <c r="WSH27" s="19"/>
      <c r="WSI27" s="19"/>
      <c r="WSJ27" s="19"/>
      <c r="WSK27" s="19"/>
      <c r="WSL27" s="19"/>
      <c r="WSM27" s="19"/>
      <c r="WSN27" s="19"/>
      <c r="WSO27" s="19"/>
      <c r="WSP27" s="19"/>
      <c r="WSQ27" s="19"/>
      <c r="WSR27" s="19"/>
      <c r="WSS27" s="19"/>
      <c r="WST27" s="19"/>
      <c r="WSU27" s="19"/>
      <c r="WSV27" s="19"/>
      <c r="WSW27" s="19"/>
      <c r="WSX27" s="19"/>
      <c r="WSY27" s="19"/>
      <c r="WSZ27" s="19"/>
      <c r="WTA27" s="19"/>
      <c r="WTB27" s="19"/>
      <c r="WTC27" s="19"/>
      <c r="WTD27" s="19"/>
      <c r="WTE27" s="19"/>
      <c r="WTF27" s="19"/>
      <c r="WTG27" s="19"/>
      <c r="WTH27" s="19"/>
      <c r="WTI27" s="19"/>
      <c r="WTJ27" s="19"/>
      <c r="WTK27" s="19"/>
      <c r="WTL27" s="19"/>
      <c r="WTM27" s="19"/>
      <c r="WTN27" s="19"/>
      <c r="WTO27" s="19"/>
      <c r="WTP27" s="19"/>
      <c r="WTQ27" s="19"/>
      <c r="WTR27" s="19"/>
      <c r="WTS27" s="19"/>
      <c r="WTT27" s="19"/>
      <c r="WTU27" s="19"/>
      <c r="WTV27" s="19"/>
      <c r="WTW27" s="19"/>
      <c r="WTX27" s="19"/>
      <c r="WTY27" s="19"/>
      <c r="WTZ27" s="19"/>
      <c r="WUA27" s="19"/>
      <c r="WUB27" s="19"/>
      <c r="WUC27" s="19"/>
      <c r="WUD27" s="19"/>
      <c r="WUE27" s="19"/>
      <c r="WUF27" s="19"/>
      <c r="WUG27" s="19"/>
      <c r="WUH27" s="19"/>
      <c r="WUI27" s="19"/>
      <c r="WUJ27" s="19"/>
      <c r="WUK27" s="19"/>
      <c r="WUL27" s="19"/>
      <c r="WUM27" s="19"/>
      <c r="WUN27" s="19"/>
      <c r="WUO27" s="19"/>
      <c r="WUP27" s="19"/>
      <c r="WUQ27" s="19"/>
      <c r="WUR27" s="19"/>
      <c r="WUS27" s="19"/>
      <c r="WUT27" s="19"/>
      <c r="WUU27" s="19"/>
      <c r="WUV27" s="19"/>
      <c r="WUW27" s="19"/>
      <c r="WUX27" s="19"/>
      <c r="WUY27" s="19"/>
      <c r="WUZ27" s="19"/>
      <c r="WVA27" s="19"/>
      <c r="WVB27" s="19"/>
      <c r="WVC27" s="19"/>
      <c r="WVD27" s="19"/>
      <c r="WVE27" s="19"/>
      <c r="WVF27" s="19"/>
      <c r="WVG27" s="19"/>
      <c r="WVH27" s="19"/>
      <c r="WVI27" s="19"/>
      <c r="WVJ27" s="19"/>
      <c r="WVK27" s="19"/>
      <c r="WVL27" s="19"/>
      <c r="WVM27" s="19"/>
      <c r="WVN27" s="19"/>
      <c r="WVO27" s="19"/>
      <c r="WVP27" s="19"/>
      <c r="WVQ27" s="19"/>
      <c r="WVR27" s="19"/>
      <c r="WVS27" s="19"/>
      <c r="WVT27" s="19"/>
      <c r="WVU27" s="19"/>
      <c r="WVV27" s="19"/>
      <c r="WVW27" s="19"/>
      <c r="WVX27" s="19"/>
      <c r="WVY27" s="19"/>
      <c r="WVZ27" s="19"/>
      <c r="WWA27" s="19"/>
      <c r="WWB27" s="19"/>
      <c r="WWC27" s="19"/>
      <c r="WWD27" s="19"/>
      <c r="WWE27" s="19"/>
      <c r="WWF27" s="19"/>
      <c r="WWG27" s="19"/>
      <c r="WWH27" s="19"/>
      <c r="WWI27" s="19"/>
      <c r="WWJ27" s="19"/>
      <c r="WWK27" s="19"/>
      <c r="WWL27" s="19"/>
      <c r="WWM27" s="19"/>
      <c r="WWN27" s="19"/>
      <c r="WWO27" s="19"/>
      <c r="WWP27" s="19"/>
      <c r="WWQ27" s="19"/>
      <c r="WWR27" s="19"/>
      <c r="WWS27" s="19"/>
      <c r="WWT27" s="19"/>
      <c r="WWU27" s="19"/>
      <c r="WWV27" s="19"/>
      <c r="WWW27" s="19"/>
      <c r="WWX27" s="19"/>
      <c r="WWY27" s="19"/>
      <c r="WWZ27" s="19"/>
      <c r="WXA27" s="19"/>
      <c r="WXB27" s="19"/>
      <c r="WXC27" s="19"/>
      <c r="WXD27" s="19"/>
      <c r="WXE27" s="19"/>
      <c r="WXF27" s="19"/>
      <c r="WXG27" s="19"/>
      <c r="WXH27" s="19"/>
      <c r="WXI27" s="19"/>
      <c r="WXJ27" s="19"/>
      <c r="WXK27" s="19"/>
      <c r="WXL27" s="19"/>
      <c r="WXM27" s="19"/>
      <c r="WXN27" s="19"/>
      <c r="WXO27" s="19"/>
      <c r="WXP27" s="19"/>
      <c r="WXQ27" s="19"/>
      <c r="WXR27" s="19"/>
      <c r="WXS27" s="19"/>
      <c r="WXT27" s="19"/>
      <c r="WXU27" s="19"/>
      <c r="WXV27" s="19"/>
      <c r="WXW27" s="19"/>
      <c r="WXX27" s="19"/>
      <c r="WXY27" s="19"/>
      <c r="WXZ27" s="19"/>
      <c r="WYA27" s="19"/>
      <c r="WYB27" s="19"/>
      <c r="WYC27" s="19"/>
      <c r="WYD27" s="19"/>
      <c r="WYE27" s="19"/>
      <c r="WYF27" s="19"/>
      <c r="WYG27" s="19"/>
      <c r="WYH27" s="19"/>
      <c r="WYI27" s="19"/>
      <c r="WYJ27" s="19"/>
      <c r="WYK27" s="19"/>
      <c r="WYL27" s="19"/>
      <c r="WYM27" s="19"/>
      <c r="WYN27" s="19"/>
      <c r="WYO27" s="19"/>
      <c r="WYP27" s="19"/>
      <c r="WYQ27" s="19"/>
      <c r="WYR27" s="19"/>
      <c r="WYS27" s="19"/>
      <c r="WYT27" s="19"/>
      <c r="WYU27" s="19"/>
      <c r="WYV27" s="19"/>
      <c r="WYW27" s="19"/>
      <c r="WYX27" s="19"/>
      <c r="WYY27" s="19"/>
      <c r="WYZ27" s="19"/>
      <c r="WZA27" s="19"/>
      <c r="WZB27" s="19"/>
      <c r="WZC27" s="19"/>
      <c r="WZD27" s="19"/>
      <c r="WZE27" s="19"/>
      <c r="WZF27" s="19"/>
      <c r="WZG27" s="19"/>
      <c r="WZH27" s="19"/>
      <c r="WZI27" s="19"/>
      <c r="WZJ27" s="19"/>
      <c r="WZK27" s="19"/>
      <c r="WZL27" s="19"/>
      <c r="WZM27" s="19"/>
      <c r="WZN27" s="19"/>
      <c r="WZO27" s="19"/>
      <c r="WZP27" s="19"/>
      <c r="WZQ27" s="19"/>
      <c r="WZR27" s="19"/>
      <c r="WZS27" s="19"/>
      <c r="WZT27" s="19"/>
      <c r="WZU27" s="19"/>
      <c r="WZV27" s="19"/>
      <c r="WZW27" s="19"/>
      <c r="WZX27" s="19"/>
      <c r="WZY27" s="19"/>
      <c r="WZZ27" s="19"/>
      <c r="XAA27" s="19"/>
      <c r="XAB27" s="19"/>
      <c r="XAC27" s="19"/>
      <c r="XAD27" s="19"/>
      <c r="XAE27" s="19"/>
      <c r="XAF27" s="19"/>
      <c r="XAG27" s="19"/>
      <c r="XAH27" s="19"/>
      <c r="XAI27" s="19"/>
      <c r="XAJ27" s="19"/>
      <c r="XAK27" s="19"/>
      <c r="XAL27" s="19"/>
      <c r="XAM27" s="19"/>
      <c r="XAN27" s="19"/>
      <c r="XAO27" s="19"/>
      <c r="XAP27" s="19"/>
      <c r="XAQ27" s="19"/>
      <c r="XAR27" s="19"/>
      <c r="XAS27" s="19"/>
      <c r="XAT27" s="19"/>
      <c r="XAU27" s="19"/>
      <c r="XAV27" s="19"/>
      <c r="XAW27" s="19"/>
      <c r="XAX27" s="19"/>
      <c r="XAY27" s="19"/>
      <c r="XAZ27" s="19"/>
      <c r="XBA27" s="19"/>
      <c r="XBB27" s="19"/>
      <c r="XBC27" s="19"/>
      <c r="XBD27" s="19"/>
      <c r="XBE27" s="19"/>
      <c r="XBF27" s="19"/>
      <c r="XBG27" s="19"/>
      <c r="XBH27" s="19"/>
      <c r="XBI27" s="19"/>
      <c r="XBJ27" s="19"/>
      <c r="XBK27" s="19"/>
      <c r="XBL27" s="19"/>
      <c r="XBM27" s="19"/>
      <c r="XBN27" s="19"/>
      <c r="XBO27" s="19"/>
      <c r="XBP27" s="19"/>
      <c r="XBQ27" s="19"/>
      <c r="XBR27" s="19"/>
      <c r="XBS27" s="19"/>
      <c r="XBT27" s="19"/>
      <c r="XBU27" s="19"/>
      <c r="XBV27" s="19"/>
      <c r="XBW27" s="19"/>
      <c r="XBX27" s="19"/>
      <c r="XBY27" s="19"/>
      <c r="XBZ27" s="19"/>
      <c r="XCA27" s="19"/>
      <c r="XCB27" s="19"/>
      <c r="XCC27" s="19"/>
      <c r="XCD27" s="19"/>
      <c r="XCE27" s="19"/>
      <c r="XCF27" s="19"/>
      <c r="XCG27" s="19"/>
      <c r="XCH27" s="19"/>
      <c r="XCI27" s="19"/>
      <c r="XCJ27" s="19"/>
      <c r="XCK27" s="19"/>
      <c r="XCL27" s="19"/>
      <c r="XCM27" s="19"/>
      <c r="XCN27" s="19"/>
      <c r="XCO27" s="19"/>
      <c r="XCP27" s="19"/>
      <c r="XCQ27" s="19"/>
      <c r="XCR27" s="19"/>
      <c r="XCS27" s="19"/>
      <c r="XCT27" s="19"/>
      <c r="XCU27" s="19"/>
      <c r="XCV27" s="19"/>
      <c r="XCW27" s="19"/>
      <c r="XCX27" s="19"/>
      <c r="XCY27" s="19"/>
      <c r="XCZ27" s="19"/>
      <c r="XDA27" s="19"/>
      <c r="XDB27" s="19"/>
      <c r="XDC27" s="19"/>
      <c r="XDD27" s="19"/>
      <c r="XDE27" s="19"/>
      <c r="XDF27" s="19"/>
      <c r="XDG27" s="19"/>
      <c r="XDH27" s="19"/>
      <c r="XDI27" s="19"/>
      <c r="XDJ27" s="19"/>
      <c r="XDK27" s="19"/>
      <c r="XDL27" s="19"/>
      <c r="XDM27" s="19"/>
      <c r="XDN27" s="19"/>
      <c r="XDO27" s="19"/>
      <c r="XDP27" s="19"/>
      <c r="XDQ27" s="19"/>
      <c r="XDR27" s="19"/>
      <c r="XDS27" s="19"/>
      <c r="XDT27" s="19"/>
      <c r="XDU27" s="19"/>
      <c r="XDV27" s="19"/>
      <c r="XDW27" s="19"/>
      <c r="XDX27" s="19"/>
      <c r="XDY27" s="19"/>
      <c r="XDZ27" s="19"/>
      <c r="XEA27" s="19"/>
      <c r="XEB27" s="19"/>
      <c r="XEC27" s="19"/>
      <c r="XED27" s="19"/>
      <c r="XEE27" s="19"/>
      <c r="XEF27" s="19"/>
      <c r="XEG27" s="19"/>
      <c r="XEH27" s="19"/>
      <c r="XEI27" s="19"/>
      <c r="XEJ27" s="19"/>
      <c r="XEK27" s="19"/>
      <c r="XEL27" s="19"/>
      <c r="XEM27" s="19"/>
      <c r="XEN27" s="19"/>
      <c r="XEO27" s="19"/>
      <c r="XEP27" s="19"/>
      <c r="XEQ27" s="19"/>
      <c r="XER27" s="19"/>
      <c r="XES27" s="19"/>
      <c r="XET27" s="19"/>
      <c r="XEU27" s="19"/>
      <c r="XEV27" s="19"/>
      <c r="XEW27" s="19"/>
      <c r="XEX27" s="19"/>
      <c r="XEY27" s="19"/>
      <c r="XEZ27" s="19"/>
      <c r="XFA27" s="19"/>
      <c r="XFB27" s="19"/>
    </row>
    <row r="28" spans="1:16382" s="18" customFormat="1" ht="15" customHeight="1" x14ac:dyDescent="0.25"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  <c r="LR28" s="19"/>
      <c r="LS28" s="19"/>
      <c r="LT28" s="19"/>
      <c r="LU28" s="19"/>
      <c r="LV28" s="19"/>
      <c r="LW28" s="19"/>
      <c r="LX28" s="19"/>
      <c r="LY28" s="19"/>
      <c r="LZ28" s="19"/>
      <c r="MA28" s="19"/>
      <c r="MB28" s="19"/>
      <c r="MC28" s="19"/>
      <c r="MD28" s="19"/>
      <c r="ME28" s="19"/>
      <c r="MF28" s="19"/>
      <c r="MG28" s="19"/>
      <c r="MH28" s="19"/>
      <c r="MI28" s="19"/>
      <c r="MJ28" s="19"/>
      <c r="MK28" s="19"/>
      <c r="ML28" s="19"/>
      <c r="MM28" s="19"/>
      <c r="MN28" s="19"/>
      <c r="MO28" s="19"/>
      <c r="MP28" s="19"/>
      <c r="MQ28" s="19"/>
      <c r="MR28" s="19"/>
      <c r="MS28" s="19"/>
      <c r="MT28" s="19"/>
      <c r="MU28" s="19"/>
      <c r="MV28" s="19"/>
      <c r="MW28" s="19"/>
      <c r="MX28" s="19"/>
      <c r="MY28" s="19"/>
      <c r="MZ28" s="19"/>
      <c r="NA28" s="19"/>
      <c r="NB28" s="19"/>
      <c r="NC28" s="19"/>
      <c r="ND28" s="19"/>
      <c r="NE28" s="19"/>
      <c r="NF28" s="19"/>
      <c r="NG28" s="19"/>
      <c r="NH28" s="19"/>
      <c r="NI28" s="19"/>
      <c r="NJ28" s="19"/>
      <c r="NK28" s="19"/>
      <c r="NL28" s="19"/>
      <c r="NM28" s="19"/>
      <c r="NN28" s="19"/>
      <c r="NO28" s="19"/>
      <c r="NP28" s="19"/>
      <c r="NQ28" s="19"/>
      <c r="NR28" s="19"/>
      <c r="NS28" s="19"/>
      <c r="NT28" s="19"/>
      <c r="NU28" s="19"/>
      <c r="NV28" s="19"/>
      <c r="NW28" s="19"/>
      <c r="NX28" s="19"/>
      <c r="NY28" s="19"/>
      <c r="NZ28" s="19"/>
      <c r="OA28" s="19"/>
      <c r="OB28" s="19"/>
      <c r="OC28" s="19"/>
      <c r="OD28" s="19"/>
      <c r="OE28" s="19"/>
      <c r="OF28" s="19"/>
      <c r="OG28" s="19"/>
      <c r="OH28" s="19"/>
      <c r="OI28" s="19"/>
      <c r="OJ28" s="19"/>
      <c r="OK28" s="19"/>
      <c r="OL28" s="19"/>
      <c r="OM28" s="19"/>
      <c r="ON28" s="19"/>
      <c r="OO28" s="19"/>
      <c r="OP28" s="19"/>
      <c r="OQ28" s="19"/>
      <c r="OR28" s="19"/>
      <c r="OS28" s="19"/>
      <c r="OT28" s="19"/>
      <c r="OU28" s="19"/>
      <c r="OV28" s="19"/>
      <c r="OW28" s="19"/>
      <c r="OX28" s="19"/>
      <c r="OY28" s="19"/>
      <c r="OZ28" s="19"/>
      <c r="PA28" s="19"/>
      <c r="PB28" s="19"/>
      <c r="PC28" s="19"/>
      <c r="PD28" s="19"/>
      <c r="PE28" s="19"/>
      <c r="PF28" s="19"/>
      <c r="PG28" s="19"/>
      <c r="PH28" s="19"/>
      <c r="PI28" s="19"/>
      <c r="PJ28" s="19"/>
      <c r="PK28" s="19"/>
      <c r="PL28" s="19"/>
      <c r="PM28" s="19"/>
      <c r="PN28" s="19"/>
      <c r="PO28" s="19"/>
      <c r="PP28" s="19"/>
      <c r="PQ28" s="19"/>
      <c r="PR28" s="19"/>
      <c r="PS28" s="19"/>
      <c r="PT28" s="19"/>
      <c r="PU28" s="19"/>
      <c r="PV28" s="19"/>
      <c r="PW28" s="19"/>
      <c r="PX28" s="19"/>
      <c r="PY28" s="19"/>
      <c r="PZ28" s="19"/>
      <c r="QA28" s="19"/>
      <c r="QB28" s="19"/>
      <c r="QC28" s="19"/>
      <c r="QD28" s="19"/>
      <c r="QE28" s="19"/>
      <c r="QF28" s="19"/>
      <c r="QG28" s="19"/>
      <c r="QH28" s="19"/>
      <c r="QI28" s="19"/>
      <c r="QJ28" s="19"/>
      <c r="QK28" s="19"/>
      <c r="QL28" s="19"/>
      <c r="QM28" s="19"/>
      <c r="QN28" s="19"/>
      <c r="QO28" s="19"/>
      <c r="QP28" s="19"/>
      <c r="QQ28" s="19"/>
      <c r="QR28" s="19"/>
      <c r="QS28" s="19"/>
      <c r="QT28" s="19"/>
      <c r="QU28" s="19"/>
      <c r="QV28" s="19"/>
      <c r="QW28" s="19"/>
      <c r="QX28" s="19"/>
      <c r="QY28" s="19"/>
      <c r="QZ28" s="19"/>
      <c r="RA28" s="19"/>
      <c r="RB28" s="19"/>
      <c r="RC28" s="19"/>
      <c r="RD28" s="19"/>
      <c r="RE28" s="19"/>
      <c r="RF28" s="19"/>
      <c r="RG28" s="19"/>
      <c r="RH28" s="19"/>
      <c r="RI28" s="19"/>
      <c r="RJ28" s="19"/>
      <c r="RK28" s="19"/>
      <c r="RL28" s="19"/>
      <c r="RM28" s="19"/>
      <c r="RN28" s="19"/>
      <c r="RO28" s="19"/>
      <c r="RP28" s="19"/>
      <c r="RQ28" s="19"/>
      <c r="RR28" s="19"/>
      <c r="RS28" s="19"/>
      <c r="RT28" s="19"/>
      <c r="RU28" s="19"/>
      <c r="RV28" s="19"/>
      <c r="RW28" s="19"/>
      <c r="RX28" s="19"/>
      <c r="RY28" s="19"/>
      <c r="RZ28" s="19"/>
      <c r="SA28" s="19"/>
      <c r="SB28" s="19"/>
      <c r="SC28" s="19"/>
      <c r="SD28" s="19"/>
      <c r="SE28" s="19"/>
      <c r="SF28" s="19"/>
      <c r="SG28" s="19"/>
      <c r="SH28" s="19"/>
      <c r="SI28" s="19"/>
      <c r="SJ28" s="19"/>
      <c r="SK28" s="19"/>
      <c r="SL28" s="19"/>
      <c r="SM28" s="19"/>
      <c r="SN28" s="19"/>
      <c r="SO28" s="19"/>
      <c r="SP28" s="19"/>
      <c r="SQ28" s="19"/>
      <c r="SR28" s="19"/>
      <c r="SS28" s="19"/>
      <c r="ST28" s="19"/>
      <c r="SU28" s="19"/>
      <c r="SV28" s="19"/>
      <c r="SW28" s="19"/>
      <c r="SX28" s="19"/>
      <c r="SY28" s="19"/>
      <c r="SZ28" s="19"/>
      <c r="TA28" s="19"/>
      <c r="TB28" s="19"/>
      <c r="TC28" s="19"/>
      <c r="TD28" s="19"/>
      <c r="TE28" s="19"/>
      <c r="TF28" s="19"/>
      <c r="TG28" s="19"/>
      <c r="TH28" s="19"/>
      <c r="TI28" s="19"/>
      <c r="TJ28" s="19"/>
      <c r="TK28" s="19"/>
      <c r="TL28" s="19"/>
      <c r="TM28" s="19"/>
      <c r="TN28" s="19"/>
      <c r="TO28" s="19"/>
      <c r="TP28" s="19"/>
      <c r="TQ28" s="19"/>
      <c r="TR28" s="19"/>
      <c r="TS28" s="19"/>
      <c r="TT28" s="19"/>
      <c r="TU28" s="19"/>
      <c r="TV28" s="19"/>
      <c r="TW28" s="19"/>
      <c r="TX28" s="19"/>
      <c r="TY28" s="19"/>
      <c r="TZ28" s="19"/>
      <c r="UA28" s="19"/>
      <c r="UB28" s="19"/>
      <c r="UC28" s="19"/>
      <c r="UD28" s="19"/>
      <c r="UE28" s="19"/>
      <c r="UF28" s="19"/>
      <c r="UG28" s="19"/>
      <c r="UH28" s="19"/>
      <c r="UI28" s="19"/>
      <c r="UJ28" s="19"/>
      <c r="UK28" s="19"/>
      <c r="UL28" s="19"/>
      <c r="UM28" s="19"/>
      <c r="UN28" s="19"/>
      <c r="UO28" s="19"/>
      <c r="UP28" s="19"/>
      <c r="UQ28" s="19"/>
      <c r="UR28" s="19"/>
      <c r="US28" s="19"/>
      <c r="UT28" s="19"/>
      <c r="UU28" s="19"/>
      <c r="UV28" s="19"/>
      <c r="UW28" s="19"/>
      <c r="UX28" s="19"/>
      <c r="UY28" s="19"/>
      <c r="UZ28" s="19"/>
      <c r="VA28" s="19"/>
      <c r="VB28" s="19"/>
      <c r="VC28" s="19"/>
      <c r="VD28" s="19"/>
      <c r="VE28" s="19"/>
      <c r="VF28" s="19"/>
      <c r="VG28" s="19"/>
      <c r="VH28" s="19"/>
      <c r="VI28" s="19"/>
      <c r="VJ28" s="19"/>
      <c r="VK28" s="19"/>
      <c r="VL28" s="19"/>
      <c r="VM28" s="19"/>
      <c r="VN28" s="19"/>
      <c r="VO28" s="19"/>
      <c r="VP28" s="19"/>
      <c r="VQ28" s="19"/>
      <c r="VR28" s="19"/>
      <c r="VS28" s="19"/>
      <c r="VT28" s="19"/>
      <c r="VU28" s="19"/>
      <c r="VV28" s="19"/>
      <c r="VW28" s="19"/>
      <c r="VX28" s="19"/>
      <c r="VY28" s="19"/>
      <c r="VZ28" s="19"/>
      <c r="WA28" s="19"/>
      <c r="WB28" s="19"/>
      <c r="WC28" s="19"/>
      <c r="WD28" s="19"/>
      <c r="WE28" s="19"/>
      <c r="WF28" s="19"/>
      <c r="WG28" s="19"/>
      <c r="WH28" s="19"/>
      <c r="WI28" s="19"/>
      <c r="WJ28" s="19"/>
      <c r="WK28" s="19"/>
      <c r="WL28" s="19"/>
      <c r="WM28" s="19"/>
      <c r="WN28" s="19"/>
      <c r="WO28" s="19"/>
      <c r="WP28" s="19"/>
      <c r="WQ28" s="19"/>
      <c r="WR28" s="19"/>
      <c r="WS28" s="19"/>
      <c r="WT28" s="19"/>
      <c r="WU28" s="19"/>
      <c r="WV28" s="19"/>
      <c r="WW28" s="19"/>
      <c r="WX28" s="19"/>
      <c r="WY28" s="19"/>
      <c r="WZ28" s="19"/>
      <c r="XA28" s="19"/>
      <c r="XB28" s="19"/>
      <c r="XC28" s="19"/>
      <c r="XD28" s="19"/>
      <c r="XE28" s="19"/>
      <c r="XF28" s="19"/>
      <c r="XG28" s="19"/>
      <c r="XH28" s="19"/>
      <c r="XI28" s="19"/>
      <c r="XJ28" s="19"/>
      <c r="XK28" s="19"/>
      <c r="XL28" s="19"/>
      <c r="XM28" s="19"/>
      <c r="XN28" s="19"/>
      <c r="XO28" s="19"/>
      <c r="XP28" s="19"/>
      <c r="XQ28" s="19"/>
      <c r="XR28" s="19"/>
      <c r="XS28" s="19"/>
      <c r="XT28" s="19"/>
      <c r="XU28" s="19"/>
      <c r="XV28" s="19"/>
      <c r="XW28" s="19"/>
      <c r="XX28" s="19"/>
      <c r="XY28" s="19"/>
      <c r="XZ28" s="19"/>
      <c r="YA28" s="19"/>
      <c r="YB28" s="19"/>
      <c r="YC28" s="19"/>
      <c r="YD28" s="19"/>
      <c r="YE28" s="19"/>
      <c r="YF28" s="19"/>
      <c r="YG28" s="19"/>
      <c r="YH28" s="19"/>
      <c r="YI28" s="19"/>
      <c r="YJ28" s="19"/>
      <c r="YK28" s="19"/>
      <c r="YL28" s="19"/>
      <c r="YM28" s="19"/>
      <c r="YN28" s="19"/>
      <c r="YO28" s="19"/>
      <c r="YP28" s="19"/>
      <c r="YQ28" s="19"/>
      <c r="YR28" s="19"/>
      <c r="YS28" s="19"/>
      <c r="YT28" s="19"/>
      <c r="YU28" s="19"/>
      <c r="YV28" s="19"/>
      <c r="YW28" s="19"/>
      <c r="YX28" s="19"/>
      <c r="YY28" s="19"/>
      <c r="YZ28" s="19"/>
      <c r="ZA28" s="19"/>
      <c r="ZB28" s="19"/>
      <c r="ZC28" s="19"/>
      <c r="ZD28" s="19"/>
      <c r="ZE28" s="19"/>
      <c r="ZF28" s="19"/>
      <c r="ZG28" s="19"/>
      <c r="ZH28" s="19"/>
      <c r="ZI28" s="19"/>
      <c r="ZJ28" s="19"/>
      <c r="ZK28" s="19"/>
      <c r="ZL28" s="19"/>
      <c r="ZM28" s="19"/>
      <c r="ZN28" s="19"/>
      <c r="ZO28" s="19"/>
      <c r="ZP28" s="19"/>
      <c r="ZQ28" s="19"/>
      <c r="ZR28" s="19"/>
      <c r="ZS28" s="19"/>
      <c r="ZT28" s="19"/>
      <c r="ZU28" s="19"/>
      <c r="ZV28" s="19"/>
      <c r="ZW28" s="19"/>
      <c r="ZX28" s="19"/>
      <c r="ZY28" s="19"/>
      <c r="ZZ28" s="19"/>
      <c r="AAA28" s="19"/>
      <c r="AAB28" s="19"/>
      <c r="AAC28" s="19"/>
      <c r="AAD28" s="19"/>
      <c r="AAE28" s="19"/>
      <c r="AAF28" s="19"/>
      <c r="AAG28" s="19"/>
      <c r="AAH28" s="19"/>
      <c r="AAI28" s="19"/>
      <c r="AAJ28" s="19"/>
      <c r="AAK28" s="19"/>
      <c r="AAL28" s="19"/>
      <c r="AAM28" s="19"/>
      <c r="AAN28" s="19"/>
      <c r="AAO28" s="19"/>
      <c r="AAP28" s="19"/>
      <c r="AAQ28" s="19"/>
      <c r="AAR28" s="19"/>
      <c r="AAS28" s="19"/>
      <c r="AAT28" s="19"/>
      <c r="AAU28" s="19"/>
      <c r="AAV28" s="19"/>
      <c r="AAW28" s="19"/>
      <c r="AAX28" s="19"/>
      <c r="AAY28" s="19"/>
      <c r="AAZ28" s="19"/>
      <c r="ABA28" s="19"/>
      <c r="ABB28" s="19"/>
      <c r="ABC28" s="19"/>
      <c r="ABD28" s="19"/>
      <c r="ABE28" s="19"/>
      <c r="ABF28" s="19"/>
      <c r="ABG28" s="19"/>
      <c r="ABH28" s="19"/>
      <c r="ABI28" s="19"/>
      <c r="ABJ28" s="19"/>
      <c r="ABK28" s="19"/>
      <c r="ABL28" s="19"/>
      <c r="ABM28" s="19"/>
      <c r="ABN28" s="19"/>
      <c r="ABO28" s="19"/>
      <c r="ABP28" s="19"/>
      <c r="ABQ28" s="19"/>
      <c r="ABR28" s="19"/>
      <c r="ABS28" s="19"/>
      <c r="ABT28" s="19"/>
      <c r="ABU28" s="19"/>
      <c r="ABV28" s="19"/>
      <c r="ABW28" s="19"/>
      <c r="ABX28" s="19"/>
      <c r="ABY28" s="19"/>
      <c r="ABZ28" s="19"/>
      <c r="ACA28" s="19"/>
      <c r="ACB28" s="19"/>
      <c r="ACC28" s="19"/>
      <c r="ACD28" s="19"/>
      <c r="ACE28" s="19"/>
      <c r="ACF28" s="19"/>
      <c r="ACG28" s="19"/>
      <c r="ACH28" s="19"/>
      <c r="ACI28" s="19"/>
      <c r="ACJ28" s="19"/>
      <c r="ACK28" s="19"/>
      <c r="ACL28" s="19"/>
      <c r="ACM28" s="19"/>
      <c r="ACN28" s="19"/>
      <c r="ACO28" s="19"/>
      <c r="ACP28" s="19"/>
      <c r="ACQ28" s="19"/>
      <c r="ACR28" s="19"/>
      <c r="ACS28" s="19"/>
      <c r="ACT28" s="19"/>
      <c r="ACU28" s="19"/>
      <c r="ACV28" s="19"/>
      <c r="ACW28" s="19"/>
      <c r="ACX28" s="19"/>
      <c r="ACY28" s="19"/>
      <c r="ACZ28" s="19"/>
      <c r="ADA28" s="19"/>
      <c r="ADB28" s="19"/>
      <c r="ADC28" s="19"/>
      <c r="ADD28" s="19"/>
      <c r="ADE28" s="19"/>
      <c r="ADF28" s="19"/>
      <c r="ADG28" s="19"/>
      <c r="ADH28" s="19"/>
      <c r="ADI28" s="19"/>
      <c r="ADJ28" s="19"/>
      <c r="ADK28" s="19"/>
      <c r="ADL28" s="19"/>
      <c r="ADM28" s="19"/>
      <c r="ADN28" s="19"/>
      <c r="ADO28" s="19"/>
      <c r="ADP28" s="19"/>
      <c r="ADQ28" s="19"/>
      <c r="ADR28" s="19"/>
      <c r="ADS28" s="19"/>
      <c r="ADT28" s="19"/>
      <c r="ADU28" s="19"/>
      <c r="ADV28" s="19"/>
      <c r="ADW28" s="19"/>
      <c r="ADX28" s="19"/>
      <c r="ADY28" s="19"/>
      <c r="ADZ28" s="19"/>
      <c r="AEA28" s="19"/>
      <c r="AEB28" s="19"/>
      <c r="AEC28" s="19"/>
      <c r="AED28" s="19"/>
      <c r="AEE28" s="19"/>
      <c r="AEF28" s="19"/>
      <c r="AEG28" s="19"/>
      <c r="AEH28" s="19"/>
      <c r="AEI28" s="19"/>
      <c r="AEJ28" s="19"/>
      <c r="AEK28" s="19"/>
      <c r="AEL28" s="19"/>
      <c r="AEM28" s="19"/>
      <c r="AEN28" s="19"/>
      <c r="AEO28" s="19"/>
      <c r="AEP28" s="19"/>
      <c r="AEQ28" s="19"/>
      <c r="AER28" s="19"/>
      <c r="AES28" s="19"/>
      <c r="AET28" s="19"/>
      <c r="AEU28" s="19"/>
      <c r="AEV28" s="19"/>
      <c r="AEW28" s="19"/>
      <c r="AEX28" s="19"/>
      <c r="AEY28" s="19"/>
      <c r="AEZ28" s="19"/>
      <c r="AFA28" s="19"/>
      <c r="AFB28" s="19"/>
      <c r="AFC28" s="19"/>
      <c r="AFD28" s="19"/>
      <c r="AFE28" s="19"/>
      <c r="AFF28" s="19"/>
      <c r="AFG28" s="19"/>
      <c r="AFH28" s="19"/>
      <c r="AFI28" s="19"/>
      <c r="AFJ28" s="19"/>
      <c r="AFK28" s="19"/>
      <c r="AFL28" s="19"/>
      <c r="AFM28" s="19"/>
      <c r="AFN28" s="19"/>
      <c r="AFO28" s="19"/>
      <c r="AFP28" s="19"/>
      <c r="AFQ28" s="19"/>
      <c r="AFR28" s="19"/>
      <c r="AFS28" s="19"/>
      <c r="AFT28" s="19"/>
      <c r="AFU28" s="19"/>
      <c r="AFV28" s="19"/>
      <c r="AFW28" s="19"/>
      <c r="AFX28" s="19"/>
      <c r="AFY28" s="19"/>
      <c r="AFZ28" s="19"/>
      <c r="AGA28" s="19"/>
      <c r="AGB28" s="19"/>
      <c r="AGC28" s="19"/>
      <c r="AGD28" s="19"/>
      <c r="AGE28" s="19"/>
      <c r="AGF28" s="19"/>
      <c r="AGG28" s="19"/>
      <c r="AGH28" s="19"/>
      <c r="AGI28" s="19"/>
      <c r="AGJ28" s="19"/>
      <c r="AGK28" s="19"/>
      <c r="AGL28" s="19"/>
      <c r="AGM28" s="19"/>
      <c r="AGN28" s="19"/>
      <c r="AGO28" s="19"/>
      <c r="AGP28" s="19"/>
      <c r="AGQ28" s="19"/>
      <c r="AGR28" s="19"/>
      <c r="AGS28" s="19"/>
      <c r="AGT28" s="19"/>
      <c r="AGU28" s="19"/>
      <c r="AGV28" s="19"/>
      <c r="AGW28" s="19"/>
      <c r="AGX28" s="19"/>
      <c r="AGY28" s="19"/>
      <c r="AGZ28" s="19"/>
      <c r="AHA28" s="19"/>
      <c r="AHB28" s="19"/>
      <c r="AHC28" s="19"/>
      <c r="AHD28" s="19"/>
      <c r="AHE28" s="19"/>
      <c r="AHF28" s="19"/>
      <c r="AHG28" s="19"/>
      <c r="AHH28" s="19"/>
      <c r="AHI28" s="19"/>
      <c r="AHJ28" s="19"/>
      <c r="AHK28" s="19"/>
      <c r="AHL28" s="19"/>
      <c r="AHM28" s="19"/>
      <c r="AHN28" s="19"/>
      <c r="AHO28" s="19"/>
      <c r="AHP28" s="19"/>
      <c r="AHQ28" s="19"/>
      <c r="AHR28" s="19"/>
      <c r="AHS28" s="19"/>
      <c r="AHT28" s="19"/>
      <c r="AHU28" s="19"/>
      <c r="AHV28" s="19"/>
      <c r="AHW28" s="19"/>
      <c r="AHX28" s="19"/>
      <c r="AHY28" s="19"/>
      <c r="AHZ28" s="19"/>
      <c r="AIA28" s="19"/>
      <c r="AIB28" s="19"/>
      <c r="AIC28" s="19"/>
      <c r="AID28" s="19"/>
      <c r="AIE28" s="19"/>
      <c r="AIF28" s="19"/>
      <c r="AIG28" s="19"/>
      <c r="AIH28" s="19"/>
      <c r="AII28" s="19"/>
      <c r="AIJ28" s="19"/>
      <c r="AIK28" s="19"/>
      <c r="AIL28" s="19"/>
      <c r="AIM28" s="19"/>
      <c r="AIN28" s="19"/>
      <c r="AIO28" s="19"/>
      <c r="AIP28" s="19"/>
      <c r="AIQ28" s="19"/>
      <c r="AIR28" s="19"/>
      <c r="AIS28" s="19"/>
      <c r="AIT28" s="19"/>
      <c r="AIU28" s="19"/>
      <c r="AIV28" s="19"/>
      <c r="AIW28" s="19"/>
      <c r="AIX28" s="19"/>
      <c r="AIY28" s="19"/>
      <c r="AIZ28" s="19"/>
      <c r="AJA28" s="19"/>
      <c r="AJB28" s="19"/>
      <c r="AJC28" s="19"/>
      <c r="AJD28" s="19"/>
      <c r="AJE28" s="19"/>
      <c r="AJF28" s="19"/>
      <c r="AJG28" s="19"/>
      <c r="AJH28" s="19"/>
      <c r="AJI28" s="19"/>
      <c r="AJJ28" s="19"/>
      <c r="AJK28" s="19"/>
      <c r="AJL28" s="19"/>
      <c r="AJM28" s="19"/>
      <c r="AJN28" s="19"/>
      <c r="AJO28" s="19"/>
      <c r="AJP28" s="19"/>
      <c r="AJQ28" s="19"/>
      <c r="AJR28" s="19"/>
      <c r="AJS28" s="19"/>
      <c r="AJT28" s="19"/>
      <c r="AJU28" s="19"/>
      <c r="AJV28" s="19"/>
      <c r="AJW28" s="19"/>
      <c r="AJX28" s="19"/>
      <c r="AJY28" s="19"/>
      <c r="AJZ28" s="19"/>
      <c r="AKA28" s="19"/>
      <c r="AKB28" s="19"/>
      <c r="AKC28" s="19"/>
      <c r="AKD28" s="19"/>
      <c r="AKE28" s="19"/>
      <c r="AKF28" s="19"/>
      <c r="AKG28" s="19"/>
      <c r="AKH28" s="19"/>
      <c r="AKI28" s="19"/>
      <c r="AKJ28" s="19"/>
      <c r="AKK28" s="19"/>
      <c r="AKL28" s="19"/>
      <c r="AKM28" s="19"/>
      <c r="AKN28" s="19"/>
      <c r="AKO28" s="19"/>
      <c r="AKP28" s="19"/>
      <c r="AKQ28" s="19"/>
      <c r="AKR28" s="19"/>
      <c r="AKS28" s="19"/>
      <c r="AKT28" s="19"/>
      <c r="AKU28" s="19"/>
      <c r="AKV28" s="19"/>
      <c r="AKW28" s="19"/>
      <c r="AKX28" s="19"/>
      <c r="AKY28" s="19"/>
      <c r="AKZ28" s="19"/>
      <c r="ALA28" s="19"/>
      <c r="ALB28" s="19"/>
      <c r="ALC28" s="19"/>
      <c r="ALD28" s="19"/>
      <c r="ALE28" s="19"/>
      <c r="ALF28" s="19"/>
      <c r="ALG28" s="19"/>
      <c r="ALH28" s="19"/>
      <c r="ALI28" s="19"/>
      <c r="ALJ28" s="19"/>
      <c r="ALK28" s="19"/>
      <c r="ALL28" s="19"/>
      <c r="ALM28" s="19"/>
      <c r="ALN28" s="19"/>
      <c r="ALO28" s="19"/>
      <c r="ALP28" s="19"/>
      <c r="ALQ28" s="19"/>
      <c r="ALR28" s="19"/>
      <c r="ALS28" s="19"/>
      <c r="ALT28" s="19"/>
      <c r="ALU28" s="19"/>
      <c r="ALV28" s="19"/>
      <c r="ALW28" s="19"/>
      <c r="ALX28" s="19"/>
      <c r="ALY28" s="19"/>
      <c r="ALZ28" s="19"/>
      <c r="AMA28" s="19"/>
      <c r="AMB28" s="19"/>
      <c r="AMC28" s="19"/>
      <c r="AMD28" s="19"/>
      <c r="AME28" s="19"/>
      <c r="AMF28" s="19"/>
      <c r="AMG28" s="19"/>
      <c r="AMH28" s="19"/>
      <c r="AMI28" s="19"/>
      <c r="AMJ28" s="19"/>
      <c r="AMK28" s="19"/>
      <c r="AML28" s="19"/>
      <c r="AMM28" s="19"/>
      <c r="AMN28" s="19"/>
      <c r="AMO28" s="19"/>
      <c r="AMP28" s="19"/>
      <c r="AMQ28" s="19"/>
      <c r="AMR28" s="19"/>
      <c r="AMS28" s="19"/>
      <c r="AMT28" s="19"/>
      <c r="AMU28" s="19"/>
      <c r="AMV28" s="19"/>
      <c r="AMW28" s="19"/>
      <c r="AMX28" s="19"/>
      <c r="AMY28" s="19"/>
      <c r="AMZ28" s="19"/>
      <c r="ANA28" s="19"/>
      <c r="ANB28" s="19"/>
      <c r="ANC28" s="19"/>
      <c r="AND28" s="19"/>
      <c r="ANE28" s="19"/>
      <c r="ANF28" s="19"/>
      <c r="ANG28" s="19"/>
      <c r="ANH28" s="19"/>
      <c r="ANI28" s="19"/>
      <c r="ANJ28" s="19"/>
      <c r="ANK28" s="19"/>
      <c r="ANL28" s="19"/>
      <c r="ANM28" s="19"/>
      <c r="ANN28" s="19"/>
      <c r="ANO28" s="19"/>
      <c r="ANP28" s="19"/>
      <c r="ANQ28" s="19"/>
      <c r="ANR28" s="19"/>
      <c r="ANS28" s="19"/>
      <c r="ANT28" s="19"/>
      <c r="ANU28" s="19"/>
      <c r="ANV28" s="19"/>
      <c r="ANW28" s="19"/>
      <c r="ANX28" s="19"/>
      <c r="ANY28" s="19"/>
      <c r="ANZ28" s="19"/>
      <c r="AOA28" s="19"/>
      <c r="AOB28" s="19"/>
      <c r="AOC28" s="19"/>
      <c r="AOD28" s="19"/>
      <c r="AOE28" s="19"/>
      <c r="AOF28" s="19"/>
      <c r="AOG28" s="19"/>
      <c r="AOH28" s="19"/>
      <c r="AOI28" s="19"/>
      <c r="AOJ28" s="19"/>
      <c r="AOK28" s="19"/>
      <c r="AOL28" s="19"/>
      <c r="AOM28" s="19"/>
      <c r="AON28" s="19"/>
      <c r="AOO28" s="19"/>
      <c r="AOP28" s="19"/>
      <c r="AOQ28" s="19"/>
      <c r="AOR28" s="19"/>
      <c r="AOS28" s="19"/>
      <c r="AOT28" s="19"/>
      <c r="AOU28" s="19"/>
      <c r="AOV28" s="19"/>
      <c r="AOW28" s="19"/>
      <c r="AOX28" s="19"/>
      <c r="AOY28" s="19"/>
      <c r="AOZ28" s="19"/>
      <c r="APA28" s="19"/>
      <c r="APB28" s="19"/>
      <c r="APC28" s="19"/>
      <c r="APD28" s="19"/>
      <c r="APE28" s="19"/>
      <c r="APF28" s="19"/>
      <c r="APG28" s="19"/>
      <c r="APH28" s="19"/>
      <c r="API28" s="19"/>
      <c r="APJ28" s="19"/>
      <c r="APK28" s="19"/>
      <c r="APL28" s="19"/>
      <c r="APM28" s="19"/>
      <c r="APN28" s="19"/>
      <c r="APO28" s="19"/>
      <c r="APP28" s="19"/>
      <c r="APQ28" s="19"/>
      <c r="APR28" s="19"/>
      <c r="APS28" s="19"/>
      <c r="APT28" s="19"/>
      <c r="APU28" s="19"/>
      <c r="APV28" s="19"/>
      <c r="APW28" s="19"/>
      <c r="APX28" s="19"/>
      <c r="APY28" s="19"/>
      <c r="APZ28" s="19"/>
      <c r="AQA28" s="19"/>
      <c r="AQB28" s="19"/>
      <c r="AQC28" s="19"/>
      <c r="AQD28" s="19"/>
      <c r="AQE28" s="19"/>
      <c r="AQF28" s="19"/>
      <c r="AQG28" s="19"/>
      <c r="AQH28" s="19"/>
      <c r="AQI28" s="19"/>
      <c r="AQJ28" s="19"/>
      <c r="AQK28" s="19"/>
      <c r="AQL28" s="19"/>
      <c r="AQM28" s="19"/>
      <c r="AQN28" s="19"/>
      <c r="AQO28" s="19"/>
      <c r="AQP28" s="19"/>
      <c r="AQQ28" s="19"/>
      <c r="AQR28" s="19"/>
      <c r="AQS28" s="19"/>
      <c r="AQT28" s="19"/>
      <c r="AQU28" s="19"/>
      <c r="AQV28" s="19"/>
      <c r="AQW28" s="19"/>
      <c r="AQX28" s="19"/>
      <c r="AQY28" s="19"/>
      <c r="AQZ28" s="19"/>
      <c r="ARA28" s="19"/>
      <c r="ARB28" s="19"/>
      <c r="ARC28" s="19"/>
      <c r="ARD28" s="19"/>
      <c r="ARE28" s="19"/>
      <c r="ARF28" s="19"/>
      <c r="ARG28" s="19"/>
      <c r="ARH28" s="19"/>
      <c r="ARI28" s="19"/>
      <c r="ARJ28" s="19"/>
      <c r="ARK28" s="19"/>
      <c r="ARL28" s="19"/>
      <c r="ARM28" s="19"/>
      <c r="ARN28" s="19"/>
      <c r="ARO28" s="19"/>
      <c r="ARP28" s="19"/>
      <c r="ARQ28" s="19"/>
      <c r="ARR28" s="19"/>
      <c r="ARS28" s="19"/>
      <c r="ART28" s="19"/>
      <c r="ARU28" s="19"/>
      <c r="ARV28" s="19"/>
      <c r="ARW28" s="19"/>
      <c r="ARX28" s="19"/>
      <c r="ARY28" s="19"/>
      <c r="ARZ28" s="19"/>
      <c r="ASA28" s="19"/>
      <c r="ASB28" s="19"/>
      <c r="ASC28" s="19"/>
      <c r="ASD28" s="19"/>
      <c r="ASE28" s="19"/>
      <c r="ASF28" s="19"/>
      <c r="ASG28" s="19"/>
      <c r="ASH28" s="19"/>
      <c r="ASI28" s="19"/>
      <c r="ASJ28" s="19"/>
      <c r="ASK28" s="19"/>
      <c r="ASL28" s="19"/>
      <c r="ASM28" s="19"/>
      <c r="ASN28" s="19"/>
      <c r="ASO28" s="19"/>
      <c r="ASP28" s="19"/>
      <c r="ASQ28" s="19"/>
      <c r="ASR28" s="19"/>
      <c r="ASS28" s="19"/>
      <c r="AST28" s="19"/>
      <c r="ASU28" s="19"/>
      <c r="ASV28" s="19"/>
      <c r="ASW28" s="19"/>
      <c r="ASX28" s="19"/>
      <c r="ASY28" s="19"/>
      <c r="ASZ28" s="19"/>
      <c r="ATA28" s="19"/>
      <c r="ATB28" s="19"/>
      <c r="ATC28" s="19"/>
      <c r="ATD28" s="19"/>
      <c r="ATE28" s="19"/>
      <c r="ATF28" s="19"/>
      <c r="ATG28" s="19"/>
      <c r="ATH28" s="19"/>
      <c r="ATI28" s="19"/>
      <c r="ATJ28" s="19"/>
      <c r="ATK28" s="19"/>
      <c r="ATL28" s="19"/>
      <c r="ATM28" s="19"/>
      <c r="ATN28" s="19"/>
      <c r="ATO28" s="19"/>
      <c r="ATP28" s="19"/>
      <c r="ATQ28" s="19"/>
      <c r="ATR28" s="19"/>
      <c r="ATS28" s="19"/>
      <c r="ATT28" s="19"/>
      <c r="ATU28" s="19"/>
      <c r="ATV28" s="19"/>
      <c r="ATW28" s="19"/>
      <c r="ATX28" s="19"/>
      <c r="ATY28" s="19"/>
      <c r="ATZ28" s="19"/>
      <c r="AUA28" s="19"/>
      <c r="AUB28" s="19"/>
      <c r="AUC28" s="19"/>
      <c r="AUD28" s="19"/>
      <c r="AUE28" s="19"/>
      <c r="AUF28" s="19"/>
      <c r="AUG28" s="19"/>
      <c r="AUH28" s="19"/>
      <c r="AUI28" s="19"/>
      <c r="AUJ28" s="19"/>
      <c r="AUK28" s="19"/>
      <c r="AUL28" s="19"/>
      <c r="AUM28" s="19"/>
      <c r="AUN28" s="19"/>
      <c r="AUO28" s="19"/>
      <c r="AUP28" s="19"/>
      <c r="AUQ28" s="19"/>
      <c r="AUR28" s="19"/>
      <c r="AUS28" s="19"/>
      <c r="AUT28" s="19"/>
      <c r="AUU28" s="19"/>
      <c r="AUV28" s="19"/>
      <c r="AUW28" s="19"/>
      <c r="AUX28" s="19"/>
      <c r="AUY28" s="19"/>
      <c r="AUZ28" s="19"/>
      <c r="AVA28" s="19"/>
      <c r="AVB28" s="19"/>
      <c r="AVC28" s="19"/>
      <c r="AVD28" s="19"/>
      <c r="AVE28" s="19"/>
      <c r="AVF28" s="19"/>
      <c r="AVG28" s="19"/>
      <c r="AVH28" s="19"/>
      <c r="AVI28" s="19"/>
      <c r="AVJ28" s="19"/>
      <c r="AVK28" s="19"/>
      <c r="AVL28" s="19"/>
      <c r="AVM28" s="19"/>
      <c r="AVN28" s="19"/>
      <c r="AVO28" s="19"/>
      <c r="AVP28" s="19"/>
      <c r="AVQ28" s="19"/>
      <c r="AVR28" s="19"/>
      <c r="AVS28" s="19"/>
      <c r="AVT28" s="19"/>
      <c r="AVU28" s="19"/>
      <c r="AVV28" s="19"/>
      <c r="AVW28" s="19"/>
      <c r="AVX28" s="19"/>
      <c r="AVY28" s="19"/>
      <c r="AVZ28" s="19"/>
      <c r="AWA28" s="19"/>
      <c r="AWB28" s="19"/>
      <c r="AWC28" s="19"/>
      <c r="AWD28" s="19"/>
      <c r="AWE28" s="19"/>
      <c r="AWF28" s="19"/>
      <c r="AWG28" s="19"/>
      <c r="AWH28" s="19"/>
      <c r="AWI28" s="19"/>
      <c r="AWJ28" s="19"/>
      <c r="AWK28" s="19"/>
      <c r="AWL28" s="19"/>
      <c r="AWM28" s="19"/>
      <c r="AWN28" s="19"/>
      <c r="AWO28" s="19"/>
      <c r="AWP28" s="19"/>
      <c r="AWQ28" s="19"/>
      <c r="AWR28" s="19"/>
      <c r="AWS28" s="19"/>
      <c r="AWT28" s="19"/>
      <c r="AWU28" s="19"/>
      <c r="AWV28" s="19"/>
      <c r="AWW28" s="19"/>
      <c r="AWX28" s="19"/>
      <c r="AWY28" s="19"/>
      <c r="AWZ28" s="19"/>
      <c r="AXA28" s="19"/>
      <c r="AXB28" s="19"/>
      <c r="AXC28" s="19"/>
      <c r="AXD28" s="19"/>
      <c r="AXE28" s="19"/>
      <c r="AXF28" s="19"/>
      <c r="AXG28" s="19"/>
      <c r="AXH28" s="19"/>
      <c r="AXI28" s="19"/>
      <c r="AXJ28" s="19"/>
      <c r="AXK28" s="19"/>
      <c r="AXL28" s="19"/>
      <c r="AXM28" s="19"/>
      <c r="AXN28" s="19"/>
      <c r="AXO28" s="19"/>
      <c r="AXP28" s="19"/>
      <c r="AXQ28" s="19"/>
      <c r="AXR28" s="19"/>
      <c r="AXS28" s="19"/>
      <c r="AXT28" s="19"/>
      <c r="AXU28" s="19"/>
      <c r="AXV28" s="19"/>
      <c r="AXW28" s="19"/>
      <c r="AXX28" s="19"/>
      <c r="AXY28" s="19"/>
      <c r="AXZ28" s="19"/>
      <c r="AYA28" s="19"/>
      <c r="AYB28" s="19"/>
      <c r="AYC28" s="19"/>
      <c r="AYD28" s="19"/>
      <c r="AYE28" s="19"/>
      <c r="AYF28" s="19"/>
      <c r="AYG28" s="19"/>
      <c r="AYH28" s="19"/>
      <c r="AYI28" s="19"/>
      <c r="AYJ28" s="19"/>
      <c r="AYK28" s="19"/>
      <c r="AYL28" s="19"/>
      <c r="AYM28" s="19"/>
      <c r="AYN28" s="19"/>
      <c r="AYO28" s="19"/>
      <c r="AYP28" s="19"/>
      <c r="AYQ28" s="19"/>
      <c r="AYR28" s="19"/>
      <c r="AYS28" s="19"/>
      <c r="AYT28" s="19"/>
      <c r="AYU28" s="19"/>
      <c r="AYV28" s="19"/>
      <c r="AYW28" s="19"/>
      <c r="AYX28" s="19"/>
      <c r="AYY28" s="19"/>
      <c r="AYZ28" s="19"/>
      <c r="AZA28" s="19"/>
      <c r="AZB28" s="19"/>
      <c r="AZC28" s="19"/>
      <c r="AZD28" s="19"/>
      <c r="AZE28" s="19"/>
      <c r="AZF28" s="19"/>
      <c r="AZG28" s="19"/>
      <c r="AZH28" s="19"/>
      <c r="AZI28" s="19"/>
      <c r="AZJ28" s="19"/>
      <c r="AZK28" s="19"/>
      <c r="AZL28" s="19"/>
      <c r="AZM28" s="19"/>
      <c r="AZN28" s="19"/>
      <c r="AZO28" s="19"/>
      <c r="AZP28" s="19"/>
      <c r="AZQ28" s="19"/>
      <c r="AZR28" s="19"/>
      <c r="AZS28" s="19"/>
      <c r="AZT28" s="19"/>
      <c r="AZU28" s="19"/>
      <c r="AZV28" s="19"/>
      <c r="AZW28" s="19"/>
      <c r="AZX28" s="19"/>
      <c r="AZY28" s="19"/>
      <c r="AZZ28" s="19"/>
      <c r="BAA28" s="19"/>
      <c r="BAB28" s="19"/>
      <c r="BAC28" s="19"/>
      <c r="BAD28" s="19"/>
      <c r="BAE28" s="19"/>
      <c r="BAF28" s="19"/>
      <c r="BAG28" s="19"/>
      <c r="BAH28" s="19"/>
      <c r="BAI28" s="19"/>
      <c r="BAJ28" s="19"/>
      <c r="BAK28" s="19"/>
      <c r="BAL28" s="19"/>
      <c r="BAM28" s="19"/>
      <c r="BAN28" s="19"/>
      <c r="BAO28" s="19"/>
      <c r="BAP28" s="19"/>
      <c r="BAQ28" s="19"/>
      <c r="BAR28" s="19"/>
      <c r="BAS28" s="19"/>
      <c r="BAT28" s="19"/>
      <c r="BAU28" s="19"/>
      <c r="BAV28" s="19"/>
      <c r="BAW28" s="19"/>
      <c r="BAX28" s="19"/>
      <c r="BAY28" s="19"/>
      <c r="BAZ28" s="19"/>
      <c r="BBA28" s="19"/>
      <c r="BBB28" s="19"/>
      <c r="BBC28" s="19"/>
      <c r="BBD28" s="19"/>
      <c r="BBE28" s="19"/>
      <c r="BBF28" s="19"/>
      <c r="BBG28" s="19"/>
      <c r="BBH28" s="19"/>
      <c r="BBI28" s="19"/>
      <c r="BBJ28" s="19"/>
      <c r="BBK28" s="19"/>
      <c r="BBL28" s="19"/>
      <c r="BBM28" s="19"/>
      <c r="BBN28" s="19"/>
      <c r="BBO28" s="19"/>
      <c r="BBP28" s="19"/>
      <c r="BBQ28" s="19"/>
      <c r="BBR28" s="19"/>
      <c r="BBS28" s="19"/>
      <c r="BBT28" s="19"/>
      <c r="BBU28" s="19"/>
      <c r="BBV28" s="19"/>
      <c r="BBW28" s="19"/>
      <c r="BBX28" s="19"/>
      <c r="BBY28" s="19"/>
      <c r="BBZ28" s="19"/>
      <c r="BCA28" s="19"/>
      <c r="BCB28" s="19"/>
      <c r="BCC28" s="19"/>
      <c r="BCD28" s="19"/>
      <c r="BCE28" s="19"/>
      <c r="BCF28" s="19"/>
      <c r="BCG28" s="19"/>
      <c r="BCH28" s="19"/>
      <c r="BCI28" s="19"/>
      <c r="BCJ28" s="19"/>
      <c r="BCK28" s="19"/>
      <c r="BCL28" s="19"/>
      <c r="BCM28" s="19"/>
      <c r="BCN28" s="19"/>
      <c r="BCO28" s="19"/>
      <c r="BCP28" s="19"/>
      <c r="BCQ28" s="19"/>
      <c r="BCR28" s="19"/>
      <c r="BCS28" s="19"/>
      <c r="BCT28" s="19"/>
      <c r="BCU28" s="19"/>
      <c r="BCV28" s="19"/>
      <c r="BCW28" s="19"/>
      <c r="BCX28" s="19"/>
      <c r="BCY28" s="19"/>
      <c r="BCZ28" s="19"/>
      <c r="BDA28" s="19"/>
      <c r="BDB28" s="19"/>
      <c r="BDC28" s="19"/>
      <c r="BDD28" s="19"/>
      <c r="BDE28" s="19"/>
      <c r="BDF28" s="19"/>
      <c r="BDG28" s="19"/>
      <c r="BDH28" s="19"/>
      <c r="BDI28" s="19"/>
      <c r="BDJ28" s="19"/>
      <c r="BDK28" s="19"/>
      <c r="BDL28" s="19"/>
      <c r="BDM28" s="19"/>
      <c r="BDN28" s="19"/>
      <c r="BDO28" s="19"/>
      <c r="BDP28" s="19"/>
      <c r="BDQ28" s="19"/>
      <c r="BDR28" s="19"/>
      <c r="BDS28" s="19"/>
      <c r="BDT28" s="19"/>
      <c r="BDU28" s="19"/>
      <c r="BDV28" s="19"/>
      <c r="BDW28" s="19"/>
      <c r="BDX28" s="19"/>
      <c r="BDY28" s="19"/>
      <c r="BDZ28" s="19"/>
      <c r="BEA28" s="19"/>
      <c r="BEB28" s="19"/>
      <c r="BEC28" s="19"/>
      <c r="BED28" s="19"/>
      <c r="BEE28" s="19"/>
      <c r="BEF28" s="19"/>
      <c r="BEG28" s="19"/>
      <c r="BEH28" s="19"/>
      <c r="BEI28" s="19"/>
      <c r="BEJ28" s="19"/>
      <c r="BEK28" s="19"/>
      <c r="BEL28" s="19"/>
      <c r="BEM28" s="19"/>
      <c r="BEN28" s="19"/>
      <c r="BEO28" s="19"/>
      <c r="BEP28" s="19"/>
      <c r="BEQ28" s="19"/>
      <c r="BER28" s="19"/>
      <c r="BES28" s="19"/>
      <c r="BET28" s="19"/>
      <c r="BEU28" s="19"/>
      <c r="BEV28" s="19"/>
      <c r="BEW28" s="19"/>
      <c r="BEX28" s="19"/>
      <c r="BEY28" s="19"/>
      <c r="BEZ28" s="19"/>
      <c r="BFA28" s="19"/>
      <c r="BFB28" s="19"/>
      <c r="BFC28" s="19"/>
      <c r="BFD28" s="19"/>
      <c r="BFE28" s="19"/>
      <c r="BFF28" s="19"/>
      <c r="BFG28" s="19"/>
      <c r="BFH28" s="19"/>
      <c r="BFI28" s="19"/>
      <c r="BFJ28" s="19"/>
      <c r="BFK28" s="19"/>
      <c r="BFL28" s="19"/>
      <c r="BFM28" s="19"/>
      <c r="BFN28" s="19"/>
      <c r="BFO28" s="19"/>
      <c r="BFP28" s="19"/>
      <c r="BFQ28" s="19"/>
      <c r="BFR28" s="19"/>
      <c r="BFS28" s="19"/>
      <c r="BFT28" s="19"/>
      <c r="BFU28" s="19"/>
      <c r="BFV28" s="19"/>
      <c r="BFW28" s="19"/>
      <c r="BFX28" s="19"/>
      <c r="BFY28" s="19"/>
      <c r="BFZ28" s="19"/>
      <c r="BGA28" s="19"/>
      <c r="BGB28" s="19"/>
      <c r="BGC28" s="19"/>
      <c r="BGD28" s="19"/>
      <c r="BGE28" s="19"/>
      <c r="BGF28" s="19"/>
      <c r="BGG28" s="19"/>
      <c r="BGH28" s="19"/>
      <c r="BGI28" s="19"/>
      <c r="BGJ28" s="19"/>
      <c r="BGK28" s="19"/>
      <c r="BGL28" s="19"/>
      <c r="BGM28" s="19"/>
      <c r="BGN28" s="19"/>
      <c r="BGO28" s="19"/>
      <c r="BGP28" s="19"/>
      <c r="BGQ28" s="19"/>
      <c r="BGR28" s="19"/>
      <c r="BGS28" s="19"/>
      <c r="BGT28" s="19"/>
      <c r="BGU28" s="19"/>
      <c r="BGV28" s="19"/>
      <c r="BGW28" s="19"/>
      <c r="BGX28" s="19"/>
      <c r="BGY28" s="19"/>
      <c r="BGZ28" s="19"/>
      <c r="BHA28" s="19"/>
      <c r="BHB28" s="19"/>
      <c r="BHC28" s="19"/>
      <c r="BHD28" s="19"/>
      <c r="BHE28" s="19"/>
      <c r="BHF28" s="19"/>
      <c r="BHG28" s="19"/>
      <c r="BHH28" s="19"/>
      <c r="BHI28" s="19"/>
      <c r="BHJ28" s="19"/>
      <c r="BHK28" s="19"/>
      <c r="BHL28" s="19"/>
      <c r="BHM28" s="19"/>
      <c r="BHN28" s="19"/>
      <c r="BHO28" s="19"/>
      <c r="BHP28" s="19"/>
      <c r="BHQ28" s="19"/>
      <c r="BHR28" s="19"/>
      <c r="BHS28" s="19"/>
      <c r="BHT28" s="19"/>
      <c r="BHU28" s="19"/>
      <c r="BHV28" s="19"/>
      <c r="BHW28" s="19"/>
      <c r="BHX28" s="19"/>
      <c r="BHY28" s="19"/>
      <c r="BHZ28" s="19"/>
      <c r="BIA28" s="19"/>
      <c r="BIB28" s="19"/>
      <c r="BIC28" s="19"/>
      <c r="BID28" s="19"/>
      <c r="BIE28" s="19"/>
      <c r="BIF28" s="19"/>
      <c r="BIG28" s="19"/>
      <c r="BIH28" s="19"/>
      <c r="BII28" s="19"/>
      <c r="BIJ28" s="19"/>
      <c r="BIK28" s="19"/>
      <c r="BIL28" s="19"/>
      <c r="BIM28" s="19"/>
      <c r="BIN28" s="19"/>
      <c r="BIO28" s="19"/>
      <c r="BIP28" s="19"/>
      <c r="BIQ28" s="19"/>
      <c r="BIR28" s="19"/>
      <c r="BIS28" s="19"/>
      <c r="BIT28" s="19"/>
      <c r="BIU28" s="19"/>
      <c r="BIV28" s="19"/>
      <c r="BIW28" s="19"/>
      <c r="BIX28" s="19"/>
      <c r="BIY28" s="19"/>
      <c r="BIZ28" s="19"/>
      <c r="BJA28" s="19"/>
      <c r="BJB28" s="19"/>
      <c r="BJC28" s="19"/>
      <c r="BJD28" s="19"/>
      <c r="BJE28" s="19"/>
      <c r="BJF28" s="19"/>
      <c r="BJG28" s="19"/>
      <c r="BJH28" s="19"/>
      <c r="BJI28" s="19"/>
      <c r="BJJ28" s="19"/>
      <c r="BJK28" s="19"/>
      <c r="BJL28" s="19"/>
      <c r="BJM28" s="19"/>
      <c r="BJN28" s="19"/>
      <c r="BJO28" s="19"/>
      <c r="BJP28" s="19"/>
      <c r="BJQ28" s="19"/>
      <c r="BJR28" s="19"/>
      <c r="BJS28" s="19"/>
      <c r="BJT28" s="19"/>
      <c r="BJU28" s="19"/>
      <c r="BJV28" s="19"/>
      <c r="BJW28" s="19"/>
      <c r="BJX28" s="19"/>
      <c r="BJY28" s="19"/>
      <c r="BJZ28" s="19"/>
      <c r="BKA28" s="19"/>
      <c r="BKB28" s="19"/>
      <c r="BKC28" s="19"/>
      <c r="BKD28" s="19"/>
      <c r="BKE28" s="19"/>
      <c r="BKF28" s="19"/>
      <c r="BKG28" s="19"/>
      <c r="BKH28" s="19"/>
      <c r="BKI28" s="19"/>
      <c r="BKJ28" s="19"/>
      <c r="BKK28" s="19"/>
      <c r="BKL28" s="19"/>
      <c r="BKM28" s="19"/>
      <c r="BKN28" s="19"/>
      <c r="BKO28" s="19"/>
      <c r="BKP28" s="19"/>
      <c r="BKQ28" s="19"/>
      <c r="BKR28" s="19"/>
      <c r="BKS28" s="19"/>
      <c r="BKT28" s="19"/>
      <c r="BKU28" s="19"/>
      <c r="BKV28" s="19"/>
      <c r="BKW28" s="19"/>
      <c r="BKX28" s="19"/>
      <c r="BKY28" s="19"/>
      <c r="BKZ28" s="19"/>
      <c r="BLA28" s="19"/>
      <c r="BLB28" s="19"/>
      <c r="BLC28" s="19"/>
      <c r="BLD28" s="19"/>
      <c r="BLE28" s="19"/>
      <c r="BLF28" s="19"/>
      <c r="BLG28" s="19"/>
      <c r="BLH28" s="19"/>
      <c r="BLI28" s="19"/>
      <c r="BLJ28" s="19"/>
      <c r="BLK28" s="19"/>
      <c r="BLL28" s="19"/>
      <c r="BLM28" s="19"/>
      <c r="BLN28" s="19"/>
      <c r="BLO28" s="19"/>
      <c r="BLP28" s="19"/>
      <c r="BLQ28" s="19"/>
      <c r="BLR28" s="19"/>
      <c r="BLS28" s="19"/>
      <c r="BLT28" s="19"/>
      <c r="BLU28" s="19"/>
      <c r="BLV28" s="19"/>
      <c r="BLW28" s="19"/>
      <c r="BLX28" s="19"/>
      <c r="BLY28" s="19"/>
      <c r="BLZ28" s="19"/>
      <c r="BMA28" s="19"/>
      <c r="BMB28" s="19"/>
      <c r="BMC28" s="19"/>
      <c r="BMD28" s="19"/>
      <c r="BME28" s="19"/>
      <c r="BMF28" s="19"/>
      <c r="BMG28" s="19"/>
      <c r="BMH28" s="19"/>
      <c r="BMI28" s="19"/>
      <c r="BMJ28" s="19"/>
      <c r="BMK28" s="19"/>
      <c r="BML28" s="19"/>
      <c r="BMM28" s="19"/>
      <c r="BMN28" s="19"/>
      <c r="BMO28" s="19"/>
      <c r="BMP28" s="19"/>
      <c r="BMQ28" s="19"/>
      <c r="BMR28" s="19"/>
      <c r="BMS28" s="19"/>
      <c r="BMT28" s="19"/>
      <c r="BMU28" s="19"/>
      <c r="BMV28" s="19"/>
      <c r="BMW28" s="19"/>
      <c r="BMX28" s="19"/>
      <c r="BMY28" s="19"/>
      <c r="BMZ28" s="19"/>
      <c r="BNA28" s="19"/>
      <c r="BNB28" s="19"/>
      <c r="BNC28" s="19"/>
      <c r="BND28" s="19"/>
      <c r="BNE28" s="19"/>
      <c r="BNF28" s="19"/>
      <c r="BNG28" s="19"/>
      <c r="BNH28" s="19"/>
      <c r="BNI28" s="19"/>
      <c r="BNJ28" s="19"/>
      <c r="BNK28" s="19"/>
      <c r="BNL28" s="19"/>
      <c r="BNM28" s="19"/>
      <c r="BNN28" s="19"/>
      <c r="BNO28" s="19"/>
      <c r="BNP28" s="19"/>
      <c r="BNQ28" s="19"/>
      <c r="BNR28" s="19"/>
      <c r="BNS28" s="19"/>
      <c r="BNT28" s="19"/>
      <c r="BNU28" s="19"/>
      <c r="BNV28" s="19"/>
      <c r="BNW28" s="19"/>
      <c r="BNX28" s="19"/>
      <c r="BNY28" s="19"/>
      <c r="BNZ28" s="19"/>
      <c r="BOA28" s="19"/>
      <c r="BOB28" s="19"/>
      <c r="BOC28" s="19"/>
      <c r="BOD28" s="19"/>
      <c r="BOE28" s="19"/>
      <c r="BOF28" s="19"/>
      <c r="BOG28" s="19"/>
      <c r="BOH28" s="19"/>
      <c r="BOI28" s="19"/>
      <c r="BOJ28" s="19"/>
      <c r="BOK28" s="19"/>
      <c r="BOL28" s="19"/>
      <c r="BOM28" s="19"/>
      <c r="BON28" s="19"/>
      <c r="BOO28" s="19"/>
      <c r="BOP28" s="19"/>
      <c r="BOQ28" s="19"/>
      <c r="BOR28" s="19"/>
      <c r="BOS28" s="19"/>
      <c r="BOT28" s="19"/>
      <c r="BOU28" s="19"/>
      <c r="BOV28" s="19"/>
      <c r="BOW28" s="19"/>
      <c r="BOX28" s="19"/>
      <c r="BOY28" s="19"/>
      <c r="BOZ28" s="19"/>
      <c r="BPA28" s="19"/>
      <c r="BPB28" s="19"/>
      <c r="BPC28" s="19"/>
      <c r="BPD28" s="19"/>
      <c r="BPE28" s="19"/>
      <c r="BPF28" s="19"/>
      <c r="BPG28" s="19"/>
      <c r="BPH28" s="19"/>
      <c r="BPI28" s="19"/>
      <c r="BPJ28" s="19"/>
      <c r="BPK28" s="19"/>
      <c r="BPL28" s="19"/>
      <c r="BPM28" s="19"/>
      <c r="BPN28" s="19"/>
      <c r="BPO28" s="19"/>
      <c r="BPP28" s="19"/>
      <c r="BPQ28" s="19"/>
      <c r="BPR28" s="19"/>
      <c r="BPS28" s="19"/>
      <c r="BPT28" s="19"/>
      <c r="BPU28" s="19"/>
      <c r="BPV28" s="19"/>
      <c r="BPW28" s="19"/>
      <c r="BPX28" s="19"/>
      <c r="BPY28" s="19"/>
      <c r="BPZ28" s="19"/>
      <c r="BQA28" s="19"/>
      <c r="BQB28" s="19"/>
      <c r="BQC28" s="19"/>
      <c r="BQD28" s="19"/>
      <c r="BQE28" s="19"/>
      <c r="BQF28" s="19"/>
      <c r="BQG28" s="19"/>
      <c r="BQH28" s="19"/>
      <c r="BQI28" s="19"/>
      <c r="BQJ28" s="19"/>
      <c r="BQK28" s="19"/>
      <c r="BQL28" s="19"/>
      <c r="BQM28" s="19"/>
      <c r="BQN28" s="19"/>
      <c r="BQO28" s="19"/>
      <c r="BQP28" s="19"/>
      <c r="BQQ28" s="19"/>
      <c r="BQR28" s="19"/>
      <c r="BQS28" s="19"/>
      <c r="BQT28" s="19"/>
      <c r="BQU28" s="19"/>
      <c r="BQV28" s="19"/>
      <c r="BQW28" s="19"/>
      <c r="BQX28" s="19"/>
      <c r="BQY28" s="19"/>
      <c r="BQZ28" s="19"/>
      <c r="BRA28" s="19"/>
      <c r="BRB28" s="19"/>
      <c r="BRC28" s="19"/>
      <c r="BRD28" s="19"/>
      <c r="BRE28" s="19"/>
      <c r="BRF28" s="19"/>
      <c r="BRG28" s="19"/>
      <c r="BRH28" s="19"/>
      <c r="BRI28" s="19"/>
      <c r="BRJ28" s="19"/>
      <c r="BRK28" s="19"/>
      <c r="BRL28" s="19"/>
      <c r="BRM28" s="19"/>
      <c r="BRN28" s="19"/>
      <c r="BRO28" s="19"/>
      <c r="BRP28" s="19"/>
      <c r="BRQ28" s="19"/>
      <c r="BRR28" s="19"/>
      <c r="BRS28" s="19"/>
      <c r="BRT28" s="19"/>
      <c r="BRU28" s="19"/>
      <c r="BRV28" s="19"/>
      <c r="BRW28" s="19"/>
      <c r="BRX28" s="19"/>
      <c r="BRY28" s="19"/>
      <c r="BRZ28" s="19"/>
      <c r="BSA28" s="19"/>
      <c r="BSB28" s="19"/>
      <c r="BSC28" s="19"/>
      <c r="BSD28" s="19"/>
      <c r="BSE28" s="19"/>
      <c r="BSF28" s="19"/>
      <c r="BSG28" s="19"/>
      <c r="BSH28" s="19"/>
      <c r="BSI28" s="19"/>
      <c r="BSJ28" s="19"/>
      <c r="BSK28" s="19"/>
      <c r="BSL28" s="19"/>
      <c r="BSM28" s="19"/>
      <c r="BSN28" s="19"/>
      <c r="BSO28" s="19"/>
      <c r="BSP28" s="19"/>
      <c r="BSQ28" s="19"/>
      <c r="BSR28" s="19"/>
      <c r="BSS28" s="19"/>
      <c r="BST28" s="19"/>
      <c r="BSU28" s="19"/>
      <c r="BSV28" s="19"/>
      <c r="BSW28" s="19"/>
      <c r="BSX28" s="19"/>
      <c r="BSY28" s="19"/>
      <c r="BSZ28" s="19"/>
      <c r="BTA28" s="19"/>
      <c r="BTB28" s="19"/>
      <c r="BTC28" s="19"/>
      <c r="BTD28" s="19"/>
      <c r="BTE28" s="19"/>
      <c r="BTF28" s="19"/>
      <c r="BTG28" s="19"/>
      <c r="BTH28" s="19"/>
      <c r="BTI28" s="19"/>
      <c r="BTJ28" s="19"/>
      <c r="BTK28" s="19"/>
      <c r="BTL28" s="19"/>
      <c r="BTM28" s="19"/>
      <c r="BTN28" s="19"/>
      <c r="BTO28" s="19"/>
      <c r="BTP28" s="19"/>
      <c r="BTQ28" s="19"/>
      <c r="BTR28" s="19"/>
      <c r="BTS28" s="19"/>
      <c r="BTT28" s="19"/>
      <c r="BTU28" s="19"/>
      <c r="BTV28" s="19"/>
      <c r="BTW28" s="19"/>
      <c r="BTX28" s="19"/>
      <c r="BTY28" s="19"/>
      <c r="BTZ28" s="19"/>
      <c r="BUA28" s="19"/>
      <c r="BUB28" s="19"/>
      <c r="BUC28" s="19"/>
      <c r="BUD28" s="19"/>
      <c r="BUE28" s="19"/>
      <c r="BUF28" s="19"/>
      <c r="BUG28" s="19"/>
      <c r="BUH28" s="19"/>
      <c r="BUI28" s="19"/>
      <c r="BUJ28" s="19"/>
      <c r="BUK28" s="19"/>
      <c r="BUL28" s="19"/>
      <c r="BUM28" s="19"/>
      <c r="BUN28" s="19"/>
      <c r="BUO28" s="19"/>
      <c r="BUP28" s="19"/>
      <c r="BUQ28" s="19"/>
      <c r="BUR28" s="19"/>
      <c r="BUS28" s="19"/>
      <c r="BUT28" s="19"/>
      <c r="BUU28" s="19"/>
      <c r="BUV28" s="19"/>
      <c r="BUW28" s="19"/>
      <c r="BUX28" s="19"/>
      <c r="BUY28" s="19"/>
      <c r="BUZ28" s="19"/>
      <c r="BVA28" s="19"/>
      <c r="BVB28" s="19"/>
      <c r="BVC28" s="19"/>
      <c r="BVD28" s="19"/>
      <c r="BVE28" s="19"/>
      <c r="BVF28" s="19"/>
      <c r="BVG28" s="19"/>
      <c r="BVH28" s="19"/>
      <c r="BVI28" s="19"/>
      <c r="BVJ28" s="19"/>
      <c r="BVK28" s="19"/>
      <c r="BVL28" s="19"/>
      <c r="BVM28" s="19"/>
      <c r="BVN28" s="19"/>
      <c r="BVO28" s="19"/>
      <c r="BVP28" s="19"/>
      <c r="BVQ28" s="19"/>
      <c r="BVR28" s="19"/>
      <c r="BVS28" s="19"/>
      <c r="BVT28" s="19"/>
      <c r="BVU28" s="19"/>
      <c r="BVV28" s="19"/>
      <c r="BVW28" s="19"/>
      <c r="BVX28" s="19"/>
      <c r="BVY28" s="19"/>
      <c r="BVZ28" s="19"/>
      <c r="BWA28" s="19"/>
      <c r="BWB28" s="19"/>
      <c r="BWC28" s="19"/>
      <c r="BWD28" s="19"/>
      <c r="BWE28" s="19"/>
      <c r="BWF28" s="19"/>
      <c r="BWG28" s="19"/>
      <c r="BWH28" s="19"/>
      <c r="BWI28" s="19"/>
      <c r="BWJ28" s="19"/>
      <c r="BWK28" s="19"/>
      <c r="BWL28" s="19"/>
      <c r="BWM28" s="19"/>
      <c r="BWN28" s="19"/>
      <c r="BWO28" s="19"/>
      <c r="BWP28" s="19"/>
      <c r="BWQ28" s="19"/>
      <c r="BWR28" s="19"/>
      <c r="BWS28" s="19"/>
      <c r="BWT28" s="19"/>
      <c r="BWU28" s="19"/>
      <c r="BWV28" s="19"/>
      <c r="BWW28" s="19"/>
      <c r="BWX28" s="19"/>
      <c r="BWY28" s="19"/>
      <c r="BWZ28" s="19"/>
      <c r="BXA28" s="19"/>
      <c r="BXB28" s="19"/>
      <c r="BXC28" s="19"/>
      <c r="BXD28" s="19"/>
      <c r="BXE28" s="19"/>
      <c r="BXF28" s="19"/>
      <c r="BXG28" s="19"/>
      <c r="BXH28" s="19"/>
      <c r="BXI28" s="19"/>
      <c r="BXJ28" s="19"/>
      <c r="BXK28" s="19"/>
      <c r="BXL28" s="19"/>
      <c r="BXM28" s="19"/>
      <c r="BXN28" s="19"/>
      <c r="BXO28" s="19"/>
      <c r="BXP28" s="19"/>
      <c r="BXQ28" s="19"/>
      <c r="BXR28" s="19"/>
      <c r="BXS28" s="19"/>
      <c r="BXT28" s="19"/>
      <c r="BXU28" s="19"/>
      <c r="BXV28" s="19"/>
      <c r="BXW28" s="19"/>
      <c r="BXX28" s="19"/>
      <c r="BXY28" s="19"/>
      <c r="BXZ28" s="19"/>
      <c r="BYA28" s="19"/>
      <c r="BYB28" s="19"/>
      <c r="BYC28" s="19"/>
      <c r="BYD28" s="19"/>
      <c r="BYE28" s="19"/>
      <c r="BYF28" s="19"/>
      <c r="BYG28" s="19"/>
      <c r="BYH28" s="19"/>
      <c r="BYI28" s="19"/>
      <c r="BYJ28" s="19"/>
      <c r="BYK28" s="19"/>
      <c r="BYL28" s="19"/>
      <c r="BYM28" s="19"/>
      <c r="BYN28" s="19"/>
      <c r="BYO28" s="19"/>
      <c r="BYP28" s="19"/>
      <c r="BYQ28" s="19"/>
      <c r="BYR28" s="19"/>
      <c r="BYS28" s="19"/>
      <c r="BYT28" s="19"/>
      <c r="BYU28" s="19"/>
      <c r="BYV28" s="19"/>
      <c r="BYW28" s="19"/>
      <c r="BYX28" s="19"/>
      <c r="BYY28" s="19"/>
      <c r="BYZ28" s="19"/>
      <c r="BZA28" s="19"/>
      <c r="BZB28" s="19"/>
      <c r="BZC28" s="19"/>
      <c r="BZD28" s="19"/>
      <c r="BZE28" s="19"/>
      <c r="BZF28" s="19"/>
      <c r="BZG28" s="19"/>
      <c r="BZH28" s="19"/>
      <c r="BZI28" s="19"/>
      <c r="BZJ28" s="19"/>
      <c r="BZK28" s="19"/>
      <c r="BZL28" s="19"/>
      <c r="BZM28" s="19"/>
      <c r="BZN28" s="19"/>
      <c r="BZO28" s="19"/>
      <c r="BZP28" s="19"/>
      <c r="BZQ28" s="19"/>
      <c r="BZR28" s="19"/>
      <c r="BZS28" s="19"/>
      <c r="BZT28" s="19"/>
      <c r="BZU28" s="19"/>
      <c r="BZV28" s="19"/>
      <c r="BZW28" s="19"/>
      <c r="BZX28" s="19"/>
      <c r="BZY28" s="19"/>
      <c r="BZZ28" s="19"/>
      <c r="CAA28" s="19"/>
      <c r="CAB28" s="19"/>
      <c r="CAC28" s="19"/>
      <c r="CAD28" s="19"/>
      <c r="CAE28" s="19"/>
      <c r="CAF28" s="19"/>
      <c r="CAG28" s="19"/>
      <c r="CAH28" s="19"/>
      <c r="CAI28" s="19"/>
      <c r="CAJ28" s="19"/>
      <c r="CAK28" s="19"/>
      <c r="CAL28" s="19"/>
      <c r="CAM28" s="19"/>
      <c r="CAN28" s="19"/>
      <c r="CAO28" s="19"/>
      <c r="CAP28" s="19"/>
      <c r="CAQ28" s="19"/>
      <c r="CAR28" s="19"/>
      <c r="CAS28" s="19"/>
      <c r="CAT28" s="19"/>
      <c r="CAU28" s="19"/>
      <c r="CAV28" s="19"/>
      <c r="CAW28" s="19"/>
      <c r="CAX28" s="19"/>
      <c r="CAY28" s="19"/>
      <c r="CAZ28" s="19"/>
      <c r="CBA28" s="19"/>
      <c r="CBB28" s="19"/>
      <c r="CBC28" s="19"/>
      <c r="CBD28" s="19"/>
      <c r="CBE28" s="19"/>
      <c r="CBF28" s="19"/>
      <c r="CBG28" s="19"/>
      <c r="CBH28" s="19"/>
      <c r="CBI28" s="19"/>
      <c r="CBJ28" s="19"/>
      <c r="CBK28" s="19"/>
      <c r="CBL28" s="19"/>
      <c r="CBM28" s="19"/>
      <c r="CBN28" s="19"/>
      <c r="CBO28" s="19"/>
      <c r="CBP28" s="19"/>
      <c r="CBQ28" s="19"/>
      <c r="CBR28" s="19"/>
      <c r="CBS28" s="19"/>
      <c r="CBT28" s="19"/>
      <c r="CBU28" s="19"/>
      <c r="CBV28" s="19"/>
      <c r="CBW28" s="19"/>
      <c r="CBX28" s="19"/>
      <c r="CBY28" s="19"/>
      <c r="CBZ28" s="19"/>
      <c r="CCA28" s="19"/>
      <c r="CCB28" s="19"/>
      <c r="CCC28" s="19"/>
      <c r="CCD28" s="19"/>
      <c r="CCE28" s="19"/>
      <c r="CCF28" s="19"/>
      <c r="CCG28" s="19"/>
      <c r="CCH28" s="19"/>
      <c r="CCI28" s="19"/>
      <c r="CCJ28" s="19"/>
      <c r="CCK28" s="19"/>
      <c r="CCL28" s="19"/>
      <c r="CCM28" s="19"/>
      <c r="CCN28" s="19"/>
      <c r="CCO28" s="19"/>
      <c r="CCP28" s="19"/>
      <c r="CCQ28" s="19"/>
      <c r="CCR28" s="19"/>
      <c r="CCS28" s="19"/>
      <c r="CCT28" s="19"/>
      <c r="CCU28" s="19"/>
      <c r="CCV28" s="19"/>
      <c r="CCW28" s="19"/>
      <c r="CCX28" s="19"/>
      <c r="CCY28" s="19"/>
      <c r="CCZ28" s="19"/>
      <c r="CDA28" s="19"/>
      <c r="CDB28" s="19"/>
      <c r="CDC28" s="19"/>
      <c r="CDD28" s="19"/>
      <c r="CDE28" s="19"/>
      <c r="CDF28" s="19"/>
      <c r="CDG28" s="19"/>
      <c r="CDH28" s="19"/>
      <c r="CDI28" s="19"/>
      <c r="CDJ28" s="19"/>
      <c r="CDK28" s="19"/>
      <c r="CDL28" s="19"/>
      <c r="CDM28" s="19"/>
      <c r="CDN28" s="19"/>
      <c r="CDO28" s="19"/>
      <c r="CDP28" s="19"/>
      <c r="CDQ28" s="19"/>
      <c r="CDR28" s="19"/>
      <c r="CDS28" s="19"/>
      <c r="CDT28" s="19"/>
      <c r="CDU28" s="19"/>
      <c r="CDV28" s="19"/>
      <c r="CDW28" s="19"/>
      <c r="CDX28" s="19"/>
      <c r="CDY28" s="19"/>
      <c r="CDZ28" s="19"/>
      <c r="CEA28" s="19"/>
      <c r="CEB28" s="19"/>
      <c r="CEC28" s="19"/>
      <c r="CED28" s="19"/>
      <c r="CEE28" s="19"/>
      <c r="CEF28" s="19"/>
      <c r="CEG28" s="19"/>
      <c r="CEH28" s="19"/>
      <c r="CEI28" s="19"/>
      <c r="CEJ28" s="19"/>
      <c r="CEK28" s="19"/>
      <c r="CEL28" s="19"/>
      <c r="CEM28" s="19"/>
      <c r="CEN28" s="19"/>
      <c r="CEO28" s="19"/>
      <c r="CEP28" s="19"/>
      <c r="CEQ28" s="19"/>
      <c r="CER28" s="19"/>
      <c r="CES28" s="19"/>
      <c r="CET28" s="19"/>
      <c r="CEU28" s="19"/>
      <c r="CEV28" s="19"/>
      <c r="CEW28" s="19"/>
      <c r="CEX28" s="19"/>
      <c r="CEY28" s="19"/>
      <c r="CEZ28" s="19"/>
      <c r="CFA28" s="19"/>
      <c r="CFB28" s="19"/>
      <c r="CFC28" s="19"/>
      <c r="CFD28" s="19"/>
      <c r="CFE28" s="19"/>
      <c r="CFF28" s="19"/>
      <c r="CFG28" s="19"/>
      <c r="CFH28" s="19"/>
      <c r="CFI28" s="19"/>
      <c r="CFJ28" s="19"/>
      <c r="CFK28" s="19"/>
      <c r="CFL28" s="19"/>
      <c r="CFM28" s="19"/>
      <c r="CFN28" s="19"/>
      <c r="CFO28" s="19"/>
      <c r="CFP28" s="19"/>
      <c r="CFQ28" s="19"/>
      <c r="CFR28" s="19"/>
      <c r="CFS28" s="19"/>
      <c r="CFT28" s="19"/>
      <c r="CFU28" s="19"/>
      <c r="CFV28" s="19"/>
      <c r="CFW28" s="19"/>
      <c r="CFX28" s="19"/>
      <c r="CFY28" s="19"/>
      <c r="CFZ28" s="19"/>
      <c r="CGA28" s="19"/>
      <c r="CGB28" s="19"/>
      <c r="CGC28" s="19"/>
      <c r="CGD28" s="19"/>
      <c r="CGE28" s="19"/>
      <c r="CGF28" s="19"/>
      <c r="CGG28" s="19"/>
      <c r="CGH28" s="19"/>
      <c r="CGI28" s="19"/>
      <c r="CGJ28" s="19"/>
      <c r="CGK28" s="19"/>
      <c r="CGL28" s="19"/>
      <c r="CGM28" s="19"/>
      <c r="CGN28" s="19"/>
      <c r="CGO28" s="19"/>
      <c r="CGP28" s="19"/>
      <c r="CGQ28" s="19"/>
      <c r="CGR28" s="19"/>
      <c r="CGS28" s="19"/>
      <c r="CGT28" s="19"/>
      <c r="CGU28" s="19"/>
      <c r="CGV28" s="19"/>
      <c r="CGW28" s="19"/>
      <c r="CGX28" s="19"/>
      <c r="CGY28" s="19"/>
      <c r="CGZ28" s="19"/>
      <c r="CHA28" s="19"/>
      <c r="CHB28" s="19"/>
      <c r="CHC28" s="19"/>
      <c r="CHD28" s="19"/>
      <c r="CHE28" s="19"/>
      <c r="CHF28" s="19"/>
      <c r="CHG28" s="19"/>
      <c r="CHH28" s="19"/>
      <c r="CHI28" s="19"/>
      <c r="CHJ28" s="19"/>
      <c r="CHK28" s="19"/>
      <c r="CHL28" s="19"/>
      <c r="CHM28" s="19"/>
      <c r="CHN28" s="19"/>
      <c r="CHO28" s="19"/>
      <c r="CHP28" s="19"/>
      <c r="CHQ28" s="19"/>
      <c r="CHR28" s="19"/>
      <c r="CHS28" s="19"/>
      <c r="CHT28" s="19"/>
      <c r="CHU28" s="19"/>
      <c r="CHV28" s="19"/>
      <c r="CHW28" s="19"/>
      <c r="CHX28" s="19"/>
      <c r="CHY28" s="19"/>
      <c r="CHZ28" s="19"/>
      <c r="CIA28" s="19"/>
      <c r="CIB28" s="19"/>
      <c r="CIC28" s="19"/>
      <c r="CID28" s="19"/>
      <c r="CIE28" s="19"/>
      <c r="CIF28" s="19"/>
      <c r="CIG28" s="19"/>
      <c r="CIH28" s="19"/>
      <c r="CII28" s="19"/>
      <c r="CIJ28" s="19"/>
      <c r="CIK28" s="19"/>
      <c r="CIL28" s="19"/>
      <c r="CIM28" s="19"/>
      <c r="CIN28" s="19"/>
      <c r="CIO28" s="19"/>
      <c r="CIP28" s="19"/>
      <c r="CIQ28" s="19"/>
      <c r="CIR28" s="19"/>
      <c r="CIS28" s="19"/>
      <c r="CIT28" s="19"/>
      <c r="CIU28" s="19"/>
      <c r="CIV28" s="19"/>
      <c r="CIW28" s="19"/>
      <c r="CIX28" s="19"/>
      <c r="CIY28" s="19"/>
      <c r="CIZ28" s="19"/>
      <c r="CJA28" s="19"/>
      <c r="CJB28" s="19"/>
      <c r="CJC28" s="19"/>
      <c r="CJD28" s="19"/>
      <c r="CJE28" s="19"/>
      <c r="CJF28" s="19"/>
      <c r="CJG28" s="19"/>
      <c r="CJH28" s="19"/>
      <c r="CJI28" s="19"/>
      <c r="CJJ28" s="19"/>
      <c r="CJK28" s="19"/>
      <c r="CJL28" s="19"/>
      <c r="CJM28" s="19"/>
      <c r="CJN28" s="19"/>
      <c r="CJO28" s="19"/>
      <c r="CJP28" s="19"/>
      <c r="CJQ28" s="19"/>
      <c r="CJR28" s="19"/>
      <c r="CJS28" s="19"/>
      <c r="CJT28" s="19"/>
      <c r="CJU28" s="19"/>
      <c r="CJV28" s="19"/>
      <c r="CJW28" s="19"/>
      <c r="CJX28" s="19"/>
      <c r="CJY28" s="19"/>
      <c r="CJZ28" s="19"/>
      <c r="CKA28" s="19"/>
      <c r="CKB28" s="19"/>
      <c r="CKC28" s="19"/>
      <c r="CKD28" s="19"/>
      <c r="CKE28" s="19"/>
      <c r="CKF28" s="19"/>
      <c r="CKG28" s="19"/>
      <c r="CKH28" s="19"/>
      <c r="CKI28" s="19"/>
      <c r="CKJ28" s="19"/>
      <c r="CKK28" s="19"/>
      <c r="CKL28" s="19"/>
      <c r="CKM28" s="19"/>
      <c r="CKN28" s="19"/>
      <c r="CKO28" s="19"/>
      <c r="CKP28" s="19"/>
      <c r="CKQ28" s="19"/>
      <c r="CKR28" s="19"/>
      <c r="CKS28" s="19"/>
      <c r="CKT28" s="19"/>
      <c r="CKU28" s="19"/>
      <c r="CKV28" s="19"/>
      <c r="CKW28" s="19"/>
      <c r="CKX28" s="19"/>
      <c r="CKY28" s="19"/>
      <c r="CKZ28" s="19"/>
      <c r="CLA28" s="19"/>
      <c r="CLB28" s="19"/>
      <c r="CLC28" s="19"/>
      <c r="CLD28" s="19"/>
      <c r="CLE28" s="19"/>
      <c r="CLF28" s="19"/>
      <c r="CLG28" s="19"/>
      <c r="CLH28" s="19"/>
      <c r="CLI28" s="19"/>
      <c r="CLJ28" s="19"/>
      <c r="CLK28" s="19"/>
      <c r="CLL28" s="19"/>
      <c r="CLM28" s="19"/>
      <c r="CLN28" s="19"/>
      <c r="CLO28" s="19"/>
      <c r="CLP28" s="19"/>
      <c r="CLQ28" s="19"/>
      <c r="CLR28" s="19"/>
      <c r="CLS28" s="19"/>
      <c r="CLT28" s="19"/>
      <c r="CLU28" s="19"/>
      <c r="CLV28" s="19"/>
      <c r="CLW28" s="19"/>
      <c r="CLX28" s="19"/>
      <c r="CLY28" s="19"/>
      <c r="CLZ28" s="19"/>
      <c r="CMA28" s="19"/>
      <c r="CMB28" s="19"/>
      <c r="CMC28" s="19"/>
      <c r="CMD28" s="19"/>
      <c r="CME28" s="19"/>
      <c r="CMF28" s="19"/>
      <c r="CMG28" s="19"/>
      <c r="CMH28" s="19"/>
      <c r="CMI28" s="19"/>
      <c r="CMJ28" s="19"/>
      <c r="CMK28" s="19"/>
      <c r="CML28" s="19"/>
      <c r="CMM28" s="19"/>
      <c r="CMN28" s="19"/>
      <c r="CMO28" s="19"/>
      <c r="CMP28" s="19"/>
      <c r="CMQ28" s="19"/>
      <c r="CMR28" s="19"/>
      <c r="CMS28" s="19"/>
      <c r="CMT28" s="19"/>
      <c r="CMU28" s="19"/>
      <c r="CMV28" s="19"/>
      <c r="CMW28" s="19"/>
      <c r="CMX28" s="19"/>
      <c r="CMY28" s="19"/>
      <c r="CMZ28" s="19"/>
      <c r="CNA28" s="19"/>
      <c r="CNB28" s="19"/>
      <c r="CNC28" s="19"/>
      <c r="CND28" s="19"/>
      <c r="CNE28" s="19"/>
      <c r="CNF28" s="19"/>
      <c r="CNG28" s="19"/>
      <c r="CNH28" s="19"/>
      <c r="CNI28" s="19"/>
      <c r="CNJ28" s="19"/>
      <c r="CNK28" s="19"/>
      <c r="CNL28" s="19"/>
      <c r="CNM28" s="19"/>
      <c r="CNN28" s="19"/>
      <c r="CNO28" s="19"/>
      <c r="CNP28" s="19"/>
      <c r="CNQ28" s="19"/>
      <c r="CNR28" s="19"/>
      <c r="CNS28" s="19"/>
      <c r="CNT28" s="19"/>
      <c r="CNU28" s="19"/>
      <c r="CNV28" s="19"/>
      <c r="CNW28" s="19"/>
      <c r="CNX28" s="19"/>
      <c r="CNY28" s="19"/>
      <c r="CNZ28" s="19"/>
      <c r="COA28" s="19"/>
      <c r="COB28" s="19"/>
      <c r="COC28" s="19"/>
      <c r="COD28" s="19"/>
      <c r="COE28" s="19"/>
      <c r="COF28" s="19"/>
      <c r="COG28" s="19"/>
      <c r="COH28" s="19"/>
      <c r="COI28" s="19"/>
      <c r="COJ28" s="19"/>
      <c r="COK28" s="19"/>
      <c r="COL28" s="19"/>
      <c r="COM28" s="19"/>
      <c r="CON28" s="19"/>
      <c r="COO28" s="19"/>
      <c r="COP28" s="19"/>
      <c r="COQ28" s="19"/>
      <c r="COR28" s="19"/>
      <c r="COS28" s="19"/>
      <c r="COT28" s="19"/>
      <c r="COU28" s="19"/>
      <c r="COV28" s="19"/>
      <c r="COW28" s="19"/>
      <c r="COX28" s="19"/>
      <c r="COY28" s="19"/>
      <c r="COZ28" s="19"/>
      <c r="CPA28" s="19"/>
      <c r="CPB28" s="19"/>
      <c r="CPC28" s="19"/>
      <c r="CPD28" s="19"/>
      <c r="CPE28" s="19"/>
      <c r="CPF28" s="19"/>
      <c r="CPG28" s="19"/>
      <c r="CPH28" s="19"/>
      <c r="CPI28" s="19"/>
      <c r="CPJ28" s="19"/>
      <c r="CPK28" s="19"/>
      <c r="CPL28" s="19"/>
      <c r="CPM28" s="19"/>
      <c r="CPN28" s="19"/>
      <c r="CPO28" s="19"/>
      <c r="CPP28" s="19"/>
      <c r="CPQ28" s="19"/>
      <c r="CPR28" s="19"/>
      <c r="CPS28" s="19"/>
      <c r="CPT28" s="19"/>
      <c r="CPU28" s="19"/>
      <c r="CPV28" s="19"/>
      <c r="CPW28" s="19"/>
      <c r="CPX28" s="19"/>
      <c r="CPY28" s="19"/>
      <c r="CPZ28" s="19"/>
      <c r="CQA28" s="19"/>
      <c r="CQB28" s="19"/>
      <c r="CQC28" s="19"/>
      <c r="CQD28" s="19"/>
      <c r="CQE28" s="19"/>
      <c r="CQF28" s="19"/>
      <c r="CQG28" s="19"/>
      <c r="CQH28" s="19"/>
      <c r="CQI28" s="19"/>
      <c r="CQJ28" s="19"/>
      <c r="CQK28" s="19"/>
      <c r="CQL28" s="19"/>
      <c r="CQM28" s="19"/>
      <c r="CQN28" s="19"/>
      <c r="CQO28" s="19"/>
      <c r="CQP28" s="19"/>
      <c r="CQQ28" s="19"/>
      <c r="CQR28" s="19"/>
      <c r="CQS28" s="19"/>
      <c r="CQT28" s="19"/>
      <c r="CQU28" s="19"/>
      <c r="CQV28" s="19"/>
      <c r="CQW28" s="19"/>
      <c r="CQX28" s="19"/>
      <c r="CQY28" s="19"/>
      <c r="CQZ28" s="19"/>
      <c r="CRA28" s="19"/>
      <c r="CRB28" s="19"/>
      <c r="CRC28" s="19"/>
      <c r="CRD28" s="19"/>
      <c r="CRE28" s="19"/>
      <c r="CRF28" s="19"/>
      <c r="CRG28" s="19"/>
      <c r="CRH28" s="19"/>
      <c r="CRI28" s="19"/>
      <c r="CRJ28" s="19"/>
      <c r="CRK28" s="19"/>
      <c r="CRL28" s="19"/>
      <c r="CRM28" s="19"/>
      <c r="CRN28" s="19"/>
      <c r="CRO28" s="19"/>
      <c r="CRP28" s="19"/>
      <c r="CRQ28" s="19"/>
      <c r="CRR28" s="19"/>
      <c r="CRS28" s="19"/>
      <c r="CRT28" s="19"/>
      <c r="CRU28" s="19"/>
      <c r="CRV28" s="19"/>
      <c r="CRW28" s="19"/>
      <c r="CRX28" s="19"/>
      <c r="CRY28" s="19"/>
      <c r="CRZ28" s="19"/>
      <c r="CSA28" s="19"/>
      <c r="CSB28" s="19"/>
      <c r="CSC28" s="19"/>
      <c r="CSD28" s="19"/>
      <c r="CSE28" s="19"/>
      <c r="CSF28" s="19"/>
      <c r="CSG28" s="19"/>
      <c r="CSH28" s="19"/>
      <c r="CSI28" s="19"/>
      <c r="CSJ28" s="19"/>
      <c r="CSK28" s="19"/>
      <c r="CSL28" s="19"/>
      <c r="CSM28" s="19"/>
      <c r="CSN28" s="19"/>
      <c r="CSO28" s="19"/>
      <c r="CSP28" s="19"/>
      <c r="CSQ28" s="19"/>
      <c r="CSR28" s="19"/>
      <c r="CSS28" s="19"/>
      <c r="CST28" s="19"/>
      <c r="CSU28" s="19"/>
      <c r="CSV28" s="19"/>
      <c r="CSW28" s="19"/>
      <c r="CSX28" s="19"/>
      <c r="CSY28" s="19"/>
      <c r="CSZ28" s="19"/>
      <c r="CTA28" s="19"/>
      <c r="CTB28" s="19"/>
      <c r="CTC28" s="19"/>
      <c r="CTD28" s="19"/>
      <c r="CTE28" s="19"/>
      <c r="CTF28" s="19"/>
      <c r="CTG28" s="19"/>
      <c r="CTH28" s="19"/>
      <c r="CTI28" s="19"/>
      <c r="CTJ28" s="19"/>
      <c r="CTK28" s="19"/>
      <c r="CTL28" s="19"/>
      <c r="CTM28" s="19"/>
      <c r="CTN28" s="19"/>
      <c r="CTO28" s="19"/>
      <c r="CTP28" s="19"/>
      <c r="CTQ28" s="19"/>
      <c r="CTR28" s="19"/>
      <c r="CTS28" s="19"/>
      <c r="CTT28" s="19"/>
      <c r="CTU28" s="19"/>
      <c r="CTV28" s="19"/>
      <c r="CTW28" s="19"/>
      <c r="CTX28" s="19"/>
      <c r="CTY28" s="19"/>
      <c r="CTZ28" s="19"/>
      <c r="CUA28" s="19"/>
      <c r="CUB28" s="19"/>
      <c r="CUC28" s="19"/>
      <c r="CUD28" s="19"/>
      <c r="CUE28" s="19"/>
      <c r="CUF28" s="19"/>
      <c r="CUG28" s="19"/>
      <c r="CUH28" s="19"/>
      <c r="CUI28" s="19"/>
      <c r="CUJ28" s="19"/>
      <c r="CUK28" s="19"/>
      <c r="CUL28" s="19"/>
      <c r="CUM28" s="19"/>
      <c r="CUN28" s="19"/>
      <c r="CUO28" s="19"/>
      <c r="CUP28" s="19"/>
      <c r="CUQ28" s="19"/>
      <c r="CUR28" s="19"/>
      <c r="CUS28" s="19"/>
      <c r="CUT28" s="19"/>
      <c r="CUU28" s="19"/>
      <c r="CUV28" s="19"/>
      <c r="CUW28" s="19"/>
      <c r="CUX28" s="19"/>
      <c r="CUY28" s="19"/>
      <c r="CUZ28" s="19"/>
      <c r="CVA28" s="19"/>
      <c r="CVB28" s="19"/>
      <c r="CVC28" s="19"/>
      <c r="CVD28" s="19"/>
      <c r="CVE28" s="19"/>
      <c r="CVF28" s="19"/>
      <c r="CVG28" s="19"/>
      <c r="CVH28" s="19"/>
      <c r="CVI28" s="19"/>
      <c r="CVJ28" s="19"/>
      <c r="CVK28" s="19"/>
      <c r="CVL28" s="19"/>
      <c r="CVM28" s="19"/>
      <c r="CVN28" s="19"/>
      <c r="CVO28" s="19"/>
      <c r="CVP28" s="19"/>
      <c r="CVQ28" s="19"/>
      <c r="CVR28" s="19"/>
      <c r="CVS28" s="19"/>
      <c r="CVT28" s="19"/>
      <c r="CVU28" s="19"/>
      <c r="CVV28" s="19"/>
      <c r="CVW28" s="19"/>
      <c r="CVX28" s="19"/>
      <c r="CVY28" s="19"/>
      <c r="CVZ28" s="19"/>
      <c r="CWA28" s="19"/>
      <c r="CWB28" s="19"/>
      <c r="CWC28" s="19"/>
      <c r="CWD28" s="19"/>
      <c r="CWE28" s="19"/>
      <c r="CWF28" s="19"/>
      <c r="CWG28" s="19"/>
      <c r="CWH28" s="19"/>
      <c r="CWI28" s="19"/>
      <c r="CWJ28" s="19"/>
      <c r="CWK28" s="19"/>
      <c r="CWL28" s="19"/>
      <c r="CWM28" s="19"/>
      <c r="CWN28" s="19"/>
      <c r="CWO28" s="19"/>
      <c r="CWP28" s="19"/>
      <c r="CWQ28" s="19"/>
      <c r="CWR28" s="19"/>
      <c r="CWS28" s="19"/>
      <c r="CWT28" s="19"/>
      <c r="CWU28" s="19"/>
      <c r="CWV28" s="19"/>
      <c r="CWW28" s="19"/>
      <c r="CWX28" s="19"/>
      <c r="CWY28" s="19"/>
      <c r="CWZ28" s="19"/>
      <c r="CXA28" s="19"/>
      <c r="CXB28" s="19"/>
      <c r="CXC28" s="19"/>
      <c r="CXD28" s="19"/>
      <c r="CXE28" s="19"/>
      <c r="CXF28" s="19"/>
      <c r="CXG28" s="19"/>
      <c r="CXH28" s="19"/>
      <c r="CXI28" s="19"/>
      <c r="CXJ28" s="19"/>
      <c r="CXK28" s="19"/>
      <c r="CXL28" s="19"/>
      <c r="CXM28" s="19"/>
      <c r="CXN28" s="19"/>
      <c r="CXO28" s="19"/>
      <c r="CXP28" s="19"/>
      <c r="CXQ28" s="19"/>
      <c r="CXR28" s="19"/>
      <c r="CXS28" s="19"/>
      <c r="CXT28" s="19"/>
      <c r="CXU28" s="19"/>
      <c r="CXV28" s="19"/>
      <c r="CXW28" s="19"/>
      <c r="CXX28" s="19"/>
      <c r="CXY28" s="19"/>
      <c r="CXZ28" s="19"/>
      <c r="CYA28" s="19"/>
      <c r="CYB28" s="19"/>
      <c r="CYC28" s="19"/>
      <c r="CYD28" s="19"/>
      <c r="CYE28" s="19"/>
      <c r="CYF28" s="19"/>
      <c r="CYG28" s="19"/>
      <c r="CYH28" s="19"/>
      <c r="CYI28" s="19"/>
      <c r="CYJ28" s="19"/>
      <c r="CYK28" s="19"/>
      <c r="CYL28" s="19"/>
      <c r="CYM28" s="19"/>
      <c r="CYN28" s="19"/>
      <c r="CYO28" s="19"/>
      <c r="CYP28" s="19"/>
      <c r="CYQ28" s="19"/>
      <c r="CYR28" s="19"/>
      <c r="CYS28" s="19"/>
      <c r="CYT28" s="19"/>
      <c r="CYU28" s="19"/>
      <c r="CYV28" s="19"/>
      <c r="CYW28" s="19"/>
      <c r="CYX28" s="19"/>
      <c r="CYY28" s="19"/>
      <c r="CYZ28" s="19"/>
      <c r="CZA28" s="19"/>
      <c r="CZB28" s="19"/>
      <c r="CZC28" s="19"/>
      <c r="CZD28" s="19"/>
      <c r="CZE28" s="19"/>
      <c r="CZF28" s="19"/>
      <c r="CZG28" s="19"/>
      <c r="CZH28" s="19"/>
      <c r="CZI28" s="19"/>
      <c r="CZJ28" s="19"/>
      <c r="CZK28" s="19"/>
      <c r="CZL28" s="19"/>
      <c r="CZM28" s="19"/>
      <c r="CZN28" s="19"/>
      <c r="CZO28" s="19"/>
      <c r="CZP28" s="19"/>
      <c r="CZQ28" s="19"/>
      <c r="CZR28" s="19"/>
      <c r="CZS28" s="19"/>
      <c r="CZT28" s="19"/>
      <c r="CZU28" s="19"/>
      <c r="CZV28" s="19"/>
      <c r="CZW28" s="19"/>
      <c r="CZX28" s="19"/>
      <c r="CZY28" s="19"/>
      <c r="CZZ28" s="19"/>
      <c r="DAA28" s="19"/>
      <c r="DAB28" s="19"/>
      <c r="DAC28" s="19"/>
      <c r="DAD28" s="19"/>
      <c r="DAE28" s="19"/>
      <c r="DAF28" s="19"/>
      <c r="DAG28" s="19"/>
      <c r="DAH28" s="19"/>
      <c r="DAI28" s="19"/>
      <c r="DAJ28" s="19"/>
      <c r="DAK28" s="19"/>
      <c r="DAL28" s="19"/>
      <c r="DAM28" s="19"/>
      <c r="DAN28" s="19"/>
      <c r="DAO28" s="19"/>
      <c r="DAP28" s="19"/>
      <c r="DAQ28" s="19"/>
      <c r="DAR28" s="19"/>
      <c r="DAS28" s="19"/>
      <c r="DAT28" s="19"/>
      <c r="DAU28" s="19"/>
      <c r="DAV28" s="19"/>
      <c r="DAW28" s="19"/>
      <c r="DAX28" s="19"/>
      <c r="DAY28" s="19"/>
      <c r="DAZ28" s="19"/>
      <c r="DBA28" s="19"/>
      <c r="DBB28" s="19"/>
      <c r="DBC28" s="19"/>
      <c r="DBD28" s="19"/>
      <c r="DBE28" s="19"/>
      <c r="DBF28" s="19"/>
      <c r="DBG28" s="19"/>
      <c r="DBH28" s="19"/>
      <c r="DBI28" s="19"/>
      <c r="DBJ28" s="19"/>
      <c r="DBK28" s="19"/>
      <c r="DBL28" s="19"/>
      <c r="DBM28" s="19"/>
      <c r="DBN28" s="19"/>
      <c r="DBO28" s="19"/>
      <c r="DBP28" s="19"/>
      <c r="DBQ28" s="19"/>
      <c r="DBR28" s="19"/>
      <c r="DBS28" s="19"/>
      <c r="DBT28" s="19"/>
      <c r="DBU28" s="19"/>
      <c r="DBV28" s="19"/>
      <c r="DBW28" s="19"/>
      <c r="DBX28" s="19"/>
      <c r="DBY28" s="19"/>
      <c r="DBZ28" s="19"/>
      <c r="DCA28" s="19"/>
      <c r="DCB28" s="19"/>
      <c r="DCC28" s="19"/>
      <c r="DCD28" s="19"/>
      <c r="DCE28" s="19"/>
      <c r="DCF28" s="19"/>
      <c r="DCG28" s="19"/>
      <c r="DCH28" s="19"/>
      <c r="DCI28" s="19"/>
      <c r="DCJ28" s="19"/>
      <c r="DCK28" s="19"/>
      <c r="DCL28" s="19"/>
      <c r="DCM28" s="19"/>
      <c r="DCN28" s="19"/>
      <c r="DCO28" s="19"/>
      <c r="DCP28" s="19"/>
      <c r="DCQ28" s="19"/>
      <c r="DCR28" s="19"/>
      <c r="DCS28" s="19"/>
      <c r="DCT28" s="19"/>
      <c r="DCU28" s="19"/>
      <c r="DCV28" s="19"/>
      <c r="DCW28" s="19"/>
      <c r="DCX28" s="19"/>
      <c r="DCY28" s="19"/>
      <c r="DCZ28" s="19"/>
      <c r="DDA28" s="19"/>
      <c r="DDB28" s="19"/>
      <c r="DDC28" s="19"/>
      <c r="DDD28" s="19"/>
      <c r="DDE28" s="19"/>
      <c r="DDF28" s="19"/>
      <c r="DDG28" s="19"/>
      <c r="DDH28" s="19"/>
      <c r="DDI28" s="19"/>
      <c r="DDJ28" s="19"/>
      <c r="DDK28" s="19"/>
      <c r="DDL28" s="19"/>
      <c r="DDM28" s="19"/>
      <c r="DDN28" s="19"/>
      <c r="DDO28" s="19"/>
      <c r="DDP28" s="19"/>
      <c r="DDQ28" s="19"/>
      <c r="DDR28" s="19"/>
      <c r="DDS28" s="19"/>
      <c r="DDT28" s="19"/>
      <c r="DDU28" s="19"/>
      <c r="DDV28" s="19"/>
      <c r="DDW28" s="19"/>
      <c r="DDX28" s="19"/>
      <c r="DDY28" s="19"/>
      <c r="DDZ28" s="19"/>
      <c r="DEA28" s="19"/>
      <c r="DEB28" s="19"/>
      <c r="DEC28" s="19"/>
      <c r="DED28" s="19"/>
      <c r="DEE28" s="19"/>
      <c r="DEF28" s="19"/>
      <c r="DEG28" s="19"/>
      <c r="DEH28" s="19"/>
      <c r="DEI28" s="19"/>
      <c r="DEJ28" s="19"/>
      <c r="DEK28" s="19"/>
      <c r="DEL28" s="19"/>
      <c r="DEM28" s="19"/>
      <c r="DEN28" s="19"/>
      <c r="DEO28" s="19"/>
      <c r="DEP28" s="19"/>
      <c r="DEQ28" s="19"/>
      <c r="DER28" s="19"/>
      <c r="DES28" s="19"/>
      <c r="DET28" s="19"/>
      <c r="DEU28" s="19"/>
      <c r="DEV28" s="19"/>
      <c r="DEW28" s="19"/>
      <c r="DEX28" s="19"/>
      <c r="DEY28" s="19"/>
      <c r="DEZ28" s="19"/>
      <c r="DFA28" s="19"/>
      <c r="DFB28" s="19"/>
      <c r="DFC28" s="19"/>
      <c r="DFD28" s="19"/>
      <c r="DFE28" s="19"/>
      <c r="DFF28" s="19"/>
      <c r="DFG28" s="19"/>
      <c r="DFH28" s="19"/>
      <c r="DFI28" s="19"/>
      <c r="DFJ28" s="19"/>
      <c r="DFK28" s="19"/>
      <c r="DFL28" s="19"/>
      <c r="DFM28" s="19"/>
      <c r="DFN28" s="19"/>
      <c r="DFO28" s="19"/>
      <c r="DFP28" s="19"/>
      <c r="DFQ28" s="19"/>
      <c r="DFR28" s="19"/>
      <c r="DFS28" s="19"/>
      <c r="DFT28" s="19"/>
      <c r="DFU28" s="19"/>
      <c r="DFV28" s="19"/>
      <c r="DFW28" s="19"/>
      <c r="DFX28" s="19"/>
      <c r="DFY28" s="19"/>
      <c r="DFZ28" s="19"/>
      <c r="DGA28" s="19"/>
      <c r="DGB28" s="19"/>
      <c r="DGC28" s="19"/>
      <c r="DGD28" s="19"/>
      <c r="DGE28" s="19"/>
      <c r="DGF28" s="19"/>
      <c r="DGG28" s="19"/>
      <c r="DGH28" s="19"/>
      <c r="DGI28" s="19"/>
      <c r="DGJ28" s="19"/>
      <c r="DGK28" s="19"/>
      <c r="DGL28" s="19"/>
      <c r="DGM28" s="19"/>
      <c r="DGN28" s="19"/>
      <c r="DGO28" s="19"/>
      <c r="DGP28" s="19"/>
      <c r="DGQ28" s="19"/>
      <c r="DGR28" s="19"/>
      <c r="DGS28" s="19"/>
      <c r="DGT28" s="19"/>
      <c r="DGU28" s="19"/>
      <c r="DGV28" s="19"/>
      <c r="DGW28" s="19"/>
      <c r="DGX28" s="19"/>
      <c r="DGY28" s="19"/>
      <c r="DGZ28" s="19"/>
      <c r="DHA28" s="19"/>
      <c r="DHB28" s="19"/>
      <c r="DHC28" s="19"/>
      <c r="DHD28" s="19"/>
      <c r="DHE28" s="19"/>
      <c r="DHF28" s="19"/>
      <c r="DHG28" s="19"/>
      <c r="DHH28" s="19"/>
      <c r="DHI28" s="19"/>
      <c r="DHJ28" s="19"/>
      <c r="DHK28" s="19"/>
      <c r="DHL28" s="19"/>
      <c r="DHM28" s="19"/>
      <c r="DHN28" s="19"/>
      <c r="DHO28" s="19"/>
      <c r="DHP28" s="19"/>
      <c r="DHQ28" s="19"/>
      <c r="DHR28" s="19"/>
      <c r="DHS28" s="19"/>
      <c r="DHT28" s="19"/>
      <c r="DHU28" s="19"/>
      <c r="DHV28" s="19"/>
      <c r="DHW28" s="19"/>
      <c r="DHX28" s="19"/>
      <c r="DHY28" s="19"/>
      <c r="DHZ28" s="19"/>
      <c r="DIA28" s="19"/>
      <c r="DIB28" s="19"/>
      <c r="DIC28" s="19"/>
      <c r="DID28" s="19"/>
      <c r="DIE28" s="19"/>
      <c r="DIF28" s="19"/>
      <c r="DIG28" s="19"/>
      <c r="DIH28" s="19"/>
      <c r="DII28" s="19"/>
      <c r="DIJ28" s="19"/>
      <c r="DIK28" s="19"/>
      <c r="DIL28" s="19"/>
      <c r="DIM28" s="19"/>
      <c r="DIN28" s="19"/>
      <c r="DIO28" s="19"/>
      <c r="DIP28" s="19"/>
      <c r="DIQ28" s="19"/>
      <c r="DIR28" s="19"/>
      <c r="DIS28" s="19"/>
      <c r="DIT28" s="19"/>
      <c r="DIU28" s="19"/>
      <c r="DIV28" s="19"/>
      <c r="DIW28" s="19"/>
      <c r="DIX28" s="19"/>
      <c r="DIY28" s="19"/>
      <c r="DIZ28" s="19"/>
      <c r="DJA28" s="19"/>
      <c r="DJB28" s="19"/>
      <c r="DJC28" s="19"/>
      <c r="DJD28" s="19"/>
      <c r="DJE28" s="19"/>
      <c r="DJF28" s="19"/>
      <c r="DJG28" s="19"/>
      <c r="DJH28" s="19"/>
      <c r="DJI28" s="19"/>
      <c r="DJJ28" s="19"/>
      <c r="DJK28" s="19"/>
      <c r="DJL28" s="19"/>
      <c r="DJM28" s="19"/>
      <c r="DJN28" s="19"/>
      <c r="DJO28" s="19"/>
      <c r="DJP28" s="19"/>
      <c r="DJQ28" s="19"/>
      <c r="DJR28" s="19"/>
      <c r="DJS28" s="19"/>
      <c r="DJT28" s="19"/>
      <c r="DJU28" s="19"/>
      <c r="DJV28" s="19"/>
      <c r="DJW28" s="19"/>
      <c r="DJX28" s="19"/>
      <c r="DJY28" s="19"/>
      <c r="DJZ28" s="19"/>
      <c r="DKA28" s="19"/>
      <c r="DKB28" s="19"/>
      <c r="DKC28" s="19"/>
      <c r="DKD28" s="19"/>
      <c r="DKE28" s="19"/>
      <c r="DKF28" s="19"/>
      <c r="DKG28" s="19"/>
      <c r="DKH28" s="19"/>
      <c r="DKI28" s="19"/>
      <c r="DKJ28" s="19"/>
      <c r="DKK28" s="19"/>
      <c r="DKL28" s="19"/>
      <c r="DKM28" s="19"/>
      <c r="DKN28" s="19"/>
      <c r="DKO28" s="19"/>
      <c r="DKP28" s="19"/>
      <c r="DKQ28" s="19"/>
      <c r="DKR28" s="19"/>
      <c r="DKS28" s="19"/>
      <c r="DKT28" s="19"/>
      <c r="DKU28" s="19"/>
      <c r="DKV28" s="19"/>
      <c r="DKW28" s="19"/>
      <c r="DKX28" s="19"/>
      <c r="DKY28" s="19"/>
      <c r="DKZ28" s="19"/>
      <c r="DLA28" s="19"/>
      <c r="DLB28" s="19"/>
      <c r="DLC28" s="19"/>
      <c r="DLD28" s="19"/>
      <c r="DLE28" s="19"/>
      <c r="DLF28" s="19"/>
      <c r="DLG28" s="19"/>
      <c r="DLH28" s="19"/>
      <c r="DLI28" s="19"/>
      <c r="DLJ28" s="19"/>
      <c r="DLK28" s="19"/>
      <c r="DLL28" s="19"/>
      <c r="DLM28" s="19"/>
      <c r="DLN28" s="19"/>
      <c r="DLO28" s="19"/>
      <c r="DLP28" s="19"/>
      <c r="DLQ28" s="19"/>
      <c r="DLR28" s="19"/>
      <c r="DLS28" s="19"/>
      <c r="DLT28" s="19"/>
      <c r="DLU28" s="19"/>
      <c r="DLV28" s="19"/>
      <c r="DLW28" s="19"/>
      <c r="DLX28" s="19"/>
      <c r="DLY28" s="19"/>
      <c r="DLZ28" s="19"/>
      <c r="DMA28" s="19"/>
      <c r="DMB28" s="19"/>
      <c r="DMC28" s="19"/>
      <c r="DMD28" s="19"/>
      <c r="DME28" s="19"/>
      <c r="DMF28" s="19"/>
      <c r="DMG28" s="19"/>
      <c r="DMH28" s="19"/>
      <c r="DMI28" s="19"/>
      <c r="DMJ28" s="19"/>
      <c r="DMK28" s="19"/>
      <c r="DML28" s="19"/>
      <c r="DMM28" s="19"/>
      <c r="DMN28" s="19"/>
      <c r="DMO28" s="19"/>
      <c r="DMP28" s="19"/>
      <c r="DMQ28" s="19"/>
      <c r="DMR28" s="19"/>
      <c r="DMS28" s="19"/>
      <c r="DMT28" s="19"/>
      <c r="DMU28" s="19"/>
      <c r="DMV28" s="19"/>
      <c r="DMW28" s="19"/>
      <c r="DMX28" s="19"/>
      <c r="DMY28" s="19"/>
      <c r="DMZ28" s="19"/>
      <c r="DNA28" s="19"/>
      <c r="DNB28" s="19"/>
      <c r="DNC28" s="19"/>
      <c r="DND28" s="19"/>
      <c r="DNE28" s="19"/>
      <c r="DNF28" s="19"/>
      <c r="DNG28" s="19"/>
      <c r="DNH28" s="19"/>
      <c r="DNI28" s="19"/>
      <c r="DNJ28" s="19"/>
      <c r="DNK28" s="19"/>
      <c r="DNL28" s="19"/>
      <c r="DNM28" s="19"/>
      <c r="DNN28" s="19"/>
      <c r="DNO28" s="19"/>
      <c r="DNP28" s="19"/>
      <c r="DNQ28" s="19"/>
      <c r="DNR28" s="19"/>
      <c r="DNS28" s="19"/>
      <c r="DNT28" s="19"/>
      <c r="DNU28" s="19"/>
      <c r="DNV28" s="19"/>
      <c r="DNW28" s="19"/>
      <c r="DNX28" s="19"/>
      <c r="DNY28" s="19"/>
      <c r="DNZ28" s="19"/>
      <c r="DOA28" s="19"/>
      <c r="DOB28" s="19"/>
      <c r="DOC28" s="19"/>
      <c r="DOD28" s="19"/>
      <c r="DOE28" s="19"/>
      <c r="DOF28" s="19"/>
      <c r="DOG28" s="19"/>
      <c r="DOH28" s="19"/>
      <c r="DOI28" s="19"/>
      <c r="DOJ28" s="19"/>
      <c r="DOK28" s="19"/>
      <c r="DOL28" s="19"/>
      <c r="DOM28" s="19"/>
      <c r="DON28" s="19"/>
      <c r="DOO28" s="19"/>
      <c r="DOP28" s="19"/>
      <c r="DOQ28" s="19"/>
      <c r="DOR28" s="19"/>
      <c r="DOS28" s="19"/>
      <c r="DOT28" s="19"/>
      <c r="DOU28" s="19"/>
      <c r="DOV28" s="19"/>
      <c r="DOW28" s="19"/>
      <c r="DOX28" s="19"/>
      <c r="DOY28" s="19"/>
      <c r="DOZ28" s="19"/>
      <c r="DPA28" s="19"/>
      <c r="DPB28" s="19"/>
      <c r="DPC28" s="19"/>
      <c r="DPD28" s="19"/>
      <c r="DPE28" s="19"/>
      <c r="DPF28" s="19"/>
      <c r="DPG28" s="19"/>
      <c r="DPH28" s="19"/>
      <c r="DPI28" s="19"/>
      <c r="DPJ28" s="19"/>
      <c r="DPK28" s="19"/>
      <c r="DPL28" s="19"/>
      <c r="DPM28" s="19"/>
      <c r="DPN28" s="19"/>
      <c r="DPO28" s="19"/>
      <c r="DPP28" s="19"/>
      <c r="DPQ28" s="19"/>
      <c r="DPR28" s="19"/>
      <c r="DPS28" s="19"/>
      <c r="DPT28" s="19"/>
      <c r="DPU28" s="19"/>
      <c r="DPV28" s="19"/>
      <c r="DPW28" s="19"/>
      <c r="DPX28" s="19"/>
      <c r="DPY28" s="19"/>
      <c r="DPZ28" s="19"/>
      <c r="DQA28" s="19"/>
      <c r="DQB28" s="19"/>
      <c r="DQC28" s="19"/>
      <c r="DQD28" s="19"/>
      <c r="DQE28" s="19"/>
      <c r="DQF28" s="19"/>
      <c r="DQG28" s="19"/>
      <c r="DQH28" s="19"/>
      <c r="DQI28" s="19"/>
      <c r="DQJ28" s="19"/>
      <c r="DQK28" s="19"/>
      <c r="DQL28" s="19"/>
      <c r="DQM28" s="19"/>
      <c r="DQN28" s="19"/>
      <c r="DQO28" s="19"/>
      <c r="DQP28" s="19"/>
      <c r="DQQ28" s="19"/>
      <c r="DQR28" s="19"/>
      <c r="DQS28" s="19"/>
      <c r="DQT28" s="19"/>
      <c r="DQU28" s="19"/>
      <c r="DQV28" s="19"/>
      <c r="DQW28" s="19"/>
      <c r="DQX28" s="19"/>
      <c r="DQY28" s="19"/>
      <c r="DQZ28" s="19"/>
      <c r="DRA28" s="19"/>
      <c r="DRB28" s="19"/>
      <c r="DRC28" s="19"/>
      <c r="DRD28" s="19"/>
      <c r="DRE28" s="19"/>
      <c r="DRF28" s="19"/>
      <c r="DRG28" s="19"/>
      <c r="DRH28" s="19"/>
      <c r="DRI28" s="19"/>
      <c r="DRJ28" s="19"/>
      <c r="DRK28" s="19"/>
      <c r="DRL28" s="19"/>
      <c r="DRM28" s="19"/>
      <c r="DRN28" s="19"/>
      <c r="DRO28" s="19"/>
      <c r="DRP28" s="19"/>
      <c r="DRQ28" s="19"/>
      <c r="DRR28" s="19"/>
      <c r="DRS28" s="19"/>
      <c r="DRT28" s="19"/>
      <c r="DRU28" s="19"/>
      <c r="DRV28" s="19"/>
      <c r="DRW28" s="19"/>
      <c r="DRX28" s="19"/>
      <c r="DRY28" s="19"/>
      <c r="DRZ28" s="19"/>
      <c r="DSA28" s="19"/>
      <c r="DSB28" s="19"/>
      <c r="DSC28" s="19"/>
      <c r="DSD28" s="19"/>
      <c r="DSE28" s="19"/>
      <c r="DSF28" s="19"/>
      <c r="DSG28" s="19"/>
      <c r="DSH28" s="19"/>
      <c r="DSI28" s="19"/>
      <c r="DSJ28" s="19"/>
      <c r="DSK28" s="19"/>
      <c r="DSL28" s="19"/>
      <c r="DSM28" s="19"/>
      <c r="DSN28" s="19"/>
      <c r="DSO28" s="19"/>
      <c r="DSP28" s="19"/>
      <c r="DSQ28" s="19"/>
      <c r="DSR28" s="19"/>
      <c r="DSS28" s="19"/>
      <c r="DST28" s="19"/>
      <c r="DSU28" s="19"/>
      <c r="DSV28" s="19"/>
      <c r="DSW28" s="19"/>
      <c r="DSX28" s="19"/>
      <c r="DSY28" s="19"/>
      <c r="DSZ28" s="19"/>
      <c r="DTA28" s="19"/>
      <c r="DTB28" s="19"/>
      <c r="DTC28" s="19"/>
      <c r="DTD28" s="19"/>
      <c r="DTE28" s="19"/>
      <c r="DTF28" s="19"/>
      <c r="DTG28" s="19"/>
      <c r="DTH28" s="19"/>
      <c r="DTI28" s="19"/>
      <c r="DTJ28" s="19"/>
      <c r="DTK28" s="19"/>
      <c r="DTL28" s="19"/>
      <c r="DTM28" s="19"/>
      <c r="DTN28" s="19"/>
      <c r="DTO28" s="19"/>
      <c r="DTP28" s="19"/>
      <c r="DTQ28" s="19"/>
      <c r="DTR28" s="19"/>
      <c r="DTS28" s="19"/>
      <c r="DTT28" s="19"/>
      <c r="DTU28" s="19"/>
      <c r="DTV28" s="19"/>
      <c r="DTW28" s="19"/>
      <c r="DTX28" s="19"/>
      <c r="DTY28" s="19"/>
      <c r="DTZ28" s="19"/>
      <c r="DUA28" s="19"/>
      <c r="DUB28" s="19"/>
      <c r="DUC28" s="19"/>
      <c r="DUD28" s="19"/>
      <c r="DUE28" s="19"/>
      <c r="DUF28" s="19"/>
      <c r="DUG28" s="19"/>
      <c r="DUH28" s="19"/>
      <c r="DUI28" s="19"/>
      <c r="DUJ28" s="19"/>
      <c r="DUK28" s="19"/>
      <c r="DUL28" s="19"/>
      <c r="DUM28" s="19"/>
      <c r="DUN28" s="19"/>
      <c r="DUO28" s="19"/>
      <c r="DUP28" s="19"/>
      <c r="DUQ28" s="19"/>
      <c r="DUR28" s="19"/>
      <c r="DUS28" s="19"/>
      <c r="DUT28" s="19"/>
      <c r="DUU28" s="19"/>
      <c r="DUV28" s="19"/>
      <c r="DUW28" s="19"/>
      <c r="DUX28" s="19"/>
      <c r="DUY28" s="19"/>
      <c r="DUZ28" s="19"/>
      <c r="DVA28" s="19"/>
      <c r="DVB28" s="19"/>
      <c r="DVC28" s="19"/>
      <c r="DVD28" s="19"/>
      <c r="DVE28" s="19"/>
      <c r="DVF28" s="19"/>
      <c r="DVG28" s="19"/>
      <c r="DVH28" s="19"/>
      <c r="DVI28" s="19"/>
      <c r="DVJ28" s="19"/>
      <c r="DVK28" s="19"/>
      <c r="DVL28" s="19"/>
      <c r="DVM28" s="19"/>
      <c r="DVN28" s="19"/>
      <c r="DVO28" s="19"/>
      <c r="DVP28" s="19"/>
      <c r="DVQ28" s="19"/>
      <c r="DVR28" s="19"/>
      <c r="DVS28" s="19"/>
      <c r="DVT28" s="19"/>
      <c r="DVU28" s="19"/>
      <c r="DVV28" s="19"/>
      <c r="DVW28" s="19"/>
      <c r="DVX28" s="19"/>
      <c r="DVY28" s="19"/>
      <c r="DVZ28" s="19"/>
      <c r="DWA28" s="19"/>
      <c r="DWB28" s="19"/>
      <c r="DWC28" s="19"/>
      <c r="DWD28" s="19"/>
      <c r="DWE28" s="19"/>
      <c r="DWF28" s="19"/>
      <c r="DWG28" s="19"/>
      <c r="DWH28" s="19"/>
      <c r="DWI28" s="19"/>
      <c r="DWJ28" s="19"/>
      <c r="DWK28" s="19"/>
      <c r="DWL28" s="19"/>
      <c r="DWM28" s="19"/>
      <c r="DWN28" s="19"/>
      <c r="DWO28" s="19"/>
      <c r="DWP28" s="19"/>
      <c r="DWQ28" s="19"/>
      <c r="DWR28" s="19"/>
      <c r="DWS28" s="19"/>
      <c r="DWT28" s="19"/>
      <c r="DWU28" s="19"/>
      <c r="DWV28" s="19"/>
      <c r="DWW28" s="19"/>
      <c r="DWX28" s="19"/>
      <c r="DWY28" s="19"/>
      <c r="DWZ28" s="19"/>
      <c r="DXA28" s="19"/>
      <c r="DXB28" s="19"/>
      <c r="DXC28" s="19"/>
      <c r="DXD28" s="19"/>
      <c r="DXE28" s="19"/>
      <c r="DXF28" s="19"/>
      <c r="DXG28" s="19"/>
      <c r="DXH28" s="19"/>
      <c r="DXI28" s="19"/>
      <c r="DXJ28" s="19"/>
      <c r="DXK28" s="19"/>
      <c r="DXL28" s="19"/>
      <c r="DXM28" s="19"/>
      <c r="DXN28" s="19"/>
      <c r="DXO28" s="19"/>
      <c r="DXP28" s="19"/>
      <c r="DXQ28" s="19"/>
      <c r="DXR28" s="19"/>
      <c r="DXS28" s="19"/>
      <c r="DXT28" s="19"/>
      <c r="DXU28" s="19"/>
      <c r="DXV28" s="19"/>
      <c r="DXW28" s="19"/>
      <c r="DXX28" s="19"/>
      <c r="DXY28" s="19"/>
      <c r="DXZ28" s="19"/>
      <c r="DYA28" s="19"/>
      <c r="DYB28" s="19"/>
      <c r="DYC28" s="19"/>
      <c r="DYD28" s="19"/>
      <c r="DYE28" s="19"/>
      <c r="DYF28" s="19"/>
      <c r="DYG28" s="19"/>
      <c r="DYH28" s="19"/>
      <c r="DYI28" s="19"/>
      <c r="DYJ28" s="19"/>
      <c r="DYK28" s="19"/>
      <c r="DYL28" s="19"/>
      <c r="DYM28" s="19"/>
      <c r="DYN28" s="19"/>
      <c r="DYO28" s="19"/>
      <c r="DYP28" s="19"/>
      <c r="DYQ28" s="19"/>
      <c r="DYR28" s="19"/>
      <c r="DYS28" s="19"/>
      <c r="DYT28" s="19"/>
      <c r="DYU28" s="19"/>
      <c r="DYV28" s="19"/>
      <c r="DYW28" s="19"/>
      <c r="DYX28" s="19"/>
      <c r="DYY28" s="19"/>
      <c r="DYZ28" s="19"/>
      <c r="DZA28" s="19"/>
      <c r="DZB28" s="19"/>
      <c r="DZC28" s="19"/>
      <c r="DZD28" s="19"/>
      <c r="DZE28" s="19"/>
      <c r="DZF28" s="19"/>
      <c r="DZG28" s="19"/>
      <c r="DZH28" s="19"/>
      <c r="DZI28" s="19"/>
      <c r="DZJ28" s="19"/>
      <c r="DZK28" s="19"/>
      <c r="DZL28" s="19"/>
      <c r="DZM28" s="19"/>
      <c r="DZN28" s="19"/>
      <c r="DZO28" s="19"/>
      <c r="DZP28" s="19"/>
      <c r="DZQ28" s="19"/>
      <c r="DZR28" s="19"/>
      <c r="DZS28" s="19"/>
      <c r="DZT28" s="19"/>
      <c r="DZU28" s="19"/>
      <c r="DZV28" s="19"/>
      <c r="DZW28" s="19"/>
      <c r="DZX28" s="19"/>
      <c r="DZY28" s="19"/>
      <c r="DZZ28" s="19"/>
      <c r="EAA28" s="19"/>
      <c r="EAB28" s="19"/>
      <c r="EAC28" s="19"/>
      <c r="EAD28" s="19"/>
      <c r="EAE28" s="19"/>
      <c r="EAF28" s="19"/>
      <c r="EAG28" s="19"/>
      <c r="EAH28" s="19"/>
      <c r="EAI28" s="19"/>
      <c r="EAJ28" s="19"/>
      <c r="EAK28" s="19"/>
      <c r="EAL28" s="19"/>
      <c r="EAM28" s="19"/>
      <c r="EAN28" s="19"/>
      <c r="EAO28" s="19"/>
      <c r="EAP28" s="19"/>
      <c r="EAQ28" s="19"/>
      <c r="EAR28" s="19"/>
      <c r="EAS28" s="19"/>
      <c r="EAT28" s="19"/>
      <c r="EAU28" s="19"/>
      <c r="EAV28" s="19"/>
      <c r="EAW28" s="19"/>
      <c r="EAX28" s="19"/>
      <c r="EAY28" s="19"/>
      <c r="EAZ28" s="19"/>
      <c r="EBA28" s="19"/>
      <c r="EBB28" s="19"/>
      <c r="EBC28" s="19"/>
      <c r="EBD28" s="19"/>
      <c r="EBE28" s="19"/>
      <c r="EBF28" s="19"/>
      <c r="EBG28" s="19"/>
      <c r="EBH28" s="19"/>
      <c r="EBI28" s="19"/>
      <c r="EBJ28" s="19"/>
      <c r="EBK28" s="19"/>
      <c r="EBL28" s="19"/>
      <c r="EBM28" s="19"/>
      <c r="EBN28" s="19"/>
      <c r="EBO28" s="19"/>
      <c r="EBP28" s="19"/>
      <c r="EBQ28" s="19"/>
      <c r="EBR28" s="19"/>
      <c r="EBS28" s="19"/>
      <c r="EBT28" s="19"/>
      <c r="EBU28" s="19"/>
      <c r="EBV28" s="19"/>
      <c r="EBW28" s="19"/>
      <c r="EBX28" s="19"/>
      <c r="EBY28" s="19"/>
      <c r="EBZ28" s="19"/>
      <c r="ECA28" s="19"/>
      <c r="ECB28" s="19"/>
      <c r="ECC28" s="19"/>
      <c r="ECD28" s="19"/>
      <c r="ECE28" s="19"/>
      <c r="ECF28" s="19"/>
      <c r="ECG28" s="19"/>
      <c r="ECH28" s="19"/>
      <c r="ECI28" s="19"/>
      <c r="ECJ28" s="19"/>
      <c r="ECK28" s="19"/>
      <c r="ECL28" s="19"/>
      <c r="ECM28" s="19"/>
      <c r="ECN28" s="19"/>
      <c r="ECO28" s="19"/>
      <c r="ECP28" s="19"/>
      <c r="ECQ28" s="19"/>
      <c r="ECR28" s="19"/>
      <c r="ECS28" s="19"/>
      <c r="ECT28" s="19"/>
      <c r="ECU28" s="19"/>
      <c r="ECV28" s="19"/>
      <c r="ECW28" s="19"/>
      <c r="ECX28" s="19"/>
      <c r="ECY28" s="19"/>
      <c r="ECZ28" s="19"/>
      <c r="EDA28" s="19"/>
      <c r="EDB28" s="19"/>
      <c r="EDC28" s="19"/>
      <c r="EDD28" s="19"/>
      <c r="EDE28" s="19"/>
      <c r="EDF28" s="19"/>
      <c r="EDG28" s="19"/>
      <c r="EDH28" s="19"/>
      <c r="EDI28" s="19"/>
      <c r="EDJ28" s="19"/>
      <c r="EDK28" s="19"/>
      <c r="EDL28" s="19"/>
      <c r="EDM28" s="19"/>
      <c r="EDN28" s="19"/>
      <c r="EDO28" s="19"/>
      <c r="EDP28" s="19"/>
      <c r="EDQ28" s="19"/>
      <c r="EDR28" s="19"/>
      <c r="EDS28" s="19"/>
      <c r="EDT28" s="19"/>
      <c r="EDU28" s="19"/>
      <c r="EDV28" s="19"/>
      <c r="EDW28" s="19"/>
      <c r="EDX28" s="19"/>
      <c r="EDY28" s="19"/>
      <c r="EDZ28" s="19"/>
      <c r="EEA28" s="19"/>
      <c r="EEB28" s="19"/>
      <c r="EEC28" s="19"/>
      <c r="EED28" s="19"/>
      <c r="EEE28" s="19"/>
      <c r="EEF28" s="19"/>
      <c r="EEG28" s="19"/>
      <c r="EEH28" s="19"/>
      <c r="EEI28" s="19"/>
      <c r="EEJ28" s="19"/>
      <c r="EEK28" s="19"/>
      <c r="EEL28" s="19"/>
      <c r="EEM28" s="19"/>
      <c r="EEN28" s="19"/>
      <c r="EEO28" s="19"/>
      <c r="EEP28" s="19"/>
      <c r="EEQ28" s="19"/>
      <c r="EER28" s="19"/>
      <c r="EES28" s="19"/>
      <c r="EET28" s="19"/>
      <c r="EEU28" s="19"/>
      <c r="EEV28" s="19"/>
      <c r="EEW28" s="19"/>
      <c r="EEX28" s="19"/>
      <c r="EEY28" s="19"/>
      <c r="EEZ28" s="19"/>
      <c r="EFA28" s="19"/>
      <c r="EFB28" s="19"/>
      <c r="EFC28" s="19"/>
      <c r="EFD28" s="19"/>
      <c r="EFE28" s="19"/>
      <c r="EFF28" s="19"/>
      <c r="EFG28" s="19"/>
      <c r="EFH28" s="19"/>
      <c r="EFI28" s="19"/>
      <c r="EFJ28" s="19"/>
      <c r="EFK28" s="19"/>
      <c r="EFL28" s="19"/>
      <c r="EFM28" s="19"/>
      <c r="EFN28" s="19"/>
      <c r="EFO28" s="19"/>
      <c r="EFP28" s="19"/>
      <c r="EFQ28" s="19"/>
      <c r="EFR28" s="19"/>
      <c r="EFS28" s="19"/>
      <c r="EFT28" s="19"/>
      <c r="EFU28" s="19"/>
      <c r="EFV28" s="19"/>
      <c r="EFW28" s="19"/>
      <c r="EFX28" s="19"/>
      <c r="EFY28" s="19"/>
      <c r="EFZ28" s="19"/>
      <c r="EGA28" s="19"/>
      <c r="EGB28" s="19"/>
      <c r="EGC28" s="19"/>
      <c r="EGD28" s="19"/>
      <c r="EGE28" s="19"/>
      <c r="EGF28" s="19"/>
      <c r="EGG28" s="19"/>
      <c r="EGH28" s="19"/>
      <c r="EGI28" s="19"/>
      <c r="EGJ28" s="19"/>
      <c r="EGK28" s="19"/>
      <c r="EGL28" s="19"/>
      <c r="EGM28" s="19"/>
      <c r="EGN28" s="19"/>
      <c r="EGO28" s="19"/>
      <c r="EGP28" s="19"/>
      <c r="EGQ28" s="19"/>
      <c r="EGR28" s="19"/>
      <c r="EGS28" s="19"/>
      <c r="EGT28" s="19"/>
      <c r="EGU28" s="19"/>
      <c r="EGV28" s="19"/>
      <c r="EGW28" s="19"/>
      <c r="EGX28" s="19"/>
      <c r="EGY28" s="19"/>
      <c r="EGZ28" s="19"/>
      <c r="EHA28" s="19"/>
      <c r="EHB28" s="19"/>
      <c r="EHC28" s="19"/>
      <c r="EHD28" s="19"/>
      <c r="EHE28" s="19"/>
      <c r="EHF28" s="19"/>
      <c r="EHG28" s="19"/>
      <c r="EHH28" s="19"/>
      <c r="EHI28" s="19"/>
      <c r="EHJ28" s="19"/>
      <c r="EHK28" s="19"/>
      <c r="EHL28" s="19"/>
      <c r="EHM28" s="19"/>
      <c r="EHN28" s="19"/>
      <c r="EHO28" s="19"/>
      <c r="EHP28" s="19"/>
      <c r="EHQ28" s="19"/>
      <c r="EHR28" s="19"/>
      <c r="EHS28" s="19"/>
      <c r="EHT28" s="19"/>
      <c r="EHU28" s="19"/>
      <c r="EHV28" s="19"/>
      <c r="EHW28" s="19"/>
      <c r="EHX28" s="19"/>
      <c r="EHY28" s="19"/>
      <c r="EHZ28" s="19"/>
      <c r="EIA28" s="19"/>
      <c r="EIB28" s="19"/>
      <c r="EIC28" s="19"/>
      <c r="EID28" s="19"/>
      <c r="EIE28" s="19"/>
      <c r="EIF28" s="19"/>
      <c r="EIG28" s="19"/>
      <c r="EIH28" s="19"/>
      <c r="EII28" s="19"/>
      <c r="EIJ28" s="19"/>
      <c r="EIK28" s="19"/>
      <c r="EIL28" s="19"/>
      <c r="EIM28" s="19"/>
      <c r="EIN28" s="19"/>
      <c r="EIO28" s="19"/>
      <c r="EIP28" s="19"/>
      <c r="EIQ28" s="19"/>
      <c r="EIR28" s="19"/>
      <c r="EIS28" s="19"/>
      <c r="EIT28" s="19"/>
      <c r="EIU28" s="19"/>
      <c r="EIV28" s="19"/>
      <c r="EIW28" s="19"/>
      <c r="EIX28" s="19"/>
      <c r="EIY28" s="19"/>
      <c r="EIZ28" s="19"/>
      <c r="EJA28" s="19"/>
      <c r="EJB28" s="19"/>
      <c r="EJC28" s="19"/>
      <c r="EJD28" s="19"/>
      <c r="EJE28" s="19"/>
      <c r="EJF28" s="19"/>
      <c r="EJG28" s="19"/>
      <c r="EJH28" s="19"/>
      <c r="EJI28" s="19"/>
      <c r="EJJ28" s="19"/>
      <c r="EJK28" s="19"/>
      <c r="EJL28" s="19"/>
      <c r="EJM28" s="19"/>
      <c r="EJN28" s="19"/>
      <c r="EJO28" s="19"/>
      <c r="EJP28" s="19"/>
      <c r="EJQ28" s="19"/>
      <c r="EJR28" s="19"/>
      <c r="EJS28" s="19"/>
      <c r="EJT28" s="19"/>
      <c r="EJU28" s="19"/>
      <c r="EJV28" s="19"/>
      <c r="EJW28" s="19"/>
      <c r="EJX28" s="19"/>
      <c r="EJY28" s="19"/>
      <c r="EJZ28" s="19"/>
      <c r="EKA28" s="19"/>
      <c r="EKB28" s="19"/>
      <c r="EKC28" s="19"/>
      <c r="EKD28" s="19"/>
      <c r="EKE28" s="19"/>
      <c r="EKF28" s="19"/>
      <c r="EKG28" s="19"/>
      <c r="EKH28" s="19"/>
      <c r="EKI28" s="19"/>
      <c r="EKJ28" s="19"/>
      <c r="EKK28" s="19"/>
      <c r="EKL28" s="19"/>
      <c r="EKM28" s="19"/>
      <c r="EKN28" s="19"/>
      <c r="EKO28" s="19"/>
      <c r="EKP28" s="19"/>
      <c r="EKQ28" s="19"/>
      <c r="EKR28" s="19"/>
      <c r="EKS28" s="19"/>
      <c r="EKT28" s="19"/>
      <c r="EKU28" s="19"/>
      <c r="EKV28" s="19"/>
      <c r="EKW28" s="19"/>
      <c r="EKX28" s="19"/>
      <c r="EKY28" s="19"/>
      <c r="EKZ28" s="19"/>
      <c r="ELA28" s="19"/>
      <c r="ELB28" s="19"/>
      <c r="ELC28" s="19"/>
      <c r="ELD28" s="19"/>
      <c r="ELE28" s="19"/>
      <c r="ELF28" s="19"/>
      <c r="ELG28" s="19"/>
      <c r="ELH28" s="19"/>
      <c r="ELI28" s="19"/>
      <c r="ELJ28" s="19"/>
      <c r="ELK28" s="19"/>
      <c r="ELL28" s="19"/>
      <c r="ELM28" s="19"/>
      <c r="ELN28" s="19"/>
      <c r="ELO28" s="19"/>
      <c r="ELP28" s="19"/>
      <c r="ELQ28" s="19"/>
      <c r="ELR28" s="19"/>
      <c r="ELS28" s="19"/>
      <c r="ELT28" s="19"/>
      <c r="ELU28" s="19"/>
      <c r="ELV28" s="19"/>
      <c r="ELW28" s="19"/>
      <c r="ELX28" s="19"/>
      <c r="ELY28" s="19"/>
      <c r="ELZ28" s="19"/>
      <c r="EMA28" s="19"/>
      <c r="EMB28" s="19"/>
      <c r="EMC28" s="19"/>
      <c r="EMD28" s="19"/>
      <c r="EME28" s="19"/>
      <c r="EMF28" s="19"/>
      <c r="EMG28" s="19"/>
      <c r="EMH28" s="19"/>
      <c r="EMI28" s="19"/>
      <c r="EMJ28" s="19"/>
      <c r="EMK28" s="19"/>
      <c r="EML28" s="19"/>
      <c r="EMM28" s="19"/>
      <c r="EMN28" s="19"/>
      <c r="EMO28" s="19"/>
      <c r="EMP28" s="19"/>
      <c r="EMQ28" s="19"/>
      <c r="EMR28" s="19"/>
      <c r="EMS28" s="19"/>
      <c r="EMT28" s="19"/>
      <c r="EMU28" s="19"/>
      <c r="EMV28" s="19"/>
      <c r="EMW28" s="19"/>
      <c r="EMX28" s="19"/>
      <c r="EMY28" s="19"/>
      <c r="EMZ28" s="19"/>
      <c r="ENA28" s="19"/>
      <c r="ENB28" s="19"/>
      <c r="ENC28" s="19"/>
      <c r="END28" s="19"/>
      <c r="ENE28" s="19"/>
      <c r="ENF28" s="19"/>
      <c r="ENG28" s="19"/>
      <c r="ENH28" s="19"/>
      <c r="ENI28" s="19"/>
      <c r="ENJ28" s="19"/>
      <c r="ENK28" s="19"/>
      <c r="ENL28" s="19"/>
      <c r="ENM28" s="19"/>
      <c r="ENN28" s="19"/>
      <c r="ENO28" s="19"/>
      <c r="ENP28" s="19"/>
      <c r="ENQ28" s="19"/>
      <c r="ENR28" s="19"/>
      <c r="ENS28" s="19"/>
      <c r="ENT28" s="19"/>
      <c r="ENU28" s="19"/>
      <c r="ENV28" s="19"/>
      <c r="ENW28" s="19"/>
      <c r="ENX28" s="19"/>
      <c r="ENY28" s="19"/>
      <c r="ENZ28" s="19"/>
      <c r="EOA28" s="19"/>
      <c r="EOB28" s="19"/>
      <c r="EOC28" s="19"/>
      <c r="EOD28" s="19"/>
      <c r="EOE28" s="19"/>
      <c r="EOF28" s="19"/>
      <c r="EOG28" s="19"/>
      <c r="EOH28" s="19"/>
      <c r="EOI28" s="19"/>
      <c r="EOJ28" s="19"/>
      <c r="EOK28" s="19"/>
      <c r="EOL28" s="19"/>
      <c r="EOM28" s="19"/>
      <c r="EON28" s="19"/>
      <c r="EOO28" s="19"/>
      <c r="EOP28" s="19"/>
      <c r="EOQ28" s="19"/>
      <c r="EOR28" s="19"/>
      <c r="EOS28" s="19"/>
      <c r="EOT28" s="19"/>
      <c r="EOU28" s="19"/>
      <c r="EOV28" s="19"/>
      <c r="EOW28" s="19"/>
      <c r="EOX28" s="19"/>
      <c r="EOY28" s="19"/>
      <c r="EOZ28" s="19"/>
      <c r="EPA28" s="19"/>
      <c r="EPB28" s="19"/>
      <c r="EPC28" s="19"/>
      <c r="EPD28" s="19"/>
      <c r="EPE28" s="19"/>
      <c r="EPF28" s="19"/>
      <c r="EPG28" s="19"/>
      <c r="EPH28" s="19"/>
      <c r="EPI28" s="19"/>
      <c r="EPJ28" s="19"/>
      <c r="EPK28" s="19"/>
      <c r="EPL28" s="19"/>
      <c r="EPM28" s="19"/>
      <c r="EPN28" s="19"/>
      <c r="EPO28" s="19"/>
      <c r="EPP28" s="19"/>
      <c r="EPQ28" s="19"/>
      <c r="EPR28" s="19"/>
      <c r="EPS28" s="19"/>
      <c r="EPT28" s="19"/>
      <c r="EPU28" s="19"/>
      <c r="EPV28" s="19"/>
      <c r="EPW28" s="19"/>
      <c r="EPX28" s="19"/>
      <c r="EPY28" s="19"/>
      <c r="EPZ28" s="19"/>
      <c r="EQA28" s="19"/>
      <c r="EQB28" s="19"/>
      <c r="EQC28" s="19"/>
      <c r="EQD28" s="19"/>
      <c r="EQE28" s="19"/>
      <c r="EQF28" s="19"/>
      <c r="EQG28" s="19"/>
      <c r="EQH28" s="19"/>
      <c r="EQI28" s="19"/>
      <c r="EQJ28" s="19"/>
      <c r="EQK28" s="19"/>
      <c r="EQL28" s="19"/>
      <c r="EQM28" s="19"/>
      <c r="EQN28" s="19"/>
      <c r="EQO28" s="19"/>
      <c r="EQP28" s="19"/>
      <c r="EQQ28" s="19"/>
      <c r="EQR28" s="19"/>
      <c r="EQS28" s="19"/>
      <c r="EQT28" s="19"/>
      <c r="EQU28" s="19"/>
      <c r="EQV28" s="19"/>
      <c r="EQW28" s="19"/>
      <c r="EQX28" s="19"/>
      <c r="EQY28" s="19"/>
      <c r="EQZ28" s="19"/>
      <c r="ERA28" s="19"/>
      <c r="ERB28" s="19"/>
      <c r="ERC28" s="19"/>
      <c r="ERD28" s="19"/>
      <c r="ERE28" s="19"/>
      <c r="ERF28" s="19"/>
      <c r="ERG28" s="19"/>
      <c r="ERH28" s="19"/>
      <c r="ERI28" s="19"/>
      <c r="ERJ28" s="19"/>
      <c r="ERK28" s="19"/>
      <c r="ERL28" s="19"/>
      <c r="ERM28" s="19"/>
      <c r="ERN28" s="19"/>
      <c r="ERO28" s="19"/>
      <c r="ERP28" s="19"/>
      <c r="ERQ28" s="19"/>
      <c r="ERR28" s="19"/>
      <c r="ERS28" s="19"/>
      <c r="ERT28" s="19"/>
      <c r="ERU28" s="19"/>
      <c r="ERV28" s="19"/>
      <c r="ERW28" s="19"/>
      <c r="ERX28" s="19"/>
      <c r="ERY28" s="19"/>
      <c r="ERZ28" s="19"/>
      <c r="ESA28" s="19"/>
      <c r="ESB28" s="19"/>
      <c r="ESC28" s="19"/>
      <c r="ESD28" s="19"/>
      <c r="ESE28" s="19"/>
      <c r="ESF28" s="19"/>
      <c r="ESG28" s="19"/>
      <c r="ESH28" s="19"/>
      <c r="ESI28" s="19"/>
      <c r="ESJ28" s="19"/>
      <c r="ESK28" s="19"/>
      <c r="ESL28" s="19"/>
      <c r="ESM28" s="19"/>
      <c r="ESN28" s="19"/>
      <c r="ESO28" s="19"/>
      <c r="ESP28" s="19"/>
      <c r="ESQ28" s="19"/>
      <c r="ESR28" s="19"/>
      <c r="ESS28" s="19"/>
      <c r="EST28" s="19"/>
      <c r="ESU28" s="19"/>
      <c r="ESV28" s="19"/>
      <c r="ESW28" s="19"/>
      <c r="ESX28" s="19"/>
      <c r="ESY28" s="19"/>
      <c r="ESZ28" s="19"/>
      <c r="ETA28" s="19"/>
      <c r="ETB28" s="19"/>
      <c r="ETC28" s="19"/>
      <c r="ETD28" s="19"/>
      <c r="ETE28" s="19"/>
      <c r="ETF28" s="19"/>
      <c r="ETG28" s="19"/>
      <c r="ETH28" s="19"/>
      <c r="ETI28" s="19"/>
      <c r="ETJ28" s="19"/>
      <c r="ETK28" s="19"/>
      <c r="ETL28" s="19"/>
      <c r="ETM28" s="19"/>
      <c r="ETN28" s="19"/>
      <c r="ETO28" s="19"/>
      <c r="ETP28" s="19"/>
      <c r="ETQ28" s="19"/>
      <c r="ETR28" s="19"/>
      <c r="ETS28" s="19"/>
      <c r="ETT28" s="19"/>
      <c r="ETU28" s="19"/>
      <c r="ETV28" s="19"/>
      <c r="ETW28" s="19"/>
      <c r="ETX28" s="19"/>
      <c r="ETY28" s="19"/>
      <c r="ETZ28" s="19"/>
      <c r="EUA28" s="19"/>
      <c r="EUB28" s="19"/>
      <c r="EUC28" s="19"/>
      <c r="EUD28" s="19"/>
      <c r="EUE28" s="19"/>
      <c r="EUF28" s="19"/>
      <c r="EUG28" s="19"/>
      <c r="EUH28" s="19"/>
      <c r="EUI28" s="19"/>
      <c r="EUJ28" s="19"/>
      <c r="EUK28" s="19"/>
      <c r="EUL28" s="19"/>
      <c r="EUM28" s="19"/>
      <c r="EUN28" s="19"/>
      <c r="EUO28" s="19"/>
      <c r="EUP28" s="19"/>
      <c r="EUQ28" s="19"/>
      <c r="EUR28" s="19"/>
      <c r="EUS28" s="19"/>
      <c r="EUT28" s="19"/>
      <c r="EUU28" s="19"/>
      <c r="EUV28" s="19"/>
      <c r="EUW28" s="19"/>
      <c r="EUX28" s="19"/>
      <c r="EUY28" s="19"/>
      <c r="EUZ28" s="19"/>
      <c r="EVA28" s="19"/>
      <c r="EVB28" s="19"/>
      <c r="EVC28" s="19"/>
      <c r="EVD28" s="19"/>
      <c r="EVE28" s="19"/>
      <c r="EVF28" s="19"/>
      <c r="EVG28" s="19"/>
      <c r="EVH28" s="19"/>
      <c r="EVI28" s="19"/>
      <c r="EVJ28" s="19"/>
      <c r="EVK28" s="19"/>
      <c r="EVL28" s="19"/>
      <c r="EVM28" s="19"/>
      <c r="EVN28" s="19"/>
      <c r="EVO28" s="19"/>
      <c r="EVP28" s="19"/>
      <c r="EVQ28" s="19"/>
      <c r="EVR28" s="19"/>
      <c r="EVS28" s="19"/>
      <c r="EVT28" s="19"/>
      <c r="EVU28" s="19"/>
      <c r="EVV28" s="19"/>
      <c r="EVW28" s="19"/>
      <c r="EVX28" s="19"/>
      <c r="EVY28" s="19"/>
      <c r="EVZ28" s="19"/>
      <c r="EWA28" s="19"/>
      <c r="EWB28" s="19"/>
      <c r="EWC28" s="19"/>
      <c r="EWD28" s="19"/>
      <c r="EWE28" s="19"/>
      <c r="EWF28" s="19"/>
      <c r="EWG28" s="19"/>
      <c r="EWH28" s="19"/>
      <c r="EWI28" s="19"/>
      <c r="EWJ28" s="19"/>
      <c r="EWK28" s="19"/>
      <c r="EWL28" s="19"/>
      <c r="EWM28" s="19"/>
      <c r="EWN28" s="19"/>
      <c r="EWO28" s="19"/>
      <c r="EWP28" s="19"/>
      <c r="EWQ28" s="19"/>
      <c r="EWR28" s="19"/>
      <c r="EWS28" s="19"/>
      <c r="EWT28" s="19"/>
      <c r="EWU28" s="19"/>
      <c r="EWV28" s="19"/>
      <c r="EWW28" s="19"/>
      <c r="EWX28" s="19"/>
      <c r="EWY28" s="19"/>
      <c r="EWZ28" s="19"/>
      <c r="EXA28" s="19"/>
      <c r="EXB28" s="19"/>
      <c r="EXC28" s="19"/>
      <c r="EXD28" s="19"/>
      <c r="EXE28" s="19"/>
      <c r="EXF28" s="19"/>
      <c r="EXG28" s="19"/>
      <c r="EXH28" s="19"/>
      <c r="EXI28" s="19"/>
      <c r="EXJ28" s="19"/>
      <c r="EXK28" s="19"/>
      <c r="EXL28" s="19"/>
      <c r="EXM28" s="19"/>
      <c r="EXN28" s="19"/>
      <c r="EXO28" s="19"/>
      <c r="EXP28" s="19"/>
      <c r="EXQ28" s="19"/>
      <c r="EXR28" s="19"/>
      <c r="EXS28" s="19"/>
      <c r="EXT28" s="19"/>
      <c r="EXU28" s="19"/>
      <c r="EXV28" s="19"/>
      <c r="EXW28" s="19"/>
      <c r="EXX28" s="19"/>
      <c r="EXY28" s="19"/>
      <c r="EXZ28" s="19"/>
      <c r="EYA28" s="19"/>
      <c r="EYB28" s="19"/>
      <c r="EYC28" s="19"/>
      <c r="EYD28" s="19"/>
      <c r="EYE28" s="19"/>
      <c r="EYF28" s="19"/>
      <c r="EYG28" s="19"/>
      <c r="EYH28" s="19"/>
      <c r="EYI28" s="19"/>
      <c r="EYJ28" s="19"/>
      <c r="EYK28" s="19"/>
      <c r="EYL28" s="19"/>
      <c r="EYM28" s="19"/>
      <c r="EYN28" s="19"/>
      <c r="EYO28" s="19"/>
      <c r="EYP28" s="19"/>
      <c r="EYQ28" s="19"/>
      <c r="EYR28" s="19"/>
      <c r="EYS28" s="19"/>
      <c r="EYT28" s="19"/>
      <c r="EYU28" s="19"/>
      <c r="EYV28" s="19"/>
      <c r="EYW28" s="19"/>
      <c r="EYX28" s="19"/>
      <c r="EYY28" s="19"/>
      <c r="EYZ28" s="19"/>
      <c r="EZA28" s="19"/>
      <c r="EZB28" s="19"/>
      <c r="EZC28" s="19"/>
      <c r="EZD28" s="19"/>
      <c r="EZE28" s="19"/>
      <c r="EZF28" s="19"/>
      <c r="EZG28" s="19"/>
      <c r="EZH28" s="19"/>
      <c r="EZI28" s="19"/>
      <c r="EZJ28" s="19"/>
      <c r="EZK28" s="19"/>
      <c r="EZL28" s="19"/>
      <c r="EZM28" s="19"/>
      <c r="EZN28" s="19"/>
      <c r="EZO28" s="19"/>
      <c r="EZP28" s="19"/>
      <c r="EZQ28" s="19"/>
      <c r="EZR28" s="19"/>
      <c r="EZS28" s="19"/>
      <c r="EZT28" s="19"/>
      <c r="EZU28" s="19"/>
      <c r="EZV28" s="19"/>
      <c r="EZW28" s="19"/>
      <c r="EZX28" s="19"/>
      <c r="EZY28" s="19"/>
      <c r="EZZ28" s="19"/>
      <c r="FAA28" s="19"/>
      <c r="FAB28" s="19"/>
      <c r="FAC28" s="19"/>
      <c r="FAD28" s="19"/>
      <c r="FAE28" s="19"/>
      <c r="FAF28" s="19"/>
      <c r="FAG28" s="19"/>
      <c r="FAH28" s="19"/>
      <c r="FAI28" s="19"/>
      <c r="FAJ28" s="19"/>
      <c r="FAK28" s="19"/>
      <c r="FAL28" s="19"/>
      <c r="FAM28" s="19"/>
      <c r="FAN28" s="19"/>
      <c r="FAO28" s="19"/>
      <c r="FAP28" s="19"/>
      <c r="FAQ28" s="19"/>
      <c r="FAR28" s="19"/>
      <c r="FAS28" s="19"/>
      <c r="FAT28" s="19"/>
      <c r="FAU28" s="19"/>
      <c r="FAV28" s="19"/>
      <c r="FAW28" s="19"/>
      <c r="FAX28" s="19"/>
      <c r="FAY28" s="19"/>
      <c r="FAZ28" s="19"/>
      <c r="FBA28" s="19"/>
      <c r="FBB28" s="19"/>
      <c r="FBC28" s="19"/>
      <c r="FBD28" s="19"/>
      <c r="FBE28" s="19"/>
      <c r="FBF28" s="19"/>
      <c r="FBG28" s="19"/>
      <c r="FBH28" s="19"/>
      <c r="FBI28" s="19"/>
      <c r="FBJ28" s="19"/>
      <c r="FBK28" s="19"/>
      <c r="FBL28" s="19"/>
      <c r="FBM28" s="19"/>
      <c r="FBN28" s="19"/>
      <c r="FBO28" s="19"/>
      <c r="FBP28" s="19"/>
      <c r="FBQ28" s="19"/>
      <c r="FBR28" s="19"/>
      <c r="FBS28" s="19"/>
      <c r="FBT28" s="19"/>
      <c r="FBU28" s="19"/>
      <c r="FBV28" s="19"/>
      <c r="FBW28" s="19"/>
      <c r="FBX28" s="19"/>
      <c r="FBY28" s="19"/>
      <c r="FBZ28" s="19"/>
      <c r="FCA28" s="19"/>
      <c r="FCB28" s="19"/>
      <c r="FCC28" s="19"/>
      <c r="FCD28" s="19"/>
      <c r="FCE28" s="19"/>
      <c r="FCF28" s="19"/>
      <c r="FCG28" s="19"/>
      <c r="FCH28" s="19"/>
      <c r="FCI28" s="19"/>
      <c r="FCJ28" s="19"/>
      <c r="FCK28" s="19"/>
      <c r="FCL28" s="19"/>
      <c r="FCM28" s="19"/>
      <c r="FCN28" s="19"/>
      <c r="FCO28" s="19"/>
      <c r="FCP28" s="19"/>
      <c r="FCQ28" s="19"/>
      <c r="FCR28" s="19"/>
      <c r="FCS28" s="19"/>
      <c r="FCT28" s="19"/>
      <c r="FCU28" s="19"/>
      <c r="FCV28" s="19"/>
      <c r="FCW28" s="19"/>
      <c r="FCX28" s="19"/>
      <c r="FCY28" s="19"/>
      <c r="FCZ28" s="19"/>
      <c r="FDA28" s="19"/>
      <c r="FDB28" s="19"/>
      <c r="FDC28" s="19"/>
      <c r="FDD28" s="19"/>
      <c r="FDE28" s="19"/>
      <c r="FDF28" s="19"/>
      <c r="FDG28" s="19"/>
      <c r="FDH28" s="19"/>
      <c r="FDI28" s="19"/>
      <c r="FDJ28" s="19"/>
      <c r="FDK28" s="19"/>
      <c r="FDL28" s="19"/>
      <c r="FDM28" s="19"/>
      <c r="FDN28" s="19"/>
      <c r="FDO28" s="19"/>
      <c r="FDP28" s="19"/>
      <c r="FDQ28" s="19"/>
      <c r="FDR28" s="19"/>
      <c r="FDS28" s="19"/>
      <c r="FDT28" s="19"/>
      <c r="FDU28" s="19"/>
      <c r="FDV28" s="19"/>
      <c r="FDW28" s="19"/>
      <c r="FDX28" s="19"/>
      <c r="FDY28" s="19"/>
      <c r="FDZ28" s="19"/>
      <c r="FEA28" s="19"/>
      <c r="FEB28" s="19"/>
      <c r="FEC28" s="19"/>
      <c r="FED28" s="19"/>
      <c r="FEE28" s="19"/>
      <c r="FEF28" s="19"/>
      <c r="FEG28" s="19"/>
      <c r="FEH28" s="19"/>
      <c r="FEI28" s="19"/>
      <c r="FEJ28" s="19"/>
      <c r="FEK28" s="19"/>
      <c r="FEL28" s="19"/>
      <c r="FEM28" s="19"/>
      <c r="FEN28" s="19"/>
      <c r="FEO28" s="19"/>
      <c r="FEP28" s="19"/>
      <c r="FEQ28" s="19"/>
      <c r="FER28" s="19"/>
      <c r="FES28" s="19"/>
      <c r="FET28" s="19"/>
      <c r="FEU28" s="19"/>
      <c r="FEV28" s="19"/>
      <c r="FEW28" s="19"/>
      <c r="FEX28" s="19"/>
      <c r="FEY28" s="19"/>
      <c r="FEZ28" s="19"/>
      <c r="FFA28" s="19"/>
      <c r="FFB28" s="19"/>
      <c r="FFC28" s="19"/>
      <c r="FFD28" s="19"/>
      <c r="FFE28" s="19"/>
      <c r="FFF28" s="19"/>
      <c r="FFG28" s="19"/>
      <c r="FFH28" s="19"/>
      <c r="FFI28" s="19"/>
      <c r="FFJ28" s="19"/>
      <c r="FFK28" s="19"/>
      <c r="FFL28" s="19"/>
      <c r="FFM28" s="19"/>
      <c r="FFN28" s="19"/>
      <c r="FFO28" s="19"/>
      <c r="FFP28" s="19"/>
      <c r="FFQ28" s="19"/>
      <c r="FFR28" s="19"/>
      <c r="FFS28" s="19"/>
      <c r="FFT28" s="19"/>
      <c r="FFU28" s="19"/>
      <c r="FFV28" s="19"/>
      <c r="FFW28" s="19"/>
      <c r="FFX28" s="19"/>
      <c r="FFY28" s="19"/>
      <c r="FFZ28" s="19"/>
      <c r="FGA28" s="19"/>
      <c r="FGB28" s="19"/>
      <c r="FGC28" s="19"/>
      <c r="FGD28" s="19"/>
      <c r="FGE28" s="19"/>
      <c r="FGF28" s="19"/>
      <c r="FGG28" s="19"/>
      <c r="FGH28" s="19"/>
      <c r="FGI28" s="19"/>
      <c r="FGJ28" s="19"/>
      <c r="FGK28" s="19"/>
      <c r="FGL28" s="19"/>
      <c r="FGM28" s="19"/>
      <c r="FGN28" s="19"/>
      <c r="FGO28" s="19"/>
      <c r="FGP28" s="19"/>
      <c r="FGQ28" s="19"/>
      <c r="FGR28" s="19"/>
      <c r="FGS28" s="19"/>
      <c r="FGT28" s="19"/>
      <c r="FGU28" s="19"/>
      <c r="FGV28" s="19"/>
      <c r="FGW28" s="19"/>
      <c r="FGX28" s="19"/>
      <c r="FGY28" s="19"/>
      <c r="FGZ28" s="19"/>
      <c r="FHA28" s="19"/>
      <c r="FHB28" s="19"/>
      <c r="FHC28" s="19"/>
      <c r="FHD28" s="19"/>
      <c r="FHE28" s="19"/>
      <c r="FHF28" s="19"/>
      <c r="FHG28" s="19"/>
      <c r="FHH28" s="19"/>
      <c r="FHI28" s="19"/>
      <c r="FHJ28" s="19"/>
      <c r="FHK28" s="19"/>
      <c r="FHL28" s="19"/>
      <c r="FHM28" s="19"/>
      <c r="FHN28" s="19"/>
      <c r="FHO28" s="19"/>
      <c r="FHP28" s="19"/>
      <c r="FHQ28" s="19"/>
      <c r="FHR28" s="19"/>
      <c r="FHS28" s="19"/>
      <c r="FHT28" s="19"/>
      <c r="FHU28" s="19"/>
      <c r="FHV28" s="19"/>
      <c r="FHW28" s="19"/>
      <c r="FHX28" s="19"/>
      <c r="FHY28" s="19"/>
      <c r="FHZ28" s="19"/>
      <c r="FIA28" s="19"/>
      <c r="FIB28" s="19"/>
      <c r="FIC28" s="19"/>
      <c r="FID28" s="19"/>
      <c r="FIE28" s="19"/>
      <c r="FIF28" s="19"/>
      <c r="FIG28" s="19"/>
      <c r="FIH28" s="19"/>
      <c r="FII28" s="19"/>
      <c r="FIJ28" s="19"/>
      <c r="FIK28" s="19"/>
      <c r="FIL28" s="19"/>
      <c r="FIM28" s="19"/>
      <c r="FIN28" s="19"/>
      <c r="FIO28" s="19"/>
      <c r="FIP28" s="19"/>
      <c r="FIQ28" s="19"/>
      <c r="FIR28" s="19"/>
      <c r="FIS28" s="19"/>
      <c r="FIT28" s="19"/>
      <c r="FIU28" s="19"/>
      <c r="FIV28" s="19"/>
      <c r="FIW28" s="19"/>
      <c r="FIX28" s="19"/>
      <c r="FIY28" s="19"/>
      <c r="FIZ28" s="19"/>
      <c r="FJA28" s="19"/>
      <c r="FJB28" s="19"/>
      <c r="FJC28" s="19"/>
      <c r="FJD28" s="19"/>
      <c r="FJE28" s="19"/>
      <c r="FJF28" s="19"/>
      <c r="FJG28" s="19"/>
      <c r="FJH28" s="19"/>
      <c r="FJI28" s="19"/>
      <c r="FJJ28" s="19"/>
      <c r="FJK28" s="19"/>
      <c r="FJL28" s="19"/>
      <c r="FJM28" s="19"/>
      <c r="FJN28" s="19"/>
      <c r="FJO28" s="19"/>
      <c r="FJP28" s="19"/>
      <c r="FJQ28" s="19"/>
      <c r="FJR28" s="19"/>
      <c r="FJS28" s="19"/>
      <c r="FJT28" s="19"/>
      <c r="FJU28" s="19"/>
      <c r="FJV28" s="19"/>
      <c r="FJW28" s="19"/>
      <c r="FJX28" s="19"/>
      <c r="FJY28" s="19"/>
      <c r="FJZ28" s="19"/>
      <c r="FKA28" s="19"/>
      <c r="FKB28" s="19"/>
      <c r="FKC28" s="19"/>
      <c r="FKD28" s="19"/>
      <c r="FKE28" s="19"/>
      <c r="FKF28" s="19"/>
      <c r="FKG28" s="19"/>
      <c r="FKH28" s="19"/>
      <c r="FKI28" s="19"/>
      <c r="FKJ28" s="19"/>
      <c r="FKK28" s="19"/>
      <c r="FKL28" s="19"/>
      <c r="FKM28" s="19"/>
      <c r="FKN28" s="19"/>
      <c r="FKO28" s="19"/>
      <c r="FKP28" s="19"/>
      <c r="FKQ28" s="19"/>
      <c r="FKR28" s="19"/>
      <c r="FKS28" s="19"/>
      <c r="FKT28" s="19"/>
      <c r="FKU28" s="19"/>
      <c r="FKV28" s="19"/>
      <c r="FKW28" s="19"/>
      <c r="FKX28" s="19"/>
      <c r="FKY28" s="19"/>
      <c r="FKZ28" s="19"/>
      <c r="FLA28" s="19"/>
      <c r="FLB28" s="19"/>
      <c r="FLC28" s="19"/>
      <c r="FLD28" s="19"/>
      <c r="FLE28" s="19"/>
      <c r="FLF28" s="19"/>
      <c r="FLG28" s="19"/>
      <c r="FLH28" s="19"/>
      <c r="FLI28" s="19"/>
      <c r="FLJ28" s="19"/>
      <c r="FLK28" s="19"/>
      <c r="FLL28" s="19"/>
      <c r="FLM28" s="19"/>
      <c r="FLN28" s="19"/>
      <c r="FLO28" s="19"/>
      <c r="FLP28" s="19"/>
      <c r="FLQ28" s="19"/>
      <c r="FLR28" s="19"/>
      <c r="FLS28" s="19"/>
      <c r="FLT28" s="19"/>
      <c r="FLU28" s="19"/>
      <c r="FLV28" s="19"/>
      <c r="FLW28" s="19"/>
      <c r="FLX28" s="19"/>
      <c r="FLY28" s="19"/>
      <c r="FLZ28" s="19"/>
      <c r="FMA28" s="19"/>
      <c r="FMB28" s="19"/>
      <c r="FMC28" s="19"/>
      <c r="FMD28" s="19"/>
      <c r="FME28" s="19"/>
      <c r="FMF28" s="19"/>
      <c r="FMG28" s="19"/>
      <c r="FMH28" s="19"/>
      <c r="FMI28" s="19"/>
      <c r="FMJ28" s="19"/>
      <c r="FMK28" s="19"/>
      <c r="FML28" s="19"/>
      <c r="FMM28" s="19"/>
      <c r="FMN28" s="19"/>
      <c r="FMO28" s="19"/>
      <c r="FMP28" s="19"/>
      <c r="FMQ28" s="19"/>
      <c r="FMR28" s="19"/>
      <c r="FMS28" s="19"/>
      <c r="FMT28" s="19"/>
      <c r="FMU28" s="19"/>
      <c r="FMV28" s="19"/>
      <c r="FMW28" s="19"/>
      <c r="FMX28" s="19"/>
      <c r="FMY28" s="19"/>
      <c r="FMZ28" s="19"/>
      <c r="FNA28" s="19"/>
      <c r="FNB28" s="19"/>
      <c r="FNC28" s="19"/>
      <c r="FND28" s="19"/>
      <c r="FNE28" s="19"/>
      <c r="FNF28" s="19"/>
      <c r="FNG28" s="19"/>
      <c r="FNH28" s="19"/>
      <c r="FNI28" s="19"/>
      <c r="FNJ28" s="19"/>
      <c r="FNK28" s="19"/>
      <c r="FNL28" s="19"/>
      <c r="FNM28" s="19"/>
      <c r="FNN28" s="19"/>
      <c r="FNO28" s="19"/>
      <c r="FNP28" s="19"/>
      <c r="FNQ28" s="19"/>
      <c r="FNR28" s="19"/>
      <c r="FNS28" s="19"/>
      <c r="FNT28" s="19"/>
      <c r="FNU28" s="19"/>
      <c r="FNV28" s="19"/>
      <c r="FNW28" s="19"/>
      <c r="FNX28" s="19"/>
      <c r="FNY28" s="19"/>
      <c r="FNZ28" s="19"/>
      <c r="FOA28" s="19"/>
      <c r="FOB28" s="19"/>
      <c r="FOC28" s="19"/>
      <c r="FOD28" s="19"/>
      <c r="FOE28" s="19"/>
      <c r="FOF28" s="19"/>
      <c r="FOG28" s="19"/>
      <c r="FOH28" s="19"/>
      <c r="FOI28" s="19"/>
      <c r="FOJ28" s="19"/>
      <c r="FOK28" s="19"/>
      <c r="FOL28" s="19"/>
      <c r="FOM28" s="19"/>
      <c r="FON28" s="19"/>
      <c r="FOO28" s="19"/>
      <c r="FOP28" s="19"/>
      <c r="FOQ28" s="19"/>
      <c r="FOR28" s="19"/>
      <c r="FOS28" s="19"/>
      <c r="FOT28" s="19"/>
      <c r="FOU28" s="19"/>
      <c r="FOV28" s="19"/>
      <c r="FOW28" s="19"/>
      <c r="FOX28" s="19"/>
      <c r="FOY28" s="19"/>
      <c r="FOZ28" s="19"/>
      <c r="FPA28" s="19"/>
      <c r="FPB28" s="19"/>
      <c r="FPC28" s="19"/>
      <c r="FPD28" s="19"/>
      <c r="FPE28" s="19"/>
      <c r="FPF28" s="19"/>
      <c r="FPG28" s="19"/>
      <c r="FPH28" s="19"/>
      <c r="FPI28" s="19"/>
      <c r="FPJ28" s="19"/>
      <c r="FPK28" s="19"/>
      <c r="FPL28" s="19"/>
      <c r="FPM28" s="19"/>
      <c r="FPN28" s="19"/>
      <c r="FPO28" s="19"/>
      <c r="FPP28" s="19"/>
      <c r="FPQ28" s="19"/>
      <c r="FPR28" s="19"/>
      <c r="FPS28" s="19"/>
      <c r="FPT28" s="19"/>
      <c r="FPU28" s="19"/>
      <c r="FPV28" s="19"/>
      <c r="FPW28" s="19"/>
      <c r="FPX28" s="19"/>
      <c r="FPY28" s="19"/>
      <c r="FPZ28" s="19"/>
      <c r="FQA28" s="19"/>
      <c r="FQB28" s="19"/>
      <c r="FQC28" s="19"/>
      <c r="FQD28" s="19"/>
      <c r="FQE28" s="19"/>
      <c r="FQF28" s="19"/>
      <c r="FQG28" s="19"/>
      <c r="FQH28" s="19"/>
      <c r="FQI28" s="19"/>
      <c r="FQJ28" s="19"/>
      <c r="FQK28" s="19"/>
      <c r="FQL28" s="19"/>
      <c r="FQM28" s="19"/>
      <c r="FQN28" s="19"/>
      <c r="FQO28" s="19"/>
      <c r="FQP28" s="19"/>
      <c r="FQQ28" s="19"/>
      <c r="FQR28" s="19"/>
      <c r="FQS28" s="19"/>
      <c r="FQT28" s="19"/>
      <c r="FQU28" s="19"/>
      <c r="FQV28" s="19"/>
      <c r="FQW28" s="19"/>
      <c r="FQX28" s="19"/>
      <c r="FQY28" s="19"/>
      <c r="FQZ28" s="19"/>
      <c r="FRA28" s="19"/>
      <c r="FRB28" s="19"/>
      <c r="FRC28" s="19"/>
      <c r="FRD28" s="19"/>
      <c r="FRE28" s="19"/>
      <c r="FRF28" s="19"/>
      <c r="FRG28" s="19"/>
      <c r="FRH28" s="19"/>
      <c r="FRI28" s="19"/>
      <c r="FRJ28" s="19"/>
      <c r="FRK28" s="19"/>
      <c r="FRL28" s="19"/>
      <c r="FRM28" s="19"/>
      <c r="FRN28" s="19"/>
      <c r="FRO28" s="19"/>
      <c r="FRP28" s="19"/>
      <c r="FRQ28" s="19"/>
      <c r="FRR28" s="19"/>
      <c r="FRS28" s="19"/>
      <c r="FRT28" s="19"/>
      <c r="FRU28" s="19"/>
      <c r="FRV28" s="19"/>
      <c r="FRW28" s="19"/>
      <c r="FRX28" s="19"/>
      <c r="FRY28" s="19"/>
      <c r="FRZ28" s="19"/>
      <c r="FSA28" s="19"/>
      <c r="FSB28" s="19"/>
      <c r="FSC28" s="19"/>
      <c r="FSD28" s="19"/>
      <c r="FSE28" s="19"/>
      <c r="FSF28" s="19"/>
      <c r="FSG28" s="19"/>
      <c r="FSH28" s="19"/>
      <c r="FSI28" s="19"/>
      <c r="FSJ28" s="19"/>
      <c r="FSK28" s="19"/>
      <c r="FSL28" s="19"/>
      <c r="FSM28" s="19"/>
      <c r="FSN28" s="19"/>
      <c r="FSO28" s="19"/>
      <c r="FSP28" s="19"/>
      <c r="FSQ28" s="19"/>
      <c r="FSR28" s="19"/>
      <c r="FSS28" s="19"/>
      <c r="FST28" s="19"/>
      <c r="FSU28" s="19"/>
      <c r="FSV28" s="19"/>
      <c r="FSW28" s="19"/>
      <c r="FSX28" s="19"/>
      <c r="FSY28" s="19"/>
      <c r="FSZ28" s="19"/>
      <c r="FTA28" s="19"/>
      <c r="FTB28" s="19"/>
      <c r="FTC28" s="19"/>
      <c r="FTD28" s="19"/>
      <c r="FTE28" s="19"/>
      <c r="FTF28" s="19"/>
      <c r="FTG28" s="19"/>
      <c r="FTH28" s="19"/>
      <c r="FTI28" s="19"/>
      <c r="FTJ28" s="19"/>
      <c r="FTK28" s="19"/>
      <c r="FTL28" s="19"/>
      <c r="FTM28" s="19"/>
      <c r="FTN28" s="19"/>
      <c r="FTO28" s="19"/>
      <c r="FTP28" s="19"/>
      <c r="FTQ28" s="19"/>
      <c r="FTR28" s="19"/>
      <c r="FTS28" s="19"/>
      <c r="FTT28" s="19"/>
      <c r="FTU28" s="19"/>
      <c r="FTV28" s="19"/>
      <c r="FTW28" s="19"/>
      <c r="FTX28" s="19"/>
      <c r="FTY28" s="19"/>
      <c r="FTZ28" s="19"/>
      <c r="FUA28" s="19"/>
      <c r="FUB28" s="19"/>
      <c r="FUC28" s="19"/>
      <c r="FUD28" s="19"/>
      <c r="FUE28" s="19"/>
      <c r="FUF28" s="19"/>
      <c r="FUG28" s="19"/>
      <c r="FUH28" s="19"/>
      <c r="FUI28" s="19"/>
      <c r="FUJ28" s="19"/>
      <c r="FUK28" s="19"/>
      <c r="FUL28" s="19"/>
      <c r="FUM28" s="19"/>
      <c r="FUN28" s="19"/>
      <c r="FUO28" s="19"/>
      <c r="FUP28" s="19"/>
      <c r="FUQ28" s="19"/>
      <c r="FUR28" s="19"/>
      <c r="FUS28" s="19"/>
      <c r="FUT28" s="19"/>
      <c r="FUU28" s="19"/>
      <c r="FUV28" s="19"/>
      <c r="FUW28" s="19"/>
      <c r="FUX28" s="19"/>
      <c r="FUY28" s="19"/>
      <c r="FUZ28" s="19"/>
      <c r="FVA28" s="19"/>
      <c r="FVB28" s="19"/>
      <c r="FVC28" s="19"/>
      <c r="FVD28" s="19"/>
      <c r="FVE28" s="19"/>
      <c r="FVF28" s="19"/>
      <c r="FVG28" s="19"/>
      <c r="FVH28" s="19"/>
      <c r="FVI28" s="19"/>
      <c r="FVJ28" s="19"/>
      <c r="FVK28" s="19"/>
      <c r="FVL28" s="19"/>
      <c r="FVM28" s="19"/>
      <c r="FVN28" s="19"/>
      <c r="FVO28" s="19"/>
      <c r="FVP28" s="19"/>
      <c r="FVQ28" s="19"/>
      <c r="FVR28" s="19"/>
      <c r="FVS28" s="19"/>
      <c r="FVT28" s="19"/>
      <c r="FVU28" s="19"/>
      <c r="FVV28" s="19"/>
      <c r="FVW28" s="19"/>
      <c r="FVX28" s="19"/>
      <c r="FVY28" s="19"/>
      <c r="FVZ28" s="19"/>
      <c r="FWA28" s="19"/>
      <c r="FWB28" s="19"/>
      <c r="FWC28" s="19"/>
      <c r="FWD28" s="19"/>
      <c r="FWE28" s="19"/>
      <c r="FWF28" s="19"/>
      <c r="FWG28" s="19"/>
      <c r="FWH28" s="19"/>
      <c r="FWI28" s="19"/>
      <c r="FWJ28" s="19"/>
      <c r="FWK28" s="19"/>
      <c r="FWL28" s="19"/>
      <c r="FWM28" s="19"/>
      <c r="FWN28" s="19"/>
      <c r="FWO28" s="19"/>
      <c r="FWP28" s="19"/>
      <c r="FWQ28" s="19"/>
      <c r="FWR28" s="19"/>
      <c r="FWS28" s="19"/>
      <c r="FWT28" s="19"/>
      <c r="FWU28" s="19"/>
      <c r="FWV28" s="19"/>
      <c r="FWW28" s="19"/>
      <c r="FWX28" s="19"/>
      <c r="FWY28" s="19"/>
      <c r="FWZ28" s="19"/>
      <c r="FXA28" s="19"/>
      <c r="FXB28" s="19"/>
      <c r="FXC28" s="19"/>
      <c r="FXD28" s="19"/>
      <c r="FXE28" s="19"/>
      <c r="FXF28" s="19"/>
      <c r="FXG28" s="19"/>
      <c r="FXH28" s="19"/>
      <c r="FXI28" s="19"/>
      <c r="FXJ28" s="19"/>
      <c r="FXK28" s="19"/>
      <c r="FXL28" s="19"/>
      <c r="FXM28" s="19"/>
      <c r="FXN28" s="19"/>
      <c r="FXO28" s="19"/>
      <c r="FXP28" s="19"/>
      <c r="FXQ28" s="19"/>
      <c r="FXR28" s="19"/>
      <c r="FXS28" s="19"/>
      <c r="FXT28" s="19"/>
      <c r="FXU28" s="19"/>
      <c r="FXV28" s="19"/>
      <c r="FXW28" s="19"/>
      <c r="FXX28" s="19"/>
      <c r="FXY28" s="19"/>
      <c r="FXZ28" s="19"/>
      <c r="FYA28" s="19"/>
      <c r="FYB28" s="19"/>
      <c r="FYC28" s="19"/>
      <c r="FYD28" s="19"/>
      <c r="FYE28" s="19"/>
      <c r="FYF28" s="19"/>
      <c r="FYG28" s="19"/>
      <c r="FYH28" s="19"/>
      <c r="FYI28" s="19"/>
      <c r="FYJ28" s="19"/>
      <c r="FYK28" s="19"/>
      <c r="FYL28" s="19"/>
      <c r="FYM28" s="19"/>
      <c r="FYN28" s="19"/>
      <c r="FYO28" s="19"/>
      <c r="FYP28" s="19"/>
      <c r="FYQ28" s="19"/>
      <c r="FYR28" s="19"/>
      <c r="FYS28" s="19"/>
      <c r="FYT28" s="19"/>
      <c r="FYU28" s="19"/>
      <c r="FYV28" s="19"/>
      <c r="FYW28" s="19"/>
      <c r="FYX28" s="19"/>
      <c r="FYY28" s="19"/>
      <c r="FYZ28" s="19"/>
      <c r="FZA28" s="19"/>
      <c r="FZB28" s="19"/>
      <c r="FZC28" s="19"/>
      <c r="FZD28" s="19"/>
      <c r="FZE28" s="19"/>
      <c r="FZF28" s="19"/>
      <c r="FZG28" s="19"/>
      <c r="FZH28" s="19"/>
      <c r="FZI28" s="19"/>
      <c r="FZJ28" s="19"/>
      <c r="FZK28" s="19"/>
      <c r="FZL28" s="19"/>
      <c r="FZM28" s="19"/>
      <c r="FZN28" s="19"/>
      <c r="FZO28" s="19"/>
      <c r="FZP28" s="19"/>
      <c r="FZQ28" s="19"/>
      <c r="FZR28" s="19"/>
      <c r="FZS28" s="19"/>
      <c r="FZT28" s="19"/>
      <c r="FZU28" s="19"/>
      <c r="FZV28" s="19"/>
      <c r="FZW28" s="19"/>
      <c r="FZX28" s="19"/>
      <c r="FZY28" s="19"/>
      <c r="FZZ28" s="19"/>
      <c r="GAA28" s="19"/>
      <c r="GAB28" s="19"/>
      <c r="GAC28" s="19"/>
      <c r="GAD28" s="19"/>
      <c r="GAE28" s="19"/>
      <c r="GAF28" s="19"/>
      <c r="GAG28" s="19"/>
      <c r="GAH28" s="19"/>
      <c r="GAI28" s="19"/>
      <c r="GAJ28" s="19"/>
      <c r="GAK28" s="19"/>
      <c r="GAL28" s="19"/>
      <c r="GAM28" s="19"/>
      <c r="GAN28" s="19"/>
      <c r="GAO28" s="19"/>
      <c r="GAP28" s="19"/>
      <c r="GAQ28" s="19"/>
      <c r="GAR28" s="19"/>
      <c r="GAS28" s="19"/>
      <c r="GAT28" s="19"/>
      <c r="GAU28" s="19"/>
      <c r="GAV28" s="19"/>
      <c r="GAW28" s="19"/>
      <c r="GAX28" s="19"/>
      <c r="GAY28" s="19"/>
      <c r="GAZ28" s="19"/>
      <c r="GBA28" s="19"/>
      <c r="GBB28" s="19"/>
      <c r="GBC28" s="19"/>
      <c r="GBD28" s="19"/>
      <c r="GBE28" s="19"/>
      <c r="GBF28" s="19"/>
      <c r="GBG28" s="19"/>
      <c r="GBH28" s="19"/>
      <c r="GBI28" s="19"/>
      <c r="GBJ28" s="19"/>
      <c r="GBK28" s="19"/>
      <c r="GBL28" s="19"/>
      <c r="GBM28" s="19"/>
      <c r="GBN28" s="19"/>
      <c r="GBO28" s="19"/>
      <c r="GBP28" s="19"/>
      <c r="GBQ28" s="19"/>
      <c r="GBR28" s="19"/>
      <c r="GBS28" s="19"/>
      <c r="GBT28" s="19"/>
      <c r="GBU28" s="19"/>
      <c r="GBV28" s="19"/>
      <c r="GBW28" s="19"/>
      <c r="GBX28" s="19"/>
      <c r="GBY28" s="19"/>
      <c r="GBZ28" s="19"/>
      <c r="GCA28" s="19"/>
      <c r="GCB28" s="19"/>
      <c r="GCC28" s="19"/>
      <c r="GCD28" s="19"/>
      <c r="GCE28" s="19"/>
      <c r="GCF28" s="19"/>
      <c r="GCG28" s="19"/>
      <c r="GCH28" s="19"/>
      <c r="GCI28" s="19"/>
      <c r="GCJ28" s="19"/>
      <c r="GCK28" s="19"/>
      <c r="GCL28" s="19"/>
      <c r="GCM28" s="19"/>
      <c r="GCN28" s="19"/>
      <c r="GCO28" s="19"/>
      <c r="GCP28" s="19"/>
      <c r="GCQ28" s="19"/>
      <c r="GCR28" s="19"/>
      <c r="GCS28" s="19"/>
      <c r="GCT28" s="19"/>
      <c r="GCU28" s="19"/>
      <c r="GCV28" s="19"/>
      <c r="GCW28" s="19"/>
      <c r="GCX28" s="19"/>
      <c r="GCY28" s="19"/>
      <c r="GCZ28" s="19"/>
      <c r="GDA28" s="19"/>
      <c r="GDB28" s="19"/>
      <c r="GDC28" s="19"/>
      <c r="GDD28" s="19"/>
      <c r="GDE28" s="19"/>
      <c r="GDF28" s="19"/>
      <c r="GDG28" s="19"/>
      <c r="GDH28" s="19"/>
      <c r="GDI28" s="19"/>
      <c r="GDJ28" s="19"/>
      <c r="GDK28" s="19"/>
      <c r="GDL28" s="19"/>
      <c r="GDM28" s="19"/>
      <c r="GDN28" s="19"/>
      <c r="GDO28" s="19"/>
      <c r="GDP28" s="19"/>
      <c r="GDQ28" s="19"/>
      <c r="GDR28" s="19"/>
      <c r="GDS28" s="19"/>
      <c r="GDT28" s="19"/>
      <c r="GDU28" s="19"/>
      <c r="GDV28" s="19"/>
      <c r="GDW28" s="19"/>
      <c r="GDX28" s="19"/>
      <c r="GDY28" s="19"/>
      <c r="GDZ28" s="19"/>
      <c r="GEA28" s="19"/>
      <c r="GEB28" s="19"/>
      <c r="GEC28" s="19"/>
      <c r="GED28" s="19"/>
      <c r="GEE28" s="19"/>
      <c r="GEF28" s="19"/>
      <c r="GEG28" s="19"/>
      <c r="GEH28" s="19"/>
      <c r="GEI28" s="19"/>
      <c r="GEJ28" s="19"/>
      <c r="GEK28" s="19"/>
      <c r="GEL28" s="19"/>
      <c r="GEM28" s="19"/>
      <c r="GEN28" s="19"/>
      <c r="GEO28" s="19"/>
      <c r="GEP28" s="19"/>
      <c r="GEQ28" s="19"/>
      <c r="GER28" s="19"/>
      <c r="GES28" s="19"/>
      <c r="GET28" s="19"/>
      <c r="GEU28" s="19"/>
      <c r="GEV28" s="19"/>
      <c r="GEW28" s="19"/>
      <c r="GEX28" s="19"/>
      <c r="GEY28" s="19"/>
      <c r="GEZ28" s="19"/>
      <c r="GFA28" s="19"/>
      <c r="GFB28" s="19"/>
      <c r="GFC28" s="19"/>
      <c r="GFD28" s="19"/>
      <c r="GFE28" s="19"/>
      <c r="GFF28" s="19"/>
      <c r="GFG28" s="19"/>
      <c r="GFH28" s="19"/>
      <c r="GFI28" s="19"/>
      <c r="GFJ28" s="19"/>
      <c r="GFK28" s="19"/>
      <c r="GFL28" s="19"/>
      <c r="GFM28" s="19"/>
      <c r="GFN28" s="19"/>
      <c r="GFO28" s="19"/>
      <c r="GFP28" s="19"/>
      <c r="GFQ28" s="19"/>
      <c r="GFR28" s="19"/>
      <c r="GFS28" s="19"/>
      <c r="GFT28" s="19"/>
      <c r="GFU28" s="19"/>
      <c r="GFV28" s="19"/>
      <c r="GFW28" s="19"/>
      <c r="GFX28" s="19"/>
      <c r="GFY28" s="19"/>
      <c r="GFZ28" s="19"/>
      <c r="GGA28" s="19"/>
      <c r="GGB28" s="19"/>
      <c r="GGC28" s="19"/>
      <c r="GGD28" s="19"/>
      <c r="GGE28" s="19"/>
      <c r="GGF28" s="19"/>
      <c r="GGG28" s="19"/>
      <c r="GGH28" s="19"/>
      <c r="GGI28" s="19"/>
      <c r="GGJ28" s="19"/>
      <c r="GGK28" s="19"/>
      <c r="GGL28" s="19"/>
      <c r="GGM28" s="19"/>
      <c r="GGN28" s="19"/>
      <c r="GGO28" s="19"/>
      <c r="GGP28" s="19"/>
      <c r="GGQ28" s="19"/>
      <c r="GGR28" s="19"/>
      <c r="GGS28" s="19"/>
      <c r="GGT28" s="19"/>
      <c r="GGU28" s="19"/>
      <c r="GGV28" s="19"/>
      <c r="GGW28" s="19"/>
      <c r="GGX28" s="19"/>
      <c r="GGY28" s="19"/>
      <c r="GGZ28" s="19"/>
      <c r="GHA28" s="19"/>
      <c r="GHB28" s="19"/>
      <c r="GHC28" s="19"/>
      <c r="GHD28" s="19"/>
      <c r="GHE28" s="19"/>
      <c r="GHF28" s="19"/>
      <c r="GHG28" s="19"/>
      <c r="GHH28" s="19"/>
      <c r="GHI28" s="19"/>
      <c r="GHJ28" s="19"/>
      <c r="GHK28" s="19"/>
      <c r="GHL28" s="19"/>
      <c r="GHM28" s="19"/>
      <c r="GHN28" s="19"/>
      <c r="GHO28" s="19"/>
      <c r="GHP28" s="19"/>
      <c r="GHQ28" s="19"/>
      <c r="GHR28" s="19"/>
      <c r="GHS28" s="19"/>
      <c r="GHT28" s="19"/>
      <c r="GHU28" s="19"/>
      <c r="GHV28" s="19"/>
      <c r="GHW28" s="19"/>
      <c r="GHX28" s="19"/>
      <c r="GHY28" s="19"/>
      <c r="GHZ28" s="19"/>
      <c r="GIA28" s="19"/>
      <c r="GIB28" s="19"/>
      <c r="GIC28" s="19"/>
      <c r="GID28" s="19"/>
      <c r="GIE28" s="19"/>
      <c r="GIF28" s="19"/>
      <c r="GIG28" s="19"/>
      <c r="GIH28" s="19"/>
      <c r="GII28" s="19"/>
      <c r="GIJ28" s="19"/>
      <c r="GIK28" s="19"/>
      <c r="GIL28" s="19"/>
      <c r="GIM28" s="19"/>
      <c r="GIN28" s="19"/>
      <c r="GIO28" s="19"/>
      <c r="GIP28" s="19"/>
      <c r="GIQ28" s="19"/>
      <c r="GIR28" s="19"/>
      <c r="GIS28" s="19"/>
      <c r="GIT28" s="19"/>
      <c r="GIU28" s="19"/>
      <c r="GIV28" s="19"/>
      <c r="GIW28" s="19"/>
      <c r="GIX28" s="19"/>
      <c r="GIY28" s="19"/>
      <c r="GIZ28" s="19"/>
      <c r="GJA28" s="19"/>
      <c r="GJB28" s="19"/>
      <c r="GJC28" s="19"/>
      <c r="GJD28" s="19"/>
      <c r="GJE28" s="19"/>
      <c r="GJF28" s="19"/>
      <c r="GJG28" s="19"/>
      <c r="GJH28" s="19"/>
      <c r="GJI28" s="19"/>
      <c r="GJJ28" s="19"/>
      <c r="GJK28" s="19"/>
      <c r="GJL28" s="19"/>
      <c r="GJM28" s="19"/>
      <c r="GJN28" s="19"/>
      <c r="GJO28" s="19"/>
      <c r="GJP28" s="19"/>
      <c r="GJQ28" s="19"/>
      <c r="GJR28" s="19"/>
      <c r="GJS28" s="19"/>
      <c r="GJT28" s="19"/>
      <c r="GJU28" s="19"/>
      <c r="GJV28" s="19"/>
      <c r="GJW28" s="19"/>
      <c r="GJX28" s="19"/>
      <c r="GJY28" s="19"/>
      <c r="GJZ28" s="19"/>
      <c r="GKA28" s="19"/>
      <c r="GKB28" s="19"/>
      <c r="GKC28" s="19"/>
      <c r="GKD28" s="19"/>
      <c r="GKE28" s="19"/>
      <c r="GKF28" s="19"/>
      <c r="GKG28" s="19"/>
      <c r="GKH28" s="19"/>
      <c r="GKI28" s="19"/>
      <c r="GKJ28" s="19"/>
      <c r="GKK28" s="19"/>
      <c r="GKL28" s="19"/>
      <c r="GKM28" s="19"/>
      <c r="GKN28" s="19"/>
      <c r="GKO28" s="19"/>
      <c r="GKP28" s="19"/>
      <c r="GKQ28" s="19"/>
      <c r="GKR28" s="19"/>
      <c r="GKS28" s="19"/>
      <c r="GKT28" s="19"/>
      <c r="GKU28" s="19"/>
      <c r="GKV28" s="19"/>
      <c r="GKW28" s="19"/>
      <c r="GKX28" s="19"/>
      <c r="GKY28" s="19"/>
      <c r="GKZ28" s="19"/>
      <c r="GLA28" s="19"/>
      <c r="GLB28" s="19"/>
      <c r="GLC28" s="19"/>
      <c r="GLD28" s="19"/>
      <c r="GLE28" s="19"/>
      <c r="GLF28" s="19"/>
      <c r="GLG28" s="19"/>
      <c r="GLH28" s="19"/>
      <c r="GLI28" s="19"/>
      <c r="GLJ28" s="19"/>
      <c r="GLK28" s="19"/>
      <c r="GLL28" s="19"/>
      <c r="GLM28" s="19"/>
      <c r="GLN28" s="19"/>
      <c r="GLO28" s="19"/>
      <c r="GLP28" s="19"/>
      <c r="GLQ28" s="19"/>
      <c r="GLR28" s="19"/>
      <c r="GLS28" s="19"/>
      <c r="GLT28" s="19"/>
      <c r="GLU28" s="19"/>
      <c r="GLV28" s="19"/>
      <c r="GLW28" s="19"/>
      <c r="GLX28" s="19"/>
      <c r="GLY28" s="19"/>
      <c r="GLZ28" s="19"/>
      <c r="GMA28" s="19"/>
      <c r="GMB28" s="19"/>
      <c r="GMC28" s="19"/>
      <c r="GMD28" s="19"/>
      <c r="GME28" s="19"/>
      <c r="GMF28" s="19"/>
      <c r="GMG28" s="19"/>
      <c r="GMH28" s="19"/>
      <c r="GMI28" s="19"/>
      <c r="GMJ28" s="19"/>
      <c r="GMK28" s="19"/>
      <c r="GML28" s="19"/>
      <c r="GMM28" s="19"/>
      <c r="GMN28" s="19"/>
      <c r="GMO28" s="19"/>
      <c r="GMP28" s="19"/>
      <c r="GMQ28" s="19"/>
      <c r="GMR28" s="19"/>
      <c r="GMS28" s="19"/>
      <c r="GMT28" s="19"/>
      <c r="GMU28" s="19"/>
      <c r="GMV28" s="19"/>
      <c r="GMW28" s="19"/>
      <c r="GMX28" s="19"/>
      <c r="GMY28" s="19"/>
      <c r="GMZ28" s="19"/>
      <c r="GNA28" s="19"/>
      <c r="GNB28" s="19"/>
      <c r="GNC28" s="19"/>
      <c r="GND28" s="19"/>
      <c r="GNE28" s="19"/>
      <c r="GNF28" s="19"/>
      <c r="GNG28" s="19"/>
      <c r="GNH28" s="19"/>
      <c r="GNI28" s="19"/>
      <c r="GNJ28" s="19"/>
      <c r="GNK28" s="19"/>
      <c r="GNL28" s="19"/>
      <c r="GNM28" s="19"/>
      <c r="GNN28" s="19"/>
      <c r="GNO28" s="19"/>
      <c r="GNP28" s="19"/>
      <c r="GNQ28" s="19"/>
      <c r="GNR28" s="19"/>
      <c r="GNS28" s="19"/>
      <c r="GNT28" s="19"/>
      <c r="GNU28" s="19"/>
      <c r="GNV28" s="19"/>
      <c r="GNW28" s="19"/>
      <c r="GNX28" s="19"/>
      <c r="GNY28" s="19"/>
      <c r="GNZ28" s="19"/>
      <c r="GOA28" s="19"/>
      <c r="GOB28" s="19"/>
      <c r="GOC28" s="19"/>
      <c r="GOD28" s="19"/>
      <c r="GOE28" s="19"/>
      <c r="GOF28" s="19"/>
      <c r="GOG28" s="19"/>
      <c r="GOH28" s="19"/>
      <c r="GOI28" s="19"/>
      <c r="GOJ28" s="19"/>
      <c r="GOK28" s="19"/>
      <c r="GOL28" s="19"/>
      <c r="GOM28" s="19"/>
      <c r="GON28" s="19"/>
      <c r="GOO28" s="19"/>
      <c r="GOP28" s="19"/>
      <c r="GOQ28" s="19"/>
      <c r="GOR28" s="19"/>
      <c r="GOS28" s="19"/>
      <c r="GOT28" s="19"/>
      <c r="GOU28" s="19"/>
      <c r="GOV28" s="19"/>
      <c r="GOW28" s="19"/>
      <c r="GOX28" s="19"/>
      <c r="GOY28" s="19"/>
      <c r="GOZ28" s="19"/>
      <c r="GPA28" s="19"/>
      <c r="GPB28" s="19"/>
      <c r="GPC28" s="19"/>
      <c r="GPD28" s="19"/>
      <c r="GPE28" s="19"/>
      <c r="GPF28" s="19"/>
      <c r="GPG28" s="19"/>
      <c r="GPH28" s="19"/>
      <c r="GPI28" s="19"/>
      <c r="GPJ28" s="19"/>
      <c r="GPK28" s="19"/>
      <c r="GPL28" s="19"/>
      <c r="GPM28" s="19"/>
      <c r="GPN28" s="19"/>
      <c r="GPO28" s="19"/>
      <c r="GPP28" s="19"/>
      <c r="GPQ28" s="19"/>
      <c r="GPR28" s="19"/>
      <c r="GPS28" s="19"/>
      <c r="GPT28" s="19"/>
      <c r="GPU28" s="19"/>
      <c r="GPV28" s="19"/>
      <c r="GPW28" s="19"/>
      <c r="GPX28" s="19"/>
      <c r="GPY28" s="19"/>
      <c r="GPZ28" s="19"/>
      <c r="GQA28" s="19"/>
      <c r="GQB28" s="19"/>
      <c r="GQC28" s="19"/>
      <c r="GQD28" s="19"/>
      <c r="GQE28" s="19"/>
      <c r="GQF28" s="19"/>
      <c r="GQG28" s="19"/>
      <c r="GQH28" s="19"/>
      <c r="GQI28" s="19"/>
      <c r="GQJ28" s="19"/>
      <c r="GQK28" s="19"/>
      <c r="GQL28" s="19"/>
      <c r="GQM28" s="19"/>
      <c r="GQN28" s="19"/>
      <c r="GQO28" s="19"/>
      <c r="GQP28" s="19"/>
      <c r="GQQ28" s="19"/>
      <c r="GQR28" s="19"/>
      <c r="GQS28" s="19"/>
      <c r="GQT28" s="19"/>
      <c r="GQU28" s="19"/>
      <c r="GQV28" s="19"/>
      <c r="GQW28" s="19"/>
      <c r="GQX28" s="19"/>
      <c r="GQY28" s="19"/>
      <c r="GQZ28" s="19"/>
      <c r="GRA28" s="19"/>
      <c r="GRB28" s="19"/>
      <c r="GRC28" s="19"/>
      <c r="GRD28" s="19"/>
      <c r="GRE28" s="19"/>
      <c r="GRF28" s="19"/>
      <c r="GRG28" s="19"/>
      <c r="GRH28" s="19"/>
      <c r="GRI28" s="19"/>
      <c r="GRJ28" s="19"/>
      <c r="GRK28" s="19"/>
      <c r="GRL28" s="19"/>
      <c r="GRM28" s="19"/>
      <c r="GRN28" s="19"/>
      <c r="GRO28" s="19"/>
      <c r="GRP28" s="19"/>
      <c r="GRQ28" s="19"/>
      <c r="GRR28" s="19"/>
      <c r="GRS28" s="19"/>
      <c r="GRT28" s="19"/>
      <c r="GRU28" s="19"/>
      <c r="GRV28" s="19"/>
      <c r="GRW28" s="19"/>
      <c r="GRX28" s="19"/>
      <c r="GRY28" s="19"/>
      <c r="GRZ28" s="19"/>
      <c r="GSA28" s="19"/>
      <c r="GSB28" s="19"/>
      <c r="GSC28" s="19"/>
      <c r="GSD28" s="19"/>
      <c r="GSE28" s="19"/>
      <c r="GSF28" s="19"/>
      <c r="GSG28" s="19"/>
      <c r="GSH28" s="19"/>
      <c r="GSI28" s="19"/>
      <c r="GSJ28" s="19"/>
      <c r="GSK28" s="19"/>
      <c r="GSL28" s="19"/>
      <c r="GSM28" s="19"/>
      <c r="GSN28" s="19"/>
      <c r="GSO28" s="19"/>
      <c r="GSP28" s="19"/>
      <c r="GSQ28" s="19"/>
      <c r="GSR28" s="19"/>
      <c r="GSS28" s="19"/>
      <c r="GST28" s="19"/>
      <c r="GSU28" s="19"/>
      <c r="GSV28" s="19"/>
      <c r="GSW28" s="19"/>
      <c r="GSX28" s="19"/>
      <c r="GSY28" s="19"/>
      <c r="GSZ28" s="19"/>
      <c r="GTA28" s="19"/>
      <c r="GTB28" s="19"/>
      <c r="GTC28" s="19"/>
      <c r="GTD28" s="19"/>
      <c r="GTE28" s="19"/>
      <c r="GTF28" s="19"/>
      <c r="GTG28" s="19"/>
      <c r="GTH28" s="19"/>
      <c r="GTI28" s="19"/>
      <c r="GTJ28" s="19"/>
      <c r="GTK28" s="19"/>
      <c r="GTL28" s="19"/>
      <c r="GTM28" s="19"/>
      <c r="GTN28" s="19"/>
      <c r="GTO28" s="19"/>
      <c r="GTP28" s="19"/>
      <c r="GTQ28" s="19"/>
      <c r="GTR28" s="19"/>
      <c r="GTS28" s="19"/>
      <c r="GTT28" s="19"/>
      <c r="GTU28" s="19"/>
      <c r="GTV28" s="19"/>
      <c r="GTW28" s="19"/>
      <c r="GTX28" s="19"/>
      <c r="GTY28" s="19"/>
      <c r="GTZ28" s="19"/>
      <c r="GUA28" s="19"/>
      <c r="GUB28" s="19"/>
      <c r="GUC28" s="19"/>
      <c r="GUD28" s="19"/>
      <c r="GUE28" s="19"/>
      <c r="GUF28" s="19"/>
      <c r="GUG28" s="19"/>
      <c r="GUH28" s="19"/>
      <c r="GUI28" s="19"/>
      <c r="GUJ28" s="19"/>
      <c r="GUK28" s="19"/>
      <c r="GUL28" s="19"/>
      <c r="GUM28" s="19"/>
      <c r="GUN28" s="19"/>
      <c r="GUO28" s="19"/>
      <c r="GUP28" s="19"/>
      <c r="GUQ28" s="19"/>
      <c r="GUR28" s="19"/>
      <c r="GUS28" s="19"/>
      <c r="GUT28" s="19"/>
      <c r="GUU28" s="19"/>
      <c r="GUV28" s="19"/>
      <c r="GUW28" s="19"/>
      <c r="GUX28" s="19"/>
      <c r="GUY28" s="19"/>
      <c r="GUZ28" s="19"/>
      <c r="GVA28" s="19"/>
      <c r="GVB28" s="19"/>
      <c r="GVC28" s="19"/>
      <c r="GVD28" s="19"/>
      <c r="GVE28" s="19"/>
      <c r="GVF28" s="19"/>
      <c r="GVG28" s="19"/>
      <c r="GVH28" s="19"/>
      <c r="GVI28" s="19"/>
      <c r="GVJ28" s="19"/>
      <c r="GVK28" s="19"/>
      <c r="GVL28" s="19"/>
      <c r="GVM28" s="19"/>
      <c r="GVN28" s="19"/>
      <c r="GVO28" s="19"/>
      <c r="GVP28" s="19"/>
      <c r="GVQ28" s="19"/>
      <c r="GVR28" s="19"/>
      <c r="GVS28" s="19"/>
      <c r="GVT28" s="19"/>
      <c r="GVU28" s="19"/>
      <c r="GVV28" s="19"/>
      <c r="GVW28" s="19"/>
      <c r="GVX28" s="19"/>
      <c r="GVY28" s="19"/>
      <c r="GVZ28" s="19"/>
      <c r="GWA28" s="19"/>
      <c r="GWB28" s="19"/>
      <c r="GWC28" s="19"/>
      <c r="GWD28" s="19"/>
      <c r="GWE28" s="19"/>
      <c r="GWF28" s="19"/>
      <c r="GWG28" s="19"/>
      <c r="GWH28" s="19"/>
      <c r="GWI28" s="19"/>
      <c r="GWJ28" s="19"/>
      <c r="GWK28" s="19"/>
      <c r="GWL28" s="19"/>
      <c r="GWM28" s="19"/>
      <c r="GWN28" s="19"/>
      <c r="GWO28" s="19"/>
      <c r="GWP28" s="19"/>
      <c r="GWQ28" s="19"/>
      <c r="GWR28" s="19"/>
      <c r="GWS28" s="19"/>
      <c r="GWT28" s="19"/>
      <c r="GWU28" s="19"/>
      <c r="GWV28" s="19"/>
      <c r="GWW28" s="19"/>
      <c r="GWX28" s="19"/>
      <c r="GWY28" s="19"/>
      <c r="GWZ28" s="19"/>
      <c r="GXA28" s="19"/>
      <c r="GXB28" s="19"/>
      <c r="GXC28" s="19"/>
      <c r="GXD28" s="19"/>
      <c r="GXE28" s="19"/>
      <c r="GXF28" s="19"/>
      <c r="GXG28" s="19"/>
      <c r="GXH28" s="19"/>
      <c r="GXI28" s="19"/>
      <c r="GXJ28" s="19"/>
      <c r="GXK28" s="19"/>
      <c r="GXL28" s="19"/>
      <c r="GXM28" s="19"/>
      <c r="GXN28" s="19"/>
      <c r="GXO28" s="19"/>
      <c r="GXP28" s="19"/>
      <c r="GXQ28" s="19"/>
      <c r="GXR28" s="19"/>
      <c r="GXS28" s="19"/>
      <c r="GXT28" s="19"/>
      <c r="GXU28" s="19"/>
      <c r="GXV28" s="19"/>
      <c r="GXW28" s="19"/>
      <c r="GXX28" s="19"/>
      <c r="GXY28" s="19"/>
      <c r="GXZ28" s="19"/>
      <c r="GYA28" s="19"/>
      <c r="GYB28" s="19"/>
      <c r="GYC28" s="19"/>
      <c r="GYD28" s="19"/>
      <c r="GYE28" s="19"/>
      <c r="GYF28" s="19"/>
      <c r="GYG28" s="19"/>
      <c r="GYH28" s="19"/>
      <c r="GYI28" s="19"/>
      <c r="GYJ28" s="19"/>
      <c r="GYK28" s="19"/>
      <c r="GYL28" s="19"/>
      <c r="GYM28" s="19"/>
      <c r="GYN28" s="19"/>
      <c r="GYO28" s="19"/>
      <c r="GYP28" s="19"/>
      <c r="GYQ28" s="19"/>
      <c r="GYR28" s="19"/>
      <c r="GYS28" s="19"/>
      <c r="GYT28" s="19"/>
      <c r="GYU28" s="19"/>
      <c r="GYV28" s="19"/>
      <c r="GYW28" s="19"/>
      <c r="GYX28" s="19"/>
      <c r="GYY28" s="19"/>
      <c r="GYZ28" s="19"/>
      <c r="GZA28" s="19"/>
      <c r="GZB28" s="19"/>
      <c r="GZC28" s="19"/>
      <c r="GZD28" s="19"/>
      <c r="GZE28" s="19"/>
      <c r="GZF28" s="19"/>
      <c r="GZG28" s="19"/>
      <c r="GZH28" s="19"/>
      <c r="GZI28" s="19"/>
      <c r="GZJ28" s="19"/>
      <c r="GZK28" s="19"/>
      <c r="GZL28" s="19"/>
      <c r="GZM28" s="19"/>
      <c r="GZN28" s="19"/>
      <c r="GZO28" s="19"/>
      <c r="GZP28" s="19"/>
      <c r="GZQ28" s="19"/>
      <c r="GZR28" s="19"/>
      <c r="GZS28" s="19"/>
      <c r="GZT28" s="19"/>
      <c r="GZU28" s="19"/>
      <c r="GZV28" s="19"/>
      <c r="GZW28" s="19"/>
      <c r="GZX28" s="19"/>
      <c r="GZY28" s="19"/>
      <c r="GZZ28" s="19"/>
      <c r="HAA28" s="19"/>
      <c r="HAB28" s="19"/>
      <c r="HAC28" s="19"/>
      <c r="HAD28" s="19"/>
      <c r="HAE28" s="19"/>
      <c r="HAF28" s="19"/>
      <c r="HAG28" s="19"/>
      <c r="HAH28" s="19"/>
      <c r="HAI28" s="19"/>
      <c r="HAJ28" s="19"/>
      <c r="HAK28" s="19"/>
      <c r="HAL28" s="19"/>
      <c r="HAM28" s="19"/>
      <c r="HAN28" s="19"/>
      <c r="HAO28" s="19"/>
      <c r="HAP28" s="19"/>
      <c r="HAQ28" s="19"/>
      <c r="HAR28" s="19"/>
      <c r="HAS28" s="19"/>
      <c r="HAT28" s="19"/>
      <c r="HAU28" s="19"/>
      <c r="HAV28" s="19"/>
      <c r="HAW28" s="19"/>
      <c r="HAX28" s="19"/>
      <c r="HAY28" s="19"/>
      <c r="HAZ28" s="19"/>
      <c r="HBA28" s="19"/>
      <c r="HBB28" s="19"/>
      <c r="HBC28" s="19"/>
      <c r="HBD28" s="19"/>
      <c r="HBE28" s="19"/>
      <c r="HBF28" s="19"/>
      <c r="HBG28" s="19"/>
      <c r="HBH28" s="19"/>
      <c r="HBI28" s="19"/>
      <c r="HBJ28" s="19"/>
      <c r="HBK28" s="19"/>
      <c r="HBL28" s="19"/>
      <c r="HBM28" s="19"/>
      <c r="HBN28" s="19"/>
      <c r="HBO28" s="19"/>
      <c r="HBP28" s="19"/>
      <c r="HBQ28" s="19"/>
      <c r="HBR28" s="19"/>
      <c r="HBS28" s="19"/>
      <c r="HBT28" s="19"/>
      <c r="HBU28" s="19"/>
      <c r="HBV28" s="19"/>
      <c r="HBW28" s="19"/>
      <c r="HBX28" s="19"/>
      <c r="HBY28" s="19"/>
      <c r="HBZ28" s="19"/>
      <c r="HCA28" s="19"/>
      <c r="HCB28" s="19"/>
      <c r="HCC28" s="19"/>
      <c r="HCD28" s="19"/>
      <c r="HCE28" s="19"/>
      <c r="HCF28" s="19"/>
      <c r="HCG28" s="19"/>
      <c r="HCH28" s="19"/>
      <c r="HCI28" s="19"/>
      <c r="HCJ28" s="19"/>
      <c r="HCK28" s="19"/>
      <c r="HCL28" s="19"/>
      <c r="HCM28" s="19"/>
      <c r="HCN28" s="19"/>
      <c r="HCO28" s="19"/>
      <c r="HCP28" s="19"/>
      <c r="HCQ28" s="19"/>
      <c r="HCR28" s="19"/>
      <c r="HCS28" s="19"/>
      <c r="HCT28" s="19"/>
      <c r="HCU28" s="19"/>
      <c r="HCV28" s="19"/>
      <c r="HCW28" s="19"/>
      <c r="HCX28" s="19"/>
      <c r="HCY28" s="19"/>
      <c r="HCZ28" s="19"/>
      <c r="HDA28" s="19"/>
      <c r="HDB28" s="19"/>
      <c r="HDC28" s="19"/>
      <c r="HDD28" s="19"/>
      <c r="HDE28" s="19"/>
      <c r="HDF28" s="19"/>
      <c r="HDG28" s="19"/>
      <c r="HDH28" s="19"/>
      <c r="HDI28" s="19"/>
      <c r="HDJ28" s="19"/>
      <c r="HDK28" s="19"/>
      <c r="HDL28" s="19"/>
      <c r="HDM28" s="19"/>
      <c r="HDN28" s="19"/>
      <c r="HDO28" s="19"/>
      <c r="HDP28" s="19"/>
      <c r="HDQ28" s="19"/>
      <c r="HDR28" s="19"/>
      <c r="HDS28" s="19"/>
      <c r="HDT28" s="19"/>
      <c r="HDU28" s="19"/>
      <c r="HDV28" s="19"/>
      <c r="HDW28" s="19"/>
      <c r="HDX28" s="19"/>
      <c r="HDY28" s="19"/>
      <c r="HDZ28" s="19"/>
      <c r="HEA28" s="19"/>
      <c r="HEB28" s="19"/>
      <c r="HEC28" s="19"/>
      <c r="HED28" s="19"/>
      <c r="HEE28" s="19"/>
      <c r="HEF28" s="19"/>
      <c r="HEG28" s="19"/>
      <c r="HEH28" s="19"/>
      <c r="HEI28" s="19"/>
      <c r="HEJ28" s="19"/>
      <c r="HEK28" s="19"/>
      <c r="HEL28" s="19"/>
      <c r="HEM28" s="19"/>
      <c r="HEN28" s="19"/>
      <c r="HEO28" s="19"/>
      <c r="HEP28" s="19"/>
      <c r="HEQ28" s="19"/>
      <c r="HER28" s="19"/>
      <c r="HES28" s="19"/>
      <c r="HET28" s="19"/>
      <c r="HEU28" s="19"/>
      <c r="HEV28" s="19"/>
      <c r="HEW28" s="19"/>
      <c r="HEX28" s="19"/>
      <c r="HEY28" s="19"/>
      <c r="HEZ28" s="19"/>
      <c r="HFA28" s="19"/>
      <c r="HFB28" s="19"/>
      <c r="HFC28" s="19"/>
      <c r="HFD28" s="19"/>
      <c r="HFE28" s="19"/>
      <c r="HFF28" s="19"/>
      <c r="HFG28" s="19"/>
      <c r="HFH28" s="19"/>
      <c r="HFI28" s="19"/>
      <c r="HFJ28" s="19"/>
      <c r="HFK28" s="19"/>
      <c r="HFL28" s="19"/>
      <c r="HFM28" s="19"/>
      <c r="HFN28" s="19"/>
      <c r="HFO28" s="19"/>
      <c r="HFP28" s="19"/>
      <c r="HFQ28" s="19"/>
      <c r="HFR28" s="19"/>
      <c r="HFS28" s="19"/>
      <c r="HFT28" s="19"/>
      <c r="HFU28" s="19"/>
      <c r="HFV28" s="19"/>
      <c r="HFW28" s="19"/>
      <c r="HFX28" s="19"/>
      <c r="HFY28" s="19"/>
      <c r="HFZ28" s="19"/>
      <c r="HGA28" s="19"/>
      <c r="HGB28" s="19"/>
      <c r="HGC28" s="19"/>
      <c r="HGD28" s="19"/>
      <c r="HGE28" s="19"/>
      <c r="HGF28" s="19"/>
      <c r="HGG28" s="19"/>
      <c r="HGH28" s="19"/>
      <c r="HGI28" s="19"/>
      <c r="HGJ28" s="19"/>
      <c r="HGK28" s="19"/>
      <c r="HGL28" s="19"/>
      <c r="HGM28" s="19"/>
      <c r="HGN28" s="19"/>
      <c r="HGO28" s="19"/>
      <c r="HGP28" s="19"/>
      <c r="HGQ28" s="19"/>
      <c r="HGR28" s="19"/>
      <c r="HGS28" s="19"/>
      <c r="HGT28" s="19"/>
      <c r="HGU28" s="19"/>
      <c r="HGV28" s="19"/>
      <c r="HGW28" s="19"/>
      <c r="HGX28" s="19"/>
      <c r="HGY28" s="19"/>
      <c r="HGZ28" s="19"/>
      <c r="HHA28" s="19"/>
      <c r="HHB28" s="19"/>
      <c r="HHC28" s="19"/>
      <c r="HHD28" s="19"/>
      <c r="HHE28" s="19"/>
      <c r="HHF28" s="19"/>
      <c r="HHG28" s="19"/>
      <c r="HHH28" s="19"/>
      <c r="HHI28" s="19"/>
      <c r="HHJ28" s="19"/>
      <c r="HHK28" s="19"/>
      <c r="HHL28" s="19"/>
      <c r="HHM28" s="19"/>
      <c r="HHN28" s="19"/>
      <c r="HHO28" s="19"/>
      <c r="HHP28" s="19"/>
      <c r="HHQ28" s="19"/>
      <c r="HHR28" s="19"/>
      <c r="HHS28" s="19"/>
      <c r="HHT28" s="19"/>
      <c r="HHU28" s="19"/>
      <c r="HHV28" s="19"/>
      <c r="HHW28" s="19"/>
      <c r="HHX28" s="19"/>
      <c r="HHY28" s="19"/>
      <c r="HHZ28" s="19"/>
      <c r="HIA28" s="19"/>
      <c r="HIB28" s="19"/>
      <c r="HIC28" s="19"/>
      <c r="HID28" s="19"/>
      <c r="HIE28" s="19"/>
      <c r="HIF28" s="19"/>
      <c r="HIG28" s="19"/>
      <c r="HIH28" s="19"/>
      <c r="HII28" s="19"/>
      <c r="HIJ28" s="19"/>
      <c r="HIK28" s="19"/>
      <c r="HIL28" s="19"/>
      <c r="HIM28" s="19"/>
      <c r="HIN28" s="19"/>
      <c r="HIO28" s="19"/>
      <c r="HIP28" s="19"/>
      <c r="HIQ28" s="19"/>
      <c r="HIR28" s="19"/>
      <c r="HIS28" s="19"/>
      <c r="HIT28" s="19"/>
      <c r="HIU28" s="19"/>
      <c r="HIV28" s="19"/>
      <c r="HIW28" s="19"/>
      <c r="HIX28" s="19"/>
      <c r="HIY28" s="19"/>
      <c r="HIZ28" s="19"/>
      <c r="HJA28" s="19"/>
      <c r="HJB28" s="19"/>
      <c r="HJC28" s="19"/>
      <c r="HJD28" s="19"/>
      <c r="HJE28" s="19"/>
      <c r="HJF28" s="19"/>
      <c r="HJG28" s="19"/>
      <c r="HJH28" s="19"/>
      <c r="HJI28" s="19"/>
      <c r="HJJ28" s="19"/>
      <c r="HJK28" s="19"/>
      <c r="HJL28" s="19"/>
      <c r="HJM28" s="19"/>
      <c r="HJN28" s="19"/>
      <c r="HJO28" s="19"/>
      <c r="HJP28" s="19"/>
      <c r="HJQ28" s="19"/>
      <c r="HJR28" s="19"/>
      <c r="HJS28" s="19"/>
      <c r="HJT28" s="19"/>
      <c r="HJU28" s="19"/>
      <c r="HJV28" s="19"/>
      <c r="HJW28" s="19"/>
      <c r="HJX28" s="19"/>
      <c r="HJY28" s="19"/>
      <c r="HJZ28" s="19"/>
      <c r="HKA28" s="19"/>
      <c r="HKB28" s="19"/>
      <c r="HKC28" s="19"/>
      <c r="HKD28" s="19"/>
      <c r="HKE28" s="19"/>
      <c r="HKF28" s="19"/>
      <c r="HKG28" s="19"/>
      <c r="HKH28" s="19"/>
      <c r="HKI28" s="19"/>
      <c r="HKJ28" s="19"/>
      <c r="HKK28" s="19"/>
      <c r="HKL28" s="19"/>
      <c r="HKM28" s="19"/>
      <c r="HKN28" s="19"/>
      <c r="HKO28" s="19"/>
      <c r="HKP28" s="19"/>
      <c r="HKQ28" s="19"/>
      <c r="HKR28" s="19"/>
      <c r="HKS28" s="19"/>
      <c r="HKT28" s="19"/>
      <c r="HKU28" s="19"/>
      <c r="HKV28" s="19"/>
      <c r="HKW28" s="19"/>
      <c r="HKX28" s="19"/>
      <c r="HKY28" s="19"/>
      <c r="HKZ28" s="19"/>
      <c r="HLA28" s="19"/>
      <c r="HLB28" s="19"/>
      <c r="HLC28" s="19"/>
      <c r="HLD28" s="19"/>
      <c r="HLE28" s="19"/>
      <c r="HLF28" s="19"/>
      <c r="HLG28" s="19"/>
      <c r="HLH28" s="19"/>
      <c r="HLI28" s="19"/>
      <c r="HLJ28" s="19"/>
      <c r="HLK28" s="19"/>
      <c r="HLL28" s="19"/>
      <c r="HLM28" s="19"/>
      <c r="HLN28" s="19"/>
      <c r="HLO28" s="19"/>
      <c r="HLP28" s="19"/>
      <c r="HLQ28" s="19"/>
      <c r="HLR28" s="19"/>
      <c r="HLS28" s="19"/>
      <c r="HLT28" s="19"/>
      <c r="HLU28" s="19"/>
      <c r="HLV28" s="19"/>
      <c r="HLW28" s="19"/>
      <c r="HLX28" s="19"/>
      <c r="HLY28" s="19"/>
      <c r="HLZ28" s="19"/>
      <c r="HMA28" s="19"/>
      <c r="HMB28" s="19"/>
      <c r="HMC28" s="19"/>
      <c r="HMD28" s="19"/>
      <c r="HME28" s="19"/>
      <c r="HMF28" s="19"/>
      <c r="HMG28" s="19"/>
      <c r="HMH28" s="19"/>
      <c r="HMI28" s="19"/>
      <c r="HMJ28" s="19"/>
      <c r="HMK28" s="19"/>
      <c r="HML28" s="19"/>
      <c r="HMM28" s="19"/>
      <c r="HMN28" s="19"/>
      <c r="HMO28" s="19"/>
      <c r="HMP28" s="19"/>
      <c r="HMQ28" s="19"/>
      <c r="HMR28" s="19"/>
      <c r="HMS28" s="19"/>
      <c r="HMT28" s="19"/>
      <c r="HMU28" s="19"/>
      <c r="HMV28" s="19"/>
      <c r="HMW28" s="19"/>
      <c r="HMX28" s="19"/>
      <c r="HMY28" s="19"/>
      <c r="HMZ28" s="19"/>
      <c r="HNA28" s="19"/>
      <c r="HNB28" s="19"/>
      <c r="HNC28" s="19"/>
      <c r="HND28" s="19"/>
      <c r="HNE28" s="19"/>
      <c r="HNF28" s="19"/>
      <c r="HNG28" s="19"/>
      <c r="HNH28" s="19"/>
      <c r="HNI28" s="19"/>
      <c r="HNJ28" s="19"/>
      <c r="HNK28" s="19"/>
      <c r="HNL28" s="19"/>
      <c r="HNM28" s="19"/>
      <c r="HNN28" s="19"/>
      <c r="HNO28" s="19"/>
      <c r="HNP28" s="19"/>
      <c r="HNQ28" s="19"/>
      <c r="HNR28" s="19"/>
      <c r="HNS28" s="19"/>
      <c r="HNT28" s="19"/>
      <c r="HNU28" s="19"/>
      <c r="HNV28" s="19"/>
      <c r="HNW28" s="19"/>
      <c r="HNX28" s="19"/>
      <c r="HNY28" s="19"/>
      <c r="HNZ28" s="19"/>
      <c r="HOA28" s="19"/>
      <c r="HOB28" s="19"/>
      <c r="HOC28" s="19"/>
      <c r="HOD28" s="19"/>
      <c r="HOE28" s="19"/>
      <c r="HOF28" s="19"/>
      <c r="HOG28" s="19"/>
      <c r="HOH28" s="19"/>
      <c r="HOI28" s="19"/>
      <c r="HOJ28" s="19"/>
      <c r="HOK28" s="19"/>
      <c r="HOL28" s="19"/>
      <c r="HOM28" s="19"/>
      <c r="HON28" s="19"/>
      <c r="HOO28" s="19"/>
      <c r="HOP28" s="19"/>
      <c r="HOQ28" s="19"/>
      <c r="HOR28" s="19"/>
      <c r="HOS28" s="19"/>
      <c r="HOT28" s="19"/>
      <c r="HOU28" s="19"/>
      <c r="HOV28" s="19"/>
      <c r="HOW28" s="19"/>
      <c r="HOX28" s="19"/>
      <c r="HOY28" s="19"/>
      <c r="HOZ28" s="19"/>
      <c r="HPA28" s="19"/>
      <c r="HPB28" s="19"/>
      <c r="HPC28" s="19"/>
      <c r="HPD28" s="19"/>
      <c r="HPE28" s="19"/>
      <c r="HPF28" s="19"/>
      <c r="HPG28" s="19"/>
      <c r="HPH28" s="19"/>
      <c r="HPI28" s="19"/>
      <c r="HPJ28" s="19"/>
      <c r="HPK28" s="19"/>
      <c r="HPL28" s="19"/>
      <c r="HPM28" s="19"/>
      <c r="HPN28" s="19"/>
      <c r="HPO28" s="19"/>
      <c r="HPP28" s="19"/>
      <c r="HPQ28" s="19"/>
      <c r="HPR28" s="19"/>
      <c r="HPS28" s="19"/>
      <c r="HPT28" s="19"/>
      <c r="HPU28" s="19"/>
      <c r="HPV28" s="19"/>
      <c r="HPW28" s="19"/>
      <c r="HPX28" s="19"/>
      <c r="HPY28" s="19"/>
      <c r="HPZ28" s="19"/>
      <c r="HQA28" s="19"/>
      <c r="HQB28" s="19"/>
      <c r="HQC28" s="19"/>
      <c r="HQD28" s="19"/>
      <c r="HQE28" s="19"/>
      <c r="HQF28" s="19"/>
      <c r="HQG28" s="19"/>
      <c r="HQH28" s="19"/>
      <c r="HQI28" s="19"/>
      <c r="HQJ28" s="19"/>
      <c r="HQK28" s="19"/>
      <c r="HQL28" s="19"/>
      <c r="HQM28" s="19"/>
      <c r="HQN28" s="19"/>
      <c r="HQO28" s="19"/>
      <c r="HQP28" s="19"/>
      <c r="HQQ28" s="19"/>
      <c r="HQR28" s="19"/>
      <c r="HQS28" s="19"/>
      <c r="HQT28" s="19"/>
      <c r="HQU28" s="19"/>
      <c r="HQV28" s="19"/>
      <c r="HQW28" s="19"/>
      <c r="HQX28" s="19"/>
      <c r="HQY28" s="19"/>
      <c r="HQZ28" s="19"/>
      <c r="HRA28" s="19"/>
      <c r="HRB28" s="19"/>
      <c r="HRC28" s="19"/>
      <c r="HRD28" s="19"/>
      <c r="HRE28" s="19"/>
      <c r="HRF28" s="19"/>
      <c r="HRG28" s="19"/>
      <c r="HRH28" s="19"/>
      <c r="HRI28" s="19"/>
      <c r="HRJ28" s="19"/>
      <c r="HRK28" s="19"/>
      <c r="HRL28" s="19"/>
      <c r="HRM28" s="19"/>
      <c r="HRN28" s="19"/>
      <c r="HRO28" s="19"/>
      <c r="HRP28" s="19"/>
      <c r="HRQ28" s="19"/>
      <c r="HRR28" s="19"/>
      <c r="HRS28" s="19"/>
      <c r="HRT28" s="19"/>
      <c r="HRU28" s="19"/>
      <c r="HRV28" s="19"/>
      <c r="HRW28" s="19"/>
      <c r="HRX28" s="19"/>
      <c r="HRY28" s="19"/>
      <c r="HRZ28" s="19"/>
      <c r="HSA28" s="19"/>
      <c r="HSB28" s="19"/>
      <c r="HSC28" s="19"/>
      <c r="HSD28" s="19"/>
      <c r="HSE28" s="19"/>
      <c r="HSF28" s="19"/>
      <c r="HSG28" s="19"/>
      <c r="HSH28" s="19"/>
      <c r="HSI28" s="19"/>
      <c r="HSJ28" s="19"/>
      <c r="HSK28" s="19"/>
      <c r="HSL28" s="19"/>
      <c r="HSM28" s="19"/>
      <c r="HSN28" s="19"/>
      <c r="HSO28" s="19"/>
      <c r="HSP28" s="19"/>
      <c r="HSQ28" s="19"/>
      <c r="HSR28" s="19"/>
      <c r="HSS28" s="19"/>
      <c r="HST28" s="19"/>
      <c r="HSU28" s="19"/>
      <c r="HSV28" s="19"/>
      <c r="HSW28" s="19"/>
      <c r="HSX28" s="19"/>
      <c r="HSY28" s="19"/>
      <c r="HSZ28" s="19"/>
      <c r="HTA28" s="19"/>
      <c r="HTB28" s="19"/>
      <c r="HTC28" s="19"/>
      <c r="HTD28" s="19"/>
      <c r="HTE28" s="19"/>
      <c r="HTF28" s="19"/>
      <c r="HTG28" s="19"/>
      <c r="HTH28" s="19"/>
      <c r="HTI28" s="19"/>
      <c r="HTJ28" s="19"/>
      <c r="HTK28" s="19"/>
      <c r="HTL28" s="19"/>
      <c r="HTM28" s="19"/>
      <c r="HTN28" s="19"/>
      <c r="HTO28" s="19"/>
      <c r="HTP28" s="19"/>
      <c r="HTQ28" s="19"/>
      <c r="HTR28" s="19"/>
      <c r="HTS28" s="19"/>
      <c r="HTT28" s="19"/>
      <c r="HTU28" s="19"/>
      <c r="HTV28" s="19"/>
      <c r="HTW28" s="19"/>
      <c r="HTX28" s="19"/>
      <c r="HTY28" s="19"/>
      <c r="HTZ28" s="19"/>
      <c r="HUA28" s="19"/>
      <c r="HUB28" s="19"/>
      <c r="HUC28" s="19"/>
      <c r="HUD28" s="19"/>
      <c r="HUE28" s="19"/>
      <c r="HUF28" s="19"/>
      <c r="HUG28" s="19"/>
      <c r="HUH28" s="19"/>
      <c r="HUI28" s="19"/>
      <c r="HUJ28" s="19"/>
      <c r="HUK28" s="19"/>
      <c r="HUL28" s="19"/>
      <c r="HUM28" s="19"/>
      <c r="HUN28" s="19"/>
      <c r="HUO28" s="19"/>
      <c r="HUP28" s="19"/>
      <c r="HUQ28" s="19"/>
      <c r="HUR28" s="19"/>
      <c r="HUS28" s="19"/>
      <c r="HUT28" s="19"/>
      <c r="HUU28" s="19"/>
      <c r="HUV28" s="19"/>
      <c r="HUW28" s="19"/>
      <c r="HUX28" s="19"/>
      <c r="HUY28" s="19"/>
      <c r="HUZ28" s="19"/>
      <c r="HVA28" s="19"/>
      <c r="HVB28" s="19"/>
      <c r="HVC28" s="19"/>
      <c r="HVD28" s="19"/>
      <c r="HVE28" s="19"/>
      <c r="HVF28" s="19"/>
      <c r="HVG28" s="19"/>
      <c r="HVH28" s="19"/>
      <c r="HVI28" s="19"/>
      <c r="HVJ28" s="19"/>
      <c r="HVK28" s="19"/>
      <c r="HVL28" s="19"/>
      <c r="HVM28" s="19"/>
      <c r="HVN28" s="19"/>
      <c r="HVO28" s="19"/>
      <c r="HVP28" s="19"/>
      <c r="HVQ28" s="19"/>
      <c r="HVR28" s="19"/>
      <c r="HVS28" s="19"/>
      <c r="HVT28" s="19"/>
      <c r="HVU28" s="19"/>
      <c r="HVV28" s="19"/>
      <c r="HVW28" s="19"/>
      <c r="HVX28" s="19"/>
      <c r="HVY28" s="19"/>
      <c r="HVZ28" s="19"/>
      <c r="HWA28" s="19"/>
      <c r="HWB28" s="19"/>
      <c r="HWC28" s="19"/>
      <c r="HWD28" s="19"/>
      <c r="HWE28" s="19"/>
      <c r="HWF28" s="19"/>
      <c r="HWG28" s="19"/>
      <c r="HWH28" s="19"/>
      <c r="HWI28" s="19"/>
      <c r="HWJ28" s="19"/>
      <c r="HWK28" s="19"/>
      <c r="HWL28" s="19"/>
      <c r="HWM28" s="19"/>
      <c r="HWN28" s="19"/>
      <c r="HWO28" s="19"/>
      <c r="HWP28" s="19"/>
      <c r="HWQ28" s="19"/>
      <c r="HWR28" s="19"/>
      <c r="HWS28" s="19"/>
      <c r="HWT28" s="19"/>
      <c r="HWU28" s="19"/>
      <c r="HWV28" s="19"/>
      <c r="HWW28" s="19"/>
      <c r="HWX28" s="19"/>
      <c r="HWY28" s="19"/>
      <c r="HWZ28" s="19"/>
      <c r="HXA28" s="19"/>
      <c r="HXB28" s="19"/>
      <c r="HXC28" s="19"/>
      <c r="HXD28" s="19"/>
      <c r="HXE28" s="19"/>
      <c r="HXF28" s="19"/>
      <c r="HXG28" s="19"/>
      <c r="HXH28" s="19"/>
      <c r="HXI28" s="19"/>
      <c r="HXJ28" s="19"/>
      <c r="HXK28" s="19"/>
      <c r="HXL28" s="19"/>
      <c r="HXM28" s="19"/>
      <c r="HXN28" s="19"/>
      <c r="HXO28" s="19"/>
      <c r="HXP28" s="19"/>
      <c r="HXQ28" s="19"/>
      <c r="HXR28" s="19"/>
      <c r="HXS28" s="19"/>
      <c r="HXT28" s="19"/>
      <c r="HXU28" s="19"/>
      <c r="HXV28" s="19"/>
      <c r="HXW28" s="19"/>
      <c r="HXX28" s="19"/>
      <c r="HXY28" s="19"/>
      <c r="HXZ28" s="19"/>
      <c r="HYA28" s="19"/>
      <c r="HYB28" s="19"/>
      <c r="HYC28" s="19"/>
      <c r="HYD28" s="19"/>
      <c r="HYE28" s="19"/>
      <c r="HYF28" s="19"/>
      <c r="HYG28" s="19"/>
      <c r="HYH28" s="19"/>
      <c r="HYI28" s="19"/>
      <c r="HYJ28" s="19"/>
      <c r="HYK28" s="19"/>
      <c r="HYL28" s="19"/>
      <c r="HYM28" s="19"/>
      <c r="HYN28" s="19"/>
      <c r="HYO28" s="19"/>
      <c r="HYP28" s="19"/>
      <c r="HYQ28" s="19"/>
      <c r="HYR28" s="19"/>
      <c r="HYS28" s="19"/>
      <c r="HYT28" s="19"/>
      <c r="HYU28" s="19"/>
      <c r="HYV28" s="19"/>
      <c r="HYW28" s="19"/>
      <c r="HYX28" s="19"/>
      <c r="HYY28" s="19"/>
      <c r="HYZ28" s="19"/>
      <c r="HZA28" s="19"/>
      <c r="HZB28" s="19"/>
      <c r="HZC28" s="19"/>
      <c r="HZD28" s="19"/>
      <c r="HZE28" s="19"/>
      <c r="HZF28" s="19"/>
      <c r="HZG28" s="19"/>
      <c r="HZH28" s="19"/>
      <c r="HZI28" s="19"/>
      <c r="HZJ28" s="19"/>
      <c r="HZK28" s="19"/>
      <c r="HZL28" s="19"/>
      <c r="HZM28" s="19"/>
      <c r="HZN28" s="19"/>
      <c r="HZO28" s="19"/>
      <c r="HZP28" s="19"/>
      <c r="HZQ28" s="19"/>
      <c r="HZR28" s="19"/>
      <c r="HZS28" s="19"/>
      <c r="HZT28" s="19"/>
      <c r="HZU28" s="19"/>
      <c r="HZV28" s="19"/>
      <c r="HZW28" s="19"/>
      <c r="HZX28" s="19"/>
      <c r="HZY28" s="19"/>
      <c r="HZZ28" s="19"/>
      <c r="IAA28" s="19"/>
      <c r="IAB28" s="19"/>
      <c r="IAC28" s="19"/>
      <c r="IAD28" s="19"/>
      <c r="IAE28" s="19"/>
      <c r="IAF28" s="19"/>
      <c r="IAG28" s="19"/>
      <c r="IAH28" s="19"/>
      <c r="IAI28" s="19"/>
      <c r="IAJ28" s="19"/>
      <c r="IAK28" s="19"/>
      <c r="IAL28" s="19"/>
      <c r="IAM28" s="19"/>
      <c r="IAN28" s="19"/>
      <c r="IAO28" s="19"/>
      <c r="IAP28" s="19"/>
      <c r="IAQ28" s="19"/>
      <c r="IAR28" s="19"/>
      <c r="IAS28" s="19"/>
      <c r="IAT28" s="19"/>
      <c r="IAU28" s="19"/>
      <c r="IAV28" s="19"/>
      <c r="IAW28" s="19"/>
      <c r="IAX28" s="19"/>
      <c r="IAY28" s="19"/>
      <c r="IAZ28" s="19"/>
      <c r="IBA28" s="19"/>
      <c r="IBB28" s="19"/>
      <c r="IBC28" s="19"/>
      <c r="IBD28" s="19"/>
      <c r="IBE28" s="19"/>
      <c r="IBF28" s="19"/>
      <c r="IBG28" s="19"/>
      <c r="IBH28" s="19"/>
      <c r="IBI28" s="19"/>
      <c r="IBJ28" s="19"/>
      <c r="IBK28" s="19"/>
      <c r="IBL28" s="19"/>
      <c r="IBM28" s="19"/>
      <c r="IBN28" s="19"/>
      <c r="IBO28" s="19"/>
      <c r="IBP28" s="19"/>
      <c r="IBQ28" s="19"/>
      <c r="IBR28" s="19"/>
      <c r="IBS28" s="19"/>
      <c r="IBT28" s="19"/>
      <c r="IBU28" s="19"/>
      <c r="IBV28" s="19"/>
      <c r="IBW28" s="19"/>
      <c r="IBX28" s="19"/>
      <c r="IBY28" s="19"/>
      <c r="IBZ28" s="19"/>
      <c r="ICA28" s="19"/>
      <c r="ICB28" s="19"/>
      <c r="ICC28" s="19"/>
      <c r="ICD28" s="19"/>
      <c r="ICE28" s="19"/>
      <c r="ICF28" s="19"/>
      <c r="ICG28" s="19"/>
      <c r="ICH28" s="19"/>
      <c r="ICI28" s="19"/>
      <c r="ICJ28" s="19"/>
      <c r="ICK28" s="19"/>
      <c r="ICL28" s="19"/>
      <c r="ICM28" s="19"/>
      <c r="ICN28" s="19"/>
      <c r="ICO28" s="19"/>
      <c r="ICP28" s="19"/>
      <c r="ICQ28" s="19"/>
      <c r="ICR28" s="19"/>
      <c r="ICS28" s="19"/>
      <c r="ICT28" s="19"/>
      <c r="ICU28" s="19"/>
      <c r="ICV28" s="19"/>
      <c r="ICW28" s="19"/>
      <c r="ICX28" s="19"/>
      <c r="ICY28" s="19"/>
      <c r="ICZ28" s="19"/>
      <c r="IDA28" s="19"/>
      <c r="IDB28" s="19"/>
      <c r="IDC28" s="19"/>
      <c r="IDD28" s="19"/>
      <c r="IDE28" s="19"/>
      <c r="IDF28" s="19"/>
      <c r="IDG28" s="19"/>
      <c r="IDH28" s="19"/>
      <c r="IDI28" s="19"/>
      <c r="IDJ28" s="19"/>
      <c r="IDK28" s="19"/>
      <c r="IDL28" s="19"/>
      <c r="IDM28" s="19"/>
      <c r="IDN28" s="19"/>
      <c r="IDO28" s="19"/>
      <c r="IDP28" s="19"/>
      <c r="IDQ28" s="19"/>
      <c r="IDR28" s="19"/>
      <c r="IDS28" s="19"/>
      <c r="IDT28" s="19"/>
      <c r="IDU28" s="19"/>
      <c r="IDV28" s="19"/>
      <c r="IDW28" s="19"/>
      <c r="IDX28" s="19"/>
      <c r="IDY28" s="19"/>
      <c r="IDZ28" s="19"/>
      <c r="IEA28" s="19"/>
      <c r="IEB28" s="19"/>
      <c r="IEC28" s="19"/>
      <c r="IED28" s="19"/>
      <c r="IEE28" s="19"/>
      <c r="IEF28" s="19"/>
      <c r="IEG28" s="19"/>
      <c r="IEH28" s="19"/>
      <c r="IEI28" s="19"/>
      <c r="IEJ28" s="19"/>
      <c r="IEK28" s="19"/>
      <c r="IEL28" s="19"/>
      <c r="IEM28" s="19"/>
      <c r="IEN28" s="19"/>
      <c r="IEO28" s="19"/>
      <c r="IEP28" s="19"/>
      <c r="IEQ28" s="19"/>
      <c r="IER28" s="19"/>
      <c r="IES28" s="19"/>
      <c r="IET28" s="19"/>
      <c r="IEU28" s="19"/>
      <c r="IEV28" s="19"/>
      <c r="IEW28" s="19"/>
      <c r="IEX28" s="19"/>
      <c r="IEY28" s="19"/>
      <c r="IEZ28" s="19"/>
      <c r="IFA28" s="19"/>
      <c r="IFB28" s="19"/>
      <c r="IFC28" s="19"/>
      <c r="IFD28" s="19"/>
      <c r="IFE28" s="19"/>
      <c r="IFF28" s="19"/>
      <c r="IFG28" s="19"/>
      <c r="IFH28" s="19"/>
      <c r="IFI28" s="19"/>
      <c r="IFJ28" s="19"/>
      <c r="IFK28" s="19"/>
      <c r="IFL28" s="19"/>
      <c r="IFM28" s="19"/>
      <c r="IFN28" s="19"/>
      <c r="IFO28" s="19"/>
      <c r="IFP28" s="19"/>
      <c r="IFQ28" s="19"/>
      <c r="IFR28" s="19"/>
      <c r="IFS28" s="19"/>
      <c r="IFT28" s="19"/>
      <c r="IFU28" s="19"/>
      <c r="IFV28" s="19"/>
      <c r="IFW28" s="19"/>
      <c r="IFX28" s="19"/>
      <c r="IFY28" s="19"/>
      <c r="IFZ28" s="19"/>
      <c r="IGA28" s="19"/>
      <c r="IGB28" s="19"/>
      <c r="IGC28" s="19"/>
      <c r="IGD28" s="19"/>
      <c r="IGE28" s="19"/>
      <c r="IGF28" s="19"/>
      <c r="IGG28" s="19"/>
      <c r="IGH28" s="19"/>
      <c r="IGI28" s="19"/>
      <c r="IGJ28" s="19"/>
      <c r="IGK28" s="19"/>
      <c r="IGL28" s="19"/>
      <c r="IGM28" s="19"/>
      <c r="IGN28" s="19"/>
      <c r="IGO28" s="19"/>
      <c r="IGP28" s="19"/>
      <c r="IGQ28" s="19"/>
      <c r="IGR28" s="19"/>
      <c r="IGS28" s="19"/>
      <c r="IGT28" s="19"/>
      <c r="IGU28" s="19"/>
      <c r="IGV28" s="19"/>
      <c r="IGW28" s="19"/>
      <c r="IGX28" s="19"/>
      <c r="IGY28" s="19"/>
      <c r="IGZ28" s="19"/>
      <c r="IHA28" s="19"/>
      <c r="IHB28" s="19"/>
      <c r="IHC28" s="19"/>
      <c r="IHD28" s="19"/>
      <c r="IHE28" s="19"/>
      <c r="IHF28" s="19"/>
      <c r="IHG28" s="19"/>
      <c r="IHH28" s="19"/>
      <c r="IHI28" s="19"/>
      <c r="IHJ28" s="19"/>
      <c r="IHK28" s="19"/>
      <c r="IHL28" s="19"/>
      <c r="IHM28" s="19"/>
      <c r="IHN28" s="19"/>
      <c r="IHO28" s="19"/>
      <c r="IHP28" s="19"/>
      <c r="IHQ28" s="19"/>
      <c r="IHR28" s="19"/>
      <c r="IHS28" s="19"/>
      <c r="IHT28" s="19"/>
      <c r="IHU28" s="19"/>
      <c r="IHV28" s="19"/>
      <c r="IHW28" s="19"/>
      <c r="IHX28" s="19"/>
      <c r="IHY28" s="19"/>
      <c r="IHZ28" s="19"/>
      <c r="IIA28" s="19"/>
      <c r="IIB28" s="19"/>
      <c r="IIC28" s="19"/>
      <c r="IID28" s="19"/>
      <c r="IIE28" s="19"/>
      <c r="IIF28" s="19"/>
      <c r="IIG28" s="19"/>
      <c r="IIH28" s="19"/>
      <c r="III28" s="19"/>
      <c r="IIJ28" s="19"/>
      <c r="IIK28" s="19"/>
      <c r="IIL28" s="19"/>
      <c r="IIM28" s="19"/>
      <c r="IIN28" s="19"/>
      <c r="IIO28" s="19"/>
      <c r="IIP28" s="19"/>
      <c r="IIQ28" s="19"/>
      <c r="IIR28" s="19"/>
      <c r="IIS28" s="19"/>
      <c r="IIT28" s="19"/>
      <c r="IIU28" s="19"/>
      <c r="IIV28" s="19"/>
      <c r="IIW28" s="19"/>
      <c r="IIX28" s="19"/>
      <c r="IIY28" s="19"/>
      <c r="IIZ28" s="19"/>
      <c r="IJA28" s="19"/>
      <c r="IJB28" s="19"/>
      <c r="IJC28" s="19"/>
      <c r="IJD28" s="19"/>
      <c r="IJE28" s="19"/>
      <c r="IJF28" s="19"/>
      <c r="IJG28" s="19"/>
      <c r="IJH28" s="19"/>
      <c r="IJI28" s="19"/>
      <c r="IJJ28" s="19"/>
      <c r="IJK28" s="19"/>
      <c r="IJL28" s="19"/>
      <c r="IJM28" s="19"/>
      <c r="IJN28" s="19"/>
      <c r="IJO28" s="19"/>
      <c r="IJP28" s="19"/>
      <c r="IJQ28" s="19"/>
      <c r="IJR28" s="19"/>
      <c r="IJS28" s="19"/>
      <c r="IJT28" s="19"/>
      <c r="IJU28" s="19"/>
      <c r="IJV28" s="19"/>
      <c r="IJW28" s="19"/>
      <c r="IJX28" s="19"/>
      <c r="IJY28" s="19"/>
      <c r="IJZ28" s="19"/>
      <c r="IKA28" s="19"/>
      <c r="IKB28" s="19"/>
      <c r="IKC28" s="19"/>
      <c r="IKD28" s="19"/>
      <c r="IKE28" s="19"/>
      <c r="IKF28" s="19"/>
      <c r="IKG28" s="19"/>
      <c r="IKH28" s="19"/>
      <c r="IKI28" s="19"/>
      <c r="IKJ28" s="19"/>
      <c r="IKK28" s="19"/>
      <c r="IKL28" s="19"/>
      <c r="IKM28" s="19"/>
      <c r="IKN28" s="19"/>
      <c r="IKO28" s="19"/>
      <c r="IKP28" s="19"/>
      <c r="IKQ28" s="19"/>
      <c r="IKR28" s="19"/>
      <c r="IKS28" s="19"/>
      <c r="IKT28" s="19"/>
      <c r="IKU28" s="19"/>
      <c r="IKV28" s="19"/>
      <c r="IKW28" s="19"/>
      <c r="IKX28" s="19"/>
      <c r="IKY28" s="19"/>
      <c r="IKZ28" s="19"/>
      <c r="ILA28" s="19"/>
      <c r="ILB28" s="19"/>
      <c r="ILC28" s="19"/>
      <c r="ILD28" s="19"/>
      <c r="ILE28" s="19"/>
      <c r="ILF28" s="19"/>
      <c r="ILG28" s="19"/>
      <c r="ILH28" s="19"/>
      <c r="ILI28" s="19"/>
      <c r="ILJ28" s="19"/>
      <c r="ILK28" s="19"/>
      <c r="ILL28" s="19"/>
      <c r="ILM28" s="19"/>
      <c r="ILN28" s="19"/>
      <c r="ILO28" s="19"/>
      <c r="ILP28" s="19"/>
      <c r="ILQ28" s="19"/>
      <c r="ILR28" s="19"/>
      <c r="ILS28" s="19"/>
      <c r="ILT28" s="19"/>
      <c r="ILU28" s="19"/>
      <c r="ILV28" s="19"/>
      <c r="ILW28" s="19"/>
      <c r="ILX28" s="19"/>
      <c r="ILY28" s="19"/>
      <c r="ILZ28" s="19"/>
      <c r="IMA28" s="19"/>
      <c r="IMB28" s="19"/>
      <c r="IMC28" s="19"/>
      <c r="IMD28" s="19"/>
      <c r="IME28" s="19"/>
      <c r="IMF28" s="19"/>
      <c r="IMG28" s="19"/>
      <c r="IMH28" s="19"/>
      <c r="IMI28" s="19"/>
      <c r="IMJ28" s="19"/>
      <c r="IMK28" s="19"/>
      <c r="IML28" s="19"/>
      <c r="IMM28" s="19"/>
      <c r="IMN28" s="19"/>
      <c r="IMO28" s="19"/>
      <c r="IMP28" s="19"/>
      <c r="IMQ28" s="19"/>
      <c r="IMR28" s="19"/>
      <c r="IMS28" s="19"/>
      <c r="IMT28" s="19"/>
      <c r="IMU28" s="19"/>
      <c r="IMV28" s="19"/>
      <c r="IMW28" s="19"/>
      <c r="IMX28" s="19"/>
      <c r="IMY28" s="19"/>
      <c r="IMZ28" s="19"/>
      <c r="INA28" s="19"/>
      <c r="INB28" s="19"/>
      <c r="INC28" s="19"/>
      <c r="IND28" s="19"/>
      <c r="INE28" s="19"/>
      <c r="INF28" s="19"/>
      <c r="ING28" s="19"/>
      <c r="INH28" s="19"/>
      <c r="INI28" s="19"/>
      <c r="INJ28" s="19"/>
      <c r="INK28" s="19"/>
      <c r="INL28" s="19"/>
      <c r="INM28" s="19"/>
      <c r="INN28" s="19"/>
      <c r="INO28" s="19"/>
      <c r="INP28" s="19"/>
      <c r="INQ28" s="19"/>
      <c r="INR28" s="19"/>
      <c r="INS28" s="19"/>
      <c r="INT28" s="19"/>
      <c r="INU28" s="19"/>
      <c r="INV28" s="19"/>
      <c r="INW28" s="19"/>
      <c r="INX28" s="19"/>
      <c r="INY28" s="19"/>
      <c r="INZ28" s="19"/>
      <c r="IOA28" s="19"/>
      <c r="IOB28" s="19"/>
      <c r="IOC28" s="19"/>
      <c r="IOD28" s="19"/>
      <c r="IOE28" s="19"/>
      <c r="IOF28" s="19"/>
      <c r="IOG28" s="19"/>
      <c r="IOH28" s="19"/>
      <c r="IOI28" s="19"/>
      <c r="IOJ28" s="19"/>
      <c r="IOK28" s="19"/>
      <c r="IOL28" s="19"/>
      <c r="IOM28" s="19"/>
      <c r="ION28" s="19"/>
      <c r="IOO28" s="19"/>
      <c r="IOP28" s="19"/>
      <c r="IOQ28" s="19"/>
      <c r="IOR28" s="19"/>
      <c r="IOS28" s="19"/>
      <c r="IOT28" s="19"/>
      <c r="IOU28" s="19"/>
      <c r="IOV28" s="19"/>
      <c r="IOW28" s="19"/>
      <c r="IOX28" s="19"/>
      <c r="IOY28" s="19"/>
      <c r="IOZ28" s="19"/>
      <c r="IPA28" s="19"/>
      <c r="IPB28" s="19"/>
      <c r="IPC28" s="19"/>
      <c r="IPD28" s="19"/>
      <c r="IPE28" s="19"/>
      <c r="IPF28" s="19"/>
      <c r="IPG28" s="19"/>
      <c r="IPH28" s="19"/>
      <c r="IPI28" s="19"/>
      <c r="IPJ28" s="19"/>
      <c r="IPK28" s="19"/>
      <c r="IPL28" s="19"/>
      <c r="IPM28" s="19"/>
      <c r="IPN28" s="19"/>
      <c r="IPO28" s="19"/>
      <c r="IPP28" s="19"/>
      <c r="IPQ28" s="19"/>
      <c r="IPR28" s="19"/>
      <c r="IPS28" s="19"/>
      <c r="IPT28" s="19"/>
      <c r="IPU28" s="19"/>
      <c r="IPV28" s="19"/>
      <c r="IPW28" s="19"/>
      <c r="IPX28" s="19"/>
      <c r="IPY28" s="19"/>
      <c r="IPZ28" s="19"/>
      <c r="IQA28" s="19"/>
      <c r="IQB28" s="19"/>
      <c r="IQC28" s="19"/>
      <c r="IQD28" s="19"/>
      <c r="IQE28" s="19"/>
      <c r="IQF28" s="19"/>
      <c r="IQG28" s="19"/>
      <c r="IQH28" s="19"/>
      <c r="IQI28" s="19"/>
      <c r="IQJ28" s="19"/>
      <c r="IQK28" s="19"/>
      <c r="IQL28" s="19"/>
      <c r="IQM28" s="19"/>
      <c r="IQN28" s="19"/>
      <c r="IQO28" s="19"/>
      <c r="IQP28" s="19"/>
      <c r="IQQ28" s="19"/>
      <c r="IQR28" s="19"/>
      <c r="IQS28" s="19"/>
      <c r="IQT28" s="19"/>
      <c r="IQU28" s="19"/>
      <c r="IQV28" s="19"/>
      <c r="IQW28" s="19"/>
      <c r="IQX28" s="19"/>
      <c r="IQY28" s="19"/>
      <c r="IQZ28" s="19"/>
      <c r="IRA28" s="19"/>
      <c r="IRB28" s="19"/>
      <c r="IRC28" s="19"/>
      <c r="IRD28" s="19"/>
      <c r="IRE28" s="19"/>
      <c r="IRF28" s="19"/>
      <c r="IRG28" s="19"/>
      <c r="IRH28" s="19"/>
      <c r="IRI28" s="19"/>
      <c r="IRJ28" s="19"/>
      <c r="IRK28" s="19"/>
      <c r="IRL28" s="19"/>
      <c r="IRM28" s="19"/>
      <c r="IRN28" s="19"/>
      <c r="IRO28" s="19"/>
      <c r="IRP28" s="19"/>
      <c r="IRQ28" s="19"/>
      <c r="IRR28" s="19"/>
      <c r="IRS28" s="19"/>
      <c r="IRT28" s="19"/>
      <c r="IRU28" s="19"/>
      <c r="IRV28" s="19"/>
      <c r="IRW28" s="19"/>
      <c r="IRX28" s="19"/>
      <c r="IRY28" s="19"/>
      <c r="IRZ28" s="19"/>
      <c r="ISA28" s="19"/>
      <c r="ISB28" s="19"/>
      <c r="ISC28" s="19"/>
      <c r="ISD28" s="19"/>
      <c r="ISE28" s="19"/>
      <c r="ISF28" s="19"/>
      <c r="ISG28" s="19"/>
      <c r="ISH28" s="19"/>
      <c r="ISI28" s="19"/>
      <c r="ISJ28" s="19"/>
      <c r="ISK28" s="19"/>
      <c r="ISL28" s="19"/>
      <c r="ISM28" s="19"/>
      <c r="ISN28" s="19"/>
      <c r="ISO28" s="19"/>
      <c r="ISP28" s="19"/>
      <c r="ISQ28" s="19"/>
      <c r="ISR28" s="19"/>
      <c r="ISS28" s="19"/>
      <c r="IST28" s="19"/>
      <c r="ISU28" s="19"/>
      <c r="ISV28" s="19"/>
      <c r="ISW28" s="19"/>
      <c r="ISX28" s="19"/>
      <c r="ISY28" s="19"/>
      <c r="ISZ28" s="19"/>
      <c r="ITA28" s="19"/>
      <c r="ITB28" s="19"/>
      <c r="ITC28" s="19"/>
      <c r="ITD28" s="19"/>
      <c r="ITE28" s="19"/>
      <c r="ITF28" s="19"/>
      <c r="ITG28" s="19"/>
      <c r="ITH28" s="19"/>
      <c r="ITI28" s="19"/>
      <c r="ITJ28" s="19"/>
      <c r="ITK28" s="19"/>
      <c r="ITL28" s="19"/>
      <c r="ITM28" s="19"/>
      <c r="ITN28" s="19"/>
      <c r="ITO28" s="19"/>
      <c r="ITP28" s="19"/>
      <c r="ITQ28" s="19"/>
      <c r="ITR28" s="19"/>
      <c r="ITS28" s="19"/>
      <c r="ITT28" s="19"/>
      <c r="ITU28" s="19"/>
      <c r="ITV28" s="19"/>
      <c r="ITW28" s="19"/>
      <c r="ITX28" s="19"/>
      <c r="ITY28" s="19"/>
      <c r="ITZ28" s="19"/>
      <c r="IUA28" s="19"/>
      <c r="IUB28" s="19"/>
      <c r="IUC28" s="19"/>
      <c r="IUD28" s="19"/>
      <c r="IUE28" s="19"/>
      <c r="IUF28" s="19"/>
      <c r="IUG28" s="19"/>
      <c r="IUH28" s="19"/>
      <c r="IUI28" s="19"/>
      <c r="IUJ28" s="19"/>
      <c r="IUK28" s="19"/>
      <c r="IUL28" s="19"/>
      <c r="IUM28" s="19"/>
      <c r="IUN28" s="19"/>
      <c r="IUO28" s="19"/>
      <c r="IUP28" s="19"/>
      <c r="IUQ28" s="19"/>
      <c r="IUR28" s="19"/>
      <c r="IUS28" s="19"/>
      <c r="IUT28" s="19"/>
      <c r="IUU28" s="19"/>
      <c r="IUV28" s="19"/>
      <c r="IUW28" s="19"/>
      <c r="IUX28" s="19"/>
      <c r="IUY28" s="19"/>
      <c r="IUZ28" s="19"/>
      <c r="IVA28" s="19"/>
      <c r="IVB28" s="19"/>
      <c r="IVC28" s="19"/>
      <c r="IVD28" s="19"/>
      <c r="IVE28" s="19"/>
      <c r="IVF28" s="19"/>
      <c r="IVG28" s="19"/>
      <c r="IVH28" s="19"/>
      <c r="IVI28" s="19"/>
      <c r="IVJ28" s="19"/>
      <c r="IVK28" s="19"/>
      <c r="IVL28" s="19"/>
      <c r="IVM28" s="19"/>
      <c r="IVN28" s="19"/>
      <c r="IVO28" s="19"/>
      <c r="IVP28" s="19"/>
      <c r="IVQ28" s="19"/>
      <c r="IVR28" s="19"/>
      <c r="IVS28" s="19"/>
      <c r="IVT28" s="19"/>
      <c r="IVU28" s="19"/>
      <c r="IVV28" s="19"/>
      <c r="IVW28" s="19"/>
      <c r="IVX28" s="19"/>
      <c r="IVY28" s="19"/>
      <c r="IVZ28" s="19"/>
      <c r="IWA28" s="19"/>
      <c r="IWB28" s="19"/>
      <c r="IWC28" s="19"/>
      <c r="IWD28" s="19"/>
      <c r="IWE28" s="19"/>
      <c r="IWF28" s="19"/>
      <c r="IWG28" s="19"/>
      <c r="IWH28" s="19"/>
      <c r="IWI28" s="19"/>
      <c r="IWJ28" s="19"/>
      <c r="IWK28" s="19"/>
      <c r="IWL28" s="19"/>
      <c r="IWM28" s="19"/>
      <c r="IWN28" s="19"/>
      <c r="IWO28" s="19"/>
      <c r="IWP28" s="19"/>
      <c r="IWQ28" s="19"/>
      <c r="IWR28" s="19"/>
      <c r="IWS28" s="19"/>
      <c r="IWT28" s="19"/>
      <c r="IWU28" s="19"/>
      <c r="IWV28" s="19"/>
      <c r="IWW28" s="19"/>
      <c r="IWX28" s="19"/>
      <c r="IWY28" s="19"/>
      <c r="IWZ28" s="19"/>
      <c r="IXA28" s="19"/>
      <c r="IXB28" s="19"/>
      <c r="IXC28" s="19"/>
      <c r="IXD28" s="19"/>
      <c r="IXE28" s="19"/>
      <c r="IXF28" s="19"/>
      <c r="IXG28" s="19"/>
      <c r="IXH28" s="19"/>
      <c r="IXI28" s="19"/>
      <c r="IXJ28" s="19"/>
      <c r="IXK28" s="19"/>
      <c r="IXL28" s="19"/>
      <c r="IXM28" s="19"/>
      <c r="IXN28" s="19"/>
      <c r="IXO28" s="19"/>
      <c r="IXP28" s="19"/>
      <c r="IXQ28" s="19"/>
      <c r="IXR28" s="19"/>
      <c r="IXS28" s="19"/>
      <c r="IXT28" s="19"/>
      <c r="IXU28" s="19"/>
      <c r="IXV28" s="19"/>
      <c r="IXW28" s="19"/>
      <c r="IXX28" s="19"/>
      <c r="IXY28" s="19"/>
      <c r="IXZ28" s="19"/>
      <c r="IYA28" s="19"/>
      <c r="IYB28" s="19"/>
      <c r="IYC28" s="19"/>
      <c r="IYD28" s="19"/>
      <c r="IYE28" s="19"/>
      <c r="IYF28" s="19"/>
      <c r="IYG28" s="19"/>
      <c r="IYH28" s="19"/>
      <c r="IYI28" s="19"/>
      <c r="IYJ28" s="19"/>
      <c r="IYK28" s="19"/>
      <c r="IYL28" s="19"/>
      <c r="IYM28" s="19"/>
      <c r="IYN28" s="19"/>
      <c r="IYO28" s="19"/>
      <c r="IYP28" s="19"/>
      <c r="IYQ28" s="19"/>
      <c r="IYR28" s="19"/>
      <c r="IYS28" s="19"/>
      <c r="IYT28" s="19"/>
      <c r="IYU28" s="19"/>
      <c r="IYV28" s="19"/>
      <c r="IYW28" s="19"/>
      <c r="IYX28" s="19"/>
      <c r="IYY28" s="19"/>
      <c r="IYZ28" s="19"/>
      <c r="IZA28" s="19"/>
      <c r="IZB28" s="19"/>
      <c r="IZC28" s="19"/>
      <c r="IZD28" s="19"/>
      <c r="IZE28" s="19"/>
      <c r="IZF28" s="19"/>
      <c r="IZG28" s="19"/>
      <c r="IZH28" s="19"/>
      <c r="IZI28" s="19"/>
      <c r="IZJ28" s="19"/>
      <c r="IZK28" s="19"/>
      <c r="IZL28" s="19"/>
      <c r="IZM28" s="19"/>
      <c r="IZN28" s="19"/>
      <c r="IZO28" s="19"/>
      <c r="IZP28" s="19"/>
      <c r="IZQ28" s="19"/>
      <c r="IZR28" s="19"/>
      <c r="IZS28" s="19"/>
      <c r="IZT28" s="19"/>
      <c r="IZU28" s="19"/>
      <c r="IZV28" s="19"/>
      <c r="IZW28" s="19"/>
      <c r="IZX28" s="19"/>
      <c r="IZY28" s="19"/>
      <c r="IZZ28" s="19"/>
      <c r="JAA28" s="19"/>
      <c r="JAB28" s="19"/>
      <c r="JAC28" s="19"/>
      <c r="JAD28" s="19"/>
      <c r="JAE28" s="19"/>
      <c r="JAF28" s="19"/>
      <c r="JAG28" s="19"/>
      <c r="JAH28" s="19"/>
      <c r="JAI28" s="19"/>
      <c r="JAJ28" s="19"/>
      <c r="JAK28" s="19"/>
      <c r="JAL28" s="19"/>
      <c r="JAM28" s="19"/>
      <c r="JAN28" s="19"/>
      <c r="JAO28" s="19"/>
      <c r="JAP28" s="19"/>
      <c r="JAQ28" s="19"/>
      <c r="JAR28" s="19"/>
      <c r="JAS28" s="19"/>
      <c r="JAT28" s="19"/>
      <c r="JAU28" s="19"/>
      <c r="JAV28" s="19"/>
      <c r="JAW28" s="19"/>
      <c r="JAX28" s="19"/>
      <c r="JAY28" s="19"/>
      <c r="JAZ28" s="19"/>
      <c r="JBA28" s="19"/>
      <c r="JBB28" s="19"/>
      <c r="JBC28" s="19"/>
      <c r="JBD28" s="19"/>
      <c r="JBE28" s="19"/>
      <c r="JBF28" s="19"/>
      <c r="JBG28" s="19"/>
      <c r="JBH28" s="19"/>
      <c r="JBI28" s="19"/>
      <c r="JBJ28" s="19"/>
      <c r="JBK28" s="19"/>
      <c r="JBL28" s="19"/>
      <c r="JBM28" s="19"/>
      <c r="JBN28" s="19"/>
      <c r="JBO28" s="19"/>
      <c r="JBP28" s="19"/>
      <c r="JBQ28" s="19"/>
      <c r="JBR28" s="19"/>
      <c r="JBS28" s="19"/>
      <c r="JBT28" s="19"/>
      <c r="JBU28" s="19"/>
      <c r="JBV28" s="19"/>
      <c r="JBW28" s="19"/>
      <c r="JBX28" s="19"/>
      <c r="JBY28" s="19"/>
      <c r="JBZ28" s="19"/>
      <c r="JCA28" s="19"/>
      <c r="JCB28" s="19"/>
      <c r="JCC28" s="19"/>
      <c r="JCD28" s="19"/>
      <c r="JCE28" s="19"/>
      <c r="JCF28" s="19"/>
      <c r="JCG28" s="19"/>
      <c r="JCH28" s="19"/>
      <c r="JCI28" s="19"/>
      <c r="JCJ28" s="19"/>
      <c r="JCK28" s="19"/>
      <c r="JCL28" s="19"/>
      <c r="JCM28" s="19"/>
      <c r="JCN28" s="19"/>
      <c r="JCO28" s="19"/>
      <c r="JCP28" s="19"/>
      <c r="JCQ28" s="19"/>
      <c r="JCR28" s="19"/>
      <c r="JCS28" s="19"/>
      <c r="JCT28" s="19"/>
      <c r="JCU28" s="19"/>
      <c r="JCV28" s="19"/>
      <c r="JCW28" s="19"/>
      <c r="JCX28" s="19"/>
      <c r="JCY28" s="19"/>
      <c r="JCZ28" s="19"/>
      <c r="JDA28" s="19"/>
      <c r="JDB28" s="19"/>
      <c r="JDC28" s="19"/>
      <c r="JDD28" s="19"/>
      <c r="JDE28" s="19"/>
      <c r="JDF28" s="19"/>
      <c r="JDG28" s="19"/>
      <c r="JDH28" s="19"/>
      <c r="JDI28" s="19"/>
      <c r="JDJ28" s="19"/>
      <c r="JDK28" s="19"/>
      <c r="JDL28" s="19"/>
      <c r="JDM28" s="19"/>
      <c r="JDN28" s="19"/>
      <c r="JDO28" s="19"/>
      <c r="JDP28" s="19"/>
      <c r="JDQ28" s="19"/>
      <c r="JDR28" s="19"/>
      <c r="JDS28" s="19"/>
      <c r="JDT28" s="19"/>
      <c r="JDU28" s="19"/>
      <c r="JDV28" s="19"/>
      <c r="JDW28" s="19"/>
      <c r="JDX28" s="19"/>
      <c r="JDY28" s="19"/>
      <c r="JDZ28" s="19"/>
      <c r="JEA28" s="19"/>
      <c r="JEB28" s="19"/>
      <c r="JEC28" s="19"/>
      <c r="JED28" s="19"/>
      <c r="JEE28" s="19"/>
      <c r="JEF28" s="19"/>
      <c r="JEG28" s="19"/>
      <c r="JEH28" s="19"/>
      <c r="JEI28" s="19"/>
      <c r="JEJ28" s="19"/>
      <c r="JEK28" s="19"/>
      <c r="JEL28" s="19"/>
      <c r="JEM28" s="19"/>
      <c r="JEN28" s="19"/>
      <c r="JEO28" s="19"/>
      <c r="JEP28" s="19"/>
      <c r="JEQ28" s="19"/>
      <c r="JER28" s="19"/>
      <c r="JES28" s="19"/>
      <c r="JET28" s="19"/>
      <c r="JEU28" s="19"/>
      <c r="JEV28" s="19"/>
      <c r="JEW28" s="19"/>
      <c r="JEX28" s="19"/>
      <c r="JEY28" s="19"/>
      <c r="JEZ28" s="19"/>
      <c r="JFA28" s="19"/>
      <c r="JFB28" s="19"/>
      <c r="JFC28" s="19"/>
      <c r="JFD28" s="19"/>
      <c r="JFE28" s="19"/>
      <c r="JFF28" s="19"/>
      <c r="JFG28" s="19"/>
      <c r="JFH28" s="19"/>
      <c r="JFI28" s="19"/>
      <c r="JFJ28" s="19"/>
      <c r="JFK28" s="19"/>
      <c r="JFL28" s="19"/>
      <c r="JFM28" s="19"/>
      <c r="JFN28" s="19"/>
      <c r="JFO28" s="19"/>
      <c r="JFP28" s="19"/>
      <c r="JFQ28" s="19"/>
      <c r="JFR28" s="19"/>
      <c r="JFS28" s="19"/>
      <c r="JFT28" s="19"/>
      <c r="JFU28" s="19"/>
      <c r="JFV28" s="19"/>
      <c r="JFW28" s="19"/>
      <c r="JFX28" s="19"/>
      <c r="JFY28" s="19"/>
      <c r="JFZ28" s="19"/>
      <c r="JGA28" s="19"/>
      <c r="JGB28" s="19"/>
      <c r="JGC28" s="19"/>
      <c r="JGD28" s="19"/>
      <c r="JGE28" s="19"/>
      <c r="JGF28" s="19"/>
      <c r="JGG28" s="19"/>
      <c r="JGH28" s="19"/>
      <c r="JGI28" s="19"/>
      <c r="JGJ28" s="19"/>
      <c r="JGK28" s="19"/>
      <c r="JGL28" s="19"/>
      <c r="JGM28" s="19"/>
      <c r="JGN28" s="19"/>
      <c r="JGO28" s="19"/>
      <c r="JGP28" s="19"/>
      <c r="JGQ28" s="19"/>
      <c r="JGR28" s="19"/>
      <c r="JGS28" s="19"/>
      <c r="JGT28" s="19"/>
      <c r="JGU28" s="19"/>
      <c r="JGV28" s="19"/>
      <c r="JGW28" s="19"/>
      <c r="JGX28" s="19"/>
      <c r="JGY28" s="19"/>
      <c r="JGZ28" s="19"/>
      <c r="JHA28" s="19"/>
      <c r="JHB28" s="19"/>
      <c r="JHC28" s="19"/>
      <c r="JHD28" s="19"/>
      <c r="JHE28" s="19"/>
      <c r="JHF28" s="19"/>
      <c r="JHG28" s="19"/>
      <c r="JHH28" s="19"/>
      <c r="JHI28" s="19"/>
      <c r="JHJ28" s="19"/>
      <c r="JHK28" s="19"/>
      <c r="JHL28" s="19"/>
      <c r="JHM28" s="19"/>
      <c r="JHN28" s="19"/>
      <c r="JHO28" s="19"/>
      <c r="JHP28" s="19"/>
      <c r="JHQ28" s="19"/>
      <c r="JHR28" s="19"/>
      <c r="JHS28" s="19"/>
      <c r="JHT28" s="19"/>
      <c r="JHU28" s="19"/>
      <c r="JHV28" s="19"/>
      <c r="JHW28" s="19"/>
      <c r="JHX28" s="19"/>
      <c r="JHY28" s="19"/>
      <c r="JHZ28" s="19"/>
      <c r="JIA28" s="19"/>
      <c r="JIB28" s="19"/>
      <c r="JIC28" s="19"/>
      <c r="JID28" s="19"/>
      <c r="JIE28" s="19"/>
      <c r="JIF28" s="19"/>
      <c r="JIG28" s="19"/>
      <c r="JIH28" s="19"/>
      <c r="JII28" s="19"/>
      <c r="JIJ28" s="19"/>
      <c r="JIK28" s="19"/>
      <c r="JIL28" s="19"/>
      <c r="JIM28" s="19"/>
      <c r="JIN28" s="19"/>
      <c r="JIO28" s="19"/>
      <c r="JIP28" s="19"/>
      <c r="JIQ28" s="19"/>
      <c r="JIR28" s="19"/>
      <c r="JIS28" s="19"/>
      <c r="JIT28" s="19"/>
      <c r="JIU28" s="19"/>
      <c r="JIV28" s="19"/>
      <c r="JIW28" s="19"/>
      <c r="JIX28" s="19"/>
      <c r="JIY28" s="19"/>
      <c r="JIZ28" s="19"/>
      <c r="JJA28" s="19"/>
      <c r="JJB28" s="19"/>
      <c r="JJC28" s="19"/>
      <c r="JJD28" s="19"/>
      <c r="JJE28" s="19"/>
      <c r="JJF28" s="19"/>
      <c r="JJG28" s="19"/>
      <c r="JJH28" s="19"/>
      <c r="JJI28" s="19"/>
      <c r="JJJ28" s="19"/>
      <c r="JJK28" s="19"/>
      <c r="JJL28" s="19"/>
      <c r="JJM28" s="19"/>
      <c r="JJN28" s="19"/>
      <c r="JJO28" s="19"/>
      <c r="JJP28" s="19"/>
      <c r="JJQ28" s="19"/>
      <c r="JJR28" s="19"/>
      <c r="JJS28" s="19"/>
      <c r="JJT28" s="19"/>
      <c r="JJU28" s="19"/>
      <c r="JJV28" s="19"/>
      <c r="JJW28" s="19"/>
      <c r="JJX28" s="19"/>
      <c r="JJY28" s="19"/>
      <c r="JJZ28" s="19"/>
      <c r="JKA28" s="19"/>
      <c r="JKB28" s="19"/>
      <c r="JKC28" s="19"/>
      <c r="JKD28" s="19"/>
      <c r="JKE28" s="19"/>
      <c r="JKF28" s="19"/>
      <c r="JKG28" s="19"/>
      <c r="JKH28" s="19"/>
      <c r="JKI28" s="19"/>
      <c r="JKJ28" s="19"/>
      <c r="JKK28" s="19"/>
      <c r="JKL28" s="19"/>
      <c r="JKM28" s="19"/>
      <c r="JKN28" s="19"/>
      <c r="JKO28" s="19"/>
      <c r="JKP28" s="19"/>
      <c r="JKQ28" s="19"/>
      <c r="JKR28" s="19"/>
      <c r="JKS28" s="19"/>
      <c r="JKT28" s="19"/>
      <c r="JKU28" s="19"/>
      <c r="JKV28" s="19"/>
      <c r="JKW28" s="19"/>
      <c r="JKX28" s="19"/>
      <c r="JKY28" s="19"/>
      <c r="JKZ28" s="19"/>
      <c r="JLA28" s="19"/>
      <c r="JLB28" s="19"/>
      <c r="JLC28" s="19"/>
      <c r="JLD28" s="19"/>
      <c r="JLE28" s="19"/>
      <c r="JLF28" s="19"/>
      <c r="JLG28" s="19"/>
      <c r="JLH28" s="19"/>
      <c r="JLI28" s="19"/>
      <c r="JLJ28" s="19"/>
      <c r="JLK28" s="19"/>
      <c r="JLL28" s="19"/>
      <c r="JLM28" s="19"/>
      <c r="JLN28" s="19"/>
      <c r="JLO28" s="19"/>
      <c r="JLP28" s="19"/>
      <c r="JLQ28" s="19"/>
      <c r="JLR28" s="19"/>
      <c r="JLS28" s="19"/>
      <c r="JLT28" s="19"/>
      <c r="JLU28" s="19"/>
      <c r="JLV28" s="19"/>
      <c r="JLW28" s="19"/>
      <c r="JLX28" s="19"/>
      <c r="JLY28" s="19"/>
      <c r="JLZ28" s="19"/>
      <c r="JMA28" s="19"/>
      <c r="JMB28" s="19"/>
      <c r="JMC28" s="19"/>
      <c r="JMD28" s="19"/>
      <c r="JME28" s="19"/>
      <c r="JMF28" s="19"/>
      <c r="JMG28" s="19"/>
      <c r="JMH28" s="19"/>
      <c r="JMI28" s="19"/>
      <c r="JMJ28" s="19"/>
      <c r="JMK28" s="19"/>
      <c r="JML28" s="19"/>
      <c r="JMM28" s="19"/>
      <c r="JMN28" s="19"/>
      <c r="JMO28" s="19"/>
      <c r="JMP28" s="19"/>
      <c r="JMQ28" s="19"/>
      <c r="JMR28" s="19"/>
      <c r="JMS28" s="19"/>
      <c r="JMT28" s="19"/>
      <c r="JMU28" s="19"/>
      <c r="JMV28" s="19"/>
      <c r="JMW28" s="19"/>
      <c r="JMX28" s="19"/>
      <c r="JMY28" s="19"/>
      <c r="JMZ28" s="19"/>
      <c r="JNA28" s="19"/>
      <c r="JNB28" s="19"/>
      <c r="JNC28" s="19"/>
      <c r="JND28" s="19"/>
      <c r="JNE28" s="19"/>
      <c r="JNF28" s="19"/>
      <c r="JNG28" s="19"/>
      <c r="JNH28" s="19"/>
      <c r="JNI28" s="19"/>
      <c r="JNJ28" s="19"/>
      <c r="JNK28" s="19"/>
      <c r="JNL28" s="19"/>
      <c r="JNM28" s="19"/>
      <c r="JNN28" s="19"/>
      <c r="JNO28" s="19"/>
      <c r="JNP28" s="19"/>
      <c r="JNQ28" s="19"/>
      <c r="JNR28" s="19"/>
      <c r="JNS28" s="19"/>
      <c r="JNT28" s="19"/>
      <c r="JNU28" s="19"/>
      <c r="JNV28" s="19"/>
      <c r="JNW28" s="19"/>
      <c r="JNX28" s="19"/>
      <c r="JNY28" s="19"/>
      <c r="JNZ28" s="19"/>
      <c r="JOA28" s="19"/>
      <c r="JOB28" s="19"/>
      <c r="JOC28" s="19"/>
      <c r="JOD28" s="19"/>
      <c r="JOE28" s="19"/>
      <c r="JOF28" s="19"/>
      <c r="JOG28" s="19"/>
      <c r="JOH28" s="19"/>
      <c r="JOI28" s="19"/>
      <c r="JOJ28" s="19"/>
      <c r="JOK28" s="19"/>
      <c r="JOL28" s="19"/>
      <c r="JOM28" s="19"/>
      <c r="JON28" s="19"/>
      <c r="JOO28" s="19"/>
      <c r="JOP28" s="19"/>
      <c r="JOQ28" s="19"/>
      <c r="JOR28" s="19"/>
      <c r="JOS28" s="19"/>
      <c r="JOT28" s="19"/>
      <c r="JOU28" s="19"/>
      <c r="JOV28" s="19"/>
      <c r="JOW28" s="19"/>
      <c r="JOX28" s="19"/>
      <c r="JOY28" s="19"/>
      <c r="JOZ28" s="19"/>
      <c r="JPA28" s="19"/>
      <c r="JPB28" s="19"/>
      <c r="JPC28" s="19"/>
      <c r="JPD28" s="19"/>
      <c r="JPE28" s="19"/>
      <c r="JPF28" s="19"/>
      <c r="JPG28" s="19"/>
      <c r="JPH28" s="19"/>
      <c r="JPI28" s="19"/>
      <c r="JPJ28" s="19"/>
      <c r="JPK28" s="19"/>
      <c r="JPL28" s="19"/>
      <c r="JPM28" s="19"/>
      <c r="JPN28" s="19"/>
      <c r="JPO28" s="19"/>
      <c r="JPP28" s="19"/>
      <c r="JPQ28" s="19"/>
      <c r="JPR28" s="19"/>
      <c r="JPS28" s="19"/>
      <c r="JPT28" s="19"/>
      <c r="JPU28" s="19"/>
      <c r="JPV28" s="19"/>
      <c r="JPW28" s="19"/>
      <c r="JPX28" s="19"/>
      <c r="JPY28" s="19"/>
      <c r="JPZ28" s="19"/>
      <c r="JQA28" s="19"/>
      <c r="JQB28" s="19"/>
      <c r="JQC28" s="19"/>
      <c r="JQD28" s="19"/>
      <c r="JQE28" s="19"/>
      <c r="JQF28" s="19"/>
      <c r="JQG28" s="19"/>
      <c r="JQH28" s="19"/>
      <c r="JQI28" s="19"/>
      <c r="JQJ28" s="19"/>
      <c r="JQK28" s="19"/>
      <c r="JQL28" s="19"/>
      <c r="JQM28" s="19"/>
      <c r="JQN28" s="19"/>
      <c r="JQO28" s="19"/>
      <c r="JQP28" s="19"/>
      <c r="JQQ28" s="19"/>
      <c r="JQR28" s="19"/>
      <c r="JQS28" s="19"/>
      <c r="JQT28" s="19"/>
      <c r="JQU28" s="19"/>
      <c r="JQV28" s="19"/>
      <c r="JQW28" s="19"/>
      <c r="JQX28" s="19"/>
      <c r="JQY28" s="19"/>
      <c r="JQZ28" s="19"/>
      <c r="JRA28" s="19"/>
      <c r="JRB28" s="19"/>
      <c r="JRC28" s="19"/>
      <c r="JRD28" s="19"/>
      <c r="JRE28" s="19"/>
      <c r="JRF28" s="19"/>
      <c r="JRG28" s="19"/>
      <c r="JRH28" s="19"/>
      <c r="JRI28" s="19"/>
      <c r="JRJ28" s="19"/>
      <c r="JRK28" s="19"/>
      <c r="JRL28" s="19"/>
      <c r="JRM28" s="19"/>
      <c r="JRN28" s="19"/>
      <c r="JRO28" s="19"/>
      <c r="JRP28" s="19"/>
      <c r="JRQ28" s="19"/>
      <c r="JRR28" s="19"/>
      <c r="JRS28" s="19"/>
      <c r="JRT28" s="19"/>
      <c r="JRU28" s="19"/>
      <c r="JRV28" s="19"/>
      <c r="JRW28" s="19"/>
      <c r="JRX28" s="19"/>
      <c r="JRY28" s="19"/>
      <c r="JRZ28" s="19"/>
      <c r="JSA28" s="19"/>
      <c r="JSB28" s="19"/>
      <c r="JSC28" s="19"/>
      <c r="JSD28" s="19"/>
      <c r="JSE28" s="19"/>
      <c r="JSF28" s="19"/>
      <c r="JSG28" s="19"/>
      <c r="JSH28" s="19"/>
      <c r="JSI28" s="19"/>
      <c r="JSJ28" s="19"/>
      <c r="JSK28" s="19"/>
      <c r="JSL28" s="19"/>
      <c r="JSM28" s="19"/>
      <c r="JSN28" s="19"/>
      <c r="JSO28" s="19"/>
      <c r="JSP28" s="19"/>
      <c r="JSQ28" s="19"/>
      <c r="JSR28" s="19"/>
      <c r="JSS28" s="19"/>
      <c r="JST28" s="19"/>
      <c r="JSU28" s="19"/>
      <c r="JSV28" s="19"/>
      <c r="JSW28" s="19"/>
      <c r="JSX28" s="19"/>
      <c r="JSY28" s="19"/>
      <c r="JSZ28" s="19"/>
      <c r="JTA28" s="19"/>
      <c r="JTB28" s="19"/>
      <c r="JTC28" s="19"/>
      <c r="JTD28" s="19"/>
      <c r="JTE28" s="19"/>
      <c r="JTF28" s="19"/>
      <c r="JTG28" s="19"/>
      <c r="JTH28" s="19"/>
      <c r="JTI28" s="19"/>
      <c r="JTJ28" s="19"/>
      <c r="JTK28" s="19"/>
      <c r="JTL28" s="19"/>
      <c r="JTM28" s="19"/>
      <c r="JTN28" s="19"/>
      <c r="JTO28" s="19"/>
      <c r="JTP28" s="19"/>
      <c r="JTQ28" s="19"/>
      <c r="JTR28" s="19"/>
      <c r="JTS28" s="19"/>
      <c r="JTT28" s="19"/>
      <c r="JTU28" s="19"/>
      <c r="JTV28" s="19"/>
      <c r="JTW28" s="19"/>
      <c r="JTX28" s="19"/>
      <c r="JTY28" s="19"/>
      <c r="JTZ28" s="19"/>
      <c r="JUA28" s="19"/>
      <c r="JUB28" s="19"/>
      <c r="JUC28" s="19"/>
      <c r="JUD28" s="19"/>
      <c r="JUE28" s="19"/>
      <c r="JUF28" s="19"/>
      <c r="JUG28" s="19"/>
      <c r="JUH28" s="19"/>
      <c r="JUI28" s="19"/>
      <c r="JUJ28" s="19"/>
      <c r="JUK28" s="19"/>
      <c r="JUL28" s="19"/>
      <c r="JUM28" s="19"/>
      <c r="JUN28" s="19"/>
      <c r="JUO28" s="19"/>
      <c r="JUP28" s="19"/>
      <c r="JUQ28" s="19"/>
      <c r="JUR28" s="19"/>
      <c r="JUS28" s="19"/>
      <c r="JUT28" s="19"/>
      <c r="JUU28" s="19"/>
      <c r="JUV28" s="19"/>
      <c r="JUW28" s="19"/>
      <c r="JUX28" s="19"/>
      <c r="JUY28" s="19"/>
      <c r="JUZ28" s="19"/>
      <c r="JVA28" s="19"/>
      <c r="JVB28" s="19"/>
      <c r="JVC28" s="19"/>
      <c r="JVD28" s="19"/>
      <c r="JVE28" s="19"/>
      <c r="JVF28" s="19"/>
      <c r="JVG28" s="19"/>
      <c r="JVH28" s="19"/>
      <c r="JVI28" s="19"/>
      <c r="JVJ28" s="19"/>
      <c r="JVK28" s="19"/>
      <c r="JVL28" s="19"/>
      <c r="JVM28" s="19"/>
      <c r="JVN28" s="19"/>
      <c r="JVO28" s="19"/>
      <c r="JVP28" s="19"/>
      <c r="JVQ28" s="19"/>
      <c r="JVR28" s="19"/>
      <c r="JVS28" s="19"/>
      <c r="JVT28" s="19"/>
      <c r="JVU28" s="19"/>
      <c r="JVV28" s="19"/>
      <c r="JVW28" s="19"/>
      <c r="JVX28" s="19"/>
      <c r="JVY28" s="19"/>
      <c r="JVZ28" s="19"/>
      <c r="JWA28" s="19"/>
      <c r="JWB28" s="19"/>
      <c r="JWC28" s="19"/>
      <c r="JWD28" s="19"/>
      <c r="JWE28" s="19"/>
      <c r="JWF28" s="19"/>
      <c r="JWG28" s="19"/>
      <c r="JWH28" s="19"/>
      <c r="JWI28" s="19"/>
      <c r="JWJ28" s="19"/>
      <c r="JWK28" s="19"/>
      <c r="JWL28" s="19"/>
      <c r="JWM28" s="19"/>
      <c r="JWN28" s="19"/>
      <c r="JWO28" s="19"/>
      <c r="JWP28" s="19"/>
      <c r="JWQ28" s="19"/>
      <c r="JWR28" s="19"/>
      <c r="JWS28" s="19"/>
      <c r="JWT28" s="19"/>
      <c r="JWU28" s="19"/>
      <c r="JWV28" s="19"/>
      <c r="JWW28" s="19"/>
      <c r="JWX28" s="19"/>
      <c r="JWY28" s="19"/>
      <c r="JWZ28" s="19"/>
      <c r="JXA28" s="19"/>
      <c r="JXB28" s="19"/>
      <c r="JXC28" s="19"/>
      <c r="JXD28" s="19"/>
      <c r="JXE28" s="19"/>
      <c r="JXF28" s="19"/>
      <c r="JXG28" s="19"/>
      <c r="JXH28" s="19"/>
      <c r="JXI28" s="19"/>
      <c r="JXJ28" s="19"/>
      <c r="JXK28" s="19"/>
      <c r="JXL28" s="19"/>
      <c r="JXM28" s="19"/>
      <c r="JXN28" s="19"/>
      <c r="JXO28" s="19"/>
      <c r="JXP28" s="19"/>
      <c r="JXQ28" s="19"/>
      <c r="JXR28" s="19"/>
      <c r="JXS28" s="19"/>
      <c r="JXT28" s="19"/>
      <c r="JXU28" s="19"/>
      <c r="JXV28" s="19"/>
      <c r="JXW28" s="19"/>
      <c r="JXX28" s="19"/>
      <c r="JXY28" s="19"/>
      <c r="JXZ28" s="19"/>
      <c r="JYA28" s="19"/>
      <c r="JYB28" s="19"/>
      <c r="JYC28" s="19"/>
      <c r="JYD28" s="19"/>
      <c r="JYE28" s="19"/>
      <c r="JYF28" s="19"/>
      <c r="JYG28" s="19"/>
      <c r="JYH28" s="19"/>
      <c r="JYI28" s="19"/>
      <c r="JYJ28" s="19"/>
      <c r="JYK28" s="19"/>
      <c r="JYL28" s="19"/>
      <c r="JYM28" s="19"/>
      <c r="JYN28" s="19"/>
      <c r="JYO28" s="19"/>
      <c r="JYP28" s="19"/>
      <c r="JYQ28" s="19"/>
      <c r="JYR28" s="19"/>
      <c r="JYS28" s="19"/>
      <c r="JYT28" s="19"/>
      <c r="JYU28" s="19"/>
      <c r="JYV28" s="19"/>
      <c r="JYW28" s="19"/>
      <c r="JYX28" s="19"/>
      <c r="JYY28" s="19"/>
      <c r="JYZ28" s="19"/>
      <c r="JZA28" s="19"/>
      <c r="JZB28" s="19"/>
      <c r="JZC28" s="19"/>
      <c r="JZD28" s="19"/>
      <c r="JZE28" s="19"/>
      <c r="JZF28" s="19"/>
      <c r="JZG28" s="19"/>
      <c r="JZH28" s="19"/>
      <c r="JZI28" s="19"/>
      <c r="JZJ28" s="19"/>
      <c r="JZK28" s="19"/>
      <c r="JZL28" s="19"/>
      <c r="JZM28" s="19"/>
      <c r="JZN28" s="19"/>
      <c r="JZO28" s="19"/>
      <c r="JZP28" s="19"/>
      <c r="JZQ28" s="19"/>
      <c r="JZR28" s="19"/>
      <c r="JZS28" s="19"/>
      <c r="JZT28" s="19"/>
      <c r="JZU28" s="19"/>
      <c r="JZV28" s="19"/>
      <c r="JZW28" s="19"/>
      <c r="JZX28" s="19"/>
      <c r="JZY28" s="19"/>
      <c r="JZZ28" s="19"/>
      <c r="KAA28" s="19"/>
      <c r="KAB28" s="19"/>
      <c r="KAC28" s="19"/>
      <c r="KAD28" s="19"/>
      <c r="KAE28" s="19"/>
      <c r="KAF28" s="19"/>
      <c r="KAG28" s="19"/>
      <c r="KAH28" s="19"/>
      <c r="KAI28" s="19"/>
      <c r="KAJ28" s="19"/>
      <c r="KAK28" s="19"/>
      <c r="KAL28" s="19"/>
      <c r="KAM28" s="19"/>
      <c r="KAN28" s="19"/>
      <c r="KAO28" s="19"/>
      <c r="KAP28" s="19"/>
      <c r="KAQ28" s="19"/>
      <c r="KAR28" s="19"/>
      <c r="KAS28" s="19"/>
      <c r="KAT28" s="19"/>
      <c r="KAU28" s="19"/>
      <c r="KAV28" s="19"/>
      <c r="KAW28" s="19"/>
      <c r="KAX28" s="19"/>
      <c r="KAY28" s="19"/>
      <c r="KAZ28" s="19"/>
      <c r="KBA28" s="19"/>
      <c r="KBB28" s="19"/>
      <c r="KBC28" s="19"/>
      <c r="KBD28" s="19"/>
      <c r="KBE28" s="19"/>
      <c r="KBF28" s="19"/>
      <c r="KBG28" s="19"/>
      <c r="KBH28" s="19"/>
      <c r="KBI28" s="19"/>
      <c r="KBJ28" s="19"/>
      <c r="KBK28" s="19"/>
      <c r="KBL28" s="19"/>
      <c r="KBM28" s="19"/>
      <c r="KBN28" s="19"/>
      <c r="KBO28" s="19"/>
      <c r="KBP28" s="19"/>
      <c r="KBQ28" s="19"/>
      <c r="KBR28" s="19"/>
      <c r="KBS28" s="19"/>
      <c r="KBT28" s="19"/>
      <c r="KBU28" s="19"/>
      <c r="KBV28" s="19"/>
      <c r="KBW28" s="19"/>
      <c r="KBX28" s="19"/>
      <c r="KBY28" s="19"/>
      <c r="KBZ28" s="19"/>
      <c r="KCA28" s="19"/>
      <c r="KCB28" s="19"/>
      <c r="KCC28" s="19"/>
      <c r="KCD28" s="19"/>
      <c r="KCE28" s="19"/>
      <c r="KCF28" s="19"/>
      <c r="KCG28" s="19"/>
      <c r="KCH28" s="19"/>
      <c r="KCI28" s="19"/>
      <c r="KCJ28" s="19"/>
      <c r="KCK28" s="19"/>
      <c r="KCL28" s="19"/>
      <c r="KCM28" s="19"/>
      <c r="KCN28" s="19"/>
      <c r="KCO28" s="19"/>
      <c r="KCP28" s="19"/>
      <c r="KCQ28" s="19"/>
      <c r="KCR28" s="19"/>
      <c r="KCS28" s="19"/>
      <c r="KCT28" s="19"/>
      <c r="KCU28" s="19"/>
      <c r="KCV28" s="19"/>
      <c r="KCW28" s="19"/>
      <c r="KCX28" s="19"/>
      <c r="KCY28" s="19"/>
      <c r="KCZ28" s="19"/>
      <c r="KDA28" s="19"/>
      <c r="KDB28" s="19"/>
      <c r="KDC28" s="19"/>
      <c r="KDD28" s="19"/>
      <c r="KDE28" s="19"/>
      <c r="KDF28" s="19"/>
      <c r="KDG28" s="19"/>
      <c r="KDH28" s="19"/>
      <c r="KDI28" s="19"/>
      <c r="KDJ28" s="19"/>
      <c r="KDK28" s="19"/>
      <c r="KDL28" s="19"/>
      <c r="KDM28" s="19"/>
      <c r="KDN28" s="19"/>
      <c r="KDO28" s="19"/>
      <c r="KDP28" s="19"/>
      <c r="KDQ28" s="19"/>
      <c r="KDR28" s="19"/>
      <c r="KDS28" s="19"/>
      <c r="KDT28" s="19"/>
      <c r="KDU28" s="19"/>
      <c r="KDV28" s="19"/>
      <c r="KDW28" s="19"/>
      <c r="KDX28" s="19"/>
      <c r="KDY28" s="19"/>
      <c r="KDZ28" s="19"/>
      <c r="KEA28" s="19"/>
      <c r="KEB28" s="19"/>
      <c r="KEC28" s="19"/>
      <c r="KED28" s="19"/>
      <c r="KEE28" s="19"/>
      <c r="KEF28" s="19"/>
      <c r="KEG28" s="19"/>
      <c r="KEH28" s="19"/>
      <c r="KEI28" s="19"/>
      <c r="KEJ28" s="19"/>
      <c r="KEK28" s="19"/>
      <c r="KEL28" s="19"/>
      <c r="KEM28" s="19"/>
      <c r="KEN28" s="19"/>
      <c r="KEO28" s="19"/>
      <c r="KEP28" s="19"/>
      <c r="KEQ28" s="19"/>
      <c r="KER28" s="19"/>
      <c r="KES28" s="19"/>
      <c r="KET28" s="19"/>
      <c r="KEU28" s="19"/>
      <c r="KEV28" s="19"/>
      <c r="KEW28" s="19"/>
      <c r="KEX28" s="19"/>
      <c r="KEY28" s="19"/>
      <c r="KEZ28" s="19"/>
      <c r="KFA28" s="19"/>
      <c r="KFB28" s="19"/>
      <c r="KFC28" s="19"/>
      <c r="KFD28" s="19"/>
      <c r="KFE28" s="19"/>
      <c r="KFF28" s="19"/>
      <c r="KFG28" s="19"/>
      <c r="KFH28" s="19"/>
      <c r="KFI28" s="19"/>
      <c r="KFJ28" s="19"/>
      <c r="KFK28" s="19"/>
      <c r="KFL28" s="19"/>
      <c r="KFM28" s="19"/>
      <c r="KFN28" s="19"/>
      <c r="KFO28" s="19"/>
      <c r="KFP28" s="19"/>
      <c r="KFQ28" s="19"/>
      <c r="KFR28" s="19"/>
      <c r="KFS28" s="19"/>
      <c r="KFT28" s="19"/>
      <c r="KFU28" s="19"/>
      <c r="KFV28" s="19"/>
      <c r="KFW28" s="19"/>
      <c r="KFX28" s="19"/>
      <c r="KFY28" s="19"/>
      <c r="KFZ28" s="19"/>
      <c r="KGA28" s="19"/>
      <c r="KGB28" s="19"/>
      <c r="KGC28" s="19"/>
      <c r="KGD28" s="19"/>
      <c r="KGE28" s="19"/>
      <c r="KGF28" s="19"/>
      <c r="KGG28" s="19"/>
      <c r="KGH28" s="19"/>
      <c r="KGI28" s="19"/>
      <c r="KGJ28" s="19"/>
      <c r="KGK28" s="19"/>
      <c r="KGL28" s="19"/>
      <c r="KGM28" s="19"/>
      <c r="KGN28" s="19"/>
      <c r="KGO28" s="19"/>
      <c r="KGP28" s="19"/>
      <c r="KGQ28" s="19"/>
      <c r="KGR28" s="19"/>
      <c r="KGS28" s="19"/>
      <c r="KGT28" s="19"/>
      <c r="KGU28" s="19"/>
      <c r="KGV28" s="19"/>
      <c r="KGW28" s="19"/>
      <c r="KGX28" s="19"/>
      <c r="KGY28" s="19"/>
      <c r="KGZ28" s="19"/>
      <c r="KHA28" s="19"/>
      <c r="KHB28" s="19"/>
      <c r="KHC28" s="19"/>
      <c r="KHD28" s="19"/>
      <c r="KHE28" s="19"/>
      <c r="KHF28" s="19"/>
      <c r="KHG28" s="19"/>
      <c r="KHH28" s="19"/>
      <c r="KHI28" s="19"/>
      <c r="KHJ28" s="19"/>
      <c r="KHK28" s="19"/>
      <c r="KHL28" s="19"/>
      <c r="KHM28" s="19"/>
      <c r="KHN28" s="19"/>
      <c r="KHO28" s="19"/>
      <c r="KHP28" s="19"/>
      <c r="KHQ28" s="19"/>
      <c r="KHR28" s="19"/>
      <c r="KHS28" s="19"/>
      <c r="KHT28" s="19"/>
      <c r="KHU28" s="19"/>
      <c r="KHV28" s="19"/>
      <c r="KHW28" s="19"/>
      <c r="KHX28" s="19"/>
      <c r="KHY28" s="19"/>
      <c r="KHZ28" s="19"/>
      <c r="KIA28" s="19"/>
      <c r="KIB28" s="19"/>
      <c r="KIC28" s="19"/>
      <c r="KID28" s="19"/>
      <c r="KIE28" s="19"/>
      <c r="KIF28" s="19"/>
      <c r="KIG28" s="19"/>
      <c r="KIH28" s="19"/>
      <c r="KII28" s="19"/>
      <c r="KIJ28" s="19"/>
      <c r="KIK28" s="19"/>
      <c r="KIL28" s="19"/>
      <c r="KIM28" s="19"/>
      <c r="KIN28" s="19"/>
      <c r="KIO28" s="19"/>
      <c r="KIP28" s="19"/>
      <c r="KIQ28" s="19"/>
      <c r="KIR28" s="19"/>
      <c r="KIS28" s="19"/>
      <c r="KIT28" s="19"/>
      <c r="KIU28" s="19"/>
      <c r="KIV28" s="19"/>
      <c r="KIW28" s="19"/>
      <c r="KIX28" s="19"/>
      <c r="KIY28" s="19"/>
      <c r="KIZ28" s="19"/>
      <c r="KJA28" s="19"/>
      <c r="KJB28" s="19"/>
      <c r="KJC28" s="19"/>
      <c r="KJD28" s="19"/>
      <c r="KJE28" s="19"/>
      <c r="KJF28" s="19"/>
      <c r="KJG28" s="19"/>
      <c r="KJH28" s="19"/>
      <c r="KJI28" s="19"/>
      <c r="KJJ28" s="19"/>
      <c r="KJK28" s="19"/>
      <c r="KJL28" s="19"/>
      <c r="KJM28" s="19"/>
      <c r="KJN28" s="19"/>
      <c r="KJO28" s="19"/>
      <c r="KJP28" s="19"/>
      <c r="KJQ28" s="19"/>
      <c r="KJR28" s="19"/>
      <c r="KJS28" s="19"/>
      <c r="KJT28" s="19"/>
      <c r="KJU28" s="19"/>
      <c r="KJV28" s="19"/>
      <c r="KJW28" s="19"/>
      <c r="KJX28" s="19"/>
      <c r="KJY28" s="19"/>
      <c r="KJZ28" s="19"/>
      <c r="KKA28" s="19"/>
      <c r="KKB28" s="19"/>
      <c r="KKC28" s="19"/>
      <c r="KKD28" s="19"/>
      <c r="KKE28" s="19"/>
      <c r="KKF28" s="19"/>
      <c r="KKG28" s="19"/>
      <c r="KKH28" s="19"/>
      <c r="KKI28" s="19"/>
      <c r="KKJ28" s="19"/>
      <c r="KKK28" s="19"/>
      <c r="KKL28" s="19"/>
      <c r="KKM28" s="19"/>
      <c r="KKN28" s="19"/>
      <c r="KKO28" s="19"/>
      <c r="KKP28" s="19"/>
      <c r="KKQ28" s="19"/>
      <c r="KKR28" s="19"/>
      <c r="KKS28" s="19"/>
      <c r="KKT28" s="19"/>
      <c r="KKU28" s="19"/>
      <c r="KKV28" s="19"/>
      <c r="KKW28" s="19"/>
      <c r="KKX28" s="19"/>
      <c r="KKY28" s="19"/>
      <c r="KKZ28" s="19"/>
      <c r="KLA28" s="19"/>
      <c r="KLB28" s="19"/>
      <c r="KLC28" s="19"/>
      <c r="KLD28" s="19"/>
      <c r="KLE28" s="19"/>
      <c r="KLF28" s="19"/>
      <c r="KLG28" s="19"/>
      <c r="KLH28" s="19"/>
      <c r="KLI28" s="19"/>
      <c r="KLJ28" s="19"/>
      <c r="KLK28" s="19"/>
      <c r="KLL28" s="19"/>
      <c r="KLM28" s="19"/>
      <c r="KLN28" s="19"/>
      <c r="KLO28" s="19"/>
      <c r="KLP28" s="19"/>
      <c r="KLQ28" s="19"/>
      <c r="KLR28" s="19"/>
      <c r="KLS28" s="19"/>
      <c r="KLT28" s="19"/>
      <c r="KLU28" s="19"/>
      <c r="KLV28" s="19"/>
      <c r="KLW28" s="19"/>
      <c r="KLX28" s="19"/>
      <c r="KLY28" s="19"/>
      <c r="KLZ28" s="19"/>
      <c r="KMA28" s="19"/>
      <c r="KMB28" s="19"/>
      <c r="KMC28" s="19"/>
      <c r="KMD28" s="19"/>
      <c r="KME28" s="19"/>
      <c r="KMF28" s="19"/>
      <c r="KMG28" s="19"/>
      <c r="KMH28" s="19"/>
      <c r="KMI28" s="19"/>
      <c r="KMJ28" s="19"/>
      <c r="KMK28" s="19"/>
      <c r="KML28" s="19"/>
      <c r="KMM28" s="19"/>
      <c r="KMN28" s="19"/>
      <c r="KMO28" s="19"/>
      <c r="KMP28" s="19"/>
      <c r="KMQ28" s="19"/>
      <c r="KMR28" s="19"/>
      <c r="KMS28" s="19"/>
      <c r="KMT28" s="19"/>
      <c r="KMU28" s="19"/>
      <c r="KMV28" s="19"/>
      <c r="KMW28" s="19"/>
      <c r="KMX28" s="19"/>
      <c r="KMY28" s="19"/>
      <c r="KMZ28" s="19"/>
      <c r="KNA28" s="19"/>
      <c r="KNB28" s="19"/>
      <c r="KNC28" s="19"/>
      <c r="KND28" s="19"/>
      <c r="KNE28" s="19"/>
      <c r="KNF28" s="19"/>
      <c r="KNG28" s="19"/>
      <c r="KNH28" s="19"/>
      <c r="KNI28" s="19"/>
      <c r="KNJ28" s="19"/>
      <c r="KNK28" s="19"/>
      <c r="KNL28" s="19"/>
      <c r="KNM28" s="19"/>
      <c r="KNN28" s="19"/>
      <c r="KNO28" s="19"/>
      <c r="KNP28" s="19"/>
      <c r="KNQ28" s="19"/>
      <c r="KNR28" s="19"/>
      <c r="KNS28" s="19"/>
      <c r="KNT28" s="19"/>
      <c r="KNU28" s="19"/>
      <c r="KNV28" s="19"/>
      <c r="KNW28" s="19"/>
      <c r="KNX28" s="19"/>
      <c r="KNY28" s="19"/>
      <c r="KNZ28" s="19"/>
      <c r="KOA28" s="19"/>
      <c r="KOB28" s="19"/>
      <c r="KOC28" s="19"/>
      <c r="KOD28" s="19"/>
      <c r="KOE28" s="19"/>
      <c r="KOF28" s="19"/>
      <c r="KOG28" s="19"/>
      <c r="KOH28" s="19"/>
      <c r="KOI28" s="19"/>
      <c r="KOJ28" s="19"/>
      <c r="KOK28" s="19"/>
      <c r="KOL28" s="19"/>
      <c r="KOM28" s="19"/>
      <c r="KON28" s="19"/>
      <c r="KOO28" s="19"/>
      <c r="KOP28" s="19"/>
      <c r="KOQ28" s="19"/>
      <c r="KOR28" s="19"/>
      <c r="KOS28" s="19"/>
      <c r="KOT28" s="19"/>
      <c r="KOU28" s="19"/>
      <c r="KOV28" s="19"/>
      <c r="KOW28" s="19"/>
      <c r="KOX28" s="19"/>
      <c r="KOY28" s="19"/>
      <c r="KOZ28" s="19"/>
      <c r="KPA28" s="19"/>
      <c r="KPB28" s="19"/>
      <c r="KPC28" s="19"/>
      <c r="KPD28" s="19"/>
      <c r="KPE28" s="19"/>
      <c r="KPF28" s="19"/>
      <c r="KPG28" s="19"/>
      <c r="KPH28" s="19"/>
      <c r="KPI28" s="19"/>
      <c r="KPJ28" s="19"/>
      <c r="KPK28" s="19"/>
      <c r="KPL28" s="19"/>
      <c r="KPM28" s="19"/>
      <c r="KPN28" s="19"/>
      <c r="KPO28" s="19"/>
      <c r="KPP28" s="19"/>
      <c r="KPQ28" s="19"/>
      <c r="KPR28" s="19"/>
      <c r="KPS28" s="19"/>
      <c r="KPT28" s="19"/>
      <c r="KPU28" s="19"/>
      <c r="KPV28" s="19"/>
      <c r="KPW28" s="19"/>
      <c r="KPX28" s="19"/>
      <c r="KPY28" s="19"/>
      <c r="KPZ28" s="19"/>
      <c r="KQA28" s="19"/>
      <c r="KQB28" s="19"/>
      <c r="KQC28" s="19"/>
      <c r="KQD28" s="19"/>
      <c r="KQE28" s="19"/>
      <c r="KQF28" s="19"/>
      <c r="KQG28" s="19"/>
      <c r="KQH28" s="19"/>
      <c r="KQI28" s="19"/>
      <c r="KQJ28" s="19"/>
      <c r="KQK28" s="19"/>
      <c r="KQL28" s="19"/>
      <c r="KQM28" s="19"/>
      <c r="KQN28" s="19"/>
      <c r="KQO28" s="19"/>
      <c r="KQP28" s="19"/>
      <c r="KQQ28" s="19"/>
      <c r="KQR28" s="19"/>
      <c r="KQS28" s="19"/>
      <c r="KQT28" s="19"/>
      <c r="KQU28" s="19"/>
      <c r="KQV28" s="19"/>
      <c r="KQW28" s="19"/>
      <c r="KQX28" s="19"/>
      <c r="KQY28" s="19"/>
      <c r="KQZ28" s="19"/>
      <c r="KRA28" s="19"/>
      <c r="KRB28" s="19"/>
      <c r="KRC28" s="19"/>
      <c r="KRD28" s="19"/>
      <c r="KRE28" s="19"/>
      <c r="KRF28" s="19"/>
      <c r="KRG28" s="19"/>
      <c r="KRH28" s="19"/>
      <c r="KRI28" s="19"/>
      <c r="KRJ28" s="19"/>
      <c r="KRK28" s="19"/>
      <c r="KRL28" s="19"/>
      <c r="KRM28" s="19"/>
      <c r="KRN28" s="19"/>
      <c r="KRO28" s="19"/>
      <c r="KRP28" s="19"/>
      <c r="KRQ28" s="19"/>
      <c r="KRR28" s="19"/>
      <c r="KRS28" s="19"/>
      <c r="KRT28" s="19"/>
      <c r="KRU28" s="19"/>
      <c r="KRV28" s="19"/>
      <c r="KRW28" s="19"/>
      <c r="KRX28" s="19"/>
      <c r="KRY28" s="19"/>
      <c r="KRZ28" s="19"/>
      <c r="KSA28" s="19"/>
      <c r="KSB28" s="19"/>
      <c r="KSC28" s="19"/>
      <c r="KSD28" s="19"/>
      <c r="KSE28" s="19"/>
      <c r="KSF28" s="19"/>
      <c r="KSG28" s="19"/>
      <c r="KSH28" s="19"/>
      <c r="KSI28" s="19"/>
      <c r="KSJ28" s="19"/>
      <c r="KSK28" s="19"/>
      <c r="KSL28" s="19"/>
      <c r="KSM28" s="19"/>
      <c r="KSN28" s="19"/>
      <c r="KSO28" s="19"/>
      <c r="KSP28" s="19"/>
      <c r="KSQ28" s="19"/>
      <c r="KSR28" s="19"/>
      <c r="KSS28" s="19"/>
      <c r="KST28" s="19"/>
      <c r="KSU28" s="19"/>
      <c r="KSV28" s="19"/>
      <c r="KSW28" s="19"/>
      <c r="KSX28" s="19"/>
      <c r="KSY28" s="19"/>
      <c r="KSZ28" s="19"/>
      <c r="KTA28" s="19"/>
      <c r="KTB28" s="19"/>
      <c r="KTC28" s="19"/>
      <c r="KTD28" s="19"/>
      <c r="KTE28" s="19"/>
      <c r="KTF28" s="19"/>
      <c r="KTG28" s="19"/>
      <c r="KTH28" s="19"/>
      <c r="KTI28" s="19"/>
      <c r="KTJ28" s="19"/>
      <c r="KTK28" s="19"/>
      <c r="KTL28" s="19"/>
      <c r="KTM28" s="19"/>
      <c r="KTN28" s="19"/>
      <c r="KTO28" s="19"/>
      <c r="KTP28" s="19"/>
      <c r="KTQ28" s="19"/>
      <c r="KTR28" s="19"/>
      <c r="KTS28" s="19"/>
      <c r="KTT28" s="19"/>
      <c r="KTU28" s="19"/>
      <c r="KTV28" s="19"/>
      <c r="KTW28" s="19"/>
      <c r="KTX28" s="19"/>
      <c r="KTY28" s="19"/>
      <c r="KTZ28" s="19"/>
      <c r="KUA28" s="19"/>
      <c r="KUB28" s="19"/>
      <c r="KUC28" s="19"/>
      <c r="KUD28" s="19"/>
      <c r="KUE28" s="19"/>
      <c r="KUF28" s="19"/>
      <c r="KUG28" s="19"/>
      <c r="KUH28" s="19"/>
      <c r="KUI28" s="19"/>
      <c r="KUJ28" s="19"/>
      <c r="KUK28" s="19"/>
      <c r="KUL28" s="19"/>
      <c r="KUM28" s="19"/>
      <c r="KUN28" s="19"/>
      <c r="KUO28" s="19"/>
      <c r="KUP28" s="19"/>
      <c r="KUQ28" s="19"/>
      <c r="KUR28" s="19"/>
      <c r="KUS28" s="19"/>
      <c r="KUT28" s="19"/>
      <c r="KUU28" s="19"/>
      <c r="KUV28" s="19"/>
      <c r="KUW28" s="19"/>
      <c r="KUX28" s="19"/>
      <c r="KUY28" s="19"/>
      <c r="KUZ28" s="19"/>
      <c r="KVA28" s="19"/>
      <c r="KVB28" s="19"/>
      <c r="KVC28" s="19"/>
      <c r="KVD28" s="19"/>
      <c r="KVE28" s="19"/>
      <c r="KVF28" s="19"/>
      <c r="KVG28" s="19"/>
      <c r="KVH28" s="19"/>
      <c r="KVI28" s="19"/>
      <c r="KVJ28" s="19"/>
      <c r="KVK28" s="19"/>
      <c r="KVL28" s="19"/>
      <c r="KVM28" s="19"/>
      <c r="KVN28" s="19"/>
      <c r="KVO28" s="19"/>
      <c r="KVP28" s="19"/>
      <c r="KVQ28" s="19"/>
      <c r="KVR28" s="19"/>
      <c r="KVS28" s="19"/>
      <c r="KVT28" s="19"/>
      <c r="KVU28" s="19"/>
      <c r="KVV28" s="19"/>
      <c r="KVW28" s="19"/>
      <c r="KVX28" s="19"/>
      <c r="KVY28" s="19"/>
      <c r="KVZ28" s="19"/>
      <c r="KWA28" s="19"/>
      <c r="KWB28" s="19"/>
      <c r="KWC28" s="19"/>
      <c r="KWD28" s="19"/>
      <c r="KWE28" s="19"/>
      <c r="KWF28" s="19"/>
      <c r="KWG28" s="19"/>
      <c r="KWH28" s="19"/>
      <c r="KWI28" s="19"/>
      <c r="KWJ28" s="19"/>
      <c r="KWK28" s="19"/>
      <c r="KWL28" s="19"/>
      <c r="KWM28" s="19"/>
      <c r="KWN28" s="19"/>
      <c r="KWO28" s="19"/>
      <c r="KWP28" s="19"/>
      <c r="KWQ28" s="19"/>
      <c r="KWR28" s="19"/>
      <c r="KWS28" s="19"/>
      <c r="KWT28" s="19"/>
      <c r="KWU28" s="19"/>
      <c r="KWV28" s="19"/>
      <c r="KWW28" s="19"/>
      <c r="KWX28" s="19"/>
      <c r="KWY28" s="19"/>
      <c r="KWZ28" s="19"/>
      <c r="KXA28" s="19"/>
      <c r="KXB28" s="19"/>
      <c r="KXC28" s="19"/>
      <c r="KXD28" s="19"/>
      <c r="KXE28" s="19"/>
      <c r="KXF28" s="19"/>
      <c r="KXG28" s="19"/>
      <c r="KXH28" s="19"/>
      <c r="KXI28" s="19"/>
      <c r="KXJ28" s="19"/>
      <c r="KXK28" s="19"/>
      <c r="KXL28" s="19"/>
      <c r="KXM28" s="19"/>
      <c r="KXN28" s="19"/>
      <c r="KXO28" s="19"/>
      <c r="KXP28" s="19"/>
      <c r="KXQ28" s="19"/>
      <c r="KXR28" s="19"/>
      <c r="KXS28" s="19"/>
      <c r="KXT28" s="19"/>
      <c r="KXU28" s="19"/>
      <c r="KXV28" s="19"/>
      <c r="KXW28" s="19"/>
      <c r="KXX28" s="19"/>
      <c r="KXY28" s="19"/>
      <c r="KXZ28" s="19"/>
      <c r="KYA28" s="19"/>
      <c r="KYB28" s="19"/>
      <c r="KYC28" s="19"/>
      <c r="KYD28" s="19"/>
      <c r="KYE28" s="19"/>
      <c r="KYF28" s="19"/>
      <c r="KYG28" s="19"/>
      <c r="KYH28" s="19"/>
      <c r="KYI28" s="19"/>
      <c r="KYJ28" s="19"/>
      <c r="KYK28" s="19"/>
      <c r="KYL28" s="19"/>
      <c r="KYM28" s="19"/>
      <c r="KYN28" s="19"/>
      <c r="KYO28" s="19"/>
      <c r="KYP28" s="19"/>
      <c r="KYQ28" s="19"/>
      <c r="KYR28" s="19"/>
      <c r="KYS28" s="19"/>
      <c r="KYT28" s="19"/>
      <c r="KYU28" s="19"/>
      <c r="KYV28" s="19"/>
      <c r="KYW28" s="19"/>
      <c r="KYX28" s="19"/>
      <c r="KYY28" s="19"/>
      <c r="KYZ28" s="19"/>
      <c r="KZA28" s="19"/>
      <c r="KZB28" s="19"/>
      <c r="KZC28" s="19"/>
      <c r="KZD28" s="19"/>
      <c r="KZE28" s="19"/>
      <c r="KZF28" s="19"/>
      <c r="KZG28" s="19"/>
      <c r="KZH28" s="19"/>
      <c r="KZI28" s="19"/>
      <c r="KZJ28" s="19"/>
      <c r="KZK28" s="19"/>
      <c r="KZL28" s="19"/>
      <c r="KZM28" s="19"/>
      <c r="KZN28" s="19"/>
      <c r="KZO28" s="19"/>
      <c r="KZP28" s="19"/>
      <c r="KZQ28" s="19"/>
      <c r="KZR28" s="19"/>
      <c r="KZS28" s="19"/>
      <c r="KZT28" s="19"/>
      <c r="KZU28" s="19"/>
      <c r="KZV28" s="19"/>
      <c r="KZW28" s="19"/>
      <c r="KZX28" s="19"/>
      <c r="KZY28" s="19"/>
      <c r="KZZ28" s="19"/>
      <c r="LAA28" s="19"/>
      <c r="LAB28" s="19"/>
      <c r="LAC28" s="19"/>
      <c r="LAD28" s="19"/>
      <c r="LAE28" s="19"/>
      <c r="LAF28" s="19"/>
      <c r="LAG28" s="19"/>
      <c r="LAH28" s="19"/>
      <c r="LAI28" s="19"/>
      <c r="LAJ28" s="19"/>
      <c r="LAK28" s="19"/>
      <c r="LAL28" s="19"/>
      <c r="LAM28" s="19"/>
      <c r="LAN28" s="19"/>
      <c r="LAO28" s="19"/>
      <c r="LAP28" s="19"/>
      <c r="LAQ28" s="19"/>
      <c r="LAR28" s="19"/>
      <c r="LAS28" s="19"/>
      <c r="LAT28" s="19"/>
      <c r="LAU28" s="19"/>
      <c r="LAV28" s="19"/>
      <c r="LAW28" s="19"/>
      <c r="LAX28" s="19"/>
      <c r="LAY28" s="19"/>
      <c r="LAZ28" s="19"/>
      <c r="LBA28" s="19"/>
      <c r="LBB28" s="19"/>
      <c r="LBC28" s="19"/>
      <c r="LBD28" s="19"/>
      <c r="LBE28" s="19"/>
      <c r="LBF28" s="19"/>
      <c r="LBG28" s="19"/>
      <c r="LBH28" s="19"/>
      <c r="LBI28" s="19"/>
      <c r="LBJ28" s="19"/>
      <c r="LBK28" s="19"/>
      <c r="LBL28" s="19"/>
      <c r="LBM28" s="19"/>
      <c r="LBN28" s="19"/>
      <c r="LBO28" s="19"/>
      <c r="LBP28" s="19"/>
      <c r="LBQ28" s="19"/>
      <c r="LBR28" s="19"/>
      <c r="LBS28" s="19"/>
      <c r="LBT28" s="19"/>
      <c r="LBU28" s="19"/>
      <c r="LBV28" s="19"/>
      <c r="LBW28" s="19"/>
      <c r="LBX28" s="19"/>
      <c r="LBY28" s="19"/>
      <c r="LBZ28" s="19"/>
      <c r="LCA28" s="19"/>
      <c r="LCB28" s="19"/>
      <c r="LCC28" s="19"/>
      <c r="LCD28" s="19"/>
      <c r="LCE28" s="19"/>
      <c r="LCF28" s="19"/>
      <c r="LCG28" s="19"/>
      <c r="LCH28" s="19"/>
      <c r="LCI28" s="19"/>
      <c r="LCJ28" s="19"/>
      <c r="LCK28" s="19"/>
      <c r="LCL28" s="19"/>
      <c r="LCM28" s="19"/>
      <c r="LCN28" s="19"/>
      <c r="LCO28" s="19"/>
      <c r="LCP28" s="19"/>
      <c r="LCQ28" s="19"/>
      <c r="LCR28" s="19"/>
      <c r="LCS28" s="19"/>
      <c r="LCT28" s="19"/>
      <c r="LCU28" s="19"/>
      <c r="LCV28" s="19"/>
      <c r="LCW28" s="19"/>
      <c r="LCX28" s="19"/>
      <c r="LCY28" s="19"/>
      <c r="LCZ28" s="19"/>
      <c r="LDA28" s="19"/>
      <c r="LDB28" s="19"/>
      <c r="LDC28" s="19"/>
      <c r="LDD28" s="19"/>
      <c r="LDE28" s="19"/>
      <c r="LDF28" s="19"/>
      <c r="LDG28" s="19"/>
      <c r="LDH28" s="19"/>
      <c r="LDI28" s="19"/>
      <c r="LDJ28" s="19"/>
      <c r="LDK28" s="19"/>
      <c r="LDL28" s="19"/>
      <c r="LDM28" s="19"/>
      <c r="LDN28" s="19"/>
      <c r="LDO28" s="19"/>
      <c r="LDP28" s="19"/>
      <c r="LDQ28" s="19"/>
      <c r="LDR28" s="19"/>
      <c r="LDS28" s="19"/>
      <c r="LDT28" s="19"/>
      <c r="LDU28" s="19"/>
      <c r="LDV28" s="19"/>
      <c r="LDW28" s="19"/>
      <c r="LDX28" s="19"/>
      <c r="LDY28" s="19"/>
      <c r="LDZ28" s="19"/>
      <c r="LEA28" s="19"/>
      <c r="LEB28" s="19"/>
      <c r="LEC28" s="19"/>
      <c r="LED28" s="19"/>
      <c r="LEE28" s="19"/>
      <c r="LEF28" s="19"/>
      <c r="LEG28" s="19"/>
      <c r="LEH28" s="19"/>
      <c r="LEI28" s="19"/>
      <c r="LEJ28" s="19"/>
      <c r="LEK28" s="19"/>
      <c r="LEL28" s="19"/>
      <c r="LEM28" s="19"/>
      <c r="LEN28" s="19"/>
      <c r="LEO28" s="19"/>
      <c r="LEP28" s="19"/>
      <c r="LEQ28" s="19"/>
      <c r="LER28" s="19"/>
      <c r="LES28" s="19"/>
      <c r="LET28" s="19"/>
      <c r="LEU28" s="19"/>
      <c r="LEV28" s="19"/>
      <c r="LEW28" s="19"/>
      <c r="LEX28" s="19"/>
      <c r="LEY28" s="19"/>
      <c r="LEZ28" s="19"/>
      <c r="LFA28" s="19"/>
      <c r="LFB28" s="19"/>
      <c r="LFC28" s="19"/>
      <c r="LFD28" s="19"/>
      <c r="LFE28" s="19"/>
      <c r="LFF28" s="19"/>
      <c r="LFG28" s="19"/>
      <c r="LFH28" s="19"/>
      <c r="LFI28" s="19"/>
      <c r="LFJ28" s="19"/>
      <c r="LFK28" s="19"/>
      <c r="LFL28" s="19"/>
      <c r="LFM28" s="19"/>
      <c r="LFN28" s="19"/>
      <c r="LFO28" s="19"/>
      <c r="LFP28" s="19"/>
      <c r="LFQ28" s="19"/>
      <c r="LFR28" s="19"/>
      <c r="LFS28" s="19"/>
      <c r="LFT28" s="19"/>
      <c r="LFU28" s="19"/>
      <c r="LFV28" s="19"/>
      <c r="LFW28" s="19"/>
      <c r="LFX28" s="19"/>
      <c r="LFY28" s="19"/>
      <c r="LFZ28" s="19"/>
      <c r="LGA28" s="19"/>
      <c r="LGB28" s="19"/>
      <c r="LGC28" s="19"/>
      <c r="LGD28" s="19"/>
      <c r="LGE28" s="19"/>
      <c r="LGF28" s="19"/>
      <c r="LGG28" s="19"/>
      <c r="LGH28" s="19"/>
      <c r="LGI28" s="19"/>
      <c r="LGJ28" s="19"/>
      <c r="LGK28" s="19"/>
      <c r="LGL28" s="19"/>
      <c r="LGM28" s="19"/>
      <c r="LGN28" s="19"/>
      <c r="LGO28" s="19"/>
      <c r="LGP28" s="19"/>
      <c r="LGQ28" s="19"/>
      <c r="LGR28" s="19"/>
      <c r="LGS28" s="19"/>
      <c r="LGT28" s="19"/>
      <c r="LGU28" s="19"/>
      <c r="LGV28" s="19"/>
      <c r="LGW28" s="19"/>
      <c r="LGX28" s="19"/>
      <c r="LGY28" s="19"/>
      <c r="LGZ28" s="19"/>
      <c r="LHA28" s="19"/>
      <c r="LHB28" s="19"/>
      <c r="LHC28" s="19"/>
      <c r="LHD28" s="19"/>
      <c r="LHE28" s="19"/>
      <c r="LHF28" s="19"/>
      <c r="LHG28" s="19"/>
      <c r="LHH28" s="19"/>
      <c r="LHI28" s="19"/>
      <c r="LHJ28" s="19"/>
      <c r="LHK28" s="19"/>
      <c r="LHL28" s="19"/>
      <c r="LHM28" s="19"/>
      <c r="LHN28" s="19"/>
      <c r="LHO28" s="19"/>
      <c r="LHP28" s="19"/>
      <c r="LHQ28" s="19"/>
      <c r="LHR28" s="19"/>
      <c r="LHS28" s="19"/>
      <c r="LHT28" s="19"/>
      <c r="LHU28" s="19"/>
      <c r="LHV28" s="19"/>
      <c r="LHW28" s="19"/>
      <c r="LHX28" s="19"/>
      <c r="LHY28" s="19"/>
      <c r="LHZ28" s="19"/>
      <c r="LIA28" s="19"/>
      <c r="LIB28" s="19"/>
      <c r="LIC28" s="19"/>
      <c r="LID28" s="19"/>
      <c r="LIE28" s="19"/>
      <c r="LIF28" s="19"/>
      <c r="LIG28" s="19"/>
      <c r="LIH28" s="19"/>
      <c r="LII28" s="19"/>
      <c r="LIJ28" s="19"/>
      <c r="LIK28" s="19"/>
      <c r="LIL28" s="19"/>
      <c r="LIM28" s="19"/>
      <c r="LIN28" s="19"/>
      <c r="LIO28" s="19"/>
      <c r="LIP28" s="19"/>
      <c r="LIQ28" s="19"/>
      <c r="LIR28" s="19"/>
      <c r="LIS28" s="19"/>
      <c r="LIT28" s="19"/>
      <c r="LIU28" s="19"/>
      <c r="LIV28" s="19"/>
      <c r="LIW28" s="19"/>
      <c r="LIX28" s="19"/>
      <c r="LIY28" s="19"/>
      <c r="LIZ28" s="19"/>
      <c r="LJA28" s="19"/>
      <c r="LJB28" s="19"/>
      <c r="LJC28" s="19"/>
      <c r="LJD28" s="19"/>
      <c r="LJE28" s="19"/>
      <c r="LJF28" s="19"/>
      <c r="LJG28" s="19"/>
      <c r="LJH28" s="19"/>
      <c r="LJI28" s="19"/>
      <c r="LJJ28" s="19"/>
      <c r="LJK28" s="19"/>
      <c r="LJL28" s="19"/>
      <c r="LJM28" s="19"/>
      <c r="LJN28" s="19"/>
      <c r="LJO28" s="19"/>
      <c r="LJP28" s="19"/>
      <c r="LJQ28" s="19"/>
      <c r="LJR28" s="19"/>
      <c r="LJS28" s="19"/>
      <c r="LJT28" s="19"/>
      <c r="LJU28" s="19"/>
      <c r="LJV28" s="19"/>
      <c r="LJW28" s="19"/>
      <c r="LJX28" s="19"/>
      <c r="LJY28" s="19"/>
      <c r="LJZ28" s="19"/>
      <c r="LKA28" s="19"/>
      <c r="LKB28" s="19"/>
      <c r="LKC28" s="19"/>
      <c r="LKD28" s="19"/>
      <c r="LKE28" s="19"/>
      <c r="LKF28" s="19"/>
      <c r="LKG28" s="19"/>
      <c r="LKH28" s="19"/>
      <c r="LKI28" s="19"/>
      <c r="LKJ28" s="19"/>
      <c r="LKK28" s="19"/>
      <c r="LKL28" s="19"/>
      <c r="LKM28" s="19"/>
      <c r="LKN28" s="19"/>
      <c r="LKO28" s="19"/>
      <c r="LKP28" s="19"/>
      <c r="LKQ28" s="19"/>
      <c r="LKR28" s="19"/>
      <c r="LKS28" s="19"/>
      <c r="LKT28" s="19"/>
      <c r="LKU28" s="19"/>
      <c r="LKV28" s="19"/>
      <c r="LKW28" s="19"/>
      <c r="LKX28" s="19"/>
      <c r="LKY28" s="19"/>
      <c r="LKZ28" s="19"/>
      <c r="LLA28" s="19"/>
      <c r="LLB28" s="19"/>
      <c r="LLC28" s="19"/>
      <c r="LLD28" s="19"/>
      <c r="LLE28" s="19"/>
      <c r="LLF28" s="19"/>
      <c r="LLG28" s="19"/>
      <c r="LLH28" s="19"/>
      <c r="LLI28" s="19"/>
      <c r="LLJ28" s="19"/>
      <c r="LLK28" s="19"/>
      <c r="LLL28" s="19"/>
      <c r="LLM28" s="19"/>
      <c r="LLN28" s="19"/>
      <c r="LLO28" s="19"/>
      <c r="LLP28" s="19"/>
      <c r="LLQ28" s="19"/>
      <c r="LLR28" s="19"/>
      <c r="LLS28" s="19"/>
      <c r="LLT28" s="19"/>
      <c r="LLU28" s="19"/>
      <c r="LLV28" s="19"/>
      <c r="LLW28" s="19"/>
      <c r="LLX28" s="19"/>
      <c r="LLY28" s="19"/>
      <c r="LLZ28" s="19"/>
      <c r="LMA28" s="19"/>
      <c r="LMB28" s="19"/>
      <c r="LMC28" s="19"/>
      <c r="LMD28" s="19"/>
      <c r="LME28" s="19"/>
      <c r="LMF28" s="19"/>
      <c r="LMG28" s="19"/>
      <c r="LMH28" s="19"/>
      <c r="LMI28" s="19"/>
      <c r="LMJ28" s="19"/>
      <c r="LMK28" s="19"/>
      <c r="LML28" s="19"/>
      <c r="LMM28" s="19"/>
      <c r="LMN28" s="19"/>
      <c r="LMO28" s="19"/>
      <c r="LMP28" s="19"/>
      <c r="LMQ28" s="19"/>
      <c r="LMR28" s="19"/>
      <c r="LMS28" s="19"/>
      <c r="LMT28" s="19"/>
      <c r="LMU28" s="19"/>
      <c r="LMV28" s="19"/>
      <c r="LMW28" s="19"/>
      <c r="LMX28" s="19"/>
      <c r="LMY28" s="19"/>
      <c r="LMZ28" s="19"/>
      <c r="LNA28" s="19"/>
      <c r="LNB28" s="19"/>
      <c r="LNC28" s="19"/>
      <c r="LND28" s="19"/>
      <c r="LNE28" s="19"/>
      <c r="LNF28" s="19"/>
      <c r="LNG28" s="19"/>
      <c r="LNH28" s="19"/>
      <c r="LNI28" s="19"/>
      <c r="LNJ28" s="19"/>
      <c r="LNK28" s="19"/>
      <c r="LNL28" s="19"/>
      <c r="LNM28" s="19"/>
      <c r="LNN28" s="19"/>
      <c r="LNO28" s="19"/>
      <c r="LNP28" s="19"/>
      <c r="LNQ28" s="19"/>
      <c r="LNR28" s="19"/>
      <c r="LNS28" s="19"/>
      <c r="LNT28" s="19"/>
      <c r="LNU28" s="19"/>
      <c r="LNV28" s="19"/>
      <c r="LNW28" s="19"/>
      <c r="LNX28" s="19"/>
      <c r="LNY28" s="19"/>
      <c r="LNZ28" s="19"/>
      <c r="LOA28" s="19"/>
      <c r="LOB28" s="19"/>
      <c r="LOC28" s="19"/>
      <c r="LOD28" s="19"/>
      <c r="LOE28" s="19"/>
      <c r="LOF28" s="19"/>
      <c r="LOG28" s="19"/>
      <c r="LOH28" s="19"/>
      <c r="LOI28" s="19"/>
      <c r="LOJ28" s="19"/>
      <c r="LOK28" s="19"/>
      <c r="LOL28" s="19"/>
      <c r="LOM28" s="19"/>
      <c r="LON28" s="19"/>
      <c r="LOO28" s="19"/>
      <c r="LOP28" s="19"/>
      <c r="LOQ28" s="19"/>
      <c r="LOR28" s="19"/>
      <c r="LOS28" s="19"/>
      <c r="LOT28" s="19"/>
      <c r="LOU28" s="19"/>
      <c r="LOV28" s="19"/>
      <c r="LOW28" s="19"/>
      <c r="LOX28" s="19"/>
      <c r="LOY28" s="19"/>
      <c r="LOZ28" s="19"/>
      <c r="LPA28" s="19"/>
      <c r="LPB28" s="19"/>
      <c r="LPC28" s="19"/>
      <c r="LPD28" s="19"/>
      <c r="LPE28" s="19"/>
      <c r="LPF28" s="19"/>
      <c r="LPG28" s="19"/>
      <c r="LPH28" s="19"/>
      <c r="LPI28" s="19"/>
      <c r="LPJ28" s="19"/>
      <c r="LPK28" s="19"/>
      <c r="LPL28" s="19"/>
      <c r="LPM28" s="19"/>
      <c r="LPN28" s="19"/>
      <c r="LPO28" s="19"/>
      <c r="LPP28" s="19"/>
      <c r="LPQ28" s="19"/>
      <c r="LPR28" s="19"/>
      <c r="LPS28" s="19"/>
      <c r="LPT28" s="19"/>
      <c r="LPU28" s="19"/>
      <c r="LPV28" s="19"/>
      <c r="LPW28" s="19"/>
      <c r="LPX28" s="19"/>
      <c r="LPY28" s="19"/>
      <c r="LPZ28" s="19"/>
      <c r="LQA28" s="19"/>
      <c r="LQB28" s="19"/>
      <c r="LQC28" s="19"/>
      <c r="LQD28" s="19"/>
      <c r="LQE28" s="19"/>
      <c r="LQF28" s="19"/>
      <c r="LQG28" s="19"/>
      <c r="LQH28" s="19"/>
      <c r="LQI28" s="19"/>
      <c r="LQJ28" s="19"/>
      <c r="LQK28" s="19"/>
      <c r="LQL28" s="19"/>
      <c r="LQM28" s="19"/>
      <c r="LQN28" s="19"/>
      <c r="LQO28" s="19"/>
      <c r="LQP28" s="19"/>
      <c r="LQQ28" s="19"/>
      <c r="LQR28" s="19"/>
      <c r="LQS28" s="19"/>
      <c r="LQT28" s="19"/>
      <c r="LQU28" s="19"/>
      <c r="LQV28" s="19"/>
      <c r="LQW28" s="19"/>
      <c r="LQX28" s="19"/>
      <c r="LQY28" s="19"/>
      <c r="LQZ28" s="19"/>
      <c r="LRA28" s="19"/>
      <c r="LRB28" s="19"/>
      <c r="LRC28" s="19"/>
      <c r="LRD28" s="19"/>
      <c r="LRE28" s="19"/>
      <c r="LRF28" s="19"/>
      <c r="LRG28" s="19"/>
      <c r="LRH28" s="19"/>
      <c r="LRI28" s="19"/>
      <c r="LRJ28" s="19"/>
      <c r="LRK28" s="19"/>
      <c r="LRL28" s="19"/>
      <c r="LRM28" s="19"/>
      <c r="LRN28" s="19"/>
      <c r="LRO28" s="19"/>
      <c r="LRP28" s="19"/>
      <c r="LRQ28" s="19"/>
      <c r="LRR28" s="19"/>
      <c r="LRS28" s="19"/>
      <c r="LRT28" s="19"/>
      <c r="LRU28" s="19"/>
      <c r="LRV28" s="19"/>
      <c r="LRW28" s="19"/>
      <c r="LRX28" s="19"/>
      <c r="LRY28" s="19"/>
      <c r="LRZ28" s="19"/>
      <c r="LSA28" s="19"/>
      <c r="LSB28" s="19"/>
      <c r="LSC28" s="19"/>
      <c r="LSD28" s="19"/>
      <c r="LSE28" s="19"/>
      <c r="LSF28" s="19"/>
      <c r="LSG28" s="19"/>
      <c r="LSH28" s="19"/>
      <c r="LSI28" s="19"/>
      <c r="LSJ28" s="19"/>
      <c r="LSK28" s="19"/>
      <c r="LSL28" s="19"/>
      <c r="LSM28" s="19"/>
      <c r="LSN28" s="19"/>
      <c r="LSO28" s="19"/>
      <c r="LSP28" s="19"/>
      <c r="LSQ28" s="19"/>
      <c r="LSR28" s="19"/>
      <c r="LSS28" s="19"/>
      <c r="LST28" s="19"/>
      <c r="LSU28" s="19"/>
      <c r="LSV28" s="19"/>
      <c r="LSW28" s="19"/>
      <c r="LSX28" s="19"/>
      <c r="LSY28" s="19"/>
      <c r="LSZ28" s="19"/>
      <c r="LTA28" s="19"/>
      <c r="LTB28" s="19"/>
      <c r="LTC28" s="19"/>
      <c r="LTD28" s="19"/>
      <c r="LTE28" s="19"/>
      <c r="LTF28" s="19"/>
      <c r="LTG28" s="19"/>
      <c r="LTH28" s="19"/>
      <c r="LTI28" s="19"/>
      <c r="LTJ28" s="19"/>
      <c r="LTK28" s="19"/>
      <c r="LTL28" s="19"/>
      <c r="LTM28" s="19"/>
      <c r="LTN28" s="19"/>
      <c r="LTO28" s="19"/>
      <c r="LTP28" s="19"/>
      <c r="LTQ28" s="19"/>
      <c r="LTR28" s="19"/>
      <c r="LTS28" s="19"/>
      <c r="LTT28" s="19"/>
      <c r="LTU28" s="19"/>
      <c r="LTV28" s="19"/>
      <c r="LTW28" s="19"/>
      <c r="LTX28" s="19"/>
      <c r="LTY28" s="19"/>
      <c r="LTZ28" s="19"/>
      <c r="LUA28" s="19"/>
      <c r="LUB28" s="19"/>
      <c r="LUC28" s="19"/>
      <c r="LUD28" s="19"/>
      <c r="LUE28" s="19"/>
      <c r="LUF28" s="19"/>
      <c r="LUG28" s="19"/>
      <c r="LUH28" s="19"/>
      <c r="LUI28" s="19"/>
      <c r="LUJ28" s="19"/>
      <c r="LUK28" s="19"/>
      <c r="LUL28" s="19"/>
      <c r="LUM28" s="19"/>
      <c r="LUN28" s="19"/>
      <c r="LUO28" s="19"/>
      <c r="LUP28" s="19"/>
      <c r="LUQ28" s="19"/>
      <c r="LUR28" s="19"/>
      <c r="LUS28" s="19"/>
      <c r="LUT28" s="19"/>
      <c r="LUU28" s="19"/>
      <c r="LUV28" s="19"/>
      <c r="LUW28" s="19"/>
      <c r="LUX28" s="19"/>
      <c r="LUY28" s="19"/>
      <c r="LUZ28" s="19"/>
      <c r="LVA28" s="19"/>
      <c r="LVB28" s="19"/>
      <c r="LVC28" s="19"/>
      <c r="LVD28" s="19"/>
      <c r="LVE28" s="19"/>
      <c r="LVF28" s="19"/>
      <c r="LVG28" s="19"/>
      <c r="LVH28" s="19"/>
      <c r="LVI28" s="19"/>
      <c r="LVJ28" s="19"/>
      <c r="LVK28" s="19"/>
      <c r="LVL28" s="19"/>
      <c r="LVM28" s="19"/>
      <c r="LVN28" s="19"/>
      <c r="LVO28" s="19"/>
      <c r="LVP28" s="19"/>
      <c r="LVQ28" s="19"/>
      <c r="LVR28" s="19"/>
      <c r="LVS28" s="19"/>
      <c r="LVT28" s="19"/>
      <c r="LVU28" s="19"/>
      <c r="LVV28" s="19"/>
      <c r="LVW28" s="19"/>
      <c r="LVX28" s="19"/>
      <c r="LVY28" s="19"/>
      <c r="LVZ28" s="19"/>
      <c r="LWA28" s="19"/>
      <c r="LWB28" s="19"/>
      <c r="LWC28" s="19"/>
      <c r="LWD28" s="19"/>
      <c r="LWE28" s="19"/>
      <c r="LWF28" s="19"/>
      <c r="LWG28" s="19"/>
      <c r="LWH28" s="19"/>
      <c r="LWI28" s="19"/>
      <c r="LWJ28" s="19"/>
      <c r="LWK28" s="19"/>
      <c r="LWL28" s="19"/>
      <c r="LWM28" s="19"/>
      <c r="LWN28" s="19"/>
      <c r="LWO28" s="19"/>
      <c r="LWP28" s="19"/>
      <c r="LWQ28" s="19"/>
      <c r="LWR28" s="19"/>
      <c r="LWS28" s="19"/>
      <c r="LWT28" s="19"/>
      <c r="LWU28" s="19"/>
      <c r="LWV28" s="19"/>
      <c r="LWW28" s="19"/>
      <c r="LWX28" s="19"/>
      <c r="LWY28" s="19"/>
      <c r="LWZ28" s="19"/>
      <c r="LXA28" s="19"/>
      <c r="LXB28" s="19"/>
      <c r="LXC28" s="19"/>
      <c r="LXD28" s="19"/>
      <c r="LXE28" s="19"/>
      <c r="LXF28" s="19"/>
      <c r="LXG28" s="19"/>
      <c r="LXH28" s="19"/>
      <c r="LXI28" s="19"/>
      <c r="LXJ28" s="19"/>
      <c r="LXK28" s="19"/>
      <c r="LXL28" s="19"/>
      <c r="LXM28" s="19"/>
      <c r="LXN28" s="19"/>
      <c r="LXO28" s="19"/>
      <c r="LXP28" s="19"/>
      <c r="LXQ28" s="19"/>
      <c r="LXR28" s="19"/>
      <c r="LXS28" s="19"/>
      <c r="LXT28" s="19"/>
      <c r="LXU28" s="19"/>
      <c r="LXV28" s="19"/>
      <c r="LXW28" s="19"/>
      <c r="LXX28" s="19"/>
      <c r="LXY28" s="19"/>
      <c r="LXZ28" s="19"/>
      <c r="LYA28" s="19"/>
      <c r="LYB28" s="19"/>
      <c r="LYC28" s="19"/>
      <c r="LYD28" s="19"/>
      <c r="LYE28" s="19"/>
      <c r="LYF28" s="19"/>
      <c r="LYG28" s="19"/>
      <c r="LYH28" s="19"/>
      <c r="LYI28" s="19"/>
      <c r="LYJ28" s="19"/>
      <c r="LYK28" s="19"/>
      <c r="LYL28" s="19"/>
      <c r="LYM28" s="19"/>
      <c r="LYN28" s="19"/>
      <c r="LYO28" s="19"/>
      <c r="LYP28" s="19"/>
      <c r="LYQ28" s="19"/>
      <c r="LYR28" s="19"/>
      <c r="LYS28" s="19"/>
      <c r="LYT28" s="19"/>
      <c r="LYU28" s="19"/>
      <c r="LYV28" s="19"/>
      <c r="LYW28" s="19"/>
      <c r="LYX28" s="19"/>
      <c r="LYY28" s="19"/>
      <c r="LYZ28" s="19"/>
      <c r="LZA28" s="19"/>
      <c r="LZB28" s="19"/>
      <c r="LZC28" s="19"/>
      <c r="LZD28" s="19"/>
      <c r="LZE28" s="19"/>
      <c r="LZF28" s="19"/>
      <c r="LZG28" s="19"/>
      <c r="LZH28" s="19"/>
      <c r="LZI28" s="19"/>
      <c r="LZJ28" s="19"/>
      <c r="LZK28" s="19"/>
      <c r="LZL28" s="19"/>
      <c r="LZM28" s="19"/>
      <c r="LZN28" s="19"/>
      <c r="LZO28" s="19"/>
      <c r="LZP28" s="19"/>
      <c r="LZQ28" s="19"/>
      <c r="LZR28" s="19"/>
      <c r="LZS28" s="19"/>
      <c r="LZT28" s="19"/>
      <c r="LZU28" s="19"/>
      <c r="LZV28" s="19"/>
      <c r="LZW28" s="19"/>
      <c r="LZX28" s="19"/>
      <c r="LZY28" s="19"/>
      <c r="LZZ28" s="19"/>
      <c r="MAA28" s="19"/>
      <c r="MAB28" s="19"/>
      <c r="MAC28" s="19"/>
      <c r="MAD28" s="19"/>
      <c r="MAE28" s="19"/>
      <c r="MAF28" s="19"/>
      <c r="MAG28" s="19"/>
      <c r="MAH28" s="19"/>
      <c r="MAI28" s="19"/>
      <c r="MAJ28" s="19"/>
      <c r="MAK28" s="19"/>
      <c r="MAL28" s="19"/>
      <c r="MAM28" s="19"/>
      <c r="MAN28" s="19"/>
      <c r="MAO28" s="19"/>
      <c r="MAP28" s="19"/>
      <c r="MAQ28" s="19"/>
      <c r="MAR28" s="19"/>
      <c r="MAS28" s="19"/>
      <c r="MAT28" s="19"/>
      <c r="MAU28" s="19"/>
      <c r="MAV28" s="19"/>
      <c r="MAW28" s="19"/>
      <c r="MAX28" s="19"/>
      <c r="MAY28" s="19"/>
      <c r="MAZ28" s="19"/>
      <c r="MBA28" s="19"/>
      <c r="MBB28" s="19"/>
      <c r="MBC28" s="19"/>
      <c r="MBD28" s="19"/>
      <c r="MBE28" s="19"/>
      <c r="MBF28" s="19"/>
      <c r="MBG28" s="19"/>
      <c r="MBH28" s="19"/>
      <c r="MBI28" s="19"/>
      <c r="MBJ28" s="19"/>
      <c r="MBK28" s="19"/>
      <c r="MBL28" s="19"/>
      <c r="MBM28" s="19"/>
      <c r="MBN28" s="19"/>
      <c r="MBO28" s="19"/>
      <c r="MBP28" s="19"/>
      <c r="MBQ28" s="19"/>
      <c r="MBR28" s="19"/>
      <c r="MBS28" s="19"/>
      <c r="MBT28" s="19"/>
      <c r="MBU28" s="19"/>
      <c r="MBV28" s="19"/>
      <c r="MBW28" s="19"/>
      <c r="MBX28" s="19"/>
      <c r="MBY28" s="19"/>
      <c r="MBZ28" s="19"/>
      <c r="MCA28" s="19"/>
      <c r="MCB28" s="19"/>
      <c r="MCC28" s="19"/>
      <c r="MCD28" s="19"/>
      <c r="MCE28" s="19"/>
      <c r="MCF28" s="19"/>
      <c r="MCG28" s="19"/>
      <c r="MCH28" s="19"/>
      <c r="MCI28" s="19"/>
      <c r="MCJ28" s="19"/>
      <c r="MCK28" s="19"/>
      <c r="MCL28" s="19"/>
      <c r="MCM28" s="19"/>
      <c r="MCN28" s="19"/>
      <c r="MCO28" s="19"/>
      <c r="MCP28" s="19"/>
      <c r="MCQ28" s="19"/>
      <c r="MCR28" s="19"/>
      <c r="MCS28" s="19"/>
      <c r="MCT28" s="19"/>
      <c r="MCU28" s="19"/>
      <c r="MCV28" s="19"/>
      <c r="MCW28" s="19"/>
      <c r="MCX28" s="19"/>
      <c r="MCY28" s="19"/>
      <c r="MCZ28" s="19"/>
      <c r="MDA28" s="19"/>
      <c r="MDB28" s="19"/>
      <c r="MDC28" s="19"/>
      <c r="MDD28" s="19"/>
      <c r="MDE28" s="19"/>
      <c r="MDF28" s="19"/>
      <c r="MDG28" s="19"/>
      <c r="MDH28" s="19"/>
      <c r="MDI28" s="19"/>
      <c r="MDJ28" s="19"/>
      <c r="MDK28" s="19"/>
      <c r="MDL28" s="19"/>
      <c r="MDM28" s="19"/>
      <c r="MDN28" s="19"/>
      <c r="MDO28" s="19"/>
      <c r="MDP28" s="19"/>
      <c r="MDQ28" s="19"/>
      <c r="MDR28" s="19"/>
      <c r="MDS28" s="19"/>
      <c r="MDT28" s="19"/>
      <c r="MDU28" s="19"/>
      <c r="MDV28" s="19"/>
      <c r="MDW28" s="19"/>
      <c r="MDX28" s="19"/>
      <c r="MDY28" s="19"/>
      <c r="MDZ28" s="19"/>
      <c r="MEA28" s="19"/>
      <c r="MEB28" s="19"/>
      <c r="MEC28" s="19"/>
      <c r="MED28" s="19"/>
      <c r="MEE28" s="19"/>
      <c r="MEF28" s="19"/>
      <c r="MEG28" s="19"/>
      <c r="MEH28" s="19"/>
      <c r="MEI28" s="19"/>
      <c r="MEJ28" s="19"/>
      <c r="MEK28" s="19"/>
      <c r="MEL28" s="19"/>
      <c r="MEM28" s="19"/>
      <c r="MEN28" s="19"/>
      <c r="MEO28" s="19"/>
      <c r="MEP28" s="19"/>
      <c r="MEQ28" s="19"/>
      <c r="MER28" s="19"/>
      <c r="MES28" s="19"/>
      <c r="MET28" s="19"/>
      <c r="MEU28" s="19"/>
      <c r="MEV28" s="19"/>
      <c r="MEW28" s="19"/>
      <c r="MEX28" s="19"/>
      <c r="MEY28" s="19"/>
      <c r="MEZ28" s="19"/>
      <c r="MFA28" s="19"/>
      <c r="MFB28" s="19"/>
      <c r="MFC28" s="19"/>
      <c r="MFD28" s="19"/>
      <c r="MFE28" s="19"/>
      <c r="MFF28" s="19"/>
      <c r="MFG28" s="19"/>
      <c r="MFH28" s="19"/>
      <c r="MFI28" s="19"/>
      <c r="MFJ28" s="19"/>
      <c r="MFK28" s="19"/>
      <c r="MFL28" s="19"/>
      <c r="MFM28" s="19"/>
      <c r="MFN28" s="19"/>
      <c r="MFO28" s="19"/>
      <c r="MFP28" s="19"/>
      <c r="MFQ28" s="19"/>
      <c r="MFR28" s="19"/>
      <c r="MFS28" s="19"/>
      <c r="MFT28" s="19"/>
      <c r="MFU28" s="19"/>
      <c r="MFV28" s="19"/>
      <c r="MFW28" s="19"/>
      <c r="MFX28" s="19"/>
      <c r="MFY28" s="19"/>
      <c r="MFZ28" s="19"/>
      <c r="MGA28" s="19"/>
      <c r="MGB28" s="19"/>
      <c r="MGC28" s="19"/>
      <c r="MGD28" s="19"/>
      <c r="MGE28" s="19"/>
      <c r="MGF28" s="19"/>
      <c r="MGG28" s="19"/>
      <c r="MGH28" s="19"/>
      <c r="MGI28" s="19"/>
      <c r="MGJ28" s="19"/>
      <c r="MGK28" s="19"/>
      <c r="MGL28" s="19"/>
      <c r="MGM28" s="19"/>
      <c r="MGN28" s="19"/>
      <c r="MGO28" s="19"/>
      <c r="MGP28" s="19"/>
      <c r="MGQ28" s="19"/>
      <c r="MGR28" s="19"/>
      <c r="MGS28" s="19"/>
      <c r="MGT28" s="19"/>
      <c r="MGU28" s="19"/>
      <c r="MGV28" s="19"/>
      <c r="MGW28" s="19"/>
      <c r="MGX28" s="19"/>
      <c r="MGY28" s="19"/>
      <c r="MGZ28" s="19"/>
      <c r="MHA28" s="19"/>
      <c r="MHB28" s="19"/>
      <c r="MHC28" s="19"/>
      <c r="MHD28" s="19"/>
      <c r="MHE28" s="19"/>
      <c r="MHF28" s="19"/>
      <c r="MHG28" s="19"/>
      <c r="MHH28" s="19"/>
      <c r="MHI28" s="19"/>
      <c r="MHJ28" s="19"/>
      <c r="MHK28" s="19"/>
      <c r="MHL28" s="19"/>
      <c r="MHM28" s="19"/>
      <c r="MHN28" s="19"/>
      <c r="MHO28" s="19"/>
      <c r="MHP28" s="19"/>
      <c r="MHQ28" s="19"/>
      <c r="MHR28" s="19"/>
      <c r="MHS28" s="19"/>
      <c r="MHT28" s="19"/>
      <c r="MHU28" s="19"/>
      <c r="MHV28" s="19"/>
      <c r="MHW28" s="19"/>
      <c r="MHX28" s="19"/>
      <c r="MHY28" s="19"/>
      <c r="MHZ28" s="19"/>
      <c r="MIA28" s="19"/>
      <c r="MIB28" s="19"/>
      <c r="MIC28" s="19"/>
      <c r="MID28" s="19"/>
      <c r="MIE28" s="19"/>
      <c r="MIF28" s="19"/>
      <c r="MIG28" s="19"/>
      <c r="MIH28" s="19"/>
      <c r="MII28" s="19"/>
      <c r="MIJ28" s="19"/>
      <c r="MIK28" s="19"/>
      <c r="MIL28" s="19"/>
      <c r="MIM28" s="19"/>
      <c r="MIN28" s="19"/>
      <c r="MIO28" s="19"/>
      <c r="MIP28" s="19"/>
      <c r="MIQ28" s="19"/>
      <c r="MIR28" s="19"/>
      <c r="MIS28" s="19"/>
      <c r="MIT28" s="19"/>
      <c r="MIU28" s="19"/>
      <c r="MIV28" s="19"/>
      <c r="MIW28" s="19"/>
      <c r="MIX28" s="19"/>
      <c r="MIY28" s="19"/>
      <c r="MIZ28" s="19"/>
      <c r="MJA28" s="19"/>
      <c r="MJB28" s="19"/>
      <c r="MJC28" s="19"/>
      <c r="MJD28" s="19"/>
      <c r="MJE28" s="19"/>
      <c r="MJF28" s="19"/>
      <c r="MJG28" s="19"/>
      <c r="MJH28" s="19"/>
      <c r="MJI28" s="19"/>
      <c r="MJJ28" s="19"/>
      <c r="MJK28" s="19"/>
      <c r="MJL28" s="19"/>
      <c r="MJM28" s="19"/>
      <c r="MJN28" s="19"/>
      <c r="MJO28" s="19"/>
      <c r="MJP28" s="19"/>
      <c r="MJQ28" s="19"/>
      <c r="MJR28" s="19"/>
      <c r="MJS28" s="19"/>
      <c r="MJT28" s="19"/>
      <c r="MJU28" s="19"/>
      <c r="MJV28" s="19"/>
      <c r="MJW28" s="19"/>
      <c r="MJX28" s="19"/>
      <c r="MJY28" s="19"/>
      <c r="MJZ28" s="19"/>
      <c r="MKA28" s="19"/>
      <c r="MKB28" s="19"/>
      <c r="MKC28" s="19"/>
      <c r="MKD28" s="19"/>
      <c r="MKE28" s="19"/>
      <c r="MKF28" s="19"/>
      <c r="MKG28" s="19"/>
      <c r="MKH28" s="19"/>
      <c r="MKI28" s="19"/>
      <c r="MKJ28" s="19"/>
      <c r="MKK28" s="19"/>
      <c r="MKL28" s="19"/>
      <c r="MKM28" s="19"/>
      <c r="MKN28" s="19"/>
      <c r="MKO28" s="19"/>
      <c r="MKP28" s="19"/>
      <c r="MKQ28" s="19"/>
      <c r="MKR28" s="19"/>
      <c r="MKS28" s="19"/>
      <c r="MKT28" s="19"/>
      <c r="MKU28" s="19"/>
      <c r="MKV28" s="19"/>
      <c r="MKW28" s="19"/>
      <c r="MKX28" s="19"/>
      <c r="MKY28" s="19"/>
      <c r="MKZ28" s="19"/>
      <c r="MLA28" s="19"/>
      <c r="MLB28" s="19"/>
      <c r="MLC28" s="19"/>
      <c r="MLD28" s="19"/>
      <c r="MLE28" s="19"/>
      <c r="MLF28" s="19"/>
      <c r="MLG28" s="19"/>
      <c r="MLH28" s="19"/>
      <c r="MLI28" s="19"/>
      <c r="MLJ28" s="19"/>
      <c r="MLK28" s="19"/>
      <c r="MLL28" s="19"/>
      <c r="MLM28" s="19"/>
      <c r="MLN28" s="19"/>
      <c r="MLO28" s="19"/>
      <c r="MLP28" s="19"/>
      <c r="MLQ28" s="19"/>
      <c r="MLR28" s="19"/>
      <c r="MLS28" s="19"/>
      <c r="MLT28" s="19"/>
      <c r="MLU28" s="19"/>
      <c r="MLV28" s="19"/>
      <c r="MLW28" s="19"/>
      <c r="MLX28" s="19"/>
      <c r="MLY28" s="19"/>
      <c r="MLZ28" s="19"/>
      <c r="MMA28" s="19"/>
      <c r="MMB28" s="19"/>
      <c r="MMC28" s="19"/>
      <c r="MMD28" s="19"/>
      <c r="MME28" s="19"/>
      <c r="MMF28" s="19"/>
      <c r="MMG28" s="19"/>
      <c r="MMH28" s="19"/>
      <c r="MMI28" s="19"/>
      <c r="MMJ28" s="19"/>
      <c r="MMK28" s="19"/>
      <c r="MML28" s="19"/>
      <c r="MMM28" s="19"/>
      <c r="MMN28" s="19"/>
      <c r="MMO28" s="19"/>
      <c r="MMP28" s="19"/>
      <c r="MMQ28" s="19"/>
      <c r="MMR28" s="19"/>
      <c r="MMS28" s="19"/>
      <c r="MMT28" s="19"/>
      <c r="MMU28" s="19"/>
      <c r="MMV28" s="19"/>
      <c r="MMW28" s="19"/>
      <c r="MMX28" s="19"/>
      <c r="MMY28" s="19"/>
      <c r="MMZ28" s="19"/>
      <c r="MNA28" s="19"/>
      <c r="MNB28" s="19"/>
      <c r="MNC28" s="19"/>
      <c r="MND28" s="19"/>
      <c r="MNE28" s="19"/>
      <c r="MNF28" s="19"/>
      <c r="MNG28" s="19"/>
      <c r="MNH28" s="19"/>
      <c r="MNI28" s="19"/>
      <c r="MNJ28" s="19"/>
      <c r="MNK28" s="19"/>
      <c r="MNL28" s="19"/>
      <c r="MNM28" s="19"/>
      <c r="MNN28" s="19"/>
      <c r="MNO28" s="19"/>
      <c r="MNP28" s="19"/>
      <c r="MNQ28" s="19"/>
      <c r="MNR28" s="19"/>
      <c r="MNS28" s="19"/>
      <c r="MNT28" s="19"/>
      <c r="MNU28" s="19"/>
      <c r="MNV28" s="19"/>
      <c r="MNW28" s="19"/>
      <c r="MNX28" s="19"/>
      <c r="MNY28" s="19"/>
      <c r="MNZ28" s="19"/>
      <c r="MOA28" s="19"/>
      <c r="MOB28" s="19"/>
      <c r="MOC28" s="19"/>
      <c r="MOD28" s="19"/>
      <c r="MOE28" s="19"/>
      <c r="MOF28" s="19"/>
      <c r="MOG28" s="19"/>
      <c r="MOH28" s="19"/>
      <c r="MOI28" s="19"/>
      <c r="MOJ28" s="19"/>
      <c r="MOK28" s="19"/>
      <c r="MOL28" s="19"/>
      <c r="MOM28" s="19"/>
      <c r="MON28" s="19"/>
      <c r="MOO28" s="19"/>
      <c r="MOP28" s="19"/>
      <c r="MOQ28" s="19"/>
      <c r="MOR28" s="19"/>
      <c r="MOS28" s="19"/>
      <c r="MOT28" s="19"/>
      <c r="MOU28" s="19"/>
      <c r="MOV28" s="19"/>
      <c r="MOW28" s="19"/>
      <c r="MOX28" s="19"/>
      <c r="MOY28" s="19"/>
      <c r="MOZ28" s="19"/>
      <c r="MPA28" s="19"/>
      <c r="MPB28" s="19"/>
      <c r="MPC28" s="19"/>
      <c r="MPD28" s="19"/>
      <c r="MPE28" s="19"/>
      <c r="MPF28" s="19"/>
      <c r="MPG28" s="19"/>
      <c r="MPH28" s="19"/>
      <c r="MPI28" s="19"/>
      <c r="MPJ28" s="19"/>
      <c r="MPK28" s="19"/>
      <c r="MPL28" s="19"/>
      <c r="MPM28" s="19"/>
      <c r="MPN28" s="19"/>
      <c r="MPO28" s="19"/>
      <c r="MPP28" s="19"/>
      <c r="MPQ28" s="19"/>
      <c r="MPR28" s="19"/>
      <c r="MPS28" s="19"/>
      <c r="MPT28" s="19"/>
      <c r="MPU28" s="19"/>
      <c r="MPV28" s="19"/>
      <c r="MPW28" s="19"/>
      <c r="MPX28" s="19"/>
      <c r="MPY28" s="19"/>
      <c r="MPZ28" s="19"/>
      <c r="MQA28" s="19"/>
      <c r="MQB28" s="19"/>
      <c r="MQC28" s="19"/>
      <c r="MQD28" s="19"/>
      <c r="MQE28" s="19"/>
      <c r="MQF28" s="19"/>
      <c r="MQG28" s="19"/>
      <c r="MQH28" s="19"/>
      <c r="MQI28" s="19"/>
      <c r="MQJ28" s="19"/>
      <c r="MQK28" s="19"/>
      <c r="MQL28" s="19"/>
      <c r="MQM28" s="19"/>
      <c r="MQN28" s="19"/>
      <c r="MQO28" s="19"/>
      <c r="MQP28" s="19"/>
      <c r="MQQ28" s="19"/>
      <c r="MQR28" s="19"/>
      <c r="MQS28" s="19"/>
      <c r="MQT28" s="19"/>
      <c r="MQU28" s="19"/>
      <c r="MQV28" s="19"/>
      <c r="MQW28" s="19"/>
      <c r="MQX28" s="19"/>
      <c r="MQY28" s="19"/>
      <c r="MQZ28" s="19"/>
      <c r="MRA28" s="19"/>
      <c r="MRB28" s="19"/>
      <c r="MRC28" s="19"/>
      <c r="MRD28" s="19"/>
      <c r="MRE28" s="19"/>
      <c r="MRF28" s="19"/>
      <c r="MRG28" s="19"/>
      <c r="MRH28" s="19"/>
      <c r="MRI28" s="19"/>
      <c r="MRJ28" s="19"/>
      <c r="MRK28" s="19"/>
      <c r="MRL28" s="19"/>
      <c r="MRM28" s="19"/>
      <c r="MRN28" s="19"/>
      <c r="MRO28" s="19"/>
      <c r="MRP28" s="19"/>
      <c r="MRQ28" s="19"/>
      <c r="MRR28" s="19"/>
      <c r="MRS28" s="19"/>
      <c r="MRT28" s="19"/>
      <c r="MRU28" s="19"/>
      <c r="MRV28" s="19"/>
      <c r="MRW28" s="19"/>
      <c r="MRX28" s="19"/>
      <c r="MRY28" s="19"/>
      <c r="MRZ28" s="19"/>
      <c r="MSA28" s="19"/>
      <c r="MSB28" s="19"/>
      <c r="MSC28" s="19"/>
      <c r="MSD28" s="19"/>
      <c r="MSE28" s="19"/>
      <c r="MSF28" s="19"/>
      <c r="MSG28" s="19"/>
      <c r="MSH28" s="19"/>
      <c r="MSI28" s="19"/>
      <c r="MSJ28" s="19"/>
      <c r="MSK28" s="19"/>
      <c r="MSL28" s="19"/>
      <c r="MSM28" s="19"/>
      <c r="MSN28" s="19"/>
      <c r="MSO28" s="19"/>
      <c r="MSP28" s="19"/>
      <c r="MSQ28" s="19"/>
      <c r="MSR28" s="19"/>
      <c r="MSS28" s="19"/>
      <c r="MST28" s="19"/>
      <c r="MSU28" s="19"/>
      <c r="MSV28" s="19"/>
      <c r="MSW28" s="19"/>
      <c r="MSX28" s="19"/>
      <c r="MSY28" s="19"/>
      <c r="MSZ28" s="19"/>
      <c r="MTA28" s="19"/>
      <c r="MTB28" s="19"/>
      <c r="MTC28" s="19"/>
      <c r="MTD28" s="19"/>
      <c r="MTE28" s="19"/>
      <c r="MTF28" s="19"/>
      <c r="MTG28" s="19"/>
      <c r="MTH28" s="19"/>
      <c r="MTI28" s="19"/>
      <c r="MTJ28" s="19"/>
      <c r="MTK28" s="19"/>
      <c r="MTL28" s="19"/>
      <c r="MTM28" s="19"/>
      <c r="MTN28" s="19"/>
      <c r="MTO28" s="19"/>
      <c r="MTP28" s="19"/>
      <c r="MTQ28" s="19"/>
      <c r="MTR28" s="19"/>
      <c r="MTS28" s="19"/>
      <c r="MTT28" s="19"/>
      <c r="MTU28" s="19"/>
      <c r="MTV28" s="19"/>
      <c r="MTW28" s="19"/>
      <c r="MTX28" s="19"/>
      <c r="MTY28" s="19"/>
      <c r="MTZ28" s="19"/>
      <c r="MUA28" s="19"/>
      <c r="MUB28" s="19"/>
      <c r="MUC28" s="19"/>
      <c r="MUD28" s="19"/>
      <c r="MUE28" s="19"/>
      <c r="MUF28" s="19"/>
      <c r="MUG28" s="19"/>
      <c r="MUH28" s="19"/>
      <c r="MUI28" s="19"/>
      <c r="MUJ28" s="19"/>
      <c r="MUK28" s="19"/>
      <c r="MUL28" s="19"/>
      <c r="MUM28" s="19"/>
      <c r="MUN28" s="19"/>
      <c r="MUO28" s="19"/>
      <c r="MUP28" s="19"/>
      <c r="MUQ28" s="19"/>
      <c r="MUR28" s="19"/>
      <c r="MUS28" s="19"/>
      <c r="MUT28" s="19"/>
      <c r="MUU28" s="19"/>
      <c r="MUV28" s="19"/>
      <c r="MUW28" s="19"/>
      <c r="MUX28" s="19"/>
      <c r="MUY28" s="19"/>
      <c r="MUZ28" s="19"/>
      <c r="MVA28" s="19"/>
      <c r="MVB28" s="19"/>
      <c r="MVC28" s="19"/>
      <c r="MVD28" s="19"/>
      <c r="MVE28" s="19"/>
      <c r="MVF28" s="19"/>
      <c r="MVG28" s="19"/>
      <c r="MVH28" s="19"/>
      <c r="MVI28" s="19"/>
      <c r="MVJ28" s="19"/>
      <c r="MVK28" s="19"/>
      <c r="MVL28" s="19"/>
      <c r="MVM28" s="19"/>
      <c r="MVN28" s="19"/>
      <c r="MVO28" s="19"/>
      <c r="MVP28" s="19"/>
      <c r="MVQ28" s="19"/>
      <c r="MVR28" s="19"/>
      <c r="MVS28" s="19"/>
      <c r="MVT28" s="19"/>
      <c r="MVU28" s="19"/>
      <c r="MVV28" s="19"/>
      <c r="MVW28" s="19"/>
      <c r="MVX28" s="19"/>
      <c r="MVY28" s="19"/>
      <c r="MVZ28" s="19"/>
      <c r="MWA28" s="19"/>
      <c r="MWB28" s="19"/>
      <c r="MWC28" s="19"/>
      <c r="MWD28" s="19"/>
      <c r="MWE28" s="19"/>
      <c r="MWF28" s="19"/>
      <c r="MWG28" s="19"/>
      <c r="MWH28" s="19"/>
      <c r="MWI28" s="19"/>
      <c r="MWJ28" s="19"/>
      <c r="MWK28" s="19"/>
      <c r="MWL28" s="19"/>
      <c r="MWM28" s="19"/>
      <c r="MWN28" s="19"/>
      <c r="MWO28" s="19"/>
      <c r="MWP28" s="19"/>
      <c r="MWQ28" s="19"/>
      <c r="MWR28" s="19"/>
      <c r="MWS28" s="19"/>
      <c r="MWT28" s="19"/>
      <c r="MWU28" s="19"/>
      <c r="MWV28" s="19"/>
      <c r="MWW28" s="19"/>
      <c r="MWX28" s="19"/>
      <c r="MWY28" s="19"/>
      <c r="MWZ28" s="19"/>
      <c r="MXA28" s="19"/>
      <c r="MXB28" s="19"/>
      <c r="MXC28" s="19"/>
      <c r="MXD28" s="19"/>
      <c r="MXE28" s="19"/>
      <c r="MXF28" s="19"/>
      <c r="MXG28" s="19"/>
      <c r="MXH28" s="19"/>
      <c r="MXI28" s="19"/>
      <c r="MXJ28" s="19"/>
      <c r="MXK28" s="19"/>
      <c r="MXL28" s="19"/>
      <c r="MXM28" s="19"/>
      <c r="MXN28" s="19"/>
      <c r="MXO28" s="19"/>
      <c r="MXP28" s="19"/>
      <c r="MXQ28" s="19"/>
      <c r="MXR28" s="19"/>
      <c r="MXS28" s="19"/>
      <c r="MXT28" s="19"/>
      <c r="MXU28" s="19"/>
      <c r="MXV28" s="19"/>
      <c r="MXW28" s="19"/>
      <c r="MXX28" s="19"/>
      <c r="MXY28" s="19"/>
      <c r="MXZ28" s="19"/>
      <c r="MYA28" s="19"/>
      <c r="MYB28" s="19"/>
      <c r="MYC28" s="19"/>
      <c r="MYD28" s="19"/>
      <c r="MYE28" s="19"/>
      <c r="MYF28" s="19"/>
      <c r="MYG28" s="19"/>
      <c r="MYH28" s="19"/>
      <c r="MYI28" s="19"/>
      <c r="MYJ28" s="19"/>
      <c r="MYK28" s="19"/>
      <c r="MYL28" s="19"/>
      <c r="MYM28" s="19"/>
      <c r="MYN28" s="19"/>
      <c r="MYO28" s="19"/>
      <c r="MYP28" s="19"/>
      <c r="MYQ28" s="19"/>
      <c r="MYR28" s="19"/>
      <c r="MYS28" s="19"/>
      <c r="MYT28" s="19"/>
      <c r="MYU28" s="19"/>
      <c r="MYV28" s="19"/>
      <c r="MYW28" s="19"/>
      <c r="MYX28" s="19"/>
      <c r="MYY28" s="19"/>
      <c r="MYZ28" s="19"/>
      <c r="MZA28" s="19"/>
      <c r="MZB28" s="19"/>
      <c r="MZC28" s="19"/>
      <c r="MZD28" s="19"/>
      <c r="MZE28" s="19"/>
      <c r="MZF28" s="19"/>
      <c r="MZG28" s="19"/>
      <c r="MZH28" s="19"/>
      <c r="MZI28" s="19"/>
      <c r="MZJ28" s="19"/>
      <c r="MZK28" s="19"/>
      <c r="MZL28" s="19"/>
      <c r="MZM28" s="19"/>
      <c r="MZN28" s="19"/>
      <c r="MZO28" s="19"/>
      <c r="MZP28" s="19"/>
      <c r="MZQ28" s="19"/>
      <c r="MZR28" s="19"/>
      <c r="MZS28" s="19"/>
      <c r="MZT28" s="19"/>
      <c r="MZU28" s="19"/>
      <c r="MZV28" s="19"/>
      <c r="MZW28" s="19"/>
      <c r="MZX28" s="19"/>
      <c r="MZY28" s="19"/>
      <c r="MZZ28" s="19"/>
      <c r="NAA28" s="19"/>
      <c r="NAB28" s="19"/>
      <c r="NAC28" s="19"/>
      <c r="NAD28" s="19"/>
      <c r="NAE28" s="19"/>
      <c r="NAF28" s="19"/>
      <c r="NAG28" s="19"/>
      <c r="NAH28" s="19"/>
      <c r="NAI28" s="19"/>
      <c r="NAJ28" s="19"/>
      <c r="NAK28" s="19"/>
      <c r="NAL28" s="19"/>
      <c r="NAM28" s="19"/>
      <c r="NAN28" s="19"/>
      <c r="NAO28" s="19"/>
      <c r="NAP28" s="19"/>
      <c r="NAQ28" s="19"/>
      <c r="NAR28" s="19"/>
      <c r="NAS28" s="19"/>
      <c r="NAT28" s="19"/>
      <c r="NAU28" s="19"/>
      <c r="NAV28" s="19"/>
      <c r="NAW28" s="19"/>
      <c r="NAX28" s="19"/>
      <c r="NAY28" s="19"/>
      <c r="NAZ28" s="19"/>
      <c r="NBA28" s="19"/>
      <c r="NBB28" s="19"/>
      <c r="NBC28" s="19"/>
      <c r="NBD28" s="19"/>
      <c r="NBE28" s="19"/>
      <c r="NBF28" s="19"/>
      <c r="NBG28" s="19"/>
      <c r="NBH28" s="19"/>
      <c r="NBI28" s="19"/>
      <c r="NBJ28" s="19"/>
      <c r="NBK28" s="19"/>
      <c r="NBL28" s="19"/>
      <c r="NBM28" s="19"/>
      <c r="NBN28" s="19"/>
      <c r="NBO28" s="19"/>
      <c r="NBP28" s="19"/>
      <c r="NBQ28" s="19"/>
      <c r="NBR28" s="19"/>
      <c r="NBS28" s="19"/>
      <c r="NBT28" s="19"/>
      <c r="NBU28" s="19"/>
      <c r="NBV28" s="19"/>
      <c r="NBW28" s="19"/>
      <c r="NBX28" s="19"/>
      <c r="NBY28" s="19"/>
      <c r="NBZ28" s="19"/>
      <c r="NCA28" s="19"/>
      <c r="NCB28" s="19"/>
      <c r="NCC28" s="19"/>
      <c r="NCD28" s="19"/>
      <c r="NCE28" s="19"/>
      <c r="NCF28" s="19"/>
      <c r="NCG28" s="19"/>
      <c r="NCH28" s="19"/>
      <c r="NCI28" s="19"/>
      <c r="NCJ28" s="19"/>
      <c r="NCK28" s="19"/>
      <c r="NCL28" s="19"/>
      <c r="NCM28" s="19"/>
      <c r="NCN28" s="19"/>
      <c r="NCO28" s="19"/>
      <c r="NCP28" s="19"/>
      <c r="NCQ28" s="19"/>
      <c r="NCR28" s="19"/>
      <c r="NCS28" s="19"/>
      <c r="NCT28" s="19"/>
      <c r="NCU28" s="19"/>
      <c r="NCV28" s="19"/>
      <c r="NCW28" s="19"/>
      <c r="NCX28" s="19"/>
      <c r="NCY28" s="19"/>
      <c r="NCZ28" s="19"/>
      <c r="NDA28" s="19"/>
      <c r="NDB28" s="19"/>
      <c r="NDC28" s="19"/>
      <c r="NDD28" s="19"/>
      <c r="NDE28" s="19"/>
      <c r="NDF28" s="19"/>
      <c r="NDG28" s="19"/>
      <c r="NDH28" s="19"/>
      <c r="NDI28" s="19"/>
      <c r="NDJ28" s="19"/>
      <c r="NDK28" s="19"/>
      <c r="NDL28" s="19"/>
      <c r="NDM28" s="19"/>
      <c r="NDN28" s="19"/>
      <c r="NDO28" s="19"/>
      <c r="NDP28" s="19"/>
      <c r="NDQ28" s="19"/>
      <c r="NDR28" s="19"/>
      <c r="NDS28" s="19"/>
      <c r="NDT28" s="19"/>
      <c r="NDU28" s="19"/>
      <c r="NDV28" s="19"/>
      <c r="NDW28" s="19"/>
      <c r="NDX28" s="19"/>
      <c r="NDY28" s="19"/>
      <c r="NDZ28" s="19"/>
      <c r="NEA28" s="19"/>
      <c r="NEB28" s="19"/>
      <c r="NEC28" s="19"/>
      <c r="NED28" s="19"/>
      <c r="NEE28" s="19"/>
      <c r="NEF28" s="19"/>
      <c r="NEG28" s="19"/>
      <c r="NEH28" s="19"/>
      <c r="NEI28" s="19"/>
      <c r="NEJ28" s="19"/>
      <c r="NEK28" s="19"/>
      <c r="NEL28" s="19"/>
      <c r="NEM28" s="19"/>
      <c r="NEN28" s="19"/>
      <c r="NEO28" s="19"/>
      <c r="NEP28" s="19"/>
      <c r="NEQ28" s="19"/>
      <c r="NER28" s="19"/>
      <c r="NES28" s="19"/>
      <c r="NET28" s="19"/>
      <c r="NEU28" s="19"/>
      <c r="NEV28" s="19"/>
      <c r="NEW28" s="19"/>
      <c r="NEX28" s="19"/>
      <c r="NEY28" s="19"/>
      <c r="NEZ28" s="19"/>
      <c r="NFA28" s="19"/>
      <c r="NFB28" s="19"/>
      <c r="NFC28" s="19"/>
      <c r="NFD28" s="19"/>
      <c r="NFE28" s="19"/>
      <c r="NFF28" s="19"/>
      <c r="NFG28" s="19"/>
      <c r="NFH28" s="19"/>
      <c r="NFI28" s="19"/>
      <c r="NFJ28" s="19"/>
      <c r="NFK28" s="19"/>
      <c r="NFL28" s="19"/>
      <c r="NFM28" s="19"/>
      <c r="NFN28" s="19"/>
      <c r="NFO28" s="19"/>
      <c r="NFP28" s="19"/>
      <c r="NFQ28" s="19"/>
      <c r="NFR28" s="19"/>
      <c r="NFS28" s="19"/>
      <c r="NFT28" s="19"/>
      <c r="NFU28" s="19"/>
      <c r="NFV28" s="19"/>
      <c r="NFW28" s="19"/>
      <c r="NFX28" s="19"/>
      <c r="NFY28" s="19"/>
      <c r="NFZ28" s="19"/>
      <c r="NGA28" s="19"/>
      <c r="NGB28" s="19"/>
      <c r="NGC28" s="19"/>
      <c r="NGD28" s="19"/>
      <c r="NGE28" s="19"/>
      <c r="NGF28" s="19"/>
      <c r="NGG28" s="19"/>
      <c r="NGH28" s="19"/>
      <c r="NGI28" s="19"/>
      <c r="NGJ28" s="19"/>
      <c r="NGK28" s="19"/>
      <c r="NGL28" s="19"/>
      <c r="NGM28" s="19"/>
      <c r="NGN28" s="19"/>
      <c r="NGO28" s="19"/>
      <c r="NGP28" s="19"/>
      <c r="NGQ28" s="19"/>
      <c r="NGR28" s="19"/>
      <c r="NGS28" s="19"/>
      <c r="NGT28" s="19"/>
      <c r="NGU28" s="19"/>
      <c r="NGV28" s="19"/>
      <c r="NGW28" s="19"/>
      <c r="NGX28" s="19"/>
      <c r="NGY28" s="19"/>
      <c r="NGZ28" s="19"/>
      <c r="NHA28" s="19"/>
      <c r="NHB28" s="19"/>
      <c r="NHC28" s="19"/>
      <c r="NHD28" s="19"/>
      <c r="NHE28" s="19"/>
      <c r="NHF28" s="19"/>
      <c r="NHG28" s="19"/>
      <c r="NHH28" s="19"/>
      <c r="NHI28" s="19"/>
      <c r="NHJ28" s="19"/>
      <c r="NHK28" s="19"/>
      <c r="NHL28" s="19"/>
      <c r="NHM28" s="19"/>
      <c r="NHN28" s="19"/>
      <c r="NHO28" s="19"/>
      <c r="NHP28" s="19"/>
      <c r="NHQ28" s="19"/>
      <c r="NHR28" s="19"/>
      <c r="NHS28" s="19"/>
      <c r="NHT28" s="19"/>
      <c r="NHU28" s="19"/>
      <c r="NHV28" s="19"/>
      <c r="NHW28" s="19"/>
      <c r="NHX28" s="19"/>
      <c r="NHY28" s="19"/>
      <c r="NHZ28" s="19"/>
      <c r="NIA28" s="19"/>
      <c r="NIB28" s="19"/>
      <c r="NIC28" s="19"/>
      <c r="NID28" s="19"/>
      <c r="NIE28" s="19"/>
      <c r="NIF28" s="19"/>
      <c r="NIG28" s="19"/>
      <c r="NIH28" s="19"/>
      <c r="NII28" s="19"/>
      <c r="NIJ28" s="19"/>
      <c r="NIK28" s="19"/>
      <c r="NIL28" s="19"/>
      <c r="NIM28" s="19"/>
      <c r="NIN28" s="19"/>
      <c r="NIO28" s="19"/>
      <c r="NIP28" s="19"/>
      <c r="NIQ28" s="19"/>
      <c r="NIR28" s="19"/>
      <c r="NIS28" s="19"/>
      <c r="NIT28" s="19"/>
      <c r="NIU28" s="19"/>
      <c r="NIV28" s="19"/>
      <c r="NIW28" s="19"/>
      <c r="NIX28" s="19"/>
      <c r="NIY28" s="19"/>
      <c r="NIZ28" s="19"/>
      <c r="NJA28" s="19"/>
      <c r="NJB28" s="19"/>
      <c r="NJC28" s="19"/>
      <c r="NJD28" s="19"/>
      <c r="NJE28" s="19"/>
      <c r="NJF28" s="19"/>
      <c r="NJG28" s="19"/>
      <c r="NJH28" s="19"/>
      <c r="NJI28" s="19"/>
      <c r="NJJ28" s="19"/>
      <c r="NJK28" s="19"/>
      <c r="NJL28" s="19"/>
      <c r="NJM28" s="19"/>
      <c r="NJN28" s="19"/>
      <c r="NJO28" s="19"/>
      <c r="NJP28" s="19"/>
      <c r="NJQ28" s="19"/>
      <c r="NJR28" s="19"/>
      <c r="NJS28" s="19"/>
      <c r="NJT28" s="19"/>
      <c r="NJU28" s="19"/>
      <c r="NJV28" s="19"/>
      <c r="NJW28" s="19"/>
      <c r="NJX28" s="19"/>
      <c r="NJY28" s="19"/>
      <c r="NJZ28" s="19"/>
      <c r="NKA28" s="19"/>
      <c r="NKB28" s="19"/>
      <c r="NKC28" s="19"/>
      <c r="NKD28" s="19"/>
      <c r="NKE28" s="19"/>
      <c r="NKF28" s="19"/>
      <c r="NKG28" s="19"/>
      <c r="NKH28" s="19"/>
      <c r="NKI28" s="19"/>
      <c r="NKJ28" s="19"/>
      <c r="NKK28" s="19"/>
      <c r="NKL28" s="19"/>
      <c r="NKM28" s="19"/>
      <c r="NKN28" s="19"/>
      <c r="NKO28" s="19"/>
      <c r="NKP28" s="19"/>
      <c r="NKQ28" s="19"/>
      <c r="NKR28" s="19"/>
      <c r="NKS28" s="19"/>
      <c r="NKT28" s="19"/>
      <c r="NKU28" s="19"/>
      <c r="NKV28" s="19"/>
      <c r="NKW28" s="19"/>
      <c r="NKX28" s="19"/>
      <c r="NKY28" s="19"/>
      <c r="NKZ28" s="19"/>
      <c r="NLA28" s="19"/>
      <c r="NLB28" s="19"/>
      <c r="NLC28" s="19"/>
      <c r="NLD28" s="19"/>
      <c r="NLE28" s="19"/>
      <c r="NLF28" s="19"/>
      <c r="NLG28" s="19"/>
      <c r="NLH28" s="19"/>
      <c r="NLI28" s="19"/>
      <c r="NLJ28" s="19"/>
      <c r="NLK28" s="19"/>
      <c r="NLL28" s="19"/>
      <c r="NLM28" s="19"/>
      <c r="NLN28" s="19"/>
      <c r="NLO28" s="19"/>
      <c r="NLP28" s="19"/>
      <c r="NLQ28" s="19"/>
      <c r="NLR28" s="19"/>
      <c r="NLS28" s="19"/>
      <c r="NLT28" s="19"/>
      <c r="NLU28" s="19"/>
      <c r="NLV28" s="19"/>
      <c r="NLW28" s="19"/>
      <c r="NLX28" s="19"/>
      <c r="NLY28" s="19"/>
      <c r="NLZ28" s="19"/>
      <c r="NMA28" s="19"/>
      <c r="NMB28" s="19"/>
      <c r="NMC28" s="19"/>
      <c r="NMD28" s="19"/>
      <c r="NME28" s="19"/>
      <c r="NMF28" s="19"/>
      <c r="NMG28" s="19"/>
      <c r="NMH28" s="19"/>
      <c r="NMI28" s="19"/>
      <c r="NMJ28" s="19"/>
      <c r="NMK28" s="19"/>
      <c r="NML28" s="19"/>
      <c r="NMM28" s="19"/>
      <c r="NMN28" s="19"/>
      <c r="NMO28" s="19"/>
      <c r="NMP28" s="19"/>
      <c r="NMQ28" s="19"/>
      <c r="NMR28" s="19"/>
      <c r="NMS28" s="19"/>
      <c r="NMT28" s="19"/>
      <c r="NMU28" s="19"/>
      <c r="NMV28" s="19"/>
      <c r="NMW28" s="19"/>
      <c r="NMX28" s="19"/>
      <c r="NMY28" s="19"/>
      <c r="NMZ28" s="19"/>
      <c r="NNA28" s="19"/>
      <c r="NNB28" s="19"/>
      <c r="NNC28" s="19"/>
      <c r="NND28" s="19"/>
      <c r="NNE28" s="19"/>
      <c r="NNF28" s="19"/>
      <c r="NNG28" s="19"/>
      <c r="NNH28" s="19"/>
      <c r="NNI28" s="19"/>
      <c r="NNJ28" s="19"/>
      <c r="NNK28" s="19"/>
      <c r="NNL28" s="19"/>
      <c r="NNM28" s="19"/>
      <c r="NNN28" s="19"/>
      <c r="NNO28" s="19"/>
      <c r="NNP28" s="19"/>
      <c r="NNQ28" s="19"/>
      <c r="NNR28" s="19"/>
      <c r="NNS28" s="19"/>
      <c r="NNT28" s="19"/>
      <c r="NNU28" s="19"/>
      <c r="NNV28" s="19"/>
      <c r="NNW28" s="19"/>
      <c r="NNX28" s="19"/>
      <c r="NNY28" s="19"/>
      <c r="NNZ28" s="19"/>
      <c r="NOA28" s="19"/>
      <c r="NOB28" s="19"/>
      <c r="NOC28" s="19"/>
      <c r="NOD28" s="19"/>
      <c r="NOE28" s="19"/>
      <c r="NOF28" s="19"/>
      <c r="NOG28" s="19"/>
      <c r="NOH28" s="19"/>
      <c r="NOI28" s="19"/>
      <c r="NOJ28" s="19"/>
      <c r="NOK28" s="19"/>
      <c r="NOL28" s="19"/>
      <c r="NOM28" s="19"/>
      <c r="NON28" s="19"/>
      <c r="NOO28" s="19"/>
      <c r="NOP28" s="19"/>
      <c r="NOQ28" s="19"/>
      <c r="NOR28" s="19"/>
      <c r="NOS28" s="19"/>
      <c r="NOT28" s="19"/>
      <c r="NOU28" s="19"/>
      <c r="NOV28" s="19"/>
      <c r="NOW28" s="19"/>
      <c r="NOX28" s="19"/>
      <c r="NOY28" s="19"/>
      <c r="NOZ28" s="19"/>
      <c r="NPA28" s="19"/>
      <c r="NPB28" s="19"/>
      <c r="NPC28" s="19"/>
      <c r="NPD28" s="19"/>
      <c r="NPE28" s="19"/>
      <c r="NPF28" s="19"/>
      <c r="NPG28" s="19"/>
      <c r="NPH28" s="19"/>
      <c r="NPI28" s="19"/>
      <c r="NPJ28" s="19"/>
      <c r="NPK28" s="19"/>
      <c r="NPL28" s="19"/>
      <c r="NPM28" s="19"/>
      <c r="NPN28" s="19"/>
      <c r="NPO28" s="19"/>
      <c r="NPP28" s="19"/>
      <c r="NPQ28" s="19"/>
      <c r="NPR28" s="19"/>
      <c r="NPS28" s="19"/>
      <c r="NPT28" s="19"/>
      <c r="NPU28" s="19"/>
      <c r="NPV28" s="19"/>
      <c r="NPW28" s="19"/>
      <c r="NPX28" s="19"/>
      <c r="NPY28" s="19"/>
      <c r="NPZ28" s="19"/>
      <c r="NQA28" s="19"/>
      <c r="NQB28" s="19"/>
      <c r="NQC28" s="19"/>
      <c r="NQD28" s="19"/>
      <c r="NQE28" s="19"/>
      <c r="NQF28" s="19"/>
      <c r="NQG28" s="19"/>
      <c r="NQH28" s="19"/>
      <c r="NQI28" s="19"/>
      <c r="NQJ28" s="19"/>
      <c r="NQK28" s="19"/>
      <c r="NQL28" s="19"/>
      <c r="NQM28" s="19"/>
      <c r="NQN28" s="19"/>
      <c r="NQO28" s="19"/>
      <c r="NQP28" s="19"/>
      <c r="NQQ28" s="19"/>
      <c r="NQR28" s="19"/>
      <c r="NQS28" s="19"/>
      <c r="NQT28" s="19"/>
      <c r="NQU28" s="19"/>
      <c r="NQV28" s="19"/>
      <c r="NQW28" s="19"/>
      <c r="NQX28" s="19"/>
      <c r="NQY28" s="19"/>
      <c r="NQZ28" s="19"/>
      <c r="NRA28" s="19"/>
      <c r="NRB28" s="19"/>
      <c r="NRC28" s="19"/>
      <c r="NRD28" s="19"/>
      <c r="NRE28" s="19"/>
      <c r="NRF28" s="19"/>
      <c r="NRG28" s="19"/>
      <c r="NRH28" s="19"/>
      <c r="NRI28" s="19"/>
      <c r="NRJ28" s="19"/>
      <c r="NRK28" s="19"/>
      <c r="NRL28" s="19"/>
      <c r="NRM28" s="19"/>
      <c r="NRN28" s="19"/>
      <c r="NRO28" s="19"/>
      <c r="NRP28" s="19"/>
      <c r="NRQ28" s="19"/>
      <c r="NRR28" s="19"/>
      <c r="NRS28" s="19"/>
      <c r="NRT28" s="19"/>
      <c r="NRU28" s="19"/>
      <c r="NRV28" s="19"/>
      <c r="NRW28" s="19"/>
      <c r="NRX28" s="19"/>
      <c r="NRY28" s="19"/>
      <c r="NRZ28" s="19"/>
      <c r="NSA28" s="19"/>
      <c r="NSB28" s="19"/>
      <c r="NSC28" s="19"/>
      <c r="NSD28" s="19"/>
      <c r="NSE28" s="19"/>
      <c r="NSF28" s="19"/>
      <c r="NSG28" s="19"/>
      <c r="NSH28" s="19"/>
      <c r="NSI28" s="19"/>
      <c r="NSJ28" s="19"/>
      <c r="NSK28" s="19"/>
      <c r="NSL28" s="19"/>
      <c r="NSM28" s="19"/>
      <c r="NSN28" s="19"/>
      <c r="NSO28" s="19"/>
      <c r="NSP28" s="19"/>
      <c r="NSQ28" s="19"/>
      <c r="NSR28" s="19"/>
      <c r="NSS28" s="19"/>
      <c r="NST28" s="19"/>
      <c r="NSU28" s="19"/>
      <c r="NSV28" s="19"/>
      <c r="NSW28" s="19"/>
      <c r="NSX28" s="19"/>
      <c r="NSY28" s="19"/>
      <c r="NSZ28" s="19"/>
      <c r="NTA28" s="19"/>
      <c r="NTB28" s="19"/>
      <c r="NTC28" s="19"/>
      <c r="NTD28" s="19"/>
      <c r="NTE28" s="19"/>
      <c r="NTF28" s="19"/>
      <c r="NTG28" s="19"/>
      <c r="NTH28" s="19"/>
      <c r="NTI28" s="19"/>
      <c r="NTJ28" s="19"/>
      <c r="NTK28" s="19"/>
      <c r="NTL28" s="19"/>
      <c r="NTM28" s="19"/>
      <c r="NTN28" s="19"/>
      <c r="NTO28" s="19"/>
      <c r="NTP28" s="19"/>
      <c r="NTQ28" s="19"/>
      <c r="NTR28" s="19"/>
      <c r="NTS28" s="19"/>
      <c r="NTT28" s="19"/>
      <c r="NTU28" s="19"/>
      <c r="NTV28" s="19"/>
      <c r="NTW28" s="19"/>
      <c r="NTX28" s="19"/>
      <c r="NTY28" s="19"/>
      <c r="NTZ28" s="19"/>
      <c r="NUA28" s="19"/>
      <c r="NUB28" s="19"/>
      <c r="NUC28" s="19"/>
      <c r="NUD28" s="19"/>
      <c r="NUE28" s="19"/>
      <c r="NUF28" s="19"/>
      <c r="NUG28" s="19"/>
      <c r="NUH28" s="19"/>
      <c r="NUI28" s="19"/>
      <c r="NUJ28" s="19"/>
      <c r="NUK28" s="19"/>
      <c r="NUL28" s="19"/>
      <c r="NUM28" s="19"/>
      <c r="NUN28" s="19"/>
      <c r="NUO28" s="19"/>
      <c r="NUP28" s="19"/>
      <c r="NUQ28" s="19"/>
      <c r="NUR28" s="19"/>
      <c r="NUS28" s="19"/>
      <c r="NUT28" s="19"/>
      <c r="NUU28" s="19"/>
      <c r="NUV28" s="19"/>
      <c r="NUW28" s="19"/>
      <c r="NUX28" s="19"/>
      <c r="NUY28" s="19"/>
      <c r="NUZ28" s="19"/>
      <c r="NVA28" s="19"/>
      <c r="NVB28" s="19"/>
      <c r="NVC28" s="19"/>
      <c r="NVD28" s="19"/>
      <c r="NVE28" s="19"/>
      <c r="NVF28" s="19"/>
      <c r="NVG28" s="19"/>
      <c r="NVH28" s="19"/>
      <c r="NVI28" s="19"/>
      <c r="NVJ28" s="19"/>
      <c r="NVK28" s="19"/>
      <c r="NVL28" s="19"/>
      <c r="NVM28" s="19"/>
      <c r="NVN28" s="19"/>
      <c r="NVO28" s="19"/>
      <c r="NVP28" s="19"/>
      <c r="NVQ28" s="19"/>
      <c r="NVR28" s="19"/>
      <c r="NVS28" s="19"/>
      <c r="NVT28" s="19"/>
      <c r="NVU28" s="19"/>
      <c r="NVV28" s="19"/>
      <c r="NVW28" s="19"/>
      <c r="NVX28" s="19"/>
      <c r="NVY28" s="19"/>
      <c r="NVZ28" s="19"/>
      <c r="NWA28" s="19"/>
      <c r="NWB28" s="19"/>
      <c r="NWC28" s="19"/>
      <c r="NWD28" s="19"/>
      <c r="NWE28" s="19"/>
      <c r="NWF28" s="19"/>
      <c r="NWG28" s="19"/>
      <c r="NWH28" s="19"/>
      <c r="NWI28" s="19"/>
      <c r="NWJ28" s="19"/>
      <c r="NWK28" s="19"/>
      <c r="NWL28" s="19"/>
      <c r="NWM28" s="19"/>
      <c r="NWN28" s="19"/>
      <c r="NWO28" s="19"/>
      <c r="NWP28" s="19"/>
      <c r="NWQ28" s="19"/>
      <c r="NWR28" s="19"/>
      <c r="NWS28" s="19"/>
      <c r="NWT28" s="19"/>
      <c r="NWU28" s="19"/>
      <c r="NWV28" s="19"/>
      <c r="NWW28" s="19"/>
      <c r="NWX28" s="19"/>
      <c r="NWY28" s="19"/>
      <c r="NWZ28" s="19"/>
      <c r="NXA28" s="19"/>
      <c r="NXB28" s="19"/>
      <c r="NXC28" s="19"/>
      <c r="NXD28" s="19"/>
      <c r="NXE28" s="19"/>
      <c r="NXF28" s="19"/>
      <c r="NXG28" s="19"/>
      <c r="NXH28" s="19"/>
      <c r="NXI28" s="19"/>
      <c r="NXJ28" s="19"/>
      <c r="NXK28" s="19"/>
      <c r="NXL28" s="19"/>
      <c r="NXM28" s="19"/>
      <c r="NXN28" s="19"/>
      <c r="NXO28" s="19"/>
      <c r="NXP28" s="19"/>
      <c r="NXQ28" s="19"/>
      <c r="NXR28" s="19"/>
      <c r="NXS28" s="19"/>
      <c r="NXT28" s="19"/>
      <c r="NXU28" s="19"/>
      <c r="NXV28" s="19"/>
      <c r="NXW28" s="19"/>
      <c r="NXX28" s="19"/>
      <c r="NXY28" s="19"/>
      <c r="NXZ28" s="19"/>
      <c r="NYA28" s="19"/>
      <c r="NYB28" s="19"/>
      <c r="NYC28" s="19"/>
      <c r="NYD28" s="19"/>
      <c r="NYE28" s="19"/>
      <c r="NYF28" s="19"/>
      <c r="NYG28" s="19"/>
      <c r="NYH28" s="19"/>
      <c r="NYI28" s="19"/>
      <c r="NYJ28" s="19"/>
      <c r="NYK28" s="19"/>
      <c r="NYL28" s="19"/>
      <c r="NYM28" s="19"/>
      <c r="NYN28" s="19"/>
      <c r="NYO28" s="19"/>
      <c r="NYP28" s="19"/>
      <c r="NYQ28" s="19"/>
      <c r="NYR28" s="19"/>
      <c r="NYS28" s="19"/>
      <c r="NYT28" s="19"/>
      <c r="NYU28" s="19"/>
      <c r="NYV28" s="19"/>
      <c r="NYW28" s="19"/>
      <c r="NYX28" s="19"/>
      <c r="NYY28" s="19"/>
      <c r="NYZ28" s="19"/>
      <c r="NZA28" s="19"/>
      <c r="NZB28" s="19"/>
      <c r="NZC28" s="19"/>
      <c r="NZD28" s="19"/>
      <c r="NZE28" s="19"/>
      <c r="NZF28" s="19"/>
      <c r="NZG28" s="19"/>
      <c r="NZH28" s="19"/>
      <c r="NZI28" s="19"/>
      <c r="NZJ28" s="19"/>
      <c r="NZK28" s="19"/>
      <c r="NZL28" s="19"/>
      <c r="NZM28" s="19"/>
      <c r="NZN28" s="19"/>
      <c r="NZO28" s="19"/>
      <c r="NZP28" s="19"/>
      <c r="NZQ28" s="19"/>
      <c r="NZR28" s="19"/>
      <c r="NZS28" s="19"/>
      <c r="NZT28" s="19"/>
      <c r="NZU28" s="19"/>
      <c r="NZV28" s="19"/>
      <c r="NZW28" s="19"/>
      <c r="NZX28" s="19"/>
      <c r="NZY28" s="19"/>
      <c r="NZZ28" s="19"/>
      <c r="OAA28" s="19"/>
      <c r="OAB28" s="19"/>
      <c r="OAC28" s="19"/>
      <c r="OAD28" s="19"/>
      <c r="OAE28" s="19"/>
      <c r="OAF28" s="19"/>
      <c r="OAG28" s="19"/>
      <c r="OAH28" s="19"/>
      <c r="OAI28" s="19"/>
      <c r="OAJ28" s="19"/>
      <c r="OAK28" s="19"/>
      <c r="OAL28" s="19"/>
      <c r="OAM28" s="19"/>
      <c r="OAN28" s="19"/>
      <c r="OAO28" s="19"/>
      <c r="OAP28" s="19"/>
      <c r="OAQ28" s="19"/>
      <c r="OAR28" s="19"/>
      <c r="OAS28" s="19"/>
      <c r="OAT28" s="19"/>
      <c r="OAU28" s="19"/>
      <c r="OAV28" s="19"/>
      <c r="OAW28" s="19"/>
      <c r="OAX28" s="19"/>
      <c r="OAY28" s="19"/>
      <c r="OAZ28" s="19"/>
      <c r="OBA28" s="19"/>
      <c r="OBB28" s="19"/>
      <c r="OBC28" s="19"/>
      <c r="OBD28" s="19"/>
      <c r="OBE28" s="19"/>
      <c r="OBF28" s="19"/>
      <c r="OBG28" s="19"/>
      <c r="OBH28" s="19"/>
      <c r="OBI28" s="19"/>
      <c r="OBJ28" s="19"/>
      <c r="OBK28" s="19"/>
      <c r="OBL28" s="19"/>
      <c r="OBM28" s="19"/>
      <c r="OBN28" s="19"/>
      <c r="OBO28" s="19"/>
      <c r="OBP28" s="19"/>
      <c r="OBQ28" s="19"/>
      <c r="OBR28" s="19"/>
      <c r="OBS28" s="19"/>
      <c r="OBT28" s="19"/>
      <c r="OBU28" s="19"/>
      <c r="OBV28" s="19"/>
      <c r="OBW28" s="19"/>
      <c r="OBX28" s="19"/>
      <c r="OBY28" s="19"/>
      <c r="OBZ28" s="19"/>
      <c r="OCA28" s="19"/>
      <c r="OCB28" s="19"/>
      <c r="OCC28" s="19"/>
      <c r="OCD28" s="19"/>
      <c r="OCE28" s="19"/>
      <c r="OCF28" s="19"/>
      <c r="OCG28" s="19"/>
      <c r="OCH28" s="19"/>
      <c r="OCI28" s="19"/>
      <c r="OCJ28" s="19"/>
      <c r="OCK28" s="19"/>
      <c r="OCL28" s="19"/>
      <c r="OCM28" s="19"/>
      <c r="OCN28" s="19"/>
      <c r="OCO28" s="19"/>
      <c r="OCP28" s="19"/>
      <c r="OCQ28" s="19"/>
      <c r="OCR28" s="19"/>
      <c r="OCS28" s="19"/>
      <c r="OCT28" s="19"/>
      <c r="OCU28" s="19"/>
      <c r="OCV28" s="19"/>
      <c r="OCW28" s="19"/>
      <c r="OCX28" s="19"/>
      <c r="OCY28" s="19"/>
      <c r="OCZ28" s="19"/>
      <c r="ODA28" s="19"/>
      <c r="ODB28" s="19"/>
      <c r="ODC28" s="19"/>
      <c r="ODD28" s="19"/>
      <c r="ODE28" s="19"/>
      <c r="ODF28" s="19"/>
      <c r="ODG28" s="19"/>
      <c r="ODH28" s="19"/>
      <c r="ODI28" s="19"/>
      <c r="ODJ28" s="19"/>
      <c r="ODK28" s="19"/>
      <c r="ODL28" s="19"/>
      <c r="ODM28" s="19"/>
      <c r="ODN28" s="19"/>
      <c r="ODO28" s="19"/>
      <c r="ODP28" s="19"/>
      <c r="ODQ28" s="19"/>
      <c r="ODR28" s="19"/>
      <c r="ODS28" s="19"/>
      <c r="ODT28" s="19"/>
      <c r="ODU28" s="19"/>
      <c r="ODV28" s="19"/>
      <c r="ODW28" s="19"/>
      <c r="ODX28" s="19"/>
      <c r="ODY28" s="19"/>
      <c r="ODZ28" s="19"/>
      <c r="OEA28" s="19"/>
      <c r="OEB28" s="19"/>
      <c r="OEC28" s="19"/>
      <c r="OED28" s="19"/>
      <c r="OEE28" s="19"/>
      <c r="OEF28" s="19"/>
      <c r="OEG28" s="19"/>
      <c r="OEH28" s="19"/>
      <c r="OEI28" s="19"/>
      <c r="OEJ28" s="19"/>
      <c r="OEK28" s="19"/>
      <c r="OEL28" s="19"/>
      <c r="OEM28" s="19"/>
      <c r="OEN28" s="19"/>
      <c r="OEO28" s="19"/>
      <c r="OEP28" s="19"/>
      <c r="OEQ28" s="19"/>
      <c r="OER28" s="19"/>
      <c r="OES28" s="19"/>
      <c r="OET28" s="19"/>
      <c r="OEU28" s="19"/>
      <c r="OEV28" s="19"/>
      <c r="OEW28" s="19"/>
      <c r="OEX28" s="19"/>
      <c r="OEY28" s="19"/>
      <c r="OEZ28" s="19"/>
      <c r="OFA28" s="19"/>
      <c r="OFB28" s="19"/>
      <c r="OFC28" s="19"/>
      <c r="OFD28" s="19"/>
      <c r="OFE28" s="19"/>
      <c r="OFF28" s="19"/>
      <c r="OFG28" s="19"/>
      <c r="OFH28" s="19"/>
      <c r="OFI28" s="19"/>
      <c r="OFJ28" s="19"/>
      <c r="OFK28" s="19"/>
      <c r="OFL28" s="19"/>
      <c r="OFM28" s="19"/>
      <c r="OFN28" s="19"/>
      <c r="OFO28" s="19"/>
      <c r="OFP28" s="19"/>
      <c r="OFQ28" s="19"/>
      <c r="OFR28" s="19"/>
      <c r="OFS28" s="19"/>
      <c r="OFT28" s="19"/>
      <c r="OFU28" s="19"/>
      <c r="OFV28" s="19"/>
      <c r="OFW28" s="19"/>
      <c r="OFX28" s="19"/>
      <c r="OFY28" s="19"/>
      <c r="OFZ28" s="19"/>
      <c r="OGA28" s="19"/>
      <c r="OGB28" s="19"/>
      <c r="OGC28" s="19"/>
      <c r="OGD28" s="19"/>
      <c r="OGE28" s="19"/>
      <c r="OGF28" s="19"/>
      <c r="OGG28" s="19"/>
      <c r="OGH28" s="19"/>
      <c r="OGI28" s="19"/>
      <c r="OGJ28" s="19"/>
      <c r="OGK28" s="19"/>
      <c r="OGL28" s="19"/>
      <c r="OGM28" s="19"/>
      <c r="OGN28" s="19"/>
      <c r="OGO28" s="19"/>
      <c r="OGP28" s="19"/>
      <c r="OGQ28" s="19"/>
      <c r="OGR28" s="19"/>
      <c r="OGS28" s="19"/>
      <c r="OGT28" s="19"/>
      <c r="OGU28" s="19"/>
      <c r="OGV28" s="19"/>
      <c r="OGW28" s="19"/>
      <c r="OGX28" s="19"/>
      <c r="OGY28" s="19"/>
      <c r="OGZ28" s="19"/>
      <c r="OHA28" s="19"/>
      <c r="OHB28" s="19"/>
      <c r="OHC28" s="19"/>
      <c r="OHD28" s="19"/>
      <c r="OHE28" s="19"/>
      <c r="OHF28" s="19"/>
      <c r="OHG28" s="19"/>
      <c r="OHH28" s="19"/>
      <c r="OHI28" s="19"/>
      <c r="OHJ28" s="19"/>
      <c r="OHK28" s="19"/>
      <c r="OHL28" s="19"/>
      <c r="OHM28" s="19"/>
      <c r="OHN28" s="19"/>
      <c r="OHO28" s="19"/>
      <c r="OHP28" s="19"/>
      <c r="OHQ28" s="19"/>
      <c r="OHR28" s="19"/>
      <c r="OHS28" s="19"/>
      <c r="OHT28" s="19"/>
      <c r="OHU28" s="19"/>
      <c r="OHV28" s="19"/>
      <c r="OHW28" s="19"/>
      <c r="OHX28" s="19"/>
      <c r="OHY28" s="19"/>
      <c r="OHZ28" s="19"/>
      <c r="OIA28" s="19"/>
      <c r="OIB28" s="19"/>
      <c r="OIC28" s="19"/>
      <c r="OID28" s="19"/>
      <c r="OIE28" s="19"/>
      <c r="OIF28" s="19"/>
      <c r="OIG28" s="19"/>
      <c r="OIH28" s="19"/>
      <c r="OII28" s="19"/>
      <c r="OIJ28" s="19"/>
      <c r="OIK28" s="19"/>
      <c r="OIL28" s="19"/>
      <c r="OIM28" s="19"/>
      <c r="OIN28" s="19"/>
      <c r="OIO28" s="19"/>
      <c r="OIP28" s="19"/>
      <c r="OIQ28" s="19"/>
      <c r="OIR28" s="19"/>
      <c r="OIS28" s="19"/>
      <c r="OIT28" s="19"/>
      <c r="OIU28" s="19"/>
      <c r="OIV28" s="19"/>
      <c r="OIW28" s="19"/>
      <c r="OIX28" s="19"/>
      <c r="OIY28" s="19"/>
      <c r="OIZ28" s="19"/>
      <c r="OJA28" s="19"/>
      <c r="OJB28" s="19"/>
      <c r="OJC28" s="19"/>
      <c r="OJD28" s="19"/>
      <c r="OJE28" s="19"/>
      <c r="OJF28" s="19"/>
      <c r="OJG28" s="19"/>
      <c r="OJH28" s="19"/>
      <c r="OJI28" s="19"/>
      <c r="OJJ28" s="19"/>
      <c r="OJK28" s="19"/>
      <c r="OJL28" s="19"/>
      <c r="OJM28" s="19"/>
      <c r="OJN28" s="19"/>
      <c r="OJO28" s="19"/>
      <c r="OJP28" s="19"/>
      <c r="OJQ28" s="19"/>
      <c r="OJR28" s="19"/>
      <c r="OJS28" s="19"/>
      <c r="OJT28" s="19"/>
      <c r="OJU28" s="19"/>
      <c r="OJV28" s="19"/>
      <c r="OJW28" s="19"/>
      <c r="OJX28" s="19"/>
      <c r="OJY28" s="19"/>
      <c r="OJZ28" s="19"/>
      <c r="OKA28" s="19"/>
      <c r="OKB28" s="19"/>
      <c r="OKC28" s="19"/>
      <c r="OKD28" s="19"/>
      <c r="OKE28" s="19"/>
      <c r="OKF28" s="19"/>
      <c r="OKG28" s="19"/>
      <c r="OKH28" s="19"/>
      <c r="OKI28" s="19"/>
      <c r="OKJ28" s="19"/>
      <c r="OKK28" s="19"/>
      <c r="OKL28" s="19"/>
      <c r="OKM28" s="19"/>
      <c r="OKN28" s="19"/>
      <c r="OKO28" s="19"/>
      <c r="OKP28" s="19"/>
      <c r="OKQ28" s="19"/>
      <c r="OKR28" s="19"/>
      <c r="OKS28" s="19"/>
      <c r="OKT28" s="19"/>
      <c r="OKU28" s="19"/>
      <c r="OKV28" s="19"/>
      <c r="OKW28" s="19"/>
      <c r="OKX28" s="19"/>
      <c r="OKY28" s="19"/>
      <c r="OKZ28" s="19"/>
      <c r="OLA28" s="19"/>
      <c r="OLB28" s="19"/>
      <c r="OLC28" s="19"/>
      <c r="OLD28" s="19"/>
      <c r="OLE28" s="19"/>
      <c r="OLF28" s="19"/>
      <c r="OLG28" s="19"/>
      <c r="OLH28" s="19"/>
      <c r="OLI28" s="19"/>
      <c r="OLJ28" s="19"/>
      <c r="OLK28" s="19"/>
      <c r="OLL28" s="19"/>
      <c r="OLM28" s="19"/>
      <c r="OLN28" s="19"/>
      <c r="OLO28" s="19"/>
      <c r="OLP28" s="19"/>
      <c r="OLQ28" s="19"/>
      <c r="OLR28" s="19"/>
      <c r="OLS28" s="19"/>
      <c r="OLT28" s="19"/>
      <c r="OLU28" s="19"/>
      <c r="OLV28" s="19"/>
      <c r="OLW28" s="19"/>
      <c r="OLX28" s="19"/>
      <c r="OLY28" s="19"/>
      <c r="OLZ28" s="19"/>
      <c r="OMA28" s="19"/>
      <c r="OMB28" s="19"/>
      <c r="OMC28" s="19"/>
      <c r="OMD28" s="19"/>
      <c r="OME28" s="19"/>
      <c r="OMF28" s="19"/>
      <c r="OMG28" s="19"/>
      <c r="OMH28" s="19"/>
      <c r="OMI28" s="19"/>
      <c r="OMJ28" s="19"/>
      <c r="OMK28" s="19"/>
      <c r="OML28" s="19"/>
      <c r="OMM28" s="19"/>
      <c r="OMN28" s="19"/>
      <c r="OMO28" s="19"/>
      <c r="OMP28" s="19"/>
      <c r="OMQ28" s="19"/>
      <c r="OMR28" s="19"/>
      <c r="OMS28" s="19"/>
      <c r="OMT28" s="19"/>
      <c r="OMU28" s="19"/>
      <c r="OMV28" s="19"/>
      <c r="OMW28" s="19"/>
      <c r="OMX28" s="19"/>
      <c r="OMY28" s="19"/>
      <c r="OMZ28" s="19"/>
      <c r="ONA28" s="19"/>
      <c r="ONB28" s="19"/>
      <c r="ONC28" s="19"/>
      <c r="OND28" s="19"/>
      <c r="ONE28" s="19"/>
      <c r="ONF28" s="19"/>
      <c r="ONG28" s="19"/>
      <c r="ONH28" s="19"/>
      <c r="ONI28" s="19"/>
      <c r="ONJ28" s="19"/>
      <c r="ONK28" s="19"/>
      <c r="ONL28" s="19"/>
      <c r="ONM28" s="19"/>
      <c r="ONN28" s="19"/>
      <c r="ONO28" s="19"/>
      <c r="ONP28" s="19"/>
      <c r="ONQ28" s="19"/>
      <c r="ONR28" s="19"/>
      <c r="ONS28" s="19"/>
      <c r="ONT28" s="19"/>
      <c r="ONU28" s="19"/>
      <c r="ONV28" s="19"/>
      <c r="ONW28" s="19"/>
      <c r="ONX28" s="19"/>
      <c r="ONY28" s="19"/>
      <c r="ONZ28" s="19"/>
      <c r="OOA28" s="19"/>
      <c r="OOB28" s="19"/>
      <c r="OOC28" s="19"/>
      <c r="OOD28" s="19"/>
      <c r="OOE28" s="19"/>
      <c r="OOF28" s="19"/>
      <c r="OOG28" s="19"/>
      <c r="OOH28" s="19"/>
      <c r="OOI28" s="19"/>
      <c r="OOJ28" s="19"/>
      <c r="OOK28" s="19"/>
      <c r="OOL28" s="19"/>
      <c r="OOM28" s="19"/>
      <c r="OON28" s="19"/>
      <c r="OOO28" s="19"/>
      <c r="OOP28" s="19"/>
      <c r="OOQ28" s="19"/>
      <c r="OOR28" s="19"/>
      <c r="OOS28" s="19"/>
      <c r="OOT28" s="19"/>
      <c r="OOU28" s="19"/>
      <c r="OOV28" s="19"/>
      <c r="OOW28" s="19"/>
      <c r="OOX28" s="19"/>
      <c r="OOY28" s="19"/>
      <c r="OOZ28" s="19"/>
      <c r="OPA28" s="19"/>
      <c r="OPB28" s="19"/>
      <c r="OPC28" s="19"/>
      <c r="OPD28" s="19"/>
      <c r="OPE28" s="19"/>
      <c r="OPF28" s="19"/>
      <c r="OPG28" s="19"/>
      <c r="OPH28" s="19"/>
      <c r="OPI28" s="19"/>
      <c r="OPJ28" s="19"/>
      <c r="OPK28" s="19"/>
      <c r="OPL28" s="19"/>
      <c r="OPM28" s="19"/>
      <c r="OPN28" s="19"/>
      <c r="OPO28" s="19"/>
      <c r="OPP28" s="19"/>
      <c r="OPQ28" s="19"/>
      <c r="OPR28" s="19"/>
      <c r="OPS28" s="19"/>
      <c r="OPT28" s="19"/>
      <c r="OPU28" s="19"/>
      <c r="OPV28" s="19"/>
      <c r="OPW28" s="19"/>
      <c r="OPX28" s="19"/>
      <c r="OPY28" s="19"/>
      <c r="OPZ28" s="19"/>
      <c r="OQA28" s="19"/>
      <c r="OQB28" s="19"/>
      <c r="OQC28" s="19"/>
      <c r="OQD28" s="19"/>
      <c r="OQE28" s="19"/>
      <c r="OQF28" s="19"/>
      <c r="OQG28" s="19"/>
      <c r="OQH28" s="19"/>
      <c r="OQI28" s="19"/>
      <c r="OQJ28" s="19"/>
      <c r="OQK28" s="19"/>
      <c r="OQL28" s="19"/>
      <c r="OQM28" s="19"/>
      <c r="OQN28" s="19"/>
      <c r="OQO28" s="19"/>
      <c r="OQP28" s="19"/>
      <c r="OQQ28" s="19"/>
      <c r="OQR28" s="19"/>
      <c r="OQS28" s="19"/>
      <c r="OQT28" s="19"/>
      <c r="OQU28" s="19"/>
      <c r="OQV28" s="19"/>
      <c r="OQW28" s="19"/>
      <c r="OQX28" s="19"/>
      <c r="OQY28" s="19"/>
      <c r="OQZ28" s="19"/>
      <c r="ORA28" s="19"/>
      <c r="ORB28" s="19"/>
      <c r="ORC28" s="19"/>
      <c r="ORD28" s="19"/>
      <c r="ORE28" s="19"/>
      <c r="ORF28" s="19"/>
      <c r="ORG28" s="19"/>
      <c r="ORH28" s="19"/>
      <c r="ORI28" s="19"/>
      <c r="ORJ28" s="19"/>
      <c r="ORK28" s="19"/>
      <c r="ORL28" s="19"/>
      <c r="ORM28" s="19"/>
      <c r="ORN28" s="19"/>
      <c r="ORO28" s="19"/>
      <c r="ORP28" s="19"/>
      <c r="ORQ28" s="19"/>
      <c r="ORR28" s="19"/>
      <c r="ORS28" s="19"/>
      <c r="ORT28" s="19"/>
      <c r="ORU28" s="19"/>
      <c r="ORV28" s="19"/>
      <c r="ORW28" s="19"/>
      <c r="ORX28" s="19"/>
      <c r="ORY28" s="19"/>
      <c r="ORZ28" s="19"/>
      <c r="OSA28" s="19"/>
      <c r="OSB28" s="19"/>
      <c r="OSC28" s="19"/>
      <c r="OSD28" s="19"/>
      <c r="OSE28" s="19"/>
      <c r="OSF28" s="19"/>
      <c r="OSG28" s="19"/>
      <c r="OSH28" s="19"/>
      <c r="OSI28" s="19"/>
      <c r="OSJ28" s="19"/>
      <c r="OSK28" s="19"/>
      <c r="OSL28" s="19"/>
      <c r="OSM28" s="19"/>
      <c r="OSN28" s="19"/>
      <c r="OSO28" s="19"/>
      <c r="OSP28" s="19"/>
      <c r="OSQ28" s="19"/>
      <c r="OSR28" s="19"/>
      <c r="OSS28" s="19"/>
      <c r="OST28" s="19"/>
      <c r="OSU28" s="19"/>
      <c r="OSV28" s="19"/>
      <c r="OSW28" s="19"/>
      <c r="OSX28" s="19"/>
      <c r="OSY28" s="19"/>
      <c r="OSZ28" s="19"/>
      <c r="OTA28" s="19"/>
      <c r="OTB28" s="19"/>
      <c r="OTC28" s="19"/>
      <c r="OTD28" s="19"/>
      <c r="OTE28" s="19"/>
      <c r="OTF28" s="19"/>
      <c r="OTG28" s="19"/>
      <c r="OTH28" s="19"/>
      <c r="OTI28" s="19"/>
      <c r="OTJ28" s="19"/>
      <c r="OTK28" s="19"/>
      <c r="OTL28" s="19"/>
      <c r="OTM28" s="19"/>
      <c r="OTN28" s="19"/>
      <c r="OTO28" s="19"/>
      <c r="OTP28" s="19"/>
      <c r="OTQ28" s="19"/>
      <c r="OTR28" s="19"/>
      <c r="OTS28" s="19"/>
      <c r="OTT28" s="19"/>
      <c r="OTU28" s="19"/>
      <c r="OTV28" s="19"/>
      <c r="OTW28" s="19"/>
      <c r="OTX28" s="19"/>
      <c r="OTY28" s="19"/>
      <c r="OTZ28" s="19"/>
      <c r="OUA28" s="19"/>
      <c r="OUB28" s="19"/>
      <c r="OUC28" s="19"/>
      <c r="OUD28" s="19"/>
      <c r="OUE28" s="19"/>
      <c r="OUF28" s="19"/>
      <c r="OUG28" s="19"/>
      <c r="OUH28" s="19"/>
      <c r="OUI28" s="19"/>
      <c r="OUJ28" s="19"/>
      <c r="OUK28" s="19"/>
      <c r="OUL28" s="19"/>
      <c r="OUM28" s="19"/>
      <c r="OUN28" s="19"/>
      <c r="OUO28" s="19"/>
      <c r="OUP28" s="19"/>
      <c r="OUQ28" s="19"/>
      <c r="OUR28" s="19"/>
      <c r="OUS28" s="19"/>
      <c r="OUT28" s="19"/>
      <c r="OUU28" s="19"/>
      <c r="OUV28" s="19"/>
      <c r="OUW28" s="19"/>
      <c r="OUX28" s="19"/>
      <c r="OUY28" s="19"/>
      <c r="OUZ28" s="19"/>
      <c r="OVA28" s="19"/>
      <c r="OVB28" s="19"/>
      <c r="OVC28" s="19"/>
      <c r="OVD28" s="19"/>
      <c r="OVE28" s="19"/>
      <c r="OVF28" s="19"/>
      <c r="OVG28" s="19"/>
      <c r="OVH28" s="19"/>
      <c r="OVI28" s="19"/>
      <c r="OVJ28" s="19"/>
      <c r="OVK28" s="19"/>
      <c r="OVL28" s="19"/>
      <c r="OVM28" s="19"/>
      <c r="OVN28" s="19"/>
      <c r="OVO28" s="19"/>
      <c r="OVP28" s="19"/>
      <c r="OVQ28" s="19"/>
      <c r="OVR28" s="19"/>
      <c r="OVS28" s="19"/>
      <c r="OVT28" s="19"/>
      <c r="OVU28" s="19"/>
      <c r="OVV28" s="19"/>
      <c r="OVW28" s="19"/>
      <c r="OVX28" s="19"/>
      <c r="OVY28" s="19"/>
      <c r="OVZ28" s="19"/>
      <c r="OWA28" s="19"/>
      <c r="OWB28" s="19"/>
      <c r="OWC28" s="19"/>
      <c r="OWD28" s="19"/>
      <c r="OWE28" s="19"/>
      <c r="OWF28" s="19"/>
      <c r="OWG28" s="19"/>
      <c r="OWH28" s="19"/>
      <c r="OWI28" s="19"/>
      <c r="OWJ28" s="19"/>
      <c r="OWK28" s="19"/>
      <c r="OWL28" s="19"/>
      <c r="OWM28" s="19"/>
      <c r="OWN28" s="19"/>
      <c r="OWO28" s="19"/>
      <c r="OWP28" s="19"/>
      <c r="OWQ28" s="19"/>
      <c r="OWR28" s="19"/>
      <c r="OWS28" s="19"/>
      <c r="OWT28" s="19"/>
      <c r="OWU28" s="19"/>
      <c r="OWV28" s="19"/>
      <c r="OWW28" s="19"/>
      <c r="OWX28" s="19"/>
      <c r="OWY28" s="19"/>
      <c r="OWZ28" s="19"/>
      <c r="OXA28" s="19"/>
      <c r="OXB28" s="19"/>
      <c r="OXC28" s="19"/>
      <c r="OXD28" s="19"/>
      <c r="OXE28" s="19"/>
      <c r="OXF28" s="19"/>
      <c r="OXG28" s="19"/>
      <c r="OXH28" s="19"/>
      <c r="OXI28" s="19"/>
      <c r="OXJ28" s="19"/>
      <c r="OXK28" s="19"/>
      <c r="OXL28" s="19"/>
      <c r="OXM28" s="19"/>
      <c r="OXN28" s="19"/>
      <c r="OXO28" s="19"/>
      <c r="OXP28" s="19"/>
      <c r="OXQ28" s="19"/>
      <c r="OXR28" s="19"/>
      <c r="OXS28" s="19"/>
      <c r="OXT28" s="19"/>
      <c r="OXU28" s="19"/>
      <c r="OXV28" s="19"/>
      <c r="OXW28" s="19"/>
      <c r="OXX28" s="19"/>
      <c r="OXY28" s="19"/>
      <c r="OXZ28" s="19"/>
      <c r="OYA28" s="19"/>
      <c r="OYB28" s="19"/>
      <c r="OYC28" s="19"/>
      <c r="OYD28" s="19"/>
      <c r="OYE28" s="19"/>
      <c r="OYF28" s="19"/>
      <c r="OYG28" s="19"/>
      <c r="OYH28" s="19"/>
      <c r="OYI28" s="19"/>
      <c r="OYJ28" s="19"/>
      <c r="OYK28" s="19"/>
      <c r="OYL28" s="19"/>
      <c r="OYM28" s="19"/>
      <c r="OYN28" s="19"/>
      <c r="OYO28" s="19"/>
      <c r="OYP28" s="19"/>
      <c r="OYQ28" s="19"/>
      <c r="OYR28" s="19"/>
      <c r="OYS28" s="19"/>
      <c r="OYT28" s="19"/>
      <c r="OYU28" s="19"/>
      <c r="OYV28" s="19"/>
      <c r="OYW28" s="19"/>
      <c r="OYX28" s="19"/>
      <c r="OYY28" s="19"/>
      <c r="OYZ28" s="19"/>
      <c r="OZA28" s="19"/>
      <c r="OZB28" s="19"/>
      <c r="OZC28" s="19"/>
      <c r="OZD28" s="19"/>
      <c r="OZE28" s="19"/>
      <c r="OZF28" s="19"/>
      <c r="OZG28" s="19"/>
      <c r="OZH28" s="19"/>
      <c r="OZI28" s="19"/>
      <c r="OZJ28" s="19"/>
      <c r="OZK28" s="19"/>
      <c r="OZL28" s="19"/>
      <c r="OZM28" s="19"/>
      <c r="OZN28" s="19"/>
      <c r="OZO28" s="19"/>
      <c r="OZP28" s="19"/>
      <c r="OZQ28" s="19"/>
      <c r="OZR28" s="19"/>
      <c r="OZS28" s="19"/>
      <c r="OZT28" s="19"/>
      <c r="OZU28" s="19"/>
      <c r="OZV28" s="19"/>
      <c r="OZW28" s="19"/>
      <c r="OZX28" s="19"/>
      <c r="OZY28" s="19"/>
      <c r="OZZ28" s="19"/>
      <c r="PAA28" s="19"/>
      <c r="PAB28" s="19"/>
      <c r="PAC28" s="19"/>
      <c r="PAD28" s="19"/>
      <c r="PAE28" s="19"/>
      <c r="PAF28" s="19"/>
      <c r="PAG28" s="19"/>
      <c r="PAH28" s="19"/>
      <c r="PAI28" s="19"/>
      <c r="PAJ28" s="19"/>
      <c r="PAK28" s="19"/>
      <c r="PAL28" s="19"/>
      <c r="PAM28" s="19"/>
      <c r="PAN28" s="19"/>
      <c r="PAO28" s="19"/>
      <c r="PAP28" s="19"/>
      <c r="PAQ28" s="19"/>
      <c r="PAR28" s="19"/>
      <c r="PAS28" s="19"/>
      <c r="PAT28" s="19"/>
      <c r="PAU28" s="19"/>
      <c r="PAV28" s="19"/>
      <c r="PAW28" s="19"/>
      <c r="PAX28" s="19"/>
      <c r="PAY28" s="19"/>
      <c r="PAZ28" s="19"/>
      <c r="PBA28" s="19"/>
      <c r="PBB28" s="19"/>
      <c r="PBC28" s="19"/>
      <c r="PBD28" s="19"/>
      <c r="PBE28" s="19"/>
      <c r="PBF28" s="19"/>
      <c r="PBG28" s="19"/>
      <c r="PBH28" s="19"/>
      <c r="PBI28" s="19"/>
      <c r="PBJ28" s="19"/>
      <c r="PBK28" s="19"/>
      <c r="PBL28" s="19"/>
      <c r="PBM28" s="19"/>
      <c r="PBN28" s="19"/>
      <c r="PBO28" s="19"/>
      <c r="PBP28" s="19"/>
      <c r="PBQ28" s="19"/>
      <c r="PBR28" s="19"/>
      <c r="PBS28" s="19"/>
      <c r="PBT28" s="19"/>
      <c r="PBU28" s="19"/>
      <c r="PBV28" s="19"/>
      <c r="PBW28" s="19"/>
      <c r="PBX28" s="19"/>
      <c r="PBY28" s="19"/>
      <c r="PBZ28" s="19"/>
      <c r="PCA28" s="19"/>
      <c r="PCB28" s="19"/>
      <c r="PCC28" s="19"/>
      <c r="PCD28" s="19"/>
      <c r="PCE28" s="19"/>
      <c r="PCF28" s="19"/>
      <c r="PCG28" s="19"/>
      <c r="PCH28" s="19"/>
      <c r="PCI28" s="19"/>
      <c r="PCJ28" s="19"/>
      <c r="PCK28" s="19"/>
      <c r="PCL28" s="19"/>
      <c r="PCM28" s="19"/>
      <c r="PCN28" s="19"/>
      <c r="PCO28" s="19"/>
      <c r="PCP28" s="19"/>
      <c r="PCQ28" s="19"/>
      <c r="PCR28" s="19"/>
      <c r="PCS28" s="19"/>
      <c r="PCT28" s="19"/>
      <c r="PCU28" s="19"/>
      <c r="PCV28" s="19"/>
      <c r="PCW28" s="19"/>
      <c r="PCX28" s="19"/>
      <c r="PCY28" s="19"/>
      <c r="PCZ28" s="19"/>
      <c r="PDA28" s="19"/>
      <c r="PDB28" s="19"/>
      <c r="PDC28" s="19"/>
      <c r="PDD28" s="19"/>
      <c r="PDE28" s="19"/>
      <c r="PDF28" s="19"/>
      <c r="PDG28" s="19"/>
      <c r="PDH28" s="19"/>
      <c r="PDI28" s="19"/>
      <c r="PDJ28" s="19"/>
      <c r="PDK28" s="19"/>
      <c r="PDL28" s="19"/>
      <c r="PDM28" s="19"/>
      <c r="PDN28" s="19"/>
      <c r="PDO28" s="19"/>
      <c r="PDP28" s="19"/>
      <c r="PDQ28" s="19"/>
      <c r="PDR28" s="19"/>
      <c r="PDS28" s="19"/>
      <c r="PDT28" s="19"/>
      <c r="PDU28" s="19"/>
      <c r="PDV28" s="19"/>
      <c r="PDW28" s="19"/>
      <c r="PDX28" s="19"/>
      <c r="PDY28" s="19"/>
      <c r="PDZ28" s="19"/>
      <c r="PEA28" s="19"/>
      <c r="PEB28" s="19"/>
      <c r="PEC28" s="19"/>
      <c r="PED28" s="19"/>
      <c r="PEE28" s="19"/>
      <c r="PEF28" s="19"/>
      <c r="PEG28" s="19"/>
      <c r="PEH28" s="19"/>
      <c r="PEI28" s="19"/>
      <c r="PEJ28" s="19"/>
      <c r="PEK28" s="19"/>
      <c r="PEL28" s="19"/>
      <c r="PEM28" s="19"/>
      <c r="PEN28" s="19"/>
      <c r="PEO28" s="19"/>
      <c r="PEP28" s="19"/>
      <c r="PEQ28" s="19"/>
      <c r="PER28" s="19"/>
      <c r="PES28" s="19"/>
      <c r="PET28" s="19"/>
      <c r="PEU28" s="19"/>
      <c r="PEV28" s="19"/>
      <c r="PEW28" s="19"/>
      <c r="PEX28" s="19"/>
      <c r="PEY28" s="19"/>
      <c r="PEZ28" s="19"/>
      <c r="PFA28" s="19"/>
      <c r="PFB28" s="19"/>
      <c r="PFC28" s="19"/>
      <c r="PFD28" s="19"/>
      <c r="PFE28" s="19"/>
      <c r="PFF28" s="19"/>
      <c r="PFG28" s="19"/>
      <c r="PFH28" s="19"/>
      <c r="PFI28" s="19"/>
      <c r="PFJ28" s="19"/>
      <c r="PFK28" s="19"/>
      <c r="PFL28" s="19"/>
      <c r="PFM28" s="19"/>
      <c r="PFN28" s="19"/>
      <c r="PFO28" s="19"/>
      <c r="PFP28" s="19"/>
      <c r="PFQ28" s="19"/>
      <c r="PFR28" s="19"/>
      <c r="PFS28" s="19"/>
      <c r="PFT28" s="19"/>
      <c r="PFU28" s="19"/>
      <c r="PFV28" s="19"/>
      <c r="PFW28" s="19"/>
      <c r="PFX28" s="19"/>
      <c r="PFY28" s="19"/>
      <c r="PFZ28" s="19"/>
      <c r="PGA28" s="19"/>
      <c r="PGB28" s="19"/>
      <c r="PGC28" s="19"/>
      <c r="PGD28" s="19"/>
      <c r="PGE28" s="19"/>
      <c r="PGF28" s="19"/>
      <c r="PGG28" s="19"/>
      <c r="PGH28" s="19"/>
      <c r="PGI28" s="19"/>
      <c r="PGJ28" s="19"/>
      <c r="PGK28" s="19"/>
      <c r="PGL28" s="19"/>
      <c r="PGM28" s="19"/>
      <c r="PGN28" s="19"/>
      <c r="PGO28" s="19"/>
      <c r="PGP28" s="19"/>
      <c r="PGQ28" s="19"/>
      <c r="PGR28" s="19"/>
      <c r="PGS28" s="19"/>
      <c r="PGT28" s="19"/>
      <c r="PGU28" s="19"/>
      <c r="PGV28" s="19"/>
      <c r="PGW28" s="19"/>
      <c r="PGX28" s="19"/>
      <c r="PGY28" s="19"/>
      <c r="PGZ28" s="19"/>
      <c r="PHA28" s="19"/>
      <c r="PHB28" s="19"/>
      <c r="PHC28" s="19"/>
      <c r="PHD28" s="19"/>
      <c r="PHE28" s="19"/>
      <c r="PHF28" s="19"/>
      <c r="PHG28" s="19"/>
      <c r="PHH28" s="19"/>
      <c r="PHI28" s="19"/>
      <c r="PHJ28" s="19"/>
      <c r="PHK28" s="19"/>
      <c r="PHL28" s="19"/>
      <c r="PHM28" s="19"/>
      <c r="PHN28" s="19"/>
      <c r="PHO28" s="19"/>
      <c r="PHP28" s="19"/>
      <c r="PHQ28" s="19"/>
      <c r="PHR28" s="19"/>
      <c r="PHS28" s="19"/>
      <c r="PHT28" s="19"/>
      <c r="PHU28" s="19"/>
      <c r="PHV28" s="19"/>
      <c r="PHW28" s="19"/>
      <c r="PHX28" s="19"/>
      <c r="PHY28" s="19"/>
      <c r="PHZ28" s="19"/>
      <c r="PIA28" s="19"/>
      <c r="PIB28" s="19"/>
      <c r="PIC28" s="19"/>
      <c r="PID28" s="19"/>
      <c r="PIE28" s="19"/>
      <c r="PIF28" s="19"/>
      <c r="PIG28" s="19"/>
      <c r="PIH28" s="19"/>
      <c r="PII28" s="19"/>
      <c r="PIJ28" s="19"/>
      <c r="PIK28" s="19"/>
      <c r="PIL28" s="19"/>
      <c r="PIM28" s="19"/>
      <c r="PIN28" s="19"/>
      <c r="PIO28" s="19"/>
      <c r="PIP28" s="19"/>
      <c r="PIQ28" s="19"/>
      <c r="PIR28" s="19"/>
      <c r="PIS28" s="19"/>
      <c r="PIT28" s="19"/>
      <c r="PIU28" s="19"/>
      <c r="PIV28" s="19"/>
      <c r="PIW28" s="19"/>
      <c r="PIX28" s="19"/>
      <c r="PIY28" s="19"/>
      <c r="PIZ28" s="19"/>
      <c r="PJA28" s="19"/>
      <c r="PJB28" s="19"/>
      <c r="PJC28" s="19"/>
      <c r="PJD28" s="19"/>
      <c r="PJE28" s="19"/>
      <c r="PJF28" s="19"/>
      <c r="PJG28" s="19"/>
      <c r="PJH28" s="19"/>
      <c r="PJI28" s="19"/>
      <c r="PJJ28" s="19"/>
      <c r="PJK28" s="19"/>
      <c r="PJL28" s="19"/>
      <c r="PJM28" s="19"/>
      <c r="PJN28" s="19"/>
      <c r="PJO28" s="19"/>
      <c r="PJP28" s="19"/>
      <c r="PJQ28" s="19"/>
      <c r="PJR28" s="19"/>
      <c r="PJS28" s="19"/>
      <c r="PJT28" s="19"/>
      <c r="PJU28" s="19"/>
      <c r="PJV28" s="19"/>
      <c r="PJW28" s="19"/>
      <c r="PJX28" s="19"/>
      <c r="PJY28" s="19"/>
      <c r="PJZ28" s="19"/>
      <c r="PKA28" s="19"/>
      <c r="PKB28" s="19"/>
      <c r="PKC28" s="19"/>
      <c r="PKD28" s="19"/>
      <c r="PKE28" s="19"/>
      <c r="PKF28" s="19"/>
      <c r="PKG28" s="19"/>
      <c r="PKH28" s="19"/>
      <c r="PKI28" s="19"/>
      <c r="PKJ28" s="19"/>
      <c r="PKK28" s="19"/>
      <c r="PKL28" s="19"/>
      <c r="PKM28" s="19"/>
      <c r="PKN28" s="19"/>
      <c r="PKO28" s="19"/>
      <c r="PKP28" s="19"/>
      <c r="PKQ28" s="19"/>
      <c r="PKR28" s="19"/>
      <c r="PKS28" s="19"/>
      <c r="PKT28" s="19"/>
      <c r="PKU28" s="19"/>
      <c r="PKV28" s="19"/>
      <c r="PKW28" s="19"/>
      <c r="PKX28" s="19"/>
      <c r="PKY28" s="19"/>
      <c r="PKZ28" s="19"/>
      <c r="PLA28" s="19"/>
      <c r="PLB28" s="19"/>
      <c r="PLC28" s="19"/>
      <c r="PLD28" s="19"/>
      <c r="PLE28" s="19"/>
      <c r="PLF28" s="19"/>
      <c r="PLG28" s="19"/>
      <c r="PLH28" s="19"/>
      <c r="PLI28" s="19"/>
      <c r="PLJ28" s="19"/>
      <c r="PLK28" s="19"/>
      <c r="PLL28" s="19"/>
      <c r="PLM28" s="19"/>
      <c r="PLN28" s="19"/>
      <c r="PLO28" s="19"/>
      <c r="PLP28" s="19"/>
      <c r="PLQ28" s="19"/>
      <c r="PLR28" s="19"/>
      <c r="PLS28" s="19"/>
      <c r="PLT28" s="19"/>
      <c r="PLU28" s="19"/>
      <c r="PLV28" s="19"/>
      <c r="PLW28" s="19"/>
      <c r="PLX28" s="19"/>
      <c r="PLY28" s="19"/>
      <c r="PLZ28" s="19"/>
      <c r="PMA28" s="19"/>
      <c r="PMB28" s="19"/>
      <c r="PMC28" s="19"/>
      <c r="PMD28" s="19"/>
      <c r="PME28" s="19"/>
      <c r="PMF28" s="19"/>
      <c r="PMG28" s="19"/>
      <c r="PMH28" s="19"/>
      <c r="PMI28" s="19"/>
      <c r="PMJ28" s="19"/>
      <c r="PMK28" s="19"/>
      <c r="PML28" s="19"/>
      <c r="PMM28" s="19"/>
      <c r="PMN28" s="19"/>
      <c r="PMO28" s="19"/>
      <c r="PMP28" s="19"/>
      <c r="PMQ28" s="19"/>
      <c r="PMR28" s="19"/>
      <c r="PMS28" s="19"/>
      <c r="PMT28" s="19"/>
      <c r="PMU28" s="19"/>
      <c r="PMV28" s="19"/>
      <c r="PMW28" s="19"/>
      <c r="PMX28" s="19"/>
      <c r="PMY28" s="19"/>
      <c r="PMZ28" s="19"/>
      <c r="PNA28" s="19"/>
      <c r="PNB28" s="19"/>
      <c r="PNC28" s="19"/>
      <c r="PND28" s="19"/>
      <c r="PNE28" s="19"/>
      <c r="PNF28" s="19"/>
      <c r="PNG28" s="19"/>
      <c r="PNH28" s="19"/>
      <c r="PNI28" s="19"/>
      <c r="PNJ28" s="19"/>
      <c r="PNK28" s="19"/>
      <c r="PNL28" s="19"/>
      <c r="PNM28" s="19"/>
      <c r="PNN28" s="19"/>
      <c r="PNO28" s="19"/>
      <c r="PNP28" s="19"/>
      <c r="PNQ28" s="19"/>
      <c r="PNR28" s="19"/>
      <c r="PNS28" s="19"/>
      <c r="PNT28" s="19"/>
      <c r="PNU28" s="19"/>
      <c r="PNV28" s="19"/>
      <c r="PNW28" s="19"/>
      <c r="PNX28" s="19"/>
      <c r="PNY28" s="19"/>
      <c r="PNZ28" s="19"/>
      <c r="POA28" s="19"/>
      <c r="POB28" s="19"/>
      <c r="POC28" s="19"/>
      <c r="POD28" s="19"/>
      <c r="POE28" s="19"/>
      <c r="POF28" s="19"/>
      <c r="POG28" s="19"/>
      <c r="POH28" s="19"/>
      <c r="POI28" s="19"/>
      <c r="POJ28" s="19"/>
      <c r="POK28" s="19"/>
      <c r="POL28" s="19"/>
      <c r="POM28" s="19"/>
      <c r="PON28" s="19"/>
      <c r="POO28" s="19"/>
      <c r="POP28" s="19"/>
      <c r="POQ28" s="19"/>
      <c r="POR28" s="19"/>
      <c r="POS28" s="19"/>
      <c r="POT28" s="19"/>
      <c r="POU28" s="19"/>
      <c r="POV28" s="19"/>
      <c r="POW28" s="19"/>
      <c r="POX28" s="19"/>
      <c r="POY28" s="19"/>
      <c r="POZ28" s="19"/>
      <c r="PPA28" s="19"/>
      <c r="PPB28" s="19"/>
      <c r="PPC28" s="19"/>
      <c r="PPD28" s="19"/>
      <c r="PPE28" s="19"/>
      <c r="PPF28" s="19"/>
      <c r="PPG28" s="19"/>
      <c r="PPH28" s="19"/>
      <c r="PPI28" s="19"/>
      <c r="PPJ28" s="19"/>
      <c r="PPK28" s="19"/>
      <c r="PPL28" s="19"/>
      <c r="PPM28" s="19"/>
      <c r="PPN28" s="19"/>
      <c r="PPO28" s="19"/>
      <c r="PPP28" s="19"/>
      <c r="PPQ28" s="19"/>
      <c r="PPR28" s="19"/>
      <c r="PPS28" s="19"/>
      <c r="PPT28" s="19"/>
      <c r="PPU28" s="19"/>
      <c r="PPV28" s="19"/>
      <c r="PPW28" s="19"/>
      <c r="PPX28" s="19"/>
      <c r="PPY28" s="19"/>
      <c r="PPZ28" s="19"/>
      <c r="PQA28" s="19"/>
      <c r="PQB28" s="19"/>
      <c r="PQC28" s="19"/>
      <c r="PQD28" s="19"/>
      <c r="PQE28" s="19"/>
      <c r="PQF28" s="19"/>
      <c r="PQG28" s="19"/>
      <c r="PQH28" s="19"/>
      <c r="PQI28" s="19"/>
      <c r="PQJ28" s="19"/>
      <c r="PQK28" s="19"/>
      <c r="PQL28" s="19"/>
      <c r="PQM28" s="19"/>
      <c r="PQN28" s="19"/>
      <c r="PQO28" s="19"/>
      <c r="PQP28" s="19"/>
      <c r="PQQ28" s="19"/>
      <c r="PQR28" s="19"/>
      <c r="PQS28" s="19"/>
      <c r="PQT28" s="19"/>
      <c r="PQU28" s="19"/>
      <c r="PQV28" s="19"/>
      <c r="PQW28" s="19"/>
      <c r="PQX28" s="19"/>
      <c r="PQY28" s="19"/>
      <c r="PQZ28" s="19"/>
      <c r="PRA28" s="19"/>
      <c r="PRB28" s="19"/>
      <c r="PRC28" s="19"/>
      <c r="PRD28" s="19"/>
      <c r="PRE28" s="19"/>
      <c r="PRF28" s="19"/>
      <c r="PRG28" s="19"/>
      <c r="PRH28" s="19"/>
      <c r="PRI28" s="19"/>
      <c r="PRJ28" s="19"/>
      <c r="PRK28" s="19"/>
      <c r="PRL28" s="19"/>
      <c r="PRM28" s="19"/>
      <c r="PRN28" s="19"/>
      <c r="PRO28" s="19"/>
      <c r="PRP28" s="19"/>
      <c r="PRQ28" s="19"/>
      <c r="PRR28" s="19"/>
      <c r="PRS28" s="19"/>
      <c r="PRT28" s="19"/>
      <c r="PRU28" s="19"/>
      <c r="PRV28" s="19"/>
      <c r="PRW28" s="19"/>
      <c r="PRX28" s="19"/>
      <c r="PRY28" s="19"/>
      <c r="PRZ28" s="19"/>
      <c r="PSA28" s="19"/>
      <c r="PSB28" s="19"/>
      <c r="PSC28" s="19"/>
      <c r="PSD28" s="19"/>
      <c r="PSE28" s="19"/>
      <c r="PSF28" s="19"/>
      <c r="PSG28" s="19"/>
      <c r="PSH28" s="19"/>
      <c r="PSI28" s="19"/>
      <c r="PSJ28" s="19"/>
      <c r="PSK28" s="19"/>
      <c r="PSL28" s="19"/>
      <c r="PSM28" s="19"/>
      <c r="PSN28" s="19"/>
      <c r="PSO28" s="19"/>
      <c r="PSP28" s="19"/>
      <c r="PSQ28" s="19"/>
      <c r="PSR28" s="19"/>
      <c r="PSS28" s="19"/>
      <c r="PST28" s="19"/>
      <c r="PSU28" s="19"/>
      <c r="PSV28" s="19"/>
      <c r="PSW28" s="19"/>
      <c r="PSX28" s="19"/>
      <c r="PSY28" s="19"/>
      <c r="PSZ28" s="19"/>
      <c r="PTA28" s="19"/>
      <c r="PTB28" s="19"/>
      <c r="PTC28" s="19"/>
      <c r="PTD28" s="19"/>
      <c r="PTE28" s="19"/>
      <c r="PTF28" s="19"/>
      <c r="PTG28" s="19"/>
      <c r="PTH28" s="19"/>
      <c r="PTI28" s="19"/>
      <c r="PTJ28" s="19"/>
      <c r="PTK28" s="19"/>
      <c r="PTL28" s="19"/>
      <c r="PTM28" s="19"/>
      <c r="PTN28" s="19"/>
      <c r="PTO28" s="19"/>
      <c r="PTP28" s="19"/>
      <c r="PTQ28" s="19"/>
      <c r="PTR28" s="19"/>
      <c r="PTS28" s="19"/>
      <c r="PTT28" s="19"/>
      <c r="PTU28" s="19"/>
      <c r="PTV28" s="19"/>
      <c r="PTW28" s="19"/>
      <c r="PTX28" s="19"/>
      <c r="PTY28" s="19"/>
      <c r="PTZ28" s="19"/>
      <c r="PUA28" s="19"/>
      <c r="PUB28" s="19"/>
      <c r="PUC28" s="19"/>
      <c r="PUD28" s="19"/>
      <c r="PUE28" s="19"/>
      <c r="PUF28" s="19"/>
      <c r="PUG28" s="19"/>
      <c r="PUH28" s="19"/>
      <c r="PUI28" s="19"/>
      <c r="PUJ28" s="19"/>
      <c r="PUK28" s="19"/>
      <c r="PUL28" s="19"/>
      <c r="PUM28" s="19"/>
      <c r="PUN28" s="19"/>
      <c r="PUO28" s="19"/>
      <c r="PUP28" s="19"/>
      <c r="PUQ28" s="19"/>
      <c r="PUR28" s="19"/>
      <c r="PUS28" s="19"/>
      <c r="PUT28" s="19"/>
      <c r="PUU28" s="19"/>
      <c r="PUV28" s="19"/>
      <c r="PUW28" s="19"/>
      <c r="PUX28" s="19"/>
      <c r="PUY28" s="19"/>
      <c r="PUZ28" s="19"/>
      <c r="PVA28" s="19"/>
      <c r="PVB28" s="19"/>
      <c r="PVC28" s="19"/>
      <c r="PVD28" s="19"/>
      <c r="PVE28" s="19"/>
      <c r="PVF28" s="19"/>
      <c r="PVG28" s="19"/>
      <c r="PVH28" s="19"/>
      <c r="PVI28" s="19"/>
      <c r="PVJ28" s="19"/>
      <c r="PVK28" s="19"/>
      <c r="PVL28" s="19"/>
      <c r="PVM28" s="19"/>
      <c r="PVN28" s="19"/>
      <c r="PVO28" s="19"/>
      <c r="PVP28" s="19"/>
      <c r="PVQ28" s="19"/>
      <c r="PVR28" s="19"/>
      <c r="PVS28" s="19"/>
      <c r="PVT28" s="19"/>
      <c r="PVU28" s="19"/>
      <c r="PVV28" s="19"/>
      <c r="PVW28" s="19"/>
      <c r="PVX28" s="19"/>
      <c r="PVY28" s="19"/>
      <c r="PVZ28" s="19"/>
      <c r="PWA28" s="19"/>
      <c r="PWB28" s="19"/>
      <c r="PWC28" s="19"/>
      <c r="PWD28" s="19"/>
      <c r="PWE28" s="19"/>
      <c r="PWF28" s="19"/>
      <c r="PWG28" s="19"/>
      <c r="PWH28" s="19"/>
      <c r="PWI28" s="19"/>
      <c r="PWJ28" s="19"/>
      <c r="PWK28" s="19"/>
      <c r="PWL28" s="19"/>
      <c r="PWM28" s="19"/>
      <c r="PWN28" s="19"/>
      <c r="PWO28" s="19"/>
      <c r="PWP28" s="19"/>
      <c r="PWQ28" s="19"/>
      <c r="PWR28" s="19"/>
      <c r="PWS28" s="19"/>
      <c r="PWT28" s="19"/>
      <c r="PWU28" s="19"/>
      <c r="PWV28" s="19"/>
      <c r="PWW28" s="19"/>
      <c r="PWX28" s="19"/>
      <c r="PWY28" s="19"/>
      <c r="PWZ28" s="19"/>
      <c r="PXA28" s="19"/>
      <c r="PXB28" s="19"/>
      <c r="PXC28" s="19"/>
      <c r="PXD28" s="19"/>
      <c r="PXE28" s="19"/>
      <c r="PXF28" s="19"/>
      <c r="PXG28" s="19"/>
      <c r="PXH28" s="19"/>
      <c r="PXI28" s="19"/>
      <c r="PXJ28" s="19"/>
      <c r="PXK28" s="19"/>
      <c r="PXL28" s="19"/>
      <c r="PXM28" s="19"/>
      <c r="PXN28" s="19"/>
      <c r="PXO28" s="19"/>
      <c r="PXP28" s="19"/>
      <c r="PXQ28" s="19"/>
      <c r="PXR28" s="19"/>
      <c r="PXS28" s="19"/>
      <c r="PXT28" s="19"/>
      <c r="PXU28" s="19"/>
      <c r="PXV28" s="19"/>
      <c r="PXW28" s="19"/>
      <c r="PXX28" s="19"/>
      <c r="PXY28" s="19"/>
      <c r="PXZ28" s="19"/>
      <c r="PYA28" s="19"/>
      <c r="PYB28" s="19"/>
      <c r="PYC28" s="19"/>
      <c r="PYD28" s="19"/>
      <c r="PYE28" s="19"/>
      <c r="PYF28" s="19"/>
      <c r="PYG28" s="19"/>
      <c r="PYH28" s="19"/>
      <c r="PYI28" s="19"/>
      <c r="PYJ28" s="19"/>
      <c r="PYK28" s="19"/>
      <c r="PYL28" s="19"/>
      <c r="PYM28" s="19"/>
      <c r="PYN28" s="19"/>
      <c r="PYO28" s="19"/>
      <c r="PYP28" s="19"/>
      <c r="PYQ28" s="19"/>
      <c r="PYR28" s="19"/>
      <c r="PYS28" s="19"/>
      <c r="PYT28" s="19"/>
      <c r="PYU28" s="19"/>
      <c r="PYV28" s="19"/>
      <c r="PYW28" s="19"/>
      <c r="PYX28" s="19"/>
      <c r="PYY28" s="19"/>
      <c r="PYZ28" s="19"/>
      <c r="PZA28" s="19"/>
      <c r="PZB28" s="19"/>
      <c r="PZC28" s="19"/>
      <c r="PZD28" s="19"/>
      <c r="PZE28" s="19"/>
      <c r="PZF28" s="19"/>
      <c r="PZG28" s="19"/>
      <c r="PZH28" s="19"/>
      <c r="PZI28" s="19"/>
      <c r="PZJ28" s="19"/>
      <c r="PZK28" s="19"/>
      <c r="PZL28" s="19"/>
      <c r="PZM28" s="19"/>
      <c r="PZN28" s="19"/>
      <c r="PZO28" s="19"/>
      <c r="PZP28" s="19"/>
      <c r="PZQ28" s="19"/>
      <c r="PZR28" s="19"/>
      <c r="PZS28" s="19"/>
      <c r="PZT28" s="19"/>
      <c r="PZU28" s="19"/>
      <c r="PZV28" s="19"/>
      <c r="PZW28" s="19"/>
      <c r="PZX28" s="19"/>
      <c r="PZY28" s="19"/>
      <c r="PZZ28" s="19"/>
      <c r="QAA28" s="19"/>
      <c r="QAB28" s="19"/>
      <c r="QAC28" s="19"/>
      <c r="QAD28" s="19"/>
      <c r="QAE28" s="19"/>
      <c r="QAF28" s="19"/>
      <c r="QAG28" s="19"/>
      <c r="QAH28" s="19"/>
      <c r="QAI28" s="19"/>
      <c r="QAJ28" s="19"/>
      <c r="QAK28" s="19"/>
      <c r="QAL28" s="19"/>
      <c r="QAM28" s="19"/>
      <c r="QAN28" s="19"/>
      <c r="QAO28" s="19"/>
      <c r="QAP28" s="19"/>
      <c r="QAQ28" s="19"/>
      <c r="QAR28" s="19"/>
      <c r="QAS28" s="19"/>
      <c r="QAT28" s="19"/>
      <c r="QAU28" s="19"/>
      <c r="QAV28" s="19"/>
      <c r="QAW28" s="19"/>
      <c r="QAX28" s="19"/>
      <c r="QAY28" s="19"/>
      <c r="QAZ28" s="19"/>
      <c r="QBA28" s="19"/>
      <c r="QBB28" s="19"/>
      <c r="QBC28" s="19"/>
      <c r="QBD28" s="19"/>
      <c r="QBE28" s="19"/>
      <c r="QBF28" s="19"/>
      <c r="QBG28" s="19"/>
      <c r="QBH28" s="19"/>
      <c r="QBI28" s="19"/>
      <c r="QBJ28" s="19"/>
      <c r="QBK28" s="19"/>
      <c r="QBL28" s="19"/>
      <c r="QBM28" s="19"/>
      <c r="QBN28" s="19"/>
      <c r="QBO28" s="19"/>
      <c r="QBP28" s="19"/>
      <c r="QBQ28" s="19"/>
      <c r="QBR28" s="19"/>
      <c r="QBS28" s="19"/>
      <c r="QBT28" s="19"/>
      <c r="QBU28" s="19"/>
      <c r="QBV28" s="19"/>
      <c r="QBW28" s="19"/>
      <c r="QBX28" s="19"/>
      <c r="QBY28" s="19"/>
      <c r="QBZ28" s="19"/>
      <c r="QCA28" s="19"/>
      <c r="QCB28" s="19"/>
      <c r="QCC28" s="19"/>
      <c r="QCD28" s="19"/>
      <c r="QCE28" s="19"/>
      <c r="QCF28" s="19"/>
      <c r="QCG28" s="19"/>
      <c r="QCH28" s="19"/>
      <c r="QCI28" s="19"/>
      <c r="QCJ28" s="19"/>
      <c r="QCK28" s="19"/>
      <c r="QCL28" s="19"/>
      <c r="QCM28" s="19"/>
      <c r="QCN28" s="19"/>
      <c r="QCO28" s="19"/>
      <c r="QCP28" s="19"/>
      <c r="QCQ28" s="19"/>
      <c r="QCR28" s="19"/>
      <c r="QCS28" s="19"/>
      <c r="QCT28" s="19"/>
      <c r="QCU28" s="19"/>
      <c r="QCV28" s="19"/>
      <c r="QCW28" s="19"/>
      <c r="QCX28" s="19"/>
      <c r="QCY28" s="19"/>
      <c r="QCZ28" s="19"/>
      <c r="QDA28" s="19"/>
      <c r="QDB28" s="19"/>
      <c r="QDC28" s="19"/>
      <c r="QDD28" s="19"/>
      <c r="QDE28" s="19"/>
      <c r="QDF28" s="19"/>
      <c r="QDG28" s="19"/>
      <c r="QDH28" s="19"/>
      <c r="QDI28" s="19"/>
      <c r="QDJ28" s="19"/>
      <c r="QDK28" s="19"/>
      <c r="QDL28" s="19"/>
      <c r="QDM28" s="19"/>
      <c r="QDN28" s="19"/>
      <c r="QDO28" s="19"/>
      <c r="QDP28" s="19"/>
      <c r="QDQ28" s="19"/>
      <c r="QDR28" s="19"/>
      <c r="QDS28" s="19"/>
      <c r="QDT28" s="19"/>
      <c r="QDU28" s="19"/>
      <c r="QDV28" s="19"/>
      <c r="QDW28" s="19"/>
      <c r="QDX28" s="19"/>
      <c r="QDY28" s="19"/>
      <c r="QDZ28" s="19"/>
      <c r="QEA28" s="19"/>
      <c r="QEB28" s="19"/>
      <c r="QEC28" s="19"/>
      <c r="QED28" s="19"/>
      <c r="QEE28" s="19"/>
      <c r="QEF28" s="19"/>
      <c r="QEG28" s="19"/>
      <c r="QEH28" s="19"/>
      <c r="QEI28" s="19"/>
      <c r="QEJ28" s="19"/>
      <c r="QEK28" s="19"/>
      <c r="QEL28" s="19"/>
      <c r="QEM28" s="19"/>
      <c r="QEN28" s="19"/>
      <c r="QEO28" s="19"/>
      <c r="QEP28" s="19"/>
      <c r="QEQ28" s="19"/>
      <c r="QER28" s="19"/>
      <c r="QES28" s="19"/>
      <c r="QET28" s="19"/>
      <c r="QEU28" s="19"/>
      <c r="QEV28" s="19"/>
      <c r="QEW28" s="19"/>
      <c r="QEX28" s="19"/>
      <c r="QEY28" s="19"/>
      <c r="QEZ28" s="19"/>
      <c r="QFA28" s="19"/>
      <c r="QFB28" s="19"/>
      <c r="QFC28" s="19"/>
      <c r="QFD28" s="19"/>
      <c r="QFE28" s="19"/>
      <c r="QFF28" s="19"/>
      <c r="QFG28" s="19"/>
      <c r="QFH28" s="19"/>
      <c r="QFI28" s="19"/>
      <c r="QFJ28" s="19"/>
      <c r="QFK28" s="19"/>
      <c r="QFL28" s="19"/>
      <c r="QFM28" s="19"/>
      <c r="QFN28" s="19"/>
      <c r="QFO28" s="19"/>
      <c r="QFP28" s="19"/>
      <c r="QFQ28" s="19"/>
      <c r="QFR28" s="19"/>
      <c r="QFS28" s="19"/>
      <c r="QFT28" s="19"/>
      <c r="QFU28" s="19"/>
      <c r="QFV28" s="19"/>
      <c r="QFW28" s="19"/>
      <c r="QFX28" s="19"/>
      <c r="QFY28" s="19"/>
      <c r="QFZ28" s="19"/>
      <c r="QGA28" s="19"/>
      <c r="QGB28" s="19"/>
      <c r="QGC28" s="19"/>
      <c r="QGD28" s="19"/>
      <c r="QGE28" s="19"/>
      <c r="QGF28" s="19"/>
      <c r="QGG28" s="19"/>
      <c r="QGH28" s="19"/>
      <c r="QGI28" s="19"/>
      <c r="QGJ28" s="19"/>
      <c r="QGK28" s="19"/>
      <c r="QGL28" s="19"/>
      <c r="QGM28" s="19"/>
      <c r="QGN28" s="19"/>
      <c r="QGO28" s="19"/>
      <c r="QGP28" s="19"/>
      <c r="QGQ28" s="19"/>
      <c r="QGR28" s="19"/>
      <c r="QGS28" s="19"/>
      <c r="QGT28" s="19"/>
      <c r="QGU28" s="19"/>
      <c r="QGV28" s="19"/>
      <c r="QGW28" s="19"/>
      <c r="QGX28" s="19"/>
      <c r="QGY28" s="19"/>
      <c r="QGZ28" s="19"/>
      <c r="QHA28" s="19"/>
      <c r="QHB28" s="19"/>
      <c r="QHC28" s="19"/>
      <c r="QHD28" s="19"/>
      <c r="QHE28" s="19"/>
      <c r="QHF28" s="19"/>
      <c r="QHG28" s="19"/>
      <c r="QHH28" s="19"/>
      <c r="QHI28" s="19"/>
      <c r="QHJ28" s="19"/>
      <c r="QHK28" s="19"/>
      <c r="QHL28" s="19"/>
      <c r="QHM28" s="19"/>
      <c r="QHN28" s="19"/>
      <c r="QHO28" s="19"/>
      <c r="QHP28" s="19"/>
      <c r="QHQ28" s="19"/>
      <c r="QHR28" s="19"/>
      <c r="QHS28" s="19"/>
      <c r="QHT28" s="19"/>
      <c r="QHU28" s="19"/>
      <c r="QHV28" s="19"/>
      <c r="QHW28" s="19"/>
      <c r="QHX28" s="19"/>
      <c r="QHY28" s="19"/>
      <c r="QHZ28" s="19"/>
      <c r="QIA28" s="19"/>
      <c r="QIB28" s="19"/>
      <c r="QIC28" s="19"/>
      <c r="QID28" s="19"/>
      <c r="QIE28" s="19"/>
      <c r="QIF28" s="19"/>
      <c r="QIG28" s="19"/>
      <c r="QIH28" s="19"/>
      <c r="QII28" s="19"/>
      <c r="QIJ28" s="19"/>
      <c r="QIK28" s="19"/>
      <c r="QIL28" s="19"/>
      <c r="QIM28" s="19"/>
      <c r="QIN28" s="19"/>
      <c r="QIO28" s="19"/>
      <c r="QIP28" s="19"/>
      <c r="QIQ28" s="19"/>
      <c r="QIR28" s="19"/>
      <c r="QIS28" s="19"/>
      <c r="QIT28" s="19"/>
      <c r="QIU28" s="19"/>
      <c r="QIV28" s="19"/>
      <c r="QIW28" s="19"/>
      <c r="QIX28" s="19"/>
      <c r="QIY28" s="19"/>
      <c r="QIZ28" s="19"/>
      <c r="QJA28" s="19"/>
      <c r="QJB28" s="19"/>
      <c r="QJC28" s="19"/>
      <c r="QJD28" s="19"/>
      <c r="QJE28" s="19"/>
      <c r="QJF28" s="19"/>
      <c r="QJG28" s="19"/>
      <c r="QJH28" s="19"/>
      <c r="QJI28" s="19"/>
      <c r="QJJ28" s="19"/>
      <c r="QJK28" s="19"/>
      <c r="QJL28" s="19"/>
      <c r="QJM28" s="19"/>
      <c r="QJN28" s="19"/>
      <c r="QJO28" s="19"/>
      <c r="QJP28" s="19"/>
      <c r="QJQ28" s="19"/>
      <c r="QJR28" s="19"/>
      <c r="QJS28" s="19"/>
      <c r="QJT28" s="19"/>
      <c r="QJU28" s="19"/>
      <c r="QJV28" s="19"/>
      <c r="QJW28" s="19"/>
      <c r="QJX28" s="19"/>
      <c r="QJY28" s="19"/>
      <c r="QJZ28" s="19"/>
      <c r="QKA28" s="19"/>
      <c r="QKB28" s="19"/>
      <c r="QKC28" s="19"/>
      <c r="QKD28" s="19"/>
      <c r="QKE28" s="19"/>
      <c r="QKF28" s="19"/>
      <c r="QKG28" s="19"/>
      <c r="QKH28" s="19"/>
      <c r="QKI28" s="19"/>
      <c r="QKJ28" s="19"/>
      <c r="QKK28" s="19"/>
      <c r="QKL28" s="19"/>
      <c r="QKM28" s="19"/>
      <c r="QKN28" s="19"/>
      <c r="QKO28" s="19"/>
      <c r="QKP28" s="19"/>
      <c r="QKQ28" s="19"/>
      <c r="QKR28" s="19"/>
      <c r="QKS28" s="19"/>
      <c r="QKT28" s="19"/>
      <c r="QKU28" s="19"/>
      <c r="QKV28" s="19"/>
      <c r="QKW28" s="19"/>
      <c r="QKX28" s="19"/>
      <c r="QKY28" s="19"/>
      <c r="QKZ28" s="19"/>
      <c r="QLA28" s="19"/>
      <c r="QLB28" s="19"/>
      <c r="QLC28" s="19"/>
      <c r="QLD28" s="19"/>
      <c r="QLE28" s="19"/>
      <c r="QLF28" s="19"/>
      <c r="QLG28" s="19"/>
      <c r="QLH28" s="19"/>
      <c r="QLI28" s="19"/>
      <c r="QLJ28" s="19"/>
      <c r="QLK28" s="19"/>
      <c r="QLL28" s="19"/>
      <c r="QLM28" s="19"/>
      <c r="QLN28" s="19"/>
      <c r="QLO28" s="19"/>
      <c r="QLP28" s="19"/>
      <c r="QLQ28" s="19"/>
      <c r="QLR28" s="19"/>
      <c r="QLS28" s="19"/>
      <c r="QLT28" s="19"/>
      <c r="QLU28" s="19"/>
      <c r="QLV28" s="19"/>
      <c r="QLW28" s="19"/>
      <c r="QLX28" s="19"/>
      <c r="QLY28" s="19"/>
      <c r="QLZ28" s="19"/>
      <c r="QMA28" s="19"/>
      <c r="QMB28" s="19"/>
      <c r="QMC28" s="19"/>
      <c r="QMD28" s="19"/>
      <c r="QME28" s="19"/>
      <c r="QMF28" s="19"/>
      <c r="QMG28" s="19"/>
      <c r="QMH28" s="19"/>
      <c r="QMI28" s="19"/>
      <c r="QMJ28" s="19"/>
      <c r="QMK28" s="19"/>
      <c r="QML28" s="19"/>
      <c r="QMM28" s="19"/>
      <c r="QMN28" s="19"/>
      <c r="QMO28" s="19"/>
      <c r="QMP28" s="19"/>
      <c r="QMQ28" s="19"/>
      <c r="QMR28" s="19"/>
      <c r="QMS28" s="19"/>
      <c r="QMT28" s="19"/>
      <c r="QMU28" s="19"/>
      <c r="QMV28" s="19"/>
      <c r="QMW28" s="19"/>
      <c r="QMX28" s="19"/>
      <c r="QMY28" s="19"/>
      <c r="QMZ28" s="19"/>
      <c r="QNA28" s="19"/>
      <c r="QNB28" s="19"/>
      <c r="QNC28" s="19"/>
      <c r="QND28" s="19"/>
      <c r="QNE28" s="19"/>
      <c r="QNF28" s="19"/>
      <c r="QNG28" s="19"/>
      <c r="QNH28" s="19"/>
      <c r="QNI28" s="19"/>
      <c r="QNJ28" s="19"/>
      <c r="QNK28" s="19"/>
      <c r="QNL28" s="19"/>
      <c r="QNM28" s="19"/>
      <c r="QNN28" s="19"/>
      <c r="QNO28" s="19"/>
      <c r="QNP28" s="19"/>
      <c r="QNQ28" s="19"/>
      <c r="QNR28" s="19"/>
      <c r="QNS28" s="19"/>
      <c r="QNT28" s="19"/>
      <c r="QNU28" s="19"/>
      <c r="QNV28" s="19"/>
      <c r="QNW28" s="19"/>
      <c r="QNX28" s="19"/>
      <c r="QNY28" s="19"/>
      <c r="QNZ28" s="19"/>
      <c r="QOA28" s="19"/>
      <c r="QOB28" s="19"/>
      <c r="QOC28" s="19"/>
      <c r="QOD28" s="19"/>
      <c r="QOE28" s="19"/>
      <c r="QOF28" s="19"/>
      <c r="QOG28" s="19"/>
      <c r="QOH28" s="19"/>
      <c r="QOI28" s="19"/>
      <c r="QOJ28" s="19"/>
      <c r="QOK28" s="19"/>
      <c r="QOL28" s="19"/>
      <c r="QOM28" s="19"/>
      <c r="QON28" s="19"/>
      <c r="QOO28" s="19"/>
      <c r="QOP28" s="19"/>
      <c r="QOQ28" s="19"/>
      <c r="QOR28" s="19"/>
      <c r="QOS28" s="19"/>
      <c r="QOT28" s="19"/>
      <c r="QOU28" s="19"/>
      <c r="QOV28" s="19"/>
      <c r="QOW28" s="19"/>
      <c r="QOX28" s="19"/>
      <c r="QOY28" s="19"/>
      <c r="QOZ28" s="19"/>
      <c r="QPA28" s="19"/>
      <c r="QPB28" s="19"/>
      <c r="QPC28" s="19"/>
      <c r="QPD28" s="19"/>
      <c r="QPE28" s="19"/>
      <c r="QPF28" s="19"/>
      <c r="QPG28" s="19"/>
      <c r="QPH28" s="19"/>
      <c r="QPI28" s="19"/>
      <c r="QPJ28" s="19"/>
      <c r="QPK28" s="19"/>
      <c r="QPL28" s="19"/>
      <c r="QPM28" s="19"/>
      <c r="QPN28" s="19"/>
      <c r="QPO28" s="19"/>
      <c r="QPP28" s="19"/>
      <c r="QPQ28" s="19"/>
      <c r="QPR28" s="19"/>
      <c r="QPS28" s="19"/>
      <c r="QPT28" s="19"/>
      <c r="QPU28" s="19"/>
      <c r="QPV28" s="19"/>
      <c r="QPW28" s="19"/>
      <c r="QPX28" s="19"/>
      <c r="QPY28" s="19"/>
      <c r="QPZ28" s="19"/>
      <c r="QQA28" s="19"/>
      <c r="QQB28" s="19"/>
      <c r="QQC28" s="19"/>
      <c r="QQD28" s="19"/>
      <c r="QQE28" s="19"/>
      <c r="QQF28" s="19"/>
      <c r="QQG28" s="19"/>
      <c r="QQH28" s="19"/>
      <c r="QQI28" s="19"/>
      <c r="QQJ28" s="19"/>
      <c r="QQK28" s="19"/>
      <c r="QQL28" s="19"/>
      <c r="QQM28" s="19"/>
      <c r="QQN28" s="19"/>
      <c r="QQO28" s="19"/>
      <c r="QQP28" s="19"/>
      <c r="QQQ28" s="19"/>
      <c r="QQR28" s="19"/>
      <c r="QQS28" s="19"/>
      <c r="QQT28" s="19"/>
      <c r="QQU28" s="19"/>
      <c r="QQV28" s="19"/>
      <c r="QQW28" s="19"/>
      <c r="QQX28" s="19"/>
      <c r="QQY28" s="19"/>
      <c r="QQZ28" s="19"/>
      <c r="QRA28" s="19"/>
      <c r="QRB28" s="19"/>
      <c r="QRC28" s="19"/>
      <c r="QRD28" s="19"/>
      <c r="QRE28" s="19"/>
      <c r="QRF28" s="19"/>
      <c r="QRG28" s="19"/>
      <c r="QRH28" s="19"/>
      <c r="QRI28" s="19"/>
      <c r="QRJ28" s="19"/>
      <c r="QRK28" s="19"/>
      <c r="QRL28" s="19"/>
      <c r="QRM28" s="19"/>
      <c r="QRN28" s="19"/>
      <c r="QRO28" s="19"/>
      <c r="QRP28" s="19"/>
      <c r="QRQ28" s="19"/>
      <c r="QRR28" s="19"/>
      <c r="QRS28" s="19"/>
      <c r="QRT28" s="19"/>
      <c r="QRU28" s="19"/>
      <c r="QRV28" s="19"/>
      <c r="QRW28" s="19"/>
      <c r="QRX28" s="19"/>
      <c r="QRY28" s="19"/>
      <c r="QRZ28" s="19"/>
      <c r="QSA28" s="19"/>
      <c r="QSB28" s="19"/>
      <c r="QSC28" s="19"/>
      <c r="QSD28" s="19"/>
      <c r="QSE28" s="19"/>
      <c r="QSF28" s="19"/>
      <c r="QSG28" s="19"/>
      <c r="QSH28" s="19"/>
      <c r="QSI28" s="19"/>
      <c r="QSJ28" s="19"/>
      <c r="QSK28" s="19"/>
      <c r="QSL28" s="19"/>
      <c r="QSM28" s="19"/>
      <c r="QSN28" s="19"/>
      <c r="QSO28" s="19"/>
      <c r="QSP28" s="19"/>
      <c r="QSQ28" s="19"/>
      <c r="QSR28" s="19"/>
      <c r="QSS28" s="19"/>
      <c r="QST28" s="19"/>
      <c r="QSU28" s="19"/>
      <c r="QSV28" s="19"/>
      <c r="QSW28" s="19"/>
      <c r="QSX28" s="19"/>
      <c r="QSY28" s="19"/>
      <c r="QSZ28" s="19"/>
      <c r="QTA28" s="19"/>
      <c r="QTB28" s="19"/>
      <c r="QTC28" s="19"/>
      <c r="QTD28" s="19"/>
      <c r="QTE28" s="19"/>
      <c r="QTF28" s="19"/>
      <c r="QTG28" s="19"/>
      <c r="QTH28" s="19"/>
      <c r="QTI28" s="19"/>
      <c r="QTJ28" s="19"/>
      <c r="QTK28" s="19"/>
      <c r="QTL28" s="19"/>
      <c r="QTM28" s="19"/>
      <c r="QTN28" s="19"/>
      <c r="QTO28" s="19"/>
      <c r="QTP28" s="19"/>
      <c r="QTQ28" s="19"/>
      <c r="QTR28" s="19"/>
      <c r="QTS28" s="19"/>
      <c r="QTT28" s="19"/>
      <c r="QTU28" s="19"/>
      <c r="QTV28" s="19"/>
      <c r="QTW28" s="19"/>
      <c r="QTX28" s="19"/>
      <c r="QTY28" s="19"/>
      <c r="QTZ28" s="19"/>
      <c r="QUA28" s="19"/>
      <c r="QUB28" s="19"/>
      <c r="QUC28" s="19"/>
      <c r="QUD28" s="19"/>
      <c r="QUE28" s="19"/>
      <c r="QUF28" s="19"/>
      <c r="QUG28" s="19"/>
      <c r="QUH28" s="19"/>
      <c r="QUI28" s="19"/>
      <c r="QUJ28" s="19"/>
      <c r="QUK28" s="19"/>
      <c r="QUL28" s="19"/>
      <c r="QUM28" s="19"/>
      <c r="QUN28" s="19"/>
      <c r="QUO28" s="19"/>
      <c r="QUP28" s="19"/>
      <c r="QUQ28" s="19"/>
      <c r="QUR28" s="19"/>
      <c r="QUS28" s="19"/>
      <c r="QUT28" s="19"/>
      <c r="QUU28" s="19"/>
      <c r="QUV28" s="19"/>
      <c r="QUW28" s="19"/>
      <c r="QUX28" s="19"/>
      <c r="QUY28" s="19"/>
      <c r="QUZ28" s="19"/>
      <c r="QVA28" s="19"/>
      <c r="QVB28" s="19"/>
      <c r="QVC28" s="19"/>
      <c r="QVD28" s="19"/>
      <c r="QVE28" s="19"/>
      <c r="QVF28" s="19"/>
      <c r="QVG28" s="19"/>
      <c r="QVH28" s="19"/>
      <c r="QVI28" s="19"/>
      <c r="QVJ28" s="19"/>
      <c r="QVK28" s="19"/>
      <c r="QVL28" s="19"/>
      <c r="QVM28" s="19"/>
      <c r="QVN28" s="19"/>
      <c r="QVO28" s="19"/>
      <c r="QVP28" s="19"/>
      <c r="QVQ28" s="19"/>
      <c r="QVR28" s="19"/>
      <c r="QVS28" s="19"/>
      <c r="QVT28" s="19"/>
      <c r="QVU28" s="19"/>
      <c r="QVV28" s="19"/>
      <c r="QVW28" s="19"/>
      <c r="QVX28" s="19"/>
      <c r="QVY28" s="19"/>
      <c r="QVZ28" s="19"/>
      <c r="QWA28" s="19"/>
      <c r="QWB28" s="19"/>
      <c r="QWC28" s="19"/>
      <c r="QWD28" s="19"/>
      <c r="QWE28" s="19"/>
      <c r="QWF28" s="19"/>
      <c r="QWG28" s="19"/>
      <c r="QWH28" s="19"/>
      <c r="QWI28" s="19"/>
      <c r="QWJ28" s="19"/>
      <c r="QWK28" s="19"/>
      <c r="QWL28" s="19"/>
      <c r="QWM28" s="19"/>
      <c r="QWN28" s="19"/>
      <c r="QWO28" s="19"/>
      <c r="QWP28" s="19"/>
      <c r="QWQ28" s="19"/>
      <c r="QWR28" s="19"/>
      <c r="QWS28" s="19"/>
      <c r="QWT28" s="19"/>
      <c r="QWU28" s="19"/>
      <c r="QWV28" s="19"/>
      <c r="QWW28" s="19"/>
      <c r="QWX28" s="19"/>
      <c r="QWY28" s="19"/>
      <c r="QWZ28" s="19"/>
      <c r="QXA28" s="19"/>
      <c r="QXB28" s="19"/>
      <c r="QXC28" s="19"/>
      <c r="QXD28" s="19"/>
      <c r="QXE28" s="19"/>
      <c r="QXF28" s="19"/>
      <c r="QXG28" s="19"/>
      <c r="QXH28" s="19"/>
      <c r="QXI28" s="19"/>
      <c r="QXJ28" s="19"/>
      <c r="QXK28" s="19"/>
      <c r="QXL28" s="19"/>
      <c r="QXM28" s="19"/>
      <c r="QXN28" s="19"/>
      <c r="QXO28" s="19"/>
      <c r="QXP28" s="19"/>
      <c r="QXQ28" s="19"/>
      <c r="QXR28" s="19"/>
      <c r="QXS28" s="19"/>
      <c r="QXT28" s="19"/>
      <c r="QXU28" s="19"/>
      <c r="QXV28" s="19"/>
      <c r="QXW28" s="19"/>
      <c r="QXX28" s="19"/>
      <c r="QXY28" s="19"/>
      <c r="QXZ28" s="19"/>
      <c r="QYA28" s="19"/>
      <c r="QYB28" s="19"/>
      <c r="QYC28" s="19"/>
      <c r="QYD28" s="19"/>
      <c r="QYE28" s="19"/>
      <c r="QYF28" s="19"/>
      <c r="QYG28" s="19"/>
      <c r="QYH28" s="19"/>
      <c r="QYI28" s="19"/>
      <c r="QYJ28" s="19"/>
      <c r="QYK28" s="19"/>
      <c r="QYL28" s="19"/>
      <c r="QYM28" s="19"/>
      <c r="QYN28" s="19"/>
      <c r="QYO28" s="19"/>
      <c r="QYP28" s="19"/>
      <c r="QYQ28" s="19"/>
      <c r="QYR28" s="19"/>
      <c r="QYS28" s="19"/>
      <c r="QYT28" s="19"/>
      <c r="QYU28" s="19"/>
      <c r="QYV28" s="19"/>
      <c r="QYW28" s="19"/>
      <c r="QYX28" s="19"/>
      <c r="QYY28" s="19"/>
      <c r="QYZ28" s="19"/>
      <c r="QZA28" s="19"/>
      <c r="QZB28" s="19"/>
      <c r="QZC28" s="19"/>
      <c r="QZD28" s="19"/>
      <c r="QZE28" s="19"/>
      <c r="QZF28" s="19"/>
      <c r="QZG28" s="19"/>
      <c r="QZH28" s="19"/>
      <c r="QZI28" s="19"/>
      <c r="QZJ28" s="19"/>
      <c r="QZK28" s="19"/>
      <c r="QZL28" s="19"/>
      <c r="QZM28" s="19"/>
      <c r="QZN28" s="19"/>
      <c r="QZO28" s="19"/>
      <c r="QZP28" s="19"/>
      <c r="QZQ28" s="19"/>
      <c r="QZR28" s="19"/>
      <c r="QZS28" s="19"/>
      <c r="QZT28" s="19"/>
      <c r="QZU28" s="19"/>
      <c r="QZV28" s="19"/>
      <c r="QZW28" s="19"/>
      <c r="QZX28" s="19"/>
      <c r="QZY28" s="19"/>
      <c r="QZZ28" s="19"/>
      <c r="RAA28" s="19"/>
      <c r="RAB28" s="19"/>
      <c r="RAC28" s="19"/>
      <c r="RAD28" s="19"/>
      <c r="RAE28" s="19"/>
      <c r="RAF28" s="19"/>
      <c r="RAG28" s="19"/>
      <c r="RAH28" s="19"/>
      <c r="RAI28" s="19"/>
      <c r="RAJ28" s="19"/>
      <c r="RAK28" s="19"/>
      <c r="RAL28" s="19"/>
      <c r="RAM28" s="19"/>
      <c r="RAN28" s="19"/>
      <c r="RAO28" s="19"/>
      <c r="RAP28" s="19"/>
      <c r="RAQ28" s="19"/>
      <c r="RAR28" s="19"/>
      <c r="RAS28" s="19"/>
      <c r="RAT28" s="19"/>
      <c r="RAU28" s="19"/>
      <c r="RAV28" s="19"/>
      <c r="RAW28" s="19"/>
      <c r="RAX28" s="19"/>
      <c r="RAY28" s="19"/>
      <c r="RAZ28" s="19"/>
      <c r="RBA28" s="19"/>
      <c r="RBB28" s="19"/>
      <c r="RBC28" s="19"/>
      <c r="RBD28" s="19"/>
      <c r="RBE28" s="19"/>
      <c r="RBF28" s="19"/>
      <c r="RBG28" s="19"/>
      <c r="RBH28" s="19"/>
      <c r="RBI28" s="19"/>
      <c r="RBJ28" s="19"/>
      <c r="RBK28" s="19"/>
      <c r="RBL28" s="19"/>
      <c r="RBM28" s="19"/>
      <c r="RBN28" s="19"/>
      <c r="RBO28" s="19"/>
      <c r="RBP28" s="19"/>
      <c r="RBQ28" s="19"/>
      <c r="RBR28" s="19"/>
      <c r="RBS28" s="19"/>
      <c r="RBT28" s="19"/>
      <c r="RBU28" s="19"/>
      <c r="RBV28" s="19"/>
      <c r="RBW28" s="19"/>
      <c r="RBX28" s="19"/>
      <c r="RBY28" s="19"/>
      <c r="RBZ28" s="19"/>
      <c r="RCA28" s="19"/>
      <c r="RCB28" s="19"/>
      <c r="RCC28" s="19"/>
      <c r="RCD28" s="19"/>
      <c r="RCE28" s="19"/>
      <c r="RCF28" s="19"/>
      <c r="RCG28" s="19"/>
      <c r="RCH28" s="19"/>
      <c r="RCI28" s="19"/>
      <c r="RCJ28" s="19"/>
      <c r="RCK28" s="19"/>
      <c r="RCL28" s="19"/>
      <c r="RCM28" s="19"/>
      <c r="RCN28" s="19"/>
      <c r="RCO28" s="19"/>
      <c r="RCP28" s="19"/>
      <c r="RCQ28" s="19"/>
      <c r="RCR28" s="19"/>
      <c r="RCS28" s="19"/>
      <c r="RCT28" s="19"/>
      <c r="RCU28" s="19"/>
      <c r="RCV28" s="19"/>
      <c r="RCW28" s="19"/>
      <c r="RCX28" s="19"/>
      <c r="RCY28" s="19"/>
      <c r="RCZ28" s="19"/>
      <c r="RDA28" s="19"/>
      <c r="RDB28" s="19"/>
      <c r="RDC28" s="19"/>
      <c r="RDD28" s="19"/>
      <c r="RDE28" s="19"/>
      <c r="RDF28" s="19"/>
      <c r="RDG28" s="19"/>
      <c r="RDH28" s="19"/>
      <c r="RDI28" s="19"/>
      <c r="RDJ28" s="19"/>
      <c r="RDK28" s="19"/>
      <c r="RDL28" s="19"/>
      <c r="RDM28" s="19"/>
      <c r="RDN28" s="19"/>
      <c r="RDO28" s="19"/>
      <c r="RDP28" s="19"/>
      <c r="RDQ28" s="19"/>
      <c r="RDR28" s="19"/>
      <c r="RDS28" s="19"/>
      <c r="RDT28" s="19"/>
      <c r="RDU28" s="19"/>
      <c r="RDV28" s="19"/>
      <c r="RDW28" s="19"/>
      <c r="RDX28" s="19"/>
      <c r="RDY28" s="19"/>
      <c r="RDZ28" s="19"/>
      <c r="REA28" s="19"/>
      <c r="REB28" s="19"/>
      <c r="REC28" s="19"/>
      <c r="RED28" s="19"/>
      <c r="REE28" s="19"/>
      <c r="REF28" s="19"/>
      <c r="REG28" s="19"/>
      <c r="REH28" s="19"/>
      <c r="REI28" s="19"/>
      <c r="REJ28" s="19"/>
      <c r="REK28" s="19"/>
      <c r="REL28" s="19"/>
      <c r="REM28" s="19"/>
      <c r="REN28" s="19"/>
      <c r="REO28" s="19"/>
      <c r="REP28" s="19"/>
      <c r="REQ28" s="19"/>
      <c r="RER28" s="19"/>
      <c r="RES28" s="19"/>
      <c r="RET28" s="19"/>
      <c r="REU28" s="19"/>
      <c r="REV28" s="19"/>
      <c r="REW28" s="19"/>
      <c r="REX28" s="19"/>
      <c r="REY28" s="19"/>
      <c r="REZ28" s="19"/>
      <c r="RFA28" s="19"/>
      <c r="RFB28" s="19"/>
      <c r="RFC28" s="19"/>
      <c r="RFD28" s="19"/>
      <c r="RFE28" s="19"/>
      <c r="RFF28" s="19"/>
      <c r="RFG28" s="19"/>
      <c r="RFH28" s="19"/>
      <c r="RFI28" s="19"/>
      <c r="RFJ28" s="19"/>
      <c r="RFK28" s="19"/>
      <c r="RFL28" s="19"/>
      <c r="RFM28" s="19"/>
      <c r="RFN28" s="19"/>
      <c r="RFO28" s="19"/>
      <c r="RFP28" s="19"/>
      <c r="RFQ28" s="19"/>
      <c r="RFR28" s="19"/>
      <c r="RFS28" s="19"/>
      <c r="RFT28" s="19"/>
      <c r="RFU28" s="19"/>
      <c r="RFV28" s="19"/>
      <c r="RFW28" s="19"/>
      <c r="RFX28" s="19"/>
      <c r="RFY28" s="19"/>
      <c r="RFZ28" s="19"/>
      <c r="RGA28" s="19"/>
      <c r="RGB28" s="19"/>
      <c r="RGC28" s="19"/>
      <c r="RGD28" s="19"/>
      <c r="RGE28" s="19"/>
      <c r="RGF28" s="19"/>
      <c r="RGG28" s="19"/>
      <c r="RGH28" s="19"/>
      <c r="RGI28" s="19"/>
      <c r="RGJ28" s="19"/>
      <c r="RGK28" s="19"/>
      <c r="RGL28" s="19"/>
      <c r="RGM28" s="19"/>
      <c r="RGN28" s="19"/>
      <c r="RGO28" s="19"/>
      <c r="RGP28" s="19"/>
      <c r="RGQ28" s="19"/>
      <c r="RGR28" s="19"/>
      <c r="RGS28" s="19"/>
      <c r="RGT28" s="19"/>
      <c r="RGU28" s="19"/>
      <c r="RGV28" s="19"/>
      <c r="RGW28" s="19"/>
      <c r="RGX28" s="19"/>
      <c r="RGY28" s="19"/>
      <c r="RGZ28" s="19"/>
      <c r="RHA28" s="19"/>
      <c r="RHB28" s="19"/>
      <c r="RHC28" s="19"/>
      <c r="RHD28" s="19"/>
      <c r="RHE28" s="19"/>
      <c r="RHF28" s="19"/>
      <c r="RHG28" s="19"/>
      <c r="RHH28" s="19"/>
      <c r="RHI28" s="19"/>
      <c r="RHJ28" s="19"/>
      <c r="RHK28" s="19"/>
      <c r="RHL28" s="19"/>
      <c r="RHM28" s="19"/>
      <c r="RHN28" s="19"/>
      <c r="RHO28" s="19"/>
      <c r="RHP28" s="19"/>
      <c r="RHQ28" s="19"/>
      <c r="RHR28" s="19"/>
      <c r="RHS28" s="19"/>
      <c r="RHT28" s="19"/>
      <c r="RHU28" s="19"/>
      <c r="RHV28" s="19"/>
      <c r="RHW28" s="19"/>
      <c r="RHX28" s="19"/>
      <c r="RHY28" s="19"/>
      <c r="RHZ28" s="19"/>
      <c r="RIA28" s="19"/>
      <c r="RIB28" s="19"/>
      <c r="RIC28" s="19"/>
      <c r="RID28" s="19"/>
      <c r="RIE28" s="19"/>
      <c r="RIF28" s="19"/>
      <c r="RIG28" s="19"/>
      <c r="RIH28" s="19"/>
      <c r="RII28" s="19"/>
      <c r="RIJ28" s="19"/>
      <c r="RIK28" s="19"/>
      <c r="RIL28" s="19"/>
      <c r="RIM28" s="19"/>
      <c r="RIN28" s="19"/>
      <c r="RIO28" s="19"/>
      <c r="RIP28" s="19"/>
      <c r="RIQ28" s="19"/>
      <c r="RIR28" s="19"/>
      <c r="RIS28" s="19"/>
      <c r="RIT28" s="19"/>
      <c r="RIU28" s="19"/>
      <c r="RIV28" s="19"/>
      <c r="RIW28" s="19"/>
      <c r="RIX28" s="19"/>
      <c r="RIY28" s="19"/>
      <c r="RIZ28" s="19"/>
      <c r="RJA28" s="19"/>
      <c r="RJB28" s="19"/>
      <c r="RJC28" s="19"/>
      <c r="RJD28" s="19"/>
      <c r="RJE28" s="19"/>
      <c r="RJF28" s="19"/>
      <c r="RJG28" s="19"/>
      <c r="RJH28" s="19"/>
      <c r="RJI28" s="19"/>
      <c r="RJJ28" s="19"/>
      <c r="RJK28" s="19"/>
      <c r="RJL28" s="19"/>
      <c r="RJM28" s="19"/>
      <c r="RJN28" s="19"/>
      <c r="RJO28" s="19"/>
      <c r="RJP28" s="19"/>
      <c r="RJQ28" s="19"/>
      <c r="RJR28" s="19"/>
      <c r="RJS28" s="19"/>
      <c r="RJT28" s="19"/>
      <c r="RJU28" s="19"/>
      <c r="RJV28" s="19"/>
      <c r="RJW28" s="19"/>
      <c r="RJX28" s="19"/>
      <c r="RJY28" s="19"/>
      <c r="RJZ28" s="19"/>
      <c r="RKA28" s="19"/>
      <c r="RKB28" s="19"/>
      <c r="RKC28" s="19"/>
      <c r="RKD28" s="19"/>
      <c r="RKE28" s="19"/>
      <c r="RKF28" s="19"/>
      <c r="RKG28" s="19"/>
      <c r="RKH28" s="19"/>
      <c r="RKI28" s="19"/>
      <c r="RKJ28" s="19"/>
      <c r="RKK28" s="19"/>
      <c r="RKL28" s="19"/>
      <c r="RKM28" s="19"/>
      <c r="RKN28" s="19"/>
      <c r="RKO28" s="19"/>
      <c r="RKP28" s="19"/>
      <c r="RKQ28" s="19"/>
      <c r="RKR28" s="19"/>
      <c r="RKS28" s="19"/>
      <c r="RKT28" s="19"/>
      <c r="RKU28" s="19"/>
      <c r="RKV28" s="19"/>
      <c r="RKW28" s="19"/>
      <c r="RKX28" s="19"/>
      <c r="RKY28" s="19"/>
      <c r="RKZ28" s="19"/>
      <c r="RLA28" s="19"/>
      <c r="RLB28" s="19"/>
      <c r="RLC28" s="19"/>
      <c r="RLD28" s="19"/>
      <c r="RLE28" s="19"/>
      <c r="RLF28" s="19"/>
      <c r="RLG28" s="19"/>
      <c r="RLH28" s="19"/>
      <c r="RLI28" s="19"/>
      <c r="RLJ28" s="19"/>
      <c r="RLK28" s="19"/>
      <c r="RLL28" s="19"/>
      <c r="RLM28" s="19"/>
      <c r="RLN28" s="19"/>
      <c r="RLO28" s="19"/>
      <c r="RLP28" s="19"/>
      <c r="RLQ28" s="19"/>
      <c r="RLR28" s="19"/>
      <c r="RLS28" s="19"/>
      <c r="RLT28" s="19"/>
      <c r="RLU28" s="19"/>
      <c r="RLV28" s="19"/>
      <c r="RLW28" s="19"/>
      <c r="RLX28" s="19"/>
      <c r="RLY28" s="19"/>
      <c r="RLZ28" s="19"/>
      <c r="RMA28" s="19"/>
      <c r="RMB28" s="19"/>
      <c r="RMC28" s="19"/>
      <c r="RMD28" s="19"/>
      <c r="RME28" s="19"/>
      <c r="RMF28" s="19"/>
      <c r="RMG28" s="19"/>
      <c r="RMH28" s="19"/>
      <c r="RMI28" s="19"/>
      <c r="RMJ28" s="19"/>
      <c r="RMK28" s="19"/>
      <c r="RML28" s="19"/>
      <c r="RMM28" s="19"/>
      <c r="RMN28" s="19"/>
      <c r="RMO28" s="19"/>
      <c r="RMP28" s="19"/>
      <c r="RMQ28" s="19"/>
      <c r="RMR28" s="19"/>
      <c r="RMS28" s="19"/>
      <c r="RMT28" s="19"/>
      <c r="RMU28" s="19"/>
      <c r="RMV28" s="19"/>
      <c r="RMW28" s="19"/>
      <c r="RMX28" s="19"/>
      <c r="RMY28" s="19"/>
      <c r="RMZ28" s="19"/>
      <c r="RNA28" s="19"/>
      <c r="RNB28" s="19"/>
      <c r="RNC28" s="19"/>
      <c r="RND28" s="19"/>
      <c r="RNE28" s="19"/>
      <c r="RNF28" s="19"/>
      <c r="RNG28" s="19"/>
      <c r="RNH28" s="19"/>
      <c r="RNI28" s="19"/>
      <c r="RNJ28" s="19"/>
      <c r="RNK28" s="19"/>
      <c r="RNL28" s="19"/>
      <c r="RNM28" s="19"/>
      <c r="RNN28" s="19"/>
      <c r="RNO28" s="19"/>
      <c r="RNP28" s="19"/>
      <c r="RNQ28" s="19"/>
      <c r="RNR28" s="19"/>
      <c r="RNS28" s="19"/>
      <c r="RNT28" s="19"/>
      <c r="RNU28" s="19"/>
      <c r="RNV28" s="19"/>
      <c r="RNW28" s="19"/>
      <c r="RNX28" s="19"/>
      <c r="RNY28" s="19"/>
      <c r="RNZ28" s="19"/>
      <c r="ROA28" s="19"/>
      <c r="ROB28" s="19"/>
      <c r="ROC28" s="19"/>
      <c r="ROD28" s="19"/>
      <c r="ROE28" s="19"/>
      <c r="ROF28" s="19"/>
      <c r="ROG28" s="19"/>
      <c r="ROH28" s="19"/>
      <c r="ROI28" s="19"/>
      <c r="ROJ28" s="19"/>
      <c r="ROK28" s="19"/>
      <c r="ROL28" s="19"/>
      <c r="ROM28" s="19"/>
      <c r="RON28" s="19"/>
      <c r="ROO28" s="19"/>
      <c r="ROP28" s="19"/>
      <c r="ROQ28" s="19"/>
      <c r="ROR28" s="19"/>
      <c r="ROS28" s="19"/>
      <c r="ROT28" s="19"/>
      <c r="ROU28" s="19"/>
      <c r="ROV28" s="19"/>
      <c r="ROW28" s="19"/>
      <c r="ROX28" s="19"/>
      <c r="ROY28" s="19"/>
      <c r="ROZ28" s="19"/>
      <c r="RPA28" s="19"/>
      <c r="RPB28" s="19"/>
      <c r="RPC28" s="19"/>
      <c r="RPD28" s="19"/>
      <c r="RPE28" s="19"/>
      <c r="RPF28" s="19"/>
      <c r="RPG28" s="19"/>
      <c r="RPH28" s="19"/>
      <c r="RPI28" s="19"/>
      <c r="RPJ28" s="19"/>
      <c r="RPK28" s="19"/>
      <c r="RPL28" s="19"/>
      <c r="RPM28" s="19"/>
      <c r="RPN28" s="19"/>
      <c r="RPO28" s="19"/>
      <c r="RPP28" s="19"/>
      <c r="RPQ28" s="19"/>
      <c r="RPR28" s="19"/>
      <c r="RPS28" s="19"/>
      <c r="RPT28" s="19"/>
      <c r="RPU28" s="19"/>
      <c r="RPV28" s="19"/>
      <c r="RPW28" s="19"/>
      <c r="RPX28" s="19"/>
      <c r="RPY28" s="19"/>
      <c r="RPZ28" s="19"/>
      <c r="RQA28" s="19"/>
      <c r="RQB28" s="19"/>
      <c r="RQC28" s="19"/>
      <c r="RQD28" s="19"/>
      <c r="RQE28" s="19"/>
      <c r="RQF28" s="19"/>
      <c r="RQG28" s="19"/>
      <c r="RQH28" s="19"/>
      <c r="RQI28" s="19"/>
      <c r="RQJ28" s="19"/>
      <c r="RQK28" s="19"/>
      <c r="RQL28" s="19"/>
      <c r="RQM28" s="19"/>
      <c r="RQN28" s="19"/>
      <c r="RQO28" s="19"/>
      <c r="RQP28" s="19"/>
      <c r="RQQ28" s="19"/>
      <c r="RQR28" s="19"/>
      <c r="RQS28" s="19"/>
      <c r="RQT28" s="19"/>
      <c r="RQU28" s="19"/>
      <c r="RQV28" s="19"/>
      <c r="RQW28" s="19"/>
      <c r="RQX28" s="19"/>
      <c r="RQY28" s="19"/>
      <c r="RQZ28" s="19"/>
      <c r="RRA28" s="19"/>
      <c r="RRB28" s="19"/>
      <c r="RRC28" s="19"/>
      <c r="RRD28" s="19"/>
      <c r="RRE28" s="19"/>
      <c r="RRF28" s="19"/>
      <c r="RRG28" s="19"/>
      <c r="RRH28" s="19"/>
      <c r="RRI28" s="19"/>
      <c r="RRJ28" s="19"/>
      <c r="RRK28" s="19"/>
      <c r="RRL28" s="19"/>
      <c r="RRM28" s="19"/>
      <c r="RRN28" s="19"/>
      <c r="RRO28" s="19"/>
      <c r="RRP28" s="19"/>
      <c r="RRQ28" s="19"/>
      <c r="RRR28" s="19"/>
      <c r="RRS28" s="19"/>
      <c r="RRT28" s="19"/>
      <c r="RRU28" s="19"/>
      <c r="RRV28" s="19"/>
      <c r="RRW28" s="19"/>
      <c r="RRX28" s="19"/>
      <c r="RRY28" s="19"/>
      <c r="RRZ28" s="19"/>
      <c r="RSA28" s="19"/>
      <c r="RSB28" s="19"/>
      <c r="RSC28" s="19"/>
      <c r="RSD28" s="19"/>
      <c r="RSE28" s="19"/>
      <c r="RSF28" s="19"/>
      <c r="RSG28" s="19"/>
      <c r="RSH28" s="19"/>
      <c r="RSI28" s="19"/>
      <c r="RSJ28" s="19"/>
      <c r="RSK28" s="19"/>
      <c r="RSL28" s="19"/>
      <c r="RSM28" s="19"/>
      <c r="RSN28" s="19"/>
      <c r="RSO28" s="19"/>
      <c r="RSP28" s="19"/>
      <c r="RSQ28" s="19"/>
      <c r="RSR28" s="19"/>
      <c r="RSS28" s="19"/>
      <c r="RST28" s="19"/>
      <c r="RSU28" s="19"/>
      <c r="RSV28" s="19"/>
      <c r="RSW28" s="19"/>
      <c r="RSX28" s="19"/>
      <c r="RSY28" s="19"/>
      <c r="RSZ28" s="19"/>
      <c r="RTA28" s="19"/>
      <c r="RTB28" s="19"/>
      <c r="RTC28" s="19"/>
      <c r="RTD28" s="19"/>
      <c r="RTE28" s="19"/>
      <c r="RTF28" s="19"/>
      <c r="RTG28" s="19"/>
      <c r="RTH28" s="19"/>
      <c r="RTI28" s="19"/>
      <c r="RTJ28" s="19"/>
      <c r="RTK28" s="19"/>
      <c r="RTL28" s="19"/>
      <c r="RTM28" s="19"/>
      <c r="RTN28" s="19"/>
      <c r="RTO28" s="19"/>
      <c r="RTP28" s="19"/>
      <c r="RTQ28" s="19"/>
      <c r="RTR28" s="19"/>
      <c r="RTS28" s="19"/>
      <c r="RTT28" s="19"/>
      <c r="RTU28" s="19"/>
      <c r="RTV28" s="19"/>
      <c r="RTW28" s="19"/>
      <c r="RTX28" s="19"/>
      <c r="RTY28" s="19"/>
      <c r="RTZ28" s="19"/>
      <c r="RUA28" s="19"/>
      <c r="RUB28" s="19"/>
      <c r="RUC28" s="19"/>
      <c r="RUD28" s="19"/>
      <c r="RUE28" s="19"/>
      <c r="RUF28" s="19"/>
      <c r="RUG28" s="19"/>
      <c r="RUH28" s="19"/>
      <c r="RUI28" s="19"/>
      <c r="RUJ28" s="19"/>
      <c r="RUK28" s="19"/>
      <c r="RUL28" s="19"/>
      <c r="RUM28" s="19"/>
      <c r="RUN28" s="19"/>
      <c r="RUO28" s="19"/>
      <c r="RUP28" s="19"/>
      <c r="RUQ28" s="19"/>
      <c r="RUR28" s="19"/>
      <c r="RUS28" s="19"/>
      <c r="RUT28" s="19"/>
      <c r="RUU28" s="19"/>
      <c r="RUV28" s="19"/>
      <c r="RUW28" s="19"/>
      <c r="RUX28" s="19"/>
      <c r="RUY28" s="19"/>
      <c r="RUZ28" s="19"/>
      <c r="RVA28" s="19"/>
      <c r="RVB28" s="19"/>
      <c r="RVC28" s="19"/>
      <c r="RVD28" s="19"/>
      <c r="RVE28" s="19"/>
      <c r="RVF28" s="19"/>
      <c r="RVG28" s="19"/>
      <c r="RVH28" s="19"/>
      <c r="RVI28" s="19"/>
      <c r="RVJ28" s="19"/>
      <c r="RVK28" s="19"/>
      <c r="RVL28" s="19"/>
      <c r="RVM28" s="19"/>
      <c r="RVN28" s="19"/>
      <c r="RVO28" s="19"/>
      <c r="RVP28" s="19"/>
      <c r="RVQ28" s="19"/>
      <c r="RVR28" s="19"/>
      <c r="RVS28" s="19"/>
      <c r="RVT28" s="19"/>
      <c r="RVU28" s="19"/>
      <c r="RVV28" s="19"/>
      <c r="RVW28" s="19"/>
      <c r="RVX28" s="19"/>
      <c r="RVY28" s="19"/>
      <c r="RVZ28" s="19"/>
      <c r="RWA28" s="19"/>
      <c r="RWB28" s="19"/>
      <c r="RWC28" s="19"/>
      <c r="RWD28" s="19"/>
      <c r="RWE28" s="19"/>
      <c r="RWF28" s="19"/>
      <c r="RWG28" s="19"/>
      <c r="RWH28" s="19"/>
      <c r="RWI28" s="19"/>
      <c r="RWJ28" s="19"/>
      <c r="RWK28" s="19"/>
      <c r="RWL28" s="19"/>
      <c r="RWM28" s="19"/>
      <c r="RWN28" s="19"/>
      <c r="RWO28" s="19"/>
      <c r="RWP28" s="19"/>
      <c r="RWQ28" s="19"/>
      <c r="RWR28" s="19"/>
      <c r="RWS28" s="19"/>
      <c r="RWT28" s="19"/>
      <c r="RWU28" s="19"/>
      <c r="RWV28" s="19"/>
      <c r="RWW28" s="19"/>
      <c r="RWX28" s="19"/>
      <c r="RWY28" s="19"/>
      <c r="RWZ28" s="19"/>
      <c r="RXA28" s="19"/>
      <c r="RXB28" s="19"/>
      <c r="RXC28" s="19"/>
      <c r="RXD28" s="19"/>
      <c r="RXE28" s="19"/>
      <c r="RXF28" s="19"/>
      <c r="RXG28" s="19"/>
      <c r="RXH28" s="19"/>
      <c r="RXI28" s="19"/>
      <c r="RXJ28" s="19"/>
      <c r="RXK28" s="19"/>
      <c r="RXL28" s="19"/>
      <c r="RXM28" s="19"/>
      <c r="RXN28" s="19"/>
      <c r="RXO28" s="19"/>
      <c r="RXP28" s="19"/>
      <c r="RXQ28" s="19"/>
      <c r="RXR28" s="19"/>
      <c r="RXS28" s="19"/>
      <c r="RXT28" s="19"/>
      <c r="RXU28" s="19"/>
      <c r="RXV28" s="19"/>
      <c r="RXW28" s="19"/>
      <c r="RXX28" s="19"/>
      <c r="RXY28" s="19"/>
      <c r="RXZ28" s="19"/>
      <c r="RYA28" s="19"/>
      <c r="RYB28" s="19"/>
      <c r="RYC28" s="19"/>
      <c r="RYD28" s="19"/>
      <c r="RYE28" s="19"/>
      <c r="RYF28" s="19"/>
      <c r="RYG28" s="19"/>
      <c r="RYH28" s="19"/>
      <c r="RYI28" s="19"/>
      <c r="RYJ28" s="19"/>
      <c r="RYK28" s="19"/>
      <c r="RYL28" s="19"/>
      <c r="RYM28" s="19"/>
      <c r="RYN28" s="19"/>
      <c r="RYO28" s="19"/>
      <c r="RYP28" s="19"/>
      <c r="RYQ28" s="19"/>
      <c r="RYR28" s="19"/>
      <c r="RYS28" s="19"/>
      <c r="RYT28" s="19"/>
      <c r="RYU28" s="19"/>
      <c r="RYV28" s="19"/>
      <c r="RYW28" s="19"/>
      <c r="RYX28" s="19"/>
      <c r="RYY28" s="19"/>
      <c r="RYZ28" s="19"/>
      <c r="RZA28" s="19"/>
      <c r="RZB28" s="19"/>
      <c r="RZC28" s="19"/>
      <c r="RZD28" s="19"/>
      <c r="RZE28" s="19"/>
      <c r="RZF28" s="19"/>
      <c r="RZG28" s="19"/>
      <c r="RZH28" s="19"/>
      <c r="RZI28" s="19"/>
      <c r="RZJ28" s="19"/>
      <c r="RZK28" s="19"/>
      <c r="RZL28" s="19"/>
      <c r="RZM28" s="19"/>
      <c r="RZN28" s="19"/>
      <c r="RZO28" s="19"/>
      <c r="RZP28" s="19"/>
      <c r="RZQ28" s="19"/>
      <c r="RZR28" s="19"/>
      <c r="RZS28" s="19"/>
      <c r="RZT28" s="19"/>
      <c r="RZU28" s="19"/>
      <c r="RZV28" s="19"/>
      <c r="RZW28" s="19"/>
      <c r="RZX28" s="19"/>
      <c r="RZY28" s="19"/>
      <c r="RZZ28" s="19"/>
      <c r="SAA28" s="19"/>
      <c r="SAB28" s="19"/>
      <c r="SAC28" s="19"/>
      <c r="SAD28" s="19"/>
      <c r="SAE28" s="19"/>
      <c r="SAF28" s="19"/>
      <c r="SAG28" s="19"/>
      <c r="SAH28" s="19"/>
      <c r="SAI28" s="19"/>
      <c r="SAJ28" s="19"/>
      <c r="SAK28" s="19"/>
      <c r="SAL28" s="19"/>
      <c r="SAM28" s="19"/>
      <c r="SAN28" s="19"/>
      <c r="SAO28" s="19"/>
      <c r="SAP28" s="19"/>
      <c r="SAQ28" s="19"/>
      <c r="SAR28" s="19"/>
      <c r="SAS28" s="19"/>
      <c r="SAT28" s="19"/>
      <c r="SAU28" s="19"/>
      <c r="SAV28" s="19"/>
      <c r="SAW28" s="19"/>
      <c r="SAX28" s="19"/>
      <c r="SAY28" s="19"/>
      <c r="SAZ28" s="19"/>
      <c r="SBA28" s="19"/>
      <c r="SBB28" s="19"/>
      <c r="SBC28" s="19"/>
      <c r="SBD28" s="19"/>
      <c r="SBE28" s="19"/>
      <c r="SBF28" s="19"/>
      <c r="SBG28" s="19"/>
      <c r="SBH28" s="19"/>
      <c r="SBI28" s="19"/>
      <c r="SBJ28" s="19"/>
      <c r="SBK28" s="19"/>
      <c r="SBL28" s="19"/>
      <c r="SBM28" s="19"/>
      <c r="SBN28" s="19"/>
      <c r="SBO28" s="19"/>
      <c r="SBP28" s="19"/>
      <c r="SBQ28" s="19"/>
      <c r="SBR28" s="19"/>
      <c r="SBS28" s="19"/>
      <c r="SBT28" s="19"/>
      <c r="SBU28" s="19"/>
      <c r="SBV28" s="19"/>
      <c r="SBW28" s="19"/>
      <c r="SBX28" s="19"/>
      <c r="SBY28" s="19"/>
      <c r="SBZ28" s="19"/>
      <c r="SCA28" s="19"/>
      <c r="SCB28" s="19"/>
      <c r="SCC28" s="19"/>
      <c r="SCD28" s="19"/>
      <c r="SCE28" s="19"/>
      <c r="SCF28" s="19"/>
      <c r="SCG28" s="19"/>
      <c r="SCH28" s="19"/>
      <c r="SCI28" s="19"/>
      <c r="SCJ28" s="19"/>
      <c r="SCK28" s="19"/>
      <c r="SCL28" s="19"/>
      <c r="SCM28" s="19"/>
      <c r="SCN28" s="19"/>
      <c r="SCO28" s="19"/>
      <c r="SCP28" s="19"/>
      <c r="SCQ28" s="19"/>
      <c r="SCR28" s="19"/>
      <c r="SCS28" s="19"/>
      <c r="SCT28" s="19"/>
      <c r="SCU28" s="19"/>
      <c r="SCV28" s="19"/>
      <c r="SCW28" s="19"/>
      <c r="SCX28" s="19"/>
      <c r="SCY28" s="19"/>
      <c r="SCZ28" s="19"/>
      <c r="SDA28" s="19"/>
      <c r="SDB28" s="19"/>
      <c r="SDC28" s="19"/>
      <c r="SDD28" s="19"/>
      <c r="SDE28" s="19"/>
      <c r="SDF28" s="19"/>
      <c r="SDG28" s="19"/>
      <c r="SDH28" s="19"/>
      <c r="SDI28" s="19"/>
      <c r="SDJ28" s="19"/>
      <c r="SDK28" s="19"/>
      <c r="SDL28" s="19"/>
      <c r="SDM28" s="19"/>
      <c r="SDN28" s="19"/>
      <c r="SDO28" s="19"/>
      <c r="SDP28" s="19"/>
      <c r="SDQ28" s="19"/>
      <c r="SDR28" s="19"/>
      <c r="SDS28" s="19"/>
      <c r="SDT28" s="19"/>
      <c r="SDU28" s="19"/>
      <c r="SDV28" s="19"/>
      <c r="SDW28" s="19"/>
      <c r="SDX28" s="19"/>
      <c r="SDY28" s="19"/>
      <c r="SDZ28" s="19"/>
      <c r="SEA28" s="19"/>
      <c r="SEB28" s="19"/>
      <c r="SEC28" s="19"/>
      <c r="SED28" s="19"/>
      <c r="SEE28" s="19"/>
      <c r="SEF28" s="19"/>
      <c r="SEG28" s="19"/>
      <c r="SEH28" s="19"/>
      <c r="SEI28" s="19"/>
      <c r="SEJ28" s="19"/>
      <c r="SEK28" s="19"/>
      <c r="SEL28" s="19"/>
      <c r="SEM28" s="19"/>
      <c r="SEN28" s="19"/>
      <c r="SEO28" s="19"/>
      <c r="SEP28" s="19"/>
      <c r="SEQ28" s="19"/>
      <c r="SER28" s="19"/>
      <c r="SES28" s="19"/>
      <c r="SET28" s="19"/>
      <c r="SEU28" s="19"/>
      <c r="SEV28" s="19"/>
      <c r="SEW28" s="19"/>
      <c r="SEX28" s="19"/>
      <c r="SEY28" s="19"/>
      <c r="SEZ28" s="19"/>
      <c r="SFA28" s="19"/>
      <c r="SFB28" s="19"/>
      <c r="SFC28" s="19"/>
      <c r="SFD28" s="19"/>
      <c r="SFE28" s="19"/>
      <c r="SFF28" s="19"/>
      <c r="SFG28" s="19"/>
      <c r="SFH28" s="19"/>
      <c r="SFI28" s="19"/>
      <c r="SFJ28" s="19"/>
      <c r="SFK28" s="19"/>
      <c r="SFL28" s="19"/>
      <c r="SFM28" s="19"/>
      <c r="SFN28" s="19"/>
      <c r="SFO28" s="19"/>
      <c r="SFP28" s="19"/>
      <c r="SFQ28" s="19"/>
      <c r="SFR28" s="19"/>
      <c r="SFS28" s="19"/>
      <c r="SFT28" s="19"/>
      <c r="SFU28" s="19"/>
      <c r="SFV28" s="19"/>
      <c r="SFW28" s="19"/>
      <c r="SFX28" s="19"/>
      <c r="SFY28" s="19"/>
      <c r="SFZ28" s="19"/>
      <c r="SGA28" s="19"/>
      <c r="SGB28" s="19"/>
      <c r="SGC28" s="19"/>
      <c r="SGD28" s="19"/>
      <c r="SGE28" s="19"/>
      <c r="SGF28" s="19"/>
      <c r="SGG28" s="19"/>
      <c r="SGH28" s="19"/>
      <c r="SGI28" s="19"/>
      <c r="SGJ28" s="19"/>
      <c r="SGK28" s="19"/>
      <c r="SGL28" s="19"/>
      <c r="SGM28" s="19"/>
      <c r="SGN28" s="19"/>
      <c r="SGO28" s="19"/>
      <c r="SGP28" s="19"/>
      <c r="SGQ28" s="19"/>
      <c r="SGR28" s="19"/>
      <c r="SGS28" s="19"/>
      <c r="SGT28" s="19"/>
      <c r="SGU28" s="19"/>
      <c r="SGV28" s="19"/>
      <c r="SGW28" s="19"/>
      <c r="SGX28" s="19"/>
      <c r="SGY28" s="19"/>
      <c r="SGZ28" s="19"/>
      <c r="SHA28" s="19"/>
      <c r="SHB28" s="19"/>
      <c r="SHC28" s="19"/>
      <c r="SHD28" s="19"/>
      <c r="SHE28" s="19"/>
      <c r="SHF28" s="19"/>
      <c r="SHG28" s="19"/>
      <c r="SHH28" s="19"/>
      <c r="SHI28" s="19"/>
      <c r="SHJ28" s="19"/>
      <c r="SHK28" s="19"/>
      <c r="SHL28" s="19"/>
      <c r="SHM28" s="19"/>
      <c r="SHN28" s="19"/>
      <c r="SHO28" s="19"/>
      <c r="SHP28" s="19"/>
      <c r="SHQ28" s="19"/>
      <c r="SHR28" s="19"/>
      <c r="SHS28" s="19"/>
      <c r="SHT28" s="19"/>
      <c r="SHU28" s="19"/>
      <c r="SHV28" s="19"/>
      <c r="SHW28" s="19"/>
      <c r="SHX28" s="19"/>
      <c r="SHY28" s="19"/>
      <c r="SHZ28" s="19"/>
      <c r="SIA28" s="19"/>
      <c r="SIB28" s="19"/>
      <c r="SIC28" s="19"/>
      <c r="SID28" s="19"/>
      <c r="SIE28" s="19"/>
      <c r="SIF28" s="19"/>
      <c r="SIG28" s="19"/>
      <c r="SIH28" s="19"/>
      <c r="SII28" s="19"/>
      <c r="SIJ28" s="19"/>
      <c r="SIK28" s="19"/>
      <c r="SIL28" s="19"/>
      <c r="SIM28" s="19"/>
      <c r="SIN28" s="19"/>
      <c r="SIO28" s="19"/>
      <c r="SIP28" s="19"/>
      <c r="SIQ28" s="19"/>
      <c r="SIR28" s="19"/>
      <c r="SIS28" s="19"/>
      <c r="SIT28" s="19"/>
      <c r="SIU28" s="19"/>
      <c r="SIV28" s="19"/>
      <c r="SIW28" s="19"/>
      <c r="SIX28" s="19"/>
      <c r="SIY28" s="19"/>
      <c r="SIZ28" s="19"/>
      <c r="SJA28" s="19"/>
      <c r="SJB28" s="19"/>
      <c r="SJC28" s="19"/>
      <c r="SJD28" s="19"/>
      <c r="SJE28" s="19"/>
      <c r="SJF28" s="19"/>
      <c r="SJG28" s="19"/>
      <c r="SJH28" s="19"/>
      <c r="SJI28" s="19"/>
      <c r="SJJ28" s="19"/>
      <c r="SJK28" s="19"/>
      <c r="SJL28" s="19"/>
      <c r="SJM28" s="19"/>
      <c r="SJN28" s="19"/>
      <c r="SJO28" s="19"/>
      <c r="SJP28" s="19"/>
      <c r="SJQ28" s="19"/>
      <c r="SJR28" s="19"/>
      <c r="SJS28" s="19"/>
      <c r="SJT28" s="19"/>
      <c r="SJU28" s="19"/>
      <c r="SJV28" s="19"/>
      <c r="SJW28" s="19"/>
      <c r="SJX28" s="19"/>
      <c r="SJY28" s="19"/>
      <c r="SJZ28" s="19"/>
      <c r="SKA28" s="19"/>
      <c r="SKB28" s="19"/>
      <c r="SKC28" s="19"/>
      <c r="SKD28" s="19"/>
      <c r="SKE28" s="19"/>
      <c r="SKF28" s="19"/>
      <c r="SKG28" s="19"/>
      <c r="SKH28" s="19"/>
      <c r="SKI28" s="19"/>
      <c r="SKJ28" s="19"/>
      <c r="SKK28" s="19"/>
      <c r="SKL28" s="19"/>
      <c r="SKM28" s="19"/>
      <c r="SKN28" s="19"/>
      <c r="SKO28" s="19"/>
      <c r="SKP28" s="19"/>
      <c r="SKQ28" s="19"/>
      <c r="SKR28" s="19"/>
      <c r="SKS28" s="19"/>
      <c r="SKT28" s="19"/>
      <c r="SKU28" s="19"/>
      <c r="SKV28" s="19"/>
      <c r="SKW28" s="19"/>
      <c r="SKX28" s="19"/>
      <c r="SKY28" s="19"/>
      <c r="SKZ28" s="19"/>
      <c r="SLA28" s="19"/>
      <c r="SLB28" s="19"/>
      <c r="SLC28" s="19"/>
      <c r="SLD28" s="19"/>
      <c r="SLE28" s="19"/>
      <c r="SLF28" s="19"/>
      <c r="SLG28" s="19"/>
      <c r="SLH28" s="19"/>
      <c r="SLI28" s="19"/>
      <c r="SLJ28" s="19"/>
      <c r="SLK28" s="19"/>
      <c r="SLL28" s="19"/>
      <c r="SLM28" s="19"/>
      <c r="SLN28" s="19"/>
      <c r="SLO28" s="19"/>
      <c r="SLP28" s="19"/>
      <c r="SLQ28" s="19"/>
      <c r="SLR28" s="19"/>
      <c r="SLS28" s="19"/>
      <c r="SLT28" s="19"/>
      <c r="SLU28" s="19"/>
      <c r="SLV28" s="19"/>
      <c r="SLW28" s="19"/>
      <c r="SLX28" s="19"/>
      <c r="SLY28" s="19"/>
      <c r="SLZ28" s="19"/>
      <c r="SMA28" s="19"/>
      <c r="SMB28" s="19"/>
      <c r="SMC28" s="19"/>
      <c r="SMD28" s="19"/>
      <c r="SME28" s="19"/>
      <c r="SMF28" s="19"/>
      <c r="SMG28" s="19"/>
      <c r="SMH28" s="19"/>
      <c r="SMI28" s="19"/>
      <c r="SMJ28" s="19"/>
      <c r="SMK28" s="19"/>
      <c r="SML28" s="19"/>
      <c r="SMM28" s="19"/>
      <c r="SMN28" s="19"/>
      <c r="SMO28" s="19"/>
      <c r="SMP28" s="19"/>
      <c r="SMQ28" s="19"/>
      <c r="SMR28" s="19"/>
      <c r="SMS28" s="19"/>
      <c r="SMT28" s="19"/>
      <c r="SMU28" s="19"/>
      <c r="SMV28" s="19"/>
      <c r="SMW28" s="19"/>
      <c r="SMX28" s="19"/>
      <c r="SMY28" s="19"/>
      <c r="SMZ28" s="19"/>
      <c r="SNA28" s="19"/>
      <c r="SNB28" s="19"/>
      <c r="SNC28" s="19"/>
      <c r="SND28" s="19"/>
      <c r="SNE28" s="19"/>
      <c r="SNF28" s="19"/>
      <c r="SNG28" s="19"/>
      <c r="SNH28" s="19"/>
      <c r="SNI28" s="19"/>
      <c r="SNJ28" s="19"/>
      <c r="SNK28" s="19"/>
      <c r="SNL28" s="19"/>
      <c r="SNM28" s="19"/>
      <c r="SNN28" s="19"/>
      <c r="SNO28" s="19"/>
      <c r="SNP28" s="19"/>
      <c r="SNQ28" s="19"/>
      <c r="SNR28" s="19"/>
      <c r="SNS28" s="19"/>
      <c r="SNT28" s="19"/>
      <c r="SNU28" s="19"/>
      <c r="SNV28" s="19"/>
      <c r="SNW28" s="19"/>
      <c r="SNX28" s="19"/>
      <c r="SNY28" s="19"/>
      <c r="SNZ28" s="19"/>
      <c r="SOA28" s="19"/>
      <c r="SOB28" s="19"/>
      <c r="SOC28" s="19"/>
      <c r="SOD28" s="19"/>
      <c r="SOE28" s="19"/>
      <c r="SOF28" s="19"/>
      <c r="SOG28" s="19"/>
      <c r="SOH28" s="19"/>
      <c r="SOI28" s="19"/>
      <c r="SOJ28" s="19"/>
      <c r="SOK28" s="19"/>
      <c r="SOL28" s="19"/>
      <c r="SOM28" s="19"/>
      <c r="SON28" s="19"/>
      <c r="SOO28" s="19"/>
      <c r="SOP28" s="19"/>
      <c r="SOQ28" s="19"/>
      <c r="SOR28" s="19"/>
      <c r="SOS28" s="19"/>
      <c r="SOT28" s="19"/>
      <c r="SOU28" s="19"/>
      <c r="SOV28" s="19"/>
      <c r="SOW28" s="19"/>
      <c r="SOX28" s="19"/>
      <c r="SOY28" s="19"/>
      <c r="SOZ28" s="19"/>
      <c r="SPA28" s="19"/>
      <c r="SPB28" s="19"/>
      <c r="SPC28" s="19"/>
      <c r="SPD28" s="19"/>
      <c r="SPE28" s="19"/>
      <c r="SPF28" s="19"/>
      <c r="SPG28" s="19"/>
      <c r="SPH28" s="19"/>
      <c r="SPI28" s="19"/>
      <c r="SPJ28" s="19"/>
      <c r="SPK28" s="19"/>
      <c r="SPL28" s="19"/>
      <c r="SPM28" s="19"/>
      <c r="SPN28" s="19"/>
      <c r="SPO28" s="19"/>
      <c r="SPP28" s="19"/>
      <c r="SPQ28" s="19"/>
      <c r="SPR28" s="19"/>
      <c r="SPS28" s="19"/>
      <c r="SPT28" s="19"/>
      <c r="SPU28" s="19"/>
      <c r="SPV28" s="19"/>
      <c r="SPW28" s="19"/>
      <c r="SPX28" s="19"/>
      <c r="SPY28" s="19"/>
      <c r="SPZ28" s="19"/>
      <c r="SQA28" s="19"/>
      <c r="SQB28" s="19"/>
      <c r="SQC28" s="19"/>
      <c r="SQD28" s="19"/>
      <c r="SQE28" s="19"/>
      <c r="SQF28" s="19"/>
      <c r="SQG28" s="19"/>
      <c r="SQH28" s="19"/>
      <c r="SQI28" s="19"/>
      <c r="SQJ28" s="19"/>
      <c r="SQK28" s="19"/>
      <c r="SQL28" s="19"/>
      <c r="SQM28" s="19"/>
      <c r="SQN28" s="19"/>
      <c r="SQO28" s="19"/>
      <c r="SQP28" s="19"/>
      <c r="SQQ28" s="19"/>
      <c r="SQR28" s="19"/>
      <c r="SQS28" s="19"/>
      <c r="SQT28" s="19"/>
      <c r="SQU28" s="19"/>
      <c r="SQV28" s="19"/>
      <c r="SQW28" s="19"/>
      <c r="SQX28" s="19"/>
      <c r="SQY28" s="19"/>
      <c r="SQZ28" s="19"/>
      <c r="SRA28" s="19"/>
      <c r="SRB28" s="19"/>
      <c r="SRC28" s="19"/>
      <c r="SRD28" s="19"/>
      <c r="SRE28" s="19"/>
      <c r="SRF28" s="19"/>
      <c r="SRG28" s="19"/>
      <c r="SRH28" s="19"/>
      <c r="SRI28" s="19"/>
      <c r="SRJ28" s="19"/>
      <c r="SRK28" s="19"/>
      <c r="SRL28" s="19"/>
      <c r="SRM28" s="19"/>
      <c r="SRN28" s="19"/>
      <c r="SRO28" s="19"/>
      <c r="SRP28" s="19"/>
      <c r="SRQ28" s="19"/>
      <c r="SRR28" s="19"/>
      <c r="SRS28" s="19"/>
      <c r="SRT28" s="19"/>
      <c r="SRU28" s="19"/>
      <c r="SRV28" s="19"/>
      <c r="SRW28" s="19"/>
      <c r="SRX28" s="19"/>
      <c r="SRY28" s="19"/>
      <c r="SRZ28" s="19"/>
      <c r="SSA28" s="19"/>
      <c r="SSB28" s="19"/>
      <c r="SSC28" s="19"/>
      <c r="SSD28" s="19"/>
      <c r="SSE28" s="19"/>
      <c r="SSF28" s="19"/>
      <c r="SSG28" s="19"/>
      <c r="SSH28" s="19"/>
      <c r="SSI28" s="19"/>
      <c r="SSJ28" s="19"/>
      <c r="SSK28" s="19"/>
      <c r="SSL28" s="19"/>
      <c r="SSM28" s="19"/>
      <c r="SSN28" s="19"/>
      <c r="SSO28" s="19"/>
      <c r="SSP28" s="19"/>
      <c r="SSQ28" s="19"/>
      <c r="SSR28" s="19"/>
      <c r="SSS28" s="19"/>
      <c r="SST28" s="19"/>
      <c r="SSU28" s="19"/>
      <c r="SSV28" s="19"/>
      <c r="SSW28" s="19"/>
      <c r="SSX28" s="19"/>
      <c r="SSY28" s="19"/>
      <c r="SSZ28" s="19"/>
      <c r="STA28" s="19"/>
      <c r="STB28" s="19"/>
      <c r="STC28" s="19"/>
      <c r="STD28" s="19"/>
      <c r="STE28" s="19"/>
      <c r="STF28" s="19"/>
      <c r="STG28" s="19"/>
      <c r="STH28" s="19"/>
      <c r="STI28" s="19"/>
      <c r="STJ28" s="19"/>
      <c r="STK28" s="19"/>
      <c r="STL28" s="19"/>
      <c r="STM28" s="19"/>
      <c r="STN28" s="19"/>
      <c r="STO28" s="19"/>
      <c r="STP28" s="19"/>
      <c r="STQ28" s="19"/>
      <c r="STR28" s="19"/>
      <c r="STS28" s="19"/>
      <c r="STT28" s="19"/>
      <c r="STU28" s="19"/>
      <c r="STV28" s="19"/>
      <c r="STW28" s="19"/>
      <c r="STX28" s="19"/>
      <c r="STY28" s="19"/>
      <c r="STZ28" s="19"/>
      <c r="SUA28" s="19"/>
      <c r="SUB28" s="19"/>
      <c r="SUC28" s="19"/>
      <c r="SUD28" s="19"/>
      <c r="SUE28" s="19"/>
      <c r="SUF28" s="19"/>
      <c r="SUG28" s="19"/>
      <c r="SUH28" s="19"/>
      <c r="SUI28" s="19"/>
      <c r="SUJ28" s="19"/>
      <c r="SUK28" s="19"/>
      <c r="SUL28" s="19"/>
      <c r="SUM28" s="19"/>
      <c r="SUN28" s="19"/>
      <c r="SUO28" s="19"/>
      <c r="SUP28" s="19"/>
      <c r="SUQ28" s="19"/>
      <c r="SUR28" s="19"/>
      <c r="SUS28" s="19"/>
      <c r="SUT28" s="19"/>
      <c r="SUU28" s="19"/>
      <c r="SUV28" s="19"/>
      <c r="SUW28" s="19"/>
      <c r="SUX28" s="19"/>
      <c r="SUY28" s="19"/>
      <c r="SUZ28" s="19"/>
      <c r="SVA28" s="19"/>
      <c r="SVB28" s="19"/>
      <c r="SVC28" s="19"/>
      <c r="SVD28" s="19"/>
      <c r="SVE28" s="19"/>
      <c r="SVF28" s="19"/>
      <c r="SVG28" s="19"/>
      <c r="SVH28" s="19"/>
      <c r="SVI28" s="19"/>
      <c r="SVJ28" s="19"/>
      <c r="SVK28" s="19"/>
      <c r="SVL28" s="19"/>
      <c r="SVM28" s="19"/>
      <c r="SVN28" s="19"/>
      <c r="SVO28" s="19"/>
      <c r="SVP28" s="19"/>
      <c r="SVQ28" s="19"/>
      <c r="SVR28" s="19"/>
      <c r="SVS28" s="19"/>
      <c r="SVT28" s="19"/>
      <c r="SVU28" s="19"/>
      <c r="SVV28" s="19"/>
      <c r="SVW28" s="19"/>
      <c r="SVX28" s="19"/>
      <c r="SVY28" s="19"/>
      <c r="SVZ28" s="19"/>
      <c r="SWA28" s="19"/>
      <c r="SWB28" s="19"/>
      <c r="SWC28" s="19"/>
      <c r="SWD28" s="19"/>
      <c r="SWE28" s="19"/>
      <c r="SWF28" s="19"/>
      <c r="SWG28" s="19"/>
      <c r="SWH28" s="19"/>
      <c r="SWI28" s="19"/>
      <c r="SWJ28" s="19"/>
      <c r="SWK28" s="19"/>
      <c r="SWL28" s="19"/>
      <c r="SWM28" s="19"/>
      <c r="SWN28" s="19"/>
      <c r="SWO28" s="19"/>
      <c r="SWP28" s="19"/>
      <c r="SWQ28" s="19"/>
      <c r="SWR28" s="19"/>
      <c r="SWS28" s="19"/>
      <c r="SWT28" s="19"/>
      <c r="SWU28" s="19"/>
      <c r="SWV28" s="19"/>
      <c r="SWW28" s="19"/>
      <c r="SWX28" s="19"/>
      <c r="SWY28" s="19"/>
      <c r="SWZ28" s="19"/>
      <c r="SXA28" s="19"/>
      <c r="SXB28" s="19"/>
      <c r="SXC28" s="19"/>
      <c r="SXD28" s="19"/>
      <c r="SXE28" s="19"/>
      <c r="SXF28" s="19"/>
      <c r="SXG28" s="19"/>
      <c r="SXH28" s="19"/>
      <c r="SXI28" s="19"/>
      <c r="SXJ28" s="19"/>
      <c r="SXK28" s="19"/>
      <c r="SXL28" s="19"/>
      <c r="SXM28" s="19"/>
      <c r="SXN28" s="19"/>
      <c r="SXO28" s="19"/>
      <c r="SXP28" s="19"/>
      <c r="SXQ28" s="19"/>
      <c r="SXR28" s="19"/>
      <c r="SXS28" s="19"/>
      <c r="SXT28" s="19"/>
      <c r="SXU28" s="19"/>
      <c r="SXV28" s="19"/>
      <c r="SXW28" s="19"/>
      <c r="SXX28" s="19"/>
      <c r="SXY28" s="19"/>
      <c r="SXZ28" s="19"/>
      <c r="SYA28" s="19"/>
      <c r="SYB28" s="19"/>
      <c r="SYC28" s="19"/>
      <c r="SYD28" s="19"/>
      <c r="SYE28" s="19"/>
      <c r="SYF28" s="19"/>
      <c r="SYG28" s="19"/>
      <c r="SYH28" s="19"/>
      <c r="SYI28" s="19"/>
      <c r="SYJ28" s="19"/>
      <c r="SYK28" s="19"/>
      <c r="SYL28" s="19"/>
      <c r="SYM28" s="19"/>
      <c r="SYN28" s="19"/>
      <c r="SYO28" s="19"/>
      <c r="SYP28" s="19"/>
      <c r="SYQ28" s="19"/>
      <c r="SYR28" s="19"/>
      <c r="SYS28" s="19"/>
      <c r="SYT28" s="19"/>
      <c r="SYU28" s="19"/>
      <c r="SYV28" s="19"/>
      <c r="SYW28" s="19"/>
      <c r="SYX28" s="19"/>
      <c r="SYY28" s="19"/>
      <c r="SYZ28" s="19"/>
      <c r="SZA28" s="19"/>
      <c r="SZB28" s="19"/>
      <c r="SZC28" s="19"/>
      <c r="SZD28" s="19"/>
      <c r="SZE28" s="19"/>
      <c r="SZF28" s="19"/>
      <c r="SZG28" s="19"/>
      <c r="SZH28" s="19"/>
      <c r="SZI28" s="19"/>
      <c r="SZJ28" s="19"/>
      <c r="SZK28" s="19"/>
      <c r="SZL28" s="19"/>
      <c r="SZM28" s="19"/>
      <c r="SZN28" s="19"/>
      <c r="SZO28" s="19"/>
      <c r="SZP28" s="19"/>
      <c r="SZQ28" s="19"/>
      <c r="SZR28" s="19"/>
      <c r="SZS28" s="19"/>
      <c r="SZT28" s="19"/>
      <c r="SZU28" s="19"/>
      <c r="SZV28" s="19"/>
      <c r="SZW28" s="19"/>
      <c r="SZX28" s="19"/>
      <c r="SZY28" s="19"/>
      <c r="SZZ28" s="19"/>
      <c r="TAA28" s="19"/>
      <c r="TAB28" s="19"/>
      <c r="TAC28" s="19"/>
      <c r="TAD28" s="19"/>
      <c r="TAE28" s="19"/>
      <c r="TAF28" s="19"/>
      <c r="TAG28" s="19"/>
      <c r="TAH28" s="19"/>
      <c r="TAI28" s="19"/>
      <c r="TAJ28" s="19"/>
      <c r="TAK28" s="19"/>
      <c r="TAL28" s="19"/>
      <c r="TAM28" s="19"/>
      <c r="TAN28" s="19"/>
      <c r="TAO28" s="19"/>
      <c r="TAP28" s="19"/>
      <c r="TAQ28" s="19"/>
      <c r="TAR28" s="19"/>
      <c r="TAS28" s="19"/>
      <c r="TAT28" s="19"/>
      <c r="TAU28" s="19"/>
      <c r="TAV28" s="19"/>
      <c r="TAW28" s="19"/>
      <c r="TAX28" s="19"/>
      <c r="TAY28" s="19"/>
      <c r="TAZ28" s="19"/>
      <c r="TBA28" s="19"/>
      <c r="TBB28" s="19"/>
      <c r="TBC28" s="19"/>
      <c r="TBD28" s="19"/>
      <c r="TBE28" s="19"/>
      <c r="TBF28" s="19"/>
      <c r="TBG28" s="19"/>
      <c r="TBH28" s="19"/>
      <c r="TBI28" s="19"/>
      <c r="TBJ28" s="19"/>
      <c r="TBK28" s="19"/>
      <c r="TBL28" s="19"/>
      <c r="TBM28" s="19"/>
      <c r="TBN28" s="19"/>
      <c r="TBO28" s="19"/>
      <c r="TBP28" s="19"/>
      <c r="TBQ28" s="19"/>
      <c r="TBR28" s="19"/>
      <c r="TBS28" s="19"/>
      <c r="TBT28" s="19"/>
      <c r="TBU28" s="19"/>
      <c r="TBV28" s="19"/>
      <c r="TBW28" s="19"/>
      <c r="TBX28" s="19"/>
      <c r="TBY28" s="19"/>
      <c r="TBZ28" s="19"/>
      <c r="TCA28" s="19"/>
      <c r="TCB28" s="19"/>
      <c r="TCC28" s="19"/>
      <c r="TCD28" s="19"/>
      <c r="TCE28" s="19"/>
      <c r="TCF28" s="19"/>
      <c r="TCG28" s="19"/>
      <c r="TCH28" s="19"/>
      <c r="TCI28" s="19"/>
      <c r="TCJ28" s="19"/>
      <c r="TCK28" s="19"/>
      <c r="TCL28" s="19"/>
      <c r="TCM28" s="19"/>
      <c r="TCN28" s="19"/>
      <c r="TCO28" s="19"/>
      <c r="TCP28" s="19"/>
      <c r="TCQ28" s="19"/>
      <c r="TCR28" s="19"/>
      <c r="TCS28" s="19"/>
      <c r="TCT28" s="19"/>
      <c r="TCU28" s="19"/>
      <c r="TCV28" s="19"/>
      <c r="TCW28" s="19"/>
      <c r="TCX28" s="19"/>
      <c r="TCY28" s="19"/>
      <c r="TCZ28" s="19"/>
      <c r="TDA28" s="19"/>
      <c r="TDB28" s="19"/>
      <c r="TDC28" s="19"/>
      <c r="TDD28" s="19"/>
      <c r="TDE28" s="19"/>
      <c r="TDF28" s="19"/>
      <c r="TDG28" s="19"/>
      <c r="TDH28" s="19"/>
      <c r="TDI28" s="19"/>
      <c r="TDJ28" s="19"/>
      <c r="TDK28" s="19"/>
      <c r="TDL28" s="19"/>
      <c r="TDM28" s="19"/>
      <c r="TDN28" s="19"/>
      <c r="TDO28" s="19"/>
      <c r="TDP28" s="19"/>
      <c r="TDQ28" s="19"/>
      <c r="TDR28" s="19"/>
      <c r="TDS28" s="19"/>
      <c r="TDT28" s="19"/>
      <c r="TDU28" s="19"/>
      <c r="TDV28" s="19"/>
      <c r="TDW28" s="19"/>
      <c r="TDX28" s="19"/>
      <c r="TDY28" s="19"/>
      <c r="TDZ28" s="19"/>
      <c r="TEA28" s="19"/>
      <c r="TEB28" s="19"/>
      <c r="TEC28" s="19"/>
      <c r="TED28" s="19"/>
      <c r="TEE28" s="19"/>
      <c r="TEF28" s="19"/>
      <c r="TEG28" s="19"/>
      <c r="TEH28" s="19"/>
      <c r="TEI28" s="19"/>
      <c r="TEJ28" s="19"/>
      <c r="TEK28" s="19"/>
      <c r="TEL28" s="19"/>
      <c r="TEM28" s="19"/>
      <c r="TEN28" s="19"/>
      <c r="TEO28" s="19"/>
      <c r="TEP28" s="19"/>
      <c r="TEQ28" s="19"/>
      <c r="TER28" s="19"/>
      <c r="TES28" s="19"/>
      <c r="TET28" s="19"/>
      <c r="TEU28" s="19"/>
      <c r="TEV28" s="19"/>
      <c r="TEW28" s="19"/>
      <c r="TEX28" s="19"/>
      <c r="TEY28" s="19"/>
      <c r="TEZ28" s="19"/>
      <c r="TFA28" s="19"/>
      <c r="TFB28" s="19"/>
      <c r="TFC28" s="19"/>
      <c r="TFD28" s="19"/>
      <c r="TFE28" s="19"/>
      <c r="TFF28" s="19"/>
      <c r="TFG28" s="19"/>
      <c r="TFH28" s="19"/>
      <c r="TFI28" s="19"/>
      <c r="TFJ28" s="19"/>
      <c r="TFK28" s="19"/>
      <c r="TFL28" s="19"/>
      <c r="TFM28" s="19"/>
      <c r="TFN28" s="19"/>
      <c r="TFO28" s="19"/>
      <c r="TFP28" s="19"/>
      <c r="TFQ28" s="19"/>
      <c r="TFR28" s="19"/>
      <c r="TFS28" s="19"/>
      <c r="TFT28" s="19"/>
      <c r="TFU28" s="19"/>
      <c r="TFV28" s="19"/>
      <c r="TFW28" s="19"/>
      <c r="TFX28" s="19"/>
      <c r="TFY28" s="19"/>
      <c r="TFZ28" s="19"/>
      <c r="TGA28" s="19"/>
      <c r="TGB28" s="19"/>
      <c r="TGC28" s="19"/>
      <c r="TGD28" s="19"/>
      <c r="TGE28" s="19"/>
      <c r="TGF28" s="19"/>
      <c r="TGG28" s="19"/>
      <c r="TGH28" s="19"/>
      <c r="TGI28" s="19"/>
      <c r="TGJ28" s="19"/>
      <c r="TGK28" s="19"/>
      <c r="TGL28" s="19"/>
      <c r="TGM28" s="19"/>
      <c r="TGN28" s="19"/>
      <c r="TGO28" s="19"/>
      <c r="TGP28" s="19"/>
      <c r="TGQ28" s="19"/>
      <c r="TGR28" s="19"/>
      <c r="TGS28" s="19"/>
      <c r="TGT28" s="19"/>
      <c r="TGU28" s="19"/>
      <c r="TGV28" s="19"/>
      <c r="TGW28" s="19"/>
      <c r="TGX28" s="19"/>
      <c r="TGY28" s="19"/>
      <c r="TGZ28" s="19"/>
      <c r="THA28" s="19"/>
      <c r="THB28" s="19"/>
      <c r="THC28" s="19"/>
      <c r="THD28" s="19"/>
      <c r="THE28" s="19"/>
      <c r="THF28" s="19"/>
      <c r="THG28" s="19"/>
      <c r="THH28" s="19"/>
      <c r="THI28" s="19"/>
      <c r="THJ28" s="19"/>
      <c r="THK28" s="19"/>
      <c r="THL28" s="19"/>
      <c r="THM28" s="19"/>
      <c r="THN28" s="19"/>
      <c r="THO28" s="19"/>
      <c r="THP28" s="19"/>
      <c r="THQ28" s="19"/>
      <c r="THR28" s="19"/>
      <c r="THS28" s="19"/>
      <c r="THT28" s="19"/>
      <c r="THU28" s="19"/>
      <c r="THV28" s="19"/>
      <c r="THW28" s="19"/>
      <c r="THX28" s="19"/>
      <c r="THY28" s="19"/>
      <c r="THZ28" s="19"/>
      <c r="TIA28" s="19"/>
      <c r="TIB28" s="19"/>
      <c r="TIC28" s="19"/>
      <c r="TID28" s="19"/>
      <c r="TIE28" s="19"/>
      <c r="TIF28" s="19"/>
      <c r="TIG28" s="19"/>
      <c r="TIH28" s="19"/>
      <c r="TII28" s="19"/>
      <c r="TIJ28" s="19"/>
      <c r="TIK28" s="19"/>
      <c r="TIL28" s="19"/>
      <c r="TIM28" s="19"/>
      <c r="TIN28" s="19"/>
      <c r="TIO28" s="19"/>
      <c r="TIP28" s="19"/>
      <c r="TIQ28" s="19"/>
      <c r="TIR28" s="19"/>
      <c r="TIS28" s="19"/>
      <c r="TIT28" s="19"/>
      <c r="TIU28" s="19"/>
      <c r="TIV28" s="19"/>
      <c r="TIW28" s="19"/>
      <c r="TIX28" s="19"/>
      <c r="TIY28" s="19"/>
      <c r="TIZ28" s="19"/>
      <c r="TJA28" s="19"/>
      <c r="TJB28" s="19"/>
      <c r="TJC28" s="19"/>
      <c r="TJD28" s="19"/>
      <c r="TJE28" s="19"/>
      <c r="TJF28" s="19"/>
      <c r="TJG28" s="19"/>
      <c r="TJH28" s="19"/>
      <c r="TJI28" s="19"/>
      <c r="TJJ28" s="19"/>
      <c r="TJK28" s="19"/>
      <c r="TJL28" s="19"/>
      <c r="TJM28" s="19"/>
      <c r="TJN28" s="19"/>
      <c r="TJO28" s="19"/>
      <c r="TJP28" s="19"/>
      <c r="TJQ28" s="19"/>
      <c r="TJR28" s="19"/>
      <c r="TJS28" s="19"/>
      <c r="TJT28" s="19"/>
      <c r="TJU28" s="19"/>
      <c r="TJV28" s="19"/>
      <c r="TJW28" s="19"/>
      <c r="TJX28" s="19"/>
      <c r="TJY28" s="19"/>
      <c r="TJZ28" s="19"/>
      <c r="TKA28" s="19"/>
      <c r="TKB28" s="19"/>
      <c r="TKC28" s="19"/>
      <c r="TKD28" s="19"/>
      <c r="TKE28" s="19"/>
      <c r="TKF28" s="19"/>
      <c r="TKG28" s="19"/>
      <c r="TKH28" s="19"/>
      <c r="TKI28" s="19"/>
      <c r="TKJ28" s="19"/>
      <c r="TKK28" s="19"/>
      <c r="TKL28" s="19"/>
      <c r="TKM28" s="19"/>
      <c r="TKN28" s="19"/>
      <c r="TKO28" s="19"/>
      <c r="TKP28" s="19"/>
      <c r="TKQ28" s="19"/>
      <c r="TKR28" s="19"/>
      <c r="TKS28" s="19"/>
      <c r="TKT28" s="19"/>
      <c r="TKU28" s="19"/>
      <c r="TKV28" s="19"/>
      <c r="TKW28" s="19"/>
      <c r="TKX28" s="19"/>
      <c r="TKY28" s="19"/>
      <c r="TKZ28" s="19"/>
      <c r="TLA28" s="19"/>
      <c r="TLB28" s="19"/>
      <c r="TLC28" s="19"/>
      <c r="TLD28" s="19"/>
      <c r="TLE28" s="19"/>
      <c r="TLF28" s="19"/>
      <c r="TLG28" s="19"/>
      <c r="TLH28" s="19"/>
      <c r="TLI28" s="19"/>
      <c r="TLJ28" s="19"/>
      <c r="TLK28" s="19"/>
      <c r="TLL28" s="19"/>
      <c r="TLM28" s="19"/>
      <c r="TLN28" s="19"/>
      <c r="TLO28" s="19"/>
      <c r="TLP28" s="19"/>
      <c r="TLQ28" s="19"/>
      <c r="TLR28" s="19"/>
      <c r="TLS28" s="19"/>
      <c r="TLT28" s="19"/>
      <c r="TLU28" s="19"/>
      <c r="TLV28" s="19"/>
      <c r="TLW28" s="19"/>
      <c r="TLX28" s="19"/>
      <c r="TLY28" s="19"/>
      <c r="TLZ28" s="19"/>
      <c r="TMA28" s="19"/>
      <c r="TMB28" s="19"/>
      <c r="TMC28" s="19"/>
      <c r="TMD28" s="19"/>
      <c r="TME28" s="19"/>
      <c r="TMF28" s="19"/>
      <c r="TMG28" s="19"/>
      <c r="TMH28" s="19"/>
      <c r="TMI28" s="19"/>
      <c r="TMJ28" s="19"/>
      <c r="TMK28" s="19"/>
      <c r="TML28" s="19"/>
      <c r="TMM28" s="19"/>
      <c r="TMN28" s="19"/>
      <c r="TMO28" s="19"/>
      <c r="TMP28" s="19"/>
      <c r="TMQ28" s="19"/>
      <c r="TMR28" s="19"/>
      <c r="TMS28" s="19"/>
      <c r="TMT28" s="19"/>
      <c r="TMU28" s="19"/>
      <c r="TMV28" s="19"/>
      <c r="TMW28" s="19"/>
      <c r="TMX28" s="19"/>
      <c r="TMY28" s="19"/>
      <c r="TMZ28" s="19"/>
      <c r="TNA28" s="19"/>
      <c r="TNB28" s="19"/>
      <c r="TNC28" s="19"/>
      <c r="TND28" s="19"/>
      <c r="TNE28" s="19"/>
      <c r="TNF28" s="19"/>
      <c r="TNG28" s="19"/>
      <c r="TNH28" s="19"/>
      <c r="TNI28" s="19"/>
      <c r="TNJ28" s="19"/>
      <c r="TNK28" s="19"/>
      <c r="TNL28" s="19"/>
      <c r="TNM28" s="19"/>
      <c r="TNN28" s="19"/>
      <c r="TNO28" s="19"/>
      <c r="TNP28" s="19"/>
      <c r="TNQ28" s="19"/>
      <c r="TNR28" s="19"/>
      <c r="TNS28" s="19"/>
      <c r="TNT28" s="19"/>
      <c r="TNU28" s="19"/>
      <c r="TNV28" s="19"/>
      <c r="TNW28" s="19"/>
      <c r="TNX28" s="19"/>
      <c r="TNY28" s="19"/>
      <c r="TNZ28" s="19"/>
      <c r="TOA28" s="19"/>
      <c r="TOB28" s="19"/>
      <c r="TOC28" s="19"/>
      <c r="TOD28" s="19"/>
      <c r="TOE28" s="19"/>
      <c r="TOF28" s="19"/>
      <c r="TOG28" s="19"/>
      <c r="TOH28" s="19"/>
      <c r="TOI28" s="19"/>
      <c r="TOJ28" s="19"/>
      <c r="TOK28" s="19"/>
      <c r="TOL28" s="19"/>
      <c r="TOM28" s="19"/>
      <c r="TON28" s="19"/>
      <c r="TOO28" s="19"/>
      <c r="TOP28" s="19"/>
      <c r="TOQ28" s="19"/>
      <c r="TOR28" s="19"/>
      <c r="TOS28" s="19"/>
      <c r="TOT28" s="19"/>
      <c r="TOU28" s="19"/>
      <c r="TOV28" s="19"/>
      <c r="TOW28" s="19"/>
      <c r="TOX28" s="19"/>
      <c r="TOY28" s="19"/>
      <c r="TOZ28" s="19"/>
      <c r="TPA28" s="19"/>
      <c r="TPB28" s="19"/>
      <c r="TPC28" s="19"/>
      <c r="TPD28" s="19"/>
      <c r="TPE28" s="19"/>
      <c r="TPF28" s="19"/>
      <c r="TPG28" s="19"/>
      <c r="TPH28" s="19"/>
      <c r="TPI28" s="19"/>
      <c r="TPJ28" s="19"/>
      <c r="TPK28" s="19"/>
      <c r="TPL28" s="19"/>
      <c r="TPM28" s="19"/>
      <c r="TPN28" s="19"/>
      <c r="TPO28" s="19"/>
      <c r="TPP28" s="19"/>
      <c r="TPQ28" s="19"/>
      <c r="TPR28" s="19"/>
      <c r="TPS28" s="19"/>
      <c r="TPT28" s="19"/>
      <c r="TPU28" s="19"/>
      <c r="TPV28" s="19"/>
      <c r="TPW28" s="19"/>
      <c r="TPX28" s="19"/>
      <c r="TPY28" s="19"/>
      <c r="TPZ28" s="19"/>
      <c r="TQA28" s="19"/>
      <c r="TQB28" s="19"/>
      <c r="TQC28" s="19"/>
      <c r="TQD28" s="19"/>
      <c r="TQE28" s="19"/>
      <c r="TQF28" s="19"/>
      <c r="TQG28" s="19"/>
      <c r="TQH28" s="19"/>
      <c r="TQI28" s="19"/>
      <c r="TQJ28" s="19"/>
      <c r="TQK28" s="19"/>
      <c r="TQL28" s="19"/>
      <c r="TQM28" s="19"/>
      <c r="TQN28" s="19"/>
      <c r="TQO28" s="19"/>
      <c r="TQP28" s="19"/>
      <c r="TQQ28" s="19"/>
      <c r="TQR28" s="19"/>
      <c r="TQS28" s="19"/>
      <c r="TQT28" s="19"/>
      <c r="TQU28" s="19"/>
      <c r="TQV28" s="19"/>
      <c r="TQW28" s="19"/>
      <c r="TQX28" s="19"/>
      <c r="TQY28" s="19"/>
      <c r="TQZ28" s="19"/>
      <c r="TRA28" s="19"/>
      <c r="TRB28" s="19"/>
      <c r="TRC28" s="19"/>
      <c r="TRD28" s="19"/>
      <c r="TRE28" s="19"/>
      <c r="TRF28" s="19"/>
      <c r="TRG28" s="19"/>
      <c r="TRH28" s="19"/>
      <c r="TRI28" s="19"/>
      <c r="TRJ28" s="19"/>
      <c r="TRK28" s="19"/>
      <c r="TRL28" s="19"/>
      <c r="TRM28" s="19"/>
      <c r="TRN28" s="19"/>
      <c r="TRO28" s="19"/>
      <c r="TRP28" s="19"/>
      <c r="TRQ28" s="19"/>
      <c r="TRR28" s="19"/>
      <c r="TRS28" s="19"/>
      <c r="TRT28" s="19"/>
      <c r="TRU28" s="19"/>
      <c r="TRV28" s="19"/>
      <c r="TRW28" s="19"/>
      <c r="TRX28" s="19"/>
      <c r="TRY28" s="19"/>
      <c r="TRZ28" s="19"/>
      <c r="TSA28" s="19"/>
      <c r="TSB28" s="19"/>
      <c r="TSC28" s="19"/>
      <c r="TSD28" s="19"/>
      <c r="TSE28" s="19"/>
      <c r="TSF28" s="19"/>
      <c r="TSG28" s="19"/>
      <c r="TSH28" s="19"/>
      <c r="TSI28" s="19"/>
      <c r="TSJ28" s="19"/>
      <c r="TSK28" s="19"/>
      <c r="TSL28" s="19"/>
      <c r="TSM28" s="19"/>
      <c r="TSN28" s="19"/>
      <c r="TSO28" s="19"/>
      <c r="TSP28" s="19"/>
      <c r="TSQ28" s="19"/>
      <c r="TSR28" s="19"/>
      <c r="TSS28" s="19"/>
      <c r="TST28" s="19"/>
      <c r="TSU28" s="19"/>
      <c r="TSV28" s="19"/>
      <c r="TSW28" s="19"/>
      <c r="TSX28" s="19"/>
      <c r="TSY28" s="19"/>
      <c r="TSZ28" s="19"/>
      <c r="TTA28" s="19"/>
      <c r="TTB28" s="19"/>
      <c r="TTC28" s="19"/>
      <c r="TTD28" s="19"/>
      <c r="TTE28" s="19"/>
      <c r="TTF28" s="19"/>
      <c r="TTG28" s="19"/>
      <c r="TTH28" s="19"/>
      <c r="TTI28" s="19"/>
      <c r="TTJ28" s="19"/>
      <c r="TTK28" s="19"/>
      <c r="TTL28" s="19"/>
      <c r="TTM28" s="19"/>
      <c r="TTN28" s="19"/>
      <c r="TTO28" s="19"/>
      <c r="TTP28" s="19"/>
      <c r="TTQ28" s="19"/>
      <c r="TTR28" s="19"/>
      <c r="TTS28" s="19"/>
      <c r="TTT28" s="19"/>
      <c r="TTU28" s="19"/>
      <c r="TTV28" s="19"/>
      <c r="TTW28" s="19"/>
      <c r="TTX28" s="19"/>
      <c r="TTY28" s="19"/>
      <c r="TTZ28" s="19"/>
      <c r="TUA28" s="19"/>
      <c r="TUB28" s="19"/>
      <c r="TUC28" s="19"/>
      <c r="TUD28" s="19"/>
      <c r="TUE28" s="19"/>
      <c r="TUF28" s="19"/>
      <c r="TUG28" s="19"/>
      <c r="TUH28" s="19"/>
      <c r="TUI28" s="19"/>
      <c r="TUJ28" s="19"/>
      <c r="TUK28" s="19"/>
      <c r="TUL28" s="19"/>
      <c r="TUM28" s="19"/>
      <c r="TUN28" s="19"/>
      <c r="TUO28" s="19"/>
      <c r="TUP28" s="19"/>
      <c r="TUQ28" s="19"/>
      <c r="TUR28" s="19"/>
      <c r="TUS28" s="19"/>
      <c r="TUT28" s="19"/>
      <c r="TUU28" s="19"/>
      <c r="TUV28" s="19"/>
      <c r="TUW28" s="19"/>
      <c r="TUX28" s="19"/>
      <c r="TUY28" s="19"/>
      <c r="TUZ28" s="19"/>
      <c r="TVA28" s="19"/>
      <c r="TVB28" s="19"/>
      <c r="TVC28" s="19"/>
      <c r="TVD28" s="19"/>
      <c r="TVE28" s="19"/>
      <c r="TVF28" s="19"/>
      <c r="TVG28" s="19"/>
      <c r="TVH28" s="19"/>
      <c r="TVI28" s="19"/>
      <c r="TVJ28" s="19"/>
      <c r="TVK28" s="19"/>
      <c r="TVL28" s="19"/>
      <c r="TVM28" s="19"/>
      <c r="TVN28" s="19"/>
      <c r="TVO28" s="19"/>
      <c r="TVP28" s="19"/>
      <c r="TVQ28" s="19"/>
      <c r="TVR28" s="19"/>
      <c r="TVS28" s="19"/>
      <c r="TVT28" s="19"/>
      <c r="TVU28" s="19"/>
      <c r="TVV28" s="19"/>
      <c r="TVW28" s="19"/>
      <c r="TVX28" s="19"/>
      <c r="TVY28" s="19"/>
      <c r="TVZ28" s="19"/>
      <c r="TWA28" s="19"/>
      <c r="TWB28" s="19"/>
      <c r="TWC28" s="19"/>
      <c r="TWD28" s="19"/>
      <c r="TWE28" s="19"/>
      <c r="TWF28" s="19"/>
      <c r="TWG28" s="19"/>
      <c r="TWH28" s="19"/>
      <c r="TWI28" s="19"/>
      <c r="TWJ28" s="19"/>
      <c r="TWK28" s="19"/>
      <c r="TWL28" s="19"/>
      <c r="TWM28" s="19"/>
      <c r="TWN28" s="19"/>
      <c r="TWO28" s="19"/>
      <c r="TWP28" s="19"/>
      <c r="TWQ28" s="19"/>
      <c r="TWR28" s="19"/>
      <c r="TWS28" s="19"/>
      <c r="TWT28" s="19"/>
      <c r="TWU28" s="19"/>
      <c r="TWV28" s="19"/>
      <c r="TWW28" s="19"/>
      <c r="TWX28" s="19"/>
      <c r="TWY28" s="19"/>
      <c r="TWZ28" s="19"/>
      <c r="TXA28" s="19"/>
      <c r="TXB28" s="19"/>
      <c r="TXC28" s="19"/>
      <c r="TXD28" s="19"/>
      <c r="TXE28" s="19"/>
      <c r="TXF28" s="19"/>
      <c r="TXG28" s="19"/>
      <c r="TXH28" s="19"/>
      <c r="TXI28" s="19"/>
      <c r="TXJ28" s="19"/>
      <c r="TXK28" s="19"/>
      <c r="TXL28" s="19"/>
      <c r="TXM28" s="19"/>
      <c r="TXN28" s="19"/>
      <c r="TXO28" s="19"/>
      <c r="TXP28" s="19"/>
      <c r="TXQ28" s="19"/>
      <c r="TXR28" s="19"/>
      <c r="TXS28" s="19"/>
      <c r="TXT28" s="19"/>
      <c r="TXU28" s="19"/>
      <c r="TXV28" s="19"/>
      <c r="TXW28" s="19"/>
      <c r="TXX28" s="19"/>
      <c r="TXY28" s="19"/>
      <c r="TXZ28" s="19"/>
      <c r="TYA28" s="19"/>
      <c r="TYB28" s="19"/>
      <c r="TYC28" s="19"/>
      <c r="TYD28" s="19"/>
      <c r="TYE28" s="19"/>
      <c r="TYF28" s="19"/>
      <c r="TYG28" s="19"/>
      <c r="TYH28" s="19"/>
      <c r="TYI28" s="19"/>
      <c r="TYJ28" s="19"/>
      <c r="TYK28" s="19"/>
      <c r="TYL28" s="19"/>
      <c r="TYM28" s="19"/>
      <c r="TYN28" s="19"/>
      <c r="TYO28" s="19"/>
      <c r="TYP28" s="19"/>
      <c r="TYQ28" s="19"/>
      <c r="TYR28" s="19"/>
      <c r="TYS28" s="19"/>
      <c r="TYT28" s="19"/>
      <c r="TYU28" s="19"/>
      <c r="TYV28" s="19"/>
      <c r="TYW28" s="19"/>
      <c r="TYX28" s="19"/>
      <c r="TYY28" s="19"/>
      <c r="TYZ28" s="19"/>
      <c r="TZA28" s="19"/>
      <c r="TZB28" s="19"/>
      <c r="TZC28" s="19"/>
      <c r="TZD28" s="19"/>
      <c r="TZE28" s="19"/>
      <c r="TZF28" s="19"/>
      <c r="TZG28" s="19"/>
      <c r="TZH28" s="19"/>
      <c r="TZI28" s="19"/>
      <c r="TZJ28" s="19"/>
      <c r="TZK28" s="19"/>
      <c r="TZL28" s="19"/>
      <c r="TZM28" s="19"/>
      <c r="TZN28" s="19"/>
      <c r="TZO28" s="19"/>
      <c r="TZP28" s="19"/>
      <c r="TZQ28" s="19"/>
      <c r="TZR28" s="19"/>
      <c r="TZS28" s="19"/>
      <c r="TZT28" s="19"/>
      <c r="TZU28" s="19"/>
      <c r="TZV28" s="19"/>
      <c r="TZW28" s="19"/>
      <c r="TZX28" s="19"/>
      <c r="TZY28" s="19"/>
      <c r="TZZ28" s="19"/>
      <c r="UAA28" s="19"/>
      <c r="UAB28" s="19"/>
      <c r="UAC28" s="19"/>
      <c r="UAD28" s="19"/>
      <c r="UAE28" s="19"/>
      <c r="UAF28" s="19"/>
      <c r="UAG28" s="19"/>
      <c r="UAH28" s="19"/>
      <c r="UAI28" s="19"/>
      <c r="UAJ28" s="19"/>
      <c r="UAK28" s="19"/>
      <c r="UAL28" s="19"/>
      <c r="UAM28" s="19"/>
      <c r="UAN28" s="19"/>
      <c r="UAO28" s="19"/>
      <c r="UAP28" s="19"/>
      <c r="UAQ28" s="19"/>
      <c r="UAR28" s="19"/>
      <c r="UAS28" s="19"/>
      <c r="UAT28" s="19"/>
      <c r="UAU28" s="19"/>
      <c r="UAV28" s="19"/>
      <c r="UAW28" s="19"/>
      <c r="UAX28" s="19"/>
      <c r="UAY28" s="19"/>
      <c r="UAZ28" s="19"/>
      <c r="UBA28" s="19"/>
      <c r="UBB28" s="19"/>
      <c r="UBC28" s="19"/>
      <c r="UBD28" s="19"/>
      <c r="UBE28" s="19"/>
      <c r="UBF28" s="19"/>
      <c r="UBG28" s="19"/>
      <c r="UBH28" s="19"/>
      <c r="UBI28" s="19"/>
      <c r="UBJ28" s="19"/>
      <c r="UBK28" s="19"/>
      <c r="UBL28" s="19"/>
      <c r="UBM28" s="19"/>
      <c r="UBN28" s="19"/>
      <c r="UBO28" s="19"/>
      <c r="UBP28" s="19"/>
      <c r="UBQ28" s="19"/>
      <c r="UBR28" s="19"/>
      <c r="UBS28" s="19"/>
      <c r="UBT28" s="19"/>
      <c r="UBU28" s="19"/>
      <c r="UBV28" s="19"/>
      <c r="UBW28" s="19"/>
      <c r="UBX28" s="19"/>
      <c r="UBY28" s="19"/>
      <c r="UBZ28" s="19"/>
      <c r="UCA28" s="19"/>
      <c r="UCB28" s="19"/>
      <c r="UCC28" s="19"/>
      <c r="UCD28" s="19"/>
      <c r="UCE28" s="19"/>
      <c r="UCF28" s="19"/>
      <c r="UCG28" s="19"/>
      <c r="UCH28" s="19"/>
      <c r="UCI28" s="19"/>
      <c r="UCJ28" s="19"/>
      <c r="UCK28" s="19"/>
      <c r="UCL28" s="19"/>
      <c r="UCM28" s="19"/>
      <c r="UCN28" s="19"/>
      <c r="UCO28" s="19"/>
      <c r="UCP28" s="19"/>
      <c r="UCQ28" s="19"/>
      <c r="UCR28" s="19"/>
      <c r="UCS28" s="19"/>
      <c r="UCT28" s="19"/>
      <c r="UCU28" s="19"/>
      <c r="UCV28" s="19"/>
      <c r="UCW28" s="19"/>
      <c r="UCX28" s="19"/>
      <c r="UCY28" s="19"/>
      <c r="UCZ28" s="19"/>
      <c r="UDA28" s="19"/>
      <c r="UDB28" s="19"/>
      <c r="UDC28" s="19"/>
      <c r="UDD28" s="19"/>
      <c r="UDE28" s="19"/>
      <c r="UDF28" s="19"/>
      <c r="UDG28" s="19"/>
      <c r="UDH28" s="19"/>
      <c r="UDI28" s="19"/>
      <c r="UDJ28" s="19"/>
      <c r="UDK28" s="19"/>
      <c r="UDL28" s="19"/>
      <c r="UDM28" s="19"/>
      <c r="UDN28" s="19"/>
      <c r="UDO28" s="19"/>
      <c r="UDP28" s="19"/>
      <c r="UDQ28" s="19"/>
      <c r="UDR28" s="19"/>
      <c r="UDS28" s="19"/>
      <c r="UDT28" s="19"/>
      <c r="UDU28" s="19"/>
      <c r="UDV28" s="19"/>
      <c r="UDW28" s="19"/>
      <c r="UDX28" s="19"/>
      <c r="UDY28" s="19"/>
      <c r="UDZ28" s="19"/>
      <c r="UEA28" s="19"/>
      <c r="UEB28" s="19"/>
      <c r="UEC28" s="19"/>
      <c r="UED28" s="19"/>
      <c r="UEE28" s="19"/>
      <c r="UEF28" s="19"/>
      <c r="UEG28" s="19"/>
      <c r="UEH28" s="19"/>
      <c r="UEI28" s="19"/>
      <c r="UEJ28" s="19"/>
      <c r="UEK28" s="19"/>
      <c r="UEL28" s="19"/>
      <c r="UEM28" s="19"/>
      <c r="UEN28" s="19"/>
      <c r="UEO28" s="19"/>
      <c r="UEP28" s="19"/>
      <c r="UEQ28" s="19"/>
      <c r="UER28" s="19"/>
      <c r="UES28" s="19"/>
      <c r="UET28" s="19"/>
      <c r="UEU28" s="19"/>
      <c r="UEV28" s="19"/>
      <c r="UEW28" s="19"/>
      <c r="UEX28" s="19"/>
      <c r="UEY28" s="19"/>
      <c r="UEZ28" s="19"/>
      <c r="UFA28" s="19"/>
      <c r="UFB28" s="19"/>
      <c r="UFC28" s="19"/>
      <c r="UFD28" s="19"/>
      <c r="UFE28" s="19"/>
      <c r="UFF28" s="19"/>
      <c r="UFG28" s="19"/>
      <c r="UFH28" s="19"/>
      <c r="UFI28" s="19"/>
      <c r="UFJ28" s="19"/>
      <c r="UFK28" s="19"/>
      <c r="UFL28" s="19"/>
      <c r="UFM28" s="19"/>
      <c r="UFN28" s="19"/>
      <c r="UFO28" s="19"/>
      <c r="UFP28" s="19"/>
      <c r="UFQ28" s="19"/>
      <c r="UFR28" s="19"/>
      <c r="UFS28" s="19"/>
      <c r="UFT28" s="19"/>
      <c r="UFU28" s="19"/>
      <c r="UFV28" s="19"/>
      <c r="UFW28" s="19"/>
      <c r="UFX28" s="19"/>
      <c r="UFY28" s="19"/>
      <c r="UFZ28" s="19"/>
      <c r="UGA28" s="19"/>
      <c r="UGB28" s="19"/>
      <c r="UGC28" s="19"/>
      <c r="UGD28" s="19"/>
      <c r="UGE28" s="19"/>
      <c r="UGF28" s="19"/>
      <c r="UGG28" s="19"/>
      <c r="UGH28" s="19"/>
      <c r="UGI28" s="19"/>
      <c r="UGJ28" s="19"/>
      <c r="UGK28" s="19"/>
      <c r="UGL28" s="19"/>
      <c r="UGM28" s="19"/>
      <c r="UGN28" s="19"/>
      <c r="UGO28" s="19"/>
      <c r="UGP28" s="19"/>
      <c r="UGQ28" s="19"/>
      <c r="UGR28" s="19"/>
      <c r="UGS28" s="19"/>
      <c r="UGT28" s="19"/>
      <c r="UGU28" s="19"/>
      <c r="UGV28" s="19"/>
      <c r="UGW28" s="19"/>
      <c r="UGX28" s="19"/>
      <c r="UGY28" s="19"/>
      <c r="UGZ28" s="19"/>
      <c r="UHA28" s="19"/>
      <c r="UHB28" s="19"/>
      <c r="UHC28" s="19"/>
      <c r="UHD28" s="19"/>
      <c r="UHE28" s="19"/>
      <c r="UHF28" s="19"/>
      <c r="UHG28" s="19"/>
      <c r="UHH28" s="19"/>
      <c r="UHI28" s="19"/>
      <c r="UHJ28" s="19"/>
      <c r="UHK28" s="19"/>
      <c r="UHL28" s="19"/>
      <c r="UHM28" s="19"/>
      <c r="UHN28" s="19"/>
      <c r="UHO28" s="19"/>
      <c r="UHP28" s="19"/>
      <c r="UHQ28" s="19"/>
      <c r="UHR28" s="19"/>
      <c r="UHS28" s="19"/>
      <c r="UHT28" s="19"/>
      <c r="UHU28" s="19"/>
      <c r="UHV28" s="19"/>
      <c r="UHW28" s="19"/>
      <c r="UHX28" s="19"/>
      <c r="UHY28" s="19"/>
      <c r="UHZ28" s="19"/>
      <c r="UIA28" s="19"/>
      <c r="UIB28" s="19"/>
      <c r="UIC28" s="19"/>
      <c r="UID28" s="19"/>
      <c r="UIE28" s="19"/>
      <c r="UIF28" s="19"/>
      <c r="UIG28" s="19"/>
      <c r="UIH28" s="19"/>
      <c r="UII28" s="19"/>
      <c r="UIJ28" s="19"/>
      <c r="UIK28" s="19"/>
      <c r="UIL28" s="19"/>
      <c r="UIM28" s="19"/>
      <c r="UIN28" s="19"/>
      <c r="UIO28" s="19"/>
      <c r="UIP28" s="19"/>
      <c r="UIQ28" s="19"/>
      <c r="UIR28" s="19"/>
      <c r="UIS28" s="19"/>
      <c r="UIT28" s="19"/>
      <c r="UIU28" s="19"/>
      <c r="UIV28" s="19"/>
      <c r="UIW28" s="19"/>
      <c r="UIX28" s="19"/>
      <c r="UIY28" s="19"/>
      <c r="UIZ28" s="19"/>
      <c r="UJA28" s="19"/>
      <c r="UJB28" s="19"/>
      <c r="UJC28" s="19"/>
      <c r="UJD28" s="19"/>
      <c r="UJE28" s="19"/>
      <c r="UJF28" s="19"/>
      <c r="UJG28" s="19"/>
      <c r="UJH28" s="19"/>
      <c r="UJI28" s="19"/>
      <c r="UJJ28" s="19"/>
      <c r="UJK28" s="19"/>
      <c r="UJL28" s="19"/>
      <c r="UJM28" s="19"/>
      <c r="UJN28" s="19"/>
      <c r="UJO28" s="19"/>
      <c r="UJP28" s="19"/>
      <c r="UJQ28" s="19"/>
      <c r="UJR28" s="19"/>
      <c r="UJS28" s="19"/>
      <c r="UJT28" s="19"/>
      <c r="UJU28" s="19"/>
      <c r="UJV28" s="19"/>
      <c r="UJW28" s="19"/>
      <c r="UJX28" s="19"/>
      <c r="UJY28" s="19"/>
      <c r="UJZ28" s="19"/>
      <c r="UKA28" s="19"/>
      <c r="UKB28" s="19"/>
      <c r="UKC28" s="19"/>
      <c r="UKD28" s="19"/>
      <c r="UKE28" s="19"/>
      <c r="UKF28" s="19"/>
      <c r="UKG28" s="19"/>
      <c r="UKH28" s="19"/>
      <c r="UKI28" s="19"/>
      <c r="UKJ28" s="19"/>
      <c r="UKK28" s="19"/>
      <c r="UKL28" s="19"/>
      <c r="UKM28" s="19"/>
      <c r="UKN28" s="19"/>
      <c r="UKO28" s="19"/>
      <c r="UKP28" s="19"/>
      <c r="UKQ28" s="19"/>
      <c r="UKR28" s="19"/>
      <c r="UKS28" s="19"/>
      <c r="UKT28" s="19"/>
      <c r="UKU28" s="19"/>
      <c r="UKV28" s="19"/>
      <c r="UKW28" s="19"/>
      <c r="UKX28" s="19"/>
      <c r="UKY28" s="19"/>
      <c r="UKZ28" s="19"/>
      <c r="ULA28" s="19"/>
      <c r="ULB28" s="19"/>
      <c r="ULC28" s="19"/>
      <c r="ULD28" s="19"/>
      <c r="ULE28" s="19"/>
      <c r="ULF28" s="19"/>
      <c r="ULG28" s="19"/>
      <c r="ULH28" s="19"/>
      <c r="ULI28" s="19"/>
      <c r="ULJ28" s="19"/>
      <c r="ULK28" s="19"/>
      <c r="ULL28" s="19"/>
      <c r="ULM28" s="19"/>
      <c r="ULN28" s="19"/>
      <c r="ULO28" s="19"/>
      <c r="ULP28" s="19"/>
      <c r="ULQ28" s="19"/>
      <c r="ULR28" s="19"/>
      <c r="ULS28" s="19"/>
      <c r="ULT28" s="19"/>
      <c r="ULU28" s="19"/>
      <c r="ULV28" s="19"/>
      <c r="ULW28" s="19"/>
      <c r="ULX28" s="19"/>
      <c r="ULY28" s="19"/>
      <c r="ULZ28" s="19"/>
      <c r="UMA28" s="19"/>
      <c r="UMB28" s="19"/>
      <c r="UMC28" s="19"/>
      <c r="UMD28" s="19"/>
      <c r="UME28" s="19"/>
      <c r="UMF28" s="19"/>
      <c r="UMG28" s="19"/>
      <c r="UMH28" s="19"/>
      <c r="UMI28" s="19"/>
      <c r="UMJ28" s="19"/>
      <c r="UMK28" s="19"/>
      <c r="UML28" s="19"/>
      <c r="UMM28" s="19"/>
      <c r="UMN28" s="19"/>
      <c r="UMO28" s="19"/>
      <c r="UMP28" s="19"/>
      <c r="UMQ28" s="19"/>
      <c r="UMR28" s="19"/>
      <c r="UMS28" s="19"/>
      <c r="UMT28" s="19"/>
      <c r="UMU28" s="19"/>
      <c r="UMV28" s="19"/>
      <c r="UMW28" s="19"/>
      <c r="UMX28" s="19"/>
      <c r="UMY28" s="19"/>
      <c r="UMZ28" s="19"/>
      <c r="UNA28" s="19"/>
      <c r="UNB28" s="19"/>
      <c r="UNC28" s="19"/>
      <c r="UND28" s="19"/>
      <c r="UNE28" s="19"/>
      <c r="UNF28" s="19"/>
      <c r="UNG28" s="19"/>
      <c r="UNH28" s="19"/>
      <c r="UNI28" s="19"/>
      <c r="UNJ28" s="19"/>
      <c r="UNK28" s="19"/>
      <c r="UNL28" s="19"/>
      <c r="UNM28" s="19"/>
      <c r="UNN28" s="19"/>
      <c r="UNO28" s="19"/>
      <c r="UNP28" s="19"/>
      <c r="UNQ28" s="19"/>
      <c r="UNR28" s="19"/>
      <c r="UNS28" s="19"/>
      <c r="UNT28" s="19"/>
      <c r="UNU28" s="19"/>
      <c r="UNV28" s="19"/>
      <c r="UNW28" s="19"/>
      <c r="UNX28" s="19"/>
      <c r="UNY28" s="19"/>
      <c r="UNZ28" s="19"/>
      <c r="UOA28" s="19"/>
      <c r="UOB28" s="19"/>
      <c r="UOC28" s="19"/>
      <c r="UOD28" s="19"/>
      <c r="UOE28" s="19"/>
      <c r="UOF28" s="19"/>
      <c r="UOG28" s="19"/>
      <c r="UOH28" s="19"/>
      <c r="UOI28" s="19"/>
      <c r="UOJ28" s="19"/>
      <c r="UOK28" s="19"/>
      <c r="UOL28" s="19"/>
      <c r="UOM28" s="19"/>
      <c r="UON28" s="19"/>
      <c r="UOO28" s="19"/>
      <c r="UOP28" s="19"/>
      <c r="UOQ28" s="19"/>
      <c r="UOR28" s="19"/>
      <c r="UOS28" s="19"/>
      <c r="UOT28" s="19"/>
      <c r="UOU28" s="19"/>
      <c r="UOV28" s="19"/>
      <c r="UOW28" s="19"/>
      <c r="UOX28" s="19"/>
      <c r="UOY28" s="19"/>
      <c r="UOZ28" s="19"/>
      <c r="UPA28" s="19"/>
      <c r="UPB28" s="19"/>
      <c r="UPC28" s="19"/>
      <c r="UPD28" s="19"/>
      <c r="UPE28" s="19"/>
      <c r="UPF28" s="19"/>
      <c r="UPG28" s="19"/>
      <c r="UPH28" s="19"/>
      <c r="UPI28" s="19"/>
      <c r="UPJ28" s="19"/>
      <c r="UPK28" s="19"/>
      <c r="UPL28" s="19"/>
      <c r="UPM28" s="19"/>
      <c r="UPN28" s="19"/>
      <c r="UPO28" s="19"/>
      <c r="UPP28" s="19"/>
      <c r="UPQ28" s="19"/>
      <c r="UPR28" s="19"/>
      <c r="UPS28" s="19"/>
      <c r="UPT28" s="19"/>
      <c r="UPU28" s="19"/>
      <c r="UPV28" s="19"/>
      <c r="UPW28" s="19"/>
      <c r="UPX28" s="19"/>
      <c r="UPY28" s="19"/>
      <c r="UPZ28" s="19"/>
      <c r="UQA28" s="19"/>
      <c r="UQB28" s="19"/>
      <c r="UQC28" s="19"/>
      <c r="UQD28" s="19"/>
      <c r="UQE28" s="19"/>
      <c r="UQF28" s="19"/>
      <c r="UQG28" s="19"/>
      <c r="UQH28" s="19"/>
      <c r="UQI28" s="19"/>
      <c r="UQJ28" s="19"/>
      <c r="UQK28" s="19"/>
      <c r="UQL28" s="19"/>
      <c r="UQM28" s="19"/>
      <c r="UQN28" s="19"/>
      <c r="UQO28" s="19"/>
      <c r="UQP28" s="19"/>
      <c r="UQQ28" s="19"/>
      <c r="UQR28" s="19"/>
      <c r="UQS28" s="19"/>
      <c r="UQT28" s="19"/>
      <c r="UQU28" s="19"/>
      <c r="UQV28" s="19"/>
      <c r="UQW28" s="19"/>
      <c r="UQX28" s="19"/>
      <c r="UQY28" s="19"/>
      <c r="UQZ28" s="19"/>
      <c r="URA28" s="19"/>
      <c r="URB28" s="19"/>
      <c r="URC28" s="19"/>
      <c r="URD28" s="19"/>
      <c r="URE28" s="19"/>
      <c r="URF28" s="19"/>
      <c r="URG28" s="19"/>
      <c r="URH28" s="19"/>
      <c r="URI28" s="19"/>
      <c r="URJ28" s="19"/>
      <c r="URK28" s="19"/>
      <c r="URL28" s="19"/>
      <c r="URM28" s="19"/>
      <c r="URN28" s="19"/>
      <c r="URO28" s="19"/>
      <c r="URP28" s="19"/>
      <c r="URQ28" s="19"/>
      <c r="URR28" s="19"/>
      <c r="URS28" s="19"/>
      <c r="URT28" s="19"/>
      <c r="URU28" s="19"/>
      <c r="URV28" s="19"/>
      <c r="URW28" s="19"/>
      <c r="URX28" s="19"/>
      <c r="URY28" s="19"/>
      <c r="URZ28" s="19"/>
      <c r="USA28" s="19"/>
      <c r="USB28" s="19"/>
      <c r="USC28" s="19"/>
      <c r="USD28" s="19"/>
      <c r="USE28" s="19"/>
      <c r="USF28" s="19"/>
      <c r="USG28" s="19"/>
      <c r="USH28" s="19"/>
      <c r="USI28" s="19"/>
      <c r="USJ28" s="19"/>
      <c r="USK28" s="19"/>
      <c r="USL28" s="19"/>
      <c r="USM28" s="19"/>
      <c r="USN28" s="19"/>
      <c r="USO28" s="19"/>
      <c r="USP28" s="19"/>
      <c r="USQ28" s="19"/>
      <c r="USR28" s="19"/>
      <c r="USS28" s="19"/>
      <c r="UST28" s="19"/>
      <c r="USU28" s="19"/>
      <c r="USV28" s="19"/>
      <c r="USW28" s="19"/>
      <c r="USX28" s="19"/>
      <c r="USY28" s="19"/>
      <c r="USZ28" s="19"/>
      <c r="UTA28" s="19"/>
      <c r="UTB28" s="19"/>
      <c r="UTC28" s="19"/>
      <c r="UTD28" s="19"/>
      <c r="UTE28" s="19"/>
      <c r="UTF28" s="19"/>
      <c r="UTG28" s="19"/>
      <c r="UTH28" s="19"/>
      <c r="UTI28" s="19"/>
      <c r="UTJ28" s="19"/>
      <c r="UTK28" s="19"/>
      <c r="UTL28" s="19"/>
      <c r="UTM28" s="19"/>
      <c r="UTN28" s="19"/>
      <c r="UTO28" s="19"/>
      <c r="UTP28" s="19"/>
      <c r="UTQ28" s="19"/>
      <c r="UTR28" s="19"/>
      <c r="UTS28" s="19"/>
      <c r="UTT28" s="19"/>
      <c r="UTU28" s="19"/>
      <c r="UTV28" s="19"/>
      <c r="UTW28" s="19"/>
      <c r="UTX28" s="19"/>
      <c r="UTY28" s="19"/>
      <c r="UTZ28" s="19"/>
      <c r="UUA28" s="19"/>
      <c r="UUB28" s="19"/>
      <c r="UUC28" s="19"/>
      <c r="UUD28" s="19"/>
      <c r="UUE28" s="19"/>
      <c r="UUF28" s="19"/>
      <c r="UUG28" s="19"/>
      <c r="UUH28" s="19"/>
      <c r="UUI28" s="19"/>
      <c r="UUJ28" s="19"/>
      <c r="UUK28" s="19"/>
      <c r="UUL28" s="19"/>
      <c r="UUM28" s="19"/>
      <c r="UUN28" s="19"/>
      <c r="UUO28" s="19"/>
      <c r="UUP28" s="19"/>
      <c r="UUQ28" s="19"/>
      <c r="UUR28" s="19"/>
      <c r="UUS28" s="19"/>
      <c r="UUT28" s="19"/>
      <c r="UUU28" s="19"/>
      <c r="UUV28" s="19"/>
      <c r="UUW28" s="19"/>
      <c r="UUX28" s="19"/>
      <c r="UUY28" s="19"/>
      <c r="UUZ28" s="19"/>
      <c r="UVA28" s="19"/>
      <c r="UVB28" s="19"/>
      <c r="UVC28" s="19"/>
      <c r="UVD28" s="19"/>
      <c r="UVE28" s="19"/>
      <c r="UVF28" s="19"/>
      <c r="UVG28" s="19"/>
      <c r="UVH28" s="19"/>
      <c r="UVI28" s="19"/>
      <c r="UVJ28" s="19"/>
      <c r="UVK28" s="19"/>
      <c r="UVL28" s="19"/>
      <c r="UVM28" s="19"/>
      <c r="UVN28" s="19"/>
      <c r="UVO28" s="19"/>
      <c r="UVP28" s="19"/>
      <c r="UVQ28" s="19"/>
      <c r="UVR28" s="19"/>
      <c r="UVS28" s="19"/>
      <c r="UVT28" s="19"/>
      <c r="UVU28" s="19"/>
      <c r="UVV28" s="19"/>
      <c r="UVW28" s="19"/>
      <c r="UVX28" s="19"/>
      <c r="UVY28" s="19"/>
      <c r="UVZ28" s="19"/>
      <c r="UWA28" s="19"/>
      <c r="UWB28" s="19"/>
      <c r="UWC28" s="19"/>
      <c r="UWD28" s="19"/>
      <c r="UWE28" s="19"/>
      <c r="UWF28" s="19"/>
      <c r="UWG28" s="19"/>
      <c r="UWH28" s="19"/>
      <c r="UWI28" s="19"/>
      <c r="UWJ28" s="19"/>
      <c r="UWK28" s="19"/>
      <c r="UWL28" s="19"/>
      <c r="UWM28" s="19"/>
      <c r="UWN28" s="19"/>
      <c r="UWO28" s="19"/>
      <c r="UWP28" s="19"/>
      <c r="UWQ28" s="19"/>
      <c r="UWR28" s="19"/>
      <c r="UWS28" s="19"/>
      <c r="UWT28" s="19"/>
      <c r="UWU28" s="19"/>
      <c r="UWV28" s="19"/>
      <c r="UWW28" s="19"/>
      <c r="UWX28" s="19"/>
      <c r="UWY28" s="19"/>
      <c r="UWZ28" s="19"/>
      <c r="UXA28" s="19"/>
      <c r="UXB28" s="19"/>
      <c r="UXC28" s="19"/>
      <c r="UXD28" s="19"/>
      <c r="UXE28" s="19"/>
      <c r="UXF28" s="19"/>
      <c r="UXG28" s="19"/>
      <c r="UXH28" s="19"/>
      <c r="UXI28" s="19"/>
      <c r="UXJ28" s="19"/>
      <c r="UXK28" s="19"/>
      <c r="UXL28" s="19"/>
      <c r="UXM28" s="19"/>
      <c r="UXN28" s="19"/>
      <c r="UXO28" s="19"/>
      <c r="UXP28" s="19"/>
      <c r="UXQ28" s="19"/>
      <c r="UXR28" s="19"/>
      <c r="UXS28" s="19"/>
      <c r="UXT28" s="19"/>
      <c r="UXU28" s="19"/>
      <c r="UXV28" s="19"/>
      <c r="UXW28" s="19"/>
      <c r="UXX28" s="19"/>
      <c r="UXY28" s="19"/>
      <c r="UXZ28" s="19"/>
      <c r="UYA28" s="19"/>
      <c r="UYB28" s="19"/>
      <c r="UYC28" s="19"/>
      <c r="UYD28" s="19"/>
      <c r="UYE28" s="19"/>
      <c r="UYF28" s="19"/>
      <c r="UYG28" s="19"/>
      <c r="UYH28" s="19"/>
      <c r="UYI28" s="19"/>
      <c r="UYJ28" s="19"/>
      <c r="UYK28" s="19"/>
      <c r="UYL28" s="19"/>
      <c r="UYM28" s="19"/>
      <c r="UYN28" s="19"/>
      <c r="UYO28" s="19"/>
      <c r="UYP28" s="19"/>
      <c r="UYQ28" s="19"/>
      <c r="UYR28" s="19"/>
      <c r="UYS28" s="19"/>
      <c r="UYT28" s="19"/>
      <c r="UYU28" s="19"/>
      <c r="UYV28" s="19"/>
      <c r="UYW28" s="19"/>
      <c r="UYX28" s="19"/>
      <c r="UYY28" s="19"/>
      <c r="UYZ28" s="19"/>
      <c r="UZA28" s="19"/>
      <c r="UZB28" s="19"/>
      <c r="UZC28" s="19"/>
      <c r="UZD28" s="19"/>
      <c r="UZE28" s="19"/>
      <c r="UZF28" s="19"/>
      <c r="UZG28" s="19"/>
      <c r="UZH28" s="19"/>
      <c r="UZI28" s="19"/>
      <c r="UZJ28" s="19"/>
      <c r="UZK28" s="19"/>
      <c r="UZL28" s="19"/>
      <c r="UZM28" s="19"/>
      <c r="UZN28" s="19"/>
      <c r="UZO28" s="19"/>
      <c r="UZP28" s="19"/>
      <c r="UZQ28" s="19"/>
      <c r="UZR28" s="19"/>
      <c r="UZS28" s="19"/>
      <c r="UZT28" s="19"/>
      <c r="UZU28" s="19"/>
      <c r="UZV28" s="19"/>
      <c r="UZW28" s="19"/>
      <c r="UZX28" s="19"/>
      <c r="UZY28" s="19"/>
      <c r="UZZ28" s="19"/>
      <c r="VAA28" s="19"/>
      <c r="VAB28" s="19"/>
      <c r="VAC28" s="19"/>
      <c r="VAD28" s="19"/>
      <c r="VAE28" s="19"/>
      <c r="VAF28" s="19"/>
      <c r="VAG28" s="19"/>
      <c r="VAH28" s="19"/>
      <c r="VAI28" s="19"/>
      <c r="VAJ28" s="19"/>
      <c r="VAK28" s="19"/>
      <c r="VAL28" s="19"/>
      <c r="VAM28" s="19"/>
      <c r="VAN28" s="19"/>
      <c r="VAO28" s="19"/>
      <c r="VAP28" s="19"/>
      <c r="VAQ28" s="19"/>
      <c r="VAR28" s="19"/>
      <c r="VAS28" s="19"/>
      <c r="VAT28" s="19"/>
      <c r="VAU28" s="19"/>
      <c r="VAV28" s="19"/>
      <c r="VAW28" s="19"/>
      <c r="VAX28" s="19"/>
      <c r="VAY28" s="19"/>
      <c r="VAZ28" s="19"/>
      <c r="VBA28" s="19"/>
      <c r="VBB28" s="19"/>
      <c r="VBC28" s="19"/>
      <c r="VBD28" s="19"/>
      <c r="VBE28" s="19"/>
      <c r="VBF28" s="19"/>
      <c r="VBG28" s="19"/>
      <c r="VBH28" s="19"/>
      <c r="VBI28" s="19"/>
      <c r="VBJ28" s="19"/>
      <c r="VBK28" s="19"/>
      <c r="VBL28" s="19"/>
      <c r="VBM28" s="19"/>
      <c r="VBN28" s="19"/>
      <c r="VBO28" s="19"/>
      <c r="VBP28" s="19"/>
      <c r="VBQ28" s="19"/>
      <c r="VBR28" s="19"/>
      <c r="VBS28" s="19"/>
      <c r="VBT28" s="19"/>
      <c r="VBU28" s="19"/>
      <c r="VBV28" s="19"/>
      <c r="VBW28" s="19"/>
      <c r="VBX28" s="19"/>
      <c r="VBY28" s="19"/>
      <c r="VBZ28" s="19"/>
      <c r="VCA28" s="19"/>
      <c r="VCB28" s="19"/>
      <c r="VCC28" s="19"/>
      <c r="VCD28" s="19"/>
      <c r="VCE28" s="19"/>
      <c r="VCF28" s="19"/>
      <c r="VCG28" s="19"/>
      <c r="VCH28" s="19"/>
      <c r="VCI28" s="19"/>
      <c r="VCJ28" s="19"/>
      <c r="VCK28" s="19"/>
      <c r="VCL28" s="19"/>
      <c r="VCM28" s="19"/>
      <c r="VCN28" s="19"/>
      <c r="VCO28" s="19"/>
      <c r="VCP28" s="19"/>
      <c r="VCQ28" s="19"/>
      <c r="VCR28" s="19"/>
      <c r="VCS28" s="19"/>
      <c r="VCT28" s="19"/>
      <c r="VCU28" s="19"/>
      <c r="VCV28" s="19"/>
      <c r="VCW28" s="19"/>
      <c r="VCX28" s="19"/>
      <c r="VCY28" s="19"/>
      <c r="VCZ28" s="19"/>
      <c r="VDA28" s="19"/>
      <c r="VDB28" s="19"/>
      <c r="VDC28" s="19"/>
      <c r="VDD28" s="19"/>
      <c r="VDE28" s="19"/>
      <c r="VDF28" s="19"/>
      <c r="VDG28" s="19"/>
      <c r="VDH28" s="19"/>
      <c r="VDI28" s="19"/>
      <c r="VDJ28" s="19"/>
      <c r="VDK28" s="19"/>
      <c r="VDL28" s="19"/>
      <c r="VDM28" s="19"/>
      <c r="VDN28" s="19"/>
      <c r="VDO28" s="19"/>
      <c r="VDP28" s="19"/>
      <c r="VDQ28" s="19"/>
      <c r="VDR28" s="19"/>
      <c r="VDS28" s="19"/>
      <c r="VDT28" s="19"/>
      <c r="VDU28" s="19"/>
      <c r="VDV28" s="19"/>
      <c r="VDW28" s="19"/>
      <c r="VDX28" s="19"/>
      <c r="VDY28" s="19"/>
      <c r="VDZ28" s="19"/>
      <c r="VEA28" s="19"/>
      <c r="VEB28" s="19"/>
      <c r="VEC28" s="19"/>
      <c r="VED28" s="19"/>
      <c r="VEE28" s="19"/>
      <c r="VEF28" s="19"/>
      <c r="VEG28" s="19"/>
      <c r="VEH28" s="19"/>
      <c r="VEI28" s="19"/>
      <c r="VEJ28" s="19"/>
      <c r="VEK28" s="19"/>
      <c r="VEL28" s="19"/>
      <c r="VEM28" s="19"/>
      <c r="VEN28" s="19"/>
      <c r="VEO28" s="19"/>
      <c r="VEP28" s="19"/>
      <c r="VEQ28" s="19"/>
      <c r="VER28" s="19"/>
      <c r="VES28" s="19"/>
      <c r="VET28" s="19"/>
      <c r="VEU28" s="19"/>
      <c r="VEV28" s="19"/>
      <c r="VEW28" s="19"/>
      <c r="VEX28" s="19"/>
      <c r="VEY28" s="19"/>
      <c r="VEZ28" s="19"/>
      <c r="VFA28" s="19"/>
      <c r="VFB28" s="19"/>
      <c r="VFC28" s="19"/>
      <c r="VFD28" s="19"/>
      <c r="VFE28" s="19"/>
      <c r="VFF28" s="19"/>
      <c r="VFG28" s="19"/>
      <c r="VFH28" s="19"/>
      <c r="VFI28" s="19"/>
      <c r="VFJ28" s="19"/>
      <c r="VFK28" s="19"/>
      <c r="VFL28" s="19"/>
      <c r="VFM28" s="19"/>
      <c r="VFN28" s="19"/>
      <c r="VFO28" s="19"/>
      <c r="VFP28" s="19"/>
      <c r="VFQ28" s="19"/>
      <c r="VFR28" s="19"/>
      <c r="VFS28" s="19"/>
      <c r="VFT28" s="19"/>
      <c r="VFU28" s="19"/>
      <c r="VFV28" s="19"/>
      <c r="VFW28" s="19"/>
      <c r="VFX28" s="19"/>
      <c r="VFY28" s="19"/>
      <c r="VFZ28" s="19"/>
      <c r="VGA28" s="19"/>
      <c r="VGB28" s="19"/>
      <c r="VGC28" s="19"/>
      <c r="VGD28" s="19"/>
      <c r="VGE28" s="19"/>
      <c r="VGF28" s="19"/>
      <c r="VGG28" s="19"/>
      <c r="VGH28" s="19"/>
      <c r="VGI28" s="19"/>
      <c r="VGJ28" s="19"/>
      <c r="VGK28" s="19"/>
      <c r="VGL28" s="19"/>
      <c r="VGM28" s="19"/>
      <c r="VGN28" s="19"/>
      <c r="VGO28" s="19"/>
      <c r="VGP28" s="19"/>
      <c r="VGQ28" s="19"/>
      <c r="VGR28" s="19"/>
      <c r="VGS28" s="19"/>
      <c r="VGT28" s="19"/>
      <c r="VGU28" s="19"/>
      <c r="VGV28" s="19"/>
      <c r="VGW28" s="19"/>
      <c r="VGX28" s="19"/>
      <c r="VGY28" s="19"/>
      <c r="VGZ28" s="19"/>
      <c r="VHA28" s="19"/>
      <c r="VHB28" s="19"/>
      <c r="VHC28" s="19"/>
      <c r="VHD28" s="19"/>
      <c r="VHE28" s="19"/>
      <c r="VHF28" s="19"/>
      <c r="VHG28" s="19"/>
      <c r="VHH28" s="19"/>
      <c r="VHI28" s="19"/>
      <c r="VHJ28" s="19"/>
      <c r="VHK28" s="19"/>
      <c r="VHL28" s="19"/>
      <c r="VHM28" s="19"/>
      <c r="VHN28" s="19"/>
      <c r="VHO28" s="19"/>
      <c r="VHP28" s="19"/>
      <c r="VHQ28" s="19"/>
      <c r="VHR28" s="19"/>
      <c r="VHS28" s="19"/>
      <c r="VHT28" s="19"/>
      <c r="VHU28" s="19"/>
      <c r="VHV28" s="19"/>
      <c r="VHW28" s="19"/>
      <c r="VHX28" s="19"/>
      <c r="VHY28" s="19"/>
      <c r="VHZ28" s="19"/>
      <c r="VIA28" s="19"/>
      <c r="VIB28" s="19"/>
      <c r="VIC28" s="19"/>
      <c r="VID28" s="19"/>
      <c r="VIE28" s="19"/>
      <c r="VIF28" s="19"/>
      <c r="VIG28" s="19"/>
      <c r="VIH28" s="19"/>
      <c r="VII28" s="19"/>
      <c r="VIJ28" s="19"/>
      <c r="VIK28" s="19"/>
      <c r="VIL28" s="19"/>
      <c r="VIM28" s="19"/>
      <c r="VIN28" s="19"/>
      <c r="VIO28" s="19"/>
      <c r="VIP28" s="19"/>
      <c r="VIQ28" s="19"/>
      <c r="VIR28" s="19"/>
      <c r="VIS28" s="19"/>
      <c r="VIT28" s="19"/>
      <c r="VIU28" s="19"/>
      <c r="VIV28" s="19"/>
      <c r="VIW28" s="19"/>
      <c r="VIX28" s="19"/>
      <c r="VIY28" s="19"/>
      <c r="VIZ28" s="19"/>
      <c r="VJA28" s="19"/>
      <c r="VJB28" s="19"/>
      <c r="VJC28" s="19"/>
      <c r="VJD28" s="19"/>
      <c r="VJE28" s="19"/>
      <c r="VJF28" s="19"/>
      <c r="VJG28" s="19"/>
      <c r="VJH28" s="19"/>
      <c r="VJI28" s="19"/>
      <c r="VJJ28" s="19"/>
      <c r="VJK28" s="19"/>
      <c r="VJL28" s="19"/>
      <c r="VJM28" s="19"/>
      <c r="VJN28" s="19"/>
      <c r="VJO28" s="19"/>
      <c r="VJP28" s="19"/>
      <c r="VJQ28" s="19"/>
      <c r="VJR28" s="19"/>
      <c r="VJS28" s="19"/>
      <c r="VJT28" s="19"/>
      <c r="VJU28" s="19"/>
      <c r="VJV28" s="19"/>
      <c r="VJW28" s="19"/>
      <c r="VJX28" s="19"/>
      <c r="VJY28" s="19"/>
      <c r="VJZ28" s="19"/>
      <c r="VKA28" s="19"/>
      <c r="VKB28" s="19"/>
      <c r="VKC28" s="19"/>
      <c r="VKD28" s="19"/>
      <c r="VKE28" s="19"/>
      <c r="VKF28" s="19"/>
      <c r="VKG28" s="19"/>
      <c r="VKH28" s="19"/>
      <c r="VKI28" s="19"/>
      <c r="VKJ28" s="19"/>
      <c r="VKK28" s="19"/>
      <c r="VKL28" s="19"/>
      <c r="VKM28" s="19"/>
      <c r="VKN28" s="19"/>
      <c r="VKO28" s="19"/>
      <c r="VKP28" s="19"/>
      <c r="VKQ28" s="19"/>
      <c r="VKR28" s="19"/>
      <c r="VKS28" s="19"/>
      <c r="VKT28" s="19"/>
      <c r="VKU28" s="19"/>
      <c r="VKV28" s="19"/>
      <c r="VKW28" s="19"/>
      <c r="VKX28" s="19"/>
      <c r="VKY28" s="19"/>
      <c r="VKZ28" s="19"/>
      <c r="VLA28" s="19"/>
      <c r="VLB28" s="19"/>
      <c r="VLC28" s="19"/>
      <c r="VLD28" s="19"/>
      <c r="VLE28" s="19"/>
      <c r="VLF28" s="19"/>
      <c r="VLG28" s="19"/>
      <c r="VLH28" s="19"/>
      <c r="VLI28" s="19"/>
      <c r="VLJ28" s="19"/>
      <c r="VLK28" s="19"/>
      <c r="VLL28" s="19"/>
      <c r="VLM28" s="19"/>
      <c r="VLN28" s="19"/>
      <c r="VLO28" s="19"/>
      <c r="VLP28" s="19"/>
      <c r="VLQ28" s="19"/>
      <c r="VLR28" s="19"/>
      <c r="VLS28" s="19"/>
      <c r="VLT28" s="19"/>
      <c r="VLU28" s="19"/>
      <c r="VLV28" s="19"/>
      <c r="VLW28" s="19"/>
      <c r="VLX28" s="19"/>
      <c r="VLY28" s="19"/>
      <c r="VLZ28" s="19"/>
      <c r="VMA28" s="19"/>
      <c r="VMB28" s="19"/>
      <c r="VMC28" s="19"/>
      <c r="VMD28" s="19"/>
      <c r="VME28" s="19"/>
      <c r="VMF28" s="19"/>
      <c r="VMG28" s="19"/>
      <c r="VMH28" s="19"/>
      <c r="VMI28" s="19"/>
      <c r="VMJ28" s="19"/>
      <c r="VMK28" s="19"/>
      <c r="VML28" s="19"/>
      <c r="VMM28" s="19"/>
      <c r="VMN28" s="19"/>
      <c r="VMO28" s="19"/>
      <c r="VMP28" s="19"/>
      <c r="VMQ28" s="19"/>
      <c r="VMR28" s="19"/>
      <c r="VMS28" s="19"/>
      <c r="VMT28" s="19"/>
      <c r="VMU28" s="19"/>
      <c r="VMV28" s="19"/>
      <c r="VMW28" s="19"/>
      <c r="VMX28" s="19"/>
      <c r="VMY28" s="19"/>
      <c r="VMZ28" s="19"/>
      <c r="VNA28" s="19"/>
      <c r="VNB28" s="19"/>
      <c r="VNC28" s="19"/>
      <c r="VND28" s="19"/>
      <c r="VNE28" s="19"/>
      <c r="VNF28" s="19"/>
      <c r="VNG28" s="19"/>
      <c r="VNH28" s="19"/>
      <c r="VNI28" s="19"/>
      <c r="VNJ28" s="19"/>
      <c r="VNK28" s="19"/>
      <c r="VNL28" s="19"/>
      <c r="VNM28" s="19"/>
      <c r="VNN28" s="19"/>
      <c r="VNO28" s="19"/>
      <c r="VNP28" s="19"/>
      <c r="VNQ28" s="19"/>
      <c r="VNR28" s="19"/>
      <c r="VNS28" s="19"/>
      <c r="VNT28" s="19"/>
      <c r="VNU28" s="19"/>
      <c r="VNV28" s="19"/>
      <c r="VNW28" s="19"/>
      <c r="VNX28" s="19"/>
      <c r="VNY28" s="19"/>
      <c r="VNZ28" s="19"/>
      <c r="VOA28" s="19"/>
      <c r="VOB28" s="19"/>
      <c r="VOC28" s="19"/>
      <c r="VOD28" s="19"/>
      <c r="VOE28" s="19"/>
      <c r="VOF28" s="19"/>
      <c r="VOG28" s="19"/>
      <c r="VOH28" s="19"/>
      <c r="VOI28" s="19"/>
      <c r="VOJ28" s="19"/>
      <c r="VOK28" s="19"/>
      <c r="VOL28" s="19"/>
      <c r="VOM28" s="19"/>
      <c r="VON28" s="19"/>
      <c r="VOO28" s="19"/>
      <c r="VOP28" s="19"/>
      <c r="VOQ28" s="19"/>
      <c r="VOR28" s="19"/>
      <c r="VOS28" s="19"/>
      <c r="VOT28" s="19"/>
      <c r="VOU28" s="19"/>
      <c r="VOV28" s="19"/>
      <c r="VOW28" s="19"/>
      <c r="VOX28" s="19"/>
      <c r="VOY28" s="19"/>
      <c r="VOZ28" s="19"/>
      <c r="VPA28" s="19"/>
      <c r="VPB28" s="19"/>
      <c r="VPC28" s="19"/>
      <c r="VPD28" s="19"/>
      <c r="VPE28" s="19"/>
      <c r="VPF28" s="19"/>
      <c r="VPG28" s="19"/>
      <c r="VPH28" s="19"/>
      <c r="VPI28" s="19"/>
      <c r="VPJ28" s="19"/>
      <c r="VPK28" s="19"/>
      <c r="VPL28" s="19"/>
      <c r="VPM28" s="19"/>
      <c r="VPN28" s="19"/>
      <c r="VPO28" s="19"/>
      <c r="VPP28" s="19"/>
      <c r="VPQ28" s="19"/>
      <c r="VPR28" s="19"/>
      <c r="VPS28" s="19"/>
      <c r="VPT28" s="19"/>
      <c r="VPU28" s="19"/>
      <c r="VPV28" s="19"/>
      <c r="VPW28" s="19"/>
      <c r="VPX28" s="19"/>
      <c r="VPY28" s="19"/>
      <c r="VPZ28" s="19"/>
      <c r="VQA28" s="19"/>
      <c r="VQB28" s="19"/>
      <c r="VQC28" s="19"/>
      <c r="VQD28" s="19"/>
      <c r="VQE28" s="19"/>
      <c r="VQF28" s="19"/>
      <c r="VQG28" s="19"/>
      <c r="VQH28" s="19"/>
      <c r="VQI28" s="19"/>
      <c r="VQJ28" s="19"/>
      <c r="VQK28" s="19"/>
      <c r="VQL28" s="19"/>
      <c r="VQM28" s="19"/>
      <c r="VQN28" s="19"/>
      <c r="VQO28" s="19"/>
      <c r="VQP28" s="19"/>
      <c r="VQQ28" s="19"/>
      <c r="VQR28" s="19"/>
      <c r="VQS28" s="19"/>
      <c r="VQT28" s="19"/>
      <c r="VQU28" s="19"/>
      <c r="VQV28" s="19"/>
      <c r="VQW28" s="19"/>
      <c r="VQX28" s="19"/>
      <c r="VQY28" s="19"/>
      <c r="VQZ28" s="19"/>
      <c r="VRA28" s="19"/>
      <c r="VRB28" s="19"/>
      <c r="VRC28" s="19"/>
      <c r="VRD28" s="19"/>
      <c r="VRE28" s="19"/>
      <c r="VRF28" s="19"/>
      <c r="VRG28" s="19"/>
      <c r="VRH28" s="19"/>
      <c r="VRI28" s="19"/>
      <c r="VRJ28" s="19"/>
      <c r="VRK28" s="19"/>
      <c r="VRL28" s="19"/>
      <c r="VRM28" s="19"/>
      <c r="VRN28" s="19"/>
      <c r="VRO28" s="19"/>
      <c r="VRP28" s="19"/>
      <c r="VRQ28" s="19"/>
      <c r="VRR28" s="19"/>
      <c r="VRS28" s="19"/>
      <c r="VRT28" s="19"/>
      <c r="VRU28" s="19"/>
      <c r="VRV28" s="19"/>
      <c r="VRW28" s="19"/>
      <c r="VRX28" s="19"/>
      <c r="VRY28" s="19"/>
      <c r="VRZ28" s="19"/>
      <c r="VSA28" s="19"/>
      <c r="VSB28" s="19"/>
      <c r="VSC28" s="19"/>
      <c r="VSD28" s="19"/>
      <c r="VSE28" s="19"/>
      <c r="VSF28" s="19"/>
      <c r="VSG28" s="19"/>
      <c r="VSH28" s="19"/>
      <c r="VSI28" s="19"/>
      <c r="VSJ28" s="19"/>
      <c r="VSK28" s="19"/>
      <c r="VSL28" s="19"/>
      <c r="VSM28" s="19"/>
      <c r="VSN28" s="19"/>
      <c r="VSO28" s="19"/>
      <c r="VSP28" s="19"/>
      <c r="VSQ28" s="19"/>
      <c r="VSR28" s="19"/>
      <c r="VSS28" s="19"/>
      <c r="VST28" s="19"/>
      <c r="VSU28" s="19"/>
      <c r="VSV28" s="19"/>
      <c r="VSW28" s="19"/>
      <c r="VSX28" s="19"/>
      <c r="VSY28" s="19"/>
      <c r="VSZ28" s="19"/>
      <c r="VTA28" s="19"/>
      <c r="VTB28" s="19"/>
      <c r="VTC28" s="19"/>
      <c r="VTD28" s="19"/>
      <c r="VTE28" s="19"/>
      <c r="VTF28" s="19"/>
      <c r="VTG28" s="19"/>
      <c r="VTH28" s="19"/>
      <c r="VTI28" s="19"/>
      <c r="VTJ28" s="19"/>
      <c r="VTK28" s="19"/>
      <c r="VTL28" s="19"/>
      <c r="VTM28" s="19"/>
      <c r="VTN28" s="19"/>
      <c r="VTO28" s="19"/>
      <c r="VTP28" s="19"/>
      <c r="VTQ28" s="19"/>
      <c r="VTR28" s="19"/>
      <c r="VTS28" s="19"/>
      <c r="VTT28" s="19"/>
      <c r="VTU28" s="19"/>
      <c r="VTV28" s="19"/>
      <c r="VTW28" s="19"/>
      <c r="VTX28" s="19"/>
      <c r="VTY28" s="19"/>
      <c r="VTZ28" s="19"/>
      <c r="VUA28" s="19"/>
      <c r="VUB28" s="19"/>
      <c r="VUC28" s="19"/>
      <c r="VUD28" s="19"/>
      <c r="VUE28" s="19"/>
      <c r="VUF28" s="19"/>
      <c r="VUG28" s="19"/>
      <c r="VUH28" s="19"/>
      <c r="VUI28" s="19"/>
      <c r="VUJ28" s="19"/>
      <c r="VUK28" s="19"/>
      <c r="VUL28" s="19"/>
      <c r="VUM28" s="19"/>
      <c r="VUN28" s="19"/>
      <c r="VUO28" s="19"/>
      <c r="VUP28" s="19"/>
      <c r="VUQ28" s="19"/>
      <c r="VUR28" s="19"/>
      <c r="VUS28" s="19"/>
      <c r="VUT28" s="19"/>
      <c r="VUU28" s="19"/>
      <c r="VUV28" s="19"/>
      <c r="VUW28" s="19"/>
      <c r="VUX28" s="19"/>
      <c r="VUY28" s="19"/>
      <c r="VUZ28" s="19"/>
      <c r="VVA28" s="19"/>
      <c r="VVB28" s="19"/>
      <c r="VVC28" s="19"/>
      <c r="VVD28" s="19"/>
      <c r="VVE28" s="19"/>
      <c r="VVF28" s="19"/>
      <c r="VVG28" s="19"/>
      <c r="VVH28" s="19"/>
      <c r="VVI28" s="19"/>
      <c r="VVJ28" s="19"/>
      <c r="VVK28" s="19"/>
      <c r="VVL28" s="19"/>
      <c r="VVM28" s="19"/>
      <c r="VVN28" s="19"/>
      <c r="VVO28" s="19"/>
      <c r="VVP28" s="19"/>
      <c r="VVQ28" s="19"/>
      <c r="VVR28" s="19"/>
      <c r="VVS28" s="19"/>
      <c r="VVT28" s="19"/>
      <c r="VVU28" s="19"/>
      <c r="VVV28" s="19"/>
      <c r="VVW28" s="19"/>
      <c r="VVX28" s="19"/>
      <c r="VVY28" s="19"/>
      <c r="VVZ28" s="19"/>
      <c r="VWA28" s="19"/>
      <c r="VWB28" s="19"/>
      <c r="VWC28" s="19"/>
      <c r="VWD28" s="19"/>
      <c r="VWE28" s="19"/>
      <c r="VWF28" s="19"/>
      <c r="VWG28" s="19"/>
      <c r="VWH28" s="19"/>
      <c r="VWI28" s="19"/>
      <c r="VWJ28" s="19"/>
      <c r="VWK28" s="19"/>
      <c r="VWL28" s="19"/>
      <c r="VWM28" s="19"/>
      <c r="VWN28" s="19"/>
      <c r="VWO28" s="19"/>
      <c r="VWP28" s="19"/>
      <c r="VWQ28" s="19"/>
      <c r="VWR28" s="19"/>
      <c r="VWS28" s="19"/>
      <c r="VWT28" s="19"/>
      <c r="VWU28" s="19"/>
      <c r="VWV28" s="19"/>
      <c r="VWW28" s="19"/>
      <c r="VWX28" s="19"/>
      <c r="VWY28" s="19"/>
      <c r="VWZ28" s="19"/>
      <c r="VXA28" s="19"/>
      <c r="VXB28" s="19"/>
      <c r="VXC28" s="19"/>
      <c r="VXD28" s="19"/>
      <c r="VXE28" s="19"/>
      <c r="VXF28" s="19"/>
      <c r="VXG28" s="19"/>
      <c r="VXH28" s="19"/>
      <c r="VXI28" s="19"/>
      <c r="VXJ28" s="19"/>
      <c r="VXK28" s="19"/>
      <c r="VXL28" s="19"/>
      <c r="VXM28" s="19"/>
      <c r="VXN28" s="19"/>
      <c r="VXO28" s="19"/>
      <c r="VXP28" s="19"/>
      <c r="VXQ28" s="19"/>
      <c r="VXR28" s="19"/>
      <c r="VXS28" s="19"/>
      <c r="VXT28" s="19"/>
      <c r="VXU28" s="19"/>
      <c r="VXV28" s="19"/>
      <c r="VXW28" s="19"/>
      <c r="VXX28" s="19"/>
      <c r="VXY28" s="19"/>
      <c r="VXZ28" s="19"/>
      <c r="VYA28" s="19"/>
      <c r="VYB28" s="19"/>
      <c r="VYC28" s="19"/>
      <c r="VYD28" s="19"/>
      <c r="VYE28" s="19"/>
      <c r="VYF28" s="19"/>
      <c r="VYG28" s="19"/>
      <c r="VYH28" s="19"/>
      <c r="VYI28" s="19"/>
      <c r="VYJ28" s="19"/>
      <c r="VYK28" s="19"/>
      <c r="VYL28" s="19"/>
      <c r="VYM28" s="19"/>
      <c r="VYN28" s="19"/>
      <c r="VYO28" s="19"/>
      <c r="VYP28" s="19"/>
      <c r="VYQ28" s="19"/>
      <c r="VYR28" s="19"/>
      <c r="VYS28" s="19"/>
      <c r="VYT28" s="19"/>
      <c r="VYU28" s="19"/>
      <c r="VYV28" s="19"/>
      <c r="VYW28" s="19"/>
      <c r="VYX28" s="19"/>
      <c r="VYY28" s="19"/>
      <c r="VYZ28" s="19"/>
      <c r="VZA28" s="19"/>
      <c r="VZB28" s="19"/>
      <c r="VZC28" s="19"/>
      <c r="VZD28" s="19"/>
      <c r="VZE28" s="19"/>
      <c r="VZF28" s="19"/>
      <c r="VZG28" s="19"/>
      <c r="VZH28" s="19"/>
      <c r="VZI28" s="19"/>
      <c r="VZJ28" s="19"/>
      <c r="VZK28" s="19"/>
      <c r="VZL28" s="19"/>
      <c r="VZM28" s="19"/>
      <c r="VZN28" s="19"/>
      <c r="VZO28" s="19"/>
      <c r="VZP28" s="19"/>
      <c r="VZQ28" s="19"/>
      <c r="VZR28" s="19"/>
      <c r="VZS28" s="19"/>
      <c r="VZT28" s="19"/>
      <c r="VZU28" s="19"/>
      <c r="VZV28" s="19"/>
      <c r="VZW28" s="19"/>
      <c r="VZX28" s="19"/>
      <c r="VZY28" s="19"/>
      <c r="VZZ28" s="19"/>
      <c r="WAA28" s="19"/>
      <c r="WAB28" s="19"/>
      <c r="WAC28" s="19"/>
      <c r="WAD28" s="19"/>
      <c r="WAE28" s="19"/>
      <c r="WAF28" s="19"/>
      <c r="WAG28" s="19"/>
      <c r="WAH28" s="19"/>
      <c r="WAI28" s="19"/>
      <c r="WAJ28" s="19"/>
      <c r="WAK28" s="19"/>
      <c r="WAL28" s="19"/>
      <c r="WAM28" s="19"/>
      <c r="WAN28" s="19"/>
      <c r="WAO28" s="19"/>
      <c r="WAP28" s="19"/>
      <c r="WAQ28" s="19"/>
      <c r="WAR28" s="19"/>
      <c r="WAS28" s="19"/>
      <c r="WAT28" s="19"/>
      <c r="WAU28" s="19"/>
      <c r="WAV28" s="19"/>
      <c r="WAW28" s="19"/>
      <c r="WAX28" s="19"/>
      <c r="WAY28" s="19"/>
      <c r="WAZ28" s="19"/>
      <c r="WBA28" s="19"/>
      <c r="WBB28" s="19"/>
      <c r="WBC28" s="19"/>
      <c r="WBD28" s="19"/>
      <c r="WBE28" s="19"/>
      <c r="WBF28" s="19"/>
      <c r="WBG28" s="19"/>
      <c r="WBH28" s="19"/>
      <c r="WBI28" s="19"/>
      <c r="WBJ28" s="19"/>
      <c r="WBK28" s="19"/>
      <c r="WBL28" s="19"/>
      <c r="WBM28" s="19"/>
      <c r="WBN28" s="19"/>
      <c r="WBO28" s="19"/>
      <c r="WBP28" s="19"/>
      <c r="WBQ28" s="19"/>
      <c r="WBR28" s="19"/>
      <c r="WBS28" s="19"/>
      <c r="WBT28" s="19"/>
      <c r="WBU28" s="19"/>
      <c r="WBV28" s="19"/>
      <c r="WBW28" s="19"/>
      <c r="WBX28" s="19"/>
      <c r="WBY28" s="19"/>
      <c r="WBZ28" s="19"/>
      <c r="WCA28" s="19"/>
      <c r="WCB28" s="19"/>
      <c r="WCC28" s="19"/>
      <c r="WCD28" s="19"/>
      <c r="WCE28" s="19"/>
      <c r="WCF28" s="19"/>
      <c r="WCG28" s="19"/>
      <c r="WCH28" s="19"/>
      <c r="WCI28" s="19"/>
      <c r="WCJ28" s="19"/>
      <c r="WCK28" s="19"/>
      <c r="WCL28" s="19"/>
      <c r="WCM28" s="19"/>
      <c r="WCN28" s="19"/>
      <c r="WCO28" s="19"/>
      <c r="WCP28" s="19"/>
      <c r="WCQ28" s="19"/>
      <c r="WCR28" s="19"/>
      <c r="WCS28" s="19"/>
      <c r="WCT28" s="19"/>
      <c r="WCU28" s="19"/>
      <c r="WCV28" s="19"/>
      <c r="WCW28" s="19"/>
      <c r="WCX28" s="19"/>
      <c r="WCY28" s="19"/>
      <c r="WCZ28" s="19"/>
      <c r="WDA28" s="19"/>
      <c r="WDB28" s="19"/>
      <c r="WDC28" s="19"/>
      <c r="WDD28" s="19"/>
      <c r="WDE28" s="19"/>
      <c r="WDF28" s="19"/>
      <c r="WDG28" s="19"/>
      <c r="WDH28" s="19"/>
      <c r="WDI28" s="19"/>
      <c r="WDJ28" s="19"/>
      <c r="WDK28" s="19"/>
      <c r="WDL28" s="19"/>
      <c r="WDM28" s="19"/>
      <c r="WDN28" s="19"/>
      <c r="WDO28" s="19"/>
      <c r="WDP28" s="19"/>
      <c r="WDQ28" s="19"/>
      <c r="WDR28" s="19"/>
      <c r="WDS28" s="19"/>
      <c r="WDT28" s="19"/>
      <c r="WDU28" s="19"/>
      <c r="WDV28" s="19"/>
      <c r="WDW28" s="19"/>
      <c r="WDX28" s="19"/>
      <c r="WDY28" s="19"/>
      <c r="WDZ28" s="19"/>
      <c r="WEA28" s="19"/>
      <c r="WEB28" s="19"/>
      <c r="WEC28" s="19"/>
      <c r="WED28" s="19"/>
      <c r="WEE28" s="19"/>
      <c r="WEF28" s="19"/>
      <c r="WEG28" s="19"/>
      <c r="WEH28" s="19"/>
      <c r="WEI28" s="19"/>
      <c r="WEJ28" s="19"/>
      <c r="WEK28" s="19"/>
      <c r="WEL28" s="19"/>
      <c r="WEM28" s="19"/>
      <c r="WEN28" s="19"/>
      <c r="WEO28" s="19"/>
      <c r="WEP28" s="19"/>
      <c r="WEQ28" s="19"/>
      <c r="WER28" s="19"/>
      <c r="WES28" s="19"/>
      <c r="WET28" s="19"/>
      <c r="WEU28" s="19"/>
      <c r="WEV28" s="19"/>
      <c r="WEW28" s="19"/>
      <c r="WEX28" s="19"/>
      <c r="WEY28" s="19"/>
      <c r="WEZ28" s="19"/>
      <c r="WFA28" s="19"/>
      <c r="WFB28" s="19"/>
      <c r="WFC28" s="19"/>
      <c r="WFD28" s="19"/>
      <c r="WFE28" s="19"/>
      <c r="WFF28" s="19"/>
      <c r="WFG28" s="19"/>
      <c r="WFH28" s="19"/>
      <c r="WFI28" s="19"/>
      <c r="WFJ28" s="19"/>
      <c r="WFK28" s="19"/>
      <c r="WFL28" s="19"/>
      <c r="WFM28" s="19"/>
      <c r="WFN28" s="19"/>
      <c r="WFO28" s="19"/>
      <c r="WFP28" s="19"/>
      <c r="WFQ28" s="19"/>
      <c r="WFR28" s="19"/>
      <c r="WFS28" s="19"/>
      <c r="WFT28" s="19"/>
      <c r="WFU28" s="19"/>
      <c r="WFV28" s="19"/>
      <c r="WFW28" s="19"/>
      <c r="WFX28" s="19"/>
      <c r="WFY28" s="19"/>
      <c r="WFZ28" s="19"/>
      <c r="WGA28" s="19"/>
      <c r="WGB28" s="19"/>
      <c r="WGC28" s="19"/>
      <c r="WGD28" s="19"/>
      <c r="WGE28" s="19"/>
      <c r="WGF28" s="19"/>
      <c r="WGG28" s="19"/>
      <c r="WGH28" s="19"/>
      <c r="WGI28" s="19"/>
      <c r="WGJ28" s="19"/>
      <c r="WGK28" s="19"/>
      <c r="WGL28" s="19"/>
      <c r="WGM28" s="19"/>
      <c r="WGN28" s="19"/>
      <c r="WGO28" s="19"/>
      <c r="WGP28" s="19"/>
      <c r="WGQ28" s="19"/>
      <c r="WGR28" s="19"/>
      <c r="WGS28" s="19"/>
      <c r="WGT28" s="19"/>
      <c r="WGU28" s="19"/>
      <c r="WGV28" s="19"/>
      <c r="WGW28" s="19"/>
      <c r="WGX28" s="19"/>
      <c r="WGY28" s="19"/>
      <c r="WGZ28" s="19"/>
      <c r="WHA28" s="19"/>
      <c r="WHB28" s="19"/>
      <c r="WHC28" s="19"/>
      <c r="WHD28" s="19"/>
      <c r="WHE28" s="19"/>
      <c r="WHF28" s="19"/>
      <c r="WHG28" s="19"/>
      <c r="WHH28" s="19"/>
      <c r="WHI28" s="19"/>
      <c r="WHJ28" s="19"/>
      <c r="WHK28" s="19"/>
      <c r="WHL28" s="19"/>
      <c r="WHM28" s="19"/>
      <c r="WHN28" s="19"/>
      <c r="WHO28" s="19"/>
      <c r="WHP28" s="19"/>
      <c r="WHQ28" s="19"/>
      <c r="WHR28" s="19"/>
      <c r="WHS28" s="19"/>
      <c r="WHT28" s="19"/>
      <c r="WHU28" s="19"/>
      <c r="WHV28" s="19"/>
      <c r="WHW28" s="19"/>
      <c r="WHX28" s="19"/>
      <c r="WHY28" s="19"/>
      <c r="WHZ28" s="19"/>
      <c r="WIA28" s="19"/>
      <c r="WIB28" s="19"/>
      <c r="WIC28" s="19"/>
      <c r="WID28" s="19"/>
      <c r="WIE28" s="19"/>
      <c r="WIF28" s="19"/>
      <c r="WIG28" s="19"/>
      <c r="WIH28" s="19"/>
      <c r="WII28" s="19"/>
      <c r="WIJ28" s="19"/>
      <c r="WIK28" s="19"/>
      <c r="WIL28" s="19"/>
      <c r="WIM28" s="19"/>
      <c r="WIN28" s="19"/>
      <c r="WIO28" s="19"/>
      <c r="WIP28" s="19"/>
      <c r="WIQ28" s="19"/>
      <c r="WIR28" s="19"/>
      <c r="WIS28" s="19"/>
      <c r="WIT28" s="19"/>
      <c r="WIU28" s="19"/>
      <c r="WIV28" s="19"/>
      <c r="WIW28" s="19"/>
      <c r="WIX28" s="19"/>
      <c r="WIY28" s="19"/>
      <c r="WIZ28" s="19"/>
      <c r="WJA28" s="19"/>
      <c r="WJB28" s="19"/>
      <c r="WJC28" s="19"/>
      <c r="WJD28" s="19"/>
      <c r="WJE28" s="19"/>
      <c r="WJF28" s="19"/>
      <c r="WJG28" s="19"/>
      <c r="WJH28" s="19"/>
      <c r="WJI28" s="19"/>
      <c r="WJJ28" s="19"/>
      <c r="WJK28" s="19"/>
      <c r="WJL28" s="19"/>
      <c r="WJM28" s="19"/>
      <c r="WJN28" s="19"/>
      <c r="WJO28" s="19"/>
      <c r="WJP28" s="19"/>
      <c r="WJQ28" s="19"/>
      <c r="WJR28" s="19"/>
      <c r="WJS28" s="19"/>
      <c r="WJT28" s="19"/>
      <c r="WJU28" s="19"/>
      <c r="WJV28" s="19"/>
      <c r="WJW28" s="19"/>
      <c r="WJX28" s="19"/>
      <c r="WJY28" s="19"/>
      <c r="WJZ28" s="19"/>
      <c r="WKA28" s="19"/>
      <c r="WKB28" s="19"/>
      <c r="WKC28" s="19"/>
      <c r="WKD28" s="19"/>
      <c r="WKE28" s="19"/>
      <c r="WKF28" s="19"/>
      <c r="WKG28" s="19"/>
      <c r="WKH28" s="19"/>
      <c r="WKI28" s="19"/>
      <c r="WKJ28" s="19"/>
      <c r="WKK28" s="19"/>
      <c r="WKL28" s="19"/>
      <c r="WKM28" s="19"/>
      <c r="WKN28" s="19"/>
      <c r="WKO28" s="19"/>
      <c r="WKP28" s="19"/>
      <c r="WKQ28" s="19"/>
      <c r="WKR28" s="19"/>
      <c r="WKS28" s="19"/>
      <c r="WKT28" s="19"/>
      <c r="WKU28" s="19"/>
      <c r="WKV28" s="19"/>
      <c r="WKW28" s="19"/>
      <c r="WKX28" s="19"/>
      <c r="WKY28" s="19"/>
      <c r="WKZ28" s="19"/>
      <c r="WLA28" s="19"/>
      <c r="WLB28" s="19"/>
      <c r="WLC28" s="19"/>
      <c r="WLD28" s="19"/>
      <c r="WLE28" s="19"/>
      <c r="WLF28" s="19"/>
      <c r="WLG28" s="19"/>
      <c r="WLH28" s="19"/>
      <c r="WLI28" s="19"/>
      <c r="WLJ28" s="19"/>
      <c r="WLK28" s="19"/>
      <c r="WLL28" s="19"/>
      <c r="WLM28" s="19"/>
      <c r="WLN28" s="19"/>
      <c r="WLO28" s="19"/>
      <c r="WLP28" s="19"/>
      <c r="WLQ28" s="19"/>
      <c r="WLR28" s="19"/>
      <c r="WLS28" s="19"/>
      <c r="WLT28" s="19"/>
      <c r="WLU28" s="19"/>
      <c r="WLV28" s="19"/>
      <c r="WLW28" s="19"/>
      <c r="WLX28" s="19"/>
      <c r="WLY28" s="19"/>
      <c r="WLZ28" s="19"/>
      <c r="WMA28" s="19"/>
      <c r="WMB28" s="19"/>
      <c r="WMC28" s="19"/>
      <c r="WMD28" s="19"/>
      <c r="WME28" s="19"/>
      <c r="WMF28" s="19"/>
      <c r="WMG28" s="19"/>
      <c r="WMH28" s="19"/>
      <c r="WMI28" s="19"/>
      <c r="WMJ28" s="19"/>
      <c r="WMK28" s="19"/>
      <c r="WML28" s="19"/>
      <c r="WMM28" s="19"/>
      <c r="WMN28" s="19"/>
      <c r="WMO28" s="19"/>
      <c r="WMP28" s="19"/>
      <c r="WMQ28" s="19"/>
      <c r="WMR28" s="19"/>
      <c r="WMS28" s="19"/>
      <c r="WMT28" s="19"/>
      <c r="WMU28" s="19"/>
      <c r="WMV28" s="19"/>
      <c r="WMW28" s="19"/>
      <c r="WMX28" s="19"/>
      <c r="WMY28" s="19"/>
      <c r="WMZ28" s="19"/>
      <c r="WNA28" s="19"/>
      <c r="WNB28" s="19"/>
      <c r="WNC28" s="19"/>
      <c r="WND28" s="19"/>
      <c r="WNE28" s="19"/>
      <c r="WNF28" s="19"/>
      <c r="WNG28" s="19"/>
      <c r="WNH28" s="19"/>
      <c r="WNI28" s="19"/>
      <c r="WNJ28" s="19"/>
      <c r="WNK28" s="19"/>
      <c r="WNL28" s="19"/>
      <c r="WNM28" s="19"/>
      <c r="WNN28" s="19"/>
      <c r="WNO28" s="19"/>
      <c r="WNP28" s="19"/>
      <c r="WNQ28" s="19"/>
      <c r="WNR28" s="19"/>
      <c r="WNS28" s="19"/>
      <c r="WNT28" s="19"/>
      <c r="WNU28" s="19"/>
      <c r="WNV28" s="19"/>
      <c r="WNW28" s="19"/>
      <c r="WNX28" s="19"/>
      <c r="WNY28" s="19"/>
      <c r="WNZ28" s="19"/>
      <c r="WOA28" s="19"/>
      <c r="WOB28" s="19"/>
      <c r="WOC28" s="19"/>
      <c r="WOD28" s="19"/>
      <c r="WOE28" s="19"/>
      <c r="WOF28" s="19"/>
      <c r="WOG28" s="19"/>
      <c r="WOH28" s="19"/>
      <c r="WOI28" s="19"/>
      <c r="WOJ28" s="19"/>
      <c r="WOK28" s="19"/>
      <c r="WOL28" s="19"/>
      <c r="WOM28" s="19"/>
      <c r="WON28" s="19"/>
      <c r="WOO28" s="19"/>
      <c r="WOP28" s="19"/>
      <c r="WOQ28" s="19"/>
      <c r="WOR28" s="19"/>
      <c r="WOS28" s="19"/>
      <c r="WOT28" s="19"/>
      <c r="WOU28" s="19"/>
      <c r="WOV28" s="19"/>
      <c r="WOW28" s="19"/>
      <c r="WOX28" s="19"/>
      <c r="WOY28" s="19"/>
      <c r="WOZ28" s="19"/>
      <c r="WPA28" s="19"/>
      <c r="WPB28" s="19"/>
      <c r="WPC28" s="19"/>
      <c r="WPD28" s="19"/>
      <c r="WPE28" s="19"/>
      <c r="WPF28" s="19"/>
      <c r="WPG28" s="19"/>
      <c r="WPH28" s="19"/>
      <c r="WPI28" s="19"/>
      <c r="WPJ28" s="19"/>
      <c r="WPK28" s="19"/>
      <c r="WPL28" s="19"/>
      <c r="WPM28" s="19"/>
      <c r="WPN28" s="19"/>
      <c r="WPO28" s="19"/>
      <c r="WPP28" s="19"/>
      <c r="WPQ28" s="19"/>
      <c r="WPR28" s="19"/>
      <c r="WPS28" s="19"/>
      <c r="WPT28" s="19"/>
      <c r="WPU28" s="19"/>
      <c r="WPV28" s="19"/>
      <c r="WPW28" s="19"/>
      <c r="WPX28" s="19"/>
      <c r="WPY28" s="19"/>
      <c r="WPZ28" s="19"/>
      <c r="WQA28" s="19"/>
      <c r="WQB28" s="19"/>
      <c r="WQC28" s="19"/>
      <c r="WQD28" s="19"/>
      <c r="WQE28" s="19"/>
      <c r="WQF28" s="19"/>
      <c r="WQG28" s="19"/>
      <c r="WQH28" s="19"/>
      <c r="WQI28" s="19"/>
      <c r="WQJ28" s="19"/>
      <c r="WQK28" s="19"/>
      <c r="WQL28" s="19"/>
      <c r="WQM28" s="19"/>
      <c r="WQN28" s="19"/>
      <c r="WQO28" s="19"/>
      <c r="WQP28" s="19"/>
      <c r="WQQ28" s="19"/>
      <c r="WQR28" s="19"/>
      <c r="WQS28" s="19"/>
      <c r="WQT28" s="19"/>
      <c r="WQU28" s="19"/>
      <c r="WQV28" s="19"/>
      <c r="WQW28" s="19"/>
      <c r="WQX28" s="19"/>
      <c r="WQY28" s="19"/>
      <c r="WQZ28" s="19"/>
      <c r="WRA28" s="19"/>
      <c r="WRB28" s="19"/>
      <c r="WRC28" s="19"/>
      <c r="WRD28" s="19"/>
      <c r="WRE28" s="19"/>
      <c r="WRF28" s="19"/>
      <c r="WRG28" s="19"/>
      <c r="WRH28" s="19"/>
      <c r="WRI28" s="19"/>
      <c r="WRJ28" s="19"/>
      <c r="WRK28" s="19"/>
      <c r="WRL28" s="19"/>
      <c r="WRM28" s="19"/>
      <c r="WRN28" s="19"/>
      <c r="WRO28" s="19"/>
      <c r="WRP28" s="19"/>
      <c r="WRQ28" s="19"/>
      <c r="WRR28" s="19"/>
      <c r="WRS28" s="19"/>
      <c r="WRT28" s="19"/>
      <c r="WRU28" s="19"/>
      <c r="WRV28" s="19"/>
      <c r="WRW28" s="19"/>
      <c r="WRX28" s="19"/>
      <c r="WRY28" s="19"/>
      <c r="WRZ28" s="19"/>
      <c r="WSA28" s="19"/>
      <c r="WSB28" s="19"/>
      <c r="WSC28" s="19"/>
      <c r="WSD28" s="19"/>
      <c r="WSE28" s="19"/>
      <c r="WSF28" s="19"/>
      <c r="WSG28" s="19"/>
      <c r="WSH28" s="19"/>
      <c r="WSI28" s="19"/>
      <c r="WSJ28" s="19"/>
      <c r="WSK28" s="19"/>
      <c r="WSL28" s="19"/>
      <c r="WSM28" s="19"/>
      <c r="WSN28" s="19"/>
      <c r="WSO28" s="19"/>
      <c r="WSP28" s="19"/>
      <c r="WSQ28" s="19"/>
      <c r="WSR28" s="19"/>
      <c r="WSS28" s="19"/>
      <c r="WST28" s="19"/>
      <c r="WSU28" s="19"/>
      <c r="WSV28" s="19"/>
      <c r="WSW28" s="19"/>
      <c r="WSX28" s="19"/>
      <c r="WSY28" s="19"/>
      <c r="WSZ28" s="19"/>
      <c r="WTA28" s="19"/>
      <c r="WTB28" s="19"/>
      <c r="WTC28" s="19"/>
      <c r="WTD28" s="19"/>
      <c r="WTE28" s="19"/>
      <c r="WTF28" s="19"/>
      <c r="WTG28" s="19"/>
      <c r="WTH28" s="19"/>
      <c r="WTI28" s="19"/>
      <c r="WTJ28" s="19"/>
      <c r="WTK28" s="19"/>
      <c r="WTL28" s="19"/>
      <c r="WTM28" s="19"/>
      <c r="WTN28" s="19"/>
      <c r="WTO28" s="19"/>
      <c r="WTP28" s="19"/>
      <c r="WTQ28" s="19"/>
      <c r="WTR28" s="19"/>
      <c r="WTS28" s="19"/>
      <c r="WTT28" s="19"/>
      <c r="WTU28" s="19"/>
      <c r="WTV28" s="19"/>
      <c r="WTW28" s="19"/>
      <c r="WTX28" s="19"/>
      <c r="WTY28" s="19"/>
      <c r="WTZ28" s="19"/>
      <c r="WUA28" s="19"/>
      <c r="WUB28" s="19"/>
      <c r="WUC28" s="19"/>
      <c r="WUD28" s="19"/>
      <c r="WUE28" s="19"/>
      <c r="WUF28" s="19"/>
      <c r="WUG28" s="19"/>
      <c r="WUH28" s="19"/>
      <c r="WUI28" s="19"/>
      <c r="WUJ28" s="19"/>
      <c r="WUK28" s="19"/>
      <c r="WUL28" s="19"/>
      <c r="WUM28" s="19"/>
      <c r="WUN28" s="19"/>
      <c r="WUO28" s="19"/>
      <c r="WUP28" s="19"/>
      <c r="WUQ28" s="19"/>
      <c r="WUR28" s="19"/>
      <c r="WUS28" s="19"/>
      <c r="WUT28" s="19"/>
      <c r="WUU28" s="19"/>
      <c r="WUV28" s="19"/>
      <c r="WUW28" s="19"/>
      <c r="WUX28" s="19"/>
      <c r="WUY28" s="19"/>
      <c r="WUZ28" s="19"/>
      <c r="WVA28" s="19"/>
      <c r="WVB28" s="19"/>
      <c r="WVC28" s="19"/>
      <c r="WVD28" s="19"/>
      <c r="WVE28" s="19"/>
      <c r="WVF28" s="19"/>
      <c r="WVG28" s="19"/>
      <c r="WVH28" s="19"/>
      <c r="WVI28" s="19"/>
      <c r="WVJ28" s="19"/>
      <c r="WVK28" s="19"/>
      <c r="WVL28" s="19"/>
      <c r="WVM28" s="19"/>
      <c r="WVN28" s="19"/>
      <c r="WVO28" s="19"/>
      <c r="WVP28" s="19"/>
      <c r="WVQ28" s="19"/>
      <c r="WVR28" s="19"/>
      <c r="WVS28" s="19"/>
      <c r="WVT28" s="19"/>
      <c r="WVU28" s="19"/>
      <c r="WVV28" s="19"/>
      <c r="WVW28" s="19"/>
      <c r="WVX28" s="19"/>
      <c r="WVY28" s="19"/>
      <c r="WVZ28" s="19"/>
      <c r="WWA28" s="19"/>
      <c r="WWB28" s="19"/>
      <c r="WWC28" s="19"/>
      <c r="WWD28" s="19"/>
      <c r="WWE28" s="19"/>
      <c r="WWF28" s="19"/>
      <c r="WWG28" s="19"/>
      <c r="WWH28" s="19"/>
      <c r="WWI28" s="19"/>
      <c r="WWJ28" s="19"/>
      <c r="WWK28" s="19"/>
      <c r="WWL28" s="19"/>
      <c r="WWM28" s="19"/>
      <c r="WWN28" s="19"/>
      <c r="WWO28" s="19"/>
      <c r="WWP28" s="19"/>
      <c r="WWQ28" s="19"/>
      <c r="WWR28" s="19"/>
      <c r="WWS28" s="19"/>
      <c r="WWT28" s="19"/>
      <c r="WWU28" s="19"/>
      <c r="WWV28" s="19"/>
      <c r="WWW28" s="19"/>
      <c r="WWX28" s="19"/>
      <c r="WWY28" s="19"/>
      <c r="WWZ28" s="19"/>
      <c r="WXA28" s="19"/>
      <c r="WXB28" s="19"/>
      <c r="WXC28" s="19"/>
      <c r="WXD28" s="19"/>
      <c r="WXE28" s="19"/>
      <c r="WXF28" s="19"/>
      <c r="WXG28" s="19"/>
      <c r="WXH28" s="19"/>
      <c r="WXI28" s="19"/>
      <c r="WXJ28" s="19"/>
      <c r="WXK28" s="19"/>
      <c r="WXL28" s="19"/>
      <c r="WXM28" s="19"/>
      <c r="WXN28" s="19"/>
      <c r="WXO28" s="19"/>
      <c r="WXP28" s="19"/>
      <c r="WXQ28" s="19"/>
      <c r="WXR28" s="19"/>
      <c r="WXS28" s="19"/>
      <c r="WXT28" s="19"/>
      <c r="WXU28" s="19"/>
      <c r="WXV28" s="19"/>
      <c r="WXW28" s="19"/>
      <c r="WXX28" s="19"/>
      <c r="WXY28" s="19"/>
      <c r="WXZ28" s="19"/>
      <c r="WYA28" s="19"/>
      <c r="WYB28" s="19"/>
      <c r="WYC28" s="19"/>
      <c r="WYD28" s="19"/>
      <c r="WYE28" s="19"/>
      <c r="WYF28" s="19"/>
      <c r="WYG28" s="19"/>
      <c r="WYH28" s="19"/>
      <c r="WYI28" s="19"/>
      <c r="WYJ28" s="19"/>
      <c r="WYK28" s="19"/>
      <c r="WYL28" s="19"/>
      <c r="WYM28" s="19"/>
      <c r="WYN28" s="19"/>
      <c r="WYO28" s="19"/>
      <c r="WYP28" s="19"/>
      <c r="WYQ28" s="19"/>
      <c r="WYR28" s="19"/>
      <c r="WYS28" s="19"/>
      <c r="WYT28" s="19"/>
      <c r="WYU28" s="19"/>
      <c r="WYV28" s="19"/>
      <c r="WYW28" s="19"/>
      <c r="WYX28" s="19"/>
      <c r="WYY28" s="19"/>
      <c r="WYZ28" s="19"/>
      <c r="WZA28" s="19"/>
      <c r="WZB28" s="19"/>
      <c r="WZC28" s="19"/>
      <c r="WZD28" s="19"/>
      <c r="WZE28" s="19"/>
      <c r="WZF28" s="19"/>
      <c r="WZG28" s="19"/>
      <c r="WZH28" s="19"/>
      <c r="WZI28" s="19"/>
      <c r="WZJ28" s="19"/>
      <c r="WZK28" s="19"/>
      <c r="WZL28" s="19"/>
      <c r="WZM28" s="19"/>
      <c r="WZN28" s="19"/>
      <c r="WZO28" s="19"/>
      <c r="WZP28" s="19"/>
      <c r="WZQ28" s="19"/>
      <c r="WZR28" s="19"/>
      <c r="WZS28" s="19"/>
      <c r="WZT28" s="19"/>
      <c r="WZU28" s="19"/>
      <c r="WZV28" s="19"/>
      <c r="WZW28" s="19"/>
      <c r="WZX28" s="19"/>
      <c r="WZY28" s="19"/>
      <c r="WZZ28" s="19"/>
      <c r="XAA28" s="19"/>
      <c r="XAB28" s="19"/>
      <c r="XAC28" s="19"/>
      <c r="XAD28" s="19"/>
      <c r="XAE28" s="19"/>
      <c r="XAF28" s="19"/>
      <c r="XAG28" s="19"/>
      <c r="XAH28" s="19"/>
      <c r="XAI28" s="19"/>
      <c r="XAJ28" s="19"/>
      <c r="XAK28" s="19"/>
      <c r="XAL28" s="19"/>
      <c r="XAM28" s="19"/>
      <c r="XAN28" s="19"/>
      <c r="XAO28" s="19"/>
      <c r="XAP28" s="19"/>
      <c r="XAQ28" s="19"/>
      <c r="XAR28" s="19"/>
      <c r="XAS28" s="19"/>
      <c r="XAT28" s="19"/>
      <c r="XAU28" s="19"/>
      <c r="XAV28" s="19"/>
      <c r="XAW28" s="19"/>
      <c r="XAX28" s="19"/>
      <c r="XAY28" s="19"/>
      <c r="XAZ28" s="19"/>
      <c r="XBA28" s="19"/>
      <c r="XBB28" s="19"/>
      <c r="XBC28" s="19"/>
      <c r="XBD28" s="19"/>
      <c r="XBE28" s="19"/>
      <c r="XBF28" s="19"/>
      <c r="XBG28" s="19"/>
      <c r="XBH28" s="19"/>
      <c r="XBI28" s="19"/>
      <c r="XBJ28" s="19"/>
      <c r="XBK28" s="19"/>
      <c r="XBL28" s="19"/>
      <c r="XBM28" s="19"/>
      <c r="XBN28" s="19"/>
      <c r="XBO28" s="19"/>
      <c r="XBP28" s="19"/>
      <c r="XBQ28" s="19"/>
      <c r="XBR28" s="19"/>
      <c r="XBS28" s="19"/>
      <c r="XBT28" s="19"/>
      <c r="XBU28" s="19"/>
      <c r="XBV28" s="19"/>
      <c r="XBW28" s="19"/>
      <c r="XBX28" s="19"/>
      <c r="XBY28" s="19"/>
      <c r="XBZ28" s="19"/>
      <c r="XCA28" s="19"/>
      <c r="XCB28" s="19"/>
      <c r="XCC28" s="19"/>
      <c r="XCD28" s="19"/>
      <c r="XCE28" s="19"/>
      <c r="XCF28" s="19"/>
      <c r="XCG28" s="19"/>
      <c r="XCH28" s="19"/>
      <c r="XCI28" s="19"/>
      <c r="XCJ28" s="19"/>
      <c r="XCK28" s="19"/>
      <c r="XCL28" s="19"/>
      <c r="XCM28" s="19"/>
      <c r="XCN28" s="19"/>
      <c r="XCO28" s="19"/>
      <c r="XCP28" s="19"/>
      <c r="XCQ28" s="19"/>
      <c r="XCR28" s="19"/>
      <c r="XCS28" s="19"/>
      <c r="XCT28" s="19"/>
      <c r="XCU28" s="19"/>
      <c r="XCV28" s="19"/>
      <c r="XCW28" s="19"/>
      <c r="XCX28" s="19"/>
      <c r="XCY28" s="19"/>
      <c r="XCZ28" s="19"/>
      <c r="XDA28" s="19"/>
      <c r="XDB28" s="19"/>
      <c r="XDC28" s="19"/>
      <c r="XDD28" s="19"/>
      <c r="XDE28" s="19"/>
      <c r="XDF28" s="19"/>
      <c r="XDG28" s="19"/>
      <c r="XDH28" s="19"/>
      <c r="XDI28" s="19"/>
      <c r="XDJ28" s="19"/>
      <c r="XDK28" s="19"/>
      <c r="XDL28" s="19"/>
      <c r="XDM28" s="19"/>
      <c r="XDN28" s="19"/>
      <c r="XDO28" s="19"/>
      <c r="XDP28" s="19"/>
      <c r="XDQ28" s="19"/>
      <c r="XDR28" s="19"/>
      <c r="XDS28" s="19"/>
      <c r="XDT28" s="19"/>
      <c r="XDU28" s="19"/>
      <c r="XDV28" s="19"/>
      <c r="XDW28" s="19"/>
      <c r="XDX28" s="19"/>
      <c r="XDY28" s="19"/>
      <c r="XDZ28" s="19"/>
      <c r="XEA28" s="19"/>
      <c r="XEB28" s="19"/>
      <c r="XEC28" s="19"/>
      <c r="XED28" s="19"/>
      <c r="XEE28" s="19"/>
      <c r="XEF28" s="19"/>
      <c r="XEG28" s="19"/>
      <c r="XEH28" s="19"/>
      <c r="XEI28" s="19"/>
      <c r="XEJ28" s="19"/>
      <c r="XEK28" s="19"/>
      <c r="XEL28" s="19"/>
      <c r="XEM28" s="19"/>
      <c r="XEN28" s="19"/>
      <c r="XEO28" s="19"/>
      <c r="XEP28" s="19"/>
      <c r="XEQ28" s="19"/>
      <c r="XER28" s="19"/>
      <c r="XES28" s="19"/>
      <c r="XET28" s="19"/>
      <c r="XEU28" s="19"/>
      <c r="XEV28" s="19"/>
      <c r="XEW28" s="19"/>
      <c r="XEX28" s="19"/>
      <c r="XEY28" s="19"/>
      <c r="XEZ28" s="19"/>
      <c r="XFA28" s="19"/>
      <c r="XFB28" s="19"/>
    </row>
    <row r="29" spans="1:16382" s="18" customFormat="1" ht="15" customHeight="1" x14ac:dyDescent="0.25"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  <c r="LR29" s="19"/>
      <c r="LS29" s="19"/>
      <c r="LT29" s="19"/>
      <c r="LU29" s="19"/>
      <c r="LV29" s="19"/>
      <c r="LW29" s="19"/>
      <c r="LX29" s="19"/>
      <c r="LY29" s="19"/>
      <c r="LZ29" s="19"/>
      <c r="MA29" s="19"/>
      <c r="MB29" s="19"/>
      <c r="MC29" s="19"/>
      <c r="MD29" s="19"/>
      <c r="ME29" s="19"/>
      <c r="MF29" s="19"/>
      <c r="MG29" s="19"/>
      <c r="MH29" s="19"/>
      <c r="MI29" s="19"/>
      <c r="MJ29" s="19"/>
      <c r="MK29" s="19"/>
      <c r="ML29" s="19"/>
      <c r="MM29" s="19"/>
      <c r="MN29" s="19"/>
      <c r="MO29" s="19"/>
      <c r="MP29" s="19"/>
      <c r="MQ29" s="19"/>
      <c r="MR29" s="19"/>
      <c r="MS29" s="19"/>
      <c r="MT29" s="19"/>
      <c r="MU29" s="19"/>
      <c r="MV29" s="19"/>
      <c r="MW29" s="19"/>
      <c r="MX29" s="19"/>
      <c r="MY29" s="19"/>
      <c r="MZ29" s="19"/>
      <c r="NA29" s="19"/>
      <c r="NB29" s="19"/>
      <c r="NC29" s="19"/>
      <c r="ND29" s="19"/>
      <c r="NE29" s="19"/>
      <c r="NF29" s="19"/>
      <c r="NG29" s="19"/>
      <c r="NH29" s="19"/>
      <c r="NI29" s="19"/>
      <c r="NJ29" s="19"/>
      <c r="NK29" s="19"/>
      <c r="NL29" s="19"/>
      <c r="NM29" s="19"/>
      <c r="NN29" s="19"/>
      <c r="NO29" s="19"/>
      <c r="NP29" s="19"/>
      <c r="NQ29" s="19"/>
      <c r="NR29" s="19"/>
      <c r="NS29" s="19"/>
      <c r="NT29" s="19"/>
      <c r="NU29" s="19"/>
      <c r="NV29" s="19"/>
      <c r="NW29" s="19"/>
      <c r="NX29" s="19"/>
      <c r="NY29" s="19"/>
      <c r="NZ29" s="19"/>
      <c r="OA29" s="19"/>
      <c r="OB29" s="19"/>
      <c r="OC29" s="19"/>
      <c r="OD29" s="19"/>
      <c r="OE29" s="19"/>
      <c r="OF29" s="19"/>
      <c r="OG29" s="19"/>
      <c r="OH29" s="19"/>
      <c r="OI29" s="19"/>
      <c r="OJ29" s="19"/>
      <c r="OK29" s="19"/>
      <c r="OL29" s="19"/>
      <c r="OM29" s="19"/>
      <c r="ON29" s="19"/>
      <c r="OO29" s="19"/>
      <c r="OP29" s="19"/>
      <c r="OQ29" s="19"/>
      <c r="OR29" s="19"/>
      <c r="OS29" s="19"/>
      <c r="OT29" s="19"/>
      <c r="OU29" s="19"/>
      <c r="OV29" s="19"/>
      <c r="OW29" s="19"/>
      <c r="OX29" s="19"/>
      <c r="OY29" s="19"/>
      <c r="OZ29" s="19"/>
      <c r="PA29" s="19"/>
      <c r="PB29" s="19"/>
      <c r="PC29" s="19"/>
      <c r="PD29" s="19"/>
      <c r="PE29" s="19"/>
      <c r="PF29" s="19"/>
      <c r="PG29" s="19"/>
      <c r="PH29" s="19"/>
      <c r="PI29" s="19"/>
      <c r="PJ29" s="19"/>
      <c r="PK29" s="19"/>
      <c r="PL29" s="19"/>
      <c r="PM29" s="19"/>
      <c r="PN29" s="19"/>
      <c r="PO29" s="19"/>
      <c r="PP29" s="19"/>
      <c r="PQ29" s="19"/>
      <c r="PR29" s="19"/>
      <c r="PS29" s="19"/>
      <c r="PT29" s="19"/>
      <c r="PU29" s="19"/>
      <c r="PV29" s="19"/>
      <c r="PW29" s="19"/>
      <c r="PX29" s="19"/>
      <c r="PY29" s="19"/>
      <c r="PZ29" s="19"/>
      <c r="QA29" s="19"/>
      <c r="QB29" s="19"/>
      <c r="QC29" s="19"/>
      <c r="QD29" s="19"/>
      <c r="QE29" s="19"/>
      <c r="QF29" s="19"/>
      <c r="QG29" s="19"/>
      <c r="QH29" s="19"/>
      <c r="QI29" s="19"/>
      <c r="QJ29" s="19"/>
      <c r="QK29" s="19"/>
      <c r="QL29" s="19"/>
      <c r="QM29" s="19"/>
      <c r="QN29" s="19"/>
      <c r="QO29" s="19"/>
      <c r="QP29" s="19"/>
      <c r="QQ29" s="19"/>
      <c r="QR29" s="19"/>
      <c r="QS29" s="19"/>
      <c r="QT29" s="19"/>
      <c r="QU29" s="19"/>
      <c r="QV29" s="19"/>
      <c r="QW29" s="19"/>
      <c r="QX29" s="19"/>
      <c r="QY29" s="19"/>
      <c r="QZ29" s="19"/>
      <c r="RA29" s="19"/>
      <c r="RB29" s="19"/>
      <c r="RC29" s="19"/>
      <c r="RD29" s="19"/>
      <c r="RE29" s="19"/>
      <c r="RF29" s="19"/>
      <c r="RG29" s="19"/>
      <c r="RH29" s="19"/>
      <c r="RI29" s="19"/>
      <c r="RJ29" s="19"/>
      <c r="RK29" s="19"/>
      <c r="RL29" s="19"/>
      <c r="RM29" s="19"/>
      <c r="RN29" s="19"/>
      <c r="RO29" s="19"/>
      <c r="RP29" s="19"/>
      <c r="RQ29" s="19"/>
      <c r="RR29" s="19"/>
      <c r="RS29" s="19"/>
      <c r="RT29" s="19"/>
      <c r="RU29" s="19"/>
      <c r="RV29" s="19"/>
      <c r="RW29" s="19"/>
      <c r="RX29" s="19"/>
      <c r="RY29" s="19"/>
      <c r="RZ29" s="19"/>
      <c r="SA29" s="19"/>
      <c r="SB29" s="19"/>
      <c r="SC29" s="19"/>
      <c r="SD29" s="19"/>
      <c r="SE29" s="19"/>
      <c r="SF29" s="19"/>
      <c r="SG29" s="19"/>
      <c r="SH29" s="19"/>
      <c r="SI29" s="19"/>
      <c r="SJ29" s="19"/>
      <c r="SK29" s="19"/>
      <c r="SL29" s="19"/>
      <c r="SM29" s="19"/>
      <c r="SN29" s="19"/>
      <c r="SO29" s="19"/>
      <c r="SP29" s="19"/>
      <c r="SQ29" s="19"/>
      <c r="SR29" s="19"/>
      <c r="SS29" s="19"/>
      <c r="ST29" s="19"/>
      <c r="SU29" s="19"/>
      <c r="SV29" s="19"/>
      <c r="SW29" s="19"/>
      <c r="SX29" s="19"/>
      <c r="SY29" s="19"/>
      <c r="SZ29" s="19"/>
      <c r="TA29" s="19"/>
      <c r="TB29" s="19"/>
      <c r="TC29" s="19"/>
      <c r="TD29" s="19"/>
      <c r="TE29" s="19"/>
      <c r="TF29" s="19"/>
      <c r="TG29" s="19"/>
      <c r="TH29" s="19"/>
      <c r="TI29" s="19"/>
      <c r="TJ29" s="19"/>
      <c r="TK29" s="19"/>
      <c r="TL29" s="19"/>
      <c r="TM29" s="19"/>
      <c r="TN29" s="19"/>
      <c r="TO29" s="19"/>
      <c r="TP29" s="19"/>
      <c r="TQ29" s="19"/>
      <c r="TR29" s="19"/>
      <c r="TS29" s="19"/>
      <c r="TT29" s="19"/>
      <c r="TU29" s="19"/>
      <c r="TV29" s="19"/>
      <c r="TW29" s="19"/>
      <c r="TX29" s="19"/>
      <c r="TY29" s="19"/>
      <c r="TZ29" s="19"/>
      <c r="UA29" s="19"/>
      <c r="UB29" s="19"/>
      <c r="UC29" s="19"/>
      <c r="UD29" s="19"/>
      <c r="UE29" s="19"/>
      <c r="UF29" s="19"/>
      <c r="UG29" s="19"/>
      <c r="UH29" s="19"/>
      <c r="UI29" s="19"/>
      <c r="UJ29" s="19"/>
      <c r="UK29" s="19"/>
      <c r="UL29" s="19"/>
      <c r="UM29" s="19"/>
      <c r="UN29" s="19"/>
      <c r="UO29" s="19"/>
      <c r="UP29" s="19"/>
      <c r="UQ29" s="19"/>
      <c r="UR29" s="19"/>
      <c r="US29" s="19"/>
      <c r="UT29" s="19"/>
      <c r="UU29" s="19"/>
      <c r="UV29" s="19"/>
      <c r="UW29" s="19"/>
      <c r="UX29" s="19"/>
      <c r="UY29" s="19"/>
      <c r="UZ29" s="19"/>
      <c r="VA29" s="19"/>
      <c r="VB29" s="19"/>
      <c r="VC29" s="19"/>
      <c r="VD29" s="19"/>
      <c r="VE29" s="19"/>
      <c r="VF29" s="19"/>
      <c r="VG29" s="19"/>
      <c r="VH29" s="19"/>
      <c r="VI29" s="19"/>
      <c r="VJ29" s="19"/>
      <c r="VK29" s="19"/>
      <c r="VL29" s="19"/>
      <c r="VM29" s="19"/>
      <c r="VN29" s="19"/>
      <c r="VO29" s="19"/>
      <c r="VP29" s="19"/>
      <c r="VQ29" s="19"/>
      <c r="VR29" s="19"/>
      <c r="VS29" s="19"/>
      <c r="VT29" s="19"/>
      <c r="VU29" s="19"/>
      <c r="VV29" s="19"/>
      <c r="VW29" s="19"/>
      <c r="VX29" s="19"/>
      <c r="VY29" s="19"/>
      <c r="VZ29" s="19"/>
      <c r="WA29" s="19"/>
      <c r="WB29" s="19"/>
      <c r="WC29" s="19"/>
      <c r="WD29" s="19"/>
      <c r="WE29" s="19"/>
      <c r="WF29" s="19"/>
      <c r="WG29" s="19"/>
      <c r="WH29" s="19"/>
      <c r="WI29" s="19"/>
      <c r="WJ29" s="19"/>
      <c r="WK29" s="19"/>
      <c r="WL29" s="19"/>
      <c r="WM29" s="19"/>
      <c r="WN29" s="19"/>
      <c r="WO29" s="19"/>
      <c r="WP29" s="19"/>
      <c r="WQ29" s="19"/>
      <c r="WR29" s="19"/>
      <c r="WS29" s="19"/>
      <c r="WT29" s="19"/>
      <c r="WU29" s="19"/>
      <c r="WV29" s="19"/>
      <c r="WW29" s="19"/>
      <c r="WX29" s="19"/>
      <c r="WY29" s="19"/>
      <c r="WZ29" s="19"/>
      <c r="XA29" s="19"/>
      <c r="XB29" s="19"/>
      <c r="XC29" s="19"/>
      <c r="XD29" s="19"/>
      <c r="XE29" s="19"/>
      <c r="XF29" s="19"/>
      <c r="XG29" s="19"/>
      <c r="XH29" s="19"/>
      <c r="XI29" s="19"/>
      <c r="XJ29" s="19"/>
      <c r="XK29" s="19"/>
      <c r="XL29" s="19"/>
      <c r="XM29" s="19"/>
      <c r="XN29" s="19"/>
      <c r="XO29" s="19"/>
      <c r="XP29" s="19"/>
      <c r="XQ29" s="19"/>
      <c r="XR29" s="19"/>
      <c r="XS29" s="19"/>
      <c r="XT29" s="19"/>
      <c r="XU29" s="19"/>
      <c r="XV29" s="19"/>
      <c r="XW29" s="19"/>
      <c r="XX29" s="19"/>
      <c r="XY29" s="19"/>
      <c r="XZ29" s="19"/>
      <c r="YA29" s="19"/>
      <c r="YB29" s="19"/>
      <c r="YC29" s="19"/>
      <c r="YD29" s="19"/>
      <c r="YE29" s="19"/>
      <c r="YF29" s="19"/>
      <c r="YG29" s="19"/>
      <c r="YH29" s="19"/>
      <c r="YI29" s="19"/>
      <c r="YJ29" s="19"/>
      <c r="YK29" s="19"/>
      <c r="YL29" s="19"/>
      <c r="YM29" s="19"/>
      <c r="YN29" s="19"/>
      <c r="YO29" s="19"/>
      <c r="YP29" s="19"/>
      <c r="YQ29" s="19"/>
      <c r="YR29" s="19"/>
      <c r="YS29" s="19"/>
      <c r="YT29" s="19"/>
      <c r="YU29" s="19"/>
      <c r="YV29" s="19"/>
      <c r="YW29" s="19"/>
      <c r="YX29" s="19"/>
      <c r="YY29" s="19"/>
      <c r="YZ29" s="19"/>
      <c r="ZA29" s="19"/>
      <c r="ZB29" s="19"/>
      <c r="ZC29" s="19"/>
      <c r="ZD29" s="19"/>
      <c r="ZE29" s="19"/>
      <c r="ZF29" s="19"/>
      <c r="ZG29" s="19"/>
      <c r="ZH29" s="19"/>
      <c r="ZI29" s="19"/>
      <c r="ZJ29" s="19"/>
      <c r="ZK29" s="19"/>
      <c r="ZL29" s="19"/>
      <c r="ZM29" s="19"/>
      <c r="ZN29" s="19"/>
      <c r="ZO29" s="19"/>
      <c r="ZP29" s="19"/>
      <c r="ZQ29" s="19"/>
      <c r="ZR29" s="19"/>
      <c r="ZS29" s="19"/>
      <c r="ZT29" s="19"/>
      <c r="ZU29" s="19"/>
      <c r="ZV29" s="19"/>
      <c r="ZW29" s="19"/>
      <c r="ZX29" s="19"/>
      <c r="ZY29" s="19"/>
      <c r="ZZ29" s="19"/>
      <c r="AAA29" s="19"/>
      <c r="AAB29" s="19"/>
      <c r="AAC29" s="19"/>
      <c r="AAD29" s="19"/>
      <c r="AAE29" s="19"/>
      <c r="AAF29" s="19"/>
      <c r="AAG29" s="19"/>
      <c r="AAH29" s="19"/>
      <c r="AAI29" s="19"/>
      <c r="AAJ29" s="19"/>
      <c r="AAK29" s="19"/>
      <c r="AAL29" s="19"/>
      <c r="AAM29" s="19"/>
      <c r="AAN29" s="19"/>
      <c r="AAO29" s="19"/>
      <c r="AAP29" s="19"/>
      <c r="AAQ29" s="19"/>
      <c r="AAR29" s="19"/>
      <c r="AAS29" s="19"/>
      <c r="AAT29" s="19"/>
      <c r="AAU29" s="19"/>
      <c r="AAV29" s="19"/>
      <c r="AAW29" s="19"/>
      <c r="AAX29" s="19"/>
      <c r="AAY29" s="19"/>
      <c r="AAZ29" s="19"/>
      <c r="ABA29" s="19"/>
      <c r="ABB29" s="19"/>
      <c r="ABC29" s="19"/>
      <c r="ABD29" s="19"/>
      <c r="ABE29" s="19"/>
      <c r="ABF29" s="19"/>
      <c r="ABG29" s="19"/>
      <c r="ABH29" s="19"/>
      <c r="ABI29" s="19"/>
      <c r="ABJ29" s="19"/>
      <c r="ABK29" s="19"/>
      <c r="ABL29" s="19"/>
      <c r="ABM29" s="19"/>
      <c r="ABN29" s="19"/>
      <c r="ABO29" s="19"/>
      <c r="ABP29" s="19"/>
      <c r="ABQ29" s="19"/>
      <c r="ABR29" s="19"/>
      <c r="ABS29" s="19"/>
      <c r="ABT29" s="19"/>
      <c r="ABU29" s="19"/>
      <c r="ABV29" s="19"/>
      <c r="ABW29" s="19"/>
      <c r="ABX29" s="19"/>
      <c r="ABY29" s="19"/>
      <c r="ABZ29" s="19"/>
      <c r="ACA29" s="19"/>
      <c r="ACB29" s="19"/>
      <c r="ACC29" s="19"/>
      <c r="ACD29" s="19"/>
      <c r="ACE29" s="19"/>
      <c r="ACF29" s="19"/>
      <c r="ACG29" s="19"/>
      <c r="ACH29" s="19"/>
      <c r="ACI29" s="19"/>
      <c r="ACJ29" s="19"/>
      <c r="ACK29" s="19"/>
      <c r="ACL29" s="19"/>
      <c r="ACM29" s="19"/>
      <c r="ACN29" s="19"/>
      <c r="ACO29" s="19"/>
      <c r="ACP29" s="19"/>
      <c r="ACQ29" s="19"/>
      <c r="ACR29" s="19"/>
      <c r="ACS29" s="19"/>
      <c r="ACT29" s="19"/>
      <c r="ACU29" s="19"/>
      <c r="ACV29" s="19"/>
      <c r="ACW29" s="19"/>
      <c r="ACX29" s="19"/>
      <c r="ACY29" s="19"/>
      <c r="ACZ29" s="19"/>
      <c r="ADA29" s="19"/>
      <c r="ADB29" s="19"/>
      <c r="ADC29" s="19"/>
      <c r="ADD29" s="19"/>
      <c r="ADE29" s="19"/>
      <c r="ADF29" s="19"/>
      <c r="ADG29" s="19"/>
      <c r="ADH29" s="19"/>
      <c r="ADI29" s="19"/>
      <c r="ADJ29" s="19"/>
      <c r="ADK29" s="19"/>
      <c r="ADL29" s="19"/>
      <c r="ADM29" s="19"/>
      <c r="ADN29" s="19"/>
      <c r="ADO29" s="19"/>
      <c r="ADP29" s="19"/>
      <c r="ADQ29" s="19"/>
      <c r="ADR29" s="19"/>
      <c r="ADS29" s="19"/>
      <c r="ADT29" s="19"/>
      <c r="ADU29" s="19"/>
      <c r="ADV29" s="19"/>
      <c r="ADW29" s="19"/>
      <c r="ADX29" s="19"/>
      <c r="ADY29" s="19"/>
      <c r="ADZ29" s="19"/>
      <c r="AEA29" s="19"/>
      <c r="AEB29" s="19"/>
      <c r="AEC29" s="19"/>
      <c r="AED29" s="19"/>
      <c r="AEE29" s="19"/>
      <c r="AEF29" s="19"/>
      <c r="AEG29" s="19"/>
      <c r="AEH29" s="19"/>
      <c r="AEI29" s="19"/>
      <c r="AEJ29" s="19"/>
      <c r="AEK29" s="19"/>
      <c r="AEL29" s="19"/>
      <c r="AEM29" s="19"/>
      <c r="AEN29" s="19"/>
      <c r="AEO29" s="19"/>
      <c r="AEP29" s="19"/>
      <c r="AEQ29" s="19"/>
      <c r="AER29" s="19"/>
      <c r="AES29" s="19"/>
      <c r="AET29" s="19"/>
      <c r="AEU29" s="19"/>
      <c r="AEV29" s="19"/>
      <c r="AEW29" s="19"/>
      <c r="AEX29" s="19"/>
      <c r="AEY29" s="19"/>
      <c r="AEZ29" s="19"/>
      <c r="AFA29" s="19"/>
      <c r="AFB29" s="19"/>
      <c r="AFC29" s="19"/>
      <c r="AFD29" s="19"/>
      <c r="AFE29" s="19"/>
      <c r="AFF29" s="19"/>
      <c r="AFG29" s="19"/>
      <c r="AFH29" s="19"/>
      <c r="AFI29" s="19"/>
      <c r="AFJ29" s="19"/>
      <c r="AFK29" s="19"/>
      <c r="AFL29" s="19"/>
      <c r="AFM29" s="19"/>
      <c r="AFN29" s="19"/>
      <c r="AFO29" s="19"/>
      <c r="AFP29" s="19"/>
      <c r="AFQ29" s="19"/>
      <c r="AFR29" s="19"/>
      <c r="AFS29" s="19"/>
      <c r="AFT29" s="19"/>
      <c r="AFU29" s="19"/>
      <c r="AFV29" s="19"/>
      <c r="AFW29" s="19"/>
      <c r="AFX29" s="19"/>
      <c r="AFY29" s="19"/>
      <c r="AFZ29" s="19"/>
      <c r="AGA29" s="19"/>
      <c r="AGB29" s="19"/>
      <c r="AGC29" s="19"/>
      <c r="AGD29" s="19"/>
      <c r="AGE29" s="19"/>
      <c r="AGF29" s="19"/>
      <c r="AGG29" s="19"/>
      <c r="AGH29" s="19"/>
      <c r="AGI29" s="19"/>
      <c r="AGJ29" s="19"/>
      <c r="AGK29" s="19"/>
      <c r="AGL29" s="19"/>
      <c r="AGM29" s="19"/>
      <c r="AGN29" s="19"/>
      <c r="AGO29" s="19"/>
      <c r="AGP29" s="19"/>
      <c r="AGQ29" s="19"/>
      <c r="AGR29" s="19"/>
      <c r="AGS29" s="19"/>
      <c r="AGT29" s="19"/>
      <c r="AGU29" s="19"/>
      <c r="AGV29" s="19"/>
      <c r="AGW29" s="19"/>
      <c r="AGX29" s="19"/>
      <c r="AGY29" s="19"/>
      <c r="AGZ29" s="19"/>
      <c r="AHA29" s="19"/>
      <c r="AHB29" s="19"/>
      <c r="AHC29" s="19"/>
      <c r="AHD29" s="19"/>
      <c r="AHE29" s="19"/>
      <c r="AHF29" s="19"/>
      <c r="AHG29" s="19"/>
      <c r="AHH29" s="19"/>
      <c r="AHI29" s="19"/>
      <c r="AHJ29" s="19"/>
      <c r="AHK29" s="19"/>
      <c r="AHL29" s="19"/>
      <c r="AHM29" s="19"/>
      <c r="AHN29" s="19"/>
      <c r="AHO29" s="19"/>
      <c r="AHP29" s="19"/>
      <c r="AHQ29" s="19"/>
      <c r="AHR29" s="19"/>
      <c r="AHS29" s="19"/>
      <c r="AHT29" s="19"/>
      <c r="AHU29" s="19"/>
      <c r="AHV29" s="19"/>
      <c r="AHW29" s="19"/>
      <c r="AHX29" s="19"/>
      <c r="AHY29" s="19"/>
      <c r="AHZ29" s="19"/>
      <c r="AIA29" s="19"/>
      <c r="AIB29" s="19"/>
      <c r="AIC29" s="19"/>
      <c r="AID29" s="19"/>
      <c r="AIE29" s="19"/>
      <c r="AIF29" s="19"/>
      <c r="AIG29" s="19"/>
      <c r="AIH29" s="19"/>
      <c r="AII29" s="19"/>
      <c r="AIJ29" s="19"/>
      <c r="AIK29" s="19"/>
      <c r="AIL29" s="19"/>
      <c r="AIM29" s="19"/>
      <c r="AIN29" s="19"/>
      <c r="AIO29" s="19"/>
      <c r="AIP29" s="19"/>
      <c r="AIQ29" s="19"/>
      <c r="AIR29" s="19"/>
      <c r="AIS29" s="19"/>
      <c r="AIT29" s="19"/>
      <c r="AIU29" s="19"/>
      <c r="AIV29" s="19"/>
      <c r="AIW29" s="19"/>
      <c r="AIX29" s="19"/>
      <c r="AIY29" s="19"/>
      <c r="AIZ29" s="19"/>
      <c r="AJA29" s="19"/>
      <c r="AJB29" s="19"/>
      <c r="AJC29" s="19"/>
      <c r="AJD29" s="19"/>
      <c r="AJE29" s="19"/>
      <c r="AJF29" s="19"/>
      <c r="AJG29" s="19"/>
      <c r="AJH29" s="19"/>
      <c r="AJI29" s="19"/>
      <c r="AJJ29" s="19"/>
      <c r="AJK29" s="19"/>
      <c r="AJL29" s="19"/>
      <c r="AJM29" s="19"/>
      <c r="AJN29" s="19"/>
      <c r="AJO29" s="19"/>
      <c r="AJP29" s="19"/>
      <c r="AJQ29" s="19"/>
      <c r="AJR29" s="19"/>
      <c r="AJS29" s="19"/>
      <c r="AJT29" s="19"/>
      <c r="AJU29" s="19"/>
      <c r="AJV29" s="19"/>
      <c r="AJW29" s="19"/>
      <c r="AJX29" s="19"/>
      <c r="AJY29" s="19"/>
      <c r="AJZ29" s="19"/>
      <c r="AKA29" s="19"/>
      <c r="AKB29" s="19"/>
      <c r="AKC29" s="19"/>
      <c r="AKD29" s="19"/>
      <c r="AKE29" s="19"/>
      <c r="AKF29" s="19"/>
      <c r="AKG29" s="19"/>
      <c r="AKH29" s="19"/>
      <c r="AKI29" s="19"/>
      <c r="AKJ29" s="19"/>
      <c r="AKK29" s="19"/>
      <c r="AKL29" s="19"/>
      <c r="AKM29" s="19"/>
      <c r="AKN29" s="19"/>
      <c r="AKO29" s="19"/>
      <c r="AKP29" s="19"/>
      <c r="AKQ29" s="19"/>
      <c r="AKR29" s="19"/>
      <c r="AKS29" s="19"/>
      <c r="AKT29" s="19"/>
      <c r="AKU29" s="19"/>
      <c r="AKV29" s="19"/>
      <c r="AKW29" s="19"/>
      <c r="AKX29" s="19"/>
      <c r="AKY29" s="19"/>
      <c r="AKZ29" s="19"/>
      <c r="ALA29" s="19"/>
      <c r="ALB29" s="19"/>
      <c r="ALC29" s="19"/>
      <c r="ALD29" s="19"/>
      <c r="ALE29" s="19"/>
      <c r="ALF29" s="19"/>
      <c r="ALG29" s="19"/>
      <c r="ALH29" s="19"/>
      <c r="ALI29" s="19"/>
      <c r="ALJ29" s="19"/>
      <c r="ALK29" s="19"/>
      <c r="ALL29" s="19"/>
      <c r="ALM29" s="19"/>
      <c r="ALN29" s="19"/>
      <c r="ALO29" s="19"/>
      <c r="ALP29" s="19"/>
      <c r="ALQ29" s="19"/>
      <c r="ALR29" s="19"/>
      <c r="ALS29" s="19"/>
      <c r="ALT29" s="19"/>
      <c r="ALU29" s="19"/>
      <c r="ALV29" s="19"/>
      <c r="ALW29" s="19"/>
      <c r="ALX29" s="19"/>
      <c r="ALY29" s="19"/>
      <c r="ALZ29" s="19"/>
      <c r="AMA29" s="19"/>
      <c r="AMB29" s="19"/>
      <c r="AMC29" s="19"/>
      <c r="AMD29" s="19"/>
      <c r="AME29" s="19"/>
      <c r="AMF29" s="19"/>
      <c r="AMG29" s="19"/>
      <c r="AMH29" s="19"/>
      <c r="AMI29" s="19"/>
      <c r="AMJ29" s="19"/>
      <c r="AMK29" s="19"/>
      <c r="AML29" s="19"/>
      <c r="AMM29" s="19"/>
      <c r="AMN29" s="19"/>
      <c r="AMO29" s="19"/>
      <c r="AMP29" s="19"/>
      <c r="AMQ29" s="19"/>
      <c r="AMR29" s="19"/>
      <c r="AMS29" s="19"/>
      <c r="AMT29" s="19"/>
      <c r="AMU29" s="19"/>
      <c r="AMV29" s="19"/>
      <c r="AMW29" s="19"/>
      <c r="AMX29" s="19"/>
      <c r="AMY29" s="19"/>
      <c r="AMZ29" s="19"/>
      <c r="ANA29" s="19"/>
      <c r="ANB29" s="19"/>
      <c r="ANC29" s="19"/>
      <c r="AND29" s="19"/>
      <c r="ANE29" s="19"/>
      <c r="ANF29" s="19"/>
      <c r="ANG29" s="19"/>
      <c r="ANH29" s="19"/>
      <c r="ANI29" s="19"/>
      <c r="ANJ29" s="19"/>
      <c r="ANK29" s="19"/>
      <c r="ANL29" s="19"/>
      <c r="ANM29" s="19"/>
      <c r="ANN29" s="19"/>
      <c r="ANO29" s="19"/>
      <c r="ANP29" s="19"/>
      <c r="ANQ29" s="19"/>
      <c r="ANR29" s="19"/>
      <c r="ANS29" s="19"/>
      <c r="ANT29" s="19"/>
      <c r="ANU29" s="19"/>
      <c r="ANV29" s="19"/>
      <c r="ANW29" s="19"/>
      <c r="ANX29" s="19"/>
      <c r="ANY29" s="19"/>
      <c r="ANZ29" s="19"/>
      <c r="AOA29" s="19"/>
      <c r="AOB29" s="19"/>
      <c r="AOC29" s="19"/>
      <c r="AOD29" s="19"/>
      <c r="AOE29" s="19"/>
      <c r="AOF29" s="19"/>
      <c r="AOG29" s="19"/>
      <c r="AOH29" s="19"/>
      <c r="AOI29" s="19"/>
      <c r="AOJ29" s="19"/>
      <c r="AOK29" s="19"/>
      <c r="AOL29" s="19"/>
      <c r="AOM29" s="19"/>
      <c r="AON29" s="19"/>
      <c r="AOO29" s="19"/>
      <c r="AOP29" s="19"/>
      <c r="AOQ29" s="19"/>
      <c r="AOR29" s="19"/>
      <c r="AOS29" s="19"/>
      <c r="AOT29" s="19"/>
      <c r="AOU29" s="19"/>
      <c r="AOV29" s="19"/>
      <c r="AOW29" s="19"/>
      <c r="AOX29" s="19"/>
      <c r="AOY29" s="19"/>
      <c r="AOZ29" s="19"/>
      <c r="APA29" s="19"/>
      <c r="APB29" s="19"/>
      <c r="APC29" s="19"/>
      <c r="APD29" s="19"/>
      <c r="APE29" s="19"/>
      <c r="APF29" s="19"/>
      <c r="APG29" s="19"/>
      <c r="APH29" s="19"/>
      <c r="API29" s="19"/>
      <c r="APJ29" s="19"/>
      <c r="APK29" s="19"/>
      <c r="APL29" s="19"/>
      <c r="APM29" s="19"/>
      <c r="APN29" s="19"/>
      <c r="APO29" s="19"/>
      <c r="APP29" s="19"/>
      <c r="APQ29" s="19"/>
      <c r="APR29" s="19"/>
      <c r="APS29" s="19"/>
      <c r="APT29" s="19"/>
      <c r="APU29" s="19"/>
      <c r="APV29" s="19"/>
      <c r="APW29" s="19"/>
      <c r="APX29" s="19"/>
      <c r="APY29" s="19"/>
      <c r="APZ29" s="19"/>
      <c r="AQA29" s="19"/>
      <c r="AQB29" s="19"/>
      <c r="AQC29" s="19"/>
      <c r="AQD29" s="19"/>
      <c r="AQE29" s="19"/>
      <c r="AQF29" s="19"/>
      <c r="AQG29" s="19"/>
      <c r="AQH29" s="19"/>
      <c r="AQI29" s="19"/>
      <c r="AQJ29" s="19"/>
      <c r="AQK29" s="19"/>
      <c r="AQL29" s="19"/>
      <c r="AQM29" s="19"/>
      <c r="AQN29" s="19"/>
      <c r="AQO29" s="19"/>
      <c r="AQP29" s="19"/>
      <c r="AQQ29" s="19"/>
      <c r="AQR29" s="19"/>
      <c r="AQS29" s="19"/>
      <c r="AQT29" s="19"/>
      <c r="AQU29" s="19"/>
      <c r="AQV29" s="19"/>
      <c r="AQW29" s="19"/>
      <c r="AQX29" s="19"/>
      <c r="AQY29" s="19"/>
      <c r="AQZ29" s="19"/>
      <c r="ARA29" s="19"/>
      <c r="ARB29" s="19"/>
      <c r="ARC29" s="19"/>
      <c r="ARD29" s="19"/>
      <c r="ARE29" s="19"/>
      <c r="ARF29" s="19"/>
      <c r="ARG29" s="19"/>
      <c r="ARH29" s="19"/>
      <c r="ARI29" s="19"/>
      <c r="ARJ29" s="19"/>
      <c r="ARK29" s="19"/>
      <c r="ARL29" s="19"/>
      <c r="ARM29" s="19"/>
      <c r="ARN29" s="19"/>
      <c r="ARO29" s="19"/>
      <c r="ARP29" s="19"/>
      <c r="ARQ29" s="19"/>
      <c r="ARR29" s="19"/>
      <c r="ARS29" s="19"/>
      <c r="ART29" s="19"/>
      <c r="ARU29" s="19"/>
      <c r="ARV29" s="19"/>
      <c r="ARW29" s="19"/>
      <c r="ARX29" s="19"/>
      <c r="ARY29" s="19"/>
      <c r="ARZ29" s="19"/>
      <c r="ASA29" s="19"/>
      <c r="ASB29" s="19"/>
      <c r="ASC29" s="19"/>
      <c r="ASD29" s="19"/>
      <c r="ASE29" s="19"/>
      <c r="ASF29" s="19"/>
      <c r="ASG29" s="19"/>
      <c r="ASH29" s="19"/>
      <c r="ASI29" s="19"/>
      <c r="ASJ29" s="19"/>
      <c r="ASK29" s="19"/>
      <c r="ASL29" s="19"/>
      <c r="ASM29" s="19"/>
      <c r="ASN29" s="19"/>
      <c r="ASO29" s="19"/>
      <c r="ASP29" s="19"/>
      <c r="ASQ29" s="19"/>
      <c r="ASR29" s="19"/>
      <c r="ASS29" s="19"/>
      <c r="AST29" s="19"/>
      <c r="ASU29" s="19"/>
      <c r="ASV29" s="19"/>
      <c r="ASW29" s="19"/>
      <c r="ASX29" s="19"/>
      <c r="ASY29" s="19"/>
      <c r="ASZ29" s="19"/>
      <c r="ATA29" s="19"/>
      <c r="ATB29" s="19"/>
      <c r="ATC29" s="19"/>
      <c r="ATD29" s="19"/>
      <c r="ATE29" s="19"/>
      <c r="ATF29" s="19"/>
      <c r="ATG29" s="19"/>
      <c r="ATH29" s="19"/>
      <c r="ATI29" s="19"/>
      <c r="ATJ29" s="19"/>
      <c r="ATK29" s="19"/>
      <c r="ATL29" s="19"/>
      <c r="ATM29" s="19"/>
      <c r="ATN29" s="19"/>
      <c r="ATO29" s="19"/>
      <c r="ATP29" s="19"/>
      <c r="ATQ29" s="19"/>
      <c r="ATR29" s="19"/>
      <c r="ATS29" s="19"/>
      <c r="ATT29" s="19"/>
      <c r="ATU29" s="19"/>
      <c r="ATV29" s="19"/>
      <c r="ATW29" s="19"/>
      <c r="ATX29" s="19"/>
      <c r="ATY29" s="19"/>
      <c r="ATZ29" s="19"/>
      <c r="AUA29" s="19"/>
      <c r="AUB29" s="19"/>
      <c r="AUC29" s="19"/>
      <c r="AUD29" s="19"/>
      <c r="AUE29" s="19"/>
      <c r="AUF29" s="19"/>
      <c r="AUG29" s="19"/>
      <c r="AUH29" s="19"/>
      <c r="AUI29" s="19"/>
      <c r="AUJ29" s="19"/>
      <c r="AUK29" s="19"/>
      <c r="AUL29" s="19"/>
      <c r="AUM29" s="19"/>
      <c r="AUN29" s="19"/>
      <c r="AUO29" s="19"/>
      <c r="AUP29" s="19"/>
      <c r="AUQ29" s="19"/>
      <c r="AUR29" s="19"/>
      <c r="AUS29" s="19"/>
      <c r="AUT29" s="19"/>
      <c r="AUU29" s="19"/>
      <c r="AUV29" s="19"/>
      <c r="AUW29" s="19"/>
      <c r="AUX29" s="19"/>
      <c r="AUY29" s="19"/>
      <c r="AUZ29" s="19"/>
      <c r="AVA29" s="19"/>
      <c r="AVB29" s="19"/>
      <c r="AVC29" s="19"/>
      <c r="AVD29" s="19"/>
      <c r="AVE29" s="19"/>
      <c r="AVF29" s="19"/>
      <c r="AVG29" s="19"/>
      <c r="AVH29" s="19"/>
      <c r="AVI29" s="19"/>
      <c r="AVJ29" s="19"/>
      <c r="AVK29" s="19"/>
      <c r="AVL29" s="19"/>
      <c r="AVM29" s="19"/>
      <c r="AVN29" s="19"/>
      <c r="AVO29" s="19"/>
      <c r="AVP29" s="19"/>
      <c r="AVQ29" s="19"/>
      <c r="AVR29" s="19"/>
      <c r="AVS29" s="19"/>
      <c r="AVT29" s="19"/>
      <c r="AVU29" s="19"/>
      <c r="AVV29" s="19"/>
      <c r="AVW29" s="19"/>
      <c r="AVX29" s="19"/>
      <c r="AVY29" s="19"/>
      <c r="AVZ29" s="19"/>
      <c r="AWA29" s="19"/>
      <c r="AWB29" s="19"/>
      <c r="AWC29" s="19"/>
      <c r="AWD29" s="19"/>
      <c r="AWE29" s="19"/>
      <c r="AWF29" s="19"/>
      <c r="AWG29" s="19"/>
      <c r="AWH29" s="19"/>
      <c r="AWI29" s="19"/>
      <c r="AWJ29" s="19"/>
      <c r="AWK29" s="19"/>
      <c r="AWL29" s="19"/>
      <c r="AWM29" s="19"/>
      <c r="AWN29" s="19"/>
      <c r="AWO29" s="19"/>
      <c r="AWP29" s="19"/>
      <c r="AWQ29" s="19"/>
      <c r="AWR29" s="19"/>
      <c r="AWS29" s="19"/>
      <c r="AWT29" s="19"/>
      <c r="AWU29" s="19"/>
      <c r="AWV29" s="19"/>
      <c r="AWW29" s="19"/>
      <c r="AWX29" s="19"/>
      <c r="AWY29" s="19"/>
      <c r="AWZ29" s="19"/>
      <c r="AXA29" s="19"/>
      <c r="AXB29" s="19"/>
      <c r="AXC29" s="19"/>
      <c r="AXD29" s="19"/>
      <c r="AXE29" s="19"/>
      <c r="AXF29" s="19"/>
      <c r="AXG29" s="19"/>
      <c r="AXH29" s="19"/>
      <c r="AXI29" s="19"/>
      <c r="AXJ29" s="19"/>
      <c r="AXK29" s="19"/>
      <c r="AXL29" s="19"/>
      <c r="AXM29" s="19"/>
      <c r="AXN29" s="19"/>
      <c r="AXO29" s="19"/>
      <c r="AXP29" s="19"/>
      <c r="AXQ29" s="19"/>
      <c r="AXR29" s="19"/>
      <c r="AXS29" s="19"/>
      <c r="AXT29" s="19"/>
      <c r="AXU29" s="19"/>
      <c r="AXV29" s="19"/>
      <c r="AXW29" s="19"/>
      <c r="AXX29" s="19"/>
      <c r="AXY29" s="19"/>
      <c r="AXZ29" s="19"/>
      <c r="AYA29" s="19"/>
      <c r="AYB29" s="19"/>
      <c r="AYC29" s="19"/>
      <c r="AYD29" s="19"/>
      <c r="AYE29" s="19"/>
      <c r="AYF29" s="19"/>
      <c r="AYG29" s="19"/>
      <c r="AYH29" s="19"/>
      <c r="AYI29" s="19"/>
      <c r="AYJ29" s="19"/>
      <c r="AYK29" s="19"/>
      <c r="AYL29" s="19"/>
      <c r="AYM29" s="19"/>
      <c r="AYN29" s="19"/>
      <c r="AYO29" s="19"/>
      <c r="AYP29" s="19"/>
      <c r="AYQ29" s="19"/>
      <c r="AYR29" s="19"/>
      <c r="AYS29" s="19"/>
      <c r="AYT29" s="19"/>
      <c r="AYU29" s="19"/>
      <c r="AYV29" s="19"/>
      <c r="AYW29" s="19"/>
      <c r="AYX29" s="19"/>
      <c r="AYY29" s="19"/>
      <c r="AYZ29" s="19"/>
      <c r="AZA29" s="19"/>
      <c r="AZB29" s="19"/>
      <c r="AZC29" s="19"/>
      <c r="AZD29" s="19"/>
      <c r="AZE29" s="19"/>
      <c r="AZF29" s="19"/>
      <c r="AZG29" s="19"/>
      <c r="AZH29" s="19"/>
      <c r="AZI29" s="19"/>
      <c r="AZJ29" s="19"/>
      <c r="AZK29" s="19"/>
      <c r="AZL29" s="19"/>
      <c r="AZM29" s="19"/>
      <c r="AZN29" s="19"/>
      <c r="AZO29" s="19"/>
      <c r="AZP29" s="19"/>
      <c r="AZQ29" s="19"/>
      <c r="AZR29" s="19"/>
      <c r="AZS29" s="19"/>
      <c r="AZT29" s="19"/>
      <c r="AZU29" s="19"/>
      <c r="AZV29" s="19"/>
      <c r="AZW29" s="19"/>
      <c r="AZX29" s="19"/>
      <c r="AZY29" s="19"/>
      <c r="AZZ29" s="19"/>
      <c r="BAA29" s="19"/>
      <c r="BAB29" s="19"/>
      <c r="BAC29" s="19"/>
      <c r="BAD29" s="19"/>
      <c r="BAE29" s="19"/>
      <c r="BAF29" s="19"/>
      <c r="BAG29" s="19"/>
      <c r="BAH29" s="19"/>
      <c r="BAI29" s="19"/>
      <c r="BAJ29" s="19"/>
      <c r="BAK29" s="19"/>
      <c r="BAL29" s="19"/>
      <c r="BAM29" s="19"/>
      <c r="BAN29" s="19"/>
      <c r="BAO29" s="19"/>
      <c r="BAP29" s="19"/>
      <c r="BAQ29" s="19"/>
      <c r="BAR29" s="19"/>
      <c r="BAS29" s="19"/>
      <c r="BAT29" s="19"/>
      <c r="BAU29" s="19"/>
      <c r="BAV29" s="19"/>
      <c r="BAW29" s="19"/>
      <c r="BAX29" s="19"/>
      <c r="BAY29" s="19"/>
      <c r="BAZ29" s="19"/>
      <c r="BBA29" s="19"/>
      <c r="BBB29" s="19"/>
      <c r="BBC29" s="19"/>
      <c r="BBD29" s="19"/>
      <c r="BBE29" s="19"/>
      <c r="BBF29" s="19"/>
      <c r="BBG29" s="19"/>
      <c r="BBH29" s="19"/>
      <c r="BBI29" s="19"/>
      <c r="BBJ29" s="19"/>
      <c r="BBK29" s="19"/>
      <c r="BBL29" s="19"/>
      <c r="BBM29" s="19"/>
      <c r="BBN29" s="19"/>
      <c r="BBO29" s="19"/>
      <c r="BBP29" s="19"/>
      <c r="BBQ29" s="19"/>
      <c r="BBR29" s="19"/>
      <c r="BBS29" s="19"/>
      <c r="BBT29" s="19"/>
      <c r="BBU29" s="19"/>
      <c r="BBV29" s="19"/>
      <c r="BBW29" s="19"/>
      <c r="BBX29" s="19"/>
      <c r="BBY29" s="19"/>
      <c r="BBZ29" s="19"/>
      <c r="BCA29" s="19"/>
      <c r="BCB29" s="19"/>
      <c r="BCC29" s="19"/>
      <c r="BCD29" s="19"/>
      <c r="BCE29" s="19"/>
      <c r="BCF29" s="19"/>
      <c r="BCG29" s="19"/>
      <c r="BCH29" s="19"/>
      <c r="BCI29" s="19"/>
      <c r="BCJ29" s="19"/>
      <c r="BCK29" s="19"/>
      <c r="BCL29" s="19"/>
      <c r="BCM29" s="19"/>
      <c r="BCN29" s="19"/>
      <c r="BCO29" s="19"/>
      <c r="BCP29" s="19"/>
      <c r="BCQ29" s="19"/>
      <c r="BCR29" s="19"/>
      <c r="BCS29" s="19"/>
      <c r="BCT29" s="19"/>
      <c r="BCU29" s="19"/>
      <c r="BCV29" s="19"/>
      <c r="BCW29" s="19"/>
      <c r="BCX29" s="19"/>
      <c r="BCY29" s="19"/>
      <c r="BCZ29" s="19"/>
      <c r="BDA29" s="19"/>
      <c r="BDB29" s="19"/>
      <c r="BDC29" s="19"/>
      <c r="BDD29" s="19"/>
      <c r="BDE29" s="19"/>
      <c r="BDF29" s="19"/>
      <c r="BDG29" s="19"/>
      <c r="BDH29" s="19"/>
      <c r="BDI29" s="19"/>
      <c r="BDJ29" s="19"/>
      <c r="BDK29" s="19"/>
      <c r="BDL29" s="19"/>
      <c r="BDM29" s="19"/>
      <c r="BDN29" s="19"/>
      <c r="BDO29" s="19"/>
      <c r="BDP29" s="19"/>
      <c r="BDQ29" s="19"/>
      <c r="BDR29" s="19"/>
      <c r="BDS29" s="19"/>
      <c r="BDT29" s="19"/>
      <c r="BDU29" s="19"/>
      <c r="BDV29" s="19"/>
      <c r="BDW29" s="19"/>
      <c r="BDX29" s="19"/>
      <c r="BDY29" s="19"/>
      <c r="BDZ29" s="19"/>
      <c r="BEA29" s="19"/>
      <c r="BEB29" s="19"/>
      <c r="BEC29" s="19"/>
      <c r="BED29" s="19"/>
      <c r="BEE29" s="19"/>
      <c r="BEF29" s="19"/>
      <c r="BEG29" s="19"/>
      <c r="BEH29" s="19"/>
      <c r="BEI29" s="19"/>
      <c r="BEJ29" s="19"/>
      <c r="BEK29" s="19"/>
      <c r="BEL29" s="19"/>
      <c r="BEM29" s="19"/>
      <c r="BEN29" s="19"/>
      <c r="BEO29" s="19"/>
      <c r="BEP29" s="19"/>
      <c r="BEQ29" s="19"/>
      <c r="BER29" s="19"/>
      <c r="BES29" s="19"/>
      <c r="BET29" s="19"/>
      <c r="BEU29" s="19"/>
      <c r="BEV29" s="19"/>
      <c r="BEW29" s="19"/>
      <c r="BEX29" s="19"/>
      <c r="BEY29" s="19"/>
      <c r="BEZ29" s="19"/>
      <c r="BFA29" s="19"/>
      <c r="BFB29" s="19"/>
      <c r="BFC29" s="19"/>
      <c r="BFD29" s="19"/>
      <c r="BFE29" s="19"/>
      <c r="BFF29" s="19"/>
      <c r="BFG29" s="19"/>
      <c r="BFH29" s="19"/>
      <c r="BFI29" s="19"/>
      <c r="BFJ29" s="19"/>
      <c r="BFK29" s="19"/>
      <c r="BFL29" s="19"/>
      <c r="BFM29" s="19"/>
      <c r="BFN29" s="19"/>
      <c r="BFO29" s="19"/>
      <c r="BFP29" s="19"/>
      <c r="BFQ29" s="19"/>
      <c r="BFR29" s="19"/>
      <c r="BFS29" s="19"/>
      <c r="BFT29" s="19"/>
      <c r="BFU29" s="19"/>
      <c r="BFV29" s="19"/>
      <c r="BFW29" s="19"/>
      <c r="BFX29" s="19"/>
      <c r="BFY29" s="19"/>
      <c r="BFZ29" s="19"/>
      <c r="BGA29" s="19"/>
      <c r="BGB29" s="19"/>
      <c r="BGC29" s="19"/>
      <c r="BGD29" s="19"/>
      <c r="BGE29" s="19"/>
      <c r="BGF29" s="19"/>
      <c r="BGG29" s="19"/>
      <c r="BGH29" s="19"/>
      <c r="BGI29" s="19"/>
      <c r="BGJ29" s="19"/>
      <c r="BGK29" s="19"/>
      <c r="BGL29" s="19"/>
      <c r="BGM29" s="19"/>
      <c r="BGN29" s="19"/>
      <c r="BGO29" s="19"/>
      <c r="BGP29" s="19"/>
      <c r="BGQ29" s="19"/>
      <c r="BGR29" s="19"/>
      <c r="BGS29" s="19"/>
      <c r="BGT29" s="19"/>
      <c r="BGU29" s="19"/>
      <c r="BGV29" s="19"/>
      <c r="BGW29" s="19"/>
      <c r="BGX29" s="19"/>
      <c r="BGY29" s="19"/>
      <c r="BGZ29" s="19"/>
      <c r="BHA29" s="19"/>
      <c r="BHB29" s="19"/>
      <c r="BHC29" s="19"/>
      <c r="BHD29" s="19"/>
      <c r="BHE29" s="19"/>
      <c r="BHF29" s="19"/>
      <c r="BHG29" s="19"/>
      <c r="BHH29" s="19"/>
      <c r="BHI29" s="19"/>
      <c r="BHJ29" s="19"/>
      <c r="BHK29" s="19"/>
      <c r="BHL29" s="19"/>
      <c r="BHM29" s="19"/>
      <c r="BHN29" s="19"/>
      <c r="BHO29" s="19"/>
      <c r="BHP29" s="19"/>
      <c r="BHQ29" s="19"/>
      <c r="BHR29" s="19"/>
      <c r="BHS29" s="19"/>
      <c r="BHT29" s="19"/>
      <c r="BHU29" s="19"/>
      <c r="BHV29" s="19"/>
      <c r="BHW29" s="19"/>
      <c r="BHX29" s="19"/>
      <c r="BHY29" s="19"/>
      <c r="BHZ29" s="19"/>
      <c r="BIA29" s="19"/>
      <c r="BIB29" s="19"/>
      <c r="BIC29" s="19"/>
      <c r="BID29" s="19"/>
      <c r="BIE29" s="19"/>
      <c r="BIF29" s="19"/>
      <c r="BIG29" s="19"/>
      <c r="BIH29" s="19"/>
      <c r="BII29" s="19"/>
      <c r="BIJ29" s="19"/>
      <c r="BIK29" s="19"/>
      <c r="BIL29" s="19"/>
      <c r="BIM29" s="19"/>
      <c r="BIN29" s="19"/>
      <c r="BIO29" s="19"/>
      <c r="BIP29" s="19"/>
      <c r="BIQ29" s="19"/>
      <c r="BIR29" s="19"/>
      <c r="BIS29" s="19"/>
      <c r="BIT29" s="19"/>
      <c r="BIU29" s="19"/>
      <c r="BIV29" s="19"/>
      <c r="BIW29" s="19"/>
      <c r="BIX29" s="19"/>
      <c r="BIY29" s="19"/>
      <c r="BIZ29" s="19"/>
      <c r="BJA29" s="19"/>
      <c r="BJB29" s="19"/>
      <c r="BJC29" s="19"/>
      <c r="BJD29" s="19"/>
      <c r="BJE29" s="19"/>
      <c r="BJF29" s="19"/>
      <c r="BJG29" s="19"/>
      <c r="BJH29" s="19"/>
      <c r="BJI29" s="19"/>
      <c r="BJJ29" s="19"/>
      <c r="BJK29" s="19"/>
      <c r="BJL29" s="19"/>
      <c r="BJM29" s="19"/>
      <c r="BJN29" s="19"/>
      <c r="BJO29" s="19"/>
      <c r="BJP29" s="19"/>
      <c r="BJQ29" s="19"/>
      <c r="BJR29" s="19"/>
      <c r="BJS29" s="19"/>
      <c r="BJT29" s="19"/>
      <c r="BJU29" s="19"/>
      <c r="BJV29" s="19"/>
      <c r="BJW29" s="19"/>
      <c r="BJX29" s="19"/>
      <c r="BJY29" s="19"/>
      <c r="BJZ29" s="19"/>
      <c r="BKA29" s="19"/>
      <c r="BKB29" s="19"/>
      <c r="BKC29" s="19"/>
      <c r="BKD29" s="19"/>
      <c r="BKE29" s="19"/>
      <c r="BKF29" s="19"/>
      <c r="BKG29" s="19"/>
      <c r="BKH29" s="19"/>
      <c r="BKI29" s="19"/>
      <c r="BKJ29" s="19"/>
      <c r="BKK29" s="19"/>
      <c r="BKL29" s="19"/>
      <c r="BKM29" s="19"/>
      <c r="BKN29" s="19"/>
      <c r="BKO29" s="19"/>
      <c r="BKP29" s="19"/>
      <c r="BKQ29" s="19"/>
      <c r="BKR29" s="19"/>
      <c r="BKS29" s="19"/>
      <c r="BKT29" s="19"/>
      <c r="BKU29" s="19"/>
      <c r="BKV29" s="19"/>
      <c r="BKW29" s="19"/>
      <c r="BKX29" s="19"/>
      <c r="BKY29" s="19"/>
      <c r="BKZ29" s="19"/>
      <c r="BLA29" s="19"/>
      <c r="BLB29" s="19"/>
      <c r="BLC29" s="19"/>
      <c r="BLD29" s="19"/>
      <c r="BLE29" s="19"/>
      <c r="BLF29" s="19"/>
      <c r="BLG29" s="19"/>
      <c r="BLH29" s="19"/>
      <c r="BLI29" s="19"/>
      <c r="BLJ29" s="19"/>
      <c r="BLK29" s="19"/>
      <c r="BLL29" s="19"/>
      <c r="BLM29" s="19"/>
      <c r="BLN29" s="19"/>
      <c r="BLO29" s="19"/>
      <c r="BLP29" s="19"/>
      <c r="BLQ29" s="19"/>
      <c r="BLR29" s="19"/>
      <c r="BLS29" s="19"/>
      <c r="BLT29" s="19"/>
      <c r="BLU29" s="19"/>
      <c r="BLV29" s="19"/>
      <c r="BLW29" s="19"/>
      <c r="BLX29" s="19"/>
      <c r="BLY29" s="19"/>
      <c r="BLZ29" s="19"/>
      <c r="BMA29" s="19"/>
      <c r="BMB29" s="19"/>
      <c r="BMC29" s="19"/>
      <c r="BMD29" s="19"/>
      <c r="BME29" s="19"/>
      <c r="BMF29" s="19"/>
      <c r="BMG29" s="19"/>
      <c r="BMH29" s="19"/>
      <c r="BMI29" s="19"/>
      <c r="BMJ29" s="19"/>
      <c r="BMK29" s="19"/>
      <c r="BML29" s="19"/>
      <c r="BMM29" s="19"/>
      <c r="BMN29" s="19"/>
      <c r="BMO29" s="19"/>
      <c r="BMP29" s="19"/>
      <c r="BMQ29" s="19"/>
      <c r="BMR29" s="19"/>
      <c r="BMS29" s="19"/>
      <c r="BMT29" s="19"/>
      <c r="BMU29" s="19"/>
      <c r="BMV29" s="19"/>
      <c r="BMW29" s="19"/>
      <c r="BMX29" s="19"/>
      <c r="BMY29" s="19"/>
      <c r="BMZ29" s="19"/>
      <c r="BNA29" s="19"/>
      <c r="BNB29" s="19"/>
      <c r="BNC29" s="19"/>
      <c r="BND29" s="19"/>
      <c r="BNE29" s="19"/>
      <c r="BNF29" s="19"/>
      <c r="BNG29" s="19"/>
      <c r="BNH29" s="19"/>
      <c r="BNI29" s="19"/>
      <c r="BNJ29" s="19"/>
      <c r="BNK29" s="19"/>
      <c r="BNL29" s="19"/>
      <c r="BNM29" s="19"/>
      <c r="BNN29" s="19"/>
      <c r="BNO29" s="19"/>
      <c r="BNP29" s="19"/>
      <c r="BNQ29" s="19"/>
      <c r="BNR29" s="19"/>
      <c r="BNS29" s="19"/>
      <c r="BNT29" s="19"/>
      <c r="BNU29" s="19"/>
      <c r="BNV29" s="19"/>
      <c r="BNW29" s="19"/>
      <c r="BNX29" s="19"/>
      <c r="BNY29" s="19"/>
      <c r="BNZ29" s="19"/>
      <c r="BOA29" s="19"/>
      <c r="BOB29" s="19"/>
      <c r="BOC29" s="19"/>
      <c r="BOD29" s="19"/>
      <c r="BOE29" s="19"/>
      <c r="BOF29" s="19"/>
      <c r="BOG29" s="19"/>
      <c r="BOH29" s="19"/>
      <c r="BOI29" s="19"/>
      <c r="BOJ29" s="19"/>
      <c r="BOK29" s="19"/>
      <c r="BOL29" s="19"/>
      <c r="BOM29" s="19"/>
      <c r="BON29" s="19"/>
      <c r="BOO29" s="19"/>
      <c r="BOP29" s="19"/>
      <c r="BOQ29" s="19"/>
      <c r="BOR29" s="19"/>
      <c r="BOS29" s="19"/>
      <c r="BOT29" s="19"/>
      <c r="BOU29" s="19"/>
      <c r="BOV29" s="19"/>
      <c r="BOW29" s="19"/>
      <c r="BOX29" s="19"/>
      <c r="BOY29" s="19"/>
      <c r="BOZ29" s="19"/>
      <c r="BPA29" s="19"/>
      <c r="BPB29" s="19"/>
      <c r="BPC29" s="19"/>
      <c r="BPD29" s="19"/>
      <c r="BPE29" s="19"/>
      <c r="BPF29" s="19"/>
      <c r="BPG29" s="19"/>
      <c r="BPH29" s="19"/>
      <c r="BPI29" s="19"/>
      <c r="BPJ29" s="19"/>
      <c r="BPK29" s="19"/>
      <c r="BPL29" s="19"/>
      <c r="BPM29" s="19"/>
      <c r="BPN29" s="19"/>
      <c r="BPO29" s="19"/>
      <c r="BPP29" s="19"/>
      <c r="BPQ29" s="19"/>
      <c r="BPR29" s="19"/>
      <c r="BPS29" s="19"/>
      <c r="BPT29" s="19"/>
      <c r="BPU29" s="19"/>
      <c r="BPV29" s="19"/>
      <c r="BPW29" s="19"/>
      <c r="BPX29" s="19"/>
      <c r="BPY29" s="19"/>
      <c r="BPZ29" s="19"/>
      <c r="BQA29" s="19"/>
      <c r="BQB29" s="19"/>
      <c r="BQC29" s="19"/>
      <c r="BQD29" s="19"/>
      <c r="BQE29" s="19"/>
      <c r="BQF29" s="19"/>
      <c r="BQG29" s="19"/>
      <c r="BQH29" s="19"/>
      <c r="BQI29" s="19"/>
      <c r="BQJ29" s="19"/>
      <c r="BQK29" s="19"/>
      <c r="BQL29" s="19"/>
      <c r="BQM29" s="19"/>
      <c r="BQN29" s="19"/>
      <c r="BQO29" s="19"/>
      <c r="BQP29" s="19"/>
      <c r="BQQ29" s="19"/>
      <c r="BQR29" s="19"/>
      <c r="BQS29" s="19"/>
      <c r="BQT29" s="19"/>
      <c r="BQU29" s="19"/>
      <c r="BQV29" s="19"/>
      <c r="BQW29" s="19"/>
      <c r="BQX29" s="19"/>
      <c r="BQY29" s="19"/>
      <c r="BQZ29" s="19"/>
      <c r="BRA29" s="19"/>
      <c r="BRB29" s="19"/>
      <c r="BRC29" s="19"/>
      <c r="BRD29" s="19"/>
      <c r="BRE29" s="19"/>
      <c r="BRF29" s="19"/>
      <c r="BRG29" s="19"/>
      <c r="BRH29" s="19"/>
      <c r="BRI29" s="19"/>
      <c r="BRJ29" s="19"/>
      <c r="BRK29" s="19"/>
      <c r="BRL29" s="19"/>
      <c r="BRM29" s="19"/>
      <c r="BRN29" s="19"/>
      <c r="BRO29" s="19"/>
      <c r="BRP29" s="19"/>
      <c r="BRQ29" s="19"/>
      <c r="BRR29" s="19"/>
      <c r="BRS29" s="19"/>
      <c r="BRT29" s="19"/>
      <c r="BRU29" s="19"/>
      <c r="BRV29" s="19"/>
      <c r="BRW29" s="19"/>
      <c r="BRX29" s="19"/>
      <c r="BRY29" s="19"/>
      <c r="BRZ29" s="19"/>
      <c r="BSA29" s="19"/>
      <c r="BSB29" s="19"/>
      <c r="BSC29" s="19"/>
      <c r="BSD29" s="19"/>
      <c r="BSE29" s="19"/>
      <c r="BSF29" s="19"/>
      <c r="BSG29" s="19"/>
      <c r="BSH29" s="19"/>
      <c r="BSI29" s="19"/>
      <c r="BSJ29" s="19"/>
      <c r="BSK29" s="19"/>
      <c r="BSL29" s="19"/>
      <c r="BSM29" s="19"/>
      <c r="BSN29" s="19"/>
      <c r="BSO29" s="19"/>
      <c r="BSP29" s="19"/>
      <c r="BSQ29" s="19"/>
      <c r="BSR29" s="19"/>
      <c r="BSS29" s="19"/>
      <c r="BST29" s="19"/>
      <c r="BSU29" s="19"/>
      <c r="BSV29" s="19"/>
      <c r="BSW29" s="19"/>
      <c r="BSX29" s="19"/>
      <c r="BSY29" s="19"/>
      <c r="BSZ29" s="19"/>
      <c r="BTA29" s="19"/>
      <c r="BTB29" s="19"/>
      <c r="BTC29" s="19"/>
      <c r="BTD29" s="19"/>
      <c r="BTE29" s="19"/>
      <c r="BTF29" s="19"/>
      <c r="BTG29" s="19"/>
      <c r="BTH29" s="19"/>
      <c r="BTI29" s="19"/>
      <c r="BTJ29" s="19"/>
      <c r="BTK29" s="19"/>
      <c r="BTL29" s="19"/>
      <c r="BTM29" s="19"/>
      <c r="BTN29" s="19"/>
      <c r="BTO29" s="19"/>
      <c r="BTP29" s="19"/>
      <c r="BTQ29" s="19"/>
      <c r="BTR29" s="19"/>
      <c r="BTS29" s="19"/>
      <c r="BTT29" s="19"/>
      <c r="BTU29" s="19"/>
      <c r="BTV29" s="19"/>
      <c r="BTW29" s="19"/>
      <c r="BTX29" s="19"/>
      <c r="BTY29" s="19"/>
      <c r="BTZ29" s="19"/>
      <c r="BUA29" s="19"/>
      <c r="BUB29" s="19"/>
      <c r="BUC29" s="19"/>
      <c r="BUD29" s="19"/>
      <c r="BUE29" s="19"/>
      <c r="BUF29" s="19"/>
      <c r="BUG29" s="19"/>
      <c r="BUH29" s="19"/>
      <c r="BUI29" s="19"/>
      <c r="BUJ29" s="19"/>
      <c r="BUK29" s="19"/>
      <c r="BUL29" s="19"/>
      <c r="BUM29" s="19"/>
      <c r="BUN29" s="19"/>
      <c r="BUO29" s="19"/>
      <c r="BUP29" s="19"/>
      <c r="BUQ29" s="19"/>
      <c r="BUR29" s="19"/>
      <c r="BUS29" s="19"/>
      <c r="BUT29" s="19"/>
      <c r="BUU29" s="19"/>
      <c r="BUV29" s="19"/>
      <c r="BUW29" s="19"/>
      <c r="BUX29" s="19"/>
      <c r="BUY29" s="19"/>
      <c r="BUZ29" s="19"/>
      <c r="BVA29" s="19"/>
      <c r="BVB29" s="19"/>
      <c r="BVC29" s="19"/>
      <c r="BVD29" s="19"/>
      <c r="BVE29" s="19"/>
      <c r="BVF29" s="19"/>
      <c r="BVG29" s="19"/>
      <c r="BVH29" s="19"/>
      <c r="BVI29" s="19"/>
      <c r="BVJ29" s="19"/>
      <c r="BVK29" s="19"/>
      <c r="BVL29" s="19"/>
      <c r="BVM29" s="19"/>
      <c r="BVN29" s="19"/>
      <c r="BVO29" s="19"/>
      <c r="BVP29" s="19"/>
      <c r="BVQ29" s="19"/>
      <c r="BVR29" s="19"/>
      <c r="BVS29" s="19"/>
      <c r="BVT29" s="19"/>
      <c r="BVU29" s="19"/>
      <c r="BVV29" s="19"/>
      <c r="BVW29" s="19"/>
      <c r="BVX29" s="19"/>
      <c r="BVY29" s="19"/>
      <c r="BVZ29" s="19"/>
      <c r="BWA29" s="19"/>
      <c r="BWB29" s="19"/>
      <c r="BWC29" s="19"/>
      <c r="BWD29" s="19"/>
      <c r="BWE29" s="19"/>
      <c r="BWF29" s="19"/>
      <c r="BWG29" s="19"/>
      <c r="BWH29" s="19"/>
      <c r="BWI29" s="19"/>
      <c r="BWJ29" s="19"/>
      <c r="BWK29" s="19"/>
      <c r="BWL29" s="19"/>
      <c r="BWM29" s="19"/>
      <c r="BWN29" s="19"/>
      <c r="BWO29" s="19"/>
      <c r="BWP29" s="19"/>
      <c r="BWQ29" s="19"/>
      <c r="BWR29" s="19"/>
      <c r="BWS29" s="19"/>
      <c r="BWT29" s="19"/>
      <c r="BWU29" s="19"/>
      <c r="BWV29" s="19"/>
      <c r="BWW29" s="19"/>
      <c r="BWX29" s="19"/>
      <c r="BWY29" s="19"/>
      <c r="BWZ29" s="19"/>
      <c r="BXA29" s="19"/>
      <c r="BXB29" s="19"/>
      <c r="BXC29" s="19"/>
      <c r="BXD29" s="19"/>
      <c r="BXE29" s="19"/>
      <c r="BXF29" s="19"/>
      <c r="BXG29" s="19"/>
      <c r="BXH29" s="19"/>
      <c r="BXI29" s="19"/>
      <c r="BXJ29" s="19"/>
      <c r="BXK29" s="19"/>
      <c r="BXL29" s="19"/>
      <c r="BXM29" s="19"/>
      <c r="BXN29" s="19"/>
      <c r="BXO29" s="19"/>
      <c r="BXP29" s="19"/>
      <c r="BXQ29" s="19"/>
      <c r="BXR29" s="19"/>
      <c r="BXS29" s="19"/>
      <c r="BXT29" s="19"/>
      <c r="BXU29" s="19"/>
      <c r="BXV29" s="19"/>
      <c r="BXW29" s="19"/>
      <c r="BXX29" s="19"/>
      <c r="BXY29" s="19"/>
      <c r="BXZ29" s="19"/>
      <c r="BYA29" s="19"/>
      <c r="BYB29" s="19"/>
      <c r="BYC29" s="19"/>
      <c r="BYD29" s="19"/>
      <c r="BYE29" s="19"/>
      <c r="BYF29" s="19"/>
      <c r="BYG29" s="19"/>
      <c r="BYH29" s="19"/>
      <c r="BYI29" s="19"/>
      <c r="BYJ29" s="19"/>
      <c r="BYK29" s="19"/>
      <c r="BYL29" s="19"/>
      <c r="BYM29" s="19"/>
      <c r="BYN29" s="19"/>
      <c r="BYO29" s="19"/>
      <c r="BYP29" s="19"/>
      <c r="BYQ29" s="19"/>
      <c r="BYR29" s="19"/>
      <c r="BYS29" s="19"/>
      <c r="BYT29" s="19"/>
      <c r="BYU29" s="19"/>
      <c r="BYV29" s="19"/>
      <c r="BYW29" s="19"/>
      <c r="BYX29" s="19"/>
      <c r="BYY29" s="19"/>
      <c r="BYZ29" s="19"/>
      <c r="BZA29" s="19"/>
      <c r="BZB29" s="19"/>
      <c r="BZC29" s="19"/>
      <c r="BZD29" s="19"/>
      <c r="BZE29" s="19"/>
      <c r="BZF29" s="19"/>
      <c r="BZG29" s="19"/>
      <c r="BZH29" s="19"/>
      <c r="BZI29" s="19"/>
      <c r="BZJ29" s="19"/>
      <c r="BZK29" s="19"/>
      <c r="BZL29" s="19"/>
      <c r="BZM29" s="19"/>
      <c r="BZN29" s="19"/>
      <c r="BZO29" s="19"/>
      <c r="BZP29" s="19"/>
      <c r="BZQ29" s="19"/>
      <c r="BZR29" s="19"/>
      <c r="BZS29" s="19"/>
      <c r="BZT29" s="19"/>
      <c r="BZU29" s="19"/>
      <c r="BZV29" s="19"/>
      <c r="BZW29" s="19"/>
      <c r="BZX29" s="19"/>
      <c r="BZY29" s="19"/>
      <c r="BZZ29" s="19"/>
      <c r="CAA29" s="19"/>
      <c r="CAB29" s="19"/>
      <c r="CAC29" s="19"/>
      <c r="CAD29" s="19"/>
      <c r="CAE29" s="19"/>
      <c r="CAF29" s="19"/>
      <c r="CAG29" s="19"/>
      <c r="CAH29" s="19"/>
      <c r="CAI29" s="19"/>
      <c r="CAJ29" s="19"/>
      <c r="CAK29" s="19"/>
      <c r="CAL29" s="19"/>
      <c r="CAM29" s="19"/>
      <c r="CAN29" s="19"/>
      <c r="CAO29" s="19"/>
      <c r="CAP29" s="19"/>
      <c r="CAQ29" s="19"/>
      <c r="CAR29" s="19"/>
      <c r="CAS29" s="19"/>
      <c r="CAT29" s="19"/>
      <c r="CAU29" s="19"/>
      <c r="CAV29" s="19"/>
      <c r="CAW29" s="19"/>
      <c r="CAX29" s="19"/>
      <c r="CAY29" s="19"/>
      <c r="CAZ29" s="19"/>
      <c r="CBA29" s="19"/>
      <c r="CBB29" s="19"/>
      <c r="CBC29" s="19"/>
      <c r="CBD29" s="19"/>
      <c r="CBE29" s="19"/>
      <c r="CBF29" s="19"/>
      <c r="CBG29" s="19"/>
      <c r="CBH29" s="19"/>
      <c r="CBI29" s="19"/>
      <c r="CBJ29" s="19"/>
      <c r="CBK29" s="19"/>
      <c r="CBL29" s="19"/>
      <c r="CBM29" s="19"/>
      <c r="CBN29" s="19"/>
      <c r="CBO29" s="19"/>
      <c r="CBP29" s="19"/>
      <c r="CBQ29" s="19"/>
      <c r="CBR29" s="19"/>
      <c r="CBS29" s="19"/>
      <c r="CBT29" s="19"/>
      <c r="CBU29" s="19"/>
      <c r="CBV29" s="19"/>
      <c r="CBW29" s="19"/>
      <c r="CBX29" s="19"/>
      <c r="CBY29" s="19"/>
      <c r="CBZ29" s="19"/>
      <c r="CCA29" s="19"/>
      <c r="CCB29" s="19"/>
      <c r="CCC29" s="19"/>
      <c r="CCD29" s="19"/>
      <c r="CCE29" s="19"/>
      <c r="CCF29" s="19"/>
      <c r="CCG29" s="19"/>
      <c r="CCH29" s="19"/>
      <c r="CCI29" s="19"/>
      <c r="CCJ29" s="19"/>
      <c r="CCK29" s="19"/>
      <c r="CCL29" s="19"/>
      <c r="CCM29" s="19"/>
      <c r="CCN29" s="19"/>
      <c r="CCO29" s="19"/>
      <c r="CCP29" s="19"/>
      <c r="CCQ29" s="19"/>
      <c r="CCR29" s="19"/>
      <c r="CCS29" s="19"/>
      <c r="CCT29" s="19"/>
      <c r="CCU29" s="19"/>
      <c r="CCV29" s="19"/>
      <c r="CCW29" s="19"/>
      <c r="CCX29" s="19"/>
      <c r="CCY29" s="19"/>
      <c r="CCZ29" s="19"/>
      <c r="CDA29" s="19"/>
      <c r="CDB29" s="19"/>
      <c r="CDC29" s="19"/>
      <c r="CDD29" s="19"/>
      <c r="CDE29" s="19"/>
      <c r="CDF29" s="19"/>
      <c r="CDG29" s="19"/>
      <c r="CDH29" s="19"/>
      <c r="CDI29" s="19"/>
      <c r="CDJ29" s="19"/>
      <c r="CDK29" s="19"/>
      <c r="CDL29" s="19"/>
      <c r="CDM29" s="19"/>
      <c r="CDN29" s="19"/>
      <c r="CDO29" s="19"/>
      <c r="CDP29" s="19"/>
      <c r="CDQ29" s="19"/>
      <c r="CDR29" s="19"/>
      <c r="CDS29" s="19"/>
      <c r="CDT29" s="19"/>
      <c r="CDU29" s="19"/>
      <c r="CDV29" s="19"/>
      <c r="CDW29" s="19"/>
      <c r="CDX29" s="19"/>
      <c r="CDY29" s="19"/>
      <c r="CDZ29" s="19"/>
      <c r="CEA29" s="19"/>
      <c r="CEB29" s="19"/>
      <c r="CEC29" s="19"/>
      <c r="CED29" s="19"/>
      <c r="CEE29" s="19"/>
      <c r="CEF29" s="19"/>
      <c r="CEG29" s="19"/>
      <c r="CEH29" s="19"/>
      <c r="CEI29" s="19"/>
      <c r="CEJ29" s="19"/>
      <c r="CEK29" s="19"/>
      <c r="CEL29" s="19"/>
      <c r="CEM29" s="19"/>
      <c r="CEN29" s="19"/>
      <c r="CEO29" s="19"/>
      <c r="CEP29" s="19"/>
      <c r="CEQ29" s="19"/>
      <c r="CER29" s="19"/>
      <c r="CES29" s="19"/>
      <c r="CET29" s="19"/>
      <c r="CEU29" s="19"/>
      <c r="CEV29" s="19"/>
      <c r="CEW29" s="19"/>
      <c r="CEX29" s="19"/>
      <c r="CEY29" s="19"/>
      <c r="CEZ29" s="19"/>
      <c r="CFA29" s="19"/>
      <c r="CFB29" s="19"/>
      <c r="CFC29" s="19"/>
      <c r="CFD29" s="19"/>
      <c r="CFE29" s="19"/>
      <c r="CFF29" s="19"/>
      <c r="CFG29" s="19"/>
      <c r="CFH29" s="19"/>
      <c r="CFI29" s="19"/>
      <c r="CFJ29" s="19"/>
      <c r="CFK29" s="19"/>
      <c r="CFL29" s="19"/>
      <c r="CFM29" s="19"/>
      <c r="CFN29" s="19"/>
      <c r="CFO29" s="19"/>
      <c r="CFP29" s="19"/>
      <c r="CFQ29" s="19"/>
      <c r="CFR29" s="19"/>
      <c r="CFS29" s="19"/>
      <c r="CFT29" s="19"/>
      <c r="CFU29" s="19"/>
      <c r="CFV29" s="19"/>
      <c r="CFW29" s="19"/>
      <c r="CFX29" s="19"/>
      <c r="CFY29" s="19"/>
      <c r="CFZ29" s="19"/>
      <c r="CGA29" s="19"/>
      <c r="CGB29" s="19"/>
      <c r="CGC29" s="19"/>
      <c r="CGD29" s="19"/>
      <c r="CGE29" s="19"/>
      <c r="CGF29" s="19"/>
      <c r="CGG29" s="19"/>
      <c r="CGH29" s="19"/>
      <c r="CGI29" s="19"/>
      <c r="CGJ29" s="19"/>
      <c r="CGK29" s="19"/>
      <c r="CGL29" s="19"/>
      <c r="CGM29" s="19"/>
      <c r="CGN29" s="19"/>
      <c r="CGO29" s="19"/>
      <c r="CGP29" s="19"/>
      <c r="CGQ29" s="19"/>
      <c r="CGR29" s="19"/>
      <c r="CGS29" s="19"/>
      <c r="CGT29" s="19"/>
      <c r="CGU29" s="19"/>
      <c r="CGV29" s="19"/>
      <c r="CGW29" s="19"/>
      <c r="CGX29" s="19"/>
      <c r="CGY29" s="19"/>
      <c r="CGZ29" s="19"/>
      <c r="CHA29" s="19"/>
      <c r="CHB29" s="19"/>
      <c r="CHC29" s="19"/>
      <c r="CHD29" s="19"/>
      <c r="CHE29" s="19"/>
      <c r="CHF29" s="19"/>
      <c r="CHG29" s="19"/>
      <c r="CHH29" s="19"/>
      <c r="CHI29" s="19"/>
      <c r="CHJ29" s="19"/>
      <c r="CHK29" s="19"/>
      <c r="CHL29" s="19"/>
      <c r="CHM29" s="19"/>
      <c r="CHN29" s="19"/>
      <c r="CHO29" s="19"/>
      <c r="CHP29" s="19"/>
      <c r="CHQ29" s="19"/>
      <c r="CHR29" s="19"/>
      <c r="CHS29" s="19"/>
      <c r="CHT29" s="19"/>
      <c r="CHU29" s="19"/>
      <c r="CHV29" s="19"/>
      <c r="CHW29" s="19"/>
      <c r="CHX29" s="19"/>
      <c r="CHY29" s="19"/>
      <c r="CHZ29" s="19"/>
      <c r="CIA29" s="19"/>
      <c r="CIB29" s="19"/>
      <c r="CIC29" s="19"/>
      <c r="CID29" s="19"/>
      <c r="CIE29" s="19"/>
      <c r="CIF29" s="19"/>
      <c r="CIG29" s="19"/>
      <c r="CIH29" s="19"/>
      <c r="CII29" s="19"/>
      <c r="CIJ29" s="19"/>
      <c r="CIK29" s="19"/>
      <c r="CIL29" s="19"/>
      <c r="CIM29" s="19"/>
      <c r="CIN29" s="19"/>
      <c r="CIO29" s="19"/>
      <c r="CIP29" s="19"/>
      <c r="CIQ29" s="19"/>
      <c r="CIR29" s="19"/>
      <c r="CIS29" s="19"/>
      <c r="CIT29" s="19"/>
      <c r="CIU29" s="19"/>
      <c r="CIV29" s="19"/>
      <c r="CIW29" s="19"/>
      <c r="CIX29" s="19"/>
      <c r="CIY29" s="19"/>
      <c r="CIZ29" s="19"/>
      <c r="CJA29" s="19"/>
      <c r="CJB29" s="19"/>
      <c r="CJC29" s="19"/>
      <c r="CJD29" s="19"/>
      <c r="CJE29" s="19"/>
      <c r="CJF29" s="19"/>
      <c r="CJG29" s="19"/>
      <c r="CJH29" s="19"/>
      <c r="CJI29" s="19"/>
      <c r="CJJ29" s="19"/>
      <c r="CJK29" s="19"/>
      <c r="CJL29" s="19"/>
      <c r="CJM29" s="19"/>
      <c r="CJN29" s="19"/>
      <c r="CJO29" s="19"/>
      <c r="CJP29" s="19"/>
      <c r="CJQ29" s="19"/>
      <c r="CJR29" s="19"/>
      <c r="CJS29" s="19"/>
      <c r="CJT29" s="19"/>
      <c r="CJU29" s="19"/>
      <c r="CJV29" s="19"/>
      <c r="CJW29" s="19"/>
      <c r="CJX29" s="19"/>
      <c r="CJY29" s="19"/>
      <c r="CJZ29" s="19"/>
      <c r="CKA29" s="19"/>
      <c r="CKB29" s="19"/>
      <c r="CKC29" s="19"/>
      <c r="CKD29" s="19"/>
      <c r="CKE29" s="19"/>
      <c r="CKF29" s="19"/>
      <c r="CKG29" s="19"/>
      <c r="CKH29" s="19"/>
      <c r="CKI29" s="19"/>
      <c r="CKJ29" s="19"/>
      <c r="CKK29" s="19"/>
      <c r="CKL29" s="19"/>
      <c r="CKM29" s="19"/>
      <c r="CKN29" s="19"/>
      <c r="CKO29" s="19"/>
      <c r="CKP29" s="19"/>
      <c r="CKQ29" s="19"/>
      <c r="CKR29" s="19"/>
      <c r="CKS29" s="19"/>
      <c r="CKT29" s="19"/>
      <c r="CKU29" s="19"/>
      <c r="CKV29" s="19"/>
      <c r="CKW29" s="19"/>
      <c r="CKX29" s="19"/>
      <c r="CKY29" s="19"/>
      <c r="CKZ29" s="19"/>
      <c r="CLA29" s="19"/>
      <c r="CLB29" s="19"/>
      <c r="CLC29" s="19"/>
      <c r="CLD29" s="19"/>
      <c r="CLE29" s="19"/>
      <c r="CLF29" s="19"/>
      <c r="CLG29" s="19"/>
      <c r="CLH29" s="19"/>
      <c r="CLI29" s="19"/>
      <c r="CLJ29" s="19"/>
      <c r="CLK29" s="19"/>
      <c r="CLL29" s="19"/>
      <c r="CLM29" s="19"/>
      <c r="CLN29" s="19"/>
      <c r="CLO29" s="19"/>
      <c r="CLP29" s="19"/>
      <c r="CLQ29" s="19"/>
      <c r="CLR29" s="19"/>
      <c r="CLS29" s="19"/>
      <c r="CLT29" s="19"/>
      <c r="CLU29" s="19"/>
      <c r="CLV29" s="19"/>
      <c r="CLW29" s="19"/>
      <c r="CLX29" s="19"/>
      <c r="CLY29" s="19"/>
      <c r="CLZ29" s="19"/>
      <c r="CMA29" s="19"/>
      <c r="CMB29" s="19"/>
      <c r="CMC29" s="19"/>
      <c r="CMD29" s="19"/>
      <c r="CME29" s="19"/>
      <c r="CMF29" s="19"/>
      <c r="CMG29" s="19"/>
      <c r="CMH29" s="19"/>
      <c r="CMI29" s="19"/>
      <c r="CMJ29" s="19"/>
      <c r="CMK29" s="19"/>
      <c r="CML29" s="19"/>
      <c r="CMM29" s="19"/>
      <c r="CMN29" s="19"/>
      <c r="CMO29" s="19"/>
      <c r="CMP29" s="19"/>
      <c r="CMQ29" s="19"/>
      <c r="CMR29" s="19"/>
      <c r="CMS29" s="19"/>
      <c r="CMT29" s="19"/>
      <c r="CMU29" s="19"/>
      <c r="CMV29" s="19"/>
      <c r="CMW29" s="19"/>
      <c r="CMX29" s="19"/>
      <c r="CMY29" s="19"/>
      <c r="CMZ29" s="19"/>
      <c r="CNA29" s="19"/>
      <c r="CNB29" s="19"/>
      <c r="CNC29" s="19"/>
      <c r="CND29" s="19"/>
      <c r="CNE29" s="19"/>
      <c r="CNF29" s="19"/>
      <c r="CNG29" s="19"/>
      <c r="CNH29" s="19"/>
      <c r="CNI29" s="19"/>
      <c r="CNJ29" s="19"/>
      <c r="CNK29" s="19"/>
      <c r="CNL29" s="19"/>
      <c r="CNM29" s="19"/>
      <c r="CNN29" s="19"/>
      <c r="CNO29" s="19"/>
      <c r="CNP29" s="19"/>
      <c r="CNQ29" s="19"/>
      <c r="CNR29" s="19"/>
      <c r="CNS29" s="19"/>
      <c r="CNT29" s="19"/>
      <c r="CNU29" s="19"/>
      <c r="CNV29" s="19"/>
      <c r="CNW29" s="19"/>
      <c r="CNX29" s="19"/>
      <c r="CNY29" s="19"/>
      <c r="CNZ29" s="19"/>
      <c r="COA29" s="19"/>
      <c r="COB29" s="19"/>
      <c r="COC29" s="19"/>
      <c r="COD29" s="19"/>
      <c r="COE29" s="19"/>
      <c r="COF29" s="19"/>
      <c r="COG29" s="19"/>
      <c r="COH29" s="19"/>
      <c r="COI29" s="19"/>
      <c r="COJ29" s="19"/>
      <c r="COK29" s="19"/>
      <c r="COL29" s="19"/>
      <c r="COM29" s="19"/>
      <c r="CON29" s="19"/>
      <c r="COO29" s="19"/>
      <c r="COP29" s="19"/>
      <c r="COQ29" s="19"/>
      <c r="COR29" s="19"/>
      <c r="COS29" s="19"/>
      <c r="COT29" s="19"/>
      <c r="COU29" s="19"/>
      <c r="COV29" s="19"/>
      <c r="COW29" s="19"/>
      <c r="COX29" s="19"/>
      <c r="COY29" s="19"/>
      <c r="COZ29" s="19"/>
      <c r="CPA29" s="19"/>
      <c r="CPB29" s="19"/>
      <c r="CPC29" s="19"/>
      <c r="CPD29" s="19"/>
      <c r="CPE29" s="19"/>
      <c r="CPF29" s="19"/>
      <c r="CPG29" s="19"/>
      <c r="CPH29" s="19"/>
      <c r="CPI29" s="19"/>
      <c r="CPJ29" s="19"/>
      <c r="CPK29" s="19"/>
      <c r="CPL29" s="19"/>
      <c r="CPM29" s="19"/>
      <c r="CPN29" s="19"/>
      <c r="CPO29" s="19"/>
      <c r="CPP29" s="19"/>
      <c r="CPQ29" s="19"/>
      <c r="CPR29" s="19"/>
      <c r="CPS29" s="19"/>
      <c r="CPT29" s="19"/>
      <c r="CPU29" s="19"/>
      <c r="CPV29" s="19"/>
      <c r="CPW29" s="19"/>
      <c r="CPX29" s="19"/>
      <c r="CPY29" s="19"/>
      <c r="CPZ29" s="19"/>
      <c r="CQA29" s="19"/>
      <c r="CQB29" s="19"/>
      <c r="CQC29" s="19"/>
      <c r="CQD29" s="19"/>
      <c r="CQE29" s="19"/>
      <c r="CQF29" s="19"/>
      <c r="CQG29" s="19"/>
      <c r="CQH29" s="19"/>
      <c r="CQI29" s="19"/>
      <c r="CQJ29" s="19"/>
      <c r="CQK29" s="19"/>
      <c r="CQL29" s="19"/>
      <c r="CQM29" s="19"/>
      <c r="CQN29" s="19"/>
      <c r="CQO29" s="19"/>
      <c r="CQP29" s="19"/>
      <c r="CQQ29" s="19"/>
      <c r="CQR29" s="19"/>
      <c r="CQS29" s="19"/>
      <c r="CQT29" s="19"/>
      <c r="CQU29" s="19"/>
      <c r="CQV29" s="19"/>
      <c r="CQW29" s="19"/>
      <c r="CQX29" s="19"/>
      <c r="CQY29" s="19"/>
      <c r="CQZ29" s="19"/>
      <c r="CRA29" s="19"/>
      <c r="CRB29" s="19"/>
      <c r="CRC29" s="19"/>
      <c r="CRD29" s="19"/>
      <c r="CRE29" s="19"/>
      <c r="CRF29" s="19"/>
      <c r="CRG29" s="19"/>
      <c r="CRH29" s="19"/>
      <c r="CRI29" s="19"/>
      <c r="CRJ29" s="19"/>
      <c r="CRK29" s="19"/>
      <c r="CRL29" s="19"/>
      <c r="CRM29" s="19"/>
      <c r="CRN29" s="19"/>
      <c r="CRO29" s="19"/>
      <c r="CRP29" s="19"/>
      <c r="CRQ29" s="19"/>
      <c r="CRR29" s="19"/>
      <c r="CRS29" s="19"/>
      <c r="CRT29" s="19"/>
      <c r="CRU29" s="19"/>
      <c r="CRV29" s="19"/>
      <c r="CRW29" s="19"/>
      <c r="CRX29" s="19"/>
      <c r="CRY29" s="19"/>
      <c r="CRZ29" s="19"/>
      <c r="CSA29" s="19"/>
      <c r="CSB29" s="19"/>
      <c r="CSC29" s="19"/>
      <c r="CSD29" s="19"/>
      <c r="CSE29" s="19"/>
      <c r="CSF29" s="19"/>
      <c r="CSG29" s="19"/>
      <c r="CSH29" s="19"/>
      <c r="CSI29" s="19"/>
      <c r="CSJ29" s="19"/>
      <c r="CSK29" s="19"/>
      <c r="CSL29" s="19"/>
      <c r="CSM29" s="19"/>
      <c r="CSN29" s="19"/>
      <c r="CSO29" s="19"/>
      <c r="CSP29" s="19"/>
      <c r="CSQ29" s="19"/>
      <c r="CSR29" s="19"/>
      <c r="CSS29" s="19"/>
      <c r="CST29" s="19"/>
      <c r="CSU29" s="19"/>
      <c r="CSV29" s="19"/>
      <c r="CSW29" s="19"/>
      <c r="CSX29" s="19"/>
      <c r="CSY29" s="19"/>
      <c r="CSZ29" s="19"/>
      <c r="CTA29" s="19"/>
      <c r="CTB29" s="19"/>
      <c r="CTC29" s="19"/>
      <c r="CTD29" s="19"/>
      <c r="CTE29" s="19"/>
      <c r="CTF29" s="19"/>
      <c r="CTG29" s="19"/>
      <c r="CTH29" s="19"/>
      <c r="CTI29" s="19"/>
      <c r="CTJ29" s="19"/>
      <c r="CTK29" s="19"/>
      <c r="CTL29" s="19"/>
      <c r="CTM29" s="19"/>
      <c r="CTN29" s="19"/>
      <c r="CTO29" s="19"/>
      <c r="CTP29" s="19"/>
      <c r="CTQ29" s="19"/>
      <c r="CTR29" s="19"/>
      <c r="CTS29" s="19"/>
      <c r="CTT29" s="19"/>
      <c r="CTU29" s="19"/>
      <c r="CTV29" s="19"/>
      <c r="CTW29" s="19"/>
      <c r="CTX29" s="19"/>
      <c r="CTY29" s="19"/>
      <c r="CTZ29" s="19"/>
      <c r="CUA29" s="19"/>
      <c r="CUB29" s="19"/>
      <c r="CUC29" s="19"/>
      <c r="CUD29" s="19"/>
      <c r="CUE29" s="19"/>
      <c r="CUF29" s="19"/>
      <c r="CUG29" s="19"/>
      <c r="CUH29" s="19"/>
      <c r="CUI29" s="19"/>
      <c r="CUJ29" s="19"/>
      <c r="CUK29" s="19"/>
      <c r="CUL29" s="19"/>
      <c r="CUM29" s="19"/>
      <c r="CUN29" s="19"/>
      <c r="CUO29" s="19"/>
      <c r="CUP29" s="19"/>
      <c r="CUQ29" s="19"/>
      <c r="CUR29" s="19"/>
      <c r="CUS29" s="19"/>
      <c r="CUT29" s="19"/>
      <c r="CUU29" s="19"/>
      <c r="CUV29" s="19"/>
      <c r="CUW29" s="19"/>
      <c r="CUX29" s="19"/>
      <c r="CUY29" s="19"/>
      <c r="CUZ29" s="19"/>
      <c r="CVA29" s="19"/>
      <c r="CVB29" s="19"/>
      <c r="CVC29" s="19"/>
      <c r="CVD29" s="19"/>
      <c r="CVE29" s="19"/>
      <c r="CVF29" s="19"/>
      <c r="CVG29" s="19"/>
      <c r="CVH29" s="19"/>
      <c r="CVI29" s="19"/>
      <c r="CVJ29" s="19"/>
      <c r="CVK29" s="19"/>
      <c r="CVL29" s="19"/>
      <c r="CVM29" s="19"/>
      <c r="CVN29" s="19"/>
      <c r="CVO29" s="19"/>
      <c r="CVP29" s="19"/>
      <c r="CVQ29" s="19"/>
      <c r="CVR29" s="19"/>
      <c r="CVS29" s="19"/>
      <c r="CVT29" s="19"/>
      <c r="CVU29" s="19"/>
      <c r="CVV29" s="19"/>
      <c r="CVW29" s="19"/>
      <c r="CVX29" s="19"/>
      <c r="CVY29" s="19"/>
      <c r="CVZ29" s="19"/>
      <c r="CWA29" s="19"/>
      <c r="CWB29" s="19"/>
      <c r="CWC29" s="19"/>
      <c r="CWD29" s="19"/>
      <c r="CWE29" s="19"/>
      <c r="CWF29" s="19"/>
      <c r="CWG29" s="19"/>
      <c r="CWH29" s="19"/>
      <c r="CWI29" s="19"/>
      <c r="CWJ29" s="19"/>
      <c r="CWK29" s="19"/>
      <c r="CWL29" s="19"/>
      <c r="CWM29" s="19"/>
      <c r="CWN29" s="19"/>
      <c r="CWO29" s="19"/>
      <c r="CWP29" s="19"/>
      <c r="CWQ29" s="19"/>
      <c r="CWR29" s="19"/>
      <c r="CWS29" s="19"/>
      <c r="CWT29" s="19"/>
      <c r="CWU29" s="19"/>
      <c r="CWV29" s="19"/>
      <c r="CWW29" s="19"/>
      <c r="CWX29" s="19"/>
      <c r="CWY29" s="19"/>
      <c r="CWZ29" s="19"/>
      <c r="CXA29" s="19"/>
      <c r="CXB29" s="19"/>
      <c r="CXC29" s="19"/>
      <c r="CXD29" s="19"/>
      <c r="CXE29" s="19"/>
      <c r="CXF29" s="19"/>
      <c r="CXG29" s="19"/>
      <c r="CXH29" s="19"/>
      <c r="CXI29" s="19"/>
      <c r="CXJ29" s="19"/>
      <c r="CXK29" s="19"/>
      <c r="CXL29" s="19"/>
      <c r="CXM29" s="19"/>
      <c r="CXN29" s="19"/>
      <c r="CXO29" s="19"/>
      <c r="CXP29" s="19"/>
      <c r="CXQ29" s="19"/>
      <c r="CXR29" s="19"/>
      <c r="CXS29" s="19"/>
      <c r="CXT29" s="19"/>
      <c r="CXU29" s="19"/>
      <c r="CXV29" s="19"/>
      <c r="CXW29" s="19"/>
      <c r="CXX29" s="19"/>
      <c r="CXY29" s="19"/>
      <c r="CXZ29" s="19"/>
      <c r="CYA29" s="19"/>
      <c r="CYB29" s="19"/>
      <c r="CYC29" s="19"/>
      <c r="CYD29" s="19"/>
      <c r="CYE29" s="19"/>
      <c r="CYF29" s="19"/>
      <c r="CYG29" s="19"/>
      <c r="CYH29" s="19"/>
      <c r="CYI29" s="19"/>
      <c r="CYJ29" s="19"/>
      <c r="CYK29" s="19"/>
      <c r="CYL29" s="19"/>
      <c r="CYM29" s="19"/>
      <c r="CYN29" s="19"/>
      <c r="CYO29" s="19"/>
      <c r="CYP29" s="19"/>
      <c r="CYQ29" s="19"/>
      <c r="CYR29" s="19"/>
      <c r="CYS29" s="19"/>
      <c r="CYT29" s="19"/>
      <c r="CYU29" s="19"/>
      <c r="CYV29" s="19"/>
      <c r="CYW29" s="19"/>
      <c r="CYX29" s="19"/>
      <c r="CYY29" s="19"/>
      <c r="CYZ29" s="19"/>
      <c r="CZA29" s="19"/>
      <c r="CZB29" s="19"/>
      <c r="CZC29" s="19"/>
      <c r="CZD29" s="19"/>
      <c r="CZE29" s="19"/>
      <c r="CZF29" s="19"/>
      <c r="CZG29" s="19"/>
      <c r="CZH29" s="19"/>
      <c r="CZI29" s="19"/>
      <c r="CZJ29" s="19"/>
      <c r="CZK29" s="19"/>
      <c r="CZL29" s="19"/>
      <c r="CZM29" s="19"/>
      <c r="CZN29" s="19"/>
      <c r="CZO29" s="19"/>
      <c r="CZP29" s="19"/>
      <c r="CZQ29" s="19"/>
      <c r="CZR29" s="19"/>
      <c r="CZS29" s="19"/>
      <c r="CZT29" s="19"/>
      <c r="CZU29" s="19"/>
      <c r="CZV29" s="19"/>
      <c r="CZW29" s="19"/>
      <c r="CZX29" s="19"/>
      <c r="CZY29" s="19"/>
      <c r="CZZ29" s="19"/>
      <c r="DAA29" s="19"/>
      <c r="DAB29" s="19"/>
      <c r="DAC29" s="19"/>
      <c r="DAD29" s="19"/>
      <c r="DAE29" s="19"/>
      <c r="DAF29" s="19"/>
      <c r="DAG29" s="19"/>
      <c r="DAH29" s="19"/>
      <c r="DAI29" s="19"/>
      <c r="DAJ29" s="19"/>
      <c r="DAK29" s="19"/>
      <c r="DAL29" s="19"/>
      <c r="DAM29" s="19"/>
      <c r="DAN29" s="19"/>
      <c r="DAO29" s="19"/>
      <c r="DAP29" s="19"/>
      <c r="DAQ29" s="19"/>
      <c r="DAR29" s="19"/>
      <c r="DAS29" s="19"/>
      <c r="DAT29" s="19"/>
      <c r="DAU29" s="19"/>
      <c r="DAV29" s="19"/>
      <c r="DAW29" s="19"/>
      <c r="DAX29" s="19"/>
      <c r="DAY29" s="19"/>
      <c r="DAZ29" s="19"/>
      <c r="DBA29" s="19"/>
      <c r="DBB29" s="19"/>
      <c r="DBC29" s="19"/>
      <c r="DBD29" s="19"/>
      <c r="DBE29" s="19"/>
      <c r="DBF29" s="19"/>
      <c r="DBG29" s="19"/>
      <c r="DBH29" s="19"/>
      <c r="DBI29" s="19"/>
      <c r="DBJ29" s="19"/>
      <c r="DBK29" s="19"/>
      <c r="DBL29" s="19"/>
      <c r="DBM29" s="19"/>
      <c r="DBN29" s="19"/>
      <c r="DBO29" s="19"/>
      <c r="DBP29" s="19"/>
      <c r="DBQ29" s="19"/>
      <c r="DBR29" s="19"/>
      <c r="DBS29" s="19"/>
      <c r="DBT29" s="19"/>
      <c r="DBU29" s="19"/>
      <c r="DBV29" s="19"/>
      <c r="DBW29" s="19"/>
      <c r="DBX29" s="19"/>
      <c r="DBY29" s="19"/>
      <c r="DBZ29" s="19"/>
      <c r="DCA29" s="19"/>
      <c r="DCB29" s="19"/>
      <c r="DCC29" s="19"/>
      <c r="DCD29" s="19"/>
      <c r="DCE29" s="19"/>
      <c r="DCF29" s="19"/>
      <c r="DCG29" s="19"/>
      <c r="DCH29" s="19"/>
      <c r="DCI29" s="19"/>
      <c r="DCJ29" s="19"/>
      <c r="DCK29" s="19"/>
      <c r="DCL29" s="19"/>
      <c r="DCM29" s="19"/>
      <c r="DCN29" s="19"/>
      <c r="DCO29" s="19"/>
      <c r="DCP29" s="19"/>
      <c r="DCQ29" s="19"/>
      <c r="DCR29" s="19"/>
      <c r="DCS29" s="19"/>
      <c r="DCT29" s="19"/>
      <c r="DCU29" s="19"/>
      <c r="DCV29" s="19"/>
      <c r="DCW29" s="19"/>
      <c r="DCX29" s="19"/>
      <c r="DCY29" s="19"/>
      <c r="DCZ29" s="19"/>
      <c r="DDA29" s="19"/>
      <c r="DDB29" s="19"/>
      <c r="DDC29" s="19"/>
      <c r="DDD29" s="19"/>
      <c r="DDE29" s="19"/>
      <c r="DDF29" s="19"/>
      <c r="DDG29" s="19"/>
      <c r="DDH29" s="19"/>
      <c r="DDI29" s="19"/>
      <c r="DDJ29" s="19"/>
      <c r="DDK29" s="19"/>
      <c r="DDL29" s="19"/>
      <c r="DDM29" s="19"/>
      <c r="DDN29" s="19"/>
      <c r="DDO29" s="19"/>
      <c r="DDP29" s="19"/>
      <c r="DDQ29" s="19"/>
      <c r="DDR29" s="19"/>
      <c r="DDS29" s="19"/>
      <c r="DDT29" s="19"/>
      <c r="DDU29" s="19"/>
      <c r="DDV29" s="19"/>
      <c r="DDW29" s="19"/>
      <c r="DDX29" s="19"/>
      <c r="DDY29" s="19"/>
      <c r="DDZ29" s="19"/>
      <c r="DEA29" s="19"/>
      <c r="DEB29" s="19"/>
      <c r="DEC29" s="19"/>
      <c r="DED29" s="19"/>
      <c r="DEE29" s="19"/>
      <c r="DEF29" s="19"/>
      <c r="DEG29" s="19"/>
      <c r="DEH29" s="19"/>
      <c r="DEI29" s="19"/>
      <c r="DEJ29" s="19"/>
      <c r="DEK29" s="19"/>
      <c r="DEL29" s="19"/>
      <c r="DEM29" s="19"/>
      <c r="DEN29" s="19"/>
      <c r="DEO29" s="19"/>
      <c r="DEP29" s="19"/>
      <c r="DEQ29" s="19"/>
      <c r="DER29" s="19"/>
      <c r="DES29" s="19"/>
      <c r="DET29" s="19"/>
      <c r="DEU29" s="19"/>
      <c r="DEV29" s="19"/>
      <c r="DEW29" s="19"/>
      <c r="DEX29" s="19"/>
      <c r="DEY29" s="19"/>
      <c r="DEZ29" s="19"/>
      <c r="DFA29" s="19"/>
      <c r="DFB29" s="19"/>
      <c r="DFC29" s="19"/>
      <c r="DFD29" s="19"/>
      <c r="DFE29" s="19"/>
      <c r="DFF29" s="19"/>
      <c r="DFG29" s="19"/>
      <c r="DFH29" s="19"/>
      <c r="DFI29" s="19"/>
      <c r="DFJ29" s="19"/>
      <c r="DFK29" s="19"/>
      <c r="DFL29" s="19"/>
      <c r="DFM29" s="19"/>
      <c r="DFN29" s="19"/>
      <c r="DFO29" s="19"/>
      <c r="DFP29" s="19"/>
      <c r="DFQ29" s="19"/>
      <c r="DFR29" s="19"/>
      <c r="DFS29" s="19"/>
      <c r="DFT29" s="19"/>
      <c r="DFU29" s="19"/>
      <c r="DFV29" s="19"/>
      <c r="DFW29" s="19"/>
      <c r="DFX29" s="19"/>
      <c r="DFY29" s="19"/>
      <c r="DFZ29" s="19"/>
      <c r="DGA29" s="19"/>
      <c r="DGB29" s="19"/>
      <c r="DGC29" s="19"/>
      <c r="DGD29" s="19"/>
      <c r="DGE29" s="19"/>
      <c r="DGF29" s="19"/>
      <c r="DGG29" s="19"/>
      <c r="DGH29" s="19"/>
      <c r="DGI29" s="19"/>
      <c r="DGJ29" s="19"/>
      <c r="DGK29" s="19"/>
      <c r="DGL29" s="19"/>
      <c r="DGM29" s="19"/>
      <c r="DGN29" s="19"/>
      <c r="DGO29" s="19"/>
      <c r="DGP29" s="19"/>
      <c r="DGQ29" s="19"/>
      <c r="DGR29" s="19"/>
      <c r="DGS29" s="19"/>
      <c r="DGT29" s="19"/>
      <c r="DGU29" s="19"/>
      <c r="DGV29" s="19"/>
      <c r="DGW29" s="19"/>
      <c r="DGX29" s="19"/>
      <c r="DGY29" s="19"/>
      <c r="DGZ29" s="19"/>
      <c r="DHA29" s="19"/>
      <c r="DHB29" s="19"/>
      <c r="DHC29" s="19"/>
      <c r="DHD29" s="19"/>
      <c r="DHE29" s="19"/>
      <c r="DHF29" s="19"/>
      <c r="DHG29" s="19"/>
      <c r="DHH29" s="19"/>
      <c r="DHI29" s="19"/>
      <c r="DHJ29" s="19"/>
      <c r="DHK29" s="19"/>
      <c r="DHL29" s="19"/>
      <c r="DHM29" s="19"/>
      <c r="DHN29" s="19"/>
      <c r="DHO29" s="19"/>
      <c r="DHP29" s="19"/>
      <c r="DHQ29" s="19"/>
      <c r="DHR29" s="19"/>
      <c r="DHS29" s="19"/>
      <c r="DHT29" s="19"/>
      <c r="DHU29" s="19"/>
      <c r="DHV29" s="19"/>
      <c r="DHW29" s="19"/>
      <c r="DHX29" s="19"/>
      <c r="DHY29" s="19"/>
      <c r="DHZ29" s="19"/>
      <c r="DIA29" s="19"/>
      <c r="DIB29" s="19"/>
      <c r="DIC29" s="19"/>
      <c r="DID29" s="19"/>
      <c r="DIE29" s="19"/>
      <c r="DIF29" s="19"/>
      <c r="DIG29" s="19"/>
      <c r="DIH29" s="19"/>
      <c r="DII29" s="19"/>
      <c r="DIJ29" s="19"/>
      <c r="DIK29" s="19"/>
      <c r="DIL29" s="19"/>
      <c r="DIM29" s="19"/>
      <c r="DIN29" s="19"/>
      <c r="DIO29" s="19"/>
      <c r="DIP29" s="19"/>
      <c r="DIQ29" s="19"/>
      <c r="DIR29" s="19"/>
      <c r="DIS29" s="19"/>
      <c r="DIT29" s="19"/>
      <c r="DIU29" s="19"/>
      <c r="DIV29" s="19"/>
      <c r="DIW29" s="19"/>
      <c r="DIX29" s="19"/>
      <c r="DIY29" s="19"/>
      <c r="DIZ29" s="19"/>
      <c r="DJA29" s="19"/>
      <c r="DJB29" s="19"/>
      <c r="DJC29" s="19"/>
      <c r="DJD29" s="19"/>
      <c r="DJE29" s="19"/>
      <c r="DJF29" s="19"/>
      <c r="DJG29" s="19"/>
      <c r="DJH29" s="19"/>
      <c r="DJI29" s="19"/>
      <c r="DJJ29" s="19"/>
      <c r="DJK29" s="19"/>
      <c r="DJL29" s="19"/>
      <c r="DJM29" s="19"/>
      <c r="DJN29" s="19"/>
      <c r="DJO29" s="19"/>
      <c r="DJP29" s="19"/>
      <c r="DJQ29" s="19"/>
      <c r="DJR29" s="19"/>
      <c r="DJS29" s="19"/>
      <c r="DJT29" s="19"/>
      <c r="DJU29" s="19"/>
      <c r="DJV29" s="19"/>
      <c r="DJW29" s="19"/>
      <c r="DJX29" s="19"/>
      <c r="DJY29" s="19"/>
      <c r="DJZ29" s="19"/>
      <c r="DKA29" s="19"/>
      <c r="DKB29" s="19"/>
      <c r="DKC29" s="19"/>
      <c r="DKD29" s="19"/>
      <c r="DKE29" s="19"/>
      <c r="DKF29" s="19"/>
      <c r="DKG29" s="19"/>
      <c r="DKH29" s="19"/>
      <c r="DKI29" s="19"/>
      <c r="DKJ29" s="19"/>
      <c r="DKK29" s="19"/>
      <c r="DKL29" s="19"/>
      <c r="DKM29" s="19"/>
      <c r="DKN29" s="19"/>
      <c r="DKO29" s="19"/>
      <c r="DKP29" s="19"/>
      <c r="DKQ29" s="19"/>
      <c r="DKR29" s="19"/>
      <c r="DKS29" s="19"/>
      <c r="DKT29" s="19"/>
      <c r="DKU29" s="19"/>
      <c r="DKV29" s="19"/>
      <c r="DKW29" s="19"/>
      <c r="DKX29" s="19"/>
      <c r="DKY29" s="19"/>
      <c r="DKZ29" s="19"/>
      <c r="DLA29" s="19"/>
      <c r="DLB29" s="19"/>
      <c r="DLC29" s="19"/>
      <c r="DLD29" s="19"/>
      <c r="DLE29" s="19"/>
      <c r="DLF29" s="19"/>
      <c r="DLG29" s="19"/>
      <c r="DLH29" s="19"/>
      <c r="DLI29" s="19"/>
      <c r="DLJ29" s="19"/>
      <c r="DLK29" s="19"/>
      <c r="DLL29" s="19"/>
      <c r="DLM29" s="19"/>
      <c r="DLN29" s="19"/>
      <c r="DLO29" s="19"/>
      <c r="DLP29" s="19"/>
      <c r="DLQ29" s="19"/>
      <c r="DLR29" s="19"/>
      <c r="DLS29" s="19"/>
      <c r="DLT29" s="19"/>
      <c r="DLU29" s="19"/>
      <c r="DLV29" s="19"/>
      <c r="DLW29" s="19"/>
      <c r="DLX29" s="19"/>
      <c r="DLY29" s="19"/>
      <c r="DLZ29" s="19"/>
      <c r="DMA29" s="19"/>
      <c r="DMB29" s="19"/>
      <c r="DMC29" s="19"/>
      <c r="DMD29" s="19"/>
      <c r="DME29" s="19"/>
      <c r="DMF29" s="19"/>
      <c r="DMG29" s="19"/>
      <c r="DMH29" s="19"/>
      <c r="DMI29" s="19"/>
      <c r="DMJ29" s="19"/>
      <c r="DMK29" s="19"/>
      <c r="DML29" s="19"/>
      <c r="DMM29" s="19"/>
      <c r="DMN29" s="19"/>
      <c r="DMO29" s="19"/>
      <c r="DMP29" s="19"/>
      <c r="DMQ29" s="19"/>
      <c r="DMR29" s="19"/>
      <c r="DMS29" s="19"/>
      <c r="DMT29" s="19"/>
      <c r="DMU29" s="19"/>
      <c r="DMV29" s="19"/>
      <c r="DMW29" s="19"/>
      <c r="DMX29" s="19"/>
      <c r="DMY29" s="19"/>
      <c r="DMZ29" s="19"/>
      <c r="DNA29" s="19"/>
      <c r="DNB29" s="19"/>
      <c r="DNC29" s="19"/>
      <c r="DND29" s="19"/>
      <c r="DNE29" s="19"/>
      <c r="DNF29" s="19"/>
      <c r="DNG29" s="19"/>
      <c r="DNH29" s="19"/>
      <c r="DNI29" s="19"/>
      <c r="DNJ29" s="19"/>
      <c r="DNK29" s="19"/>
      <c r="DNL29" s="19"/>
      <c r="DNM29" s="19"/>
      <c r="DNN29" s="19"/>
      <c r="DNO29" s="19"/>
      <c r="DNP29" s="19"/>
      <c r="DNQ29" s="19"/>
      <c r="DNR29" s="19"/>
      <c r="DNS29" s="19"/>
      <c r="DNT29" s="19"/>
      <c r="DNU29" s="19"/>
      <c r="DNV29" s="19"/>
      <c r="DNW29" s="19"/>
      <c r="DNX29" s="19"/>
      <c r="DNY29" s="19"/>
      <c r="DNZ29" s="19"/>
      <c r="DOA29" s="19"/>
      <c r="DOB29" s="19"/>
      <c r="DOC29" s="19"/>
      <c r="DOD29" s="19"/>
      <c r="DOE29" s="19"/>
      <c r="DOF29" s="19"/>
      <c r="DOG29" s="19"/>
      <c r="DOH29" s="19"/>
      <c r="DOI29" s="19"/>
      <c r="DOJ29" s="19"/>
      <c r="DOK29" s="19"/>
      <c r="DOL29" s="19"/>
      <c r="DOM29" s="19"/>
      <c r="DON29" s="19"/>
      <c r="DOO29" s="19"/>
      <c r="DOP29" s="19"/>
      <c r="DOQ29" s="19"/>
      <c r="DOR29" s="19"/>
      <c r="DOS29" s="19"/>
      <c r="DOT29" s="19"/>
      <c r="DOU29" s="19"/>
      <c r="DOV29" s="19"/>
      <c r="DOW29" s="19"/>
      <c r="DOX29" s="19"/>
      <c r="DOY29" s="19"/>
      <c r="DOZ29" s="19"/>
      <c r="DPA29" s="19"/>
      <c r="DPB29" s="19"/>
      <c r="DPC29" s="19"/>
      <c r="DPD29" s="19"/>
      <c r="DPE29" s="19"/>
      <c r="DPF29" s="19"/>
      <c r="DPG29" s="19"/>
      <c r="DPH29" s="19"/>
      <c r="DPI29" s="19"/>
      <c r="DPJ29" s="19"/>
      <c r="DPK29" s="19"/>
      <c r="DPL29" s="19"/>
      <c r="DPM29" s="19"/>
      <c r="DPN29" s="19"/>
      <c r="DPO29" s="19"/>
      <c r="DPP29" s="19"/>
      <c r="DPQ29" s="19"/>
      <c r="DPR29" s="19"/>
      <c r="DPS29" s="19"/>
      <c r="DPT29" s="19"/>
      <c r="DPU29" s="19"/>
      <c r="DPV29" s="19"/>
      <c r="DPW29" s="19"/>
      <c r="DPX29" s="19"/>
      <c r="DPY29" s="19"/>
      <c r="DPZ29" s="19"/>
      <c r="DQA29" s="19"/>
      <c r="DQB29" s="19"/>
      <c r="DQC29" s="19"/>
      <c r="DQD29" s="19"/>
      <c r="DQE29" s="19"/>
      <c r="DQF29" s="19"/>
      <c r="DQG29" s="19"/>
      <c r="DQH29" s="19"/>
      <c r="DQI29" s="19"/>
      <c r="DQJ29" s="19"/>
      <c r="DQK29" s="19"/>
      <c r="DQL29" s="19"/>
      <c r="DQM29" s="19"/>
      <c r="DQN29" s="19"/>
      <c r="DQO29" s="19"/>
      <c r="DQP29" s="19"/>
      <c r="DQQ29" s="19"/>
      <c r="DQR29" s="19"/>
      <c r="DQS29" s="19"/>
      <c r="DQT29" s="19"/>
      <c r="DQU29" s="19"/>
      <c r="DQV29" s="19"/>
      <c r="DQW29" s="19"/>
      <c r="DQX29" s="19"/>
      <c r="DQY29" s="19"/>
      <c r="DQZ29" s="19"/>
      <c r="DRA29" s="19"/>
      <c r="DRB29" s="19"/>
      <c r="DRC29" s="19"/>
      <c r="DRD29" s="19"/>
      <c r="DRE29" s="19"/>
      <c r="DRF29" s="19"/>
      <c r="DRG29" s="19"/>
      <c r="DRH29" s="19"/>
      <c r="DRI29" s="19"/>
      <c r="DRJ29" s="19"/>
      <c r="DRK29" s="19"/>
      <c r="DRL29" s="19"/>
      <c r="DRM29" s="19"/>
      <c r="DRN29" s="19"/>
      <c r="DRO29" s="19"/>
      <c r="DRP29" s="19"/>
      <c r="DRQ29" s="19"/>
      <c r="DRR29" s="19"/>
      <c r="DRS29" s="19"/>
      <c r="DRT29" s="19"/>
      <c r="DRU29" s="19"/>
      <c r="DRV29" s="19"/>
      <c r="DRW29" s="19"/>
      <c r="DRX29" s="19"/>
      <c r="DRY29" s="19"/>
      <c r="DRZ29" s="19"/>
      <c r="DSA29" s="19"/>
      <c r="DSB29" s="19"/>
      <c r="DSC29" s="19"/>
      <c r="DSD29" s="19"/>
      <c r="DSE29" s="19"/>
      <c r="DSF29" s="19"/>
      <c r="DSG29" s="19"/>
      <c r="DSH29" s="19"/>
      <c r="DSI29" s="19"/>
      <c r="DSJ29" s="19"/>
      <c r="DSK29" s="19"/>
      <c r="DSL29" s="19"/>
      <c r="DSM29" s="19"/>
      <c r="DSN29" s="19"/>
      <c r="DSO29" s="19"/>
      <c r="DSP29" s="19"/>
      <c r="DSQ29" s="19"/>
      <c r="DSR29" s="19"/>
      <c r="DSS29" s="19"/>
      <c r="DST29" s="19"/>
      <c r="DSU29" s="19"/>
      <c r="DSV29" s="19"/>
      <c r="DSW29" s="19"/>
      <c r="DSX29" s="19"/>
      <c r="DSY29" s="19"/>
      <c r="DSZ29" s="19"/>
      <c r="DTA29" s="19"/>
      <c r="DTB29" s="19"/>
      <c r="DTC29" s="19"/>
      <c r="DTD29" s="19"/>
      <c r="DTE29" s="19"/>
      <c r="DTF29" s="19"/>
      <c r="DTG29" s="19"/>
      <c r="DTH29" s="19"/>
      <c r="DTI29" s="19"/>
      <c r="DTJ29" s="19"/>
      <c r="DTK29" s="19"/>
      <c r="DTL29" s="19"/>
      <c r="DTM29" s="19"/>
      <c r="DTN29" s="19"/>
      <c r="DTO29" s="19"/>
      <c r="DTP29" s="19"/>
      <c r="DTQ29" s="19"/>
      <c r="DTR29" s="19"/>
      <c r="DTS29" s="19"/>
      <c r="DTT29" s="19"/>
      <c r="DTU29" s="19"/>
      <c r="DTV29" s="19"/>
      <c r="DTW29" s="19"/>
      <c r="DTX29" s="19"/>
      <c r="DTY29" s="19"/>
      <c r="DTZ29" s="19"/>
      <c r="DUA29" s="19"/>
      <c r="DUB29" s="19"/>
      <c r="DUC29" s="19"/>
      <c r="DUD29" s="19"/>
      <c r="DUE29" s="19"/>
      <c r="DUF29" s="19"/>
      <c r="DUG29" s="19"/>
      <c r="DUH29" s="19"/>
      <c r="DUI29" s="19"/>
      <c r="DUJ29" s="19"/>
      <c r="DUK29" s="19"/>
      <c r="DUL29" s="19"/>
      <c r="DUM29" s="19"/>
      <c r="DUN29" s="19"/>
      <c r="DUO29" s="19"/>
      <c r="DUP29" s="19"/>
      <c r="DUQ29" s="19"/>
      <c r="DUR29" s="19"/>
      <c r="DUS29" s="19"/>
      <c r="DUT29" s="19"/>
      <c r="DUU29" s="19"/>
      <c r="DUV29" s="19"/>
      <c r="DUW29" s="19"/>
      <c r="DUX29" s="19"/>
      <c r="DUY29" s="19"/>
      <c r="DUZ29" s="19"/>
      <c r="DVA29" s="19"/>
      <c r="DVB29" s="19"/>
      <c r="DVC29" s="19"/>
      <c r="DVD29" s="19"/>
      <c r="DVE29" s="19"/>
      <c r="DVF29" s="19"/>
      <c r="DVG29" s="19"/>
      <c r="DVH29" s="19"/>
      <c r="DVI29" s="19"/>
      <c r="DVJ29" s="19"/>
      <c r="DVK29" s="19"/>
      <c r="DVL29" s="19"/>
      <c r="DVM29" s="19"/>
      <c r="DVN29" s="19"/>
      <c r="DVO29" s="19"/>
      <c r="DVP29" s="19"/>
      <c r="DVQ29" s="19"/>
      <c r="DVR29" s="19"/>
      <c r="DVS29" s="19"/>
      <c r="DVT29" s="19"/>
      <c r="DVU29" s="19"/>
      <c r="DVV29" s="19"/>
      <c r="DVW29" s="19"/>
      <c r="DVX29" s="19"/>
      <c r="DVY29" s="19"/>
      <c r="DVZ29" s="19"/>
      <c r="DWA29" s="19"/>
      <c r="DWB29" s="19"/>
      <c r="DWC29" s="19"/>
      <c r="DWD29" s="19"/>
      <c r="DWE29" s="19"/>
      <c r="DWF29" s="19"/>
      <c r="DWG29" s="19"/>
      <c r="DWH29" s="19"/>
      <c r="DWI29" s="19"/>
      <c r="DWJ29" s="19"/>
      <c r="DWK29" s="19"/>
      <c r="DWL29" s="19"/>
      <c r="DWM29" s="19"/>
      <c r="DWN29" s="19"/>
      <c r="DWO29" s="19"/>
      <c r="DWP29" s="19"/>
      <c r="DWQ29" s="19"/>
      <c r="DWR29" s="19"/>
      <c r="DWS29" s="19"/>
      <c r="DWT29" s="19"/>
      <c r="DWU29" s="19"/>
      <c r="DWV29" s="19"/>
      <c r="DWW29" s="19"/>
      <c r="DWX29" s="19"/>
      <c r="DWY29" s="19"/>
      <c r="DWZ29" s="19"/>
      <c r="DXA29" s="19"/>
      <c r="DXB29" s="19"/>
      <c r="DXC29" s="19"/>
      <c r="DXD29" s="19"/>
      <c r="DXE29" s="19"/>
      <c r="DXF29" s="19"/>
      <c r="DXG29" s="19"/>
      <c r="DXH29" s="19"/>
      <c r="DXI29" s="19"/>
      <c r="DXJ29" s="19"/>
      <c r="DXK29" s="19"/>
      <c r="DXL29" s="19"/>
      <c r="DXM29" s="19"/>
      <c r="DXN29" s="19"/>
      <c r="DXO29" s="19"/>
      <c r="DXP29" s="19"/>
      <c r="DXQ29" s="19"/>
      <c r="DXR29" s="19"/>
      <c r="DXS29" s="19"/>
      <c r="DXT29" s="19"/>
      <c r="DXU29" s="19"/>
      <c r="DXV29" s="19"/>
      <c r="DXW29" s="19"/>
      <c r="DXX29" s="19"/>
      <c r="DXY29" s="19"/>
      <c r="DXZ29" s="19"/>
      <c r="DYA29" s="19"/>
      <c r="DYB29" s="19"/>
      <c r="DYC29" s="19"/>
      <c r="DYD29" s="19"/>
      <c r="DYE29" s="19"/>
      <c r="DYF29" s="19"/>
      <c r="DYG29" s="19"/>
      <c r="DYH29" s="19"/>
      <c r="DYI29" s="19"/>
      <c r="DYJ29" s="19"/>
      <c r="DYK29" s="19"/>
      <c r="DYL29" s="19"/>
      <c r="DYM29" s="19"/>
      <c r="DYN29" s="19"/>
      <c r="DYO29" s="19"/>
      <c r="DYP29" s="19"/>
      <c r="DYQ29" s="19"/>
      <c r="DYR29" s="19"/>
      <c r="DYS29" s="19"/>
      <c r="DYT29" s="19"/>
      <c r="DYU29" s="19"/>
      <c r="DYV29" s="19"/>
      <c r="DYW29" s="19"/>
      <c r="DYX29" s="19"/>
      <c r="DYY29" s="19"/>
      <c r="DYZ29" s="19"/>
      <c r="DZA29" s="19"/>
      <c r="DZB29" s="19"/>
      <c r="DZC29" s="19"/>
      <c r="DZD29" s="19"/>
      <c r="DZE29" s="19"/>
      <c r="DZF29" s="19"/>
      <c r="DZG29" s="19"/>
      <c r="DZH29" s="19"/>
      <c r="DZI29" s="19"/>
      <c r="DZJ29" s="19"/>
      <c r="DZK29" s="19"/>
      <c r="DZL29" s="19"/>
      <c r="DZM29" s="19"/>
      <c r="DZN29" s="19"/>
      <c r="DZO29" s="19"/>
      <c r="DZP29" s="19"/>
      <c r="DZQ29" s="19"/>
      <c r="DZR29" s="19"/>
      <c r="DZS29" s="19"/>
      <c r="DZT29" s="19"/>
      <c r="DZU29" s="19"/>
      <c r="DZV29" s="19"/>
      <c r="DZW29" s="19"/>
      <c r="DZX29" s="19"/>
      <c r="DZY29" s="19"/>
      <c r="DZZ29" s="19"/>
      <c r="EAA29" s="19"/>
      <c r="EAB29" s="19"/>
      <c r="EAC29" s="19"/>
      <c r="EAD29" s="19"/>
      <c r="EAE29" s="19"/>
      <c r="EAF29" s="19"/>
      <c r="EAG29" s="19"/>
      <c r="EAH29" s="19"/>
      <c r="EAI29" s="19"/>
      <c r="EAJ29" s="19"/>
      <c r="EAK29" s="19"/>
      <c r="EAL29" s="19"/>
      <c r="EAM29" s="19"/>
      <c r="EAN29" s="19"/>
      <c r="EAO29" s="19"/>
      <c r="EAP29" s="19"/>
      <c r="EAQ29" s="19"/>
      <c r="EAR29" s="19"/>
      <c r="EAS29" s="19"/>
      <c r="EAT29" s="19"/>
      <c r="EAU29" s="19"/>
      <c r="EAV29" s="19"/>
      <c r="EAW29" s="19"/>
      <c r="EAX29" s="19"/>
      <c r="EAY29" s="19"/>
      <c r="EAZ29" s="19"/>
      <c r="EBA29" s="19"/>
      <c r="EBB29" s="19"/>
      <c r="EBC29" s="19"/>
      <c r="EBD29" s="19"/>
      <c r="EBE29" s="19"/>
      <c r="EBF29" s="19"/>
      <c r="EBG29" s="19"/>
      <c r="EBH29" s="19"/>
      <c r="EBI29" s="19"/>
      <c r="EBJ29" s="19"/>
      <c r="EBK29" s="19"/>
      <c r="EBL29" s="19"/>
      <c r="EBM29" s="19"/>
      <c r="EBN29" s="19"/>
      <c r="EBO29" s="19"/>
      <c r="EBP29" s="19"/>
      <c r="EBQ29" s="19"/>
      <c r="EBR29" s="19"/>
      <c r="EBS29" s="19"/>
      <c r="EBT29" s="19"/>
      <c r="EBU29" s="19"/>
      <c r="EBV29" s="19"/>
      <c r="EBW29" s="19"/>
      <c r="EBX29" s="19"/>
      <c r="EBY29" s="19"/>
      <c r="EBZ29" s="19"/>
      <c r="ECA29" s="19"/>
      <c r="ECB29" s="19"/>
      <c r="ECC29" s="19"/>
      <c r="ECD29" s="19"/>
      <c r="ECE29" s="19"/>
      <c r="ECF29" s="19"/>
      <c r="ECG29" s="19"/>
      <c r="ECH29" s="19"/>
      <c r="ECI29" s="19"/>
      <c r="ECJ29" s="19"/>
      <c r="ECK29" s="19"/>
      <c r="ECL29" s="19"/>
      <c r="ECM29" s="19"/>
      <c r="ECN29" s="19"/>
      <c r="ECO29" s="19"/>
      <c r="ECP29" s="19"/>
      <c r="ECQ29" s="19"/>
      <c r="ECR29" s="19"/>
      <c r="ECS29" s="19"/>
      <c r="ECT29" s="19"/>
      <c r="ECU29" s="19"/>
      <c r="ECV29" s="19"/>
      <c r="ECW29" s="19"/>
      <c r="ECX29" s="19"/>
      <c r="ECY29" s="19"/>
      <c r="ECZ29" s="19"/>
      <c r="EDA29" s="19"/>
      <c r="EDB29" s="19"/>
      <c r="EDC29" s="19"/>
      <c r="EDD29" s="19"/>
      <c r="EDE29" s="19"/>
      <c r="EDF29" s="19"/>
      <c r="EDG29" s="19"/>
      <c r="EDH29" s="19"/>
      <c r="EDI29" s="19"/>
      <c r="EDJ29" s="19"/>
      <c r="EDK29" s="19"/>
      <c r="EDL29" s="19"/>
      <c r="EDM29" s="19"/>
      <c r="EDN29" s="19"/>
      <c r="EDO29" s="19"/>
      <c r="EDP29" s="19"/>
      <c r="EDQ29" s="19"/>
      <c r="EDR29" s="19"/>
      <c r="EDS29" s="19"/>
      <c r="EDT29" s="19"/>
      <c r="EDU29" s="19"/>
      <c r="EDV29" s="19"/>
      <c r="EDW29" s="19"/>
      <c r="EDX29" s="19"/>
      <c r="EDY29" s="19"/>
      <c r="EDZ29" s="19"/>
      <c r="EEA29" s="19"/>
      <c r="EEB29" s="19"/>
      <c r="EEC29" s="19"/>
      <c r="EED29" s="19"/>
      <c r="EEE29" s="19"/>
      <c r="EEF29" s="19"/>
      <c r="EEG29" s="19"/>
      <c r="EEH29" s="19"/>
      <c r="EEI29" s="19"/>
      <c r="EEJ29" s="19"/>
      <c r="EEK29" s="19"/>
      <c r="EEL29" s="19"/>
      <c r="EEM29" s="19"/>
      <c r="EEN29" s="19"/>
      <c r="EEO29" s="19"/>
      <c r="EEP29" s="19"/>
      <c r="EEQ29" s="19"/>
      <c r="EER29" s="19"/>
      <c r="EES29" s="19"/>
      <c r="EET29" s="19"/>
      <c r="EEU29" s="19"/>
      <c r="EEV29" s="19"/>
      <c r="EEW29" s="19"/>
      <c r="EEX29" s="19"/>
      <c r="EEY29" s="19"/>
      <c r="EEZ29" s="19"/>
      <c r="EFA29" s="19"/>
      <c r="EFB29" s="19"/>
      <c r="EFC29" s="19"/>
      <c r="EFD29" s="19"/>
      <c r="EFE29" s="19"/>
      <c r="EFF29" s="19"/>
      <c r="EFG29" s="19"/>
      <c r="EFH29" s="19"/>
      <c r="EFI29" s="19"/>
      <c r="EFJ29" s="19"/>
      <c r="EFK29" s="19"/>
      <c r="EFL29" s="19"/>
      <c r="EFM29" s="19"/>
      <c r="EFN29" s="19"/>
      <c r="EFO29" s="19"/>
      <c r="EFP29" s="19"/>
      <c r="EFQ29" s="19"/>
      <c r="EFR29" s="19"/>
      <c r="EFS29" s="19"/>
      <c r="EFT29" s="19"/>
      <c r="EFU29" s="19"/>
      <c r="EFV29" s="19"/>
      <c r="EFW29" s="19"/>
      <c r="EFX29" s="19"/>
      <c r="EFY29" s="19"/>
      <c r="EFZ29" s="19"/>
      <c r="EGA29" s="19"/>
      <c r="EGB29" s="19"/>
      <c r="EGC29" s="19"/>
      <c r="EGD29" s="19"/>
      <c r="EGE29" s="19"/>
      <c r="EGF29" s="19"/>
      <c r="EGG29" s="19"/>
      <c r="EGH29" s="19"/>
      <c r="EGI29" s="19"/>
      <c r="EGJ29" s="19"/>
      <c r="EGK29" s="19"/>
      <c r="EGL29" s="19"/>
      <c r="EGM29" s="19"/>
      <c r="EGN29" s="19"/>
      <c r="EGO29" s="19"/>
      <c r="EGP29" s="19"/>
      <c r="EGQ29" s="19"/>
      <c r="EGR29" s="19"/>
      <c r="EGS29" s="19"/>
      <c r="EGT29" s="19"/>
      <c r="EGU29" s="19"/>
      <c r="EGV29" s="19"/>
      <c r="EGW29" s="19"/>
      <c r="EGX29" s="19"/>
      <c r="EGY29" s="19"/>
      <c r="EGZ29" s="19"/>
      <c r="EHA29" s="19"/>
      <c r="EHB29" s="19"/>
      <c r="EHC29" s="19"/>
      <c r="EHD29" s="19"/>
      <c r="EHE29" s="19"/>
      <c r="EHF29" s="19"/>
      <c r="EHG29" s="19"/>
      <c r="EHH29" s="19"/>
      <c r="EHI29" s="19"/>
      <c r="EHJ29" s="19"/>
      <c r="EHK29" s="19"/>
      <c r="EHL29" s="19"/>
      <c r="EHM29" s="19"/>
      <c r="EHN29" s="19"/>
      <c r="EHO29" s="19"/>
      <c r="EHP29" s="19"/>
      <c r="EHQ29" s="19"/>
      <c r="EHR29" s="19"/>
      <c r="EHS29" s="19"/>
      <c r="EHT29" s="19"/>
      <c r="EHU29" s="19"/>
      <c r="EHV29" s="19"/>
      <c r="EHW29" s="19"/>
      <c r="EHX29" s="19"/>
      <c r="EHY29" s="19"/>
      <c r="EHZ29" s="19"/>
      <c r="EIA29" s="19"/>
      <c r="EIB29" s="19"/>
      <c r="EIC29" s="19"/>
      <c r="EID29" s="19"/>
      <c r="EIE29" s="19"/>
      <c r="EIF29" s="19"/>
      <c r="EIG29" s="19"/>
      <c r="EIH29" s="19"/>
      <c r="EII29" s="19"/>
      <c r="EIJ29" s="19"/>
      <c r="EIK29" s="19"/>
      <c r="EIL29" s="19"/>
      <c r="EIM29" s="19"/>
      <c r="EIN29" s="19"/>
      <c r="EIO29" s="19"/>
      <c r="EIP29" s="19"/>
      <c r="EIQ29" s="19"/>
      <c r="EIR29" s="19"/>
      <c r="EIS29" s="19"/>
      <c r="EIT29" s="19"/>
      <c r="EIU29" s="19"/>
      <c r="EIV29" s="19"/>
      <c r="EIW29" s="19"/>
      <c r="EIX29" s="19"/>
      <c r="EIY29" s="19"/>
      <c r="EIZ29" s="19"/>
      <c r="EJA29" s="19"/>
      <c r="EJB29" s="19"/>
      <c r="EJC29" s="19"/>
      <c r="EJD29" s="19"/>
      <c r="EJE29" s="19"/>
      <c r="EJF29" s="19"/>
      <c r="EJG29" s="19"/>
      <c r="EJH29" s="19"/>
      <c r="EJI29" s="19"/>
      <c r="EJJ29" s="19"/>
      <c r="EJK29" s="19"/>
      <c r="EJL29" s="19"/>
      <c r="EJM29" s="19"/>
      <c r="EJN29" s="19"/>
      <c r="EJO29" s="19"/>
      <c r="EJP29" s="19"/>
      <c r="EJQ29" s="19"/>
      <c r="EJR29" s="19"/>
      <c r="EJS29" s="19"/>
      <c r="EJT29" s="19"/>
      <c r="EJU29" s="19"/>
      <c r="EJV29" s="19"/>
      <c r="EJW29" s="19"/>
      <c r="EJX29" s="19"/>
      <c r="EJY29" s="19"/>
      <c r="EJZ29" s="19"/>
      <c r="EKA29" s="19"/>
      <c r="EKB29" s="19"/>
      <c r="EKC29" s="19"/>
      <c r="EKD29" s="19"/>
      <c r="EKE29" s="19"/>
      <c r="EKF29" s="19"/>
      <c r="EKG29" s="19"/>
      <c r="EKH29" s="19"/>
      <c r="EKI29" s="19"/>
      <c r="EKJ29" s="19"/>
      <c r="EKK29" s="19"/>
      <c r="EKL29" s="19"/>
      <c r="EKM29" s="19"/>
      <c r="EKN29" s="19"/>
      <c r="EKO29" s="19"/>
      <c r="EKP29" s="19"/>
      <c r="EKQ29" s="19"/>
      <c r="EKR29" s="19"/>
      <c r="EKS29" s="19"/>
      <c r="EKT29" s="19"/>
      <c r="EKU29" s="19"/>
      <c r="EKV29" s="19"/>
      <c r="EKW29" s="19"/>
      <c r="EKX29" s="19"/>
      <c r="EKY29" s="19"/>
      <c r="EKZ29" s="19"/>
      <c r="ELA29" s="19"/>
      <c r="ELB29" s="19"/>
      <c r="ELC29" s="19"/>
      <c r="ELD29" s="19"/>
      <c r="ELE29" s="19"/>
      <c r="ELF29" s="19"/>
      <c r="ELG29" s="19"/>
      <c r="ELH29" s="19"/>
      <c r="ELI29" s="19"/>
      <c r="ELJ29" s="19"/>
      <c r="ELK29" s="19"/>
      <c r="ELL29" s="19"/>
      <c r="ELM29" s="19"/>
      <c r="ELN29" s="19"/>
      <c r="ELO29" s="19"/>
      <c r="ELP29" s="19"/>
      <c r="ELQ29" s="19"/>
      <c r="ELR29" s="19"/>
      <c r="ELS29" s="19"/>
      <c r="ELT29" s="19"/>
      <c r="ELU29" s="19"/>
      <c r="ELV29" s="19"/>
      <c r="ELW29" s="19"/>
      <c r="ELX29" s="19"/>
      <c r="ELY29" s="19"/>
      <c r="ELZ29" s="19"/>
      <c r="EMA29" s="19"/>
      <c r="EMB29" s="19"/>
      <c r="EMC29" s="19"/>
      <c r="EMD29" s="19"/>
      <c r="EME29" s="19"/>
      <c r="EMF29" s="19"/>
      <c r="EMG29" s="19"/>
      <c r="EMH29" s="19"/>
      <c r="EMI29" s="19"/>
      <c r="EMJ29" s="19"/>
      <c r="EMK29" s="19"/>
      <c r="EML29" s="19"/>
      <c r="EMM29" s="19"/>
      <c r="EMN29" s="19"/>
      <c r="EMO29" s="19"/>
      <c r="EMP29" s="19"/>
      <c r="EMQ29" s="19"/>
      <c r="EMR29" s="19"/>
      <c r="EMS29" s="19"/>
      <c r="EMT29" s="19"/>
      <c r="EMU29" s="19"/>
      <c r="EMV29" s="19"/>
      <c r="EMW29" s="19"/>
      <c r="EMX29" s="19"/>
      <c r="EMY29" s="19"/>
      <c r="EMZ29" s="19"/>
      <c r="ENA29" s="19"/>
      <c r="ENB29" s="19"/>
      <c r="ENC29" s="19"/>
      <c r="END29" s="19"/>
      <c r="ENE29" s="19"/>
      <c r="ENF29" s="19"/>
      <c r="ENG29" s="19"/>
      <c r="ENH29" s="19"/>
      <c r="ENI29" s="19"/>
      <c r="ENJ29" s="19"/>
      <c r="ENK29" s="19"/>
      <c r="ENL29" s="19"/>
      <c r="ENM29" s="19"/>
      <c r="ENN29" s="19"/>
      <c r="ENO29" s="19"/>
      <c r="ENP29" s="19"/>
      <c r="ENQ29" s="19"/>
      <c r="ENR29" s="19"/>
      <c r="ENS29" s="19"/>
      <c r="ENT29" s="19"/>
      <c r="ENU29" s="19"/>
      <c r="ENV29" s="19"/>
      <c r="ENW29" s="19"/>
      <c r="ENX29" s="19"/>
      <c r="ENY29" s="19"/>
      <c r="ENZ29" s="19"/>
      <c r="EOA29" s="19"/>
      <c r="EOB29" s="19"/>
      <c r="EOC29" s="19"/>
      <c r="EOD29" s="19"/>
      <c r="EOE29" s="19"/>
      <c r="EOF29" s="19"/>
      <c r="EOG29" s="19"/>
      <c r="EOH29" s="19"/>
      <c r="EOI29" s="19"/>
      <c r="EOJ29" s="19"/>
      <c r="EOK29" s="19"/>
      <c r="EOL29" s="19"/>
      <c r="EOM29" s="19"/>
      <c r="EON29" s="19"/>
      <c r="EOO29" s="19"/>
      <c r="EOP29" s="19"/>
      <c r="EOQ29" s="19"/>
      <c r="EOR29" s="19"/>
      <c r="EOS29" s="19"/>
      <c r="EOT29" s="19"/>
      <c r="EOU29" s="19"/>
      <c r="EOV29" s="19"/>
      <c r="EOW29" s="19"/>
      <c r="EOX29" s="19"/>
      <c r="EOY29" s="19"/>
      <c r="EOZ29" s="19"/>
      <c r="EPA29" s="19"/>
      <c r="EPB29" s="19"/>
      <c r="EPC29" s="19"/>
      <c r="EPD29" s="19"/>
      <c r="EPE29" s="19"/>
      <c r="EPF29" s="19"/>
      <c r="EPG29" s="19"/>
      <c r="EPH29" s="19"/>
      <c r="EPI29" s="19"/>
      <c r="EPJ29" s="19"/>
      <c r="EPK29" s="19"/>
      <c r="EPL29" s="19"/>
      <c r="EPM29" s="19"/>
      <c r="EPN29" s="19"/>
      <c r="EPO29" s="19"/>
      <c r="EPP29" s="19"/>
      <c r="EPQ29" s="19"/>
      <c r="EPR29" s="19"/>
      <c r="EPS29" s="19"/>
      <c r="EPT29" s="19"/>
      <c r="EPU29" s="19"/>
      <c r="EPV29" s="19"/>
      <c r="EPW29" s="19"/>
      <c r="EPX29" s="19"/>
      <c r="EPY29" s="19"/>
      <c r="EPZ29" s="19"/>
      <c r="EQA29" s="19"/>
      <c r="EQB29" s="19"/>
      <c r="EQC29" s="19"/>
      <c r="EQD29" s="19"/>
      <c r="EQE29" s="19"/>
      <c r="EQF29" s="19"/>
      <c r="EQG29" s="19"/>
      <c r="EQH29" s="19"/>
      <c r="EQI29" s="19"/>
      <c r="EQJ29" s="19"/>
      <c r="EQK29" s="19"/>
      <c r="EQL29" s="19"/>
      <c r="EQM29" s="19"/>
      <c r="EQN29" s="19"/>
      <c r="EQO29" s="19"/>
      <c r="EQP29" s="19"/>
      <c r="EQQ29" s="19"/>
      <c r="EQR29" s="19"/>
      <c r="EQS29" s="19"/>
      <c r="EQT29" s="19"/>
      <c r="EQU29" s="19"/>
      <c r="EQV29" s="19"/>
      <c r="EQW29" s="19"/>
      <c r="EQX29" s="19"/>
      <c r="EQY29" s="19"/>
      <c r="EQZ29" s="19"/>
      <c r="ERA29" s="19"/>
      <c r="ERB29" s="19"/>
      <c r="ERC29" s="19"/>
      <c r="ERD29" s="19"/>
      <c r="ERE29" s="19"/>
      <c r="ERF29" s="19"/>
      <c r="ERG29" s="19"/>
      <c r="ERH29" s="19"/>
      <c r="ERI29" s="19"/>
      <c r="ERJ29" s="19"/>
      <c r="ERK29" s="19"/>
      <c r="ERL29" s="19"/>
      <c r="ERM29" s="19"/>
      <c r="ERN29" s="19"/>
      <c r="ERO29" s="19"/>
      <c r="ERP29" s="19"/>
      <c r="ERQ29" s="19"/>
      <c r="ERR29" s="19"/>
      <c r="ERS29" s="19"/>
      <c r="ERT29" s="19"/>
      <c r="ERU29" s="19"/>
      <c r="ERV29" s="19"/>
      <c r="ERW29" s="19"/>
      <c r="ERX29" s="19"/>
      <c r="ERY29" s="19"/>
      <c r="ERZ29" s="19"/>
      <c r="ESA29" s="19"/>
      <c r="ESB29" s="19"/>
      <c r="ESC29" s="19"/>
      <c r="ESD29" s="19"/>
      <c r="ESE29" s="19"/>
      <c r="ESF29" s="19"/>
      <c r="ESG29" s="19"/>
      <c r="ESH29" s="19"/>
      <c r="ESI29" s="19"/>
      <c r="ESJ29" s="19"/>
      <c r="ESK29" s="19"/>
      <c r="ESL29" s="19"/>
      <c r="ESM29" s="19"/>
      <c r="ESN29" s="19"/>
      <c r="ESO29" s="19"/>
      <c r="ESP29" s="19"/>
      <c r="ESQ29" s="19"/>
      <c r="ESR29" s="19"/>
      <c r="ESS29" s="19"/>
      <c r="EST29" s="19"/>
      <c r="ESU29" s="19"/>
      <c r="ESV29" s="19"/>
      <c r="ESW29" s="19"/>
      <c r="ESX29" s="19"/>
      <c r="ESY29" s="19"/>
      <c r="ESZ29" s="19"/>
      <c r="ETA29" s="19"/>
      <c r="ETB29" s="19"/>
      <c r="ETC29" s="19"/>
      <c r="ETD29" s="19"/>
      <c r="ETE29" s="19"/>
      <c r="ETF29" s="19"/>
      <c r="ETG29" s="19"/>
      <c r="ETH29" s="19"/>
      <c r="ETI29" s="19"/>
      <c r="ETJ29" s="19"/>
      <c r="ETK29" s="19"/>
      <c r="ETL29" s="19"/>
      <c r="ETM29" s="19"/>
      <c r="ETN29" s="19"/>
      <c r="ETO29" s="19"/>
      <c r="ETP29" s="19"/>
      <c r="ETQ29" s="19"/>
      <c r="ETR29" s="19"/>
      <c r="ETS29" s="19"/>
      <c r="ETT29" s="19"/>
      <c r="ETU29" s="19"/>
      <c r="ETV29" s="19"/>
      <c r="ETW29" s="19"/>
      <c r="ETX29" s="19"/>
      <c r="ETY29" s="19"/>
      <c r="ETZ29" s="19"/>
      <c r="EUA29" s="19"/>
      <c r="EUB29" s="19"/>
      <c r="EUC29" s="19"/>
      <c r="EUD29" s="19"/>
      <c r="EUE29" s="19"/>
      <c r="EUF29" s="19"/>
      <c r="EUG29" s="19"/>
      <c r="EUH29" s="19"/>
      <c r="EUI29" s="19"/>
      <c r="EUJ29" s="19"/>
      <c r="EUK29" s="19"/>
      <c r="EUL29" s="19"/>
      <c r="EUM29" s="19"/>
      <c r="EUN29" s="19"/>
      <c r="EUO29" s="19"/>
      <c r="EUP29" s="19"/>
      <c r="EUQ29" s="19"/>
      <c r="EUR29" s="19"/>
      <c r="EUS29" s="19"/>
      <c r="EUT29" s="19"/>
      <c r="EUU29" s="19"/>
      <c r="EUV29" s="19"/>
      <c r="EUW29" s="19"/>
      <c r="EUX29" s="19"/>
      <c r="EUY29" s="19"/>
      <c r="EUZ29" s="19"/>
      <c r="EVA29" s="19"/>
      <c r="EVB29" s="19"/>
      <c r="EVC29" s="19"/>
      <c r="EVD29" s="19"/>
      <c r="EVE29" s="19"/>
      <c r="EVF29" s="19"/>
      <c r="EVG29" s="19"/>
      <c r="EVH29" s="19"/>
      <c r="EVI29" s="19"/>
      <c r="EVJ29" s="19"/>
      <c r="EVK29" s="19"/>
      <c r="EVL29" s="19"/>
      <c r="EVM29" s="19"/>
      <c r="EVN29" s="19"/>
      <c r="EVO29" s="19"/>
      <c r="EVP29" s="19"/>
      <c r="EVQ29" s="19"/>
      <c r="EVR29" s="19"/>
      <c r="EVS29" s="19"/>
      <c r="EVT29" s="19"/>
      <c r="EVU29" s="19"/>
      <c r="EVV29" s="19"/>
      <c r="EVW29" s="19"/>
      <c r="EVX29" s="19"/>
      <c r="EVY29" s="19"/>
      <c r="EVZ29" s="19"/>
      <c r="EWA29" s="19"/>
      <c r="EWB29" s="19"/>
      <c r="EWC29" s="19"/>
      <c r="EWD29" s="19"/>
      <c r="EWE29" s="19"/>
      <c r="EWF29" s="19"/>
      <c r="EWG29" s="19"/>
      <c r="EWH29" s="19"/>
      <c r="EWI29" s="19"/>
      <c r="EWJ29" s="19"/>
      <c r="EWK29" s="19"/>
      <c r="EWL29" s="19"/>
      <c r="EWM29" s="19"/>
      <c r="EWN29" s="19"/>
      <c r="EWO29" s="19"/>
      <c r="EWP29" s="19"/>
      <c r="EWQ29" s="19"/>
      <c r="EWR29" s="19"/>
      <c r="EWS29" s="19"/>
      <c r="EWT29" s="19"/>
      <c r="EWU29" s="19"/>
      <c r="EWV29" s="19"/>
      <c r="EWW29" s="19"/>
      <c r="EWX29" s="19"/>
      <c r="EWY29" s="19"/>
      <c r="EWZ29" s="19"/>
      <c r="EXA29" s="19"/>
      <c r="EXB29" s="19"/>
      <c r="EXC29" s="19"/>
      <c r="EXD29" s="19"/>
      <c r="EXE29" s="19"/>
      <c r="EXF29" s="19"/>
      <c r="EXG29" s="19"/>
      <c r="EXH29" s="19"/>
      <c r="EXI29" s="19"/>
      <c r="EXJ29" s="19"/>
      <c r="EXK29" s="19"/>
      <c r="EXL29" s="19"/>
      <c r="EXM29" s="19"/>
      <c r="EXN29" s="19"/>
      <c r="EXO29" s="19"/>
      <c r="EXP29" s="19"/>
      <c r="EXQ29" s="19"/>
      <c r="EXR29" s="19"/>
      <c r="EXS29" s="19"/>
      <c r="EXT29" s="19"/>
      <c r="EXU29" s="19"/>
      <c r="EXV29" s="19"/>
      <c r="EXW29" s="19"/>
      <c r="EXX29" s="19"/>
      <c r="EXY29" s="19"/>
      <c r="EXZ29" s="19"/>
      <c r="EYA29" s="19"/>
      <c r="EYB29" s="19"/>
      <c r="EYC29" s="19"/>
      <c r="EYD29" s="19"/>
      <c r="EYE29" s="19"/>
      <c r="EYF29" s="19"/>
      <c r="EYG29" s="19"/>
      <c r="EYH29" s="19"/>
      <c r="EYI29" s="19"/>
      <c r="EYJ29" s="19"/>
      <c r="EYK29" s="19"/>
      <c r="EYL29" s="19"/>
      <c r="EYM29" s="19"/>
      <c r="EYN29" s="19"/>
      <c r="EYO29" s="19"/>
      <c r="EYP29" s="19"/>
      <c r="EYQ29" s="19"/>
      <c r="EYR29" s="19"/>
      <c r="EYS29" s="19"/>
      <c r="EYT29" s="19"/>
      <c r="EYU29" s="19"/>
      <c r="EYV29" s="19"/>
      <c r="EYW29" s="19"/>
      <c r="EYX29" s="19"/>
      <c r="EYY29" s="19"/>
      <c r="EYZ29" s="19"/>
      <c r="EZA29" s="19"/>
      <c r="EZB29" s="19"/>
      <c r="EZC29" s="19"/>
      <c r="EZD29" s="19"/>
      <c r="EZE29" s="19"/>
      <c r="EZF29" s="19"/>
      <c r="EZG29" s="19"/>
      <c r="EZH29" s="19"/>
      <c r="EZI29" s="19"/>
      <c r="EZJ29" s="19"/>
      <c r="EZK29" s="19"/>
      <c r="EZL29" s="19"/>
      <c r="EZM29" s="19"/>
      <c r="EZN29" s="19"/>
      <c r="EZO29" s="19"/>
      <c r="EZP29" s="19"/>
      <c r="EZQ29" s="19"/>
      <c r="EZR29" s="19"/>
      <c r="EZS29" s="19"/>
      <c r="EZT29" s="19"/>
      <c r="EZU29" s="19"/>
      <c r="EZV29" s="19"/>
      <c r="EZW29" s="19"/>
      <c r="EZX29" s="19"/>
      <c r="EZY29" s="19"/>
      <c r="EZZ29" s="19"/>
      <c r="FAA29" s="19"/>
      <c r="FAB29" s="19"/>
      <c r="FAC29" s="19"/>
      <c r="FAD29" s="19"/>
      <c r="FAE29" s="19"/>
      <c r="FAF29" s="19"/>
      <c r="FAG29" s="19"/>
      <c r="FAH29" s="19"/>
      <c r="FAI29" s="19"/>
      <c r="FAJ29" s="19"/>
      <c r="FAK29" s="19"/>
      <c r="FAL29" s="19"/>
      <c r="FAM29" s="19"/>
      <c r="FAN29" s="19"/>
      <c r="FAO29" s="19"/>
      <c r="FAP29" s="19"/>
      <c r="FAQ29" s="19"/>
      <c r="FAR29" s="19"/>
      <c r="FAS29" s="19"/>
      <c r="FAT29" s="19"/>
      <c r="FAU29" s="19"/>
      <c r="FAV29" s="19"/>
      <c r="FAW29" s="19"/>
      <c r="FAX29" s="19"/>
      <c r="FAY29" s="19"/>
      <c r="FAZ29" s="19"/>
      <c r="FBA29" s="19"/>
      <c r="FBB29" s="19"/>
      <c r="FBC29" s="19"/>
      <c r="FBD29" s="19"/>
      <c r="FBE29" s="19"/>
      <c r="FBF29" s="19"/>
      <c r="FBG29" s="19"/>
      <c r="FBH29" s="19"/>
      <c r="FBI29" s="19"/>
      <c r="FBJ29" s="19"/>
      <c r="FBK29" s="19"/>
      <c r="FBL29" s="19"/>
      <c r="FBM29" s="19"/>
      <c r="FBN29" s="19"/>
      <c r="FBO29" s="19"/>
      <c r="FBP29" s="19"/>
      <c r="FBQ29" s="19"/>
      <c r="FBR29" s="19"/>
      <c r="FBS29" s="19"/>
      <c r="FBT29" s="19"/>
      <c r="FBU29" s="19"/>
      <c r="FBV29" s="19"/>
      <c r="FBW29" s="19"/>
      <c r="FBX29" s="19"/>
      <c r="FBY29" s="19"/>
      <c r="FBZ29" s="19"/>
      <c r="FCA29" s="19"/>
      <c r="FCB29" s="19"/>
      <c r="FCC29" s="19"/>
      <c r="FCD29" s="19"/>
      <c r="FCE29" s="19"/>
      <c r="FCF29" s="19"/>
      <c r="FCG29" s="19"/>
      <c r="FCH29" s="19"/>
      <c r="FCI29" s="19"/>
      <c r="FCJ29" s="19"/>
      <c r="FCK29" s="19"/>
      <c r="FCL29" s="19"/>
      <c r="FCM29" s="19"/>
      <c r="FCN29" s="19"/>
      <c r="FCO29" s="19"/>
      <c r="FCP29" s="19"/>
      <c r="FCQ29" s="19"/>
      <c r="FCR29" s="19"/>
      <c r="FCS29" s="19"/>
      <c r="FCT29" s="19"/>
      <c r="FCU29" s="19"/>
      <c r="FCV29" s="19"/>
      <c r="FCW29" s="19"/>
      <c r="FCX29" s="19"/>
      <c r="FCY29" s="19"/>
      <c r="FCZ29" s="19"/>
      <c r="FDA29" s="19"/>
      <c r="FDB29" s="19"/>
      <c r="FDC29" s="19"/>
      <c r="FDD29" s="19"/>
      <c r="FDE29" s="19"/>
      <c r="FDF29" s="19"/>
      <c r="FDG29" s="19"/>
      <c r="FDH29" s="19"/>
      <c r="FDI29" s="19"/>
      <c r="FDJ29" s="19"/>
      <c r="FDK29" s="19"/>
      <c r="FDL29" s="19"/>
      <c r="FDM29" s="19"/>
      <c r="FDN29" s="19"/>
      <c r="FDO29" s="19"/>
      <c r="FDP29" s="19"/>
      <c r="FDQ29" s="19"/>
      <c r="FDR29" s="19"/>
      <c r="FDS29" s="19"/>
      <c r="FDT29" s="19"/>
      <c r="FDU29" s="19"/>
      <c r="FDV29" s="19"/>
      <c r="FDW29" s="19"/>
      <c r="FDX29" s="19"/>
      <c r="FDY29" s="19"/>
      <c r="FDZ29" s="19"/>
      <c r="FEA29" s="19"/>
      <c r="FEB29" s="19"/>
      <c r="FEC29" s="19"/>
      <c r="FED29" s="19"/>
      <c r="FEE29" s="19"/>
      <c r="FEF29" s="19"/>
      <c r="FEG29" s="19"/>
      <c r="FEH29" s="19"/>
      <c r="FEI29" s="19"/>
      <c r="FEJ29" s="19"/>
      <c r="FEK29" s="19"/>
      <c r="FEL29" s="19"/>
      <c r="FEM29" s="19"/>
      <c r="FEN29" s="19"/>
      <c r="FEO29" s="19"/>
      <c r="FEP29" s="19"/>
      <c r="FEQ29" s="19"/>
      <c r="FER29" s="19"/>
      <c r="FES29" s="19"/>
      <c r="FET29" s="19"/>
      <c r="FEU29" s="19"/>
      <c r="FEV29" s="19"/>
      <c r="FEW29" s="19"/>
      <c r="FEX29" s="19"/>
      <c r="FEY29" s="19"/>
      <c r="FEZ29" s="19"/>
      <c r="FFA29" s="19"/>
      <c r="FFB29" s="19"/>
      <c r="FFC29" s="19"/>
      <c r="FFD29" s="19"/>
      <c r="FFE29" s="19"/>
      <c r="FFF29" s="19"/>
      <c r="FFG29" s="19"/>
      <c r="FFH29" s="19"/>
      <c r="FFI29" s="19"/>
      <c r="FFJ29" s="19"/>
      <c r="FFK29" s="19"/>
      <c r="FFL29" s="19"/>
      <c r="FFM29" s="19"/>
      <c r="FFN29" s="19"/>
      <c r="FFO29" s="19"/>
      <c r="FFP29" s="19"/>
      <c r="FFQ29" s="19"/>
      <c r="FFR29" s="19"/>
      <c r="FFS29" s="19"/>
      <c r="FFT29" s="19"/>
      <c r="FFU29" s="19"/>
      <c r="FFV29" s="19"/>
      <c r="FFW29" s="19"/>
      <c r="FFX29" s="19"/>
      <c r="FFY29" s="19"/>
      <c r="FFZ29" s="19"/>
      <c r="FGA29" s="19"/>
      <c r="FGB29" s="19"/>
      <c r="FGC29" s="19"/>
      <c r="FGD29" s="19"/>
      <c r="FGE29" s="19"/>
      <c r="FGF29" s="19"/>
      <c r="FGG29" s="19"/>
      <c r="FGH29" s="19"/>
      <c r="FGI29" s="19"/>
      <c r="FGJ29" s="19"/>
      <c r="FGK29" s="19"/>
      <c r="FGL29" s="19"/>
      <c r="FGM29" s="19"/>
      <c r="FGN29" s="19"/>
      <c r="FGO29" s="19"/>
      <c r="FGP29" s="19"/>
      <c r="FGQ29" s="19"/>
      <c r="FGR29" s="19"/>
      <c r="FGS29" s="19"/>
      <c r="FGT29" s="19"/>
      <c r="FGU29" s="19"/>
      <c r="FGV29" s="19"/>
      <c r="FGW29" s="19"/>
      <c r="FGX29" s="19"/>
      <c r="FGY29" s="19"/>
      <c r="FGZ29" s="19"/>
      <c r="FHA29" s="19"/>
      <c r="FHB29" s="19"/>
      <c r="FHC29" s="19"/>
      <c r="FHD29" s="19"/>
      <c r="FHE29" s="19"/>
      <c r="FHF29" s="19"/>
      <c r="FHG29" s="19"/>
      <c r="FHH29" s="19"/>
      <c r="FHI29" s="19"/>
      <c r="FHJ29" s="19"/>
      <c r="FHK29" s="19"/>
      <c r="FHL29" s="19"/>
      <c r="FHM29" s="19"/>
      <c r="FHN29" s="19"/>
      <c r="FHO29" s="19"/>
      <c r="FHP29" s="19"/>
      <c r="FHQ29" s="19"/>
      <c r="FHR29" s="19"/>
      <c r="FHS29" s="19"/>
      <c r="FHT29" s="19"/>
      <c r="FHU29" s="19"/>
      <c r="FHV29" s="19"/>
      <c r="FHW29" s="19"/>
      <c r="FHX29" s="19"/>
      <c r="FHY29" s="19"/>
      <c r="FHZ29" s="19"/>
      <c r="FIA29" s="19"/>
      <c r="FIB29" s="19"/>
      <c r="FIC29" s="19"/>
      <c r="FID29" s="19"/>
      <c r="FIE29" s="19"/>
      <c r="FIF29" s="19"/>
      <c r="FIG29" s="19"/>
      <c r="FIH29" s="19"/>
      <c r="FII29" s="19"/>
      <c r="FIJ29" s="19"/>
      <c r="FIK29" s="19"/>
      <c r="FIL29" s="19"/>
      <c r="FIM29" s="19"/>
      <c r="FIN29" s="19"/>
      <c r="FIO29" s="19"/>
      <c r="FIP29" s="19"/>
      <c r="FIQ29" s="19"/>
      <c r="FIR29" s="19"/>
      <c r="FIS29" s="19"/>
      <c r="FIT29" s="19"/>
      <c r="FIU29" s="19"/>
      <c r="FIV29" s="19"/>
      <c r="FIW29" s="19"/>
      <c r="FIX29" s="19"/>
      <c r="FIY29" s="19"/>
      <c r="FIZ29" s="19"/>
      <c r="FJA29" s="19"/>
      <c r="FJB29" s="19"/>
      <c r="FJC29" s="19"/>
      <c r="FJD29" s="19"/>
      <c r="FJE29" s="19"/>
      <c r="FJF29" s="19"/>
      <c r="FJG29" s="19"/>
      <c r="FJH29" s="19"/>
      <c r="FJI29" s="19"/>
      <c r="FJJ29" s="19"/>
      <c r="FJK29" s="19"/>
      <c r="FJL29" s="19"/>
      <c r="FJM29" s="19"/>
      <c r="FJN29" s="19"/>
      <c r="FJO29" s="19"/>
      <c r="FJP29" s="19"/>
      <c r="FJQ29" s="19"/>
      <c r="FJR29" s="19"/>
      <c r="FJS29" s="19"/>
      <c r="FJT29" s="19"/>
      <c r="FJU29" s="19"/>
      <c r="FJV29" s="19"/>
      <c r="FJW29" s="19"/>
      <c r="FJX29" s="19"/>
      <c r="FJY29" s="19"/>
      <c r="FJZ29" s="19"/>
      <c r="FKA29" s="19"/>
      <c r="FKB29" s="19"/>
      <c r="FKC29" s="19"/>
      <c r="FKD29" s="19"/>
      <c r="FKE29" s="19"/>
      <c r="FKF29" s="19"/>
      <c r="FKG29" s="19"/>
      <c r="FKH29" s="19"/>
      <c r="FKI29" s="19"/>
      <c r="FKJ29" s="19"/>
      <c r="FKK29" s="19"/>
      <c r="FKL29" s="19"/>
      <c r="FKM29" s="19"/>
      <c r="FKN29" s="19"/>
      <c r="FKO29" s="19"/>
      <c r="FKP29" s="19"/>
      <c r="FKQ29" s="19"/>
      <c r="FKR29" s="19"/>
      <c r="FKS29" s="19"/>
      <c r="FKT29" s="19"/>
      <c r="FKU29" s="19"/>
      <c r="FKV29" s="19"/>
      <c r="FKW29" s="19"/>
      <c r="FKX29" s="19"/>
      <c r="FKY29" s="19"/>
      <c r="FKZ29" s="19"/>
      <c r="FLA29" s="19"/>
      <c r="FLB29" s="19"/>
      <c r="FLC29" s="19"/>
      <c r="FLD29" s="19"/>
      <c r="FLE29" s="19"/>
      <c r="FLF29" s="19"/>
      <c r="FLG29" s="19"/>
      <c r="FLH29" s="19"/>
      <c r="FLI29" s="19"/>
      <c r="FLJ29" s="19"/>
      <c r="FLK29" s="19"/>
      <c r="FLL29" s="19"/>
      <c r="FLM29" s="19"/>
      <c r="FLN29" s="19"/>
      <c r="FLO29" s="19"/>
      <c r="FLP29" s="19"/>
      <c r="FLQ29" s="19"/>
      <c r="FLR29" s="19"/>
      <c r="FLS29" s="19"/>
      <c r="FLT29" s="19"/>
      <c r="FLU29" s="19"/>
      <c r="FLV29" s="19"/>
      <c r="FLW29" s="19"/>
      <c r="FLX29" s="19"/>
      <c r="FLY29" s="19"/>
      <c r="FLZ29" s="19"/>
      <c r="FMA29" s="19"/>
      <c r="FMB29" s="19"/>
      <c r="FMC29" s="19"/>
      <c r="FMD29" s="19"/>
      <c r="FME29" s="19"/>
      <c r="FMF29" s="19"/>
      <c r="FMG29" s="19"/>
      <c r="FMH29" s="19"/>
      <c r="FMI29" s="19"/>
      <c r="FMJ29" s="19"/>
      <c r="FMK29" s="19"/>
      <c r="FML29" s="19"/>
      <c r="FMM29" s="19"/>
      <c r="FMN29" s="19"/>
      <c r="FMO29" s="19"/>
      <c r="FMP29" s="19"/>
      <c r="FMQ29" s="19"/>
      <c r="FMR29" s="19"/>
      <c r="FMS29" s="19"/>
      <c r="FMT29" s="19"/>
      <c r="FMU29" s="19"/>
      <c r="FMV29" s="19"/>
      <c r="FMW29" s="19"/>
      <c r="FMX29" s="19"/>
      <c r="FMY29" s="19"/>
      <c r="FMZ29" s="19"/>
      <c r="FNA29" s="19"/>
      <c r="FNB29" s="19"/>
      <c r="FNC29" s="19"/>
      <c r="FND29" s="19"/>
      <c r="FNE29" s="19"/>
      <c r="FNF29" s="19"/>
      <c r="FNG29" s="19"/>
      <c r="FNH29" s="19"/>
      <c r="FNI29" s="19"/>
      <c r="FNJ29" s="19"/>
      <c r="FNK29" s="19"/>
      <c r="FNL29" s="19"/>
      <c r="FNM29" s="19"/>
      <c r="FNN29" s="19"/>
      <c r="FNO29" s="19"/>
      <c r="FNP29" s="19"/>
      <c r="FNQ29" s="19"/>
      <c r="FNR29" s="19"/>
      <c r="FNS29" s="19"/>
      <c r="FNT29" s="19"/>
      <c r="FNU29" s="19"/>
      <c r="FNV29" s="19"/>
      <c r="FNW29" s="19"/>
      <c r="FNX29" s="19"/>
      <c r="FNY29" s="19"/>
      <c r="FNZ29" s="19"/>
      <c r="FOA29" s="19"/>
      <c r="FOB29" s="19"/>
      <c r="FOC29" s="19"/>
      <c r="FOD29" s="19"/>
      <c r="FOE29" s="19"/>
      <c r="FOF29" s="19"/>
      <c r="FOG29" s="19"/>
      <c r="FOH29" s="19"/>
      <c r="FOI29" s="19"/>
      <c r="FOJ29" s="19"/>
      <c r="FOK29" s="19"/>
      <c r="FOL29" s="19"/>
      <c r="FOM29" s="19"/>
      <c r="FON29" s="19"/>
      <c r="FOO29" s="19"/>
      <c r="FOP29" s="19"/>
      <c r="FOQ29" s="19"/>
      <c r="FOR29" s="19"/>
      <c r="FOS29" s="19"/>
      <c r="FOT29" s="19"/>
      <c r="FOU29" s="19"/>
      <c r="FOV29" s="19"/>
      <c r="FOW29" s="19"/>
      <c r="FOX29" s="19"/>
      <c r="FOY29" s="19"/>
      <c r="FOZ29" s="19"/>
      <c r="FPA29" s="19"/>
      <c r="FPB29" s="19"/>
      <c r="FPC29" s="19"/>
      <c r="FPD29" s="19"/>
      <c r="FPE29" s="19"/>
      <c r="FPF29" s="19"/>
      <c r="FPG29" s="19"/>
      <c r="FPH29" s="19"/>
      <c r="FPI29" s="19"/>
      <c r="FPJ29" s="19"/>
      <c r="FPK29" s="19"/>
      <c r="FPL29" s="19"/>
      <c r="FPM29" s="19"/>
      <c r="FPN29" s="19"/>
      <c r="FPO29" s="19"/>
      <c r="FPP29" s="19"/>
      <c r="FPQ29" s="19"/>
      <c r="FPR29" s="19"/>
      <c r="FPS29" s="19"/>
      <c r="FPT29" s="19"/>
      <c r="FPU29" s="19"/>
      <c r="FPV29" s="19"/>
      <c r="FPW29" s="19"/>
      <c r="FPX29" s="19"/>
      <c r="FPY29" s="19"/>
      <c r="FPZ29" s="19"/>
      <c r="FQA29" s="19"/>
      <c r="FQB29" s="19"/>
      <c r="FQC29" s="19"/>
      <c r="FQD29" s="19"/>
      <c r="FQE29" s="19"/>
      <c r="FQF29" s="19"/>
      <c r="FQG29" s="19"/>
      <c r="FQH29" s="19"/>
      <c r="FQI29" s="19"/>
      <c r="FQJ29" s="19"/>
      <c r="FQK29" s="19"/>
      <c r="FQL29" s="19"/>
      <c r="FQM29" s="19"/>
      <c r="FQN29" s="19"/>
      <c r="FQO29" s="19"/>
      <c r="FQP29" s="19"/>
      <c r="FQQ29" s="19"/>
      <c r="FQR29" s="19"/>
      <c r="FQS29" s="19"/>
      <c r="FQT29" s="19"/>
      <c r="FQU29" s="19"/>
      <c r="FQV29" s="19"/>
      <c r="FQW29" s="19"/>
      <c r="FQX29" s="19"/>
      <c r="FQY29" s="19"/>
      <c r="FQZ29" s="19"/>
      <c r="FRA29" s="19"/>
      <c r="FRB29" s="19"/>
      <c r="FRC29" s="19"/>
      <c r="FRD29" s="19"/>
      <c r="FRE29" s="19"/>
      <c r="FRF29" s="19"/>
      <c r="FRG29" s="19"/>
      <c r="FRH29" s="19"/>
      <c r="FRI29" s="19"/>
      <c r="FRJ29" s="19"/>
      <c r="FRK29" s="19"/>
      <c r="FRL29" s="19"/>
      <c r="FRM29" s="19"/>
      <c r="FRN29" s="19"/>
      <c r="FRO29" s="19"/>
      <c r="FRP29" s="19"/>
      <c r="FRQ29" s="19"/>
      <c r="FRR29" s="19"/>
      <c r="FRS29" s="19"/>
      <c r="FRT29" s="19"/>
      <c r="FRU29" s="19"/>
      <c r="FRV29" s="19"/>
      <c r="FRW29" s="19"/>
      <c r="FRX29" s="19"/>
      <c r="FRY29" s="19"/>
      <c r="FRZ29" s="19"/>
      <c r="FSA29" s="19"/>
      <c r="FSB29" s="19"/>
      <c r="FSC29" s="19"/>
      <c r="FSD29" s="19"/>
      <c r="FSE29" s="19"/>
      <c r="FSF29" s="19"/>
      <c r="FSG29" s="19"/>
      <c r="FSH29" s="19"/>
      <c r="FSI29" s="19"/>
      <c r="FSJ29" s="19"/>
      <c r="FSK29" s="19"/>
      <c r="FSL29" s="19"/>
      <c r="FSM29" s="19"/>
      <c r="FSN29" s="19"/>
      <c r="FSO29" s="19"/>
      <c r="FSP29" s="19"/>
      <c r="FSQ29" s="19"/>
      <c r="FSR29" s="19"/>
      <c r="FSS29" s="19"/>
      <c r="FST29" s="19"/>
      <c r="FSU29" s="19"/>
      <c r="FSV29" s="19"/>
      <c r="FSW29" s="19"/>
      <c r="FSX29" s="19"/>
      <c r="FSY29" s="19"/>
      <c r="FSZ29" s="19"/>
      <c r="FTA29" s="19"/>
      <c r="FTB29" s="19"/>
      <c r="FTC29" s="19"/>
      <c r="FTD29" s="19"/>
      <c r="FTE29" s="19"/>
      <c r="FTF29" s="19"/>
      <c r="FTG29" s="19"/>
      <c r="FTH29" s="19"/>
      <c r="FTI29" s="19"/>
      <c r="FTJ29" s="19"/>
      <c r="FTK29" s="19"/>
      <c r="FTL29" s="19"/>
      <c r="FTM29" s="19"/>
      <c r="FTN29" s="19"/>
      <c r="FTO29" s="19"/>
      <c r="FTP29" s="19"/>
      <c r="FTQ29" s="19"/>
      <c r="FTR29" s="19"/>
      <c r="FTS29" s="19"/>
      <c r="FTT29" s="19"/>
      <c r="FTU29" s="19"/>
      <c r="FTV29" s="19"/>
      <c r="FTW29" s="19"/>
      <c r="FTX29" s="19"/>
      <c r="FTY29" s="19"/>
      <c r="FTZ29" s="19"/>
      <c r="FUA29" s="19"/>
      <c r="FUB29" s="19"/>
      <c r="FUC29" s="19"/>
      <c r="FUD29" s="19"/>
      <c r="FUE29" s="19"/>
      <c r="FUF29" s="19"/>
      <c r="FUG29" s="19"/>
      <c r="FUH29" s="19"/>
      <c r="FUI29" s="19"/>
      <c r="FUJ29" s="19"/>
      <c r="FUK29" s="19"/>
      <c r="FUL29" s="19"/>
      <c r="FUM29" s="19"/>
      <c r="FUN29" s="19"/>
      <c r="FUO29" s="19"/>
      <c r="FUP29" s="19"/>
      <c r="FUQ29" s="19"/>
      <c r="FUR29" s="19"/>
      <c r="FUS29" s="19"/>
      <c r="FUT29" s="19"/>
      <c r="FUU29" s="19"/>
      <c r="FUV29" s="19"/>
      <c r="FUW29" s="19"/>
      <c r="FUX29" s="19"/>
      <c r="FUY29" s="19"/>
      <c r="FUZ29" s="19"/>
      <c r="FVA29" s="19"/>
      <c r="FVB29" s="19"/>
      <c r="FVC29" s="19"/>
      <c r="FVD29" s="19"/>
      <c r="FVE29" s="19"/>
      <c r="FVF29" s="19"/>
      <c r="FVG29" s="19"/>
      <c r="FVH29" s="19"/>
      <c r="FVI29" s="19"/>
      <c r="FVJ29" s="19"/>
      <c r="FVK29" s="19"/>
      <c r="FVL29" s="19"/>
      <c r="FVM29" s="19"/>
      <c r="FVN29" s="19"/>
      <c r="FVO29" s="19"/>
      <c r="FVP29" s="19"/>
      <c r="FVQ29" s="19"/>
      <c r="FVR29" s="19"/>
      <c r="FVS29" s="19"/>
      <c r="FVT29" s="19"/>
      <c r="FVU29" s="19"/>
      <c r="FVV29" s="19"/>
      <c r="FVW29" s="19"/>
      <c r="FVX29" s="19"/>
      <c r="FVY29" s="19"/>
      <c r="FVZ29" s="19"/>
      <c r="FWA29" s="19"/>
      <c r="FWB29" s="19"/>
      <c r="FWC29" s="19"/>
      <c r="FWD29" s="19"/>
      <c r="FWE29" s="19"/>
      <c r="FWF29" s="19"/>
      <c r="FWG29" s="19"/>
      <c r="FWH29" s="19"/>
      <c r="FWI29" s="19"/>
      <c r="FWJ29" s="19"/>
      <c r="FWK29" s="19"/>
      <c r="FWL29" s="19"/>
      <c r="FWM29" s="19"/>
      <c r="FWN29" s="19"/>
      <c r="FWO29" s="19"/>
      <c r="FWP29" s="19"/>
      <c r="FWQ29" s="19"/>
      <c r="FWR29" s="19"/>
      <c r="FWS29" s="19"/>
      <c r="FWT29" s="19"/>
      <c r="FWU29" s="19"/>
      <c r="FWV29" s="19"/>
      <c r="FWW29" s="19"/>
      <c r="FWX29" s="19"/>
      <c r="FWY29" s="19"/>
      <c r="FWZ29" s="19"/>
      <c r="FXA29" s="19"/>
      <c r="FXB29" s="19"/>
      <c r="FXC29" s="19"/>
      <c r="FXD29" s="19"/>
      <c r="FXE29" s="19"/>
      <c r="FXF29" s="19"/>
      <c r="FXG29" s="19"/>
      <c r="FXH29" s="19"/>
      <c r="FXI29" s="19"/>
      <c r="FXJ29" s="19"/>
      <c r="FXK29" s="19"/>
      <c r="FXL29" s="19"/>
      <c r="FXM29" s="19"/>
      <c r="FXN29" s="19"/>
      <c r="FXO29" s="19"/>
      <c r="FXP29" s="19"/>
      <c r="FXQ29" s="19"/>
      <c r="FXR29" s="19"/>
      <c r="FXS29" s="19"/>
      <c r="FXT29" s="19"/>
      <c r="FXU29" s="19"/>
      <c r="FXV29" s="19"/>
      <c r="FXW29" s="19"/>
      <c r="FXX29" s="19"/>
      <c r="FXY29" s="19"/>
      <c r="FXZ29" s="19"/>
      <c r="FYA29" s="19"/>
      <c r="FYB29" s="19"/>
      <c r="FYC29" s="19"/>
      <c r="FYD29" s="19"/>
      <c r="FYE29" s="19"/>
      <c r="FYF29" s="19"/>
      <c r="FYG29" s="19"/>
      <c r="FYH29" s="19"/>
      <c r="FYI29" s="19"/>
      <c r="FYJ29" s="19"/>
      <c r="FYK29" s="19"/>
      <c r="FYL29" s="19"/>
      <c r="FYM29" s="19"/>
      <c r="FYN29" s="19"/>
      <c r="FYO29" s="19"/>
      <c r="FYP29" s="19"/>
      <c r="FYQ29" s="19"/>
      <c r="FYR29" s="19"/>
      <c r="FYS29" s="19"/>
      <c r="FYT29" s="19"/>
      <c r="FYU29" s="19"/>
      <c r="FYV29" s="19"/>
      <c r="FYW29" s="19"/>
      <c r="FYX29" s="19"/>
      <c r="FYY29" s="19"/>
      <c r="FYZ29" s="19"/>
      <c r="FZA29" s="19"/>
      <c r="FZB29" s="19"/>
      <c r="FZC29" s="19"/>
      <c r="FZD29" s="19"/>
      <c r="FZE29" s="19"/>
      <c r="FZF29" s="19"/>
      <c r="FZG29" s="19"/>
      <c r="FZH29" s="19"/>
      <c r="FZI29" s="19"/>
      <c r="FZJ29" s="19"/>
      <c r="FZK29" s="19"/>
      <c r="FZL29" s="19"/>
      <c r="FZM29" s="19"/>
      <c r="FZN29" s="19"/>
      <c r="FZO29" s="19"/>
      <c r="FZP29" s="19"/>
      <c r="FZQ29" s="19"/>
      <c r="FZR29" s="19"/>
      <c r="FZS29" s="19"/>
      <c r="FZT29" s="19"/>
      <c r="FZU29" s="19"/>
      <c r="FZV29" s="19"/>
      <c r="FZW29" s="19"/>
      <c r="FZX29" s="19"/>
      <c r="FZY29" s="19"/>
      <c r="FZZ29" s="19"/>
      <c r="GAA29" s="19"/>
      <c r="GAB29" s="19"/>
      <c r="GAC29" s="19"/>
      <c r="GAD29" s="19"/>
      <c r="GAE29" s="19"/>
      <c r="GAF29" s="19"/>
      <c r="GAG29" s="19"/>
      <c r="GAH29" s="19"/>
      <c r="GAI29" s="19"/>
      <c r="GAJ29" s="19"/>
      <c r="GAK29" s="19"/>
      <c r="GAL29" s="19"/>
      <c r="GAM29" s="19"/>
      <c r="GAN29" s="19"/>
      <c r="GAO29" s="19"/>
      <c r="GAP29" s="19"/>
      <c r="GAQ29" s="19"/>
      <c r="GAR29" s="19"/>
      <c r="GAS29" s="19"/>
      <c r="GAT29" s="19"/>
      <c r="GAU29" s="19"/>
      <c r="GAV29" s="19"/>
      <c r="GAW29" s="19"/>
      <c r="GAX29" s="19"/>
      <c r="GAY29" s="19"/>
      <c r="GAZ29" s="19"/>
      <c r="GBA29" s="19"/>
      <c r="GBB29" s="19"/>
      <c r="GBC29" s="19"/>
      <c r="GBD29" s="19"/>
      <c r="GBE29" s="19"/>
      <c r="GBF29" s="19"/>
      <c r="GBG29" s="19"/>
      <c r="GBH29" s="19"/>
      <c r="GBI29" s="19"/>
      <c r="GBJ29" s="19"/>
      <c r="GBK29" s="19"/>
      <c r="GBL29" s="19"/>
      <c r="GBM29" s="19"/>
      <c r="GBN29" s="19"/>
      <c r="GBO29" s="19"/>
      <c r="GBP29" s="19"/>
      <c r="GBQ29" s="19"/>
      <c r="GBR29" s="19"/>
      <c r="GBS29" s="19"/>
      <c r="GBT29" s="19"/>
      <c r="GBU29" s="19"/>
      <c r="GBV29" s="19"/>
      <c r="GBW29" s="19"/>
      <c r="GBX29" s="19"/>
      <c r="GBY29" s="19"/>
      <c r="GBZ29" s="19"/>
      <c r="GCA29" s="19"/>
      <c r="GCB29" s="19"/>
      <c r="GCC29" s="19"/>
      <c r="GCD29" s="19"/>
      <c r="GCE29" s="19"/>
      <c r="GCF29" s="19"/>
      <c r="GCG29" s="19"/>
      <c r="GCH29" s="19"/>
      <c r="GCI29" s="19"/>
      <c r="GCJ29" s="19"/>
      <c r="GCK29" s="19"/>
      <c r="GCL29" s="19"/>
      <c r="GCM29" s="19"/>
      <c r="GCN29" s="19"/>
      <c r="GCO29" s="19"/>
      <c r="GCP29" s="19"/>
      <c r="GCQ29" s="19"/>
      <c r="GCR29" s="19"/>
      <c r="GCS29" s="19"/>
      <c r="GCT29" s="19"/>
      <c r="GCU29" s="19"/>
      <c r="GCV29" s="19"/>
      <c r="GCW29" s="19"/>
      <c r="GCX29" s="19"/>
      <c r="GCY29" s="19"/>
      <c r="GCZ29" s="19"/>
      <c r="GDA29" s="19"/>
      <c r="GDB29" s="19"/>
      <c r="GDC29" s="19"/>
      <c r="GDD29" s="19"/>
      <c r="GDE29" s="19"/>
      <c r="GDF29" s="19"/>
      <c r="GDG29" s="19"/>
      <c r="GDH29" s="19"/>
      <c r="GDI29" s="19"/>
      <c r="GDJ29" s="19"/>
      <c r="GDK29" s="19"/>
      <c r="GDL29" s="19"/>
      <c r="GDM29" s="19"/>
      <c r="GDN29" s="19"/>
      <c r="GDO29" s="19"/>
      <c r="GDP29" s="19"/>
      <c r="GDQ29" s="19"/>
      <c r="GDR29" s="19"/>
      <c r="GDS29" s="19"/>
      <c r="GDT29" s="19"/>
      <c r="GDU29" s="19"/>
      <c r="GDV29" s="19"/>
      <c r="GDW29" s="19"/>
      <c r="GDX29" s="19"/>
      <c r="GDY29" s="19"/>
      <c r="GDZ29" s="19"/>
      <c r="GEA29" s="19"/>
      <c r="GEB29" s="19"/>
      <c r="GEC29" s="19"/>
      <c r="GED29" s="19"/>
      <c r="GEE29" s="19"/>
      <c r="GEF29" s="19"/>
      <c r="GEG29" s="19"/>
      <c r="GEH29" s="19"/>
      <c r="GEI29" s="19"/>
      <c r="GEJ29" s="19"/>
      <c r="GEK29" s="19"/>
      <c r="GEL29" s="19"/>
      <c r="GEM29" s="19"/>
      <c r="GEN29" s="19"/>
      <c r="GEO29" s="19"/>
      <c r="GEP29" s="19"/>
      <c r="GEQ29" s="19"/>
      <c r="GER29" s="19"/>
      <c r="GES29" s="19"/>
      <c r="GET29" s="19"/>
      <c r="GEU29" s="19"/>
      <c r="GEV29" s="19"/>
      <c r="GEW29" s="19"/>
      <c r="GEX29" s="19"/>
      <c r="GEY29" s="19"/>
      <c r="GEZ29" s="19"/>
      <c r="GFA29" s="19"/>
      <c r="GFB29" s="19"/>
      <c r="GFC29" s="19"/>
      <c r="GFD29" s="19"/>
      <c r="GFE29" s="19"/>
      <c r="GFF29" s="19"/>
      <c r="GFG29" s="19"/>
      <c r="GFH29" s="19"/>
      <c r="GFI29" s="19"/>
      <c r="GFJ29" s="19"/>
      <c r="GFK29" s="19"/>
      <c r="GFL29" s="19"/>
      <c r="GFM29" s="19"/>
      <c r="GFN29" s="19"/>
      <c r="GFO29" s="19"/>
      <c r="GFP29" s="19"/>
      <c r="GFQ29" s="19"/>
      <c r="GFR29" s="19"/>
      <c r="GFS29" s="19"/>
      <c r="GFT29" s="19"/>
      <c r="GFU29" s="19"/>
      <c r="GFV29" s="19"/>
      <c r="GFW29" s="19"/>
      <c r="GFX29" s="19"/>
      <c r="GFY29" s="19"/>
      <c r="GFZ29" s="19"/>
      <c r="GGA29" s="19"/>
      <c r="GGB29" s="19"/>
      <c r="GGC29" s="19"/>
      <c r="GGD29" s="19"/>
      <c r="GGE29" s="19"/>
      <c r="GGF29" s="19"/>
      <c r="GGG29" s="19"/>
      <c r="GGH29" s="19"/>
      <c r="GGI29" s="19"/>
      <c r="GGJ29" s="19"/>
      <c r="GGK29" s="19"/>
      <c r="GGL29" s="19"/>
      <c r="GGM29" s="19"/>
      <c r="GGN29" s="19"/>
      <c r="GGO29" s="19"/>
      <c r="GGP29" s="19"/>
      <c r="GGQ29" s="19"/>
      <c r="GGR29" s="19"/>
      <c r="GGS29" s="19"/>
      <c r="GGT29" s="19"/>
      <c r="GGU29" s="19"/>
      <c r="GGV29" s="19"/>
      <c r="GGW29" s="19"/>
      <c r="GGX29" s="19"/>
      <c r="GGY29" s="19"/>
      <c r="GGZ29" s="19"/>
      <c r="GHA29" s="19"/>
      <c r="GHB29" s="19"/>
      <c r="GHC29" s="19"/>
      <c r="GHD29" s="19"/>
      <c r="GHE29" s="19"/>
      <c r="GHF29" s="19"/>
      <c r="GHG29" s="19"/>
      <c r="GHH29" s="19"/>
      <c r="GHI29" s="19"/>
      <c r="GHJ29" s="19"/>
      <c r="GHK29" s="19"/>
      <c r="GHL29" s="19"/>
      <c r="GHM29" s="19"/>
      <c r="GHN29" s="19"/>
      <c r="GHO29" s="19"/>
      <c r="GHP29" s="19"/>
      <c r="GHQ29" s="19"/>
      <c r="GHR29" s="19"/>
      <c r="GHS29" s="19"/>
      <c r="GHT29" s="19"/>
      <c r="GHU29" s="19"/>
      <c r="GHV29" s="19"/>
      <c r="GHW29" s="19"/>
      <c r="GHX29" s="19"/>
      <c r="GHY29" s="19"/>
      <c r="GHZ29" s="19"/>
      <c r="GIA29" s="19"/>
      <c r="GIB29" s="19"/>
      <c r="GIC29" s="19"/>
      <c r="GID29" s="19"/>
      <c r="GIE29" s="19"/>
      <c r="GIF29" s="19"/>
      <c r="GIG29" s="19"/>
      <c r="GIH29" s="19"/>
      <c r="GII29" s="19"/>
      <c r="GIJ29" s="19"/>
      <c r="GIK29" s="19"/>
      <c r="GIL29" s="19"/>
      <c r="GIM29" s="19"/>
      <c r="GIN29" s="19"/>
      <c r="GIO29" s="19"/>
      <c r="GIP29" s="19"/>
      <c r="GIQ29" s="19"/>
      <c r="GIR29" s="19"/>
      <c r="GIS29" s="19"/>
      <c r="GIT29" s="19"/>
      <c r="GIU29" s="19"/>
      <c r="GIV29" s="19"/>
      <c r="GIW29" s="19"/>
      <c r="GIX29" s="19"/>
      <c r="GIY29" s="19"/>
      <c r="GIZ29" s="19"/>
      <c r="GJA29" s="19"/>
      <c r="GJB29" s="19"/>
      <c r="GJC29" s="19"/>
      <c r="GJD29" s="19"/>
      <c r="GJE29" s="19"/>
      <c r="GJF29" s="19"/>
      <c r="GJG29" s="19"/>
      <c r="GJH29" s="19"/>
      <c r="GJI29" s="19"/>
      <c r="GJJ29" s="19"/>
      <c r="GJK29" s="19"/>
      <c r="GJL29" s="19"/>
      <c r="GJM29" s="19"/>
      <c r="GJN29" s="19"/>
      <c r="GJO29" s="19"/>
      <c r="GJP29" s="19"/>
      <c r="GJQ29" s="19"/>
      <c r="GJR29" s="19"/>
      <c r="GJS29" s="19"/>
      <c r="GJT29" s="19"/>
      <c r="GJU29" s="19"/>
      <c r="GJV29" s="19"/>
      <c r="GJW29" s="19"/>
      <c r="GJX29" s="19"/>
      <c r="GJY29" s="19"/>
      <c r="GJZ29" s="19"/>
      <c r="GKA29" s="19"/>
      <c r="GKB29" s="19"/>
      <c r="GKC29" s="19"/>
      <c r="GKD29" s="19"/>
      <c r="GKE29" s="19"/>
      <c r="GKF29" s="19"/>
      <c r="GKG29" s="19"/>
      <c r="GKH29" s="19"/>
      <c r="GKI29" s="19"/>
      <c r="GKJ29" s="19"/>
      <c r="GKK29" s="19"/>
      <c r="GKL29" s="19"/>
      <c r="GKM29" s="19"/>
      <c r="GKN29" s="19"/>
      <c r="GKO29" s="19"/>
      <c r="GKP29" s="19"/>
      <c r="GKQ29" s="19"/>
      <c r="GKR29" s="19"/>
      <c r="GKS29" s="19"/>
      <c r="GKT29" s="19"/>
      <c r="GKU29" s="19"/>
      <c r="GKV29" s="19"/>
      <c r="GKW29" s="19"/>
      <c r="GKX29" s="19"/>
      <c r="GKY29" s="19"/>
      <c r="GKZ29" s="19"/>
      <c r="GLA29" s="19"/>
      <c r="GLB29" s="19"/>
      <c r="GLC29" s="19"/>
      <c r="GLD29" s="19"/>
      <c r="GLE29" s="19"/>
      <c r="GLF29" s="19"/>
      <c r="GLG29" s="19"/>
      <c r="GLH29" s="19"/>
      <c r="GLI29" s="19"/>
      <c r="GLJ29" s="19"/>
      <c r="GLK29" s="19"/>
      <c r="GLL29" s="19"/>
      <c r="GLM29" s="19"/>
      <c r="GLN29" s="19"/>
      <c r="GLO29" s="19"/>
      <c r="GLP29" s="19"/>
      <c r="GLQ29" s="19"/>
      <c r="GLR29" s="19"/>
      <c r="GLS29" s="19"/>
      <c r="GLT29" s="19"/>
      <c r="GLU29" s="19"/>
      <c r="GLV29" s="19"/>
      <c r="GLW29" s="19"/>
      <c r="GLX29" s="19"/>
      <c r="GLY29" s="19"/>
      <c r="GLZ29" s="19"/>
      <c r="GMA29" s="19"/>
      <c r="GMB29" s="19"/>
      <c r="GMC29" s="19"/>
      <c r="GMD29" s="19"/>
      <c r="GME29" s="19"/>
      <c r="GMF29" s="19"/>
      <c r="GMG29" s="19"/>
      <c r="GMH29" s="19"/>
      <c r="GMI29" s="19"/>
      <c r="GMJ29" s="19"/>
      <c r="GMK29" s="19"/>
      <c r="GML29" s="19"/>
      <c r="GMM29" s="19"/>
      <c r="GMN29" s="19"/>
      <c r="GMO29" s="19"/>
      <c r="GMP29" s="19"/>
      <c r="GMQ29" s="19"/>
      <c r="GMR29" s="19"/>
      <c r="GMS29" s="19"/>
      <c r="GMT29" s="19"/>
      <c r="GMU29" s="19"/>
      <c r="GMV29" s="19"/>
      <c r="GMW29" s="19"/>
      <c r="GMX29" s="19"/>
      <c r="GMY29" s="19"/>
      <c r="GMZ29" s="19"/>
      <c r="GNA29" s="19"/>
      <c r="GNB29" s="19"/>
      <c r="GNC29" s="19"/>
      <c r="GND29" s="19"/>
      <c r="GNE29" s="19"/>
      <c r="GNF29" s="19"/>
      <c r="GNG29" s="19"/>
      <c r="GNH29" s="19"/>
      <c r="GNI29" s="19"/>
      <c r="GNJ29" s="19"/>
      <c r="GNK29" s="19"/>
      <c r="GNL29" s="19"/>
      <c r="GNM29" s="19"/>
      <c r="GNN29" s="19"/>
      <c r="GNO29" s="19"/>
      <c r="GNP29" s="19"/>
      <c r="GNQ29" s="19"/>
      <c r="GNR29" s="19"/>
      <c r="GNS29" s="19"/>
      <c r="GNT29" s="19"/>
      <c r="GNU29" s="19"/>
      <c r="GNV29" s="19"/>
      <c r="GNW29" s="19"/>
      <c r="GNX29" s="19"/>
      <c r="GNY29" s="19"/>
      <c r="GNZ29" s="19"/>
      <c r="GOA29" s="19"/>
      <c r="GOB29" s="19"/>
      <c r="GOC29" s="19"/>
      <c r="GOD29" s="19"/>
      <c r="GOE29" s="19"/>
      <c r="GOF29" s="19"/>
      <c r="GOG29" s="19"/>
      <c r="GOH29" s="19"/>
      <c r="GOI29" s="19"/>
      <c r="GOJ29" s="19"/>
      <c r="GOK29" s="19"/>
      <c r="GOL29" s="19"/>
      <c r="GOM29" s="19"/>
      <c r="GON29" s="19"/>
      <c r="GOO29" s="19"/>
      <c r="GOP29" s="19"/>
      <c r="GOQ29" s="19"/>
      <c r="GOR29" s="19"/>
      <c r="GOS29" s="19"/>
      <c r="GOT29" s="19"/>
      <c r="GOU29" s="19"/>
      <c r="GOV29" s="19"/>
      <c r="GOW29" s="19"/>
      <c r="GOX29" s="19"/>
      <c r="GOY29" s="19"/>
      <c r="GOZ29" s="19"/>
      <c r="GPA29" s="19"/>
      <c r="GPB29" s="19"/>
      <c r="GPC29" s="19"/>
      <c r="GPD29" s="19"/>
      <c r="GPE29" s="19"/>
      <c r="GPF29" s="19"/>
      <c r="GPG29" s="19"/>
      <c r="GPH29" s="19"/>
      <c r="GPI29" s="19"/>
      <c r="GPJ29" s="19"/>
      <c r="GPK29" s="19"/>
      <c r="GPL29" s="19"/>
      <c r="GPM29" s="19"/>
      <c r="GPN29" s="19"/>
      <c r="GPO29" s="19"/>
      <c r="GPP29" s="19"/>
      <c r="GPQ29" s="19"/>
      <c r="GPR29" s="19"/>
      <c r="GPS29" s="19"/>
      <c r="GPT29" s="19"/>
      <c r="GPU29" s="19"/>
      <c r="GPV29" s="19"/>
      <c r="GPW29" s="19"/>
      <c r="GPX29" s="19"/>
      <c r="GPY29" s="19"/>
      <c r="GPZ29" s="19"/>
      <c r="GQA29" s="19"/>
      <c r="GQB29" s="19"/>
      <c r="GQC29" s="19"/>
      <c r="GQD29" s="19"/>
      <c r="GQE29" s="19"/>
      <c r="GQF29" s="19"/>
      <c r="GQG29" s="19"/>
      <c r="GQH29" s="19"/>
      <c r="GQI29" s="19"/>
      <c r="GQJ29" s="19"/>
      <c r="GQK29" s="19"/>
      <c r="GQL29" s="19"/>
      <c r="GQM29" s="19"/>
      <c r="GQN29" s="19"/>
      <c r="GQO29" s="19"/>
      <c r="GQP29" s="19"/>
      <c r="GQQ29" s="19"/>
      <c r="GQR29" s="19"/>
      <c r="GQS29" s="19"/>
      <c r="GQT29" s="19"/>
      <c r="GQU29" s="19"/>
      <c r="GQV29" s="19"/>
      <c r="GQW29" s="19"/>
      <c r="GQX29" s="19"/>
      <c r="GQY29" s="19"/>
      <c r="GQZ29" s="19"/>
      <c r="GRA29" s="19"/>
      <c r="GRB29" s="19"/>
      <c r="GRC29" s="19"/>
      <c r="GRD29" s="19"/>
      <c r="GRE29" s="19"/>
      <c r="GRF29" s="19"/>
      <c r="GRG29" s="19"/>
      <c r="GRH29" s="19"/>
      <c r="GRI29" s="19"/>
      <c r="GRJ29" s="19"/>
      <c r="GRK29" s="19"/>
      <c r="GRL29" s="19"/>
      <c r="GRM29" s="19"/>
      <c r="GRN29" s="19"/>
      <c r="GRO29" s="19"/>
      <c r="GRP29" s="19"/>
      <c r="GRQ29" s="19"/>
      <c r="GRR29" s="19"/>
      <c r="GRS29" s="19"/>
      <c r="GRT29" s="19"/>
      <c r="GRU29" s="19"/>
      <c r="GRV29" s="19"/>
      <c r="GRW29" s="19"/>
      <c r="GRX29" s="19"/>
      <c r="GRY29" s="19"/>
      <c r="GRZ29" s="19"/>
      <c r="GSA29" s="19"/>
      <c r="GSB29" s="19"/>
      <c r="GSC29" s="19"/>
      <c r="GSD29" s="19"/>
      <c r="GSE29" s="19"/>
      <c r="GSF29" s="19"/>
      <c r="GSG29" s="19"/>
      <c r="GSH29" s="19"/>
      <c r="GSI29" s="19"/>
      <c r="GSJ29" s="19"/>
      <c r="GSK29" s="19"/>
      <c r="GSL29" s="19"/>
      <c r="GSM29" s="19"/>
      <c r="GSN29" s="19"/>
      <c r="GSO29" s="19"/>
      <c r="GSP29" s="19"/>
      <c r="GSQ29" s="19"/>
      <c r="GSR29" s="19"/>
      <c r="GSS29" s="19"/>
      <c r="GST29" s="19"/>
      <c r="GSU29" s="19"/>
      <c r="GSV29" s="19"/>
      <c r="GSW29" s="19"/>
      <c r="GSX29" s="19"/>
      <c r="GSY29" s="19"/>
      <c r="GSZ29" s="19"/>
      <c r="GTA29" s="19"/>
      <c r="GTB29" s="19"/>
      <c r="GTC29" s="19"/>
      <c r="GTD29" s="19"/>
      <c r="GTE29" s="19"/>
      <c r="GTF29" s="19"/>
      <c r="GTG29" s="19"/>
      <c r="GTH29" s="19"/>
      <c r="GTI29" s="19"/>
      <c r="GTJ29" s="19"/>
      <c r="GTK29" s="19"/>
      <c r="GTL29" s="19"/>
      <c r="GTM29" s="19"/>
      <c r="GTN29" s="19"/>
      <c r="GTO29" s="19"/>
      <c r="GTP29" s="19"/>
      <c r="GTQ29" s="19"/>
      <c r="GTR29" s="19"/>
      <c r="GTS29" s="19"/>
      <c r="GTT29" s="19"/>
      <c r="GTU29" s="19"/>
      <c r="GTV29" s="19"/>
      <c r="GTW29" s="19"/>
      <c r="GTX29" s="19"/>
      <c r="GTY29" s="19"/>
      <c r="GTZ29" s="19"/>
      <c r="GUA29" s="19"/>
      <c r="GUB29" s="19"/>
      <c r="GUC29" s="19"/>
      <c r="GUD29" s="19"/>
      <c r="GUE29" s="19"/>
      <c r="GUF29" s="19"/>
      <c r="GUG29" s="19"/>
      <c r="GUH29" s="19"/>
      <c r="GUI29" s="19"/>
      <c r="GUJ29" s="19"/>
      <c r="GUK29" s="19"/>
      <c r="GUL29" s="19"/>
      <c r="GUM29" s="19"/>
      <c r="GUN29" s="19"/>
      <c r="GUO29" s="19"/>
      <c r="GUP29" s="19"/>
      <c r="GUQ29" s="19"/>
      <c r="GUR29" s="19"/>
      <c r="GUS29" s="19"/>
      <c r="GUT29" s="19"/>
      <c r="GUU29" s="19"/>
      <c r="GUV29" s="19"/>
      <c r="GUW29" s="19"/>
      <c r="GUX29" s="19"/>
      <c r="GUY29" s="19"/>
      <c r="GUZ29" s="19"/>
      <c r="GVA29" s="19"/>
      <c r="GVB29" s="19"/>
      <c r="GVC29" s="19"/>
      <c r="GVD29" s="19"/>
      <c r="GVE29" s="19"/>
      <c r="GVF29" s="19"/>
      <c r="GVG29" s="19"/>
      <c r="GVH29" s="19"/>
      <c r="GVI29" s="19"/>
      <c r="GVJ29" s="19"/>
      <c r="GVK29" s="19"/>
      <c r="GVL29" s="19"/>
      <c r="GVM29" s="19"/>
      <c r="GVN29" s="19"/>
      <c r="GVO29" s="19"/>
      <c r="GVP29" s="19"/>
      <c r="GVQ29" s="19"/>
      <c r="GVR29" s="19"/>
      <c r="GVS29" s="19"/>
      <c r="GVT29" s="19"/>
      <c r="GVU29" s="19"/>
      <c r="GVV29" s="19"/>
      <c r="GVW29" s="19"/>
      <c r="GVX29" s="19"/>
      <c r="GVY29" s="19"/>
      <c r="GVZ29" s="19"/>
      <c r="GWA29" s="19"/>
      <c r="GWB29" s="19"/>
      <c r="GWC29" s="19"/>
      <c r="GWD29" s="19"/>
      <c r="GWE29" s="19"/>
      <c r="GWF29" s="19"/>
      <c r="GWG29" s="19"/>
      <c r="GWH29" s="19"/>
      <c r="GWI29" s="19"/>
      <c r="GWJ29" s="19"/>
      <c r="GWK29" s="19"/>
      <c r="GWL29" s="19"/>
      <c r="GWM29" s="19"/>
      <c r="GWN29" s="19"/>
      <c r="GWO29" s="19"/>
      <c r="GWP29" s="19"/>
      <c r="GWQ29" s="19"/>
      <c r="GWR29" s="19"/>
      <c r="GWS29" s="19"/>
      <c r="GWT29" s="19"/>
      <c r="GWU29" s="19"/>
      <c r="GWV29" s="19"/>
      <c r="GWW29" s="19"/>
      <c r="GWX29" s="19"/>
      <c r="GWY29" s="19"/>
      <c r="GWZ29" s="19"/>
      <c r="GXA29" s="19"/>
      <c r="GXB29" s="19"/>
      <c r="GXC29" s="19"/>
      <c r="GXD29" s="19"/>
      <c r="GXE29" s="19"/>
      <c r="GXF29" s="19"/>
      <c r="GXG29" s="19"/>
      <c r="GXH29" s="19"/>
      <c r="GXI29" s="19"/>
      <c r="GXJ29" s="19"/>
      <c r="GXK29" s="19"/>
      <c r="GXL29" s="19"/>
      <c r="GXM29" s="19"/>
      <c r="GXN29" s="19"/>
      <c r="GXO29" s="19"/>
      <c r="GXP29" s="19"/>
      <c r="GXQ29" s="19"/>
      <c r="GXR29" s="19"/>
      <c r="GXS29" s="19"/>
      <c r="GXT29" s="19"/>
      <c r="GXU29" s="19"/>
      <c r="GXV29" s="19"/>
      <c r="GXW29" s="19"/>
      <c r="GXX29" s="19"/>
      <c r="GXY29" s="19"/>
      <c r="GXZ29" s="19"/>
      <c r="GYA29" s="19"/>
      <c r="GYB29" s="19"/>
      <c r="GYC29" s="19"/>
      <c r="GYD29" s="19"/>
      <c r="GYE29" s="19"/>
      <c r="GYF29" s="19"/>
      <c r="GYG29" s="19"/>
      <c r="GYH29" s="19"/>
      <c r="GYI29" s="19"/>
      <c r="GYJ29" s="19"/>
      <c r="GYK29" s="19"/>
      <c r="GYL29" s="19"/>
      <c r="GYM29" s="19"/>
      <c r="GYN29" s="19"/>
      <c r="GYO29" s="19"/>
      <c r="GYP29" s="19"/>
      <c r="GYQ29" s="19"/>
      <c r="GYR29" s="19"/>
      <c r="GYS29" s="19"/>
      <c r="GYT29" s="19"/>
      <c r="GYU29" s="19"/>
      <c r="GYV29" s="19"/>
      <c r="GYW29" s="19"/>
      <c r="GYX29" s="19"/>
      <c r="GYY29" s="19"/>
      <c r="GYZ29" s="19"/>
      <c r="GZA29" s="19"/>
      <c r="GZB29" s="19"/>
      <c r="GZC29" s="19"/>
      <c r="GZD29" s="19"/>
      <c r="GZE29" s="19"/>
      <c r="GZF29" s="19"/>
      <c r="GZG29" s="19"/>
      <c r="GZH29" s="19"/>
      <c r="GZI29" s="19"/>
      <c r="GZJ29" s="19"/>
      <c r="GZK29" s="19"/>
      <c r="GZL29" s="19"/>
      <c r="GZM29" s="19"/>
      <c r="GZN29" s="19"/>
      <c r="GZO29" s="19"/>
      <c r="GZP29" s="19"/>
      <c r="GZQ29" s="19"/>
      <c r="GZR29" s="19"/>
      <c r="GZS29" s="19"/>
      <c r="GZT29" s="19"/>
      <c r="GZU29" s="19"/>
      <c r="GZV29" s="19"/>
      <c r="GZW29" s="19"/>
      <c r="GZX29" s="19"/>
      <c r="GZY29" s="19"/>
      <c r="GZZ29" s="19"/>
      <c r="HAA29" s="19"/>
      <c r="HAB29" s="19"/>
      <c r="HAC29" s="19"/>
      <c r="HAD29" s="19"/>
      <c r="HAE29" s="19"/>
      <c r="HAF29" s="19"/>
      <c r="HAG29" s="19"/>
      <c r="HAH29" s="19"/>
      <c r="HAI29" s="19"/>
      <c r="HAJ29" s="19"/>
      <c r="HAK29" s="19"/>
      <c r="HAL29" s="19"/>
      <c r="HAM29" s="19"/>
      <c r="HAN29" s="19"/>
      <c r="HAO29" s="19"/>
      <c r="HAP29" s="19"/>
      <c r="HAQ29" s="19"/>
      <c r="HAR29" s="19"/>
      <c r="HAS29" s="19"/>
      <c r="HAT29" s="19"/>
      <c r="HAU29" s="19"/>
      <c r="HAV29" s="19"/>
      <c r="HAW29" s="19"/>
      <c r="HAX29" s="19"/>
      <c r="HAY29" s="19"/>
      <c r="HAZ29" s="19"/>
      <c r="HBA29" s="19"/>
      <c r="HBB29" s="19"/>
      <c r="HBC29" s="19"/>
      <c r="HBD29" s="19"/>
      <c r="HBE29" s="19"/>
      <c r="HBF29" s="19"/>
      <c r="HBG29" s="19"/>
      <c r="HBH29" s="19"/>
      <c r="HBI29" s="19"/>
      <c r="HBJ29" s="19"/>
      <c r="HBK29" s="19"/>
      <c r="HBL29" s="19"/>
      <c r="HBM29" s="19"/>
      <c r="HBN29" s="19"/>
      <c r="HBO29" s="19"/>
      <c r="HBP29" s="19"/>
      <c r="HBQ29" s="19"/>
      <c r="HBR29" s="19"/>
      <c r="HBS29" s="19"/>
      <c r="HBT29" s="19"/>
      <c r="HBU29" s="19"/>
      <c r="HBV29" s="19"/>
      <c r="HBW29" s="19"/>
      <c r="HBX29" s="19"/>
      <c r="HBY29" s="19"/>
      <c r="HBZ29" s="19"/>
      <c r="HCA29" s="19"/>
      <c r="HCB29" s="19"/>
      <c r="HCC29" s="19"/>
      <c r="HCD29" s="19"/>
      <c r="HCE29" s="19"/>
      <c r="HCF29" s="19"/>
      <c r="HCG29" s="19"/>
      <c r="HCH29" s="19"/>
      <c r="HCI29" s="19"/>
      <c r="HCJ29" s="19"/>
      <c r="HCK29" s="19"/>
      <c r="HCL29" s="19"/>
      <c r="HCM29" s="19"/>
      <c r="HCN29" s="19"/>
      <c r="HCO29" s="19"/>
      <c r="HCP29" s="19"/>
      <c r="HCQ29" s="19"/>
      <c r="HCR29" s="19"/>
      <c r="HCS29" s="19"/>
      <c r="HCT29" s="19"/>
      <c r="HCU29" s="19"/>
      <c r="HCV29" s="19"/>
      <c r="HCW29" s="19"/>
      <c r="HCX29" s="19"/>
      <c r="HCY29" s="19"/>
      <c r="HCZ29" s="19"/>
      <c r="HDA29" s="19"/>
      <c r="HDB29" s="19"/>
      <c r="HDC29" s="19"/>
      <c r="HDD29" s="19"/>
      <c r="HDE29" s="19"/>
      <c r="HDF29" s="19"/>
      <c r="HDG29" s="19"/>
      <c r="HDH29" s="19"/>
      <c r="HDI29" s="19"/>
      <c r="HDJ29" s="19"/>
      <c r="HDK29" s="19"/>
      <c r="HDL29" s="19"/>
      <c r="HDM29" s="19"/>
      <c r="HDN29" s="19"/>
      <c r="HDO29" s="19"/>
      <c r="HDP29" s="19"/>
      <c r="HDQ29" s="19"/>
      <c r="HDR29" s="19"/>
      <c r="HDS29" s="19"/>
      <c r="HDT29" s="19"/>
      <c r="HDU29" s="19"/>
      <c r="HDV29" s="19"/>
      <c r="HDW29" s="19"/>
      <c r="HDX29" s="19"/>
      <c r="HDY29" s="19"/>
      <c r="HDZ29" s="19"/>
      <c r="HEA29" s="19"/>
      <c r="HEB29" s="19"/>
      <c r="HEC29" s="19"/>
      <c r="HED29" s="19"/>
      <c r="HEE29" s="19"/>
      <c r="HEF29" s="19"/>
      <c r="HEG29" s="19"/>
      <c r="HEH29" s="19"/>
      <c r="HEI29" s="19"/>
      <c r="HEJ29" s="19"/>
      <c r="HEK29" s="19"/>
      <c r="HEL29" s="19"/>
      <c r="HEM29" s="19"/>
      <c r="HEN29" s="19"/>
      <c r="HEO29" s="19"/>
      <c r="HEP29" s="19"/>
      <c r="HEQ29" s="19"/>
      <c r="HER29" s="19"/>
      <c r="HES29" s="19"/>
      <c r="HET29" s="19"/>
      <c r="HEU29" s="19"/>
      <c r="HEV29" s="19"/>
      <c r="HEW29" s="19"/>
      <c r="HEX29" s="19"/>
      <c r="HEY29" s="19"/>
      <c r="HEZ29" s="19"/>
      <c r="HFA29" s="19"/>
      <c r="HFB29" s="19"/>
      <c r="HFC29" s="19"/>
      <c r="HFD29" s="19"/>
      <c r="HFE29" s="19"/>
      <c r="HFF29" s="19"/>
      <c r="HFG29" s="19"/>
      <c r="HFH29" s="19"/>
      <c r="HFI29" s="19"/>
      <c r="HFJ29" s="19"/>
      <c r="HFK29" s="19"/>
      <c r="HFL29" s="19"/>
      <c r="HFM29" s="19"/>
      <c r="HFN29" s="19"/>
      <c r="HFO29" s="19"/>
      <c r="HFP29" s="19"/>
      <c r="HFQ29" s="19"/>
      <c r="HFR29" s="19"/>
      <c r="HFS29" s="19"/>
      <c r="HFT29" s="19"/>
      <c r="HFU29" s="19"/>
      <c r="HFV29" s="19"/>
      <c r="HFW29" s="19"/>
      <c r="HFX29" s="19"/>
      <c r="HFY29" s="19"/>
      <c r="HFZ29" s="19"/>
      <c r="HGA29" s="19"/>
      <c r="HGB29" s="19"/>
      <c r="HGC29" s="19"/>
      <c r="HGD29" s="19"/>
      <c r="HGE29" s="19"/>
      <c r="HGF29" s="19"/>
      <c r="HGG29" s="19"/>
      <c r="HGH29" s="19"/>
      <c r="HGI29" s="19"/>
      <c r="HGJ29" s="19"/>
      <c r="HGK29" s="19"/>
      <c r="HGL29" s="19"/>
      <c r="HGM29" s="19"/>
      <c r="HGN29" s="19"/>
      <c r="HGO29" s="19"/>
      <c r="HGP29" s="19"/>
      <c r="HGQ29" s="19"/>
      <c r="HGR29" s="19"/>
      <c r="HGS29" s="19"/>
      <c r="HGT29" s="19"/>
      <c r="HGU29" s="19"/>
      <c r="HGV29" s="19"/>
      <c r="HGW29" s="19"/>
      <c r="HGX29" s="19"/>
      <c r="HGY29" s="19"/>
      <c r="HGZ29" s="19"/>
      <c r="HHA29" s="19"/>
      <c r="HHB29" s="19"/>
      <c r="HHC29" s="19"/>
      <c r="HHD29" s="19"/>
      <c r="HHE29" s="19"/>
      <c r="HHF29" s="19"/>
      <c r="HHG29" s="19"/>
      <c r="HHH29" s="19"/>
      <c r="HHI29" s="19"/>
      <c r="HHJ29" s="19"/>
      <c r="HHK29" s="19"/>
      <c r="HHL29" s="19"/>
      <c r="HHM29" s="19"/>
      <c r="HHN29" s="19"/>
      <c r="HHO29" s="19"/>
      <c r="HHP29" s="19"/>
      <c r="HHQ29" s="19"/>
      <c r="HHR29" s="19"/>
      <c r="HHS29" s="19"/>
      <c r="HHT29" s="19"/>
      <c r="HHU29" s="19"/>
      <c r="HHV29" s="19"/>
      <c r="HHW29" s="19"/>
      <c r="HHX29" s="19"/>
      <c r="HHY29" s="19"/>
      <c r="HHZ29" s="19"/>
      <c r="HIA29" s="19"/>
      <c r="HIB29" s="19"/>
      <c r="HIC29" s="19"/>
      <c r="HID29" s="19"/>
      <c r="HIE29" s="19"/>
      <c r="HIF29" s="19"/>
      <c r="HIG29" s="19"/>
      <c r="HIH29" s="19"/>
      <c r="HII29" s="19"/>
      <c r="HIJ29" s="19"/>
      <c r="HIK29" s="19"/>
      <c r="HIL29" s="19"/>
      <c r="HIM29" s="19"/>
      <c r="HIN29" s="19"/>
      <c r="HIO29" s="19"/>
      <c r="HIP29" s="19"/>
      <c r="HIQ29" s="19"/>
      <c r="HIR29" s="19"/>
      <c r="HIS29" s="19"/>
      <c r="HIT29" s="19"/>
      <c r="HIU29" s="19"/>
      <c r="HIV29" s="19"/>
      <c r="HIW29" s="19"/>
      <c r="HIX29" s="19"/>
      <c r="HIY29" s="19"/>
      <c r="HIZ29" s="19"/>
      <c r="HJA29" s="19"/>
      <c r="HJB29" s="19"/>
      <c r="HJC29" s="19"/>
      <c r="HJD29" s="19"/>
      <c r="HJE29" s="19"/>
      <c r="HJF29" s="19"/>
      <c r="HJG29" s="19"/>
      <c r="HJH29" s="19"/>
      <c r="HJI29" s="19"/>
      <c r="HJJ29" s="19"/>
      <c r="HJK29" s="19"/>
      <c r="HJL29" s="19"/>
      <c r="HJM29" s="19"/>
      <c r="HJN29" s="19"/>
      <c r="HJO29" s="19"/>
      <c r="HJP29" s="19"/>
      <c r="HJQ29" s="19"/>
      <c r="HJR29" s="19"/>
      <c r="HJS29" s="19"/>
      <c r="HJT29" s="19"/>
      <c r="HJU29" s="19"/>
      <c r="HJV29" s="19"/>
      <c r="HJW29" s="19"/>
      <c r="HJX29" s="19"/>
      <c r="HJY29" s="19"/>
      <c r="HJZ29" s="19"/>
      <c r="HKA29" s="19"/>
      <c r="HKB29" s="19"/>
      <c r="HKC29" s="19"/>
      <c r="HKD29" s="19"/>
      <c r="HKE29" s="19"/>
      <c r="HKF29" s="19"/>
      <c r="HKG29" s="19"/>
      <c r="HKH29" s="19"/>
      <c r="HKI29" s="19"/>
      <c r="HKJ29" s="19"/>
      <c r="HKK29" s="19"/>
      <c r="HKL29" s="19"/>
      <c r="HKM29" s="19"/>
      <c r="HKN29" s="19"/>
      <c r="HKO29" s="19"/>
      <c r="HKP29" s="19"/>
      <c r="HKQ29" s="19"/>
      <c r="HKR29" s="19"/>
      <c r="HKS29" s="19"/>
      <c r="HKT29" s="19"/>
      <c r="HKU29" s="19"/>
      <c r="HKV29" s="19"/>
      <c r="HKW29" s="19"/>
      <c r="HKX29" s="19"/>
      <c r="HKY29" s="19"/>
      <c r="HKZ29" s="19"/>
      <c r="HLA29" s="19"/>
      <c r="HLB29" s="19"/>
      <c r="HLC29" s="19"/>
      <c r="HLD29" s="19"/>
      <c r="HLE29" s="19"/>
      <c r="HLF29" s="19"/>
      <c r="HLG29" s="19"/>
      <c r="HLH29" s="19"/>
      <c r="HLI29" s="19"/>
      <c r="HLJ29" s="19"/>
      <c r="HLK29" s="19"/>
      <c r="HLL29" s="19"/>
      <c r="HLM29" s="19"/>
      <c r="HLN29" s="19"/>
      <c r="HLO29" s="19"/>
      <c r="HLP29" s="19"/>
      <c r="HLQ29" s="19"/>
      <c r="HLR29" s="19"/>
      <c r="HLS29" s="19"/>
      <c r="HLT29" s="19"/>
      <c r="HLU29" s="19"/>
      <c r="HLV29" s="19"/>
      <c r="HLW29" s="19"/>
      <c r="HLX29" s="19"/>
      <c r="HLY29" s="19"/>
      <c r="HLZ29" s="19"/>
      <c r="HMA29" s="19"/>
      <c r="HMB29" s="19"/>
      <c r="HMC29" s="19"/>
      <c r="HMD29" s="19"/>
      <c r="HME29" s="19"/>
      <c r="HMF29" s="19"/>
      <c r="HMG29" s="19"/>
      <c r="HMH29" s="19"/>
      <c r="HMI29" s="19"/>
      <c r="HMJ29" s="19"/>
      <c r="HMK29" s="19"/>
      <c r="HML29" s="19"/>
      <c r="HMM29" s="19"/>
      <c r="HMN29" s="19"/>
      <c r="HMO29" s="19"/>
      <c r="HMP29" s="19"/>
      <c r="HMQ29" s="19"/>
      <c r="HMR29" s="19"/>
      <c r="HMS29" s="19"/>
      <c r="HMT29" s="19"/>
      <c r="HMU29" s="19"/>
      <c r="HMV29" s="19"/>
      <c r="HMW29" s="19"/>
      <c r="HMX29" s="19"/>
      <c r="HMY29" s="19"/>
      <c r="HMZ29" s="19"/>
      <c r="HNA29" s="19"/>
      <c r="HNB29" s="19"/>
      <c r="HNC29" s="19"/>
      <c r="HND29" s="19"/>
      <c r="HNE29" s="19"/>
      <c r="HNF29" s="19"/>
      <c r="HNG29" s="19"/>
      <c r="HNH29" s="19"/>
      <c r="HNI29" s="19"/>
      <c r="HNJ29" s="19"/>
      <c r="HNK29" s="19"/>
      <c r="HNL29" s="19"/>
      <c r="HNM29" s="19"/>
      <c r="HNN29" s="19"/>
      <c r="HNO29" s="19"/>
      <c r="HNP29" s="19"/>
      <c r="HNQ29" s="19"/>
      <c r="HNR29" s="19"/>
      <c r="HNS29" s="19"/>
      <c r="HNT29" s="19"/>
      <c r="HNU29" s="19"/>
      <c r="HNV29" s="19"/>
      <c r="HNW29" s="19"/>
      <c r="HNX29" s="19"/>
      <c r="HNY29" s="19"/>
      <c r="HNZ29" s="19"/>
      <c r="HOA29" s="19"/>
      <c r="HOB29" s="19"/>
      <c r="HOC29" s="19"/>
      <c r="HOD29" s="19"/>
      <c r="HOE29" s="19"/>
      <c r="HOF29" s="19"/>
      <c r="HOG29" s="19"/>
      <c r="HOH29" s="19"/>
      <c r="HOI29" s="19"/>
      <c r="HOJ29" s="19"/>
      <c r="HOK29" s="19"/>
      <c r="HOL29" s="19"/>
      <c r="HOM29" s="19"/>
      <c r="HON29" s="19"/>
      <c r="HOO29" s="19"/>
      <c r="HOP29" s="19"/>
      <c r="HOQ29" s="19"/>
      <c r="HOR29" s="19"/>
      <c r="HOS29" s="19"/>
      <c r="HOT29" s="19"/>
      <c r="HOU29" s="19"/>
      <c r="HOV29" s="19"/>
      <c r="HOW29" s="19"/>
      <c r="HOX29" s="19"/>
      <c r="HOY29" s="19"/>
      <c r="HOZ29" s="19"/>
      <c r="HPA29" s="19"/>
      <c r="HPB29" s="19"/>
      <c r="HPC29" s="19"/>
      <c r="HPD29" s="19"/>
      <c r="HPE29" s="19"/>
      <c r="HPF29" s="19"/>
      <c r="HPG29" s="19"/>
      <c r="HPH29" s="19"/>
      <c r="HPI29" s="19"/>
      <c r="HPJ29" s="19"/>
      <c r="HPK29" s="19"/>
      <c r="HPL29" s="19"/>
      <c r="HPM29" s="19"/>
      <c r="HPN29" s="19"/>
      <c r="HPO29" s="19"/>
      <c r="HPP29" s="19"/>
      <c r="HPQ29" s="19"/>
      <c r="HPR29" s="19"/>
      <c r="HPS29" s="19"/>
      <c r="HPT29" s="19"/>
      <c r="HPU29" s="19"/>
      <c r="HPV29" s="19"/>
      <c r="HPW29" s="19"/>
      <c r="HPX29" s="19"/>
      <c r="HPY29" s="19"/>
      <c r="HPZ29" s="19"/>
      <c r="HQA29" s="19"/>
      <c r="HQB29" s="19"/>
      <c r="HQC29" s="19"/>
      <c r="HQD29" s="19"/>
      <c r="HQE29" s="19"/>
      <c r="HQF29" s="19"/>
      <c r="HQG29" s="19"/>
      <c r="HQH29" s="19"/>
      <c r="HQI29" s="19"/>
      <c r="HQJ29" s="19"/>
      <c r="HQK29" s="19"/>
      <c r="HQL29" s="19"/>
      <c r="HQM29" s="19"/>
      <c r="HQN29" s="19"/>
      <c r="HQO29" s="19"/>
      <c r="HQP29" s="19"/>
      <c r="HQQ29" s="19"/>
      <c r="HQR29" s="19"/>
      <c r="HQS29" s="19"/>
      <c r="HQT29" s="19"/>
      <c r="HQU29" s="19"/>
      <c r="HQV29" s="19"/>
      <c r="HQW29" s="19"/>
      <c r="HQX29" s="19"/>
      <c r="HQY29" s="19"/>
      <c r="HQZ29" s="19"/>
      <c r="HRA29" s="19"/>
      <c r="HRB29" s="19"/>
      <c r="HRC29" s="19"/>
      <c r="HRD29" s="19"/>
      <c r="HRE29" s="19"/>
      <c r="HRF29" s="19"/>
      <c r="HRG29" s="19"/>
      <c r="HRH29" s="19"/>
      <c r="HRI29" s="19"/>
      <c r="HRJ29" s="19"/>
      <c r="HRK29" s="19"/>
      <c r="HRL29" s="19"/>
      <c r="HRM29" s="19"/>
      <c r="HRN29" s="19"/>
      <c r="HRO29" s="19"/>
      <c r="HRP29" s="19"/>
      <c r="HRQ29" s="19"/>
      <c r="HRR29" s="19"/>
      <c r="HRS29" s="19"/>
      <c r="HRT29" s="19"/>
      <c r="HRU29" s="19"/>
      <c r="HRV29" s="19"/>
      <c r="HRW29" s="19"/>
      <c r="HRX29" s="19"/>
      <c r="HRY29" s="19"/>
      <c r="HRZ29" s="19"/>
      <c r="HSA29" s="19"/>
      <c r="HSB29" s="19"/>
      <c r="HSC29" s="19"/>
      <c r="HSD29" s="19"/>
      <c r="HSE29" s="19"/>
      <c r="HSF29" s="19"/>
      <c r="HSG29" s="19"/>
      <c r="HSH29" s="19"/>
      <c r="HSI29" s="19"/>
      <c r="HSJ29" s="19"/>
      <c r="HSK29" s="19"/>
      <c r="HSL29" s="19"/>
      <c r="HSM29" s="19"/>
      <c r="HSN29" s="19"/>
      <c r="HSO29" s="19"/>
      <c r="HSP29" s="19"/>
      <c r="HSQ29" s="19"/>
      <c r="HSR29" s="19"/>
      <c r="HSS29" s="19"/>
      <c r="HST29" s="19"/>
      <c r="HSU29" s="19"/>
      <c r="HSV29" s="19"/>
      <c r="HSW29" s="19"/>
      <c r="HSX29" s="19"/>
      <c r="HSY29" s="19"/>
      <c r="HSZ29" s="19"/>
      <c r="HTA29" s="19"/>
      <c r="HTB29" s="19"/>
      <c r="HTC29" s="19"/>
      <c r="HTD29" s="19"/>
      <c r="HTE29" s="19"/>
      <c r="HTF29" s="19"/>
      <c r="HTG29" s="19"/>
      <c r="HTH29" s="19"/>
      <c r="HTI29" s="19"/>
      <c r="HTJ29" s="19"/>
      <c r="HTK29" s="19"/>
      <c r="HTL29" s="19"/>
      <c r="HTM29" s="19"/>
      <c r="HTN29" s="19"/>
      <c r="HTO29" s="19"/>
      <c r="HTP29" s="19"/>
      <c r="HTQ29" s="19"/>
      <c r="HTR29" s="19"/>
      <c r="HTS29" s="19"/>
      <c r="HTT29" s="19"/>
      <c r="HTU29" s="19"/>
      <c r="HTV29" s="19"/>
      <c r="HTW29" s="19"/>
      <c r="HTX29" s="19"/>
      <c r="HTY29" s="19"/>
      <c r="HTZ29" s="19"/>
      <c r="HUA29" s="19"/>
      <c r="HUB29" s="19"/>
      <c r="HUC29" s="19"/>
      <c r="HUD29" s="19"/>
      <c r="HUE29" s="19"/>
      <c r="HUF29" s="19"/>
      <c r="HUG29" s="19"/>
      <c r="HUH29" s="19"/>
      <c r="HUI29" s="19"/>
      <c r="HUJ29" s="19"/>
      <c r="HUK29" s="19"/>
      <c r="HUL29" s="19"/>
      <c r="HUM29" s="19"/>
      <c r="HUN29" s="19"/>
      <c r="HUO29" s="19"/>
      <c r="HUP29" s="19"/>
      <c r="HUQ29" s="19"/>
      <c r="HUR29" s="19"/>
      <c r="HUS29" s="19"/>
      <c r="HUT29" s="19"/>
      <c r="HUU29" s="19"/>
      <c r="HUV29" s="19"/>
      <c r="HUW29" s="19"/>
      <c r="HUX29" s="19"/>
      <c r="HUY29" s="19"/>
      <c r="HUZ29" s="19"/>
      <c r="HVA29" s="19"/>
      <c r="HVB29" s="19"/>
      <c r="HVC29" s="19"/>
      <c r="HVD29" s="19"/>
      <c r="HVE29" s="19"/>
      <c r="HVF29" s="19"/>
      <c r="HVG29" s="19"/>
      <c r="HVH29" s="19"/>
      <c r="HVI29" s="19"/>
      <c r="HVJ29" s="19"/>
      <c r="HVK29" s="19"/>
      <c r="HVL29" s="19"/>
      <c r="HVM29" s="19"/>
      <c r="HVN29" s="19"/>
      <c r="HVO29" s="19"/>
      <c r="HVP29" s="19"/>
      <c r="HVQ29" s="19"/>
      <c r="HVR29" s="19"/>
      <c r="HVS29" s="19"/>
      <c r="HVT29" s="19"/>
      <c r="HVU29" s="19"/>
      <c r="HVV29" s="19"/>
      <c r="HVW29" s="19"/>
      <c r="HVX29" s="19"/>
      <c r="HVY29" s="19"/>
      <c r="HVZ29" s="19"/>
      <c r="HWA29" s="19"/>
      <c r="HWB29" s="19"/>
      <c r="HWC29" s="19"/>
      <c r="HWD29" s="19"/>
      <c r="HWE29" s="19"/>
      <c r="HWF29" s="19"/>
      <c r="HWG29" s="19"/>
      <c r="HWH29" s="19"/>
      <c r="HWI29" s="19"/>
      <c r="HWJ29" s="19"/>
      <c r="HWK29" s="19"/>
      <c r="HWL29" s="19"/>
      <c r="HWM29" s="19"/>
      <c r="HWN29" s="19"/>
      <c r="HWO29" s="19"/>
      <c r="HWP29" s="19"/>
      <c r="HWQ29" s="19"/>
      <c r="HWR29" s="19"/>
      <c r="HWS29" s="19"/>
      <c r="HWT29" s="19"/>
      <c r="HWU29" s="19"/>
      <c r="HWV29" s="19"/>
      <c r="HWW29" s="19"/>
      <c r="HWX29" s="19"/>
      <c r="HWY29" s="19"/>
      <c r="HWZ29" s="19"/>
      <c r="HXA29" s="19"/>
      <c r="HXB29" s="19"/>
      <c r="HXC29" s="19"/>
      <c r="HXD29" s="19"/>
      <c r="HXE29" s="19"/>
      <c r="HXF29" s="19"/>
      <c r="HXG29" s="19"/>
      <c r="HXH29" s="19"/>
      <c r="HXI29" s="19"/>
      <c r="HXJ29" s="19"/>
      <c r="HXK29" s="19"/>
      <c r="HXL29" s="19"/>
      <c r="HXM29" s="19"/>
      <c r="HXN29" s="19"/>
      <c r="HXO29" s="19"/>
      <c r="HXP29" s="19"/>
      <c r="HXQ29" s="19"/>
      <c r="HXR29" s="19"/>
      <c r="HXS29" s="19"/>
      <c r="HXT29" s="19"/>
      <c r="HXU29" s="19"/>
      <c r="HXV29" s="19"/>
      <c r="HXW29" s="19"/>
      <c r="HXX29" s="19"/>
      <c r="HXY29" s="19"/>
      <c r="HXZ29" s="19"/>
      <c r="HYA29" s="19"/>
      <c r="HYB29" s="19"/>
      <c r="HYC29" s="19"/>
      <c r="HYD29" s="19"/>
      <c r="HYE29" s="19"/>
      <c r="HYF29" s="19"/>
      <c r="HYG29" s="19"/>
      <c r="HYH29" s="19"/>
      <c r="HYI29" s="19"/>
      <c r="HYJ29" s="19"/>
      <c r="HYK29" s="19"/>
      <c r="HYL29" s="19"/>
      <c r="HYM29" s="19"/>
      <c r="HYN29" s="19"/>
      <c r="HYO29" s="19"/>
      <c r="HYP29" s="19"/>
      <c r="HYQ29" s="19"/>
      <c r="HYR29" s="19"/>
      <c r="HYS29" s="19"/>
      <c r="HYT29" s="19"/>
      <c r="HYU29" s="19"/>
      <c r="HYV29" s="19"/>
      <c r="HYW29" s="19"/>
      <c r="HYX29" s="19"/>
      <c r="HYY29" s="19"/>
      <c r="HYZ29" s="19"/>
      <c r="HZA29" s="19"/>
      <c r="HZB29" s="19"/>
      <c r="HZC29" s="19"/>
      <c r="HZD29" s="19"/>
      <c r="HZE29" s="19"/>
      <c r="HZF29" s="19"/>
      <c r="HZG29" s="19"/>
      <c r="HZH29" s="19"/>
      <c r="HZI29" s="19"/>
      <c r="HZJ29" s="19"/>
      <c r="HZK29" s="19"/>
      <c r="HZL29" s="19"/>
      <c r="HZM29" s="19"/>
      <c r="HZN29" s="19"/>
      <c r="HZO29" s="19"/>
      <c r="HZP29" s="19"/>
      <c r="HZQ29" s="19"/>
      <c r="HZR29" s="19"/>
      <c r="HZS29" s="19"/>
      <c r="HZT29" s="19"/>
      <c r="HZU29" s="19"/>
      <c r="HZV29" s="19"/>
      <c r="HZW29" s="19"/>
      <c r="HZX29" s="19"/>
      <c r="HZY29" s="19"/>
      <c r="HZZ29" s="19"/>
      <c r="IAA29" s="19"/>
      <c r="IAB29" s="19"/>
      <c r="IAC29" s="19"/>
      <c r="IAD29" s="19"/>
      <c r="IAE29" s="19"/>
      <c r="IAF29" s="19"/>
      <c r="IAG29" s="19"/>
      <c r="IAH29" s="19"/>
      <c r="IAI29" s="19"/>
      <c r="IAJ29" s="19"/>
      <c r="IAK29" s="19"/>
      <c r="IAL29" s="19"/>
      <c r="IAM29" s="19"/>
      <c r="IAN29" s="19"/>
      <c r="IAO29" s="19"/>
      <c r="IAP29" s="19"/>
      <c r="IAQ29" s="19"/>
      <c r="IAR29" s="19"/>
      <c r="IAS29" s="19"/>
      <c r="IAT29" s="19"/>
      <c r="IAU29" s="19"/>
      <c r="IAV29" s="19"/>
      <c r="IAW29" s="19"/>
      <c r="IAX29" s="19"/>
      <c r="IAY29" s="19"/>
      <c r="IAZ29" s="19"/>
      <c r="IBA29" s="19"/>
      <c r="IBB29" s="19"/>
      <c r="IBC29" s="19"/>
      <c r="IBD29" s="19"/>
      <c r="IBE29" s="19"/>
      <c r="IBF29" s="19"/>
      <c r="IBG29" s="19"/>
      <c r="IBH29" s="19"/>
      <c r="IBI29" s="19"/>
      <c r="IBJ29" s="19"/>
      <c r="IBK29" s="19"/>
      <c r="IBL29" s="19"/>
      <c r="IBM29" s="19"/>
      <c r="IBN29" s="19"/>
      <c r="IBO29" s="19"/>
      <c r="IBP29" s="19"/>
      <c r="IBQ29" s="19"/>
      <c r="IBR29" s="19"/>
      <c r="IBS29" s="19"/>
      <c r="IBT29" s="19"/>
      <c r="IBU29" s="19"/>
      <c r="IBV29" s="19"/>
      <c r="IBW29" s="19"/>
      <c r="IBX29" s="19"/>
      <c r="IBY29" s="19"/>
      <c r="IBZ29" s="19"/>
      <c r="ICA29" s="19"/>
      <c r="ICB29" s="19"/>
      <c r="ICC29" s="19"/>
      <c r="ICD29" s="19"/>
      <c r="ICE29" s="19"/>
      <c r="ICF29" s="19"/>
      <c r="ICG29" s="19"/>
      <c r="ICH29" s="19"/>
      <c r="ICI29" s="19"/>
      <c r="ICJ29" s="19"/>
      <c r="ICK29" s="19"/>
      <c r="ICL29" s="19"/>
      <c r="ICM29" s="19"/>
      <c r="ICN29" s="19"/>
      <c r="ICO29" s="19"/>
      <c r="ICP29" s="19"/>
      <c r="ICQ29" s="19"/>
      <c r="ICR29" s="19"/>
      <c r="ICS29" s="19"/>
      <c r="ICT29" s="19"/>
      <c r="ICU29" s="19"/>
      <c r="ICV29" s="19"/>
      <c r="ICW29" s="19"/>
      <c r="ICX29" s="19"/>
      <c r="ICY29" s="19"/>
      <c r="ICZ29" s="19"/>
      <c r="IDA29" s="19"/>
      <c r="IDB29" s="19"/>
      <c r="IDC29" s="19"/>
      <c r="IDD29" s="19"/>
      <c r="IDE29" s="19"/>
      <c r="IDF29" s="19"/>
      <c r="IDG29" s="19"/>
      <c r="IDH29" s="19"/>
      <c r="IDI29" s="19"/>
      <c r="IDJ29" s="19"/>
      <c r="IDK29" s="19"/>
      <c r="IDL29" s="19"/>
      <c r="IDM29" s="19"/>
      <c r="IDN29" s="19"/>
      <c r="IDO29" s="19"/>
      <c r="IDP29" s="19"/>
      <c r="IDQ29" s="19"/>
      <c r="IDR29" s="19"/>
      <c r="IDS29" s="19"/>
      <c r="IDT29" s="19"/>
      <c r="IDU29" s="19"/>
      <c r="IDV29" s="19"/>
      <c r="IDW29" s="19"/>
      <c r="IDX29" s="19"/>
      <c r="IDY29" s="19"/>
      <c r="IDZ29" s="19"/>
      <c r="IEA29" s="19"/>
      <c r="IEB29" s="19"/>
      <c r="IEC29" s="19"/>
      <c r="IED29" s="19"/>
      <c r="IEE29" s="19"/>
      <c r="IEF29" s="19"/>
      <c r="IEG29" s="19"/>
      <c r="IEH29" s="19"/>
      <c r="IEI29" s="19"/>
      <c r="IEJ29" s="19"/>
      <c r="IEK29" s="19"/>
      <c r="IEL29" s="19"/>
      <c r="IEM29" s="19"/>
      <c r="IEN29" s="19"/>
      <c r="IEO29" s="19"/>
      <c r="IEP29" s="19"/>
      <c r="IEQ29" s="19"/>
      <c r="IER29" s="19"/>
      <c r="IES29" s="19"/>
      <c r="IET29" s="19"/>
      <c r="IEU29" s="19"/>
      <c r="IEV29" s="19"/>
      <c r="IEW29" s="19"/>
      <c r="IEX29" s="19"/>
      <c r="IEY29" s="19"/>
      <c r="IEZ29" s="19"/>
      <c r="IFA29" s="19"/>
      <c r="IFB29" s="19"/>
      <c r="IFC29" s="19"/>
      <c r="IFD29" s="19"/>
      <c r="IFE29" s="19"/>
      <c r="IFF29" s="19"/>
      <c r="IFG29" s="19"/>
      <c r="IFH29" s="19"/>
      <c r="IFI29" s="19"/>
      <c r="IFJ29" s="19"/>
      <c r="IFK29" s="19"/>
      <c r="IFL29" s="19"/>
      <c r="IFM29" s="19"/>
      <c r="IFN29" s="19"/>
      <c r="IFO29" s="19"/>
      <c r="IFP29" s="19"/>
      <c r="IFQ29" s="19"/>
      <c r="IFR29" s="19"/>
      <c r="IFS29" s="19"/>
      <c r="IFT29" s="19"/>
      <c r="IFU29" s="19"/>
      <c r="IFV29" s="19"/>
      <c r="IFW29" s="19"/>
      <c r="IFX29" s="19"/>
      <c r="IFY29" s="19"/>
      <c r="IFZ29" s="19"/>
      <c r="IGA29" s="19"/>
      <c r="IGB29" s="19"/>
      <c r="IGC29" s="19"/>
      <c r="IGD29" s="19"/>
      <c r="IGE29" s="19"/>
      <c r="IGF29" s="19"/>
      <c r="IGG29" s="19"/>
      <c r="IGH29" s="19"/>
      <c r="IGI29" s="19"/>
      <c r="IGJ29" s="19"/>
      <c r="IGK29" s="19"/>
      <c r="IGL29" s="19"/>
      <c r="IGM29" s="19"/>
      <c r="IGN29" s="19"/>
      <c r="IGO29" s="19"/>
      <c r="IGP29" s="19"/>
      <c r="IGQ29" s="19"/>
      <c r="IGR29" s="19"/>
      <c r="IGS29" s="19"/>
      <c r="IGT29" s="19"/>
      <c r="IGU29" s="19"/>
      <c r="IGV29" s="19"/>
      <c r="IGW29" s="19"/>
      <c r="IGX29" s="19"/>
      <c r="IGY29" s="19"/>
      <c r="IGZ29" s="19"/>
      <c r="IHA29" s="19"/>
      <c r="IHB29" s="19"/>
      <c r="IHC29" s="19"/>
      <c r="IHD29" s="19"/>
      <c r="IHE29" s="19"/>
      <c r="IHF29" s="19"/>
      <c r="IHG29" s="19"/>
      <c r="IHH29" s="19"/>
      <c r="IHI29" s="19"/>
      <c r="IHJ29" s="19"/>
      <c r="IHK29" s="19"/>
      <c r="IHL29" s="19"/>
      <c r="IHM29" s="19"/>
      <c r="IHN29" s="19"/>
      <c r="IHO29" s="19"/>
      <c r="IHP29" s="19"/>
      <c r="IHQ29" s="19"/>
      <c r="IHR29" s="19"/>
      <c r="IHS29" s="19"/>
      <c r="IHT29" s="19"/>
      <c r="IHU29" s="19"/>
      <c r="IHV29" s="19"/>
      <c r="IHW29" s="19"/>
      <c r="IHX29" s="19"/>
      <c r="IHY29" s="19"/>
      <c r="IHZ29" s="19"/>
      <c r="IIA29" s="19"/>
      <c r="IIB29" s="19"/>
      <c r="IIC29" s="19"/>
      <c r="IID29" s="19"/>
      <c r="IIE29" s="19"/>
      <c r="IIF29" s="19"/>
      <c r="IIG29" s="19"/>
      <c r="IIH29" s="19"/>
      <c r="III29" s="19"/>
      <c r="IIJ29" s="19"/>
      <c r="IIK29" s="19"/>
      <c r="IIL29" s="19"/>
      <c r="IIM29" s="19"/>
      <c r="IIN29" s="19"/>
      <c r="IIO29" s="19"/>
      <c r="IIP29" s="19"/>
      <c r="IIQ29" s="19"/>
      <c r="IIR29" s="19"/>
      <c r="IIS29" s="19"/>
      <c r="IIT29" s="19"/>
      <c r="IIU29" s="19"/>
      <c r="IIV29" s="19"/>
      <c r="IIW29" s="19"/>
      <c r="IIX29" s="19"/>
      <c r="IIY29" s="19"/>
      <c r="IIZ29" s="19"/>
      <c r="IJA29" s="19"/>
      <c r="IJB29" s="19"/>
      <c r="IJC29" s="19"/>
      <c r="IJD29" s="19"/>
      <c r="IJE29" s="19"/>
      <c r="IJF29" s="19"/>
      <c r="IJG29" s="19"/>
      <c r="IJH29" s="19"/>
      <c r="IJI29" s="19"/>
      <c r="IJJ29" s="19"/>
      <c r="IJK29" s="19"/>
      <c r="IJL29" s="19"/>
      <c r="IJM29" s="19"/>
      <c r="IJN29" s="19"/>
      <c r="IJO29" s="19"/>
      <c r="IJP29" s="19"/>
      <c r="IJQ29" s="19"/>
      <c r="IJR29" s="19"/>
      <c r="IJS29" s="19"/>
      <c r="IJT29" s="19"/>
      <c r="IJU29" s="19"/>
      <c r="IJV29" s="19"/>
      <c r="IJW29" s="19"/>
      <c r="IJX29" s="19"/>
      <c r="IJY29" s="19"/>
      <c r="IJZ29" s="19"/>
      <c r="IKA29" s="19"/>
      <c r="IKB29" s="19"/>
      <c r="IKC29" s="19"/>
      <c r="IKD29" s="19"/>
      <c r="IKE29" s="19"/>
      <c r="IKF29" s="19"/>
      <c r="IKG29" s="19"/>
      <c r="IKH29" s="19"/>
      <c r="IKI29" s="19"/>
      <c r="IKJ29" s="19"/>
      <c r="IKK29" s="19"/>
      <c r="IKL29" s="19"/>
      <c r="IKM29" s="19"/>
      <c r="IKN29" s="19"/>
      <c r="IKO29" s="19"/>
      <c r="IKP29" s="19"/>
      <c r="IKQ29" s="19"/>
      <c r="IKR29" s="19"/>
      <c r="IKS29" s="19"/>
      <c r="IKT29" s="19"/>
      <c r="IKU29" s="19"/>
      <c r="IKV29" s="19"/>
      <c r="IKW29" s="19"/>
      <c r="IKX29" s="19"/>
      <c r="IKY29" s="19"/>
      <c r="IKZ29" s="19"/>
      <c r="ILA29" s="19"/>
      <c r="ILB29" s="19"/>
      <c r="ILC29" s="19"/>
      <c r="ILD29" s="19"/>
      <c r="ILE29" s="19"/>
      <c r="ILF29" s="19"/>
      <c r="ILG29" s="19"/>
      <c r="ILH29" s="19"/>
      <c r="ILI29" s="19"/>
      <c r="ILJ29" s="19"/>
      <c r="ILK29" s="19"/>
      <c r="ILL29" s="19"/>
      <c r="ILM29" s="19"/>
      <c r="ILN29" s="19"/>
      <c r="ILO29" s="19"/>
      <c r="ILP29" s="19"/>
      <c r="ILQ29" s="19"/>
      <c r="ILR29" s="19"/>
      <c r="ILS29" s="19"/>
      <c r="ILT29" s="19"/>
      <c r="ILU29" s="19"/>
      <c r="ILV29" s="19"/>
      <c r="ILW29" s="19"/>
      <c r="ILX29" s="19"/>
      <c r="ILY29" s="19"/>
      <c r="ILZ29" s="19"/>
      <c r="IMA29" s="19"/>
      <c r="IMB29" s="19"/>
      <c r="IMC29" s="19"/>
      <c r="IMD29" s="19"/>
      <c r="IME29" s="19"/>
      <c r="IMF29" s="19"/>
      <c r="IMG29" s="19"/>
      <c r="IMH29" s="19"/>
      <c r="IMI29" s="19"/>
      <c r="IMJ29" s="19"/>
      <c r="IMK29" s="19"/>
      <c r="IML29" s="19"/>
      <c r="IMM29" s="19"/>
      <c r="IMN29" s="19"/>
      <c r="IMO29" s="19"/>
      <c r="IMP29" s="19"/>
      <c r="IMQ29" s="19"/>
      <c r="IMR29" s="19"/>
      <c r="IMS29" s="19"/>
      <c r="IMT29" s="19"/>
      <c r="IMU29" s="19"/>
      <c r="IMV29" s="19"/>
      <c r="IMW29" s="19"/>
      <c r="IMX29" s="19"/>
      <c r="IMY29" s="19"/>
      <c r="IMZ29" s="19"/>
      <c r="INA29" s="19"/>
      <c r="INB29" s="19"/>
      <c r="INC29" s="19"/>
      <c r="IND29" s="19"/>
      <c r="INE29" s="19"/>
      <c r="INF29" s="19"/>
      <c r="ING29" s="19"/>
      <c r="INH29" s="19"/>
      <c r="INI29" s="19"/>
      <c r="INJ29" s="19"/>
      <c r="INK29" s="19"/>
      <c r="INL29" s="19"/>
      <c r="INM29" s="19"/>
      <c r="INN29" s="19"/>
      <c r="INO29" s="19"/>
      <c r="INP29" s="19"/>
      <c r="INQ29" s="19"/>
      <c r="INR29" s="19"/>
      <c r="INS29" s="19"/>
      <c r="INT29" s="19"/>
      <c r="INU29" s="19"/>
      <c r="INV29" s="19"/>
      <c r="INW29" s="19"/>
      <c r="INX29" s="19"/>
      <c r="INY29" s="19"/>
      <c r="INZ29" s="19"/>
      <c r="IOA29" s="19"/>
      <c r="IOB29" s="19"/>
      <c r="IOC29" s="19"/>
      <c r="IOD29" s="19"/>
      <c r="IOE29" s="19"/>
      <c r="IOF29" s="19"/>
      <c r="IOG29" s="19"/>
      <c r="IOH29" s="19"/>
      <c r="IOI29" s="19"/>
      <c r="IOJ29" s="19"/>
      <c r="IOK29" s="19"/>
      <c r="IOL29" s="19"/>
      <c r="IOM29" s="19"/>
      <c r="ION29" s="19"/>
      <c r="IOO29" s="19"/>
      <c r="IOP29" s="19"/>
      <c r="IOQ29" s="19"/>
      <c r="IOR29" s="19"/>
      <c r="IOS29" s="19"/>
      <c r="IOT29" s="19"/>
      <c r="IOU29" s="19"/>
      <c r="IOV29" s="19"/>
      <c r="IOW29" s="19"/>
      <c r="IOX29" s="19"/>
      <c r="IOY29" s="19"/>
      <c r="IOZ29" s="19"/>
      <c r="IPA29" s="19"/>
      <c r="IPB29" s="19"/>
      <c r="IPC29" s="19"/>
      <c r="IPD29" s="19"/>
      <c r="IPE29" s="19"/>
      <c r="IPF29" s="19"/>
      <c r="IPG29" s="19"/>
      <c r="IPH29" s="19"/>
      <c r="IPI29" s="19"/>
      <c r="IPJ29" s="19"/>
      <c r="IPK29" s="19"/>
      <c r="IPL29" s="19"/>
      <c r="IPM29" s="19"/>
      <c r="IPN29" s="19"/>
      <c r="IPO29" s="19"/>
      <c r="IPP29" s="19"/>
      <c r="IPQ29" s="19"/>
      <c r="IPR29" s="19"/>
      <c r="IPS29" s="19"/>
      <c r="IPT29" s="19"/>
      <c r="IPU29" s="19"/>
      <c r="IPV29" s="19"/>
      <c r="IPW29" s="19"/>
      <c r="IPX29" s="19"/>
      <c r="IPY29" s="19"/>
      <c r="IPZ29" s="19"/>
      <c r="IQA29" s="19"/>
      <c r="IQB29" s="19"/>
      <c r="IQC29" s="19"/>
      <c r="IQD29" s="19"/>
      <c r="IQE29" s="19"/>
      <c r="IQF29" s="19"/>
      <c r="IQG29" s="19"/>
      <c r="IQH29" s="19"/>
      <c r="IQI29" s="19"/>
      <c r="IQJ29" s="19"/>
      <c r="IQK29" s="19"/>
      <c r="IQL29" s="19"/>
      <c r="IQM29" s="19"/>
      <c r="IQN29" s="19"/>
      <c r="IQO29" s="19"/>
      <c r="IQP29" s="19"/>
      <c r="IQQ29" s="19"/>
      <c r="IQR29" s="19"/>
      <c r="IQS29" s="19"/>
      <c r="IQT29" s="19"/>
      <c r="IQU29" s="19"/>
      <c r="IQV29" s="19"/>
      <c r="IQW29" s="19"/>
      <c r="IQX29" s="19"/>
      <c r="IQY29" s="19"/>
      <c r="IQZ29" s="19"/>
      <c r="IRA29" s="19"/>
      <c r="IRB29" s="19"/>
      <c r="IRC29" s="19"/>
      <c r="IRD29" s="19"/>
      <c r="IRE29" s="19"/>
      <c r="IRF29" s="19"/>
      <c r="IRG29" s="19"/>
      <c r="IRH29" s="19"/>
      <c r="IRI29" s="19"/>
      <c r="IRJ29" s="19"/>
      <c r="IRK29" s="19"/>
      <c r="IRL29" s="19"/>
      <c r="IRM29" s="19"/>
      <c r="IRN29" s="19"/>
      <c r="IRO29" s="19"/>
      <c r="IRP29" s="19"/>
      <c r="IRQ29" s="19"/>
      <c r="IRR29" s="19"/>
      <c r="IRS29" s="19"/>
      <c r="IRT29" s="19"/>
      <c r="IRU29" s="19"/>
      <c r="IRV29" s="19"/>
      <c r="IRW29" s="19"/>
      <c r="IRX29" s="19"/>
      <c r="IRY29" s="19"/>
      <c r="IRZ29" s="19"/>
      <c r="ISA29" s="19"/>
      <c r="ISB29" s="19"/>
      <c r="ISC29" s="19"/>
      <c r="ISD29" s="19"/>
      <c r="ISE29" s="19"/>
      <c r="ISF29" s="19"/>
      <c r="ISG29" s="19"/>
      <c r="ISH29" s="19"/>
      <c r="ISI29" s="19"/>
      <c r="ISJ29" s="19"/>
      <c r="ISK29" s="19"/>
      <c r="ISL29" s="19"/>
      <c r="ISM29" s="19"/>
      <c r="ISN29" s="19"/>
      <c r="ISO29" s="19"/>
      <c r="ISP29" s="19"/>
      <c r="ISQ29" s="19"/>
      <c r="ISR29" s="19"/>
      <c r="ISS29" s="19"/>
      <c r="IST29" s="19"/>
      <c r="ISU29" s="19"/>
      <c r="ISV29" s="19"/>
      <c r="ISW29" s="19"/>
      <c r="ISX29" s="19"/>
      <c r="ISY29" s="19"/>
      <c r="ISZ29" s="19"/>
      <c r="ITA29" s="19"/>
      <c r="ITB29" s="19"/>
      <c r="ITC29" s="19"/>
      <c r="ITD29" s="19"/>
      <c r="ITE29" s="19"/>
      <c r="ITF29" s="19"/>
      <c r="ITG29" s="19"/>
      <c r="ITH29" s="19"/>
      <c r="ITI29" s="19"/>
      <c r="ITJ29" s="19"/>
      <c r="ITK29" s="19"/>
      <c r="ITL29" s="19"/>
      <c r="ITM29" s="19"/>
      <c r="ITN29" s="19"/>
      <c r="ITO29" s="19"/>
      <c r="ITP29" s="19"/>
      <c r="ITQ29" s="19"/>
      <c r="ITR29" s="19"/>
      <c r="ITS29" s="19"/>
      <c r="ITT29" s="19"/>
      <c r="ITU29" s="19"/>
      <c r="ITV29" s="19"/>
      <c r="ITW29" s="19"/>
      <c r="ITX29" s="19"/>
      <c r="ITY29" s="19"/>
      <c r="ITZ29" s="19"/>
      <c r="IUA29" s="19"/>
      <c r="IUB29" s="19"/>
      <c r="IUC29" s="19"/>
      <c r="IUD29" s="19"/>
      <c r="IUE29" s="19"/>
      <c r="IUF29" s="19"/>
      <c r="IUG29" s="19"/>
      <c r="IUH29" s="19"/>
      <c r="IUI29" s="19"/>
      <c r="IUJ29" s="19"/>
      <c r="IUK29" s="19"/>
      <c r="IUL29" s="19"/>
      <c r="IUM29" s="19"/>
      <c r="IUN29" s="19"/>
      <c r="IUO29" s="19"/>
      <c r="IUP29" s="19"/>
      <c r="IUQ29" s="19"/>
      <c r="IUR29" s="19"/>
      <c r="IUS29" s="19"/>
      <c r="IUT29" s="19"/>
      <c r="IUU29" s="19"/>
      <c r="IUV29" s="19"/>
      <c r="IUW29" s="19"/>
      <c r="IUX29" s="19"/>
      <c r="IUY29" s="19"/>
      <c r="IUZ29" s="19"/>
      <c r="IVA29" s="19"/>
      <c r="IVB29" s="19"/>
      <c r="IVC29" s="19"/>
      <c r="IVD29" s="19"/>
      <c r="IVE29" s="19"/>
      <c r="IVF29" s="19"/>
      <c r="IVG29" s="19"/>
      <c r="IVH29" s="19"/>
      <c r="IVI29" s="19"/>
      <c r="IVJ29" s="19"/>
      <c r="IVK29" s="19"/>
      <c r="IVL29" s="19"/>
      <c r="IVM29" s="19"/>
      <c r="IVN29" s="19"/>
      <c r="IVO29" s="19"/>
      <c r="IVP29" s="19"/>
      <c r="IVQ29" s="19"/>
      <c r="IVR29" s="19"/>
      <c r="IVS29" s="19"/>
      <c r="IVT29" s="19"/>
      <c r="IVU29" s="19"/>
      <c r="IVV29" s="19"/>
      <c r="IVW29" s="19"/>
      <c r="IVX29" s="19"/>
      <c r="IVY29" s="19"/>
      <c r="IVZ29" s="19"/>
      <c r="IWA29" s="19"/>
      <c r="IWB29" s="19"/>
      <c r="IWC29" s="19"/>
      <c r="IWD29" s="19"/>
      <c r="IWE29" s="19"/>
      <c r="IWF29" s="19"/>
      <c r="IWG29" s="19"/>
      <c r="IWH29" s="19"/>
      <c r="IWI29" s="19"/>
      <c r="IWJ29" s="19"/>
      <c r="IWK29" s="19"/>
      <c r="IWL29" s="19"/>
      <c r="IWM29" s="19"/>
      <c r="IWN29" s="19"/>
      <c r="IWO29" s="19"/>
      <c r="IWP29" s="19"/>
      <c r="IWQ29" s="19"/>
      <c r="IWR29" s="19"/>
      <c r="IWS29" s="19"/>
      <c r="IWT29" s="19"/>
      <c r="IWU29" s="19"/>
      <c r="IWV29" s="19"/>
      <c r="IWW29" s="19"/>
      <c r="IWX29" s="19"/>
      <c r="IWY29" s="19"/>
      <c r="IWZ29" s="19"/>
      <c r="IXA29" s="19"/>
      <c r="IXB29" s="19"/>
      <c r="IXC29" s="19"/>
      <c r="IXD29" s="19"/>
      <c r="IXE29" s="19"/>
      <c r="IXF29" s="19"/>
      <c r="IXG29" s="19"/>
      <c r="IXH29" s="19"/>
      <c r="IXI29" s="19"/>
      <c r="IXJ29" s="19"/>
      <c r="IXK29" s="19"/>
      <c r="IXL29" s="19"/>
      <c r="IXM29" s="19"/>
      <c r="IXN29" s="19"/>
      <c r="IXO29" s="19"/>
      <c r="IXP29" s="19"/>
      <c r="IXQ29" s="19"/>
      <c r="IXR29" s="19"/>
      <c r="IXS29" s="19"/>
      <c r="IXT29" s="19"/>
      <c r="IXU29" s="19"/>
      <c r="IXV29" s="19"/>
      <c r="IXW29" s="19"/>
      <c r="IXX29" s="19"/>
      <c r="IXY29" s="19"/>
      <c r="IXZ29" s="19"/>
      <c r="IYA29" s="19"/>
      <c r="IYB29" s="19"/>
      <c r="IYC29" s="19"/>
      <c r="IYD29" s="19"/>
      <c r="IYE29" s="19"/>
      <c r="IYF29" s="19"/>
      <c r="IYG29" s="19"/>
      <c r="IYH29" s="19"/>
      <c r="IYI29" s="19"/>
      <c r="IYJ29" s="19"/>
      <c r="IYK29" s="19"/>
      <c r="IYL29" s="19"/>
      <c r="IYM29" s="19"/>
      <c r="IYN29" s="19"/>
      <c r="IYO29" s="19"/>
      <c r="IYP29" s="19"/>
      <c r="IYQ29" s="19"/>
      <c r="IYR29" s="19"/>
      <c r="IYS29" s="19"/>
      <c r="IYT29" s="19"/>
      <c r="IYU29" s="19"/>
      <c r="IYV29" s="19"/>
      <c r="IYW29" s="19"/>
      <c r="IYX29" s="19"/>
      <c r="IYY29" s="19"/>
      <c r="IYZ29" s="19"/>
      <c r="IZA29" s="19"/>
      <c r="IZB29" s="19"/>
      <c r="IZC29" s="19"/>
      <c r="IZD29" s="19"/>
      <c r="IZE29" s="19"/>
      <c r="IZF29" s="19"/>
      <c r="IZG29" s="19"/>
      <c r="IZH29" s="19"/>
      <c r="IZI29" s="19"/>
      <c r="IZJ29" s="19"/>
      <c r="IZK29" s="19"/>
      <c r="IZL29" s="19"/>
      <c r="IZM29" s="19"/>
      <c r="IZN29" s="19"/>
      <c r="IZO29" s="19"/>
      <c r="IZP29" s="19"/>
      <c r="IZQ29" s="19"/>
      <c r="IZR29" s="19"/>
      <c r="IZS29" s="19"/>
      <c r="IZT29" s="19"/>
      <c r="IZU29" s="19"/>
      <c r="IZV29" s="19"/>
      <c r="IZW29" s="19"/>
      <c r="IZX29" s="19"/>
      <c r="IZY29" s="19"/>
      <c r="IZZ29" s="19"/>
      <c r="JAA29" s="19"/>
      <c r="JAB29" s="19"/>
      <c r="JAC29" s="19"/>
      <c r="JAD29" s="19"/>
      <c r="JAE29" s="19"/>
      <c r="JAF29" s="19"/>
      <c r="JAG29" s="19"/>
      <c r="JAH29" s="19"/>
      <c r="JAI29" s="19"/>
      <c r="JAJ29" s="19"/>
      <c r="JAK29" s="19"/>
      <c r="JAL29" s="19"/>
      <c r="JAM29" s="19"/>
      <c r="JAN29" s="19"/>
      <c r="JAO29" s="19"/>
      <c r="JAP29" s="19"/>
      <c r="JAQ29" s="19"/>
      <c r="JAR29" s="19"/>
      <c r="JAS29" s="19"/>
      <c r="JAT29" s="19"/>
      <c r="JAU29" s="19"/>
      <c r="JAV29" s="19"/>
      <c r="JAW29" s="19"/>
      <c r="JAX29" s="19"/>
      <c r="JAY29" s="19"/>
      <c r="JAZ29" s="19"/>
      <c r="JBA29" s="19"/>
      <c r="JBB29" s="19"/>
      <c r="JBC29" s="19"/>
      <c r="JBD29" s="19"/>
      <c r="JBE29" s="19"/>
      <c r="JBF29" s="19"/>
      <c r="JBG29" s="19"/>
      <c r="JBH29" s="19"/>
      <c r="JBI29" s="19"/>
      <c r="JBJ29" s="19"/>
      <c r="JBK29" s="19"/>
      <c r="JBL29" s="19"/>
      <c r="JBM29" s="19"/>
      <c r="JBN29" s="19"/>
      <c r="JBO29" s="19"/>
      <c r="JBP29" s="19"/>
      <c r="JBQ29" s="19"/>
      <c r="JBR29" s="19"/>
      <c r="JBS29" s="19"/>
      <c r="JBT29" s="19"/>
      <c r="JBU29" s="19"/>
      <c r="JBV29" s="19"/>
      <c r="JBW29" s="19"/>
      <c r="JBX29" s="19"/>
      <c r="JBY29" s="19"/>
      <c r="JBZ29" s="19"/>
      <c r="JCA29" s="19"/>
      <c r="JCB29" s="19"/>
      <c r="JCC29" s="19"/>
      <c r="JCD29" s="19"/>
      <c r="JCE29" s="19"/>
      <c r="JCF29" s="19"/>
      <c r="JCG29" s="19"/>
      <c r="JCH29" s="19"/>
      <c r="JCI29" s="19"/>
      <c r="JCJ29" s="19"/>
      <c r="JCK29" s="19"/>
      <c r="JCL29" s="19"/>
      <c r="JCM29" s="19"/>
      <c r="JCN29" s="19"/>
      <c r="JCO29" s="19"/>
      <c r="JCP29" s="19"/>
      <c r="JCQ29" s="19"/>
      <c r="JCR29" s="19"/>
      <c r="JCS29" s="19"/>
      <c r="JCT29" s="19"/>
      <c r="JCU29" s="19"/>
      <c r="JCV29" s="19"/>
      <c r="JCW29" s="19"/>
      <c r="JCX29" s="19"/>
      <c r="JCY29" s="19"/>
      <c r="JCZ29" s="19"/>
      <c r="JDA29" s="19"/>
      <c r="JDB29" s="19"/>
      <c r="JDC29" s="19"/>
      <c r="JDD29" s="19"/>
      <c r="JDE29" s="19"/>
      <c r="JDF29" s="19"/>
      <c r="JDG29" s="19"/>
      <c r="JDH29" s="19"/>
      <c r="JDI29" s="19"/>
      <c r="JDJ29" s="19"/>
      <c r="JDK29" s="19"/>
      <c r="JDL29" s="19"/>
      <c r="JDM29" s="19"/>
      <c r="JDN29" s="19"/>
      <c r="JDO29" s="19"/>
      <c r="JDP29" s="19"/>
      <c r="JDQ29" s="19"/>
      <c r="JDR29" s="19"/>
      <c r="JDS29" s="19"/>
      <c r="JDT29" s="19"/>
      <c r="JDU29" s="19"/>
      <c r="JDV29" s="19"/>
      <c r="JDW29" s="19"/>
      <c r="JDX29" s="19"/>
      <c r="JDY29" s="19"/>
      <c r="JDZ29" s="19"/>
      <c r="JEA29" s="19"/>
      <c r="JEB29" s="19"/>
      <c r="JEC29" s="19"/>
      <c r="JED29" s="19"/>
      <c r="JEE29" s="19"/>
      <c r="JEF29" s="19"/>
      <c r="JEG29" s="19"/>
      <c r="JEH29" s="19"/>
      <c r="JEI29" s="19"/>
      <c r="JEJ29" s="19"/>
      <c r="JEK29" s="19"/>
      <c r="JEL29" s="19"/>
      <c r="JEM29" s="19"/>
      <c r="JEN29" s="19"/>
      <c r="JEO29" s="19"/>
      <c r="JEP29" s="19"/>
      <c r="JEQ29" s="19"/>
      <c r="JER29" s="19"/>
      <c r="JES29" s="19"/>
      <c r="JET29" s="19"/>
      <c r="JEU29" s="19"/>
      <c r="JEV29" s="19"/>
      <c r="JEW29" s="19"/>
      <c r="JEX29" s="19"/>
      <c r="JEY29" s="19"/>
      <c r="JEZ29" s="19"/>
      <c r="JFA29" s="19"/>
      <c r="JFB29" s="19"/>
      <c r="JFC29" s="19"/>
      <c r="JFD29" s="19"/>
      <c r="JFE29" s="19"/>
      <c r="JFF29" s="19"/>
      <c r="JFG29" s="19"/>
      <c r="JFH29" s="19"/>
      <c r="JFI29" s="19"/>
      <c r="JFJ29" s="19"/>
      <c r="JFK29" s="19"/>
      <c r="JFL29" s="19"/>
      <c r="JFM29" s="19"/>
      <c r="JFN29" s="19"/>
      <c r="JFO29" s="19"/>
      <c r="JFP29" s="19"/>
      <c r="JFQ29" s="19"/>
      <c r="JFR29" s="19"/>
      <c r="JFS29" s="19"/>
      <c r="JFT29" s="19"/>
      <c r="JFU29" s="19"/>
      <c r="JFV29" s="19"/>
      <c r="JFW29" s="19"/>
      <c r="JFX29" s="19"/>
      <c r="JFY29" s="19"/>
      <c r="JFZ29" s="19"/>
      <c r="JGA29" s="19"/>
      <c r="JGB29" s="19"/>
      <c r="JGC29" s="19"/>
      <c r="JGD29" s="19"/>
      <c r="JGE29" s="19"/>
      <c r="JGF29" s="19"/>
      <c r="JGG29" s="19"/>
      <c r="JGH29" s="19"/>
      <c r="JGI29" s="19"/>
      <c r="JGJ29" s="19"/>
      <c r="JGK29" s="19"/>
      <c r="JGL29" s="19"/>
      <c r="JGM29" s="19"/>
      <c r="JGN29" s="19"/>
      <c r="JGO29" s="19"/>
      <c r="JGP29" s="19"/>
      <c r="JGQ29" s="19"/>
      <c r="JGR29" s="19"/>
      <c r="JGS29" s="19"/>
      <c r="JGT29" s="19"/>
      <c r="JGU29" s="19"/>
      <c r="JGV29" s="19"/>
      <c r="JGW29" s="19"/>
      <c r="JGX29" s="19"/>
      <c r="JGY29" s="19"/>
      <c r="JGZ29" s="19"/>
      <c r="JHA29" s="19"/>
      <c r="JHB29" s="19"/>
      <c r="JHC29" s="19"/>
      <c r="JHD29" s="19"/>
      <c r="JHE29" s="19"/>
      <c r="JHF29" s="19"/>
      <c r="JHG29" s="19"/>
      <c r="JHH29" s="19"/>
      <c r="JHI29" s="19"/>
      <c r="JHJ29" s="19"/>
      <c r="JHK29" s="19"/>
      <c r="JHL29" s="19"/>
      <c r="JHM29" s="19"/>
      <c r="JHN29" s="19"/>
      <c r="JHO29" s="19"/>
      <c r="JHP29" s="19"/>
      <c r="JHQ29" s="19"/>
      <c r="JHR29" s="19"/>
      <c r="JHS29" s="19"/>
      <c r="JHT29" s="19"/>
      <c r="JHU29" s="19"/>
      <c r="JHV29" s="19"/>
      <c r="JHW29" s="19"/>
      <c r="JHX29" s="19"/>
      <c r="JHY29" s="19"/>
      <c r="JHZ29" s="19"/>
      <c r="JIA29" s="19"/>
      <c r="JIB29" s="19"/>
      <c r="JIC29" s="19"/>
      <c r="JID29" s="19"/>
      <c r="JIE29" s="19"/>
      <c r="JIF29" s="19"/>
      <c r="JIG29" s="19"/>
      <c r="JIH29" s="19"/>
      <c r="JII29" s="19"/>
      <c r="JIJ29" s="19"/>
      <c r="JIK29" s="19"/>
      <c r="JIL29" s="19"/>
      <c r="JIM29" s="19"/>
      <c r="JIN29" s="19"/>
      <c r="JIO29" s="19"/>
      <c r="JIP29" s="19"/>
      <c r="JIQ29" s="19"/>
      <c r="JIR29" s="19"/>
      <c r="JIS29" s="19"/>
      <c r="JIT29" s="19"/>
      <c r="JIU29" s="19"/>
      <c r="JIV29" s="19"/>
      <c r="JIW29" s="19"/>
      <c r="JIX29" s="19"/>
      <c r="JIY29" s="19"/>
      <c r="JIZ29" s="19"/>
      <c r="JJA29" s="19"/>
      <c r="JJB29" s="19"/>
      <c r="JJC29" s="19"/>
      <c r="JJD29" s="19"/>
      <c r="JJE29" s="19"/>
      <c r="JJF29" s="19"/>
      <c r="JJG29" s="19"/>
      <c r="JJH29" s="19"/>
      <c r="JJI29" s="19"/>
      <c r="JJJ29" s="19"/>
      <c r="JJK29" s="19"/>
      <c r="JJL29" s="19"/>
      <c r="JJM29" s="19"/>
      <c r="JJN29" s="19"/>
      <c r="JJO29" s="19"/>
      <c r="JJP29" s="19"/>
      <c r="JJQ29" s="19"/>
      <c r="JJR29" s="19"/>
      <c r="JJS29" s="19"/>
      <c r="JJT29" s="19"/>
      <c r="JJU29" s="19"/>
      <c r="JJV29" s="19"/>
      <c r="JJW29" s="19"/>
      <c r="JJX29" s="19"/>
      <c r="JJY29" s="19"/>
      <c r="JJZ29" s="19"/>
      <c r="JKA29" s="19"/>
      <c r="JKB29" s="19"/>
      <c r="JKC29" s="19"/>
      <c r="JKD29" s="19"/>
      <c r="JKE29" s="19"/>
      <c r="JKF29" s="19"/>
      <c r="JKG29" s="19"/>
      <c r="JKH29" s="19"/>
      <c r="JKI29" s="19"/>
      <c r="JKJ29" s="19"/>
      <c r="JKK29" s="19"/>
      <c r="JKL29" s="19"/>
      <c r="JKM29" s="19"/>
      <c r="JKN29" s="19"/>
      <c r="JKO29" s="19"/>
      <c r="JKP29" s="19"/>
      <c r="JKQ29" s="19"/>
      <c r="JKR29" s="19"/>
      <c r="JKS29" s="19"/>
      <c r="JKT29" s="19"/>
      <c r="JKU29" s="19"/>
      <c r="JKV29" s="19"/>
      <c r="JKW29" s="19"/>
      <c r="JKX29" s="19"/>
      <c r="JKY29" s="19"/>
      <c r="JKZ29" s="19"/>
      <c r="JLA29" s="19"/>
      <c r="JLB29" s="19"/>
      <c r="JLC29" s="19"/>
      <c r="JLD29" s="19"/>
      <c r="JLE29" s="19"/>
      <c r="JLF29" s="19"/>
      <c r="JLG29" s="19"/>
      <c r="JLH29" s="19"/>
      <c r="JLI29" s="19"/>
      <c r="JLJ29" s="19"/>
      <c r="JLK29" s="19"/>
      <c r="JLL29" s="19"/>
      <c r="JLM29" s="19"/>
      <c r="JLN29" s="19"/>
      <c r="JLO29" s="19"/>
      <c r="JLP29" s="19"/>
      <c r="JLQ29" s="19"/>
      <c r="JLR29" s="19"/>
      <c r="JLS29" s="19"/>
      <c r="JLT29" s="19"/>
      <c r="JLU29" s="19"/>
      <c r="JLV29" s="19"/>
      <c r="JLW29" s="19"/>
      <c r="JLX29" s="19"/>
      <c r="JLY29" s="19"/>
      <c r="JLZ29" s="19"/>
      <c r="JMA29" s="19"/>
      <c r="JMB29" s="19"/>
      <c r="JMC29" s="19"/>
      <c r="JMD29" s="19"/>
      <c r="JME29" s="19"/>
      <c r="JMF29" s="19"/>
      <c r="JMG29" s="19"/>
      <c r="JMH29" s="19"/>
      <c r="JMI29" s="19"/>
      <c r="JMJ29" s="19"/>
      <c r="JMK29" s="19"/>
      <c r="JML29" s="19"/>
      <c r="JMM29" s="19"/>
      <c r="JMN29" s="19"/>
      <c r="JMO29" s="19"/>
      <c r="JMP29" s="19"/>
      <c r="JMQ29" s="19"/>
      <c r="JMR29" s="19"/>
      <c r="JMS29" s="19"/>
      <c r="JMT29" s="19"/>
      <c r="JMU29" s="19"/>
      <c r="JMV29" s="19"/>
      <c r="JMW29" s="19"/>
      <c r="JMX29" s="19"/>
      <c r="JMY29" s="19"/>
      <c r="JMZ29" s="19"/>
      <c r="JNA29" s="19"/>
      <c r="JNB29" s="19"/>
      <c r="JNC29" s="19"/>
      <c r="JND29" s="19"/>
      <c r="JNE29" s="19"/>
      <c r="JNF29" s="19"/>
      <c r="JNG29" s="19"/>
      <c r="JNH29" s="19"/>
      <c r="JNI29" s="19"/>
      <c r="JNJ29" s="19"/>
      <c r="JNK29" s="19"/>
      <c r="JNL29" s="19"/>
      <c r="JNM29" s="19"/>
      <c r="JNN29" s="19"/>
      <c r="JNO29" s="19"/>
      <c r="JNP29" s="19"/>
      <c r="JNQ29" s="19"/>
      <c r="JNR29" s="19"/>
      <c r="JNS29" s="19"/>
      <c r="JNT29" s="19"/>
      <c r="JNU29" s="19"/>
      <c r="JNV29" s="19"/>
      <c r="JNW29" s="19"/>
      <c r="JNX29" s="19"/>
      <c r="JNY29" s="19"/>
      <c r="JNZ29" s="19"/>
      <c r="JOA29" s="19"/>
      <c r="JOB29" s="19"/>
      <c r="JOC29" s="19"/>
      <c r="JOD29" s="19"/>
      <c r="JOE29" s="19"/>
      <c r="JOF29" s="19"/>
      <c r="JOG29" s="19"/>
      <c r="JOH29" s="19"/>
      <c r="JOI29" s="19"/>
      <c r="JOJ29" s="19"/>
      <c r="JOK29" s="19"/>
      <c r="JOL29" s="19"/>
      <c r="JOM29" s="19"/>
      <c r="JON29" s="19"/>
      <c r="JOO29" s="19"/>
      <c r="JOP29" s="19"/>
      <c r="JOQ29" s="19"/>
      <c r="JOR29" s="19"/>
      <c r="JOS29" s="19"/>
      <c r="JOT29" s="19"/>
      <c r="JOU29" s="19"/>
      <c r="JOV29" s="19"/>
      <c r="JOW29" s="19"/>
      <c r="JOX29" s="19"/>
      <c r="JOY29" s="19"/>
      <c r="JOZ29" s="19"/>
      <c r="JPA29" s="19"/>
      <c r="JPB29" s="19"/>
      <c r="JPC29" s="19"/>
      <c r="JPD29" s="19"/>
      <c r="JPE29" s="19"/>
      <c r="JPF29" s="19"/>
      <c r="JPG29" s="19"/>
      <c r="JPH29" s="19"/>
      <c r="JPI29" s="19"/>
      <c r="JPJ29" s="19"/>
      <c r="JPK29" s="19"/>
      <c r="JPL29" s="19"/>
      <c r="JPM29" s="19"/>
      <c r="JPN29" s="19"/>
      <c r="JPO29" s="19"/>
      <c r="JPP29" s="19"/>
      <c r="JPQ29" s="19"/>
      <c r="JPR29" s="19"/>
      <c r="JPS29" s="19"/>
      <c r="JPT29" s="19"/>
      <c r="JPU29" s="19"/>
      <c r="JPV29" s="19"/>
      <c r="JPW29" s="19"/>
      <c r="JPX29" s="19"/>
      <c r="JPY29" s="19"/>
      <c r="JPZ29" s="19"/>
      <c r="JQA29" s="19"/>
      <c r="JQB29" s="19"/>
      <c r="JQC29" s="19"/>
      <c r="JQD29" s="19"/>
      <c r="JQE29" s="19"/>
      <c r="JQF29" s="19"/>
      <c r="JQG29" s="19"/>
      <c r="JQH29" s="19"/>
      <c r="JQI29" s="19"/>
      <c r="JQJ29" s="19"/>
      <c r="JQK29" s="19"/>
      <c r="JQL29" s="19"/>
      <c r="JQM29" s="19"/>
      <c r="JQN29" s="19"/>
      <c r="JQO29" s="19"/>
      <c r="JQP29" s="19"/>
      <c r="JQQ29" s="19"/>
      <c r="JQR29" s="19"/>
      <c r="JQS29" s="19"/>
      <c r="JQT29" s="19"/>
      <c r="JQU29" s="19"/>
      <c r="JQV29" s="19"/>
      <c r="JQW29" s="19"/>
      <c r="JQX29" s="19"/>
      <c r="JQY29" s="19"/>
      <c r="JQZ29" s="19"/>
      <c r="JRA29" s="19"/>
      <c r="JRB29" s="19"/>
      <c r="JRC29" s="19"/>
      <c r="JRD29" s="19"/>
      <c r="JRE29" s="19"/>
      <c r="JRF29" s="19"/>
      <c r="JRG29" s="19"/>
      <c r="JRH29" s="19"/>
      <c r="JRI29" s="19"/>
      <c r="JRJ29" s="19"/>
      <c r="JRK29" s="19"/>
      <c r="JRL29" s="19"/>
      <c r="JRM29" s="19"/>
      <c r="JRN29" s="19"/>
      <c r="JRO29" s="19"/>
      <c r="JRP29" s="19"/>
      <c r="JRQ29" s="19"/>
      <c r="JRR29" s="19"/>
      <c r="JRS29" s="19"/>
      <c r="JRT29" s="19"/>
      <c r="JRU29" s="19"/>
      <c r="JRV29" s="19"/>
      <c r="JRW29" s="19"/>
      <c r="JRX29" s="19"/>
      <c r="JRY29" s="19"/>
      <c r="JRZ29" s="19"/>
      <c r="JSA29" s="19"/>
      <c r="JSB29" s="19"/>
      <c r="JSC29" s="19"/>
      <c r="JSD29" s="19"/>
      <c r="JSE29" s="19"/>
      <c r="JSF29" s="19"/>
      <c r="JSG29" s="19"/>
      <c r="JSH29" s="19"/>
      <c r="JSI29" s="19"/>
      <c r="JSJ29" s="19"/>
      <c r="JSK29" s="19"/>
      <c r="JSL29" s="19"/>
      <c r="JSM29" s="19"/>
      <c r="JSN29" s="19"/>
      <c r="JSO29" s="19"/>
      <c r="JSP29" s="19"/>
      <c r="JSQ29" s="19"/>
      <c r="JSR29" s="19"/>
      <c r="JSS29" s="19"/>
      <c r="JST29" s="19"/>
      <c r="JSU29" s="19"/>
      <c r="JSV29" s="19"/>
      <c r="JSW29" s="19"/>
      <c r="JSX29" s="19"/>
      <c r="JSY29" s="19"/>
      <c r="JSZ29" s="19"/>
      <c r="JTA29" s="19"/>
      <c r="JTB29" s="19"/>
      <c r="JTC29" s="19"/>
      <c r="JTD29" s="19"/>
      <c r="JTE29" s="19"/>
      <c r="JTF29" s="19"/>
      <c r="JTG29" s="19"/>
      <c r="JTH29" s="19"/>
      <c r="JTI29" s="19"/>
      <c r="JTJ29" s="19"/>
      <c r="JTK29" s="19"/>
      <c r="JTL29" s="19"/>
      <c r="JTM29" s="19"/>
      <c r="JTN29" s="19"/>
      <c r="JTO29" s="19"/>
      <c r="JTP29" s="19"/>
      <c r="JTQ29" s="19"/>
      <c r="JTR29" s="19"/>
      <c r="JTS29" s="19"/>
      <c r="JTT29" s="19"/>
      <c r="JTU29" s="19"/>
      <c r="JTV29" s="19"/>
      <c r="JTW29" s="19"/>
      <c r="JTX29" s="19"/>
      <c r="JTY29" s="19"/>
      <c r="JTZ29" s="19"/>
      <c r="JUA29" s="19"/>
      <c r="JUB29" s="19"/>
      <c r="JUC29" s="19"/>
      <c r="JUD29" s="19"/>
      <c r="JUE29" s="19"/>
      <c r="JUF29" s="19"/>
      <c r="JUG29" s="19"/>
      <c r="JUH29" s="19"/>
      <c r="JUI29" s="19"/>
      <c r="JUJ29" s="19"/>
      <c r="JUK29" s="19"/>
      <c r="JUL29" s="19"/>
      <c r="JUM29" s="19"/>
      <c r="JUN29" s="19"/>
      <c r="JUO29" s="19"/>
      <c r="JUP29" s="19"/>
      <c r="JUQ29" s="19"/>
      <c r="JUR29" s="19"/>
      <c r="JUS29" s="19"/>
      <c r="JUT29" s="19"/>
      <c r="JUU29" s="19"/>
      <c r="JUV29" s="19"/>
      <c r="JUW29" s="19"/>
      <c r="JUX29" s="19"/>
      <c r="JUY29" s="19"/>
      <c r="JUZ29" s="19"/>
      <c r="JVA29" s="19"/>
      <c r="JVB29" s="19"/>
      <c r="JVC29" s="19"/>
      <c r="JVD29" s="19"/>
      <c r="JVE29" s="19"/>
      <c r="JVF29" s="19"/>
      <c r="JVG29" s="19"/>
      <c r="JVH29" s="19"/>
      <c r="JVI29" s="19"/>
      <c r="JVJ29" s="19"/>
      <c r="JVK29" s="19"/>
      <c r="JVL29" s="19"/>
      <c r="JVM29" s="19"/>
      <c r="JVN29" s="19"/>
      <c r="JVO29" s="19"/>
      <c r="JVP29" s="19"/>
      <c r="JVQ29" s="19"/>
      <c r="JVR29" s="19"/>
      <c r="JVS29" s="19"/>
      <c r="JVT29" s="19"/>
      <c r="JVU29" s="19"/>
      <c r="JVV29" s="19"/>
      <c r="JVW29" s="19"/>
      <c r="JVX29" s="19"/>
      <c r="JVY29" s="19"/>
      <c r="JVZ29" s="19"/>
      <c r="JWA29" s="19"/>
      <c r="JWB29" s="19"/>
      <c r="JWC29" s="19"/>
      <c r="JWD29" s="19"/>
      <c r="JWE29" s="19"/>
      <c r="JWF29" s="19"/>
      <c r="JWG29" s="19"/>
      <c r="JWH29" s="19"/>
      <c r="JWI29" s="19"/>
      <c r="JWJ29" s="19"/>
      <c r="JWK29" s="19"/>
      <c r="JWL29" s="19"/>
      <c r="JWM29" s="19"/>
      <c r="JWN29" s="19"/>
      <c r="JWO29" s="19"/>
      <c r="JWP29" s="19"/>
      <c r="JWQ29" s="19"/>
      <c r="JWR29" s="19"/>
      <c r="JWS29" s="19"/>
      <c r="JWT29" s="19"/>
      <c r="JWU29" s="19"/>
      <c r="JWV29" s="19"/>
      <c r="JWW29" s="19"/>
      <c r="JWX29" s="19"/>
      <c r="JWY29" s="19"/>
      <c r="JWZ29" s="19"/>
      <c r="JXA29" s="19"/>
      <c r="JXB29" s="19"/>
      <c r="JXC29" s="19"/>
      <c r="JXD29" s="19"/>
      <c r="JXE29" s="19"/>
      <c r="JXF29" s="19"/>
      <c r="JXG29" s="19"/>
      <c r="JXH29" s="19"/>
      <c r="JXI29" s="19"/>
      <c r="JXJ29" s="19"/>
      <c r="JXK29" s="19"/>
      <c r="JXL29" s="19"/>
      <c r="JXM29" s="19"/>
      <c r="JXN29" s="19"/>
      <c r="JXO29" s="19"/>
      <c r="JXP29" s="19"/>
      <c r="JXQ29" s="19"/>
      <c r="JXR29" s="19"/>
      <c r="JXS29" s="19"/>
      <c r="JXT29" s="19"/>
      <c r="JXU29" s="19"/>
      <c r="JXV29" s="19"/>
      <c r="JXW29" s="19"/>
      <c r="JXX29" s="19"/>
      <c r="JXY29" s="19"/>
      <c r="JXZ29" s="19"/>
      <c r="JYA29" s="19"/>
      <c r="JYB29" s="19"/>
      <c r="JYC29" s="19"/>
      <c r="JYD29" s="19"/>
      <c r="JYE29" s="19"/>
      <c r="JYF29" s="19"/>
      <c r="JYG29" s="19"/>
      <c r="JYH29" s="19"/>
      <c r="JYI29" s="19"/>
      <c r="JYJ29" s="19"/>
      <c r="JYK29" s="19"/>
      <c r="JYL29" s="19"/>
      <c r="JYM29" s="19"/>
      <c r="JYN29" s="19"/>
      <c r="JYO29" s="19"/>
      <c r="JYP29" s="19"/>
      <c r="JYQ29" s="19"/>
      <c r="JYR29" s="19"/>
      <c r="JYS29" s="19"/>
      <c r="JYT29" s="19"/>
      <c r="JYU29" s="19"/>
      <c r="JYV29" s="19"/>
      <c r="JYW29" s="19"/>
      <c r="JYX29" s="19"/>
      <c r="JYY29" s="19"/>
      <c r="JYZ29" s="19"/>
      <c r="JZA29" s="19"/>
      <c r="JZB29" s="19"/>
      <c r="JZC29" s="19"/>
      <c r="JZD29" s="19"/>
      <c r="JZE29" s="19"/>
      <c r="JZF29" s="19"/>
      <c r="JZG29" s="19"/>
      <c r="JZH29" s="19"/>
      <c r="JZI29" s="19"/>
      <c r="JZJ29" s="19"/>
      <c r="JZK29" s="19"/>
      <c r="JZL29" s="19"/>
      <c r="JZM29" s="19"/>
      <c r="JZN29" s="19"/>
      <c r="JZO29" s="19"/>
      <c r="JZP29" s="19"/>
      <c r="JZQ29" s="19"/>
      <c r="JZR29" s="19"/>
      <c r="JZS29" s="19"/>
      <c r="JZT29" s="19"/>
      <c r="JZU29" s="19"/>
      <c r="JZV29" s="19"/>
      <c r="JZW29" s="19"/>
      <c r="JZX29" s="19"/>
      <c r="JZY29" s="19"/>
      <c r="JZZ29" s="19"/>
      <c r="KAA29" s="19"/>
      <c r="KAB29" s="19"/>
      <c r="KAC29" s="19"/>
      <c r="KAD29" s="19"/>
      <c r="KAE29" s="19"/>
      <c r="KAF29" s="19"/>
      <c r="KAG29" s="19"/>
      <c r="KAH29" s="19"/>
      <c r="KAI29" s="19"/>
      <c r="KAJ29" s="19"/>
      <c r="KAK29" s="19"/>
      <c r="KAL29" s="19"/>
      <c r="KAM29" s="19"/>
      <c r="KAN29" s="19"/>
      <c r="KAO29" s="19"/>
      <c r="KAP29" s="19"/>
      <c r="KAQ29" s="19"/>
      <c r="KAR29" s="19"/>
      <c r="KAS29" s="19"/>
      <c r="KAT29" s="19"/>
      <c r="KAU29" s="19"/>
      <c r="KAV29" s="19"/>
      <c r="KAW29" s="19"/>
      <c r="KAX29" s="19"/>
      <c r="KAY29" s="19"/>
      <c r="KAZ29" s="19"/>
      <c r="KBA29" s="19"/>
      <c r="KBB29" s="19"/>
      <c r="KBC29" s="19"/>
      <c r="KBD29" s="19"/>
      <c r="KBE29" s="19"/>
      <c r="KBF29" s="19"/>
      <c r="KBG29" s="19"/>
      <c r="KBH29" s="19"/>
      <c r="KBI29" s="19"/>
      <c r="KBJ29" s="19"/>
      <c r="KBK29" s="19"/>
      <c r="KBL29" s="19"/>
      <c r="KBM29" s="19"/>
      <c r="KBN29" s="19"/>
      <c r="KBO29" s="19"/>
      <c r="KBP29" s="19"/>
      <c r="KBQ29" s="19"/>
      <c r="KBR29" s="19"/>
      <c r="KBS29" s="19"/>
      <c r="KBT29" s="19"/>
      <c r="KBU29" s="19"/>
      <c r="KBV29" s="19"/>
      <c r="KBW29" s="19"/>
      <c r="KBX29" s="19"/>
      <c r="KBY29" s="19"/>
      <c r="KBZ29" s="19"/>
      <c r="KCA29" s="19"/>
      <c r="KCB29" s="19"/>
      <c r="KCC29" s="19"/>
      <c r="KCD29" s="19"/>
      <c r="KCE29" s="19"/>
      <c r="KCF29" s="19"/>
      <c r="KCG29" s="19"/>
      <c r="KCH29" s="19"/>
      <c r="KCI29" s="19"/>
      <c r="KCJ29" s="19"/>
      <c r="KCK29" s="19"/>
      <c r="KCL29" s="19"/>
      <c r="KCM29" s="19"/>
      <c r="KCN29" s="19"/>
      <c r="KCO29" s="19"/>
      <c r="KCP29" s="19"/>
      <c r="KCQ29" s="19"/>
      <c r="KCR29" s="19"/>
      <c r="KCS29" s="19"/>
      <c r="KCT29" s="19"/>
      <c r="KCU29" s="19"/>
      <c r="KCV29" s="19"/>
      <c r="KCW29" s="19"/>
      <c r="KCX29" s="19"/>
      <c r="KCY29" s="19"/>
      <c r="KCZ29" s="19"/>
      <c r="KDA29" s="19"/>
      <c r="KDB29" s="19"/>
      <c r="KDC29" s="19"/>
      <c r="KDD29" s="19"/>
      <c r="KDE29" s="19"/>
      <c r="KDF29" s="19"/>
      <c r="KDG29" s="19"/>
      <c r="KDH29" s="19"/>
      <c r="KDI29" s="19"/>
      <c r="KDJ29" s="19"/>
      <c r="KDK29" s="19"/>
      <c r="KDL29" s="19"/>
      <c r="KDM29" s="19"/>
      <c r="KDN29" s="19"/>
      <c r="KDO29" s="19"/>
      <c r="KDP29" s="19"/>
      <c r="KDQ29" s="19"/>
      <c r="KDR29" s="19"/>
      <c r="KDS29" s="19"/>
      <c r="KDT29" s="19"/>
      <c r="KDU29" s="19"/>
      <c r="KDV29" s="19"/>
      <c r="KDW29" s="19"/>
      <c r="KDX29" s="19"/>
      <c r="KDY29" s="19"/>
      <c r="KDZ29" s="19"/>
      <c r="KEA29" s="19"/>
      <c r="KEB29" s="19"/>
      <c r="KEC29" s="19"/>
      <c r="KED29" s="19"/>
      <c r="KEE29" s="19"/>
      <c r="KEF29" s="19"/>
      <c r="KEG29" s="19"/>
      <c r="KEH29" s="19"/>
      <c r="KEI29" s="19"/>
      <c r="KEJ29" s="19"/>
      <c r="KEK29" s="19"/>
      <c r="KEL29" s="19"/>
      <c r="KEM29" s="19"/>
      <c r="KEN29" s="19"/>
      <c r="KEO29" s="19"/>
      <c r="KEP29" s="19"/>
      <c r="KEQ29" s="19"/>
      <c r="KER29" s="19"/>
      <c r="KES29" s="19"/>
      <c r="KET29" s="19"/>
      <c r="KEU29" s="19"/>
      <c r="KEV29" s="19"/>
      <c r="KEW29" s="19"/>
      <c r="KEX29" s="19"/>
      <c r="KEY29" s="19"/>
      <c r="KEZ29" s="19"/>
      <c r="KFA29" s="19"/>
      <c r="KFB29" s="19"/>
      <c r="KFC29" s="19"/>
      <c r="KFD29" s="19"/>
      <c r="KFE29" s="19"/>
      <c r="KFF29" s="19"/>
      <c r="KFG29" s="19"/>
      <c r="KFH29" s="19"/>
      <c r="KFI29" s="19"/>
      <c r="KFJ29" s="19"/>
      <c r="KFK29" s="19"/>
      <c r="KFL29" s="19"/>
      <c r="KFM29" s="19"/>
      <c r="KFN29" s="19"/>
      <c r="KFO29" s="19"/>
      <c r="KFP29" s="19"/>
      <c r="KFQ29" s="19"/>
      <c r="KFR29" s="19"/>
      <c r="KFS29" s="19"/>
      <c r="KFT29" s="19"/>
      <c r="KFU29" s="19"/>
      <c r="KFV29" s="19"/>
      <c r="KFW29" s="19"/>
      <c r="KFX29" s="19"/>
      <c r="KFY29" s="19"/>
      <c r="KFZ29" s="19"/>
      <c r="KGA29" s="19"/>
      <c r="KGB29" s="19"/>
      <c r="KGC29" s="19"/>
      <c r="KGD29" s="19"/>
      <c r="KGE29" s="19"/>
      <c r="KGF29" s="19"/>
      <c r="KGG29" s="19"/>
      <c r="KGH29" s="19"/>
      <c r="KGI29" s="19"/>
      <c r="KGJ29" s="19"/>
      <c r="KGK29" s="19"/>
      <c r="KGL29" s="19"/>
      <c r="KGM29" s="19"/>
      <c r="KGN29" s="19"/>
      <c r="KGO29" s="19"/>
      <c r="KGP29" s="19"/>
      <c r="KGQ29" s="19"/>
      <c r="KGR29" s="19"/>
      <c r="KGS29" s="19"/>
      <c r="KGT29" s="19"/>
      <c r="KGU29" s="19"/>
      <c r="KGV29" s="19"/>
      <c r="KGW29" s="19"/>
      <c r="KGX29" s="19"/>
      <c r="KGY29" s="19"/>
      <c r="KGZ29" s="19"/>
      <c r="KHA29" s="19"/>
      <c r="KHB29" s="19"/>
      <c r="KHC29" s="19"/>
      <c r="KHD29" s="19"/>
      <c r="KHE29" s="19"/>
      <c r="KHF29" s="19"/>
      <c r="KHG29" s="19"/>
      <c r="KHH29" s="19"/>
      <c r="KHI29" s="19"/>
      <c r="KHJ29" s="19"/>
      <c r="KHK29" s="19"/>
      <c r="KHL29" s="19"/>
      <c r="KHM29" s="19"/>
      <c r="KHN29" s="19"/>
      <c r="KHO29" s="19"/>
      <c r="KHP29" s="19"/>
      <c r="KHQ29" s="19"/>
      <c r="KHR29" s="19"/>
      <c r="KHS29" s="19"/>
      <c r="KHT29" s="19"/>
      <c r="KHU29" s="19"/>
      <c r="KHV29" s="19"/>
      <c r="KHW29" s="19"/>
      <c r="KHX29" s="19"/>
      <c r="KHY29" s="19"/>
      <c r="KHZ29" s="19"/>
      <c r="KIA29" s="19"/>
      <c r="KIB29" s="19"/>
      <c r="KIC29" s="19"/>
      <c r="KID29" s="19"/>
      <c r="KIE29" s="19"/>
      <c r="KIF29" s="19"/>
      <c r="KIG29" s="19"/>
      <c r="KIH29" s="19"/>
      <c r="KII29" s="19"/>
      <c r="KIJ29" s="19"/>
      <c r="KIK29" s="19"/>
      <c r="KIL29" s="19"/>
      <c r="KIM29" s="19"/>
      <c r="KIN29" s="19"/>
      <c r="KIO29" s="19"/>
      <c r="KIP29" s="19"/>
      <c r="KIQ29" s="19"/>
      <c r="KIR29" s="19"/>
      <c r="KIS29" s="19"/>
      <c r="KIT29" s="19"/>
      <c r="KIU29" s="19"/>
      <c r="KIV29" s="19"/>
      <c r="KIW29" s="19"/>
      <c r="KIX29" s="19"/>
      <c r="KIY29" s="19"/>
      <c r="KIZ29" s="19"/>
      <c r="KJA29" s="19"/>
      <c r="KJB29" s="19"/>
      <c r="KJC29" s="19"/>
      <c r="KJD29" s="19"/>
      <c r="KJE29" s="19"/>
      <c r="KJF29" s="19"/>
      <c r="KJG29" s="19"/>
      <c r="KJH29" s="19"/>
      <c r="KJI29" s="19"/>
      <c r="KJJ29" s="19"/>
      <c r="KJK29" s="19"/>
      <c r="KJL29" s="19"/>
      <c r="KJM29" s="19"/>
      <c r="KJN29" s="19"/>
      <c r="KJO29" s="19"/>
      <c r="KJP29" s="19"/>
      <c r="KJQ29" s="19"/>
      <c r="KJR29" s="19"/>
      <c r="KJS29" s="19"/>
      <c r="KJT29" s="19"/>
      <c r="KJU29" s="19"/>
      <c r="KJV29" s="19"/>
      <c r="KJW29" s="19"/>
      <c r="KJX29" s="19"/>
      <c r="KJY29" s="19"/>
      <c r="KJZ29" s="19"/>
      <c r="KKA29" s="19"/>
      <c r="KKB29" s="19"/>
      <c r="KKC29" s="19"/>
      <c r="KKD29" s="19"/>
      <c r="KKE29" s="19"/>
      <c r="KKF29" s="19"/>
      <c r="KKG29" s="19"/>
      <c r="KKH29" s="19"/>
      <c r="KKI29" s="19"/>
      <c r="KKJ29" s="19"/>
      <c r="KKK29" s="19"/>
      <c r="KKL29" s="19"/>
      <c r="KKM29" s="19"/>
      <c r="KKN29" s="19"/>
      <c r="KKO29" s="19"/>
      <c r="KKP29" s="19"/>
      <c r="KKQ29" s="19"/>
      <c r="KKR29" s="19"/>
      <c r="KKS29" s="19"/>
      <c r="KKT29" s="19"/>
      <c r="KKU29" s="19"/>
      <c r="KKV29" s="19"/>
      <c r="KKW29" s="19"/>
      <c r="KKX29" s="19"/>
      <c r="KKY29" s="19"/>
      <c r="KKZ29" s="19"/>
      <c r="KLA29" s="19"/>
      <c r="KLB29" s="19"/>
      <c r="KLC29" s="19"/>
      <c r="KLD29" s="19"/>
      <c r="KLE29" s="19"/>
      <c r="KLF29" s="19"/>
      <c r="KLG29" s="19"/>
      <c r="KLH29" s="19"/>
      <c r="KLI29" s="19"/>
      <c r="KLJ29" s="19"/>
      <c r="KLK29" s="19"/>
      <c r="KLL29" s="19"/>
      <c r="KLM29" s="19"/>
      <c r="KLN29" s="19"/>
      <c r="KLO29" s="19"/>
      <c r="KLP29" s="19"/>
      <c r="KLQ29" s="19"/>
      <c r="KLR29" s="19"/>
      <c r="KLS29" s="19"/>
      <c r="KLT29" s="19"/>
      <c r="KLU29" s="19"/>
      <c r="KLV29" s="19"/>
      <c r="KLW29" s="19"/>
      <c r="KLX29" s="19"/>
      <c r="KLY29" s="19"/>
      <c r="KLZ29" s="19"/>
      <c r="KMA29" s="19"/>
      <c r="KMB29" s="19"/>
      <c r="KMC29" s="19"/>
      <c r="KMD29" s="19"/>
      <c r="KME29" s="19"/>
      <c r="KMF29" s="19"/>
      <c r="KMG29" s="19"/>
      <c r="KMH29" s="19"/>
      <c r="KMI29" s="19"/>
      <c r="KMJ29" s="19"/>
      <c r="KMK29" s="19"/>
      <c r="KML29" s="19"/>
      <c r="KMM29" s="19"/>
      <c r="KMN29" s="19"/>
      <c r="KMO29" s="19"/>
      <c r="KMP29" s="19"/>
      <c r="KMQ29" s="19"/>
      <c r="KMR29" s="19"/>
      <c r="KMS29" s="19"/>
      <c r="KMT29" s="19"/>
      <c r="KMU29" s="19"/>
      <c r="KMV29" s="19"/>
      <c r="KMW29" s="19"/>
      <c r="KMX29" s="19"/>
      <c r="KMY29" s="19"/>
      <c r="KMZ29" s="19"/>
      <c r="KNA29" s="19"/>
      <c r="KNB29" s="19"/>
      <c r="KNC29" s="19"/>
      <c r="KND29" s="19"/>
      <c r="KNE29" s="19"/>
      <c r="KNF29" s="19"/>
      <c r="KNG29" s="19"/>
      <c r="KNH29" s="19"/>
      <c r="KNI29" s="19"/>
      <c r="KNJ29" s="19"/>
      <c r="KNK29" s="19"/>
      <c r="KNL29" s="19"/>
      <c r="KNM29" s="19"/>
      <c r="KNN29" s="19"/>
      <c r="KNO29" s="19"/>
      <c r="KNP29" s="19"/>
      <c r="KNQ29" s="19"/>
      <c r="KNR29" s="19"/>
      <c r="KNS29" s="19"/>
      <c r="KNT29" s="19"/>
      <c r="KNU29" s="19"/>
      <c r="KNV29" s="19"/>
      <c r="KNW29" s="19"/>
      <c r="KNX29" s="19"/>
      <c r="KNY29" s="19"/>
      <c r="KNZ29" s="19"/>
      <c r="KOA29" s="19"/>
      <c r="KOB29" s="19"/>
      <c r="KOC29" s="19"/>
      <c r="KOD29" s="19"/>
      <c r="KOE29" s="19"/>
      <c r="KOF29" s="19"/>
      <c r="KOG29" s="19"/>
      <c r="KOH29" s="19"/>
      <c r="KOI29" s="19"/>
      <c r="KOJ29" s="19"/>
      <c r="KOK29" s="19"/>
      <c r="KOL29" s="19"/>
      <c r="KOM29" s="19"/>
      <c r="KON29" s="19"/>
      <c r="KOO29" s="19"/>
      <c r="KOP29" s="19"/>
      <c r="KOQ29" s="19"/>
      <c r="KOR29" s="19"/>
      <c r="KOS29" s="19"/>
      <c r="KOT29" s="19"/>
      <c r="KOU29" s="19"/>
      <c r="KOV29" s="19"/>
      <c r="KOW29" s="19"/>
      <c r="KOX29" s="19"/>
      <c r="KOY29" s="19"/>
      <c r="KOZ29" s="19"/>
      <c r="KPA29" s="19"/>
      <c r="KPB29" s="19"/>
      <c r="KPC29" s="19"/>
      <c r="KPD29" s="19"/>
      <c r="KPE29" s="19"/>
      <c r="KPF29" s="19"/>
      <c r="KPG29" s="19"/>
      <c r="KPH29" s="19"/>
      <c r="KPI29" s="19"/>
      <c r="KPJ29" s="19"/>
      <c r="KPK29" s="19"/>
      <c r="KPL29" s="19"/>
      <c r="KPM29" s="19"/>
      <c r="KPN29" s="19"/>
      <c r="KPO29" s="19"/>
      <c r="KPP29" s="19"/>
      <c r="KPQ29" s="19"/>
      <c r="KPR29" s="19"/>
      <c r="KPS29" s="19"/>
      <c r="KPT29" s="19"/>
      <c r="KPU29" s="19"/>
      <c r="KPV29" s="19"/>
      <c r="KPW29" s="19"/>
      <c r="KPX29" s="19"/>
      <c r="KPY29" s="19"/>
      <c r="KPZ29" s="19"/>
      <c r="KQA29" s="19"/>
      <c r="KQB29" s="19"/>
      <c r="KQC29" s="19"/>
      <c r="KQD29" s="19"/>
      <c r="KQE29" s="19"/>
      <c r="KQF29" s="19"/>
      <c r="KQG29" s="19"/>
      <c r="KQH29" s="19"/>
      <c r="KQI29" s="19"/>
      <c r="KQJ29" s="19"/>
      <c r="KQK29" s="19"/>
      <c r="KQL29" s="19"/>
      <c r="KQM29" s="19"/>
      <c r="KQN29" s="19"/>
      <c r="KQO29" s="19"/>
      <c r="KQP29" s="19"/>
      <c r="KQQ29" s="19"/>
      <c r="KQR29" s="19"/>
      <c r="KQS29" s="19"/>
      <c r="KQT29" s="19"/>
      <c r="KQU29" s="19"/>
      <c r="KQV29" s="19"/>
      <c r="KQW29" s="19"/>
      <c r="KQX29" s="19"/>
      <c r="KQY29" s="19"/>
      <c r="KQZ29" s="19"/>
      <c r="KRA29" s="19"/>
      <c r="KRB29" s="19"/>
      <c r="KRC29" s="19"/>
      <c r="KRD29" s="19"/>
      <c r="KRE29" s="19"/>
      <c r="KRF29" s="19"/>
      <c r="KRG29" s="19"/>
      <c r="KRH29" s="19"/>
      <c r="KRI29" s="19"/>
      <c r="KRJ29" s="19"/>
      <c r="KRK29" s="19"/>
      <c r="KRL29" s="19"/>
      <c r="KRM29" s="19"/>
      <c r="KRN29" s="19"/>
      <c r="KRO29" s="19"/>
      <c r="KRP29" s="19"/>
      <c r="KRQ29" s="19"/>
      <c r="KRR29" s="19"/>
      <c r="KRS29" s="19"/>
      <c r="KRT29" s="19"/>
      <c r="KRU29" s="19"/>
      <c r="KRV29" s="19"/>
      <c r="KRW29" s="19"/>
      <c r="KRX29" s="19"/>
      <c r="KRY29" s="19"/>
      <c r="KRZ29" s="19"/>
      <c r="KSA29" s="19"/>
      <c r="KSB29" s="19"/>
      <c r="KSC29" s="19"/>
      <c r="KSD29" s="19"/>
      <c r="KSE29" s="19"/>
      <c r="KSF29" s="19"/>
      <c r="KSG29" s="19"/>
      <c r="KSH29" s="19"/>
      <c r="KSI29" s="19"/>
      <c r="KSJ29" s="19"/>
      <c r="KSK29" s="19"/>
      <c r="KSL29" s="19"/>
      <c r="KSM29" s="19"/>
      <c r="KSN29" s="19"/>
      <c r="KSO29" s="19"/>
      <c r="KSP29" s="19"/>
      <c r="KSQ29" s="19"/>
      <c r="KSR29" s="19"/>
      <c r="KSS29" s="19"/>
      <c r="KST29" s="19"/>
      <c r="KSU29" s="19"/>
      <c r="KSV29" s="19"/>
      <c r="KSW29" s="19"/>
      <c r="KSX29" s="19"/>
      <c r="KSY29" s="19"/>
      <c r="KSZ29" s="19"/>
      <c r="KTA29" s="19"/>
      <c r="KTB29" s="19"/>
      <c r="KTC29" s="19"/>
      <c r="KTD29" s="19"/>
      <c r="KTE29" s="19"/>
      <c r="KTF29" s="19"/>
      <c r="KTG29" s="19"/>
      <c r="KTH29" s="19"/>
      <c r="KTI29" s="19"/>
      <c r="KTJ29" s="19"/>
      <c r="KTK29" s="19"/>
      <c r="KTL29" s="19"/>
      <c r="KTM29" s="19"/>
      <c r="KTN29" s="19"/>
      <c r="KTO29" s="19"/>
      <c r="KTP29" s="19"/>
      <c r="KTQ29" s="19"/>
      <c r="KTR29" s="19"/>
      <c r="KTS29" s="19"/>
      <c r="KTT29" s="19"/>
      <c r="KTU29" s="19"/>
      <c r="KTV29" s="19"/>
      <c r="KTW29" s="19"/>
      <c r="KTX29" s="19"/>
      <c r="KTY29" s="19"/>
      <c r="KTZ29" s="19"/>
      <c r="KUA29" s="19"/>
      <c r="KUB29" s="19"/>
      <c r="KUC29" s="19"/>
      <c r="KUD29" s="19"/>
      <c r="KUE29" s="19"/>
      <c r="KUF29" s="19"/>
      <c r="KUG29" s="19"/>
      <c r="KUH29" s="19"/>
      <c r="KUI29" s="19"/>
      <c r="KUJ29" s="19"/>
      <c r="KUK29" s="19"/>
      <c r="KUL29" s="19"/>
      <c r="KUM29" s="19"/>
      <c r="KUN29" s="19"/>
      <c r="KUO29" s="19"/>
      <c r="KUP29" s="19"/>
      <c r="KUQ29" s="19"/>
      <c r="KUR29" s="19"/>
      <c r="KUS29" s="19"/>
      <c r="KUT29" s="19"/>
      <c r="KUU29" s="19"/>
      <c r="KUV29" s="19"/>
      <c r="KUW29" s="19"/>
      <c r="KUX29" s="19"/>
      <c r="KUY29" s="19"/>
      <c r="KUZ29" s="19"/>
      <c r="KVA29" s="19"/>
      <c r="KVB29" s="19"/>
      <c r="KVC29" s="19"/>
      <c r="KVD29" s="19"/>
      <c r="KVE29" s="19"/>
      <c r="KVF29" s="19"/>
      <c r="KVG29" s="19"/>
      <c r="KVH29" s="19"/>
      <c r="KVI29" s="19"/>
      <c r="KVJ29" s="19"/>
      <c r="KVK29" s="19"/>
      <c r="KVL29" s="19"/>
      <c r="KVM29" s="19"/>
      <c r="KVN29" s="19"/>
      <c r="KVO29" s="19"/>
      <c r="KVP29" s="19"/>
      <c r="KVQ29" s="19"/>
      <c r="KVR29" s="19"/>
      <c r="KVS29" s="19"/>
      <c r="KVT29" s="19"/>
      <c r="KVU29" s="19"/>
      <c r="KVV29" s="19"/>
      <c r="KVW29" s="19"/>
      <c r="KVX29" s="19"/>
      <c r="KVY29" s="19"/>
      <c r="KVZ29" s="19"/>
      <c r="KWA29" s="19"/>
      <c r="KWB29" s="19"/>
      <c r="KWC29" s="19"/>
      <c r="KWD29" s="19"/>
      <c r="KWE29" s="19"/>
      <c r="KWF29" s="19"/>
      <c r="KWG29" s="19"/>
      <c r="KWH29" s="19"/>
      <c r="KWI29" s="19"/>
      <c r="KWJ29" s="19"/>
      <c r="KWK29" s="19"/>
      <c r="KWL29" s="19"/>
      <c r="KWM29" s="19"/>
      <c r="KWN29" s="19"/>
      <c r="KWO29" s="19"/>
      <c r="KWP29" s="19"/>
      <c r="KWQ29" s="19"/>
      <c r="KWR29" s="19"/>
      <c r="KWS29" s="19"/>
      <c r="KWT29" s="19"/>
      <c r="KWU29" s="19"/>
      <c r="KWV29" s="19"/>
      <c r="KWW29" s="19"/>
      <c r="KWX29" s="19"/>
      <c r="KWY29" s="19"/>
      <c r="KWZ29" s="19"/>
      <c r="KXA29" s="19"/>
      <c r="KXB29" s="19"/>
      <c r="KXC29" s="19"/>
      <c r="KXD29" s="19"/>
      <c r="KXE29" s="19"/>
      <c r="KXF29" s="19"/>
      <c r="KXG29" s="19"/>
      <c r="KXH29" s="19"/>
      <c r="KXI29" s="19"/>
      <c r="KXJ29" s="19"/>
      <c r="KXK29" s="19"/>
      <c r="KXL29" s="19"/>
      <c r="KXM29" s="19"/>
      <c r="KXN29" s="19"/>
      <c r="KXO29" s="19"/>
      <c r="KXP29" s="19"/>
      <c r="KXQ29" s="19"/>
      <c r="KXR29" s="19"/>
      <c r="KXS29" s="19"/>
      <c r="KXT29" s="19"/>
      <c r="KXU29" s="19"/>
      <c r="KXV29" s="19"/>
      <c r="KXW29" s="19"/>
      <c r="KXX29" s="19"/>
      <c r="KXY29" s="19"/>
      <c r="KXZ29" s="19"/>
      <c r="KYA29" s="19"/>
      <c r="KYB29" s="19"/>
      <c r="KYC29" s="19"/>
      <c r="KYD29" s="19"/>
      <c r="KYE29" s="19"/>
      <c r="KYF29" s="19"/>
      <c r="KYG29" s="19"/>
      <c r="KYH29" s="19"/>
      <c r="KYI29" s="19"/>
      <c r="KYJ29" s="19"/>
      <c r="KYK29" s="19"/>
      <c r="KYL29" s="19"/>
      <c r="KYM29" s="19"/>
      <c r="KYN29" s="19"/>
      <c r="KYO29" s="19"/>
      <c r="KYP29" s="19"/>
      <c r="KYQ29" s="19"/>
      <c r="KYR29" s="19"/>
      <c r="KYS29" s="19"/>
      <c r="KYT29" s="19"/>
      <c r="KYU29" s="19"/>
      <c r="KYV29" s="19"/>
      <c r="KYW29" s="19"/>
      <c r="KYX29" s="19"/>
      <c r="KYY29" s="19"/>
      <c r="KYZ29" s="19"/>
      <c r="KZA29" s="19"/>
      <c r="KZB29" s="19"/>
      <c r="KZC29" s="19"/>
      <c r="KZD29" s="19"/>
      <c r="KZE29" s="19"/>
      <c r="KZF29" s="19"/>
      <c r="KZG29" s="19"/>
      <c r="KZH29" s="19"/>
      <c r="KZI29" s="19"/>
      <c r="KZJ29" s="19"/>
      <c r="KZK29" s="19"/>
      <c r="KZL29" s="19"/>
      <c r="KZM29" s="19"/>
      <c r="KZN29" s="19"/>
      <c r="KZO29" s="19"/>
      <c r="KZP29" s="19"/>
      <c r="KZQ29" s="19"/>
      <c r="KZR29" s="19"/>
      <c r="KZS29" s="19"/>
      <c r="KZT29" s="19"/>
      <c r="KZU29" s="19"/>
      <c r="KZV29" s="19"/>
      <c r="KZW29" s="19"/>
      <c r="KZX29" s="19"/>
      <c r="KZY29" s="19"/>
      <c r="KZZ29" s="19"/>
      <c r="LAA29" s="19"/>
      <c r="LAB29" s="19"/>
      <c r="LAC29" s="19"/>
      <c r="LAD29" s="19"/>
      <c r="LAE29" s="19"/>
      <c r="LAF29" s="19"/>
      <c r="LAG29" s="19"/>
      <c r="LAH29" s="19"/>
      <c r="LAI29" s="19"/>
      <c r="LAJ29" s="19"/>
      <c r="LAK29" s="19"/>
      <c r="LAL29" s="19"/>
      <c r="LAM29" s="19"/>
      <c r="LAN29" s="19"/>
      <c r="LAO29" s="19"/>
      <c r="LAP29" s="19"/>
      <c r="LAQ29" s="19"/>
      <c r="LAR29" s="19"/>
      <c r="LAS29" s="19"/>
      <c r="LAT29" s="19"/>
      <c r="LAU29" s="19"/>
      <c r="LAV29" s="19"/>
      <c r="LAW29" s="19"/>
      <c r="LAX29" s="19"/>
      <c r="LAY29" s="19"/>
      <c r="LAZ29" s="19"/>
      <c r="LBA29" s="19"/>
      <c r="LBB29" s="19"/>
      <c r="LBC29" s="19"/>
      <c r="LBD29" s="19"/>
      <c r="LBE29" s="19"/>
      <c r="LBF29" s="19"/>
      <c r="LBG29" s="19"/>
      <c r="LBH29" s="19"/>
      <c r="LBI29" s="19"/>
      <c r="LBJ29" s="19"/>
      <c r="LBK29" s="19"/>
      <c r="LBL29" s="19"/>
      <c r="LBM29" s="19"/>
      <c r="LBN29" s="19"/>
      <c r="LBO29" s="19"/>
      <c r="LBP29" s="19"/>
      <c r="LBQ29" s="19"/>
      <c r="LBR29" s="19"/>
      <c r="LBS29" s="19"/>
      <c r="LBT29" s="19"/>
      <c r="LBU29" s="19"/>
      <c r="LBV29" s="19"/>
      <c r="LBW29" s="19"/>
      <c r="LBX29" s="19"/>
      <c r="LBY29" s="19"/>
      <c r="LBZ29" s="19"/>
      <c r="LCA29" s="19"/>
      <c r="LCB29" s="19"/>
      <c r="LCC29" s="19"/>
      <c r="LCD29" s="19"/>
      <c r="LCE29" s="19"/>
      <c r="LCF29" s="19"/>
      <c r="LCG29" s="19"/>
      <c r="LCH29" s="19"/>
      <c r="LCI29" s="19"/>
      <c r="LCJ29" s="19"/>
      <c r="LCK29" s="19"/>
      <c r="LCL29" s="19"/>
      <c r="LCM29" s="19"/>
      <c r="LCN29" s="19"/>
      <c r="LCO29" s="19"/>
      <c r="LCP29" s="19"/>
      <c r="LCQ29" s="19"/>
      <c r="LCR29" s="19"/>
      <c r="LCS29" s="19"/>
      <c r="LCT29" s="19"/>
      <c r="LCU29" s="19"/>
      <c r="LCV29" s="19"/>
      <c r="LCW29" s="19"/>
      <c r="LCX29" s="19"/>
      <c r="LCY29" s="19"/>
      <c r="LCZ29" s="19"/>
      <c r="LDA29" s="19"/>
      <c r="LDB29" s="19"/>
      <c r="LDC29" s="19"/>
      <c r="LDD29" s="19"/>
      <c r="LDE29" s="19"/>
      <c r="LDF29" s="19"/>
      <c r="LDG29" s="19"/>
      <c r="LDH29" s="19"/>
      <c r="LDI29" s="19"/>
      <c r="LDJ29" s="19"/>
      <c r="LDK29" s="19"/>
      <c r="LDL29" s="19"/>
      <c r="LDM29" s="19"/>
      <c r="LDN29" s="19"/>
      <c r="LDO29" s="19"/>
      <c r="LDP29" s="19"/>
      <c r="LDQ29" s="19"/>
      <c r="LDR29" s="19"/>
      <c r="LDS29" s="19"/>
      <c r="LDT29" s="19"/>
      <c r="LDU29" s="19"/>
      <c r="LDV29" s="19"/>
      <c r="LDW29" s="19"/>
      <c r="LDX29" s="19"/>
      <c r="LDY29" s="19"/>
      <c r="LDZ29" s="19"/>
      <c r="LEA29" s="19"/>
      <c r="LEB29" s="19"/>
      <c r="LEC29" s="19"/>
      <c r="LED29" s="19"/>
      <c r="LEE29" s="19"/>
      <c r="LEF29" s="19"/>
      <c r="LEG29" s="19"/>
      <c r="LEH29" s="19"/>
      <c r="LEI29" s="19"/>
      <c r="LEJ29" s="19"/>
      <c r="LEK29" s="19"/>
      <c r="LEL29" s="19"/>
      <c r="LEM29" s="19"/>
      <c r="LEN29" s="19"/>
      <c r="LEO29" s="19"/>
      <c r="LEP29" s="19"/>
      <c r="LEQ29" s="19"/>
      <c r="LER29" s="19"/>
      <c r="LES29" s="19"/>
      <c r="LET29" s="19"/>
      <c r="LEU29" s="19"/>
      <c r="LEV29" s="19"/>
      <c r="LEW29" s="19"/>
      <c r="LEX29" s="19"/>
      <c r="LEY29" s="19"/>
      <c r="LEZ29" s="19"/>
      <c r="LFA29" s="19"/>
      <c r="LFB29" s="19"/>
      <c r="LFC29" s="19"/>
      <c r="LFD29" s="19"/>
      <c r="LFE29" s="19"/>
      <c r="LFF29" s="19"/>
      <c r="LFG29" s="19"/>
      <c r="LFH29" s="19"/>
      <c r="LFI29" s="19"/>
      <c r="LFJ29" s="19"/>
      <c r="LFK29" s="19"/>
      <c r="LFL29" s="19"/>
      <c r="LFM29" s="19"/>
      <c r="LFN29" s="19"/>
      <c r="LFO29" s="19"/>
      <c r="LFP29" s="19"/>
      <c r="LFQ29" s="19"/>
      <c r="LFR29" s="19"/>
      <c r="LFS29" s="19"/>
      <c r="LFT29" s="19"/>
      <c r="LFU29" s="19"/>
      <c r="LFV29" s="19"/>
      <c r="LFW29" s="19"/>
      <c r="LFX29" s="19"/>
      <c r="LFY29" s="19"/>
      <c r="LFZ29" s="19"/>
      <c r="LGA29" s="19"/>
      <c r="LGB29" s="19"/>
      <c r="LGC29" s="19"/>
      <c r="LGD29" s="19"/>
      <c r="LGE29" s="19"/>
      <c r="LGF29" s="19"/>
      <c r="LGG29" s="19"/>
      <c r="LGH29" s="19"/>
      <c r="LGI29" s="19"/>
      <c r="LGJ29" s="19"/>
      <c r="LGK29" s="19"/>
      <c r="LGL29" s="19"/>
      <c r="LGM29" s="19"/>
      <c r="LGN29" s="19"/>
      <c r="LGO29" s="19"/>
      <c r="LGP29" s="19"/>
      <c r="LGQ29" s="19"/>
      <c r="LGR29" s="19"/>
      <c r="LGS29" s="19"/>
      <c r="LGT29" s="19"/>
      <c r="LGU29" s="19"/>
      <c r="LGV29" s="19"/>
      <c r="LGW29" s="19"/>
      <c r="LGX29" s="19"/>
      <c r="LGY29" s="19"/>
      <c r="LGZ29" s="19"/>
      <c r="LHA29" s="19"/>
      <c r="LHB29" s="19"/>
      <c r="LHC29" s="19"/>
      <c r="LHD29" s="19"/>
      <c r="LHE29" s="19"/>
      <c r="LHF29" s="19"/>
      <c r="LHG29" s="19"/>
      <c r="LHH29" s="19"/>
      <c r="LHI29" s="19"/>
      <c r="LHJ29" s="19"/>
      <c r="LHK29" s="19"/>
      <c r="LHL29" s="19"/>
      <c r="LHM29" s="19"/>
      <c r="LHN29" s="19"/>
      <c r="LHO29" s="19"/>
      <c r="LHP29" s="19"/>
      <c r="LHQ29" s="19"/>
      <c r="LHR29" s="19"/>
      <c r="LHS29" s="19"/>
      <c r="LHT29" s="19"/>
      <c r="LHU29" s="19"/>
      <c r="LHV29" s="19"/>
      <c r="LHW29" s="19"/>
      <c r="LHX29" s="19"/>
      <c r="LHY29" s="19"/>
      <c r="LHZ29" s="19"/>
      <c r="LIA29" s="19"/>
      <c r="LIB29" s="19"/>
      <c r="LIC29" s="19"/>
      <c r="LID29" s="19"/>
      <c r="LIE29" s="19"/>
      <c r="LIF29" s="19"/>
      <c r="LIG29" s="19"/>
      <c r="LIH29" s="19"/>
      <c r="LII29" s="19"/>
      <c r="LIJ29" s="19"/>
      <c r="LIK29" s="19"/>
      <c r="LIL29" s="19"/>
      <c r="LIM29" s="19"/>
      <c r="LIN29" s="19"/>
      <c r="LIO29" s="19"/>
      <c r="LIP29" s="19"/>
      <c r="LIQ29" s="19"/>
      <c r="LIR29" s="19"/>
      <c r="LIS29" s="19"/>
      <c r="LIT29" s="19"/>
      <c r="LIU29" s="19"/>
      <c r="LIV29" s="19"/>
      <c r="LIW29" s="19"/>
      <c r="LIX29" s="19"/>
      <c r="LIY29" s="19"/>
      <c r="LIZ29" s="19"/>
      <c r="LJA29" s="19"/>
      <c r="LJB29" s="19"/>
      <c r="LJC29" s="19"/>
      <c r="LJD29" s="19"/>
      <c r="LJE29" s="19"/>
      <c r="LJF29" s="19"/>
      <c r="LJG29" s="19"/>
      <c r="LJH29" s="19"/>
      <c r="LJI29" s="19"/>
      <c r="LJJ29" s="19"/>
      <c r="LJK29" s="19"/>
      <c r="LJL29" s="19"/>
      <c r="LJM29" s="19"/>
      <c r="LJN29" s="19"/>
      <c r="LJO29" s="19"/>
      <c r="LJP29" s="19"/>
      <c r="LJQ29" s="19"/>
      <c r="LJR29" s="19"/>
      <c r="LJS29" s="19"/>
      <c r="LJT29" s="19"/>
      <c r="LJU29" s="19"/>
      <c r="LJV29" s="19"/>
      <c r="LJW29" s="19"/>
      <c r="LJX29" s="19"/>
      <c r="LJY29" s="19"/>
      <c r="LJZ29" s="19"/>
      <c r="LKA29" s="19"/>
      <c r="LKB29" s="19"/>
      <c r="LKC29" s="19"/>
      <c r="LKD29" s="19"/>
      <c r="LKE29" s="19"/>
      <c r="LKF29" s="19"/>
      <c r="LKG29" s="19"/>
      <c r="LKH29" s="19"/>
      <c r="LKI29" s="19"/>
      <c r="LKJ29" s="19"/>
      <c r="LKK29" s="19"/>
      <c r="LKL29" s="19"/>
      <c r="LKM29" s="19"/>
      <c r="LKN29" s="19"/>
      <c r="LKO29" s="19"/>
      <c r="LKP29" s="19"/>
      <c r="LKQ29" s="19"/>
      <c r="LKR29" s="19"/>
      <c r="LKS29" s="19"/>
      <c r="LKT29" s="19"/>
      <c r="LKU29" s="19"/>
      <c r="LKV29" s="19"/>
      <c r="LKW29" s="19"/>
      <c r="LKX29" s="19"/>
      <c r="LKY29" s="19"/>
      <c r="LKZ29" s="19"/>
      <c r="LLA29" s="19"/>
      <c r="LLB29" s="19"/>
      <c r="LLC29" s="19"/>
      <c r="LLD29" s="19"/>
      <c r="LLE29" s="19"/>
      <c r="LLF29" s="19"/>
      <c r="LLG29" s="19"/>
      <c r="LLH29" s="19"/>
      <c r="LLI29" s="19"/>
      <c r="LLJ29" s="19"/>
      <c r="LLK29" s="19"/>
      <c r="LLL29" s="19"/>
      <c r="LLM29" s="19"/>
      <c r="LLN29" s="19"/>
      <c r="LLO29" s="19"/>
      <c r="LLP29" s="19"/>
      <c r="LLQ29" s="19"/>
      <c r="LLR29" s="19"/>
      <c r="LLS29" s="19"/>
      <c r="LLT29" s="19"/>
      <c r="LLU29" s="19"/>
      <c r="LLV29" s="19"/>
      <c r="LLW29" s="19"/>
      <c r="LLX29" s="19"/>
      <c r="LLY29" s="19"/>
      <c r="LLZ29" s="19"/>
      <c r="LMA29" s="19"/>
      <c r="LMB29" s="19"/>
      <c r="LMC29" s="19"/>
      <c r="LMD29" s="19"/>
      <c r="LME29" s="19"/>
      <c r="LMF29" s="19"/>
      <c r="LMG29" s="19"/>
      <c r="LMH29" s="19"/>
      <c r="LMI29" s="19"/>
      <c r="LMJ29" s="19"/>
      <c r="LMK29" s="19"/>
      <c r="LML29" s="19"/>
      <c r="LMM29" s="19"/>
      <c r="LMN29" s="19"/>
      <c r="LMO29" s="19"/>
      <c r="LMP29" s="19"/>
      <c r="LMQ29" s="19"/>
      <c r="LMR29" s="19"/>
      <c r="LMS29" s="19"/>
      <c r="LMT29" s="19"/>
      <c r="LMU29" s="19"/>
      <c r="LMV29" s="19"/>
      <c r="LMW29" s="19"/>
      <c r="LMX29" s="19"/>
      <c r="LMY29" s="19"/>
      <c r="LMZ29" s="19"/>
      <c r="LNA29" s="19"/>
      <c r="LNB29" s="19"/>
      <c r="LNC29" s="19"/>
      <c r="LND29" s="19"/>
      <c r="LNE29" s="19"/>
      <c r="LNF29" s="19"/>
      <c r="LNG29" s="19"/>
      <c r="LNH29" s="19"/>
      <c r="LNI29" s="19"/>
      <c r="LNJ29" s="19"/>
      <c r="LNK29" s="19"/>
      <c r="LNL29" s="19"/>
      <c r="LNM29" s="19"/>
      <c r="LNN29" s="19"/>
      <c r="LNO29" s="19"/>
      <c r="LNP29" s="19"/>
      <c r="LNQ29" s="19"/>
      <c r="LNR29" s="19"/>
      <c r="LNS29" s="19"/>
      <c r="LNT29" s="19"/>
      <c r="LNU29" s="19"/>
      <c r="LNV29" s="19"/>
      <c r="LNW29" s="19"/>
      <c r="LNX29" s="19"/>
      <c r="LNY29" s="19"/>
      <c r="LNZ29" s="19"/>
      <c r="LOA29" s="19"/>
      <c r="LOB29" s="19"/>
      <c r="LOC29" s="19"/>
      <c r="LOD29" s="19"/>
      <c r="LOE29" s="19"/>
      <c r="LOF29" s="19"/>
      <c r="LOG29" s="19"/>
      <c r="LOH29" s="19"/>
      <c r="LOI29" s="19"/>
      <c r="LOJ29" s="19"/>
      <c r="LOK29" s="19"/>
      <c r="LOL29" s="19"/>
      <c r="LOM29" s="19"/>
      <c r="LON29" s="19"/>
      <c r="LOO29" s="19"/>
      <c r="LOP29" s="19"/>
      <c r="LOQ29" s="19"/>
      <c r="LOR29" s="19"/>
      <c r="LOS29" s="19"/>
      <c r="LOT29" s="19"/>
      <c r="LOU29" s="19"/>
      <c r="LOV29" s="19"/>
      <c r="LOW29" s="19"/>
      <c r="LOX29" s="19"/>
      <c r="LOY29" s="19"/>
      <c r="LOZ29" s="19"/>
      <c r="LPA29" s="19"/>
      <c r="LPB29" s="19"/>
      <c r="LPC29" s="19"/>
      <c r="LPD29" s="19"/>
      <c r="LPE29" s="19"/>
      <c r="LPF29" s="19"/>
      <c r="LPG29" s="19"/>
      <c r="LPH29" s="19"/>
      <c r="LPI29" s="19"/>
      <c r="LPJ29" s="19"/>
      <c r="LPK29" s="19"/>
      <c r="LPL29" s="19"/>
      <c r="LPM29" s="19"/>
      <c r="LPN29" s="19"/>
      <c r="LPO29" s="19"/>
      <c r="LPP29" s="19"/>
      <c r="LPQ29" s="19"/>
      <c r="LPR29" s="19"/>
      <c r="LPS29" s="19"/>
      <c r="LPT29" s="19"/>
      <c r="LPU29" s="19"/>
      <c r="LPV29" s="19"/>
      <c r="LPW29" s="19"/>
      <c r="LPX29" s="19"/>
      <c r="LPY29" s="19"/>
      <c r="LPZ29" s="19"/>
      <c r="LQA29" s="19"/>
      <c r="LQB29" s="19"/>
      <c r="LQC29" s="19"/>
      <c r="LQD29" s="19"/>
      <c r="LQE29" s="19"/>
      <c r="LQF29" s="19"/>
      <c r="LQG29" s="19"/>
      <c r="LQH29" s="19"/>
      <c r="LQI29" s="19"/>
      <c r="LQJ29" s="19"/>
      <c r="LQK29" s="19"/>
      <c r="LQL29" s="19"/>
      <c r="LQM29" s="19"/>
      <c r="LQN29" s="19"/>
      <c r="LQO29" s="19"/>
      <c r="LQP29" s="19"/>
      <c r="LQQ29" s="19"/>
      <c r="LQR29" s="19"/>
      <c r="LQS29" s="19"/>
      <c r="LQT29" s="19"/>
      <c r="LQU29" s="19"/>
      <c r="LQV29" s="19"/>
      <c r="LQW29" s="19"/>
      <c r="LQX29" s="19"/>
      <c r="LQY29" s="19"/>
      <c r="LQZ29" s="19"/>
      <c r="LRA29" s="19"/>
      <c r="LRB29" s="19"/>
      <c r="LRC29" s="19"/>
      <c r="LRD29" s="19"/>
      <c r="LRE29" s="19"/>
      <c r="LRF29" s="19"/>
      <c r="LRG29" s="19"/>
      <c r="LRH29" s="19"/>
      <c r="LRI29" s="19"/>
      <c r="LRJ29" s="19"/>
      <c r="LRK29" s="19"/>
      <c r="LRL29" s="19"/>
      <c r="LRM29" s="19"/>
      <c r="LRN29" s="19"/>
      <c r="LRO29" s="19"/>
      <c r="LRP29" s="19"/>
      <c r="LRQ29" s="19"/>
      <c r="LRR29" s="19"/>
      <c r="LRS29" s="19"/>
      <c r="LRT29" s="19"/>
      <c r="LRU29" s="19"/>
      <c r="LRV29" s="19"/>
      <c r="LRW29" s="19"/>
      <c r="LRX29" s="19"/>
      <c r="LRY29" s="19"/>
      <c r="LRZ29" s="19"/>
      <c r="LSA29" s="19"/>
      <c r="LSB29" s="19"/>
      <c r="LSC29" s="19"/>
      <c r="LSD29" s="19"/>
      <c r="LSE29" s="19"/>
      <c r="LSF29" s="19"/>
      <c r="LSG29" s="19"/>
      <c r="LSH29" s="19"/>
      <c r="LSI29" s="19"/>
      <c r="LSJ29" s="19"/>
      <c r="LSK29" s="19"/>
      <c r="LSL29" s="19"/>
      <c r="LSM29" s="19"/>
      <c r="LSN29" s="19"/>
      <c r="LSO29" s="19"/>
      <c r="LSP29" s="19"/>
      <c r="LSQ29" s="19"/>
      <c r="LSR29" s="19"/>
      <c r="LSS29" s="19"/>
      <c r="LST29" s="19"/>
      <c r="LSU29" s="19"/>
      <c r="LSV29" s="19"/>
      <c r="LSW29" s="19"/>
      <c r="LSX29" s="19"/>
      <c r="LSY29" s="19"/>
      <c r="LSZ29" s="19"/>
      <c r="LTA29" s="19"/>
      <c r="LTB29" s="19"/>
      <c r="LTC29" s="19"/>
      <c r="LTD29" s="19"/>
      <c r="LTE29" s="19"/>
      <c r="LTF29" s="19"/>
      <c r="LTG29" s="19"/>
      <c r="LTH29" s="19"/>
      <c r="LTI29" s="19"/>
      <c r="LTJ29" s="19"/>
      <c r="LTK29" s="19"/>
      <c r="LTL29" s="19"/>
      <c r="LTM29" s="19"/>
      <c r="LTN29" s="19"/>
      <c r="LTO29" s="19"/>
      <c r="LTP29" s="19"/>
      <c r="LTQ29" s="19"/>
      <c r="LTR29" s="19"/>
      <c r="LTS29" s="19"/>
      <c r="LTT29" s="19"/>
      <c r="LTU29" s="19"/>
      <c r="LTV29" s="19"/>
      <c r="LTW29" s="19"/>
      <c r="LTX29" s="19"/>
      <c r="LTY29" s="19"/>
      <c r="LTZ29" s="19"/>
      <c r="LUA29" s="19"/>
      <c r="LUB29" s="19"/>
      <c r="LUC29" s="19"/>
      <c r="LUD29" s="19"/>
      <c r="LUE29" s="19"/>
      <c r="LUF29" s="19"/>
      <c r="LUG29" s="19"/>
      <c r="LUH29" s="19"/>
      <c r="LUI29" s="19"/>
      <c r="LUJ29" s="19"/>
      <c r="LUK29" s="19"/>
      <c r="LUL29" s="19"/>
      <c r="LUM29" s="19"/>
      <c r="LUN29" s="19"/>
      <c r="LUO29" s="19"/>
      <c r="LUP29" s="19"/>
      <c r="LUQ29" s="19"/>
      <c r="LUR29" s="19"/>
      <c r="LUS29" s="19"/>
      <c r="LUT29" s="19"/>
      <c r="LUU29" s="19"/>
      <c r="LUV29" s="19"/>
      <c r="LUW29" s="19"/>
      <c r="LUX29" s="19"/>
      <c r="LUY29" s="19"/>
      <c r="LUZ29" s="19"/>
      <c r="LVA29" s="19"/>
      <c r="LVB29" s="19"/>
      <c r="LVC29" s="19"/>
      <c r="LVD29" s="19"/>
      <c r="LVE29" s="19"/>
      <c r="LVF29" s="19"/>
      <c r="LVG29" s="19"/>
      <c r="LVH29" s="19"/>
      <c r="LVI29" s="19"/>
      <c r="LVJ29" s="19"/>
      <c r="LVK29" s="19"/>
      <c r="LVL29" s="19"/>
      <c r="LVM29" s="19"/>
      <c r="LVN29" s="19"/>
      <c r="LVO29" s="19"/>
      <c r="LVP29" s="19"/>
      <c r="LVQ29" s="19"/>
      <c r="LVR29" s="19"/>
      <c r="LVS29" s="19"/>
      <c r="LVT29" s="19"/>
      <c r="LVU29" s="19"/>
      <c r="LVV29" s="19"/>
      <c r="LVW29" s="19"/>
      <c r="LVX29" s="19"/>
      <c r="LVY29" s="19"/>
      <c r="LVZ29" s="19"/>
      <c r="LWA29" s="19"/>
      <c r="LWB29" s="19"/>
      <c r="LWC29" s="19"/>
      <c r="LWD29" s="19"/>
      <c r="LWE29" s="19"/>
      <c r="LWF29" s="19"/>
      <c r="LWG29" s="19"/>
      <c r="LWH29" s="19"/>
      <c r="LWI29" s="19"/>
      <c r="LWJ29" s="19"/>
      <c r="LWK29" s="19"/>
      <c r="LWL29" s="19"/>
      <c r="LWM29" s="19"/>
      <c r="LWN29" s="19"/>
      <c r="LWO29" s="19"/>
      <c r="LWP29" s="19"/>
      <c r="LWQ29" s="19"/>
      <c r="LWR29" s="19"/>
      <c r="LWS29" s="19"/>
      <c r="LWT29" s="19"/>
      <c r="LWU29" s="19"/>
      <c r="LWV29" s="19"/>
      <c r="LWW29" s="19"/>
      <c r="LWX29" s="19"/>
      <c r="LWY29" s="19"/>
      <c r="LWZ29" s="19"/>
      <c r="LXA29" s="19"/>
      <c r="LXB29" s="19"/>
      <c r="LXC29" s="19"/>
      <c r="LXD29" s="19"/>
      <c r="LXE29" s="19"/>
      <c r="LXF29" s="19"/>
      <c r="LXG29" s="19"/>
      <c r="LXH29" s="19"/>
      <c r="LXI29" s="19"/>
      <c r="LXJ29" s="19"/>
      <c r="LXK29" s="19"/>
      <c r="LXL29" s="19"/>
      <c r="LXM29" s="19"/>
      <c r="LXN29" s="19"/>
      <c r="LXO29" s="19"/>
      <c r="LXP29" s="19"/>
      <c r="LXQ29" s="19"/>
      <c r="LXR29" s="19"/>
      <c r="LXS29" s="19"/>
      <c r="LXT29" s="19"/>
      <c r="LXU29" s="19"/>
      <c r="LXV29" s="19"/>
      <c r="LXW29" s="19"/>
      <c r="LXX29" s="19"/>
      <c r="LXY29" s="19"/>
      <c r="LXZ29" s="19"/>
      <c r="LYA29" s="19"/>
      <c r="LYB29" s="19"/>
      <c r="LYC29" s="19"/>
      <c r="LYD29" s="19"/>
      <c r="LYE29" s="19"/>
      <c r="LYF29" s="19"/>
      <c r="LYG29" s="19"/>
      <c r="LYH29" s="19"/>
      <c r="LYI29" s="19"/>
      <c r="LYJ29" s="19"/>
      <c r="LYK29" s="19"/>
      <c r="LYL29" s="19"/>
      <c r="LYM29" s="19"/>
      <c r="LYN29" s="19"/>
      <c r="LYO29" s="19"/>
      <c r="LYP29" s="19"/>
      <c r="LYQ29" s="19"/>
      <c r="LYR29" s="19"/>
      <c r="LYS29" s="19"/>
      <c r="LYT29" s="19"/>
      <c r="LYU29" s="19"/>
      <c r="LYV29" s="19"/>
      <c r="LYW29" s="19"/>
      <c r="LYX29" s="19"/>
      <c r="LYY29" s="19"/>
      <c r="LYZ29" s="19"/>
      <c r="LZA29" s="19"/>
      <c r="LZB29" s="19"/>
      <c r="LZC29" s="19"/>
      <c r="LZD29" s="19"/>
      <c r="LZE29" s="19"/>
      <c r="LZF29" s="19"/>
      <c r="LZG29" s="19"/>
      <c r="LZH29" s="19"/>
      <c r="LZI29" s="19"/>
      <c r="LZJ29" s="19"/>
      <c r="LZK29" s="19"/>
      <c r="LZL29" s="19"/>
      <c r="LZM29" s="19"/>
      <c r="LZN29" s="19"/>
      <c r="LZO29" s="19"/>
      <c r="LZP29" s="19"/>
      <c r="LZQ29" s="19"/>
      <c r="LZR29" s="19"/>
      <c r="LZS29" s="19"/>
      <c r="LZT29" s="19"/>
      <c r="LZU29" s="19"/>
      <c r="LZV29" s="19"/>
      <c r="LZW29" s="19"/>
      <c r="LZX29" s="19"/>
      <c r="LZY29" s="19"/>
      <c r="LZZ29" s="19"/>
      <c r="MAA29" s="19"/>
      <c r="MAB29" s="19"/>
      <c r="MAC29" s="19"/>
      <c r="MAD29" s="19"/>
      <c r="MAE29" s="19"/>
      <c r="MAF29" s="19"/>
      <c r="MAG29" s="19"/>
      <c r="MAH29" s="19"/>
      <c r="MAI29" s="19"/>
      <c r="MAJ29" s="19"/>
      <c r="MAK29" s="19"/>
      <c r="MAL29" s="19"/>
      <c r="MAM29" s="19"/>
      <c r="MAN29" s="19"/>
      <c r="MAO29" s="19"/>
      <c r="MAP29" s="19"/>
      <c r="MAQ29" s="19"/>
      <c r="MAR29" s="19"/>
      <c r="MAS29" s="19"/>
      <c r="MAT29" s="19"/>
      <c r="MAU29" s="19"/>
      <c r="MAV29" s="19"/>
      <c r="MAW29" s="19"/>
      <c r="MAX29" s="19"/>
      <c r="MAY29" s="19"/>
      <c r="MAZ29" s="19"/>
      <c r="MBA29" s="19"/>
      <c r="MBB29" s="19"/>
      <c r="MBC29" s="19"/>
      <c r="MBD29" s="19"/>
      <c r="MBE29" s="19"/>
      <c r="MBF29" s="19"/>
      <c r="MBG29" s="19"/>
      <c r="MBH29" s="19"/>
      <c r="MBI29" s="19"/>
      <c r="MBJ29" s="19"/>
      <c r="MBK29" s="19"/>
      <c r="MBL29" s="19"/>
      <c r="MBM29" s="19"/>
      <c r="MBN29" s="19"/>
      <c r="MBO29" s="19"/>
      <c r="MBP29" s="19"/>
      <c r="MBQ29" s="19"/>
      <c r="MBR29" s="19"/>
      <c r="MBS29" s="19"/>
      <c r="MBT29" s="19"/>
      <c r="MBU29" s="19"/>
      <c r="MBV29" s="19"/>
      <c r="MBW29" s="19"/>
      <c r="MBX29" s="19"/>
      <c r="MBY29" s="19"/>
      <c r="MBZ29" s="19"/>
      <c r="MCA29" s="19"/>
      <c r="MCB29" s="19"/>
      <c r="MCC29" s="19"/>
      <c r="MCD29" s="19"/>
      <c r="MCE29" s="19"/>
      <c r="MCF29" s="19"/>
      <c r="MCG29" s="19"/>
      <c r="MCH29" s="19"/>
      <c r="MCI29" s="19"/>
      <c r="MCJ29" s="19"/>
      <c r="MCK29" s="19"/>
      <c r="MCL29" s="19"/>
      <c r="MCM29" s="19"/>
      <c r="MCN29" s="19"/>
      <c r="MCO29" s="19"/>
      <c r="MCP29" s="19"/>
      <c r="MCQ29" s="19"/>
      <c r="MCR29" s="19"/>
      <c r="MCS29" s="19"/>
      <c r="MCT29" s="19"/>
      <c r="MCU29" s="19"/>
      <c r="MCV29" s="19"/>
      <c r="MCW29" s="19"/>
      <c r="MCX29" s="19"/>
      <c r="MCY29" s="19"/>
      <c r="MCZ29" s="19"/>
      <c r="MDA29" s="19"/>
      <c r="MDB29" s="19"/>
      <c r="MDC29" s="19"/>
      <c r="MDD29" s="19"/>
      <c r="MDE29" s="19"/>
      <c r="MDF29" s="19"/>
      <c r="MDG29" s="19"/>
      <c r="MDH29" s="19"/>
      <c r="MDI29" s="19"/>
      <c r="MDJ29" s="19"/>
      <c r="MDK29" s="19"/>
      <c r="MDL29" s="19"/>
      <c r="MDM29" s="19"/>
      <c r="MDN29" s="19"/>
      <c r="MDO29" s="19"/>
      <c r="MDP29" s="19"/>
      <c r="MDQ29" s="19"/>
      <c r="MDR29" s="19"/>
      <c r="MDS29" s="19"/>
      <c r="MDT29" s="19"/>
      <c r="MDU29" s="19"/>
      <c r="MDV29" s="19"/>
      <c r="MDW29" s="19"/>
      <c r="MDX29" s="19"/>
      <c r="MDY29" s="19"/>
      <c r="MDZ29" s="19"/>
      <c r="MEA29" s="19"/>
      <c r="MEB29" s="19"/>
      <c r="MEC29" s="19"/>
      <c r="MED29" s="19"/>
      <c r="MEE29" s="19"/>
      <c r="MEF29" s="19"/>
      <c r="MEG29" s="19"/>
      <c r="MEH29" s="19"/>
      <c r="MEI29" s="19"/>
      <c r="MEJ29" s="19"/>
      <c r="MEK29" s="19"/>
      <c r="MEL29" s="19"/>
      <c r="MEM29" s="19"/>
      <c r="MEN29" s="19"/>
      <c r="MEO29" s="19"/>
      <c r="MEP29" s="19"/>
      <c r="MEQ29" s="19"/>
      <c r="MER29" s="19"/>
      <c r="MES29" s="19"/>
      <c r="MET29" s="19"/>
      <c r="MEU29" s="19"/>
      <c r="MEV29" s="19"/>
      <c r="MEW29" s="19"/>
      <c r="MEX29" s="19"/>
      <c r="MEY29" s="19"/>
      <c r="MEZ29" s="19"/>
      <c r="MFA29" s="19"/>
      <c r="MFB29" s="19"/>
      <c r="MFC29" s="19"/>
      <c r="MFD29" s="19"/>
      <c r="MFE29" s="19"/>
      <c r="MFF29" s="19"/>
      <c r="MFG29" s="19"/>
      <c r="MFH29" s="19"/>
      <c r="MFI29" s="19"/>
      <c r="MFJ29" s="19"/>
      <c r="MFK29" s="19"/>
      <c r="MFL29" s="19"/>
      <c r="MFM29" s="19"/>
      <c r="MFN29" s="19"/>
      <c r="MFO29" s="19"/>
      <c r="MFP29" s="19"/>
      <c r="MFQ29" s="19"/>
      <c r="MFR29" s="19"/>
      <c r="MFS29" s="19"/>
      <c r="MFT29" s="19"/>
      <c r="MFU29" s="19"/>
      <c r="MFV29" s="19"/>
      <c r="MFW29" s="19"/>
      <c r="MFX29" s="19"/>
      <c r="MFY29" s="19"/>
      <c r="MFZ29" s="19"/>
      <c r="MGA29" s="19"/>
      <c r="MGB29" s="19"/>
      <c r="MGC29" s="19"/>
      <c r="MGD29" s="19"/>
      <c r="MGE29" s="19"/>
      <c r="MGF29" s="19"/>
      <c r="MGG29" s="19"/>
      <c r="MGH29" s="19"/>
      <c r="MGI29" s="19"/>
      <c r="MGJ29" s="19"/>
      <c r="MGK29" s="19"/>
      <c r="MGL29" s="19"/>
      <c r="MGM29" s="19"/>
      <c r="MGN29" s="19"/>
      <c r="MGO29" s="19"/>
      <c r="MGP29" s="19"/>
      <c r="MGQ29" s="19"/>
      <c r="MGR29" s="19"/>
      <c r="MGS29" s="19"/>
      <c r="MGT29" s="19"/>
      <c r="MGU29" s="19"/>
      <c r="MGV29" s="19"/>
      <c r="MGW29" s="19"/>
      <c r="MGX29" s="19"/>
      <c r="MGY29" s="19"/>
      <c r="MGZ29" s="19"/>
      <c r="MHA29" s="19"/>
      <c r="MHB29" s="19"/>
      <c r="MHC29" s="19"/>
      <c r="MHD29" s="19"/>
      <c r="MHE29" s="19"/>
      <c r="MHF29" s="19"/>
      <c r="MHG29" s="19"/>
      <c r="MHH29" s="19"/>
      <c r="MHI29" s="19"/>
      <c r="MHJ29" s="19"/>
      <c r="MHK29" s="19"/>
      <c r="MHL29" s="19"/>
      <c r="MHM29" s="19"/>
      <c r="MHN29" s="19"/>
      <c r="MHO29" s="19"/>
      <c r="MHP29" s="19"/>
      <c r="MHQ29" s="19"/>
      <c r="MHR29" s="19"/>
      <c r="MHS29" s="19"/>
      <c r="MHT29" s="19"/>
      <c r="MHU29" s="19"/>
      <c r="MHV29" s="19"/>
      <c r="MHW29" s="19"/>
      <c r="MHX29" s="19"/>
      <c r="MHY29" s="19"/>
      <c r="MHZ29" s="19"/>
      <c r="MIA29" s="19"/>
      <c r="MIB29" s="19"/>
      <c r="MIC29" s="19"/>
      <c r="MID29" s="19"/>
      <c r="MIE29" s="19"/>
      <c r="MIF29" s="19"/>
      <c r="MIG29" s="19"/>
      <c r="MIH29" s="19"/>
      <c r="MII29" s="19"/>
      <c r="MIJ29" s="19"/>
      <c r="MIK29" s="19"/>
      <c r="MIL29" s="19"/>
      <c r="MIM29" s="19"/>
      <c r="MIN29" s="19"/>
      <c r="MIO29" s="19"/>
      <c r="MIP29" s="19"/>
      <c r="MIQ29" s="19"/>
      <c r="MIR29" s="19"/>
      <c r="MIS29" s="19"/>
      <c r="MIT29" s="19"/>
      <c r="MIU29" s="19"/>
      <c r="MIV29" s="19"/>
      <c r="MIW29" s="19"/>
      <c r="MIX29" s="19"/>
      <c r="MIY29" s="19"/>
      <c r="MIZ29" s="19"/>
      <c r="MJA29" s="19"/>
      <c r="MJB29" s="19"/>
      <c r="MJC29" s="19"/>
      <c r="MJD29" s="19"/>
      <c r="MJE29" s="19"/>
      <c r="MJF29" s="19"/>
      <c r="MJG29" s="19"/>
      <c r="MJH29" s="19"/>
      <c r="MJI29" s="19"/>
      <c r="MJJ29" s="19"/>
      <c r="MJK29" s="19"/>
      <c r="MJL29" s="19"/>
      <c r="MJM29" s="19"/>
      <c r="MJN29" s="19"/>
      <c r="MJO29" s="19"/>
      <c r="MJP29" s="19"/>
      <c r="MJQ29" s="19"/>
      <c r="MJR29" s="19"/>
      <c r="MJS29" s="19"/>
      <c r="MJT29" s="19"/>
      <c r="MJU29" s="19"/>
      <c r="MJV29" s="19"/>
      <c r="MJW29" s="19"/>
      <c r="MJX29" s="19"/>
      <c r="MJY29" s="19"/>
      <c r="MJZ29" s="19"/>
      <c r="MKA29" s="19"/>
      <c r="MKB29" s="19"/>
      <c r="MKC29" s="19"/>
      <c r="MKD29" s="19"/>
      <c r="MKE29" s="19"/>
      <c r="MKF29" s="19"/>
      <c r="MKG29" s="19"/>
      <c r="MKH29" s="19"/>
      <c r="MKI29" s="19"/>
      <c r="MKJ29" s="19"/>
      <c r="MKK29" s="19"/>
      <c r="MKL29" s="19"/>
      <c r="MKM29" s="19"/>
      <c r="MKN29" s="19"/>
      <c r="MKO29" s="19"/>
      <c r="MKP29" s="19"/>
      <c r="MKQ29" s="19"/>
      <c r="MKR29" s="19"/>
      <c r="MKS29" s="19"/>
      <c r="MKT29" s="19"/>
      <c r="MKU29" s="19"/>
      <c r="MKV29" s="19"/>
      <c r="MKW29" s="19"/>
      <c r="MKX29" s="19"/>
      <c r="MKY29" s="19"/>
      <c r="MKZ29" s="19"/>
      <c r="MLA29" s="19"/>
      <c r="MLB29" s="19"/>
      <c r="MLC29" s="19"/>
      <c r="MLD29" s="19"/>
      <c r="MLE29" s="19"/>
      <c r="MLF29" s="19"/>
      <c r="MLG29" s="19"/>
      <c r="MLH29" s="19"/>
      <c r="MLI29" s="19"/>
      <c r="MLJ29" s="19"/>
      <c r="MLK29" s="19"/>
      <c r="MLL29" s="19"/>
      <c r="MLM29" s="19"/>
      <c r="MLN29" s="19"/>
      <c r="MLO29" s="19"/>
      <c r="MLP29" s="19"/>
      <c r="MLQ29" s="19"/>
      <c r="MLR29" s="19"/>
      <c r="MLS29" s="19"/>
      <c r="MLT29" s="19"/>
      <c r="MLU29" s="19"/>
      <c r="MLV29" s="19"/>
      <c r="MLW29" s="19"/>
      <c r="MLX29" s="19"/>
      <c r="MLY29" s="19"/>
      <c r="MLZ29" s="19"/>
      <c r="MMA29" s="19"/>
      <c r="MMB29" s="19"/>
      <c r="MMC29" s="19"/>
      <c r="MMD29" s="19"/>
      <c r="MME29" s="19"/>
      <c r="MMF29" s="19"/>
      <c r="MMG29" s="19"/>
      <c r="MMH29" s="19"/>
      <c r="MMI29" s="19"/>
      <c r="MMJ29" s="19"/>
      <c r="MMK29" s="19"/>
      <c r="MML29" s="19"/>
      <c r="MMM29" s="19"/>
      <c r="MMN29" s="19"/>
      <c r="MMO29" s="19"/>
      <c r="MMP29" s="19"/>
      <c r="MMQ29" s="19"/>
      <c r="MMR29" s="19"/>
      <c r="MMS29" s="19"/>
      <c r="MMT29" s="19"/>
      <c r="MMU29" s="19"/>
      <c r="MMV29" s="19"/>
      <c r="MMW29" s="19"/>
      <c r="MMX29" s="19"/>
      <c r="MMY29" s="19"/>
      <c r="MMZ29" s="19"/>
      <c r="MNA29" s="19"/>
      <c r="MNB29" s="19"/>
      <c r="MNC29" s="19"/>
      <c r="MND29" s="19"/>
      <c r="MNE29" s="19"/>
      <c r="MNF29" s="19"/>
      <c r="MNG29" s="19"/>
      <c r="MNH29" s="19"/>
      <c r="MNI29" s="19"/>
      <c r="MNJ29" s="19"/>
      <c r="MNK29" s="19"/>
      <c r="MNL29" s="19"/>
      <c r="MNM29" s="19"/>
      <c r="MNN29" s="19"/>
      <c r="MNO29" s="19"/>
      <c r="MNP29" s="19"/>
      <c r="MNQ29" s="19"/>
      <c r="MNR29" s="19"/>
      <c r="MNS29" s="19"/>
      <c r="MNT29" s="19"/>
      <c r="MNU29" s="19"/>
      <c r="MNV29" s="19"/>
      <c r="MNW29" s="19"/>
      <c r="MNX29" s="19"/>
      <c r="MNY29" s="19"/>
      <c r="MNZ29" s="19"/>
      <c r="MOA29" s="19"/>
      <c r="MOB29" s="19"/>
      <c r="MOC29" s="19"/>
      <c r="MOD29" s="19"/>
      <c r="MOE29" s="19"/>
      <c r="MOF29" s="19"/>
      <c r="MOG29" s="19"/>
      <c r="MOH29" s="19"/>
      <c r="MOI29" s="19"/>
      <c r="MOJ29" s="19"/>
      <c r="MOK29" s="19"/>
      <c r="MOL29" s="19"/>
      <c r="MOM29" s="19"/>
      <c r="MON29" s="19"/>
      <c r="MOO29" s="19"/>
      <c r="MOP29" s="19"/>
      <c r="MOQ29" s="19"/>
      <c r="MOR29" s="19"/>
      <c r="MOS29" s="19"/>
      <c r="MOT29" s="19"/>
      <c r="MOU29" s="19"/>
      <c r="MOV29" s="19"/>
      <c r="MOW29" s="19"/>
      <c r="MOX29" s="19"/>
      <c r="MOY29" s="19"/>
      <c r="MOZ29" s="19"/>
      <c r="MPA29" s="19"/>
      <c r="MPB29" s="19"/>
      <c r="MPC29" s="19"/>
      <c r="MPD29" s="19"/>
      <c r="MPE29" s="19"/>
      <c r="MPF29" s="19"/>
      <c r="MPG29" s="19"/>
      <c r="MPH29" s="19"/>
      <c r="MPI29" s="19"/>
      <c r="MPJ29" s="19"/>
      <c r="MPK29" s="19"/>
      <c r="MPL29" s="19"/>
      <c r="MPM29" s="19"/>
      <c r="MPN29" s="19"/>
      <c r="MPO29" s="19"/>
      <c r="MPP29" s="19"/>
      <c r="MPQ29" s="19"/>
      <c r="MPR29" s="19"/>
      <c r="MPS29" s="19"/>
      <c r="MPT29" s="19"/>
      <c r="MPU29" s="19"/>
      <c r="MPV29" s="19"/>
      <c r="MPW29" s="19"/>
      <c r="MPX29" s="19"/>
      <c r="MPY29" s="19"/>
      <c r="MPZ29" s="19"/>
      <c r="MQA29" s="19"/>
      <c r="MQB29" s="19"/>
      <c r="MQC29" s="19"/>
      <c r="MQD29" s="19"/>
      <c r="MQE29" s="19"/>
      <c r="MQF29" s="19"/>
      <c r="MQG29" s="19"/>
      <c r="MQH29" s="19"/>
      <c r="MQI29" s="19"/>
      <c r="MQJ29" s="19"/>
      <c r="MQK29" s="19"/>
      <c r="MQL29" s="19"/>
      <c r="MQM29" s="19"/>
      <c r="MQN29" s="19"/>
      <c r="MQO29" s="19"/>
      <c r="MQP29" s="19"/>
      <c r="MQQ29" s="19"/>
      <c r="MQR29" s="19"/>
      <c r="MQS29" s="19"/>
      <c r="MQT29" s="19"/>
      <c r="MQU29" s="19"/>
      <c r="MQV29" s="19"/>
      <c r="MQW29" s="19"/>
      <c r="MQX29" s="19"/>
      <c r="MQY29" s="19"/>
      <c r="MQZ29" s="19"/>
      <c r="MRA29" s="19"/>
      <c r="MRB29" s="19"/>
      <c r="MRC29" s="19"/>
      <c r="MRD29" s="19"/>
      <c r="MRE29" s="19"/>
      <c r="MRF29" s="19"/>
      <c r="MRG29" s="19"/>
      <c r="MRH29" s="19"/>
      <c r="MRI29" s="19"/>
      <c r="MRJ29" s="19"/>
      <c r="MRK29" s="19"/>
      <c r="MRL29" s="19"/>
      <c r="MRM29" s="19"/>
      <c r="MRN29" s="19"/>
      <c r="MRO29" s="19"/>
      <c r="MRP29" s="19"/>
      <c r="MRQ29" s="19"/>
      <c r="MRR29" s="19"/>
      <c r="MRS29" s="19"/>
      <c r="MRT29" s="19"/>
      <c r="MRU29" s="19"/>
      <c r="MRV29" s="19"/>
      <c r="MRW29" s="19"/>
      <c r="MRX29" s="19"/>
      <c r="MRY29" s="19"/>
      <c r="MRZ29" s="19"/>
      <c r="MSA29" s="19"/>
      <c r="MSB29" s="19"/>
      <c r="MSC29" s="19"/>
      <c r="MSD29" s="19"/>
      <c r="MSE29" s="19"/>
      <c r="MSF29" s="19"/>
      <c r="MSG29" s="19"/>
      <c r="MSH29" s="19"/>
      <c r="MSI29" s="19"/>
      <c r="MSJ29" s="19"/>
      <c r="MSK29" s="19"/>
      <c r="MSL29" s="19"/>
      <c r="MSM29" s="19"/>
      <c r="MSN29" s="19"/>
      <c r="MSO29" s="19"/>
      <c r="MSP29" s="19"/>
      <c r="MSQ29" s="19"/>
      <c r="MSR29" s="19"/>
      <c r="MSS29" s="19"/>
      <c r="MST29" s="19"/>
      <c r="MSU29" s="19"/>
      <c r="MSV29" s="19"/>
      <c r="MSW29" s="19"/>
      <c r="MSX29" s="19"/>
      <c r="MSY29" s="19"/>
      <c r="MSZ29" s="19"/>
      <c r="MTA29" s="19"/>
      <c r="MTB29" s="19"/>
      <c r="MTC29" s="19"/>
      <c r="MTD29" s="19"/>
      <c r="MTE29" s="19"/>
      <c r="MTF29" s="19"/>
      <c r="MTG29" s="19"/>
      <c r="MTH29" s="19"/>
      <c r="MTI29" s="19"/>
      <c r="MTJ29" s="19"/>
      <c r="MTK29" s="19"/>
      <c r="MTL29" s="19"/>
      <c r="MTM29" s="19"/>
      <c r="MTN29" s="19"/>
      <c r="MTO29" s="19"/>
      <c r="MTP29" s="19"/>
      <c r="MTQ29" s="19"/>
      <c r="MTR29" s="19"/>
      <c r="MTS29" s="19"/>
      <c r="MTT29" s="19"/>
      <c r="MTU29" s="19"/>
      <c r="MTV29" s="19"/>
      <c r="MTW29" s="19"/>
      <c r="MTX29" s="19"/>
      <c r="MTY29" s="19"/>
      <c r="MTZ29" s="19"/>
      <c r="MUA29" s="19"/>
      <c r="MUB29" s="19"/>
      <c r="MUC29" s="19"/>
      <c r="MUD29" s="19"/>
      <c r="MUE29" s="19"/>
      <c r="MUF29" s="19"/>
      <c r="MUG29" s="19"/>
      <c r="MUH29" s="19"/>
      <c r="MUI29" s="19"/>
      <c r="MUJ29" s="19"/>
      <c r="MUK29" s="19"/>
      <c r="MUL29" s="19"/>
      <c r="MUM29" s="19"/>
      <c r="MUN29" s="19"/>
      <c r="MUO29" s="19"/>
      <c r="MUP29" s="19"/>
      <c r="MUQ29" s="19"/>
      <c r="MUR29" s="19"/>
      <c r="MUS29" s="19"/>
      <c r="MUT29" s="19"/>
      <c r="MUU29" s="19"/>
      <c r="MUV29" s="19"/>
      <c r="MUW29" s="19"/>
      <c r="MUX29" s="19"/>
      <c r="MUY29" s="19"/>
      <c r="MUZ29" s="19"/>
      <c r="MVA29" s="19"/>
      <c r="MVB29" s="19"/>
      <c r="MVC29" s="19"/>
      <c r="MVD29" s="19"/>
      <c r="MVE29" s="19"/>
      <c r="MVF29" s="19"/>
      <c r="MVG29" s="19"/>
      <c r="MVH29" s="19"/>
      <c r="MVI29" s="19"/>
      <c r="MVJ29" s="19"/>
      <c r="MVK29" s="19"/>
      <c r="MVL29" s="19"/>
      <c r="MVM29" s="19"/>
      <c r="MVN29" s="19"/>
      <c r="MVO29" s="19"/>
      <c r="MVP29" s="19"/>
      <c r="MVQ29" s="19"/>
      <c r="MVR29" s="19"/>
      <c r="MVS29" s="19"/>
      <c r="MVT29" s="19"/>
      <c r="MVU29" s="19"/>
      <c r="MVV29" s="19"/>
      <c r="MVW29" s="19"/>
      <c r="MVX29" s="19"/>
      <c r="MVY29" s="19"/>
      <c r="MVZ29" s="19"/>
      <c r="MWA29" s="19"/>
      <c r="MWB29" s="19"/>
      <c r="MWC29" s="19"/>
      <c r="MWD29" s="19"/>
      <c r="MWE29" s="19"/>
      <c r="MWF29" s="19"/>
      <c r="MWG29" s="19"/>
      <c r="MWH29" s="19"/>
      <c r="MWI29" s="19"/>
      <c r="MWJ29" s="19"/>
      <c r="MWK29" s="19"/>
      <c r="MWL29" s="19"/>
      <c r="MWM29" s="19"/>
      <c r="MWN29" s="19"/>
      <c r="MWO29" s="19"/>
      <c r="MWP29" s="19"/>
      <c r="MWQ29" s="19"/>
      <c r="MWR29" s="19"/>
      <c r="MWS29" s="19"/>
      <c r="MWT29" s="19"/>
      <c r="MWU29" s="19"/>
      <c r="MWV29" s="19"/>
      <c r="MWW29" s="19"/>
      <c r="MWX29" s="19"/>
      <c r="MWY29" s="19"/>
      <c r="MWZ29" s="19"/>
      <c r="MXA29" s="19"/>
      <c r="MXB29" s="19"/>
      <c r="MXC29" s="19"/>
      <c r="MXD29" s="19"/>
      <c r="MXE29" s="19"/>
      <c r="MXF29" s="19"/>
      <c r="MXG29" s="19"/>
      <c r="MXH29" s="19"/>
      <c r="MXI29" s="19"/>
      <c r="MXJ29" s="19"/>
      <c r="MXK29" s="19"/>
      <c r="MXL29" s="19"/>
      <c r="MXM29" s="19"/>
      <c r="MXN29" s="19"/>
      <c r="MXO29" s="19"/>
      <c r="MXP29" s="19"/>
      <c r="MXQ29" s="19"/>
      <c r="MXR29" s="19"/>
      <c r="MXS29" s="19"/>
      <c r="MXT29" s="19"/>
      <c r="MXU29" s="19"/>
      <c r="MXV29" s="19"/>
      <c r="MXW29" s="19"/>
      <c r="MXX29" s="19"/>
      <c r="MXY29" s="19"/>
      <c r="MXZ29" s="19"/>
      <c r="MYA29" s="19"/>
      <c r="MYB29" s="19"/>
      <c r="MYC29" s="19"/>
      <c r="MYD29" s="19"/>
      <c r="MYE29" s="19"/>
      <c r="MYF29" s="19"/>
      <c r="MYG29" s="19"/>
      <c r="MYH29" s="19"/>
      <c r="MYI29" s="19"/>
      <c r="MYJ29" s="19"/>
      <c r="MYK29" s="19"/>
      <c r="MYL29" s="19"/>
      <c r="MYM29" s="19"/>
      <c r="MYN29" s="19"/>
      <c r="MYO29" s="19"/>
      <c r="MYP29" s="19"/>
      <c r="MYQ29" s="19"/>
      <c r="MYR29" s="19"/>
      <c r="MYS29" s="19"/>
      <c r="MYT29" s="19"/>
      <c r="MYU29" s="19"/>
      <c r="MYV29" s="19"/>
      <c r="MYW29" s="19"/>
      <c r="MYX29" s="19"/>
      <c r="MYY29" s="19"/>
      <c r="MYZ29" s="19"/>
      <c r="MZA29" s="19"/>
      <c r="MZB29" s="19"/>
      <c r="MZC29" s="19"/>
      <c r="MZD29" s="19"/>
      <c r="MZE29" s="19"/>
      <c r="MZF29" s="19"/>
      <c r="MZG29" s="19"/>
      <c r="MZH29" s="19"/>
      <c r="MZI29" s="19"/>
      <c r="MZJ29" s="19"/>
      <c r="MZK29" s="19"/>
      <c r="MZL29" s="19"/>
      <c r="MZM29" s="19"/>
      <c r="MZN29" s="19"/>
      <c r="MZO29" s="19"/>
      <c r="MZP29" s="19"/>
      <c r="MZQ29" s="19"/>
      <c r="MZR29" s="19"/>
      <c r="MZS29" s="19"/>
      <c r="MZT29" s="19"/>
      <c r="MZU29" s="19"/>
      <c r="MZV29" s="19"/>
      <c r="MZW29" s="19"/>
      <c r="MZX29" s="19"/>
      <c r="MZY29" s="19"/>
      <c r="MZZ29" s="19"/>
      <c r="NAA29" s="19"/>
      <c r="NAB29" s="19"/>
      <c r="NAC29" s="19"/>
      <c r="NAD29" s="19"/>
      <c r="NAE29" s="19"/>
      <c r="NAF29" s="19"/>
      <c r="NAG29" s="19"/>
      <c r="NAH29" s="19"/>
      <c r="NAI29" s="19"/>
      <c r="NAJ29" s="19"/>
      <c r="NAK29" s="19"/>
      <c r="NAL29" s="19"/>
      <c r="NAM29" s="19"/>
      <c r="NAN29" s="19"/>
      <c r="NAO29" s="19"/>
      <c r="NAP29" s="19"/>
      <c r="NAQ29" s="19"/>
      <c r="NAR29" s="19"/>
      <c r="NAS29" s="19"/>
      <c r="NAT29" s="19"/>
      <c r="NAU29" s="19"/>
      <c r="NAV29" s="19"/>
      <c r="NAW29" s="19"/>
      <c r="NAX29" s="19"/>
      <c r="NAY29" s="19"/>
      <c r="NAZ29" s="19"/>
      <c r="NBA29" s="19"/>
      <c r="NBB29" s="19"/>
      <c r="NBC29" s="19"/>
      <c r="NBD29" s="19"/>
      <c r="NBE29" s="19"/>
      <c r="NBF29" s="19"/>
      <c r="NBG29" s="19"/>
      <c r="NBH29" s="19"/>
      <c r="NBI29" s="19"/>
      <c r="NBJ29" s="19"/>
      <c r="NBK29" s="19"/>
      <c r="NBL29" s="19"/>
      <c r="NBM29" s="19"/>
      <c r="NBN29" s="19"/>
      <c r="NBO29" s="19"/>
      <c r="NBP29" s="19"/>
      <c r="NBQ29" s="19"/>
      <c r="NBR29" s="19"/>
      <c r="NBS29" s="19"/>
      <c r="NBT29" s="19"/>
      <c r="NBU29" s="19"/>
      <c r="NBV29" s="19"/>
      <c r="NBW29" s="19"/>
      <c r="NBX29" s="19"/>
      <c r="NBY29" s="19"/>
      <c r="NBZ29" s="19"/>
      <c r="NCA29" s="19"/>
      <c r="NCB29" s="19"/>
      <c r="NCC29" s="19"/>
      <c r="NCD29" s="19"/>
      <c r="NCE29" s="19"/>
      <c r="NCF29" s="19"/>
      <c r="NCG29" s="19"/>
      <c r="NCH29" s="19"/>
      <c r="NCI29" s="19"/>
      <c r="NCJ29" s="19"/>
      <c r="NCK29" s="19"/>
      <c r="NCL29" s="19"/>
      <c r="NCM29" s="19"/>
      <c r="NCN29" s="19"/>
      <c r="NCO29" s="19"/>
      <c r="NCP29" s="19"/>
      <c r="NCQ29" s="19"/>
      <c r="NCR29" s="19"/>
      <c r="NCS29" s="19"/>
      <c r="NCT29" s="19"/>
      <c r="NCU29" s="19"/>
      <c r="NCV29" s="19"/>
      <c r="NCW29" s="19"/>
      <c r="NCX29" s="19"/>
      <c r="NCY29" s="19"/>
      <c r="NCZ29" s="19"/>
      <c r="NDA29" s="19"/>
      <c r="NDB29" s="19"/>
      <c r="NDC29" s="19"/>
      <c r="NDD29" s="19"/>
      <c r="NDE29" s="19"/>
      <c r="NDF29" s="19"/>
      <c r="NDG29" s="19"/>
      <c r="NDH29" s="19"/>
      <c r="NDI29" s="19"/>
      <c r="NDJ29" s="19"/>
      <c r="NDK29" s="19"/>
      <c r="NDL29" s="19"/>
      <c r="NDM29" s="19"/>
      <c r="NDN29" s="19"/>
      <c r="NDO29" s="19"/>
      <c r="NDP29" s="19"/>
      <c r="NDQ29" s="19"/>
      <c r="NDR29" s="19"/>
      <c r="NDS29" s="19"/>
      <c r="NDT29" s="19"/>
      <c r="NDU29" s="19"/>
      <c r="NDV29" s="19"/>
      <c r="NDW29" s="19"/>
      <c r="NDX29" s="19"/>
      <c r="NDY29" s="19"/>
      <c r="NDZ29" s="19"/>
      <c r="NEA29" s="19"/>
      <c r="NEB29" s="19"/>
      <c r="NEC29" s="19"/>
      <c r="NED29" s="19"/>
      <c r="NEE29" s="19"/>
      <c r="NEF29" s="19"/>
      <c r="NEG29" s="19"/>
      <c r="NEH29" s="19"/>
      <c r="NEI29" s="19"/>
      <c r="NEJ29" s="19"/>
      <c r="NEK29" s="19"/>
      <c r="NEL29" s="19"/>
      <c r="NEM29" s="19"/>
      <c r="NEN29" s="19"/>
      <c r="NEO29" s="19"/>
      <c r="NEP29" s="19"/>
      <c r="NEQ29" s="19"/>
      <c r="NER29" s="19"/>
      <c r="NES29" s="19"/>
      <c r="NET29" s="19"/>
      <c r="NEU29" s="19"/>
      <c r="NEV29" s="19"/>
      <c r="NEW29" s="19"/>
      <c r="NEX29" s="19"/>
      <c r="NEY29" s="19"/>
      <c r="NEZ29" s="19"/>
      <c r="NFA29" s="19"/>
      <c r="NFB29" s="19"/>
      <c r="NFC29" s="19"/>
      <c r="NFD29" s="19"/>
      <c r="NFE29" s="19"/>
      <c r="NFF29" s="19"/>
      <c r="NFG29" s="19"/>
      <c r="NFH29" s="19"/>
      <c r="NFI29" s="19"/>
      <c r="NFJ29" s="19"/>
      <c r="NFK29" s="19"/>
      <c r="NFL29" s="19"/>
      <c r="NFM29" s="19"/>
      <c r="NFN29" s="19"/>
      <c r="NFO29" s="19"/>
      <c r="NFP29" s="19"/>
      <c r="NFQ29" s="19"/>
      <c r="NFR29" s="19"/>
      <c r="NFS29" s="19"/>
      <c r="NFT29" s="19"/>
      <c r="NFU29" s="19"/>
      <c r="NFV29" s="19"/>
      <c r="NFW29" s="19"/>
      <c r="NFX29" s="19"/>
      <c r="NFY29" s="19"/>
      <c r="NFZ29" s="19"/>
      <c r="NGA29" s="19"/>
      <c r="NGB29" s="19"/>
      <c r="NGC29" s="19"/>
      <c r="NGD29" s="19"/>
      <c r="NGE29" s="19"/>
      <c r="NGF29" s="19"/>
      <c r="NGG29" s="19"/>
      <c r="NGH29" s="19"/>
      <c r="NGI29" s="19"/>
      <c r="NGJ29" s="19"/>
      <c r="NGK29" s="19"/>
      <c r="NGL29" s="19"/>
      <c r="NGM29" s="19"/>
      <c r="NGN29" s="19"/>
      <c r="NGO29" s="19"/>
      <c r="NGP29" s="19"/>
      <c r="NGQ29" s="19"/>
      <c r="NGR29" s="19"/>
      <c r="NGS29" s="19"/>
      <c r="NGT29" s="19"/>
      <c r="NGU29" s="19"/>
      <c r="NGV29" s="19"/>
      <c r="NGW29" s="19"/>
      <c r="NGX29" s="19"/>
      <c r="NGY29" s="19"/>
      <c r="NGZ29" s="19"/>
      <c r="NHA29" s="19"/>
      <c r="NHB29" s="19"/>
      <c r="NHC29" s="19"/>
      <c r="NHD29" s="19"/>
      <c r="NHE29" s="19"/>
      <c r="NHF29" s="19"/>
      <c r="NHG29" s="19"/>
      <c r="NHH29" s="19"/>
      <c r="NHI29" s="19"/>
      <c r="NHJ29" s="19"/>
      <c r="NHK29" s="19"/>
      <c r="NHL29" s="19"/>
      <c r="NHM29" s="19"/>
      <c r="NHN29" s="19"/>
      <c r="NHO29" s="19"/>
      <c r="NHP29" s="19"/>
      <c r="NHQ29" s="19"/>
      <c r="NHR29" s="19"/>
      <c r="NHS29" s="19"/>
      <c r="NHT29" s="19"/>
      <c r="NHU29" s="19"/>
      <c r="NHV29" s="19"/>
      <c r="NHW29" s="19"/>
      <c r="NHX29" s="19"/>
      <c r="NHY29" s="19"/>
      <c r="NHZ29" s="19"/>
      <c r="NIA29" s="19"/>
      <c r="NIB29" s="19"/>
      <c r="NIC29" s="19"/>
      <c r="NID29" s="19"/>
      <c r="NIE29" s="19"/>
      <c r="NIF29" s="19"/>
      <c r="NIG29" s="19"/>
      <c r="NIH29" s="19"/>
      <c r="NII29" s="19"/>
      <c r="NIJ29" s="19"/>
      <c r="NIK29" s="19"/>
      <c r="NIL29" s="19"/>
      <c r="NIM29" s="19"/>
      <c r="NIN29" s="19"/>
      <c r="NIO29" s="19"/>
      <c r="NIP29" s="19"/>
      <c r="NIQ29" s="19"/>
      <c r="NIR29" s="19"/>
      <c r="NIS29" s="19"/>
      <c r="NIT29" s="19"/>
      <c r="NIU29" s="19"/>
      <c r="NIV29" s="19"/>
      <c r="NIW29" s="19"/>
      <c r="NIX29" s="19"/>
      <c r="NIY29" s="19"/>
      <c r="NIZ29" s="19"/>
      <c r="NJA29" s="19"/>
      <c r="NJB29" s="19"/>
      <c r="NJC29" s="19"/>
      <c r="NJD29" s="19"/>
      <c r="NJE29" s="19"/>
      <c r="NJF29" s="19"/>
      <c r="NJG29" s="19"/>
      <c r="NJH29" s="19"/>
      <c r="NJI29" s="19"/>
      <c r="NJJ29" s="19"/>
      <c r="NJK29" s="19"/>
      <c r="NJL29" s="19"/>
      <c r="NJM29" s="19"/>
      <c r="NJN29" s="19"/>
      <c r="NJO29" s="19"/>
      <c r="NJP29" s="19"/>
      <c r="NJQ29" s="19"/>
      <c r="NJR29" s="19"/>
      <c r="NJS29" s="19"/>
      <c r="NJT29" s="19"/>
      <c r="NJU29" s="19"/>
      <c r="NJV29" s="19"/>
      <c r="NJW29" s="19"/>
      <c r="NJX29" s="19"/>
      <c r="NJY29" s="19"/>
      <c r="NJZ29" s="19"/>
      <c r="NKA29" s="19"/>
      <c r="NKB29" s="19"/>
      <c r="NKC29" s="19"/>
      <c r="NKD29" s="19"/>
      <c r="NKE29" s="19"/>
      <c r="NKF29" s="19"/>
      <c r="NKG29" s="19"/>
      <c r="NKH29" s="19"/>
      <c r="NKI29" s="19"/>
      <c r="NKJ29" s="19"/>
      <c r="NKK29" s="19"/>
      <c r="NKL29" s="19"/>
      <c r="NKM29" s="19"/>
      <c r="NKN29" s="19"/>
      <c r="NKO29" s="19"/>
      <c r="NKP29" s="19"/>
      <c r="NKQ29" s="19"/>
      <c r="NKR29" s="19"/>
      <c r="NKS29" s="19"/>
      <c r="NKT29" s="19"/>
      <c r="NKU29" s="19"/>
      <c r="NKV29" s="19"/>
      <c r="NKW29" s="19"/>
      <c r="NKX29" s="19"/>
      <c r="NKY29" s="19"/>
      <c r="NKZ29" s="19"/>
      <c r="NLA29" s="19"/>
      <c r="NLB29" s="19"/>
      <c r="NLC29" s="19"/>
      <c r="NLD29" s="19"/>
      <c r="NLE29" s="19"/>
      <c r="NLF29" s="19"/>
      <c r="NLG29" s="19"/>
      <c r="NLH29" s="19"/>
      <c r="NLI29" s="19"/>
      <c r="NLJ29" s="19"/>
      <c r="NLK29" s="19"/>
      <c r="NLL29" s="19"/>
      <c r="NLM29" s="19"/>
      <c r="NLN29" s="19"/>
      <c r="NLO29" s="19"/>
      <c r="NLP29" s="19"/>
      <c r="NLQ29" s="19"/>
      <c r="NLR29" s="19"/>
      <c r="NLS29" s="19"/>
      <c r="NLT29" s="19"/>
      <c r="NLU29" s="19"/>
      <c r="NLV29" s="19"/>
      <c r="NLW29" s="19"/>
      <c r="NLX29" s="19"/>
      <c r="NLY29" s="19"/>
      <c r="NLZ29" s="19"/>
      <c r="NMA29" s="19"/>
      <c r="NMB29" s="19"/>
      <c r="NMC29" s="19"/>
      <c r="NMD29" s="19"/>
      <c r="NME29" s="19"/>
      <c r="NMF29" s="19"/>
      <c r="NMG29" s="19"/>
      <c r="NMH29" s="19"/>
      <c r="NMI29" s="19"/>
      <c r="NMJ29" s="19"/>
      <c r="NMK29" s="19"/>
      <c r="NML29" s="19"/>
      <c r="NMM29" s="19"/>
      <c r="NMN29" s="19"/>
      <c r="NMO29" s="19"/>
      <c r="NMP29" s="19"/>
      <c r="NMQ29" s="19"/>
      <c r="NMR29" s="19"/>
      <c r="NMS29" s="19"/>
      <c r="NMT29" s="19"/>
      <c r="NMU29" s="19"/>
      <c r="NMV29" s="19"/>
      <c r="NMW29" s="19"/>
      <c r="NMX29" s="19"/>
      <c r="NMY29" s="19"/>
      <c r="NMZ29" s="19"/>
      <c r="NNA29" s="19"/>
      <c r="NNB29" s="19"/>
      <c r="NNC29" s="19"/>
      <c r="NND29" s="19"/>
      <c r="NNE29" s="19"/>
      <c r="NNF29" s="19"/>
      <c r="NNG29" s="19"/>
      <c r="NNH29" s="19"/>
      <c r="NNI29" s="19"/>
      <c r="NNJ29" s="19"/>
      <c r="NNK29" s="19"/>
      <c r="NNL29" s="19"/>
      <c r="NNM29" s="19"/>
      <c r="NNN29" s="19"/>
      <c r="NNO29" s="19"/>
      <c r="NNP29" s="19"/>
      <c r="NNQ29" s="19"/>
      <c r="NNR29" s="19"/>
      <c r="NNS29" s="19"/>
      <c r="NNT29" s="19"/>
      <c r="NNU29" s="19"/>
      <c r="NNV29" s="19"/>
      <c r="NNW29" s="19"/>
      <c r="NNX29" s="19"/>
      <c r="NNY29" s="19"/>
      <c r="NNZ29" s="19"/>
      <c r="NOA29" s="19"/>
      <c r="NOB29" s="19"/>
      <c r="NOC29" s="19"/>
      <c r="NOD29" s="19"/>
      <c r="NOE29" s="19"/>
      <c r="NOF29" s="19"/>
      <c r="NOG29" s="19"/>
      <c r="NOH29" s="19"/>
      <c r="NOI29" s="19"/>
      <c r="NOJ29" s="19"/>
      <c r="NOK29" s="19"/>
      <c r="NOL29" s="19"/>
      <c r="NOM29" s="19"/>
      <c r="NON29" s="19"/>
      <c r="NOO29" s="19"/>
      <c r="NOP29" s="19"/>
      <c r="NOQ29" s="19"/>
      <c r="NOR29" s="19"/>
      <c r="NOS29" s="19"/>
      <c r="NOT29" s="19"/>
      <c r="NOU29" s="19"/>
      <c r="NOV29" s="19"/>
      <c r="NOW29" s="19"/>
      <c r="NOX29" s="19"/>
      <c r="NOY29" s="19"/>
      <c r="NOZ29" s="19"/>
      <c r="NPA29" s="19"/>
      <c r="NPB29" s="19"/>
      <c r="NPC29" s="19"/>
      <c r="NPD29" s="19"/>
      <c r="NPE29" s="19"/>
      <c r="NPF29" s="19"/>
      <c r="NPG29" s="19"/>
      <c r="NPH29" s="19"/>
      <c r="NPI29" s="19"/>
      <c r="NPJ29" s="19"/>
      <c r="NPK29" s="19"/>
      <c r="NPL29" s="19"/>
      <c r="NPM29" s="19"/>
      <c r="NPN29" s="19"/>
      <c r="NPO29" s="19"/>
      <c r="NPP29" s="19"/>
      <c r="NPQ29" s="19"/>
      <c r="NPR29" s="19"/>
      <c r="NPS29" s="19"/>
      <c r="NPT29" s="19"/>
      <c r="NPU29" s="19"/>
      <c r="NPV29" s="19"/>
      <c r="NPW29" s="19"/>
      <c r="NPX29" s="19"/>
      <c r="NPY29" s="19"/>
      <c r="NPZ29" s="19"/>
      <c r="NQA29" s="19"/>
      <c r="NQB29" s="19"/>
      <c r="NQC29" s="19"/>
      <c r="NQD29" s="19"/>
      <c r="NQE29" s="19"/>
      <c r="NQF29" s="19"/>
      <c r="NQG29" s="19"/>
      <c r="NQH29" s="19"/>
      <c r="NQI29" s="19"/>
      <c r="NQJ29" s="19"/>
      <c r="NQK29" s="19"/>
      <c r="NQL29" s="19"/>
      <c r="NQM29" s="19"/>
      <c r="NQN29" s="19"/>
      <c r="NQO29" s="19"/>
      <c r="NQP29" s="19"/>
      <c r="NQQ29" s="19"/>
      <c r="NQR29" s="19"/>
      <c r="NQS29" s="19"/>
      <c r="NQT29" s="19"/>
      <c r="NQU29" s="19"/>
      <c r="NQV29" s="19"/>
      <c r="NQW29" s="19"/>
      <c r="NQX29" s="19"/>
      <c r="NQY29" s="19"/>
      <c r="NQZ29" s="19"/>
      <c r="NRA29" s="19"/>
      <c r="NRB29" s="19"/>
      <c r="NRC29" s="19"/>
      <c r="NRD29" s="19"/>
      <c r="NRE29" s="19"/>
      <c r="NRF29" s="19"/>
      <c r="NRG29" s="19"/>
      <c r="NRH29" s="19"/>
      <c r="NRI29" s="19"/>
      <c r="NRJ29" s="19"/>
      <c r="NRK29" s="19"/>
      <c r="NRL29" s="19"/>
      <c r="NRM29" s="19"/>
      <c r="NRN29" s="19"/>
      <c r="NRO29" s="19"/>
      <c r="NRP29" s="19"/>
      <c r="NRQ29" s="19"/>
      <c r="NRR29" s="19"/>
      <c r="NRS29" s="19"/>
      <c r="NRT29" s="19"/>
      <c r="NRU29" s="19"/>
      <c r="NRV29" s="19"/>
      <c r="NRW29" s="19"/>
      <c r="NRX29" s="19"/>
      <c r="NRY29" s="19"/>
      <c r="NRZ29" s="19"/>
      <c r="NSA29" s="19"/>
      <c r="NSB29" s="19"/>
      <c r="NSC29" s="19"/>
      <c r="NSD29" s="19"/>
      <c r="NSE29" s="19"/>
      <c r="NSF29" s="19"/>
      <c r="NSG29" s="19"/>
      <c r="NSH29" s="19"/>
      <c r="NSI29" s="19"/>
      <c r="NSJ29" s="19"/>
      <c r="NSK29" s="19"/>
      <c r="NSL29" s="19"/>
      <c r="NSM29" s="19"/>
      <c r="NSN29" s="19"/>
      <c r="NSO29" s="19"/>
      <c r="NSP29" s="19"/>
      <c r="NSQ29" s="19"/>
      <c r="NSR29" s="19"/>
      <c r="NSS29" s="19"/>
      <c r="NST29" s="19"/>
      <c r="NSU29" s="19"/>
      <c r="NSV29" s="19"/>
      <c r="NSW29" s="19"/>
      <c r="NSX29" s="19"/>
      <c r="NSY29" s="19"/>
      <c r="NSZ29" s="19"/>
      <c r="NTA29" s="19"/>
      <c r="NTB29" s="19"/>
      <c r="NTC29" s="19"/>
      <c r="NTD29" s="19"/>
      <c r="NTE29" s="19"/>
      <c r="NTF29" s="19"/>
      <c r="NTG29" s="19"/>
      <c r="NTH29" s="19"/>
      <c r="NTI29" s="19"/>
      <c r="NTJ29" s="19"/>
      <c r="NTK29" s="19"/>
      <c r="NTL29" s="19"/>
      <c r="NTM29" s="19"/>
      <c r="NTN29" s="19"/>
      <c r="NTO29" s="19"/>
      <c r="NTP29" s="19"/>
      <c r="NTQ29" s="19"/>
      <c r="NTR29" s="19"/>
      <c r="NTS29" s="19"/>
      <c r="NTT29" s="19"/>
      <c r="NTU29" s="19"/>
      <c r="NTV29" s="19"/>
      <c r="NTW29" s="19"/>
      <c r="NTX29" s="19"/>
      <c r="NTY29" s="19"/>
      <c r="NTZ29" s="19"/>
      <c r="NUA29" s="19"/>
      <c r="NUB29" s="19"/>
      <c r="NUC29" s="19"/>
      <c r="NUD29" s="19"/>
      <c r="NUE29" s="19"/>
      <c r="NUF29" s="19"/>
      <c r="NUG29" s="19"/>
      <c r="NUH29" s="19"/>
      <c r="NUI29" s="19"/>
      <c r="NUJ29" s="19"/>
      <c r="NUK29" s="19"/>
      <c r="NUL29" s="19"/>
      <c r="NUM29" s="19"/>
      <c r="NUN29" s="19"/>
      <c r="NUO29" s="19"/>
      <c r="NUP29" s="19"/>
      <c r="NUQ29" s="19"/>
      <c r="NUR29" s="19"/>
      <c r="NUS29" s="19"/>
      <c r="NUT29" s="19"/>
      <c r="NUU29" s="19"/>
      <c r="NUV29" s="19"/>
      <c r="NUW29" s="19"/>
      <c r="NUX29" s="19"/>
      <c r="NUY29" s="19"/>
      <c r="NUZ29" s="19"/>
      <c r="NVA29" s="19"/>
      <c r="NVB29" s="19"/>
      <c r="NVC29" s="19"/>
      <c r="NVD29" s="19"/>
      <c r="NVE29" s="19"/>
      <c r="NVF29" s="19"/>
      <c r="NVG29" s="19"/>
      <c r="NVH29" s="19"/>
      <c r="NVI29" s="19"/>
      <c r="NVJ29" s="19"/>
      <c r="NVK29" s="19"/>
      <c r="NVL29" s="19"/>
      <c r="NVM29" s="19"/>
      <c r="NVN29" s="19"/>
      <c r="NVO29" s="19"/>
      <c r="NVP29" s="19"/>
      <c r="NVQ29" s="19"/>
      <c r="NVR29" s="19"/>
      <c r="NVS29" s="19"/>
      <c r="NVT29" s="19"/>
      <c r="NVU29" s="19"/>
      <c r="NVV29" s="19"/>
      <c r="NVW29" s="19"/>
      <c r="NVX29" s="19"/>
      <c r="NVY29" s="19"/>
      <c r="NVZ29" s="19"/>
      <c r="NWA29" s="19"/>
      <c r="NWB29" s="19"/>
      <c r="NWC29" s="19"/>
      <c r="NWD29" s="19"/>
      <c r="NWE29" s="19"/>
      <c r="NWF29" s="19"/>
      <c r="NWG29" s="19"/>
      <c r="NWH29" s="19"/>
      <c r="NWI29" s="19"/>
      <c r="NWJ29" s="19"/>
      <c r="NWK29" s="19"/>
      <c r="NWL29" s="19"/>
      <c r="NWM29" s="19"/>
      <c r="NWN29" s="19"/>
      <c r="NWO29" s="19"/>
      <c r="NWP29" s="19"/>
      <c r="NWQ29" s="19"/>
      <c r="NWR29" s="19"/>
      <c r="NWS29" s="19"/>
      <c r="NWT29" s="19"/>
      <c r="NWU29" s="19"/>
      <c r="NWV29" s="19"/>
      <c r="NWW29" s="19"/>
      <c r="NWX29" s="19"/>
      <c r="NWY29" s="19"/>
      <c r="NWZ29" s="19"/>
      <c r="NXA29" s="19"/>
      <c r="NXB29" s="19"/>
      <c r="NXC29" s="19"/>
      <c r="NXD29" s="19"/>
      <c r="NXE29" s="19"/>
      <c r="NXF29" s="19"/>
      <c r="NXG29" s="19"/>
      <c r="NXH29" s="19"/>
      <c r="NXI29" s="19"/>
      <c r="NXJ29" s="19"/>
      <c r="NXK29" s="19"/>
      <c r="NXL29" s="19"/>
      <c r="NXM29" s="19"/>
      <c r="NXN29" s="19"/>
      <c r="NXO29" s="19"/>
      <c r="NXP29" s="19"/>
      <c r="NXQ29" s="19"/>
      <c r="NXR29" s="19"/>
      <c r="NXS29" s="19"/>
      <c r="NXT29" s="19"/>
      <c r="NXU29" s="19"/>
      <c r="NXV29" s="19"/>
      <c r="NXW29" s="19"/>
      <c r="NXX29" s="19"/>
      <c r="NXY29" s="19"/>
      <c r="NXZ29" s="19"/>
      <c r="NYA29" s="19"/>
      <c r="NYB29" s="19"/>
      <c r="NYC29" s="19"/>
      <c r="NYD29" s="19"/>
      <c r="NYE29" s="19"/>
      <c r="NYF29" s="19"/>
      <c r="NYG29" s="19"/>
      <c r="NYH29" s="19"/>
      <c r="NYI29" s="19"/>
      <c r="NYJ29" s="19"/>
      <c r="NYK29" s="19"/>
      <c r="NYL29" s="19"/>
      <c r="NYM29" s="19"/>
      <c r="NYN29" s="19"/>
      <c r="NYO29" s="19"/>
      <c r="NYP29" s="19"/>
      <c r="NYQ29" s="19"/>
      <c r="NYR29" s="19"/>
      <c r="NYS29" s="19"/>
      <c r="NYT29" s="19"/>
      <c r="NYU29" s="19"/>
      <c r="NYV29" s="19"/>
      <c r="NYW29" s="19"/>
      <c r="NYX29" s="19"/>
      <c r="NYY29" s="19"/>
      <c r="NYZ29" s="19"/>
      <c r="NZA29" s="19"/>
      <c r="NZB29" s="19"/>
      <c r="NZC29" s="19"/>
      <c r="NZD29" s="19"/>
      <c r="NZE29" s="19"/>
      <c r="NZF29" s="19"/>
      <c r="NZG29" s="19"/>
      <c r="NZH29" s="19"/>
      <c r="NZI29" s="19"/>
      <c r="NZJ29" s="19"/>
      <c r="NZK29" s="19"/>
      <c r="NZL29" s="19"/>
      <c r="NZM29" s="19"/>
      <c r="NZN29" s="19"/>
      <c r="NZO29" s="19"/>
      <c r="NZP29" s="19"/>
      <c r="NZQ29" s="19"/>
      <c r="NZR29" s="19"/>
      <c r="NZS29" s="19"/>
      <c r="NZT29" s="19"/>
      <c r="NZU29" s="19"/>
      <c r="NZV29" s="19"/>
      <c r="NZW29" s="19"/>
      <c r="NZX29" s="19"/>
      <c r="NZY29" s="19"/>
      <c r="NZZ29" s="19"/>
      <c r="OAA29" s="19"/>
      <c r="OAB29" s="19"/>
      <c r="OAC29" s="19"/>
      <c r="OAD29" s="19"/>
      <c r="OAE29" s="19"/>
      <c r="OAF29" s="19"/>
      <c r="OAG29" s="19"/>
      <c r="OAH29" s="19"/>
      <c r="OAI29" s="19"/>
      <c r="OAJ29" s="19"/>
      <c r="OAK29" s="19"/>
      <c r="OAL29" s="19"/>
      <c r="OAM29" s="19"/>
      <c r="OAN29" s="19"/>
      <c r="OAO29" s="19"/>
      <c r="OAP29" s="19"/>
      <c r="OAQ29" s="19"/>
      <c r="OAR29" s="19"/>
      <c r="OAS29" s="19"/>
      <c r="OAT29" s="19"/>
      <c r="OAU29" s="19"/>
      <c r="OAV29" s="19"/>
      <c r="OAW29" s="19"/>
      <c r="OAX29" s="19"/>
      <c r="OAY29" s="19"/>
      <c r="OAZ29" s="19"/>
      <c r="OBA29" s="19"/>
      <c r="OBB29" s="19"/>
      <c r="OBC29" s="19"/>
      <c r="OBD29" s="19"/>
      <c r="OBE29" s="19"/>
      <c r="OBF29" s="19"/>
      <c r="OBG29" s="19"/>
      <c r="OBH29" s="19"/>
      <c r="OBI29" s="19"/>
      <c r="OBJ29" s="19"/>
      <c r="OBK29" s="19"/>
      <c r="OBL29" s="19"/>
      <c r="OBM29" s="19"/>
      <c r="OBN29" s="19"/>
      <c r="OBO29" s="19"/>
      <c r="OBP29" s="19"/>
      <c r="OBQ29" s="19"/>
      <c r="OBR29" s="19"/>
      <c r="OBS29" s="19"/>
      <c r="OBT29" s="19"/>
      <c r="OBU29" s="19"/>
      <c r="OBV29" s="19"/>
      <c r="OBW29" s="19"/>
      <c r="OBX29" s="19"/>
      <c r="OBY29" s="19"/>
      <c r="OBZ29" s="19"/>
      <c r="OCA29" s="19"/>
      <c r="OCB29" s="19"/>
      <c r="OCC29" s="19"/>
      <c r="OCD29" s="19"/>
      <c r="OCE29" s="19"/>
      <c r="OCF29" s="19"/>
      <c r="OCG29" s="19"/>
      <c r="OCH29" s="19"/>
      <c r="OCI29" s="19"/>
      <c r="OCJ29" s="19"/>
      <c r="OCK29" s="19"/>
      <c r="OCL29" s="19"/>
      <c r="OCM29" s="19"/>
      <c r="OCN29" s="19"/>
      <c r="OCO29" s="19"/>
      <c r="OCP29" s="19"/>
      <c r="OCQ29" s="19"/>
      <c r="OCR29" s="19"/>
      <c r="OCS29" s="19"/>
      <c r="OCT29" s="19"/>
      <c r="OCU29" s="19"/>
      <c r="OCV29" s="19"/>
      <c r="OCW29" s="19"/>
      <c r="OCX29" s="19"/>
      <c r="OCY29" s="19"/>
      <c r="OCZ29" s="19"/>
      <c r="ODA29" s="19"/>
      <c r="ODB29" s="19"/>
      <c r="ODC29" s="19"/>
      <c r="ODD29" s="19"/>
      <c r="ODE29" s="19"/>
      <c r="ODF29" s="19"/>
      <c r="ODG29" s="19"/>
      <c r="ODH29" s="19"/>
      <c r="ODI29" s="19"/>
      <c r="ODJ29" s="19"/>
      <c r="ODK29" s="19"/>
      <c r="ODL29" s="19"/>
      <c r="ODM29" s="19"/>
      <c r="ODN29" s="19"/>
      <c r="ODO29" s="19"/>
      <c r="ODP29" s="19"/>
      <c r="ODQ29" s="19"/>
      <c r="ODR29" s="19"/>
      <c r="ODS29" s="19"/>
      <c r="ODT29" s="19"/>
      <c r="ODU29" s="19"/>
      <c r="ODV29" s="19"/>
      <c r="ODW29" s="19"/>
      <c r="ODX29" s="19"/>
      <c r="ODY29" s="19"/>
      <c r="ODZ29" s="19"/>
      <c r="OEA29" s="19"/>
      <c r="OEB29" s="19"/>
      <c r="OEC29" s="19"/>
      <c r="OED29" s="19"/>
      <c r="OEE29" s="19"/>
      <c r="OEF29" s="19"/>
      <c r="OEG29" s="19"/>
      <c r="OEH29" s="19"/>
      <c r="OEI29" s="19"/>
      <c r="OEJ29" s="19"/>
      <c r="OEK29" s="19"/>
      <c r="OEL29" s="19"/>
      <c r="OEM29" s="19"/>
      <c r="OEN29" s="19"/>
      <c r="OEO29" s="19"/>
      <c r="OEP29" s="19"/>
      <c r="OEQ29" s="19"/>
      <c r="OER29" s="19"/>
      <c r="OES29" s="19"/>
      <c r="OET29" s="19"/>
      <c r="OEU29" s="19"/>
      <c r="OEV29" s="19"/>
      <c r="OEW29" s="19"/>
      <c r="OEX29" s="19"/>
      <c r="OEY29" s="19"/>
      <c r="OEZ29" s="19"/>
      <c r="OFA29" s="19"/>
      <c r="OFB29" s="19"/>
      <c r="OFC29" s="19"/>
      <c r="OFD29" s="19"/>
      <c r="OFE29" s="19"/>
      <c r="OFF29" s="19"/>
      <c r="OFG29" s="19"/>
      <c r="OFH29" s="19"/>
      <c r="OFI29" s="19"/>
      <c r="OFJ29" s="19"/>
      <c r="OFK29" s="19"/>
      <c r="OFL29" s="19"/>
      <c r="OFM29" s="19"/>
      <c r="OFN29" s="19"/>
      <c r="OFO29" s="19"/>
      <c r="OFP29" s="19"/>
      <c r="OFQ29" s="19"/>
      <c r="OFR29" s="19"/>
      <c r="OFS29" s="19"/>
      <c r="OFT29" s="19"/>
      <c r="OFU29" s="19"/>
      <c r="OFV29" s="19"/>
      <c r="OFW29" s="19"/>
      <c r="OFX29" s="19"/>
      <c r="OFY29" s="19"/>
      <c r="OFZ29" s="19"/>
      <c r="OGA29" s="19"/>
      <c r="OGB29" s="19"/>
      <c r="OGC29" s="19"/>
      <c r="OGD29" s="19"/>
      <c r="OGE29" s="19"/>
      <c r="OGF29" s="19"/>
      <c r="OGG29" s="19"/>
      <c r="OGH29" s="19"/>
      <c r="OGI29" s="19"/>
      <c r="OGJ29" s="19"/>
      <c r="OGK29" s="19"/>
      <c r="OGL29" s="19"/>
      <c r="OGM29" s="19"/>
      <c r="OGN29" s="19"/>
      <c r="OGO29" s="19"/>
      <c r="OGP29" s="19"/>
      <c r="OGQ29" s="19"/>
      <c r="OGR29" s="19"/>
      <c r="OGS29" s="19"/>
      <c r="OGT29" s="19"/>
      <c r="OGU29" s="19"/>
      <c r="OGV29" s="19"/>
      <c r="OGW29" s="19"/>
      <c r="OGX29" s="19"/>
      <c r="OGY29" s="19"/>
      <c r="OGZ29" s="19"/>
      <c r="OHA29" s="19"/>
      <c r="OHB29" s="19"/>
      <c r="OHC29" s="19"/>
      <c r="OHD29" s="19"/>
      <c r="OHE29" s="19"/>
      <c r="OHF29" s="19"/>
      <c r="OHG29" s="19"/>
      <c r="OHH29" s="19"/>
      <c r="OHI29" s="19"/>
      <c r="OHJ29" s="19"/>
      <c r="OHK29" s="19"/>
      <c r="OHL29" s="19"/>
      <c r="OHM29" s="19"/>
      <c r="OHN29" s="19"/>
      <c r="OHO29" s="19"/>
      <c r="OHP29" s="19"/>
      <c r="OHQ29" s="19"/>
      <c r="OHR29" s="19"/>
      <c r="OHS29" s="19"/>
      <c r="OHT29" s="19"/>
      <c r="OHU29" s="19"/>
      <c r="OHV29" s="19"/>
      <c r="OHW29" s="19"/>
      <c r="OHX29" s="19"/>
      <c r="OHY29" s="19"/>
      <c r="OHZ29" s="19"/>
      <c r="OIA29" s="19"/>
      <c r="OIB29" s="19"/>
      <c r="OIC29" s="19"/>
      <c r="OID29" s="19"/>
      <c r="OIE29" s="19"/>
      <c r="OIF29" s="19"/>
      <c r="OIG29" s="19"/>
      <c r="OIH29" s="19"/>
      <c r="OII29" s="19"/>
      <c r="OIJ29" s="19"/>
      <c r="OIK29" s="19"/>
      <c r="OIL29" s="19"/>
      <c r="OIM29" s="19"/>
      <c r="OIN29" s="19"/>
      <c r="OIO29" s="19"/>
      <c r="OIP29" s="19"/>
      <c r="OIQ29" s="19"/>
      <c r="OIR29" s="19"/>
      <c r="OIS29" s="19"/>
      <c r="OIT29" s="19"/>
      <c r="OIU29" s="19"/>
      <c r="OIV29" s="19"/>
      <c r="OIW29" s="19"/>
      <c r="OIX29" s="19"/>
      <c r="OIY29" s="19"/>
      <c r="OIZ29" s="19"/>
      <c r="OJA29" s="19"/>
      <c r="OJB29" s="19"/>
      <c r="OJC29" s="19"/>
      <c r="OJD29" s="19"/>
      <c r="OJE29" s="19"/>
      <c r="OJF29" s="19"/>
      <c r="OJG29" s="19"/>
      <c r="OJH29" s="19"/>
      <c r="OJI29" s="19"/>
      <c r="OJJ29" s="19"/>
      <c r="OJK29" s="19"/>
      <c r="OJL29" s="19"/>
      <c r="OJM29" s="19"/>
      <c r="OJN29" s="19"/>
      <c r="OJO29" s="19"/>
      <c r="OJP29" s="19"/>
      <c r="OJQ29" s="19"/>
      <c r="OJR29" s="19"/>
      <c r="OJS29" s="19"/>
      <c r="OJT29" s="19"/>
      <c r="OJU29" s="19"/>
      <c r="OJV29" s="19"/>
      <c r="OJW29" s="19"/>
      <c r="OJX29" s="19"/>
      <c r="OJY29" s="19"/>
      <c r="OJZ29" s="19"/>
      <c r="OKA29" s="19"/>
      <c r="OKB29" s="19"/>
      <c r="OKC29" s="19"/>
      <c r="OKD29" s="19"/>
      <c r="OKE29" s="19"/>
      <c r="OKF29" s="19"/>
      <c r="OKG29" s="19"/>
      <c r="OKH29" s="19"/>
      <c r="OKI29" s="19"/>
      <c r="OKJ29" s="19"/>
      <c r="OKK29" s="19"/>
      <c r="OKL29" s="19"/>
      <c r="OKM29" s="19"/>
      <c r="OKN29" s="19"/>
      <c r="OKO29" s="19"/>
      <c r="OKP29" s="19"/>
      <c r="OKQ29" s="19"/>
      <c r="OKR29" s="19"/>
      <c r="OKS29" s="19"/>
      <c r="OKT29" s="19"/>
      <c r="OKU29" s="19"/>
      <c r="OKV29" s="19"/>
      <c r="OKW29" s="19"/>
      <c r="OKX29" s="19"/>
      <c r="OKY29" s="19"/>
      <c r="OKZ29" s="19"/>
      <c r="OLA29" s="19"/>
      <c r="OLB29" s="19"/>
      <c r="OLC29" s="19"/>
      <c r="OLD29" s="19"/>
      <c r="OLE29" s="19"/>
      <c r="OLF29" s="19"/>
      <c r="OLG29" s="19"/>
      <c r="OLH29" s="19"/>
      <c r="OLI29" s="19"/>
      <c r="OLJ29" s="19"/>
      <c r="OLK29" s="19"/>
      <c r="OLL29" s="19"/>
      <c r="OLM29" s="19"/>
      <c r="OLN29" s="19"/>
      <c r="OLO29" s="19"/>
      <c r="OLP29" s="19"/>
      <c r="OLQ29" s="19"/>
      <c r="OLR29" s="19"/>
      <c r="OLS29" s="19"/>
      <c r="OLT29" s="19"/>
      <c r="OLU29" s="19"/>
      <c r="OLV29" s="19"/>
      <c r="OLW29" s="19"/>
      <c r="OLX29" s="19"/>
      <c r="OLY29" s="19"/>
      <c r="OLZ29" s="19"/>
      <c r="OMA29" s="19"/>
      <c r="OMB29" s="19"/>
      <c r="OMC29" s="19"/>
      <c r="OMD29" s="19"/>
      <c r="OME29" s="19"/>
      <c r="OMF29" s="19"/>
      <c r="OMG29" s="19"/>
      <c r="OMH29" s="19"/>
      <c r="OMI29" s="19"/>
      <c r="OMJ29" s="19"/>
      <c r="OMK29" s="19"/>
      <c r="OML29" s="19"/>
      <c r="OMM29" s="19"/>
      <c r="OMN29" s="19"/>
      <c r="OMO29" s="19"/>
      <c r="OMP29" s="19"/>
      <c r="OMQ29" s="19"/>
      <c r="OMR29" s="19"/>
      <c r="OMS29" s="19"/>
      <c r="OMT29" s="19"/>
      <c r="OMU29" s="19"/>
      <c r="OMV29" s="19"/>
      <c r="OMW29" s="19"/>
      <c r="OMX29" s="19"/>
      <c r="OMY29" s="19"/>
      <c r="OMZ29" s="19"/>
      <c r="ONA29" s="19"/>
      <c r="ONB29" s="19"/>
      <c r="ONC29" s="19"/>
      <c r="OND29" s="19"/>
      <c r="ONE29" s="19"/>
      <c r="ONF29" s="19"/>
      <c r="ONG29" s="19"/>
      <c r="ONH29" s="19"/>
      <c r="ONI29" s="19"/>
      <c r="ONJ29" s="19"/>
      <c r="ONK29" s="19"/>
      <c r="ONL29" s="19"/>
      <c r="ONM29" s="19"/>
      <c r="ONN29" s="19"/>
      <c r="ONO29" s="19"/>
      <c r="ONP29" s="19"/>
      <c r="ONQ29" s="19"/>
      <c r="ONR29" s="19"/>
      <c r="ONS29" s="19"/>
      <c r="ONT29" s="19"/>
      <c r="ONU29" s="19"/>
      <c r="ONV29" s="19"/>
      <c r="ONW29" s="19"/>
      <c r="ONX29" s="19"/>
      <c r="ONY29" s="19"/>
      <c r="ONZ29" s="19"/>
      <c r="OOA29" s="19"/>
      <c r="OOB29" s="19"/>
      <c r="OOC29" s="19"/>
      <c r="OOD29" s="19"/>
      <c r="OOE29" s="19"/>
      <c r="OOF29" s="19"/>
      <c r="OOG29" s="19"/>
      <c r="OOH29" s="19"/>
      <c r="OOI29" s="19"/>
      <c r="OOJ29" s="19"/>
      <c r="OOK29" s="19"/>
      <c r="OOL29" s="19"/>
      <c r="OOM29" s="19"/>
      <c r="OON29" s="19"/>
      <c r="OOO29" s="19"/>
      <c r="OOP29" s="19"/>
      <c r="OOQ29" s="19"/>
      <c r="OOR29" s="19"/>
      <c r="OOS29" s="19"/>
      <c r="OOT29" s="19"/>
      <c r="OOU29" s="19"/>
      <c r="OOV29" s="19"/>
      <c r="OOW29" s="19"/>
      <c r="OOX29" s="19"/>
      <c r="OOY29" s="19"/>
      <c r="OOZ29" s="19"/>
      <c r="OPA29" s="19"/>
      <c r="OPB29" s="19"/>
      <c r="OPC29" s="19"/>
      <c r="OPD29" s="19"/>
      <c r="OPE29" s="19"/>
      <c r="OPF29" s="19"/>
      <c r="OPG29" s="19"/>
      <c r="OPH29" s="19"/>
      <c r="OPI29" s="19"/>
      <c r="OPJ29" s="19"/>
      <c r="OPK29" s="19"/>
      <c r="OPL29" s="19"/>
      <c r="OPM29" s="19"/>
      <c r="OPN29" s="19"/>
      <c r="OPO29" s="19"/>
      <c r="OPP29" s="19"/>
      <c r="OPQ29" s="19"/>
      <c r="OPR29" s="19"/>
      <c r="OPS29" s="19"/>
      <c r="OPT29" s="19"/>
      <c r="OPU29" s="19"/>
      <c r="OPV29" s="19"/>
      <c r="OPW29" s="19"/>
      <c r="OPX29" s="19"/>
      <c r="OPY29" s="19"/>
      <c r="OPZ29" s="19"/>
      <c r="OQA29" s="19"/>
      <c r="OQB29" s="19"/>
      <c r="OQC29" s="19"/>
      <c r="OQD29" s="19"/>
      <c r="OQE29" s="19"/>
      <c r="OQF29" s="19"/>
      <c r="OQG29" s="19"/>
      <c r="OQH29" s="19"/>
      <c r="OQI29" s="19"/>
      <c r="OQJ29" s="19"/>
      <c r="OQK29" s="19"/>
      <c r="OQL29" s="19"/>
      <c r="OQM29" s="19"/>
      <c r="OQN29" s="19"/>
      <c r="OQO29" s="19"/>
      <c r="OQP29" s="19"/>
      <c r="OQQ29" s="19"/>
      <c r="OQR29" s="19"/>
      <c r="OQS29" s="19"/>
      <c r="OQT29" s="19"/>
      <c r="OQU29" s="19"/>
      <c r="OQV29" s="19"/>
      <c r="OQW29" s="19"/>
      <c r="OQX29" s="19"/>
      <c r="OQY29" s="19"/>
      <c r="OQZ29" s="19"/>
      <c r="ORA29" s="19"/>
      <c r="ORB29" s="19"/>
      <c r="ORC29" s="19"/>
      <c r="ORD29" s="19"/>
      <c r="ORE29" s="19"/>
      <c r="ORF29" s="19"/>
      <c r="ORG29" s="19"/>
      <c r="ORH29" s="19"/>
      <c r="ORI29" s="19"/>
      <c r="ORJ29" s="19"/>
      <c r="ORK29" s="19"/>
      <c r="ORL29" s="19"/>
      <c r="ORM29" s="19"/>
      <c r="ORN29" s="19"/>
      <c r="ORO29" s="19"/>
      <c r="ORP29" s="19"/>
      <c r="ORQ29" s="19"/>
      <c r="ORR29" s="19"/>
      <c r="ORS29" s="19"/>
      <c r="ORT29" s="19"/>
      <c r="ORU29" s="19"/>
      <c r="ORV29" s="19"/>
      <c r="ORW29" s="19"/>
      <c r="ORX29" s="19"/>
      <c r="ORY29" s="19"/>
      <c r="ORZ29" s="19"/>
      <c r="OSA29" s="19"/>
      <c r="OSB29" s="19"/>
      <c r="OSC29" s="19"/>
      <c r="OSD29" s="19"/>
      <c r="OSE29" s="19"/>
      <c r="OSF29" s="19"/>
      <c r="OSG29" s="19"/>
      <c r="OSH29" s="19"/>
      <c r="OSI29" s="19"/>
      <c r="OSJ29" s="19"/>
      <c r="OSK29" s="19"/>
      <c r="OSL29" s="19"/>
      <c r="OSM29" s="19"/>
      <c r="OSN29" s="19"/>
      <c r="OSO29" s="19"/>
      <c r="OSP29" s="19"/>
      <c r="OSQ29" s="19"/>
      <c r="OSR29" s="19"/>
      <c r="OSS29" s="19"/>
      <c r="OST29" s="19"/>
      <c r="OSU29" s="19"/>
      <c r="OSV29" s="19"/>
      <c r="OSW29" s="19"/>
      <c r="OSX29" s="19"/>
      <c r="OSY29" s="19"/>
      <c r="OSZ29" s="19"/>
      <c r="OTA29" s="19"/>
      <c r="OTB29" s="19"/>
      <c r="OTC29" s="19"/>
      <c r="OTD29" s="19"/>
      <c r="OTE29" s="19"/>
      <c r="OTF29" s="19"/>
      <c r="OTG29" s="19"/>
      <c r="OTH29" s="19"/>
      <c r="OTI29" s="19"/>
      <c r="OTJ29" s="19"/>
      <c r="OTK29" s="19"/>
      <c r="OTL29" s="19"/>
      <c r="OTM29" s="19"/>
      <c r="OTN29" s="19"/>
      <c r="OTO29" s="19"/>
      <c r="OTP29" s="19"/>
      <c r="OTQ29" s="19"/>
      <c r="OTR29" s="19"/>
      <c r="OTS29" s="19"/>
      <c r="OTT29" s="19"/>
      <c r="OTU29" s="19"/>
      <c r="OTV29" s="19"/>
      <c r="OTW29" s="19"/>
      <c r="OTX29" s="19"/>
      <c r="OTY29" s="19"/>
      <c r="OTZ29" s="19"/>
      <c r="OUA29" s="19"/>
      <c r="OUB29" s="19"/>
      <c r="OUC29" s="19"/>
      <c r="OUD29" s="19"/>
      <c r="OUE29" s="19"/>
      <c r="OUF29" s="19"/>
      <c r="OUG29" s="19"/>
      <c r="OUH29" s="19"/>
      <c r="OUI29" s="19"/>
      <c r="OUJ29" s="19"/>
      <c r="OUK29" s="19"/>
      <c r="OUL29" s="19"/>
      <c r="OUM29" s="19"/>
      <c r="OUN29" s="19"/>
      <c r="OUO29" s="19"/>
      <c r="OUP29" s="19"/>
      <c r="OUQ29" s="19"/>
      <c r="OUR29" s="19"/>
      <c r="OUS29" s="19"/>
      <c r="OUT29" s="19"/>
      <c r="OUU29" s="19"/>
      <c r="OUV29" s="19"/>
      <c r="OUW29" s="19"/>
      <c r="OUX29" s="19"/>
      <c r="OUY29" s="19"/>
      <c r="OUZ29" s="19"/>
      <c r="OVA29" s="19"/>
      <c r="OVB29" s="19"/>
      <c r="OVC29" s="19"/>
      <c r="OVD29" s="19"/>
      <c r="OVE29" s="19"/>
      <c r="OVF29" s="19"/>
      <c r="OVG29" s="19"/>
      <c r="OVH29" s="19"/>
      <c r="OVI29" s="19"/>
      <c r="OVJ29" s="19"/>
      <c r="OVK29" s="19"/>
      <c r="OVL29" s="19"/>
      <c r="OVM29" s="19"/>
      <c r="OVN29" s="19"/>
      <c r="OVO29" s="19"/>
      <c r="OVP29" s="19"/>
      <c r="OVQ29" s="19"/>
      <c r="OVR29" s="19"/>
      <c r="OVS29" s="19"/>
      <c r="OVT29" s="19"/>
      <c r="OVU29" s="19"/>
      <c r="OVV29" s="19"/>
      <c r="OVW29" s="19"/>
      <c r="OVX29" s="19"/>
      <c r="OVY29" s="19"/>
      <c r="OVZ29" s="19"/>
      <c r="OWA29" s="19"/>
      <c r="OWB29" s="19"/>
      <c r="OWC29" s="19"/>
      <c r="OWD29" s="19"/>
      <c r="OWE29" s="19"/>
      <c r="OWF29" s="19"/>
      <c r="OWG29" s="19"/>
      <c r="OWH29" s="19"/>
      <c r="OWI29" s="19"/>
      <c r="OWJ29" s="19"/>
      <c r="OWK29" s="19"/>
      <c r="OWL29" s="19"/>
      <c r="OWM29" s="19"/>
      <c r="OWN29" s="19"/>
      <c r="OWO29" s="19"/>
      <c r="OWP29" s="19"/>
      <c r="OWQ29" s="19"/>
      <c r="OWR29" s="19"/>
      <c r="OWS29" s="19"/>
      <c r="OWT29" s="19"/>
      <c r="OWU29" s="19"/>
      <c r="OWV29" s="19"/>
      <c r="OWW29" s="19"/>
      <c r="OWX29" s="19"/>
      <c r="OWY29" s="19"/>
      <c r="OWZ29" s="19"/>
      <c r="OXA29" s="19"/>
      <c r="OXB29" s="19"/>
      <c r="OXC29" s="19"/>
      <c r="OXD29" s="19"/>
      <c r="OXE29" s="19"/>
      <c r="OXF29" s="19"/>
      <c r="OXG29" s="19"/>
      <c r="OXH29" s="19"/>
      <c r="OXI29" s="19"/>
      <c r="OXJ29" s="19"/>
      <c r="OXK29" s="19"/>
      <c r="OXL29" s="19"/>
      <c r="OXM29" s="19"/>
      <c r="OXN29" s="19"/>
      <c r="OXO29" s="19"/>
      <c r="OXP29" s="19"/>
      <c r="OXQ29" s="19"/>
      <c r="OXR29" s="19"/>
      <c r="OXS29" s="19"/>
      <c r="OXT29" s="19"/>
      <c r="OXU29" s="19"/>
      <c r="OXV29" s="19"/>
      <c r="OXW29" s="19"/>
      <c r="OXX29" s="19"/>
      <c r="OXY29" s="19"/>
      <c r="OXZ29" s="19"/>
      <c r="OYA29" s="19"/>
      <c r="OYB29" s="19"/>
      <c r="OYC29" s="19"/>
      <c r="OYD29" s="19"/>
      <c r="OYE29" s="19"/>
      <c r="OYF29" s="19"/>
      <c r="OYG29" s="19"/>
      <c r="OYH29" s="19"/>
      <c r="OYI29" s="19"/>
      <c r="OYJ29" s="19"/>
      <c r="OYK29" s="19"/>
      <c r="OYL29" s="19"/>
      <c r="OYM29" s="19"/>
      <c r="OYN29" s="19"/>
      <c r="OYO29" s="19"/>
      <c r="OYP29" s="19"/>
      <c r="OYQ29" s="19"/>
      <c r="OYR29" s="19"/>
      <c r="OYS29" s="19"/>
      <c r="OYT29" s="19"/>
      <c r="OYU29" s="19"/>
      <c r="OYV29" s="19"/>
      <c r="OYW29" s="19"/>
      <c r="OYX29" s="19"/>
      <c r="OYY29" s="19"/>
      <c r="OYZ29" s="19"/>
      <c r="OZA29" s="19"/>
      <c r="OZB29" s="19"/>
      <c r="OZC29" s="19"/>
      <c r="OZD29" s="19"/>
      <c r="OZE29" s="19"/>
      <c r="OZF29" s="19"/>
      <c r="OZG29" s="19"/>
      <c r="OZH29" s="19"/>
      <c r="OZI29" s="19"/>
      <c r="OZJ29" s="19"/>
      <c r="OZK29" s="19"/>
      <c r="OZL29" s="19"/>
      <c r="OZM29" s="19"/>
      <c r="OZN29" s="19"/>
      <c r="OZO29" s="19"/>
      <c r="OZP29" s="19"/>
      <c r="OZQ29" s="19"/>
      <c r="OZR29" s="19"/>
      <c r="OZS29" s="19"/>
      <c r="OZT29" s="19"/>
      <c r="OZU29" s="19"/>
      <c r="OZV29" s="19"/>
      <c r="OZW29" s="19"/>
      <c r="OZX29" s="19"/>
      <c r="OZY29" s="19"/>
      <c r="OZZ29" s="19"/>
      <c r="PAA29" s="19"/>
      <c r="PAB29" s="19"/>
      <c r="PAC29" s="19"/>
      <c r="PAD29" s="19"/>
      <c r="PAE29" s="19"/>
      <c r="PAF29" s="19"/>
      <c r="PAG29" s="19"/>
      <c r="PAH29" s="19"/>
      <c r="PAI29" s="19"/>
      <c r="PAJ29" s="19"/>
      <c r="PAK29" s="19"/>
      <c r="PAL29" s="19"/>
      <c r="PAM29" s="19"/>
      <c r="PAN29" s="19"/>
      <c r="PAO29" s="19"/>
      <c r="PAP29" s="19"/>
      <c r="PAQ29" s="19"/>
      <c r="PAR29" s="19"/>
      <c r="PAS29" s="19"/>
      <c r="PAT29" s="19"/>
      <c r="PAU29" s="19"/>
      <c r="PAV29" s="19"/>
      <c r="PAW29" s="19"/>
      <c r="PAX29" s="19"/>
      <c r="PAY29" s="19"/>
      <c r="PAZ29" s="19"/>
      <c r="PBA29" s="19"/>
      <c r="PBB29" s="19"/>
      <c r="PBC29" s="19"/>
      <c r="PBD29" s="19"/>
      <c r="PBE29" s="19"/>
      <c r="PBF29" s="19"/>
      <c r="PBG29" s="19"/>
      <c r="PBH29" s="19"/>
      <c r="PBI29" s="19"/>
      <c r="PBJ29" s="19"/>
      <c r="PBK29" s="19"/>
      <c r="PBL29" s="19"/>
      <c r="PBM29" s="19"/>
      <c r="PBN29" s="19"/>
      <c r="PBO29" s="19"/>
      <c r="PBP29" s="19"/>
      <c r="PBQ29" s="19"/>
      <c r="PBR29" s="19"/>
      <c r="PBS29" s="19"/>
      <c r="PBT29" s="19"/>
      <c r="PBU29" s="19"/>
      <c r="PBV29" s="19"/>
      <c r="PBW29" s="19"/>
      <c r="PBX29" s="19"/>
      <c r="PBY29" s="19"/>
      <c r="PBZ29" s="19"/>
      <c r="PCA29" s="19"/>
      <c r="PCB29" s="19"/>
      <c r="PCC29" s="19"/>
      <c r="PCD29" s="19"/>
      <c r="PCE29" s="19"/>
      <c r="PCF29" s="19"/>
      <c r="PCG29" s="19"/>
      <c r="PCH29" s="19"/>
      <c r="PCI29" s="19"/>
      <c r="PCJ29" s="19"/>
      <c r="PCK29" s="19"/>
      <c r="PCL29" s="19"/>
      <c r="PCM29" s="19"/>
      <c r="PCN29" s="19"/>
      <c r="PCO29" s="19"/>
      <c r="PCP29" s="19"/>
      <c r="PCQ29" s="19"/>
      <c r="PCR29" s="19"/>
      <c r="PCS29" s="19"/>
      <c r="PCT29" s="19"/>
      <c r="PCU29" s="19"/>
      <c r="PCV29" s="19"/>
      <c r="PCW29" s="19"/>
      <c r="PCX29" s="19"/>
      <c r="PCY29" s="19"/>
      <c r="PCZ29" s="19"/>
      <c r="PDA29" s="19"/>
      <c r="PDB29" s="19"/>
      <c r="PDC29" s="19"/>
      <c r="PDD29" s="19"/>
      <c r="PDE29" s="19"/>
      <c r="PDF29" s="19"/>
      <c r="PDG29" s="19"/>
      <c r="PDH29" s="19"/>
      <c r="PDI29" s="19"/>
      <c r="PDJ29" s="19"/>
      <c r="PDK29" s="19"/>
      <c r="PDL29" s="19"/>
      <c r="PDM29" s="19"/>
      <c r="PDN29" s="19"/>
      <c r="PDO29" s="19"/>
      <c r="PDP29" s="19"/>
      <c r="PDQ29" s="19"/>
      <c r="PDR29" s="19"/>
      <c r="PDS29" s="19"/>
      <c r="PDT29" s="19"/>
      <c r="PDU29" s="19"/>
      <c r="PDV29" s="19"/>
      <c r="PDW29" s="19"/>
      <c r="PDX29" s="19"/>
      <c r="PDY29" s="19"/>
      <c r="PDZ29" s="19"/>
      <c r="PEA29" s="19"/>
      <c r="PEB29" s="19"/>
      <c r="PEC29" s="19"/>
      <c r="PED29" s="19"/>
      <c r="PEE29" s="19"/>
      <c r="PEF29" s="19"/>
      <c r="PEG29" s="19"/>
      <c r="PEH29" s="19"/>
      <c r="PEI29" s="19"/>
      <c r="PEJ29" s="19"/>
      <c r="PEK29" s="19"/>
      <c r="PEL29" s="19"/>
      <c r="PEM29" s="19"/>
      <c r="PEN29" s="19"/>
      <c r="PEO29" s="19"/>
      <c r="PEP29" s="19"/>
      <c r="PEQ29" s="19"/>
      <c r="PER29" s="19"/>
      <c r="PES29" s="19"/>
      <c r="PET29" s="19"/>
      <c r="PEU29" s="19"/>
      <c r="PEV29" s="19"/>
      <c r="PEW29" s="19"/>
      <c r="PEX29" s="19"/>
      <c r="PEY29" s="19"/>
      <c r="PEZ29" s="19"/>
      <c r="PFA29" s="19"/>
      <c r="PFB29" s="19"/>
      <c r="PFC29" s="19"/>
      <c r="PFD29" s="19"/>
      <c r="PFE29" s="19"/>
      <c r="PFF29" s="19"/>
      <c r="PFG29" s="19"/>
      <c r="PFH29" s="19"/>
      <c r="PFI29" s="19"/>
      <c r="PFJ29" s="19"/>
      <c r="PFK29" s="19"/>
      <c r="PFL29" s="19"/>
      <c r="PFM29" s="19"/>
      <c r="PFN29" s="19"/>
      <c r="PFO29" s="19"/>
      <c r="PFP29" s="19"/>
      <c r="PFQ29" s="19"/>
      <c r="PFR29" s="19"/>
      <c r="PFS29" s="19"/>
      <c r="PFT29" s="19"/>
      <c r="PFU29" s="19"/>
      <c r="PFV29" s="19"/>
      <c r="PFW29" s="19"/>
      <c r="PFX29" s="19"/>
      <c r="PFY29" s="19"/>
      <c r="PFZ29" s="19"/>
      <c r="PGA29" s="19"/>
      <c r="PGB29" s="19"/>
      <c r="PGC29" s="19"/>
      <c r="PGD29" s="19"/>
      <c r="PGE29" s="19"/>
      <c r="PGF29" s="19"/>
      <c r="PGG29" s="19"/>
      <c r="PGH29" s="19"/>
      <c r="PGI29" s="19"/>
      <c r="PGJ29" s="19"/>
      <c r="PGK29" s="19"/>
      <c r="PGL29" s="19"/>
      <c r="PGM29" s="19"/>
      <c r="PGN29" s="19"/>
      <c r="PGO29" s="19"/>
      <c r="PGP29" s="19"/>
      <c r="PGQ29" s="19"/>
      <c r="PGR29" s="19"/>
      <c r="PGS29" s="19"/>
      <c r="PGT29" s="19"/>
      <c r="PGU29" s="19"/>
      <c r="PGV29" s="19"/>
      <c r="PGW29" s="19"/>
      <c r="PGX29" s="19"/>
      <c r="PGY29" s="19"/>
      <c r="PGZ29" s="19"/>
      <c r="PHA29" s="19"/>
      <c r="PHB29" s="19"/>
      <c r="PHC29" s="19"/>
      <c r="PHD29" s="19"/>
      <c r="PHE29" s="19"/>
      <c r="PHF29" s="19"/>
      <c r="PHG29" s="19"/>
      <c r="PHH29" s="19"/>
      <c r="PHI29" s="19"/>
      <c r="PHJ29" s="19"/>
      <c r="PHK29" s="19"/>
      <c r="PHL29" s="19"/>
      <c r="PHM29" s="19"/>
      <c r="PHN29" s="19"/>
      <c r="PHO29" s="19"/>
      <c r="PHP29" s="19"/>
      <c r="PHQ29" s="19"/>
      <c r="PHR29" s="19"/>
      <c r="PHS29" s="19"/>
      <c r="PHT29" s="19"/>
      <c r="PHU29" s="19"/>
      <c r="PHV29" s="19"/>
      <c r="PHW29" s="19"/>
      <c r="PHX29" s="19"/>
      <c r="PHY29" s="19"/>
      <c r="PHZ29" s="19"/>
      <c r="PIA29" s="19"/>
      <c r="PIB29" s="19"/>
      <c r="PIC29" s="19"/>
      <c r="PID29" s="19"/>
      <c r="PIE29" s="19"/>
      <c r="PIF29" s="19"/>
      <c r="PIG29" s="19"/>
      <c r="PIH29" s="19"/>
      <c r="PII29" s="19"/>
      <c r="PIJ29" s="19"/>
      <c r="PIK29" s="19"/>
      <c r="PIL29" s="19"/>
      <c r="PIM29" s="19"/>
      <c r="PIN29" s="19"/>
      <c r="PIO29" s="19"/>
      <c r="PIP29" s="19"/>
      <c r="PIQ29" s="19"/>
      <c r="PIR29" s="19"/>
      <c r="PIS29" s="19"/>
      <c r="PIT29" s="19"/>
      <c r="PIU29" s="19"/>
      <c r="PIV29" s="19"/>
      <c r="PIW29" s="19"/>
      <c r="PIX29" s="19"/>
      <c r="PIY29" s="19"/>
      <c r="PIZ29" s="19"/>
      <c r="PJA29" s="19"/>
      <c r="PJB29" s="19"/>
      <c r="PJC29" s="19"/>
      <c r="PJD29" s="19"/>
      <c r="PJE29" s="19"/>
      <c r="PJF29" s="19"/>
      <c r="PJG29" s="19"/>
      <c r="PJH29" s="19"/>
      <c r="PJI29" s="19"/>
      <c r="PJJ29" s="19"/>
      <c r="PJK29" s="19"/>
      <c r="PJL29" s="19"/>
      <c r="PJM29" s="19"/>
      <c r="PJN29" s="19"/>
      <c r="PJO29" s="19"/>
      <c r="PJP29" s="19"/>
      <c r="PJQ29" s="19"/>
      <c r="PJR29" s="19"/>
      <c r="PJS29" s="19"/>
      <c r="PJT29" s="19"/>
      <c r="PJU29" s="19"/>
      <c r="PJV29" s="19"/>
      <c r="PJW29" s="19"/>
      <c r="PJX29" s="19"/>
      <c r="PJY29" s="19"/>
      <c r="PJZ29" s="19"/>
      <c r="PKA29" s="19"/>
      <c r="PKB29" s="19"/>
      <c r="PKC29" s="19"/>
      <c r="PKD29" s="19"/>
      <c r="PKE29" s="19"/>
      <c r="PKF29" s="19"/>
      <c r="PKG29" s="19"/>
      <c r="PKH29" s="19"/>
      <c r="PKI29" s="19"/>
      <c r="PKJ29" s="19"/>
      <c r="PKK29" s="19"/>
      <c r="PKL29" s="19"/>
      <c r="PKM29" s="19"/>
      <c r="PKN29" s="19"/>
      <c r="PKO29" s="19"/>
      <c r="PKP29" s="19"/>
      <c r="PKQ29" s="19"/>
      <c r="PKR29" s="19"/>
      <c r="PKS29" s="19"/>
      <c r="PKT29" s="19"/>
      <c r="PKU29" s="19"/>
      <c r="PKV29" s="19"/>
      <c r="PKW29" s="19"/>
      <c r="PKX29" s="19"/>
      <c r="PKY29" s="19"/>
      <c r="PKZ29" s="19"/>
      <c r="PLA29" s="19"/>
      <c r="PLB29" s="19"/>
      <c r="PLC29" s="19"/>
      <c r="PLD29" s="19"/>
      <c r="PLE29" s="19"/>
      <c r="PLF29" s="19"/>
      <c r="PLG29" s="19"/>
      <c r="PLH29" s="19"/>
      <c r="PLI29" s="19"/>
      <c r="PLJ29" s="19"/>
      <c r="PLK29" s="19"/>
      <c r="PLL29" s="19"/>
      <c r="PLM29" s="19"/>
      <c r="PLN29" s="19"/>
      <c r="PLO29" s="19"/>
      <c r="PLP29" s="19"/>
      <c r="PLQ29" s="19"/>
      <c r="PLR29" s="19"/>
      <c r="PLS29" s="19"/>
      <c r="PLT29" s="19"/>
      <c r="PLU29" s="19"/>
      <c r="PLV29" s="19"/>
      <c r="PLW29" s="19"/>
      <c r="PLX29" s="19"/>
      <c r="PLY29" s="19"/>
      <c r="PLZ29" s="19"/>
      <c r="PMA29" s="19"/>
      <c r="PMB29" s="19"/>
      <c r="PMC29" s="19"/>
      <c r="PMD29" s="19"/>
      <c r="PME29" s="19"/>
      <c r="PMF29" s="19"/>
      <c r="PMG29" s="19"/>
      <c r="PMH29" s="19"/>
      <c r="PMI29" s="19"/>
      <c r="PMJ29" s="19"/>
      <c r="PMK29" s="19"/>
      <c r="PML29" s="19"/>
      <c r="PMM29" s="19"/>
      <c r="PMN29" s="19"/>
      <c r="PMO29" s="19"/>
      <c r="PMP29" s="19"/>
      <c r="PMQ29" s="19"/>
      <c r="PMR29" s="19"/>
      <c r="PMS29" s="19"/>
      <c r="PMT29" s="19"/>
      <c r="PMU29" s="19"/>
      <c r="PMV29" s="19"/>
      <c r="PMW29" s="19"/>
      <c r="PMX29" s="19"/>
      <c r="PMY29" s="19"/>
      <c r="PMZ29" s="19"/>
      <c r="PNA29" s="19"/>
      <c r="PNB29" s="19"/>
      <c r="PNC29" s="19"/>
      <c r="PND29" s="19"/>
      <c r="PNE29" s="19"/>
      <c r="PNF29" s="19"/>
      <c r="PNG29" s="19"/>
      <c r="PNH29" s="19"/>
      <c r="PNI29" s="19"/>
      <c r="PNJ29" s="19"/>
      <c r="PNK29" s="19"/>
      <c r="PNL29" s="19"/>
      <c r="PNM29" s="19"/>
      <c r="PNN29" s="19"/>
      <c r="PNO29" s="19"/>
      <c r="PNP29" s="19"/>
      <c r="PNQ29" s="19"/>
      <c r="PNR29" s="19"/>
      <c r="PNS29" s="19"/>
      <c r="PNT29" s="19"/>
      <c r="PNU29" s="19"/>
      <c r="PNV29" s="19"/>
      <c r="PNW29" s="19"/>
      <c r="PNX29" s="19"/>
      <c r="PNY29" s="19"/>
      <c r="PNZ29" s="19"/>
      <c r="POA29" s="19"/>
      <c r="POB29" s="19"/>
      <c r="POC29" s="19"/>
      <c r="POD29" s="19"/>
      <c r="POE29" s="19"/>
      <c r="POF29" s="19"/>
      <c r="POG29" s="19"/>
      <c r="POH29" s="19"/>
      <c r="POI29" s="19"/>
      <c r="POJ29" s="19"/>
      <c r="POK29" s="19"/>
      <c r="POL29" s="19"/>
      <c r="POM29" s="19"/>
      <c r="PON29" s="19"/>
      <c r="POO29" s="19"/>
      <c r="POP29" s="19"/>
      <c r="POQ29" s="19"/>
      <c r="POR29" s="19"/>
      <c r="POS29" s="19"/>
      <c r="POT29" s="19"/>
      <c r="POU29" s="19"/>
      <c r="POV29" s="19"/>
      <c r="POW29" s="19"/>
      <c r="POX29" s="19"/>
      <c r="POY29" s="19"/>
      <c r="POZ29" s="19"/>
      <c r="PPA29" s="19"/>
      <c r="PPB29" s="19"/>
      <c r="PPC29" s="19"/>
      <c r="PPD29" s="19"/>
      <c r="PPE29" s="19"/>
      <c r="PPF29" s="19"/>
      <c r="PPG29" s="19"/>
      <c r="PPH29" s="19"/>
      <c r="PPI29" s="19"/>
      <c r="PPJ29" s="19"/>
      <c r="PPK29" s="19"/>
      <c r="PPL29" s="19"/>
      <c r="PPM29" s="19"/>
      <c r="PPN29" s="19"/>
      <c r="PPO29" s="19"/>
      <c r="PPP29" s="19"/>
      <c r="PPQ29" s="19"/>
      <c r="PPR29" s="19"/>
      <c r="PPS29" s="19"/>
      <c r="PPT29" s="19"/>
      <c r="PPU29" s="19"/>
      <c r="PPV29" s="19"/>
      <c r="PPW29" s="19"/>
      <c r="PPX29" s="19"/>
      <c r="PPY29" s="19"/>
      <c r="PPZ29" s="19"/>
      <c r="PQA29" s="19"/>
      <c r="PQB29" s="19"/>
      <c r="PQC29" s="19"/>
      <c r="PQD29" s="19"/>
      <c r="PQE29" s="19"/>
      <c r="PQF29" s="19"/>
      <c r="PQG29" s="19"/>
      <c r="PQH29" s="19"/>
      <c r="PQI29" s="19"/>
      <c r="PQJ29" s="19"/>
      <c r="PQK29" s="19"/>
      <c r="PQL29" s="19"/>
      <c r="PQM29" s="19"/>
      <c r="PQN29" s="19"/>
      <c r="PQO29" s="19"/>
      <c r="PQP29" s="19"/>
      <c r="PQQ29" s="19"/>
      <c r="PQR29" s="19"/>
      <c r="PQS29" s="19"/>
      <c r="PQT29" s="19"/>
      <c r="PQU29" s="19"/>
      <c r="PQV29" s="19"/>
      <c r="PQW29" s="19"/>
      <c r="PQX29" s="19"/>
      <c r="PQY29" s="19"/>
      <c r="PQZ29" s="19"/>
      <c r="PRA29" s="19"/>
      <c r="PRB29" s="19"/>
      <c r="PRC29" s="19"/>
      <c r="PRD29" s="19"/>
      <c r="PRE29" s="19"/>
      <c r="PRF29" s="19"/>
      <c r="PRG29" s="19"/>
      <c r="PRH29" s="19"/>
      <c r="PRI29" s="19"/>
      <c r="PRJ29" s="19"/>
      <c r="PRK29" s="19"/>
      <c r="PRL29" s="19"/>
      <c r="PRM29" s="19"/>
      <c r="PRN29" s="19"/>
      <c r="PRO29" s="19"/>
      <c r="PRP29" s="19"/>
      <c r="PRQ29" s="19"/>
      <c r="PRR29" s="19"/>
      <c r="PRS29" s="19"/>
      <c r="PRT29" s="19"/>
      <c r="PRU29" s="19"/>
      <c r="PRV29" s="19"/>
      <c r="PRW29" s="19"/>
      <c r="PRX29" s="19"/>
      <c r="PRY29" s="19"/>
      <c r="PRZ29" s="19"/>
      <c r="PSA29" s="19"/>
      <c r="PSB29" s="19"/>
      <c r="PSC29" s="19"/>
      <c r="PSD29" s="19"/>
      <c r="PSE29" s="19"/>
      <c r="PSF29" s="19"/>
      <c r="PSG29" s="19"/>
      <c r="PSH29" s="19"/>
      <c r="PSI29" s="19"/>
      <c r="PSJ29" s="19"/>
      <c r="PSK29" s="19"/>
      <c r="PSL29" s="19"/>
      <c r="PSM29" s="19"/>
      <c r="PSN29" s="19"/>
      <c r="PSO29" s="19"/>
      <c r="PSP29" s="19"/>
      <c r="PSQ29" s="19"/>
      <c r="PSR29" s="19"/>
      <c r="PSS29" s="19"/>
      <c r="PST29" s="19"/>
      <c r="PSU29" s="19"/>
      <c r="PSV29" s="19"/>
      <c r="PSW29" s="19"/>
      <c r="PSX29" s="19"/>
      <c r="PSY29" s="19"/>
      <c r="PSZ29" s="19"/>
      <c r="PTA29" s="19"/>
      <c r="PTB29" s="19"/>
      <c r="PTC29" s="19"/>
      <c r="PTD29" s="19"/>
      <c r="PTE29" s="19"/>
      <c r="PTF29" s="19"/>
      <c r="PTG29" s="19"/>
      <c r="PTH29" s="19"/>
      <c r="PTI29" s="19"/>
      <c r="PTJ29" s="19"/>
      <c r="PTK29" s="19"/>
      <c r="PTL29" s="19"/>
      <c r="PTM29" s="19"/>
      <c r="PTN29" s="19"/>
      <c r="PTO29" s="19"/>
      <c r="PTP29" s="19"/>
      <c r="PTQ29" s="19"/>
      <c r="PTR29" s="19"/>
      <c r="PTS29" s="19"/>
      <c r="PTT29" s="19"/>
      <c r="PTU29" s="19"/>
      <c r="PTV29" s="19"/>
      <c r="PTW29" s="19"/>
      <c r="PTX29" s="19"/>
      <c r="PTY29" s="19"/>
      <c r="PTZ29" s="19"/>
      <c r="PUA29" s="19"/>
      <c r="PUB29" s="19"/>
      <c r="PUC29" s="19"/>
      <c r="PUD29" s="19"/>
      <c r="PUE29" s="19"/>
      <c r="PUF29" s="19"/>
      <c r="PUG29" s="19"/>
      <c r="PUH29" s="19"/>
      <c r="PUI29" s="19"/>
      <c r="PUJ29" s="19"/>
      <c r="PUK29" s="19"/>
      <c r="PUL29" s="19"/>
      <c r="PUM29" s="19"/>
      <c r="PUN29" s="19"/>
      <c r="PUO29" s="19"/>
      <c r="PUP29" s="19"/>
      <c r="PUQ29" s="19"/>
      <c r="PUR29" s="19"/>
      <c r="PUS29" s="19"/>
      <c r="PUT29" s="19"/>
      <c r="PUU29" s="19"/>
      <c r="PUV29" s="19"/>
      <c r="PUW29" s="19"/>
      <c r="PUX29" s="19"/>
      <c r="PUY29" s="19"/>
      <c r="PUZ29" s="19"/>
      <c r="PVA29" s="19"/>
      <c r="PVB29" s="19"/>
      <c r="PVC29" s="19"/>
      <c r="PVD29" s="19"/>
      <c r="PVE29" s="19"/>
      <c r="PVF29" s="19"/>
      <c r="PVG29" s="19"/>
      <c r="PVH29" s="19"/>
      <c r="PVI29" s="19"/>
      <c r="PVJ29" s="19"/>
      <c r="PVK29" s="19"/>
      <c r="PVL29" s="19"/>
      <c r="PVM29" s="19"/>
      <c r="PVN29" s="19"/>
      <c r="PVO29" s="19"/>
      <c r="PVP29" s="19"/>
      <c r="PVQ29" s="19"/>
      <c r="PVR29" s="19"/>
      <c r="PVS29" s="19"/>
      <c r="PVT29" s="19"/>
      <c r="PVU29" s="19"/>
      <c r="PVV29" s="19"/>
      <c r="PVW29" s="19"/>
      <c r="PVX29" s="19"/>
      <c r="PVY29" s="19"/>
      <c r="PVZ29" s="19"/>
      <c r="PWA29" s="19"/>
      <c r="PWB29" s="19"/>
      <c r="PWC29" s="19"/>
      <c r="PWD29" s="19"/>
      <c r="PWE29" s="19"/>
      <c r="PWF29" s="19"/>
      <c r="PWG29" s="19"/>
      <c r="PWH29" s="19"/>
      <c r="PWI29" s="19"/>
      <c r="PWJ29" s="19"/>
      <c r="PWK29" s="19"/>
      <c r="PWL29" s="19"/>
      <c r="PWM29" s="19"/>
      <c r="PWN29" s="19"/>
      <c r="PWO29" s="19"/>
      <c r="PWP29" s="19"/>
      <c r="PWQ29" s="19"/>
      <c r="PWR29" s="19"/>
      <c r="PWS29" s="19"/>
      <c r="PWT29" s="19"/>
      <c r="PWU29" s="19"/>
      <c r="PWV29" s="19"/>
      <c r="PWW29" s="19"/>
      <c r="PWX29" s="19"/>
      <c r="PWY29" s="19"/>
      <c r="PWZ29" s="19"/>
      <c r="PXA29" s="19"/>
      <c r="PXB29" s="19"/>
      <c r="PXC29" s="19"/>
      <c r="PXD29" s="19"/>
      <c r="PXE29" s="19"/>
      <c r="PXF29" s="19"/>
      <c r="PXG29" s="19"/>
      <c r="PXH29" s="19"/>
      <c r="PXI29" s="19"/>
      <c r="PXJ29" s="19"/>
      <c r="PXK29" s="19"/>
      <c r="PXL29" s="19"/>
      <c r="PXM29" s="19"/>
      <c r="PXN29" s="19"/>
      <c r="PXO29" s="19"/>
      <c r="PXP29" s="19"/>
      <c r="PXQ29" s="19"/>
      <c r="PXR29" s="19"/>
      <c r="PXS29" s="19"/>
      <c r="PXT29" s="19"/>
      <c r="PXU29" s="19"/>
      <c r="PXV29" s="19"/>
      <c r="PXW29" s="19"/>
      <c r="PXX29" s="19"/>
      <c r="PXY29" s="19"/>
      <c r="PXZ29" s="19"/>
      <c r="PYA29" s="19"/>
      <c r="PYB29" s="19"/>
      <c r="PYC29" s="19"/>
      <c r="PYD29" s="19"/>
      <c r="PYE29" s="19"/>
      <c r="PYF29" s="19"/>
      <c r="PYG29" s="19"/>
      <c r="PYH29" s="19"/>
      <c r="PYI29" s="19"/>
      <c r="PYJ29" s="19"/>
      <c r="PYK29" s="19"/>
      <c r="PYL29" s="19"/>
      <c r="PYM29" s="19"/>
      <c r="PYN29" s="19"/>
      <c r="PYO29" s="19"/>
      <c r="PYP29" s="19"/>
      <c r="PYQ29" s="19"/>
      <c r="PYR29" s="19"/>
      <c r="PYS29" s="19"/>
      <c r="PYT29" s="19"/>
      <c r="PYU29" s="19"/>
      <c r="PYV29" s="19"/>
      <c r="PYW29" s="19"/>
      <c r="PYX29" s="19"/>
      <c r="PYY29" s="19"/>
      <c r="PYZ29" s="19"/>
      <c r="PZA29" s="19"/>
      <c r="PZB29" s="19"/>
      <c r="PZC29" s="19"/>
      <c r="PZD29" s="19"/>
      <c r="PZE29" s="19"/>
      <c r="PZF29" s="19"/>
      <c r="PZG29" s="19"/>
      <c r="PZH29" s="19"/>
      <c r="PZI29" s="19"/>
      <c r="PZJ29" s="19"/>
      <c r="PZK29" s="19"/>
      <c r="PZL29" s="19"/>
      <c r="PZM29" s="19"/>
      <c r="PZN29" s="19"/>
      <c r="PZO29" s="19"/>
      <c r="PZP29" s="19"/>
      <c r="PZQ29" s="19"/>
      <c r="PZR29" s="19"/>
      <c r="PZS29" s="19"/>
      <c r="PZT29" s="19"/>
      <c r="PZU29" s="19"/>
      <c r="PZV29" s="19"/>
      <c r="PZW29" s="19"/>
      <c r="PZX29" s="19"/>
      <c r="PZY29" s="19"/>
      <c r="PZZ29" s="19"/>
      <c r="QAA29" s="19"/>
      <c r="QAB29" s="19"/>
      <c r="QAC29" s="19"/>
      <c r="QAD29" s="19"/>
      <c r="QAE29" s="19"/>
      <c r="QAF29" s="19"/>
      <c r="QAG29" s="19"/>
      <c r="QAH29" s="19"/>
      <c r="QAI29" s="19"/>
      <c r="QAJ29" s="19"/>
      <c r="QAK29" s="19"/>
      <c r="QAL29" s="19"/>
      <c r="QAM29" s="19"/>
      <c r="QAN29" s="19"/>
      <c r="QAO29" s="19"/>
      <c r="QAP29" s="19"/>
      <c r="QAQ29" s="19"/>
      <c r="QAR29" s="19"/>
      <c r="QAS29" s="19"/>
      <c r="QAT29" s="19"/>
      <c r="QAU29" s="19"/>
      <c r="QAV29" s="19"/>
      <c r="QAW29" s="19"/>
      <c r="QAX29" s="19"/>
      <c r="QAY29" s="19"/>
      <c r="QAZ29" s="19"/>
      <c r="QBA29" s="19"/>
      <c r="QBB29" s="19"/>
      <c r="QBC29" s="19"/>
      <c r="QBD29" s="19"/>
      <c r="QBE29" s="19"/>
      <c r="QBF29" s="19"/>
      <c r="QBG29" s="19"/>
      <c r="QBH29" s="19"/>
      <c r="QBI29" s="19"/>
      <c r="QBJ29" s="19"/>
      <c r="QBK29" s="19"/>
      <c r="QBL29" s="19"/>
      <c r="QBM29" s="19"/>
      <c r="QBN29" s="19"/>
      <c r="QBO29" s="19"/>
      <c r="QBP29" s="19"/>
      <c r="QBQ29" s="19"/>
      <c r="QBR29" s="19"/>
      <c r="QBS29" s="19"/>
      <c r="QBT29" s="19"/>
      <c r="QBU29" s="19"/>
      <c r="QBV29" s="19"/>
      <c r="QBW29" s="19"/>
      <c r="QBX29" s="19"/>
      <c r="QBY29" s="19"/>
      <c r="QBZ29" s="19"/>
      <c r="QCA29" s="19"/>
      <c r="QCB29" s="19"/>
      <c r="QCC29" s="19"/>
      <c r="QCD29" s="19"/>
      <c r="QCE29" s="19"/>
      <c r="QCF29" s="19"/>
      <c r="QCG29" s="19"/>
      <c r="QCH29" s="19"/>
      <c r="QCI29" s="19"/>
      <c r="QCJ29" s="19"/>
      <c r="QCK29" s="19"/>
      <c r="QCL29" s="19"/>
      <c r="QCM29" s="19"/>
      <c r="QCN29" s="19"/>
      <c r="QCO29" s="19"/>
      <c r="QCP29" s="19"/>
      <c r="QCQ29" s="19"/>
      <c r="QCR29" s="19"/>
      <c r="QCS29" s="19"/>
      <c r="QCT29" s="19"/>
      <c r="QCU29" s="19"/>
      <c r="QCV29" s="19"/>
      <c r="QCW29" s="19"/>
      <c r="QCX29" s="19"/>
      <c r="QCY29" s="19"/>
      <c r="QCZ29" s="19"/>
      <c r="QDA29" s="19"/>
      <c r="QDB29" s="19"/>
      <c r="QDC29" s="19"/>
      <c r="QDD29" s="19"/>
      <c r="QDE29" s="19"/>
      <c r="QDF29" s="19"/>
      <c r="QDG29" s="19"/>
      <c r="QDH29" s="19"/>
      <c r="QDI29" s="19"/>
      <c r="QDJ29" s="19"/>
      <c r="QDK29" s="19"/>
      <c r="QDL29" s="19"/>
      <c r="QDM29" s="19"/>
      <c r="QDN29" s="19"/>
      <c r="QDO29" s="19"/>
      <c r="QDP29" s="19"/>
      <c r="QDQ29" s="19"/>
      <c r="QDR29" s="19"/>
      <c r="QDS29" s="19"/>
      <c r="QDT29" s="19"/>
      <c r="QDU29" s="19"/>
      <c r="QDV29" s="19"/>
      <c r="QDW29" s="19"/>
      <c r="QDX29" s="19"/>
      <c r="QDY29" s="19"/>
      <c r="QDZ29" s="19"/>
      <c r="QEA29" s="19"/>
      <c r="QEB29" s="19"/>
      <c r="QEC29" s="19"/>
      <c r="QED29" s="19"/>
      <c r="QEE29" s="19"/>
      <c r="QEF29" s="19"/>
      <c r="QEG29" s="19"/>
      <c r="QEH29" s="19"/>
      <c r="QEI29" s="19"/>
      <c r="QEJ29" s="19"/>
      <c r="QEK29" s="19"/>
      <c r="QEL29" s="19"/>
      <c r="QEM29" s="19"/>
      <c r="QEN29" s="19"/>
      <c r="QEO29" s="19"/>
      <c r="QEP29" s="19"/>
      <c r="QEQ29" s="19"/>
      <c r="QER29" s="19"/>
      <c r="QES29" s="19"/>
      <c r="QET29" s="19"/>
      <c r="QEU29" s="19"/>
      <c r="QEV29" s="19"/>
      <c r="QEW29" s="19"/>
      <c r="QEX29" s="19"/>
      <c r="QEY29" s="19"/>
      <c r="QEZ29" s="19"/>
      <c r="QFA29" s="19"/>
      <c r="QFB29" s="19"/>
      <c r="QFC29" s="19"/>
      <c r="QFD29" s="19"/>
      <c r="QFE29" s="19"/>
      <c r="QFF29" s="19"/>
      <c r="QFG29" s="19"/>
      <c r="QFH29" s="19"/>
      <c r="QFI29" s="19"/>
      <c r="QFJ29" s="19"/>
      <c r="QFK29" s="19"/>
      <c r="QFL29" s="19"/>
      <c r="QFM29" s="19"/>
      <c r="QFN29" s="19"/>
      <c r="QFO29" s="19"/>
      <c r="QFP29" s="19"/>
      <c r="QFQ29" s="19"/>
      <c r="QFR29" s="19"/>
      <c r="QFS29" s="19"/>
      <c r="QFT29" s="19"/>
      <c r="QFU29" s="19"/>
      <c r="QFV29" s="19"/>
      <c r="QFW29" s="19"/>
      <c r="QFX29" s="19"/>
      <c r="QFY29" s="19"/>
      <c r="QFZ29" s="19"/>
      <c r="QGA29" s="19"/>
      <c r="QGB29" s="19"/>
      <c r="QGC29" s="19"/>
      <c r="QGD29" s="19"/>
      <c r="QGE29" s="19"/>
      <c r="QGF29" s="19"/>
      <c r="QGG29" s="19"/>
      <c r="QGH29" s="19"/>
      <c r="QGI29" s="19"/>
      <c r="QGJ29" s="19"/>
      <c r="QGK29" s="19"/>
      <c r="QGL29" s="19"/>
      <c r="QGM29" s="19"/>
      <c r="QGN29" s="19"/>
      <c r="QGO29" s="19"/>
      <c r="QGP29" s="19"/>
      <c r="QGQ29" s="19"/>
      <c r="QGR29" s="19"/>
      <c r="QGS29" s="19"/>
      <c r="QGT29" s="19"/>
      <c r="QGU29" s="19"/>
      <c r="QGV29" s="19"/>
      <c r="QGW29" s="19"/>
      <c r="QGX29" s="19"/>
      <c r="QGY29" s="19"/>
      <c r="QGZ29" s="19"/>
      <c r="QHA29" s="19"/>
      <c r="QHB29" s="19"/>
      <c r="QHC29" s="19"/>
      <c r="QHD29" s="19"/>
      <c r="QHE29" s="19"/>
      <c r="QHF29" s="19"/>
      <c r="QHG29" s="19"/>
      <c r="QHH29" s="19"/>
      <c r="QHI29" s="19"/>
      <c r="QHJ29" s="19"/>
      <c r="QHK29" s="19"/>
      <c r="QHL29" s="19"/>
      <c r="QHM29" s="19"/>
      <c r="QHN29" s="19"/>
      <c r="QHO29" s="19"/>
      <c r="QHP29" s="19"/>
      <c r="QHQ29" s="19"/>
      <c r="QHR29" s="19"/>
      <c r="QHS29" s="19"/>
      <c r="QHT29" s="19"/>
      <c r="QHU29" s="19"/>
      <c r="QHV29" s="19"/>
      <c r="QHW29" s="19"/>
      <c r="QHX29" s="19"/>
      <c r="QHY29" s="19"/>
      <c r="QHZ29" s="19"/>
      <c r="QIA29" s="19"/>
      <c r="QIB29" s="19"/>
      <c r="QIC29" s="19"/>
      <c r="QID29" s="19"/>
      <c r="QIE29" s="19"/>
      <c r="QIF29" s="19"/>
      <c r="QIG29" s="19"/>
      <c r="QIH29" s="19"/>
      <c r="QII29" s="19"/>
      <c r="QIJ29" s="19"/>
      <c r="QIK29" s="19"/>
      <c r="QIL29" s="19"/>
      <c r="QIM29" s="19"/>
      <c r="QIN29" s="19"/>
      <c r="QIO29" s="19"/>
      <c r="QIP29" s="19"/>
      <c r="QIQ29" s="19"/>
      <c r="QIR29" s="19"/>
      <c r="QIS29" s="19"/>
      <c r="QIT29" s="19"/>
      <c r="QIU29" s="19"/>
      <c r="QIV29" s="19"/>
      <c r="QIW29" s="19"/>
      <c r="QIX29" s="19"/>
      <c r="QIY29" s="19"/>
      <c r="QIZ29" s="19"/>
      <c r="QJA29" s="19"/>
      <c r="QJB29" s="19"/>
      <c r="QJC29" s="19"/>
      <c r="QJD29" s="19"/>
      <c r="QJE29" s="19"/>
      <c r="QJF29" s="19"/>
      <c r="QJG29" s="19"/>
      <c r="QJH29" s="19"/>
      <c r="QJI29" s="19"/>
      <c r="QJJ29" s="19"/>
      <c r="QJK29" s="19"/>
      <c r="QJL29" s="19"/>
      <c r="QJM29" s="19"/>
      <c r="QJN29" s="19"/>
      <c r="QJO29" s="19"/>
      <c r="QJP29" s="19"/>
      <c r="QJQ29" s="19"/>
      <c r="QJR29" s="19"/>
      <c r="QJS29" s="19"/>
      <c r="QJT29" s="19"/>
      <c r="QJU29" s="19"/>
      <c r="QJV29" s="19"/>
      <c r="QJW29" s="19"/>
      <c r="QJX29" s="19"/>
      <c r="QJY29" s="19"/>
      <c r="QJZ29" s="19"/>
      <c r="QKA29" s="19"/>
      <c r="QKB29" s="19"/>
      <c r="QKC29" s="19"/>
      <c r="QKD29" s="19"/>
      <c r="QKE29" s="19"/>
      <c r="QKF29" s="19"/>
      <c r="QKG29" s="19"/>
      <c r="QKH29" s="19"/>
      <c r="QKI29" s="19"/>
      <c r="QKJ29" s="19"/>
      <c r="QKK29" s="19"/>
      <c r="QKL29" s="19"/>
      <c r="QKM29" s="19"/>
      <c r="QKN29" s="19"/>
      <c r="QKO29" s="19"/>
      <c r="QKP29" s="19"/>
      <c r="QKQ29" s="19"/>
      <c r="QKR29" s="19"/>
      <c r="QKS29" s="19"/>
      <c r="QKT29" s="19"/>
      <c r="QKU29" s="19"/>
      <c r="QKV29" s="19"/>
      <c r="QKW29" s="19"/>
      <c r="QKX29" s="19"/>
      <c r="QKY29" s="19"/>
      <c r="QKZ29" s="19"/>
      <c r="QLA29" s="19"/>
      <c r="QLB29" s="19"/>
      <c r="QLC29" s="19"/>
      <c r="QLD29" s="19"/>
      <c r="QLE29" s="19"/>
      <c r="QLF29" s="19"/>
      <c r="QLG29" s="19"/>
      <c r="QLH29" s="19"/>
      <c r="QLI29" s="19"/>
      <c r="QLJ29" s="19"/>
      <c r="QLK29" s="19"/>
      <c r="QLL29" s="19"/>
      <c r="QLM29" s="19"/>
      <c r="QLN29" s="19"/>
      <c r="QLO29" s="19"/>
      <c r="QLP29" s="19"/>
      <c r="QLQ29" s="19"/>
      <c r="QLR29" s="19"/>
      <c r="QLS29" s="19"/>
      <c r="QLT29" s="19"/>
      <c r="QLU29" s="19"/>
      <c r="QLV29" s="19"/>
      <c r="QLW29" s="19"/>
      <c r="QLX29" s="19"/>
      <c r="QLY29" s="19"/>
      <c r="QLZ29" s="19"/>
      <c r="QMA29" s="19"/>
      <c r="QMB29" s="19"/>
      <c r="QMC29" s="19"/>
      <c r="QMD29" s="19"/>
      <c r="QME29" s="19"/>
      <c r="QMF29" s="19"/>
      <c r="QMG29" s="19"/>
      <c r="QMH29" s="19"/>
      <c r="QMI29" s="19"/>
      <c r="QMJ29" s="19"/>
      <c r="QMK29" s="19"/>
      <c r="QML29" s="19"/>
      <c r="QMM29" s="19"/>
      <c r="QMN29" s="19"/>
      <c r="QMO29" s="19"/>
      <c r="QMP29" s="19"/>
      <c r="QMQ29" s="19"/>
      <c r="QMR29" s="19"/>
      <c r="QMS29" s="19"/>
      <c r="QMT29" s="19"/>
      <c r="QMU29" s="19"/>
      <c r="QMV29" s="19"/>
      <c r="QMW29" s="19"/>
      <c r="QMX29" s="19"/>
      <c r="QMY29" s="19"/>
      <c r="QMZ29" s="19"/>
      <c r="QNA29" s="19"/>
      <c r="QNB29" s="19"/>
      <c r="QNC29" s="19"/>
      <c r="QND29" s="19"/>
      <c r="QNE29" s="19"/>
      <c r="QNF29" s="19"/>
      <c r="QNG29" s="19"/>
      <c r="QNH29" s="19"/>
      <c r="QNI29" s="19"/>
      <c r="QNJ29" s="19"/>
      <c r="QNK29" s="19"/>
      <c r="QNL29" s="19"/>
      <c r="QNM29" s="19"/>
      <c r="QNN29" s="19"/>
      <c r="QNO29" s="19"/>
      <c r="QNP29" s="19"/>
      <c r="QNQ29" s="19"/>
      <c r="QNR29" s="19"/>
      <c r="QNS29" s="19"/>
      <c r="QNT29" s="19"/>
      <c r="QNU29" s="19"/>
      <c r="QNV29" s="19"/>
      <c r="QNW29" s="19"/>
      <c r="QNX29" s="19"/>
      <c r="QNY29" s="19"/>
      <c r="QNZ29" s="19"/>
      <c r="QOA29" s="19"/>
      <c r="QOB29" s="19"/>
      <c r="QOC29" s="19"/>
      <c r="QOD29" s="19"/>
      <c r="QOE29" s="19"/>
      <c r="QOF29" s="19"/>
      <c r="QOG29" s="19"/>
      <c r="QOH29" s="19"/>
      <c r="QOI29" s="19"/>
      <c r="QOJ29" s="19"/>
      <c r="QOK29" s="19"/>
      <c r="QOL29" s="19"/>
      <c r="QOM29" s="19"/>
      <c r="QON29" s="19"/>
      <c r="QOO29" s="19"/>
      <c r="QOP29" s="19"/>
      <c r="QOQ29" s="19"/>
      <c r="QOR29" s="19"/>
      <c r="QOS29" s="19"/>
      <c r="QOT29" s="19"/>
      <c r="QOU29" s="19"/>
      <c r="QOV29" s="19"/>
      <c r="QOW29" s="19"/>
      <c r="QOX29" s="19"/>
      <c r="QOY29" s="19"/>
      <c r="QOZ29" s="19"/>
      <c r="QPA29" s="19"/>
      <c r="QPB29" s="19"/>
      <c r="QPC29" s="19"/>
      <c r="QPD29" s="19"/>
      <c r="QPE29" s="19"/>
      <c r="QPF29" s="19"/>
      <c r="QPG29" s="19"/>
      <c r="QPH29" s="19"/>
      <c r="QPI29" s="19"/>
      <c r="QPJ29" s="19"/>
      <c r="QPK29" s="19"/>
      <c r="QPL29" s="19"/>
      <c r="QPM29" s="19"/>
      <c r="QPN29" s="19"/>
      <c r="QPO29" s="19"/>
      <c r="QPP29" s="19"/>
      <c r="QPQ29" s="19"/>
      <c r="QPR29" s="19"/>
      <c r="QPS29" s="19"/>
      <c r="QPT29" s="19"/>
      <c r="QPU29" s="19"/>
      <c r="QPV29" s="19"/>
      <c r="QPW29" s="19"/>
      <c r="QPX29" s="19"/>
      <c r="QPY29" s="19"/>
      <c r="QPZ29" s="19"/>
      <c r="QQA29" s="19"/>
      <c r="QQB29" s="19"/>
      <c r="QQC29" s="19"/>
      <c r="QQD29" s="19"/>
      <c r="QQE29" s="19"/>
      <c r="QQF29" s="19"/>
      <c r="QQG29" s="19"/>
      <c r="QQH29" s="19"/>
      <c r="QQI29" s="19"/>
      <c r="QQJ29" s="19"/>
      <c r="QQK29" s="19"/>
      <c r="QQL29" s="19"/>
      <c r="QQM29" s="19"/>
      <c r="QQN29" s="19"/>
      <c r="QQO29" s="19"/>
      <c r="QQP29" s="19"/>
      <c r="QQQ29" s="19"/>
      <c r="QQR29" s="19"/>
      <c r="QQS29" s="19"/>
      <c r="QQT29" s="19"/>
      <c r="QQU29" s="19"/>
      <c r="QQV29" s="19"/>
      <c r="QQW29" s="19"/>
      <c r="QQX29" s="19"/>
      <c r="QQY29" s="19"/>
      <c r="QQZ29" s="19"/>
      <c r="QRA29" s="19"/>
      <c r="QRB29" s="19"/>
      <c r="QRC29" s="19"/>
      <c r="QRD29" s="19"/>
      <c r="QRE29" s="19"/>
      <c r="QRF29" s="19"/>
      <c r="QRG29" s="19"/>
      <c r="QRH29" s="19"/>
      <c r="QRI29" s="19"/>
      <c r="QRJ29" s="19"/>
      <c r="QRK29" s="19"/>
      <c r="QRL29" s="19"/>
      <c r="QRM29" s="19"/>
      <c r="QRN29" s="19"/>
      <c r="QRO29" s="19"/>
      <c r="QRP29" s="19"/>
      <c r="QRQ29" s="19"/>
      <c r="QRR29" s="19"/>
      <c r="QRS29" s="19"/>
      <c r="QRT29" s="19"/>
      <c r="QRU29" s="19"/>
      <c r="QRV29" s="19"/>
      <c r="QRW29" s="19"/>
      <c r="QRX29" s="19"/>
      <c r="QRY29" s="19"/>
      <c r="QRZ29" s="19"/>
      <c r="QSA29" s="19"/>
      <c r="QSB29" s="19"/>
      <c r="QSC29" s="19"/>
      <c r="QSD29" s="19"/>
      <c r="QSE29" s="19"/>
      <c r="QSF29" s="19"/>
      <c r="QSG29" s="19"/>
      <c r="QSH29" s="19"/>
      <c r="QSI29" s="19"/>
      <c r="QSJ29" s="19"/>
      <c r="QSK29" s="19"/>
      <c r="QSL29" s="19"/>
      <c r="QSM29" s="19"/>
      <c r="QSN29" s="19"/>
      <c r="QSO29" s="19"/>
      <c r="QSP29" s="19"/>
      <c r="QSQ29" s="19"/>
      <c r="QSR29" s="19"/>
      <c r="QSS29" s="19"/>
      <c r="QST29" s="19"/>
      <c r="QSU29" s="19"/>
      <c r="QSV29" s="19"/>
      <c r="QSW29" s="19"/>
      <c r="QSX29" s="19"/>
      <c r="QSY29" s="19"/>
      <c r="QSZ29" s="19"/>
      <c r="QTA29" s="19"/>
      <c r="QTB29" s="19"/>
      <c r="QTC29" s="19"/>
      <c r="QTD29" s="19"/>
      <c r="QTE29" s="19"/>
      <c r="QTF29" s="19"/>
      <c r="QTG29" s="19"/>
      <c r="QTH29" s="19"/>
      <c r="QTI29" s="19"/>
      <c r="QTJ29" s="19"/>
      <c r="QTK29" s="19"/>
      <c r="QTL29" s="19"/>
      <c r="QTM29" s="19"/>
      <c r="QTN29" s="19"/>
      <c r="QTO29" s="19"/>
      <c r="QTP29" s="19"/>
      <c r="QTQ29" s="19"/>
      <c r="QTR29" s="19"/>
      <c r="QTS29" s="19"/>
      <c r="QTT29" s="19"/>
      <c r="QTU29" s="19"/>
      <c r="QTV29" s="19"/>
      <c r="QTW29" s="19"/>
      <c r="QTX29" s="19"/>
      <c r="QTY29" s="19"/>
      <c r="QTZ29" s="19"/>
      <c r="QUA29" s="19"/>
      <c r="QUB29" s="19"/>
      <c r="QUC29" s="19"/>
      <c r="QUD29" s="19"/>
      <c r="QUE29" s="19"/>
      <c r="QUF29" s="19"/>
      <c r="QUG29" s="19"/>
      <c r="QUH29" s="19"/>
      <c r="QUI29" s="19"/>
      <c r="QUJ29" s="19"/>
      <c r="QUK29" s="19"/>
      <c r="QUL29" s="19"/>
      <c r="QUM29" s="19"/>
      <c r="QUN29" s="19"/>
      <c r="QUO29" s="19"/>
      <c r="QUP29" s="19"/>
      <c r="QUQ29" s="19"/>
      <c r="QUR29" s="19"/>
      <c r="QUS29" s="19"/>
      <c r="QUT29" s="19"/>
      <c r="QUU29" s="19"/>
      <c r="QUV29" s="19"/>
      <c r="QUW29" s="19"/>
      <c r="QUX29" s="19"/>
      <c r="QUY29" s="19"/>
      <c r="QUZ29" s="19"/>
      <c r="QVA29" s="19"/>
      <c r="QVB29" s="19"/>
      <c r="QVC29" s="19"/>
      <c r="QVD29" s="19"/>
      <c r="QVE29" s="19"/>
      <c r="QVF29" s="19"/>
      <c r="QVG29" s="19"/>
      <c r="QVH29" s="19"/>
      <c r="QVI29" s="19"/>
      <c r="QVJ29" s="19"/>
      <c r="QVK29" s="19"/>
      <c r="QVL29" s="19"/>
      <c r="QVM29" s="19"/>
      <c r="QVN29" s="19"/>
      <c r="QVO29" s="19"/>
      <c r="QVP29" s="19"/>
      <c r="QVQ29" s="19"/>
      <c r="QVR29" s="19"/>
      <c r="QVS29" s="19"/>
      <c r="QVT29" s="19"/>
      <c r="QVU29" s="19"/>
      <c r="QVV29" s="19"/>
      <c r="QVW29" s="19"/>
      <c r="QVX29" s="19"/>
      <c r="QVY29" s="19"/>
      <c r="QVZ29" s="19"/>
      <c r="QWA29" s="19"/>
      <c r="QWB29" s="19"/>
      <c r="QWC29" s="19"/>
      <c r="QWD29" s="19"/>
      <c r="QWE29" s="19"/>
      <c r="QWF29" s="19"/>
      <c r="QWG29" s="19"/>
      <c r="QWH29" s="19"/>
      <c r="QWI29" s="19"/>
      <c r="QWJ29" s="19"/>
      <c r="QWK29" s="19"/>
      <c r="QWL29" s="19"/>
      <c r="QWM29" s="19"/>
      <c r="QWN29" s="19"/>
      <c r="QWO29" s="19"/>
      <c r="QWP29" s="19"/>
      <c r="QWQ29" s="19"/>
      <c r="QWR29" s="19"/>
      <c r="QWS29" s="19"/>
      <c r="QWT29" s="19"/>
      <c r="QWU29" s="19"/>
      <c r="QWV29" s="19"/>
      <c r="QWW29" s="19"/>
      <c r="QWX29" s="19"/>
      <c r="QWY29" s="19"/>
      <c r="QWZ29" s="19"/>
      <c r="QXA29" s="19"/>
      <c r="QXB29" s="19"/>
      <c r="QXC29" s="19"/>
      <c r="QXD29" s="19"/>
      <c r="QXE29" s="19"/>
      <c r="QXF29" s="19"/>
      <c r="QXG29" s="19"/>
      <c r="QXH29" s="19"/>
      <c r="QXI29" s="19"/>
      <c r="QXJ29" s="19"/>
      <c r="QXK29" s="19"/>
      <c r="QXL29" s="19"/>
      <c r="QXM29" s="19"/>
      <c r="QXN29" s="19"/>
      <c r="QXO29" s="19"/>
      <c r="QXP29" s="19"/>
      <c r="QXQ29" s="19"/>
      <c r="QXR29" s="19"/>
      <c r="QXS29" s="19"/>
      <c r="QXT29" s="19"/>
      <c r="QXU29" s="19"/>
      <c r="QXV29" s="19"/>
      <c r="QXW29" s="19"/>
      <c r="QXX29" s="19"/>
      <c r="QXY29" s="19"/>
      <c r="QXZ29" s="19"/>
      <c r="QYA29" s="19"/>
      <c r="QYB29" s="19"/>
      <c r="QYC29" s="19"/>
      <c r="QYD29" s="19"/>
      <c r="QYE29" s="19"/>
      <c r="QYF29" s="19"/>
      <c r="QYG29" s="19"/>
      <c r="QYH29" s="19"/>
      <c r="QYI29" s="19"/>
      <c r="QYJ29" s="19"/>
      <c r="QYK29" s="19"/>
      <c r="QYL29" s="19"/>
      <c r="QYM29" s="19"/>
      <c r="QYN29" s="19"/>
      <c r="QYO29" s="19"/>
      <c r="QYP29" s="19"/>
      <c r="QYQ29" s="19"/>
      <c r="QYR29" s="19"/>
      <c r="QYS29" s="19"/>
      <c r="QYT29" s="19"/>
      <c r="QYU29" s="19"/>
      <c r="QYV29" s="19"/>
      <c r="QYW29" s="19"/>
      <c r="QYX29" s="19"/>
      <c r="QYY29" s="19"/>
      <c r="QYZ29" s="19"/>
      <c r="QZA29" s="19"/>
      <c r="QZB29" s="19"/>
      <c r="QZC29" s="19"/>
      <c r="QZD29" s="19"/>
      <c r="QZE29" s="19"/>
      <c r="QZF29" s="19"/>
      <c r="QZG29" s="19"/>
      <c r="QZH29" s="19"/>
      <c r="QZI29" s="19"/>
      <c r="QZJ29" s="19"/>
      <c r="QZK29" s="19"/>
      <c r="QZL29" s="19"/>
      <c r="QZM29" s="19"/>
      <c r="QZN29" s="19"/>
      <c r="QZO29" s="19"/>
      <c r="QZP29" s="19"/>
      <c r="QZQ29" s="19"/>
      <c r="QZR29" s="19"/>
      <c r="QZS29" s="19"/>
      <c r="QZT29" s="19"/>
      <c r="QZU29" s="19"/>
      <c r="QZV29" s="19"/>
      <c r="QZW29" s="19"/>
      <c r="QZX29" s="19"/>
      <c r="QZY29" s="19"/>
      <c r="QZZ29" s="19"/>
      <c r="RAA29" s="19"/>
      <c r="RAB29" s="19"/>
      <c r="RAC29" s="19"/>
      <c r="RAD29" s="19"/>
      <c r="RAE29" s="19"/>
      <c r="RAF29" s="19"/>
      <c r="RAG29" s="19"/>
      <c r="RAH29" s="19"/>
      <c r="RAI29" s="19"/>
      <c r="RAJ29" s="19"/>
      <c r="RAK29" s="19"/>
      <c r="RAL29" s="19"/>
      <c r="RAM29" s="19"/>
      <c r="RAN29" s="19"/>
      <c r="RAO29" s="19"/>
      <c r="RAP29" s="19"/>
      <c r="RAQ29" s="19"/>
      <c r="RAR29" s="19"/>
      <c r="RAS29" s="19"/>
      <c r="RAT29" s="19"/>
      <c r="RAU29" s="19"/>
      <c r="RAV29" s="19"/>
      <c r="RAW29" s="19"/>
      <c r="RAX29" s="19"/>
      <c r="RAY29" s="19"/>
      <c r="RAZ29" s="19"/>
      <c r="RBA29" s="19"/>
      <c r="RBB29" s="19"/>
      <c r="RBC29" s="19"/>
      <c r="RBD29" s="19"/>
      <c r="RBE29" s="19"/>
      <c r="RBF29" s="19"/>
      <c r="RBG29" s="19"/>
      <c r="RBH29" s="19"/>
      <c r="RBI29" s="19"/>
      <c r="RBJ29" s="19"/>
      <c r="RBK29" s="19"/>
      <c r="RBL29" s="19"/>
      <c r="RBM29" s="19"/>
      <c r="RBN29" s="19"/>
      <c r="RBO29" s="19"/>
      <c r="RBP29" s="19"/>
      <c r="RBQ29" s="19"/>
      <c r="RBR29" s="19"/>
      <c r="RBS29" s="19"/>
      <c r="RBT29" s="19"/>
      <c r="RBU29" s="19"/>
      <c r="RBV29" s="19"/>
      <c r="RBW29" s="19"/>
      <c r="RBX29" s="19"/>
      <c r="RBY29" s="19"/>
      <c r="RBZ29" s="19"/>
      <c r="RCA29" s="19"/>
      <c r="RCB29" s="19"/>
      <c r="RCC29" s="19"/>
      <c r="RCD29" s="19"/>
      <c r="RCE29" s="19"/>
      <c r="RCF29" s="19"/>
      <c r="RCG29" s="19"/>
      <c r="RCH29" s="19"/>
      <c r="RCI29" s="19"/>
      <c r="RCJ29" s="19"/>
      <c r="RCK29" s="19"/>
      <c r="RCL29" s="19"/>
      <c r="RCM29" s="19"/>
      <c r="RCN29" s="19"/>
      <c r="RCO29" s="19"/>
      <c r="RCP29" s="19"/>
      <c r="RCQ29" s="19"/>
      <c r="RCR29" s="19"/>
      <c r="RCS29" s="19"/>
      <c r="RCT29" s="19"/>
      <c r="RCU29" s="19"/>
      <c r="RCV29" s="19"/>
      <c r="RCW29" s="19"/>
      <c r="RCX29" s="19"/>
      <c r="RCY29" s="19"/>
      <c r="RCZ29" s="19"/>
      <c r="RDA29" s="19"/>
      <c r="RDB29" s="19"/>
      <c r="RDC29" s="19"/>
      <c r="RDD29" s="19"/>
      <c r="RDE29" s="19"/>
      <c r="RDF29" s="19"/>
      <c r="RDG29" s="19"/>
      <c r="RDH29" s="19"/>
      <c r="RDI29" s="19"/>
      <c r="RDJ29" s="19"/>
      <c r="RDK29" s="19"/>
      <c r="RDL29" s="19"/>
      <c r="RDM29" s="19"/>
      <c r="RDN29" s="19"/>
      <c r="RDO29" s="19"/>
      <c r="RDP29" s="19"/>
      <c r="RDQ29" s="19"/>
      <c r="RDR29" s="19"/>
      <c r="RDS29" s="19"/>
      <c r="RDT29" s="19"/>
      <c r="RDU29" s="19"/>
      <c r="RDV29" s="19"/>
      <c r="RDW29" s="19"/>
      <c r="RDX29" s="19"/>
      <c r="RDY29" s="19"/>
      <c r="RDZ29" s="19"/>
      <c r="REA29" s="19"/>
      <c r="REB29" s="19"/>
      <c r="REC29" s="19"/>
      <c r="RED29" s="19"/>
      <c r="REE29" s="19"/>
      <c r="REF29" s="19"/>
      <c r="REG29" s="19"/>
      <c r="REH29" s="19"/>
      <c r="REI29" s="19"/>
      <c r="REJ29" s="19"/>
      <c r="REK29" s="19"/>
      <c r="REL29" s="19"/>
      <c r="REM29" s="19"/>
      <c r="REN29" s="19"/>
      <c r="REO29" s="19"/>
      <c r="REP29" s="19"/>
      <c r="REQ29" s="19"/>
      <c r="RER29" s="19"/>
      <c r="RES29" s="19"/>
      <c r="RET29" s="19"/>
      <c r="REU29" s="19"/>
      <c r="REV29" s="19"/>
      <c r="REW29" s="19"/>
      <c r="REX29" s="19"/>
      <c r="REY29" s="19"/>
      <c r="REZ29" s="19"/>
      <c r="RFA29" s="19"/>
      <c r="RFB29" s="19"/>
      <c r="RFC29" s="19"/>
      <c r="RFD29" s="19"/>
      <c r="RFE29" s="19"/>
      <c r="RFF29" s="19"/>
      <c r="RFG29" s="19"/>
      <c r="RFH29" s="19"/>
      <c r="RFI29" s="19"/>
      <c r="RFJ29" s="19"/>
      <c r="RFK29" s="19"/>
      <c r="RFL29" s="19"/>
      <c r="RFM29" s="19"/>
      <c r="RFN29" s="19"/>
      <c r="RFO29" s="19"/>
      <c r="RFP29" s="19"/>
      <c r="RFQ29" s="19"/>
      <c r="RFR29" s="19"/>
      <c r="RFS29" s="19"/>
      <c r="RFT29" s="19"/>
      <c r="RFU29" s="19"/>
      <c r="RFV29" s="19"/>
      <c r="RFW29" s="19"/>
      <c r="RFX29" s="19"/>
      <c r="RFY29" s="19"/>
      <c r="RFZ29" s="19"/>
      <c r="RGA29" s="19"/>
      <c r="RGB29" s="19"/>
      <c r="RGC29" s="19"/>
      <c r="RGD29" s="19"/>
      <c r="RGE29" s="19"/>
      <c r="RGF29" s="19"/>
      <c r="RGG29" s="19"/>
      <c r="RGH29" s="19"/>
      <c r="RGI29" s="19"/>
      <c r="RGJ29" s="19"/>
      <c r="RGK29" s="19"/>
      <c r="RGL29" s="19"/>
      <c r="RGM29" s="19"/>
      <c r="RGN29" s="19"/>
      <c r="RGO29" s="19"/>
      <c r="RGP29" s="19"/>
      <c r="RGQ29" s="19"/>
      <c r="RGR29" s="19"/>
      <c r="RGS29" s="19"/>
      <c r="RGT29" s="19"/>
      <c r="RGU29" s="19"/>
      <c r="RGV29" s="19"/>
      <c r="RGW29" s="19"/>
      <c r="RGX29" s="19"/>
      <c r="RGY29" s="19"/>
      <c r="RGZ29" s="19"/>
      <c r="RHA29" s="19"/>
      <c r="RHB29" s="19"/>
      <c r="RHC29" s="19"/>
      <c r="RHD29" s="19"/>
      <c r="RHE29" s="19"/>
      <c r="RHF29" s="19"/>
      <c r="RHG29" s="19"/>
      <c r="RHH29" s="19"/>
      <c r="RHI29" s="19"/>
      <c r="RHJ29" s="19"/>
      <c r="RHK29" s="19"/>
      <c r="RHL29" s="19"/>
      <c r="RHM29" s="19"/>
      <c r="RHN29" s="19"/>
      <c r="RHO29" s="19"/>
      <c r="RHP29" s="19"/>
      <c r="RHQ29" s="19"/>
      <c r="RHR29" s="19"/>
      <c r="RHS29" s="19"/>
      <c r="RHT29" s="19"/>
      <c r="RHU29" s="19"/>
      <c r="RHV29" s="19"/>
      <c r="RHW29" s="19"/>
      <c r="RHX29" s="19"/>
      <c r="RHY29" s="19"/>
      <c r="RHZ29" s="19"/>
      <c r="RIA29" s="19"/>
      <c r="RIB29" s="19"/>
      <c r="RIC29" s="19"/>
      <c r="RID29" s="19"/>
      <c r="RIE29" s="19"/>
      <c r="RIF29" s="19"/>
      <c r="RIG29" s="19"/>
      <c r="RIH29" s="19"/>
      <c r="RII29" s="19"/>
      <c r="RIJ29" s="19"/>
      <c r="RIK29" s="19"/>
      <c r="RIL29" s="19"/>
      <c r="RIM29" s="19"/>
      <c r="RIN29" s="19"/>
      <c r="RIO29" s="19"/>
      <c r="RIP29" s="19"/>
      <c r="RIQ29" s="19"/>
      <c r="RIR29" s="19"/>
      <c r="RIS29" s="19"/>
      <c r="RIT29" s="19"/>
      <c r="RIU29" s="19"/>
      <c r="RIV29" s="19"/>
      <c r="RIW29" s="19"/>
      <c r="RIX29" s="19"/>
      <c r="RIY29" s="19"/>
      <c r="RIZ29" s="19"/>
      <c r="RJA29" s="19"/>
      <c r="RJB29" s="19"/>
      <c r="RJC29" s="19"/>
      <c r="RJD29" s="19"/>
      <c r="RJE29" s="19"/>
      <c r="RJF29" s="19"/>
      <c r="RJG29" s="19"/>
      <c r="RJH29" s="19"/>
      <c r="RJI29" s="19"/>
      <c r="RJJ29" s="19"/>
      <c r="RJK29" s="19"/>
      <c r="RJL29" s="19"/>
      <c r="RJM29" s="19"/>
      <c r="RJN29" s="19"/>
      <c r="RJO29" s="19"/>
      <c r="RJP29" s="19"/>
      <c r="RJQ29" s="19"/>
      <c r="RJR29" s="19"/>
      <c r="RJS29" s="19"/>
      <c r="RJT29" s="19"/>
      <c r="RJU29" s="19"/>
      <c r="RJV29" s="19"/>
      <c r="RJW29" s="19"/>
      <c r="RJX29" s="19"/>
      <c r="RJY29" s="19"/>
      <c r="RJZ29" s="19"/>
      <c r="RKA29" s="19"/>
      <c r="RKB29" s="19"/>
      <c r="RKC29" s="19"/>
      <c r="RKD29" s="19"/>
      <c r="RKE29" s="19"/>
      <c r="RKF29" s="19"/>
      <c r="RKG29" s="19"/>
      <c r="RKH29" s="19"/>
      <c r="RKI29" s="19"/>
      <c r="RKJ29" s="19"/>
      <c r="RKK29" s="19"/>
      <c r="RKL29" s="19"/>
      <c r="RKM29" s="19"/>
      <c r="RKN29" s="19"/>
      <c r="RKO29" s="19"/>
      <c r="RKP29" s="19"/>
      <c r="RKQ29" s="19"/>
      <c r="RKR29" s="19"/>
      <c r="RKS29" s="19"/>
      <c r="RKT29" s="19"/>
      <c r="RKU29" s="19"/>
      <c r="RKV29" s="19"/>
      <c r="RKW29" s="19"/>
      <c r="RKX29" s="19"/>
      <c r="RKY29" s="19"/>
      <c r="RKZ29" s="19"/>
      <c r="RLA29" s="19"/>
      <c r="RLB29" s="19"/>
      <c r="RLC29" s="19"/>
      <c r="RLD29" s="19"/>
      <c r="RLE29" s="19"/>
      <c r="RLF29" s="19"/>
      <c r="RLG29" s="19"/>
      <c r="RLH29" s="19"/>
      <c r="RLI29" s="19"/>
      <c r="RLJ29" s="19"/>
      <c r="RLK29" s="19"/>
      <c r="RLL29" s="19"/>
      <c r="RLM29" s="19"/>
      <c r="RLN29" s="19"/>
      <c r="RLO29" s="19"/>
      <c r="RLP29" s="19"/>
      <c r="RLQ29" s="19"/>
      <c r="RLR29" s="19"/>
      <c r="RLS29" s="19"/>
      <c r="RLT29" s="19"/>
      <c r="RLU29" s="19"/>
      <c r="RLV29" s="19"/>
      <c r="RLW29" s="19"/>
      <c r="RLX29" s="19"/>
      <c r="RLY29" s="19"/>
      <c r="RLZ29" s="19"/>
      <c r="RMA29" s="19"/>
      <c r="RMB29" s="19"/>
      <c r="RMC29" s="19"/>
      <c r="RMD29" s="19"/>
      <c r="RME29" s="19"/>
      <c r="RMF29" s="19"/>
      <c r="RMG29" s="19"/>
      <c r="RMH29" s="19"/>
      <c r="RMI29" s="19"/>
      <c r="RMJ29" s="19"/>
      <c r="RMK29" s="19"/>
      <c r="RML29" s="19"/>
      <c r="RMM29" s="19"/>
      <c r="RMN29" s="19"/>
      <c r="RMO29" s="19"/>
      <c r="RMP29" s="19"/>
      <c r="RMQ29" s="19"/>
      <c r="RMR29" s="19"/>
      <c r="RMS29" s="19"/>
      <c r="RMT29" s="19"/>
      <c r="RMU29" s="19"/>
      <c r="RMV29" s="19"/>
      <c r="RMW29" s="19"/>
      <c r="RMX29" s="19"/>
      <c r="RMY29" s="19"/>
      <c r="RMZ29" s="19"/>
      <c r="RNA29" s="19"/>
      <c r="RNB29" s="19"/>
      <c r="RNC29" s="19"/>
      <c r="RND29" s="19"/>
      <c r="RNE29" s="19"/>
      <c r="RNF29" s="19"/>
      <c r="RNG29" s="19"/>
      <c r="RNH29" s="19"/>
      <c r="RNI29" s="19"/>
      <c r="RNJ29" s="19"/>
      <c r="RNK29" s="19"/>
      <c r="RNL29" s="19"/>
      <c r="RNM29" s="19"/>
      <c r="RNN29" s="19"/>
      <c r="RNO29" s="19"/>
      <c r="RNP29" s="19"/>
      <c r="RNQ29" s="19"/>
      <c r="RNR29" s="19"/>
      <c r="RNS29" s="19"/>
      <c r="RNT29" s="19"/>
      <c r="RNU29" s="19"/>
      <c r="RNV29" s="19"/>
      <c r="RNW29" s="19"/>
      <c r="RNX29" s="19"/>
      <c r="RNY29" s="19"/>
      <c r="RNZ29" s="19"/>
      <c r="ROA29" s="19"/>
      <c r="ROB29" s="19"/>
      <c r="ROC29" s="19"/>
      <c r="ROD29" s="19"/>
      <c r="ROE29" s="19"/>
      <c r="ROF29" s="19"/>
      <c r="ROG29" s="19"/>
      <c r="ROH29" s="19"/>
      <c r="ROI29" s="19"/>
      <c r="ROJ29" s="19"/>
      <c r="ROK29" s="19"/>
      <c r="ROL29" s="19"/>
      <c r="ROM29" s="19"/>
      <c r="RON29" s="19"/>
      <c r="ROO29" s="19"/>
      <c r="ROP29" s="19"/>
      <c r="ROQ29" s="19"/>
      <c r="ROR29" s="19"/>
      <c r="ROS29" s="19"/>
      <c r="ROT29" s="19"/>
      <c r="ROU29" s="19"/>
      <c r="ROV29" s="19"/>
      <c r="ROW29" s="19"/>
      <c r="ROX29" s="19"/>
      <c r="ROY29" s="19"/>
      <c r="ROZ29" s="19"/>
      <c r="RPA29" s="19"/>
      <c r="RPB29" s="19"/>
      <c r="RPC29" s="19"/>
      <c r="RPD29" s="19"/>
      <c r="RPE29" s="19"/>
      <c r="RPF29" s="19"/>
      <c r="RPG29" s="19"/>
      <c r="RPH29" s="19"/>
      <c r="RPI29" s="19"/>
      <c r="RPJ29" s="19"/>
      <c r="RPK29" s="19"/>
      <c r="RPL29" s="19"/>
      <c r="RPM29" s="19"/>
      <c r="RPN29" s="19"/>
      <c r="RPO29" s="19"/>
      <c r="RPP29" s="19"/>
      <c r="RPQ29" s="19"/>
      <c r="RPR29" s="19"/>
      <c r="RPS29" s="19"/>
      <c r="RPT29" s="19"/>
      <c r="RPU29" s="19"/>
      <c r="RPV29" s="19"/>
      <c r="RPW29" s="19"/>
      <c r="RPX29" s="19"/>
      <c r="RPY29" s="19"/>
      <c r="RPZ29" s="19"/>
      <c r="RQA29" s="19"/>
      <c r="RQB29" s="19"/>
      <c r="RQC29" s="19"/>
      <c r="RQD29" s="19"/>
      <c r="RQE29" s="19"/>
      <c r="RQF29" s="19"/>
      <c r="RQG29" s="19"/>
      <c r="RQH29" s="19"/>
      <c r="RQI29" s="19"/>
      <c r="RQJ29" s="19"/>
      <c r="RQK29" s="19"/>
      <c r="RQL29" s="19"/>
      <c r="RQM29" s="19"/>
      <c r="RQN29" s="19"/>
      <c r="RQO29" s="19"/>
      <c r="RQP29" s="19"/>
      <c r="RQQ29" s="19"/>
      <c r="RQR29" s="19"/>
      <c r="RQS29" s="19"/>
      <c r="RQT29" s="19"/>
      <c r="RQU29" s="19"/>
      <c r="RQV29" s="19"/>
      <c r="RQW29" s="19"/>
      <c r="RQX29" s="19"/>
      <c r="RQY29" s="19"/>
      <c r="RQZ29" s="19"/>
      <c r="RRA29" s="19"/>
      <c r="RRB29" s="19"/>
      <c r="RRC29" s="19"/>
      <c r="RRD29" s="19"/>
      <c r="RRE29" s="19"/>
      <c r="RRF29" s="19"/>
      <c r="RRG29" s="19"/>
      <c r="RRH29" s="19"/>
      <c r="RRI29" s="19"/>
      <c r="RRJ29" s="19"/>
      <c r="RRK29" s="19"/>
      <c r="RRL29" s="19"/>
      <c r="RRM29" s="19"/>
      <c r="RRN29" s="19"/>
      <c r="RRO29" s="19"/>
      <c r="RRP29" s="19"/>
      <c r="RRQ29" s="19"/>
      <c r="RRR29" s="19"/>
      <c r="RRS29" s="19"/>
      <c r="RRT29" s="19"/>
      <c r="RRU29" s="19"/>
      <c r="RRV29" s="19"/>
      <c r="RRW29" s="19"/>
      <c r="RRX29" s="19"/>
      <c r="RRY29" s="19"/>
      <c r="RRZ29" s="19"/>
      <c r="RSA29" s="19"/>
      <c r="RSB29" s="19"/>
      <c r="RSC29" s="19"/>
      <c r="RSD29" s="19"/>
      <c r="RSE29" s="19"/>
      <c r="RSF29" s="19"/>
      <c r="RSG29" s="19"/>
      <c r="RSH29" s="19"/>
      <c r="RSI29" s="19"/>
      <c r="RSJ29" s="19"/>
      <c r="RSK29" s="19"/>
      <c r="RSL29" s="19"/>
      <c r="RSM29" s="19"/>
      <c r="RSN29" s="19"/>
      <c r="RSO29" s="19"/>
      <c r="RSP29" s="19"/>
      <c r="RSQ29" s="19"/>
      <c r="RSR29" s="19"/>
      <c r="RSS29" s="19"/>
      <c r="RST29" s="19"/>
      <c r="RSU29" s="19"/>
      <c r="RSV29" s="19"/>
      <c r="RSW29" s="19"/>
      <c r="RSX29" s="19"/>
      <c r="RSY29" s="19"/>
      <c r="RSZ29" s="19"/>
      <c r="RTA29" s="19"/>
      <c r="RTB29" s="19"/>
      <c r="RTC29" s="19"/>
      <c r="RTD29" s="19"/>
      <c r="RTE29" s="19"/>
      <c r="RTF29" s="19"/>
      <c r="RTG29" s="19"/>
      <c r="RTH29" s="19"/>
      <c r="RTI29" s="19"/>
      <c r="RTJ29" s="19"/>
      <c r="RTK29" s="19"/>
      <c r="RTL29" s="19"/>
      <c r="RTM29" s="19"/>
      <c r="RTN29" s="19"/>
      <c r="RTO29" s="19"/>
      <c r="RTP29" s="19"/>
      <c r="RTQ29" s="19"/>
      <c r="RTR29" s="19"/>
      <c r="RTS29" s="19"/>
      <c r="RTT29" s="19"/>
      <c r="RTU29" s="19"/>
      <c r="RTV29" s="19"/>
      <c r="RTW29" s="19"/>
      <c r="RTX29" s="19"/>
      <c r="RTY29" s="19"/>
      <c r="RTZ29" s="19"/>
      <c r="RUA29" s="19"/>
      <c r="RUB29" s="19"/>
      <c r="RUC29" s="19"/>
      <c r="RUD29" s="19"/>
      <c r="RUE29" s="19"/>
      <c r="RUF29" s="19"/>
      <c r="RUG29" s="19"/>
      <c r="RUH29" s="19"/>
      <c r="RUI29" s="19"/>
      <c r="RUJ29" s="19"/>
      <c r="RUK29" s="19"/>
      <c r="RUL29" s="19"/>
      <c r="RUM29" s="19"/>
      <c r="RUN29" s="19"/>
      <c r="RUO29" s="19"/>
      <c r="RUP29" s="19"/>
      <c r="RUQ29" s="19"/>
      <c r="RUR29" s="19"/>
      <c r="RUS29" s="19"/>
      <c r="RUT29" s="19"/>
      <c r="RUU29" s="19"/>
      <c r="RUV29" s="19"/>
      <c r="RUW29" s="19"/>
      <c r="RUX29" s="19"/>
      <c r="RUY29" s="19"/>
      <c r="RUZ29" s="19"/>
      <c r="RVA29" s="19"/>
      <c r="RVB29" s="19"/>
      <c r="RVC29" s="19"/>
      <c r="RVD29" s="19"/>
      <c r="RVE29" s="19"/>
      <c r="RVF29" s="19"/>
      <c r="RVG29" s="19"/>
      <c r="RVH29" s="19"/>
      <c r="RVI29" s="19"/>
      <c r="RVJ29" s="19"/>
      <c r="RVK29" s="19"/>
      <c r="RVL29" s="19"/>
      <c r="RVM29" s="19"/>
      <c r="RVN29" s="19"/>
      <c r="RVO29" s="19"/>
      <c r="RVP29" s="19"/>
      <c r="RVQ29" s="19"/>
      <c r="RVR29" s="19"/>
      <c r="RVS29" s="19"/>
      <c r="RVT29" s="19"/>
      <c r="RVU29" s="19"/>
      <c r="RVV29" s="19"/>
      <c r="RVW29" s="19"/>
      <c r="RVX29" s="19"/>
      <c r="RVY29" s="19"/>
      <c r="RVZ29" s="19"/>
      <c r="RWA29" s="19"/>
      <c r="RWB29" s="19"/>
      <c r="RWC29" s="19"/>
      <c r="RWD29" s="19"/>
      <c r="RWE29" s="19"/>
      <c r="RWF29" s="19"/>
      <c r="RWG29" s="19"/>
      <c r="RWH29" s="19"/>
      <c r="RWI29" s="19"/>
      <c r="RWJ29" s="19"/>
      <c r="RWK29" s="19"/>
      <c r="RWL29" s="19"/>
      <c r="RWM29" s="19"/>
      <c r="RWN29" s="19"/>
      <c r="RWO29" s="19"/>
      <c r="RWP29" s="19"/>
      <c r="RWQ29" s="19"/>
      <c r="RWR29" s="19"/>
      <c r="RWS29" s="19"/>
      <c r="RWT29" s="19"/>
      <c r="RWU29" s="19"/>
      <c r="RWV29" s="19"/>
      <c r="RWW29" s="19"/>
      <c r="RWX29" s="19"/>
      <c r="RWY29" s="19"/>
      <c r="RWZ29" s="19"/>
      <c r="RXA29" s="19"/>
      <c r="RXB29" s="19"/>
      <c r="RXC29" s="19"/>
      <c r="RXD29" s="19"/>
      <c r="RXE29" s="19"/>
      <c r="RXF29" s="19"/>
      <c r="RXG29" s="19"/>
      <c r="RXH29" s="19"/>
      <c r="RXI29" s="19"/>
      <c r="RXJ29" s="19"/>
      <c r="RXK29" s="19"/>
      <c r="RXL29" s="19"/>
      <c r="RXM29" s="19"/>
      <c r="RXN29" s="19"/>
      <c r="RXO29" s="19"/>
      <c r="RXP29" s="19"/>
      <c r="RXQ29" s="19"/>
      <c r="RXR29" s="19"/>
      <c r="RXS29" s="19"/>
      <c r="RXT29" s="19"/>
      <c r="RXU29" s="19"/>
      <c r="RXV29" s="19"/>
      <c r="RXW29" s="19"/>
      <c r="RXX29" s="19"/>
      <c r="RXY29" s="19"/>
      <c r="RXZ29" s="19"/>
      <c r="RYA29" s="19"/>
      <c r="RYB29" s="19"/>
      <c r="RYC29" s="19"/>
      <c r="RYD29" s="19"/>
      <c r="RYE29" s="19"/>
      <c r="RYF29" s="19"/>
      <c r="RYG29" s="19"/>
      <c r="RYH29" s="19"/>
      <c r="RYI29" s="19"/>
      <c r="RYJ29" s="19"/>
      <c r="RYK29" s="19"/>
      <c r="RYL29" s="19"/>
      <c r="RYM29" s="19"/>
      <c r="RYN29" s="19"/>
      <c r="RYO29" s="19"/>
      <c r="RYP29" s="19"/>
      <c r="RYQ29" s="19"/>
      <c r="RYR29" s="19"/>
      <c r="RYS29" s="19"/>
      <c r="RYT29" s="19"/>
      <c r="RYU29" s="19"/>
      <c r="RYV29" s="19"/>
      <c r="RYW29" s="19"/>
      <c r="RYX29" s="19"/>
      <c r="RYY29" s="19"/>
      <c r="RYZ29" s="19"/>
      <c r="RZA29" s="19"/>
      <c r="RZB29" s="19"/>
      <c r="RZC29" s="19"/>
      <c r="RZD29" s="19"/>
      <c r="RZE29" s="19"/>
      <c r="RZF29" s="19"/>
      <c r="RZG29" s="19"/>
      <c r="RZH29" s="19"/>
      <c r="RZI29" s="19"/>
      <c r="RZJ29" s="19"/>
      <c r="RZK29" s="19"/>
      <c r="RZL29" s="19"/>
      <c r="RZM29" s="19"/>
      <c r="RZN29" s="19"/>
      <c r="RZO29" s="19"/>
      <c r="RZP29" s="19"/>
      <c r="RZQ29" s="19"/>
      <c r="RZR29" s="19"/>
      <c r="RZS29" s="19"/>
      <c r="RZT29" s="19"/>
      <c r="RZU29" s="19"/>
      <c r="RZV29" s="19"/>
      <c r="RZW29" s="19"/>
      <c r="RZX29" s="19"/>
      <c r="RZY29" s="19"/>
      <c r="RZZ29" s="19"/>
      <c r="SAA29" s="19"/>
      <c r="SAB29" s="19"/>
      <c r="SAC29" s="19"/>
      <c r="SAD29" s="19"/>
      <c r="SAE29" s="19"/>
      <c r="SAF29" s="19"/>
      <c r="SAG29" s="19"/>
      <c r="SAH29" s="19"/>
      <c r="SAI29" s="19"/>
      <c r="SAJ29" s="19"/>
      <c r="SAK29" s="19"/>
      <c r="SAL29" s="19"/>
      <c r="SAM29" s="19"/>
      <c r="SAN29" s="19"/>
      <c r="SAO29" s="19"/>
      <c r="SAP29" s="19"/>
      <c r="SAQ29" s="19"/>
      <c r="SAR29" s="19"/>
      <c r="SAS29" s="19"/>
      <c r="SAT29" s="19"/>
      <c r="SAU29" s="19"/>
      <c r="SAV29" s="19"/>
      <c r="SAW29" s="19"/>
      <c r="SAX29" s="19"/>
      <c r="SAY29" s="19"/>
      <c r="SAZ29" s="19"/>
      <c r="SBA29" s="19"/>
      <c r="SBB29" s="19"/>
      <c r="SBC29" s="19"/>
      <c r="SBD29" s="19"/>
      <c r="SBE29" s="19"/>
      <c r="SBF29" s="19"/>
      <c r="SBG29" s="19"/>
      <c r="SBH29" s="19"/>
      <c r="SBI29" s="19"/>
      <c r="SBJ29" s="19"/>
      <c r="SBK29" s="19"/>
      <c r="SBL29" s="19"/>
      <c r="SBM29" s="19"/>
      <c r="SBN29" s="19"/>
      <c r="SBO29" s="19"/>
      <c r="SBP29" s="19"/>
      <c r="SBQ29" s="19"/>
      <c r="SBR29" s="19"/>
      <c r="SBS29" s="19"/>
      <c r="SBT29" s="19"/>
      <c r="SBU29" s="19"/>
      <c r="SBV29" s="19"/>
      <c r="SBW29" s="19"/>
      <c r="SBX29" s="19"/>
      <c r="SBY29" s="19"/>
      <c r="SBZ29" s="19"/>
      <c r="SCA29" s="19"/>
      <c r="SCB29" s="19"/>
      <c r="SCC29" s="19"/>
      <c r="SCD29" s="19"/>
      <c r="SCE29" s="19"/>
      <c r="SCF29" s="19"/>
      <c r="SCG29" s="19"/>
      <c r="SCH29" s="19"/>
      <c r="SCI29" s="19"/>
      <c r="SCJ29" s="19"/>
      <c r="SCK29" s="19"/>
      <c r="SCL29" s="19"/>
      <c r="SCM29" s="19"/>
      <c r="SCN29" s="19"/>
      <c r="SCO29" s="19"/>
      <c r="SCP29" s="19"/>
      <c r="SCQ29" s="19"/>
      <c r="SCR29" s="19"/>
      <c r="SCS29" s="19"/>
      <c r="SCT29" s="19"/>
      <c r="SCU29" s="19"/>
      <c r="SCV29" s="19"/>
      <c r="SCW29" s="19"/>
      <c r="SCX29" s="19"/>
      <c r="SCY29" s="19"/>
      <c r="SCZ29" s="19"/>
      <c r="SDA29" s="19"/>
      <c r="SDB29" s="19"/>
      <c r="SDC29" s="19"/>
      <c r="SDD29" s="19"/>
      <c r="SDE29" s="19"/>
      <c r="SDF29" s="19"/>
      <c r="SDG29" s="19"/>
      <c r="SDH29" s="19"/>
      <c r="SDI29" s="19"/>
      <c r="SDJ29" s="19"/>
      <c r="SDK29" s="19"/>
      <c r="SDL29" s="19"/>
      <c r="SDM29" s="19"/>
      <c r="SDN29" s="19"/>
      <c r="SDO29" s="19"/>
      <c r="SDP29" s="19"/>
      <c r="SDQ29" s="19"/>
      <c r="SDR29" s="19"/>
      <c r="SDS29" s="19"/>
      <c r="SDT29" s="19"/>
      <c r="SDU29" s="19"/>
      <c r="SDV29" s="19"/>
      <c r="SDW29" s="19"/>
      <c r="SDX29" s="19"/>
      <c r="SDY29" s="19"/>
      <c r="SDZ29" s="19"/>
      <c r="SEA29" s="19"/>
      <c r="SEB29" s="19"/>
      <c r="SEC29" s="19"/>
      <c r="SED29" s="19"/>
      <c r="SEE29" s="19"/>
      <c r="SEF29" s="19"/>
      <c r="SEG29" s="19"/>
      <c r="SEH29" s="19"/>
      <c r="SEI29" s="19"/>
      <c r="SEJ29" s="19"/>
      <c r="SEK29" s="19"/>
      <c r="SEL29" s="19"/>
      <c r="SEM29" s="19"/>
      <c r="SEN29" s="19"/>
      <c r="SEO29" s="19"/>
      <c r="SEP29" s="19"/>
      <c r="SEQ29" s="19"/>
      <c r="SER29" s="19"/>
      <c r="SES29" s="19"/>
      <c r="SET29" s="19"/>
      <c r="SEU29" s="19"/>
      <c r="SEV29" s="19"/>
      <c r="SEW29" s="19"/>
      <c r="SEX29" s="19"/>
      <c r="SEY29" s="19"/>
      <c r="SEZ29" s="19"/>
      <c r="SFA29" s="19"/>
      <c r="SFB29" s="19"/>
      <c r="SFC29" s="19"/>
      <c r="SFD29" s="19"/>
      <c r="SFE29" s="19"/>
      <c r="SFF29" s="19"/>
      <c r="SFG29" s="19"/>
      <c r="SFH29" s="19"/>
      <c r="SFI29" s="19"/>
      <c r="SFJ29" s="19"/>
      <c r="SFK29" s="19"/>
      <c r="SFL29" s="19"/>
      <c r="SFM29" s="19"/>
      <c r="SFN29" s="19"/>
      <c r="SFO29" s="19"/>
      <c r="SFP29" s="19"/>
      <c r="SFQ29" s="19"/>
      <c r="SFR29" s="19"/>
      <c r="SFS29" s="19"/>
      <c r="SFT29" s="19"/>
      <c r="SFU29" s="19"/>
      <c r="SFV29" s="19"/>
      <c r="SFW29" s="19"/>
      <c r="SFX29" s="19"/>
      <c r="SFY29" s="19"/>
      <c r="SFZ29" s="19"/>
      <c r="SGA29" s="19"/>
      <c r="SGB29" s="19"/>
      <c r="SGC29" s="19"/>
      <c r="SGD29" s="19"/>
      <c r="SGE29" s="19"/>
      <c r="SGF29" s="19"/>
      <c r="SGG29" s="19"/>
      <c r="SGH29" s="19"/>
      <c r="SGI29" s="19"/>
      <c r="SGJ29" s="19"/>
      <c r="SGK29" s="19"/>
      <c r="SGL29" s="19"/>
      <c r="SGM29" s="19"/>
      <c r="SGN29" s="19"/>
      <c r="SGO29" s="19"/>
      <c r="SGP29" s="19"/>
      <c r="SGQ29" s="19"/>
      <c r="SGR29" s="19"/>
      <c r="SGS29" s="19"/>
      <c r="SGT29" s="19"/>
      <c r="SGU29" s="19"/>
      <c r="SGV29" s="19"/>
      <c r="SGW29" s="19"/>
      <c r="SGX29" s="19"/>
      <c r="SGY29" s="19"/>
      <c r="SGZ29" s="19"/>
      <c r="SHA29" s="19"/>
      <c r="SHB29" s="19"/>
      <c r="SHC29" s="19"/>
      <c r="SHD29" s="19"/>
      <c r="SHE29" s="19"/>
      <c r="SHF29" s="19"/>
      <c r="SHG29" s="19"/>
      <c r="SHH29" s="19"/>
      <c r="SHI29" s="19"/>
      <c r="SHJ29" s="19"/>
      <c r="SHK29" s="19"/>
      <c r="SHL29" s="19"/>
      <c r="SHM29" s="19"/>
      <c r="SHN29" s="19"/>
      <c r="SHO29" s="19"/>
      <c r="SHP29" s="19"/>
      <c r="SHQ29" s="19"/>
      <c r="SHR29" s="19"/>
      <c r="SHS29" s="19"/>
      <c r="SHT29" s="19"/>
      <c r="SHU29" s="19"/>
      <c r="SHV29" s="19"/>
      <c r="SHW29" s="19"/>
      <c r="SHX29" s="19"/>
      <c r="SHY29" s="19"/>
      <c r="SHZ29" s="19"/>
      <c r="SIA29" s="19"/>
      <c r="SIB29" s="19"/>
      <c r="SIC29" s="19"/>
      <c r="SID29" s="19"/>
      <c r="SIE29" s="19"/>
      <c r="SIF29" s="19"/>
      <c r="SIG29" s="19"/>
      <c r="SIH29" s="19"/>
      <c r="SII29" s="19"/>
      <c r="SIJ29" s="19"/>
      <c r="SIK29" s="19"/>
      <c r="SIL29" s="19"/>
      <c r="SIM29" s="19"/>
      <c r="SIN29" s="19"/>
      <c r="SIO29" s="19"/>
      <c r="SIP29" s="19"/>
      <c r="SIQ29" s="19"/>
      <c r="SIR29" s="19"/>
      <c r="SIS29" s="19"/>
      <c r="SIT29" s="19"/>
      <c r="SIU29" s="19"/>
      <c r="SIV29" s="19"/>
      <c r="SIW29" s="19"/>
      <c r="SIX29" s="19"/>
      <c r="SIY29" s="19"/>
      <c r="SIZ29" s="19"/>
      <c r="SJA29" s="19"/>
      <c r="SJB29" s="19"/>
      <c r="SJC29" s="19"/>
      <c r="SJD29" s="19"/>
      <c r="SJE29" s="19"/>
      <c r="SJF29" s="19"/>
      <c r="SJG29" s="19"/>
      <c r="SJH29" s="19"/>
      <c r="SJI29" s="19"/>
      <c r="SJJ29" s="19"/>
      <c r="SJK29" s="19"/>
      <c r="SJL29" s="19"/>
      <c r="SJM29" s="19"/>
      <c r="SJN29" s="19"/>
      <c r="SJO29" s="19"/>
      <c r="SJP29" s="19"/>
      <c r="SJQ29" s="19"/>
      <c r="SJR29" s="19"/>
      <c r="SJS29" s="19"/>
      <c r="SJT29" s="19"/>
      <c r="SJU29" s="19"/>
      <c r="SJV29" s="19"/>
      <c r="SJW29" s="19"/>
      <c r="SJX29" s="19"/>
      <c r="SJY29" s="19"/>
      <c r="SJZ29" s="19"/>
      <c r="SKA29" s="19"/>
      <c r="SKB29" s="19"/>
      <c r="SKC29" s="19"/>
      <c r="SKD29" s="19"/>
      <c r="SKE29" s="19"/>
      <c r="SKF29" s="19"/>
      <c r="SKG29" s="19"/>
      <c r="SKH29" s="19"/>
      <c r="SKI29" s="19"/>
      <c r="SKJ29" s="19"/>
      <c r="SKK29" s="19"/>
      <c r="SKL29" s="19"/>
      <c r="SKM29" s="19"/>
      <c r="SKN29" s="19"/>
      <c r="SKO29" s="19"/>
      <c r="SKP29" s="19"/>
      <c r="SKQ29" s="19"/>
      <c r="SKR29" s="19"/>
      <c r="SKS29" s="19"/>
      <c r="SKT29" s="19"/>
      <c r="SKU29" s="19"/>
      <c r="SKV29" s="19"/>
      <c r="SKW29" s="19"/>
      <c r="SKX29" s="19"/>
      <c r="SKY29" s="19"/>
      <c r="SKZ29" s="19"/>
      <c r="SLA29" s="19"/>
      <c r="SLB29" s="19"/>
      <c r="SLC29" s="19"/>
      <c r="SLD29" s="19"/>
      <c r="SLE29" s="19"/>
      <c r="SLF29" s="19"/>
      <c r="SLG29" s="19"/>
      <c r="SLH29" s="19"/>
      <c r="SLI29" s="19"/>
      <c r="SLJ29" s="19"/>
      <c r="SLK29" s="19"/>
      <c r="SLL29" s="19"/>
      <c r="SLM29" s="19"/>
      <c r="SLN29" s="19"/>
      <c r="SLO29" s="19"/>
      <c r="SLP29" s="19"/>
      <c r="SLQ29" s="19"/>
      <c r="SLR29" s="19"/>
      <c r="SLS29" s="19"/>
      <c r="SLT29" s="19"/>
      <c r="SLU29" s="19"/>
      <c r="SLV29" s="19"/>
      <c r="SLW29" s="19"/>
      <c r="SLX29" s="19"/>
      <c r="SLY29" s="19"/>
      <c r="SLZ29" s="19"/>
      <c r="SMA29" s="19"/>
      <c r="SMB29" s="19"/>
      <c r="SMC29" s="19"/>
      <c r="SMD29" s="19"/>
      <c r="SME29" s="19"/>
      <c r="SMF29" s="19"/>
      <c r="SMG29" s="19"/>
      <c r="SMH29" s="19"/>
      <c r="SMI29" s="19"/>
      <c r="SMJ29" s="19"/>
      <c r="SMK29" s="19"/>
      <c r="SML29" s="19"/>
      <c r="SMM29" s="19"/>
      <c r="SMN29" s="19"/>
      <c r="SMO29" s="19"/>
      <c r="SMP29" s="19"/>
      <c r="SMQ29" s="19"/>
      <c r="SMR29" s="19"/>
      <c r="SMS29" s="19"/>
      <c r="SMT29" s="19"/>
      <c r="SMU29" s="19"/>
      <c r="SMV29" s="19"/>
      <c r="SMW29" s="19"/>
      <c r="SMX29" s="19"/>
      <c r="SMY29" s="19"/>
      <c r="SMZ29" s="19"/>
      <c r="SNA29" s="19"/>
      <c r="SNB29" s="19"/>
      <c r="SNC29" s="19"/>
      <c r="SND29" s="19"/>
      <c r="SNE29" s="19"/>
      <c r="SNF29" s="19"/>
      <c r="SNG29" s="19"/>
      <c r="SNH29" s="19"/>
      <c r="SNI29" s="19"/>
      <c r="SNJ29" s="19"/>
      <c r="SNK29" s="19"/>
      <c r="SNL29" s="19"/>
      <c r="SNM29" s="19"/>
      <c r="SNN29" s="19"/>
      <c r="SNO29" s="19"/>
      <c r="SNP29" s="19"/>
      <c r="SNQ29" s="19"/>
      <c r="SNR29" s="19"/>
      <c r="SNS29" s="19"/>
      <c r="SNT29" s="19"/>
      <c r="SNU29" s="19"/>
      <c r="SNV29" s="19"/>
      <c r="SNW29" s="19"/>
      <c r="SNX29" s="19"/>
      <c r="SNY29" s="19"/>
      <c r="SNZ29" s="19"/>
      <c r="SOA29" s="19"/>
      <c r="SOB29" s="19"/>
      <c r="SOC29" s="19"/>
      <c r="SOD29" s="19"/>
      <c r="SOE29" s="19"/>
      <c r="SOF29" s="19"/>
      <c r="SOG29" s="19"/>
      <c r="SOH29" s="19"/>
      <c r="SOI29" s="19"/>
      <c r="SOJ29" s="19"/>
      <c r="SOK29" s="19"/>
      <c r="SOL29" s="19"/>
      <c r="SOM29" s="19"/>
      <c r="SON29" s="19"/>
      <c r="SOO29" s="19"/>
      <c r="SOP29" s="19"/>
      <c r="SOQ29" s="19"/>
      <c r="SOR29" s="19"/>
      <c r="SOS29" s="19"/>
      <c r="SOT29" s="19"/>
      <c r="SOU29" s="19"/>
      <c r="SOV29" s="19"/>
      <c r="SOW29" s="19"/>
      <c r="SOX29" s="19"/>
      <c r="SOY29" s="19"/>
      <c r="SOZ29" s="19"/>
      <c r="SPA29" s="19"/>
      <c r="SPB29" s="19"/>
      <c r="SPC29" s="19"/>
      <c r="SPD29" s="19"/>
      <c r="SPE29" s="19"/>
      <c r="SPF29" s="19"/>
      <c r="SPG29" s="19"/>
      <c r="SPH29" s="19"/>
      <c r="SPI29" s="19"/>
      <c r="SPJ29" s="19"/>
      <c r="SPK29" s="19"/>
      <c r="SPL29" s="19"/>
      <c r="SPM29" s="19"/>
      <c r="SPN29" s="19"/>
      <c r="SPO29" s="19"/>
      <c r="SPP29" s="19"/>
      <c r="SPQ29" s="19"/>
      <c r="SPR29" s="19"/>
      <c r="SPS29" s="19"/>
      <c r="SPT29" s="19"/>
      <c r="SPU29" s="19"/>
      <c r="SPV29" s="19"/>
      <c r="SPW29" s="19"/>
      <c r="SPX29" s="19"/>
      <c r="SPY29" s="19"/>
      <c r="SPZ29" s="19"/>
      <c r="SQA29" s="19"/>
      <c r="SQB29" s="19"/>
      <c r="SQC29" s="19"/>
      <c r="SQD29" s="19"/>
      <c r="SQE29" s="19"/>
      <c r="SQF29" s="19"/>
      <c r="SQG29" s="19"/>
      <c r="SQH29" s="19"/>
      <c r="SQI29" s="19"/>
      <c r="SQJ29" s="19"/>
      <c r="SQK29" s="19"/>
      <c r="SQL29" s="19"/>
      <c r="SQM29" s="19"/>
      <c r="SQN29" s="19"/>
      <c r="SQO29" s="19"/>
      <c r="SQP29" s="19"/>
      <c r="SQQ29" s="19"/>
      <c r="SQR29" s="19"/>
      <c r="SQS29" s="19"/>
      <c r="SQT29" s="19"/>
      <c r="SQU29" s="19"/>
      <c r="SQV29" s="19"/>
      <c r="SQW29" s="19"/>
      <c r="SQX29" s="19"/>
      <c r="SQY29" s="19"/>
      <c r="SQZ29" s="19"/>
      <c r="SRA29" s="19"/>
      <c r="SRB29" s="19"/>
      <c r="SRC29" s="19"/>
      <c r="SRD29" s="19"/>
      <c r="SRE29" s="19"/>
      <c r="SRF29" s="19"/>
      <c r="SRG29" s="19"/>
      <c r="SRH29" s="19"/>
      <c r="SRI29" s="19"/>
      <c r="SRJ29" s="19"/>
      <c r="SRK29" s="19"/>
      <c r="SRL29" s="19"/>
      <c r="SRM29" s="19"/>
      <c r="SRN29" s="19"/>
      <c r="SRO29" s="19"/>
      <c r="SRP29" s="19"/>
      <c r="SRQ29" s="19"/>
      <c r="SRR29" s="19"/>
      <c r="SRS29" s="19"/>
      <c r="SRT29" s="19"/>
      <c r="SRU29" s="19"/>
      <c r="SRV29" s="19"/>
      <c r="SRW29" s="19"/>
      <c r="SRX29" s="19"/>
      <c r="SRY29" s="19"/>
      <c r="SRZ29" s="19"/>
      <c r="SSA29" s="19"/>
      <c r="SSB29" s="19"/>
      <c r="SSC29" s="19"/>
      <c r="SSD29" s="19"/>
      <c r="SSE29" s="19"/>
      <c r="SSF29" s="19"/>
      <c r="SSG29" s="19"/>
      <c r="SSH29" s="19"/>
      <c r="SSI29" s="19"/>
      <c r="SSJ29" s="19"/>
      <c r="SSK29" s="19"/>
      <c r="SSL29" s="19"/>
      <c r="SSM29" s="19"/>
      <c r="SSN29" s="19"/>
      <c r="SSO29" s="19"/>
      <c r="SSP29" s="19"/>
      <c r="SSQ29" s="19"/>
      <c r="SSR29" s="19"/>
      <c r="SSS29" s="19"/>
      <c r="SST29" s="19"/>
      <c r="SSU29" s="19"/>
      <c r="SSV29" s="19"/>
      <c r="SSW29" s="19"/>
      <c r="SSX29" s="19"/>
      <c r="SSY29" s="19"/>
      <c r="SSZ29" s="19"/>
      <c r="STA29" s="19"/>
      <c r="STB29" s="19"/>
      <c r="STC29" s="19"/>
      <c r="STD29" s="19"/>
      <c r="STE29" s="19"/>
      <c r="STF29" s="19"/>
      <c r="STG29" s="19"/>
      <c r="STH29" s="19"/>
      <c r="STI29" s="19"/>
      <c r="STJ29" s="19"/>
      <c r="STK29" s="19"/>
      <c r="STL29" s="19"/>
      <c r="STM29" s="19"/>
      <c r="STN29" s="19"/>
      <c r="STO29" s="19"/>
      <c r="STP29" s="19"/>
      <c r="STQ29" s="19"/>
      <c r="STR29" s="19"/>
      <c r="STS29" s="19"/>
      <c r="STT29" s="19"/>
      <c r="STU29" s="19"/>
      <c r="STV29" s="19"/>
      <c r="STW29" s="19"/>
      <c r="STX29" s="19"/>
      <c r="STY29" s="19"/>
      <c r="STZ29" s="19"/>
      <c r="SUA29" s="19"/>
      <c r="SUB29" s="19"/>
      <c r="SUC29" s="19"/>
      <c r="SUD29" s="19"/>
      <c r="SUE29" s="19"/>
      <c r="SUF29" s="19"/>
      <c r="SUG29" s="19"/>
      <c r="SUH29" s="19"/>
      <c r="SUI29" s="19"/>
      <c r="SUJ29" s="19"/>
      <c r="SUK29" s="19"/>
      <c r="SUL29" s="19"/>
      <c r="SUM29" s="19"/>
      <c r="SUN29" s="19"/>
      <c r="SUO29" s="19"/>
      <c r="SUP29" s="19"/>
      <c r="SUQ29" s="19"/>
      <c r="SUR29" s="19"/>
      <c r="SUS29" s="19"/>
      <c r="SUT29" s="19"/>
      <c r="SUU29" s="19"/>
      <c r="SUV29" s="19"/>
      <c r="SUW29" s="19"/>
      <c r="SUX29" s="19"/>
      <c r="SUY29" s="19"/>
      <c r="SUZ29" s="19"/>
      <c r="SVA29" s="19"/>
      <c r="SVB29" s="19"/>
      <c r="SVC29" s="19"/>
      <c r="SVD29" s="19"/>
      <c r="SVE29" s="19"/>
      <c r="SVF29" s="19"/>
      <c r="SVG29" s="19"/>
      <c r="SVH29" s="19"/>
      <c r="SVI29" s="19"/>
      <c r="SVJ29" s="19"/>
      <c r="SVK29" s="19"/>
      <c r="SVL29" s="19"/>
      <c r="SVM29" s="19"/>
      <c r="SVN29" s="19"/>
      <c r="SVO29" s="19"/>
      <c r="SVP29" s="19"/>
      <c r="SVQ29" s="19"/>
      <c r="SVR29" s="19"/>
      <c r="SVS29" s="19"/>
      <c r="SVT29" s="19"/>
      <c r="SVU29" s="19"/>
      <c r="SVV29" s="19"/>
      <c r="SVW29" s="19"/>
      <c r="SVX29" s="19"/>
      <c r="SVY29" s="19"/>
      <c r="SVZ29" s="19"/>
      <c r="SWA29" s="19"/>
      <c r="SWB29" s="19"/>
      <c r="SWC29" s="19"/>
      <c r="SWD29" s="19"/>
      <c r="SWE29" s="19"/>
      <c r="SWF29" s="19"/>
      <c r="SWG29" s="19"/>
      <c r="SWH29" s="19"/>
      <c r="SWI29" s="19"/>
      <c r="SWJ29" s="19"/>
      <c r="SWK29" s="19"/>
      <c r="SWL29" s="19"/>
      <c r="SWM29" s="19"/>
      <c r="SWN29" s="19"/>
      <c r="SWO29" s="19"/>
      <c r="SWP29" s="19"/>
      <c r="SWQ29" s="19"/>
      <c r="SWR29" s="19"/>
      <c r="SWS29" s="19"/>
      <c r="SWT29" s="19"/>
      <c r="SWU29" s="19"/>
      <c r="SWV29" s="19"/>
      <c r="SWW29" s="19"/>
      <c r="SWX29" s="19"/>
      <c r="SWY29" s="19"/>
      <c r="SWZ29" s="19"/>
      <c r="SXA29" s="19"/>
      <c r="SXB29" s="19"/>
      <c r="SXC29" s="19"/>
      <c r="SXD29" s="19"/>
      <c r="SXE29" s="19"/>
      <c r="SXF29" s="19"/>
      <c r="SXG29" s="19"/>
      <c r="SXH29" s="19"/>
      <c r="SXI29" s="19"/>
      <c r="SXJ29" s="19"/>
      <c r="SXK29" s="19"/>
      <c r="SXL29" s="19"/>
      <c r="SXM29" s="19"/>
      <c r="SXN29" s="19"/>
      <c r="SXO29" s="19"/>
      <c r="SXP29" s="19"/>
      <c r="SXQ29" s="19"/>
      <c r="SXR29" s="19"/>
      <c r="SXS29" s="19"/>
      <c r="SXT29" s="19"/>
      <c r="SXU29" s="19"/>
      <c r="SXV29" s="19"/>
      <c r="SXW29" s="19"/>
      <c r="SXX29" s="19"/>
      <c r="SXY29" s="19"/>
      <c r="SXZ29" s="19"/>
      <c r="SYA29" s="19"/>
      <c r="SYB29" s="19"/>
      <c r="SYC29" s="19"/>
      <c r="SYD29" s="19"/>
      <c r="SYE29" s="19"/>
      <c r="SYF29" s="19"/>
      <c r="SYG29" s="19"/>
      <c r="SYH29" s="19"/>
      <c r="SYI29" s="19"/>
      <c r="SYJ29" s="19"/>
      <c r="SYK29" s="19"/>
      <c r="SYL29" s="19"/>
      <c r="SYM29" s="19"/>
      <c r="SYN29" s="19"/>
      <c r="SYO29" s="19"/>
      <c r="SYP29" s="19"/>
      <c r="SYQ29" s="19"/>
      <c r="SYR29" s="19"/>
      <c r="SYS29" s="19"/>
      <c r="SYT29" s="19"/>
      <c r="SYU29" s="19"/>
      <c r="SYV29" s="19"/>
      <c r="SYW29" s="19"/>
      <c r="SYX29" s="19"/>
      <c r="SYY29" s="19"/>
      <c r="SYZ29" s="19"/>
      <c r="SZA29" s="19"/>
      <c r="SZB29" s="19"/>
      <c r="SZC29" s="19"/>
      <c r="SZD29" s="19"/>
      <c r="SZE29" s="19"/>
      <c r="SZF29" s="19"/>
      <c r="SZG29" s="19"/>
      <c r="SZH29" s="19"/>
      <c r="SZI29" s="19"/>
      <c r="SZJ29" s="19"/>
      <c r="SZK29" s="19"/>
      <c r="SZL29" s="19"/>
      <c r="SZM29" s="19"/>
      <c r="SZN29" s="19"/>
      <c r="SZO29" s="19"/>
      <c r="SZP29" s="19"/>
      <c r="SZQ29" s="19"/>
      <c r="SZR29" s="19"/>
      <c r="SZS29" s="19"/>
      <c r="SZT29" s="19"/>
      <c r="SZU29" s="19"/>
      <c r="SZV29" s="19"/>
      <c r="SZW29" s="19"/>
      <c r="SZX29" s="19"/>
      <c r="SZY29" s="19"/>
      <c r="SZZ29" s="19"/>
      <c r="TAA29" s="19"/>
      <c r="TAB29" s="19"/>
      <c r="TAC29" s="19"/>
      <c r="TAD29" s="19"/>
      <c r="TAE29" s="19"/>
      <c r="TAF29" s="19"/>
      <c r="TAG29" s="19"/>
      <c r="TAH29" s="19"/>
      <c r="TAI29" s="19"/>
      <c r="TAJ29" s="19"/>
      <c r="TAK29" s="19"/>
      <c r="TAL29" s="19"/>
      <c r="TAM29" s="19"/>
      <c r="TAN29" s="19"/>
      <c r="TAO29" s="19"/>
      <c r="TAP29" s="19"/>
      <c r="TAQ29" s="19"/>
      <c r="TAR29" s="19"/>
      <c r="TAS29" s="19"/>
      <c r="TAT29" s="19"/>
      <c r="TAU29" s="19"/>
      <c r="TAV29" s="19"/>
      <c r="TAW29" s="19"/>
      <c r="TAX29" s="19"/>
      <c r="TAY29" s="19"/>
      <c r="TAZ29" s="19"/>
      <c r="TBA29" s="19"/>
      <c r="TBB29" s="19"/>
      <c r="TBC29" s="19"/>
      <c r="TBD29" s="19"/>
      <c r="TBE29" s="19"/>
      <c r="TBF29" s="19"/>
      <c r="TBG29" s="19"/>
      <c r="TBH29" s="19"/>
      <c r="TBI29" s="19"/>
      <c r="TBJ29" s="19"/>
      <c r="TBK29" s="19"/>
      <c r="TBL29" s="19"/>
      <c r="TBM29" s="19"/>
      <c r="TBN29" s="19"/>
      <c r="TBO29" s="19"/>
      <c r="TBP29" s="19"/>
      <c r="TBQ29" s="19"/>
      <c r="TBR29" s="19"/>
      <c r="TBS29" s="19"/>
      <c r="TBT29" s="19"/>
      <c r="TBU29" s="19"/>
      <c r="TBV29" s="19"/>
      <c r="TBW29" s="19"/>
      <c r="TBX29" s="19"/>
      <c r="TBY29" s="19"/>
      <c r="TBZ29" s="19"/>
      <c r="TCA29" s="19"/>
      <c r="TCB29" s="19"/>
      <c r="TCC29" s="19"/>
      <c r="TCD29" s="19"/>
      <c r="TCE29" s="19"/>
      <c r="TCF29" s="19"/>
      <c r="TCG29" s="19"/>
      <c r="TCH29" s="19"/>
      <c r="TCI29" s="19"/>
      <c r="TCJ29" s="19"/>
      <c r="TCK29" s="19"/>
      <c r="TCL29" s="19"/>
      <c r="TCM29" s="19"/>
      <c r="TCN29" s="19"/>
      <c r="TCO29" s="19"/>
      <c r="TCP29" s="19"/>
      <c r="TCQ29" s="19"/>
      <c r="TCR29" s="19"/>
      <c r="TCS29" s="19"/>
      <c r="TCT29" s="19"/>
      <c r="TCU29" s="19"/>
      <c r="TCV29" s="19"/>
      <c r="TCW29" s="19"/>
      <c r="TCX29" s="19"/>
      <c r="TCY29" s="19"/>
      <c r="TCZ29" s="19"/>
      <c r="TDA29" s="19"/>
      <c r="TDB29" s="19"/>
      <c r="TDC29" s="19"/>
      <c r="TDD29" s="19"/>
      <c r="TDE29" s="19"/>
      <c r="TDF29" s="19"/>
      <c r="TDG29" s="19"/>
      <c r="TDH29" s="19"/>
      <c r="TDI29" s="19"/>
      <c r="TDJ29" s="19"/>
      <c r="TDK29" s="19"/>
      <c r="TDL29" s="19"/>
      <c r="TDM29" s="19"/>
      <c r="TDN29" s="19"/>
      <c r="TDO29" s="19"/>
      <c r="TDP29" s="19"/>
      <c r="TDQ29" s="19"/>
      <c r="TDR29" s="19"/>
      <c r="TDS29" s="19"/>
      <c r="TDT29" s="19"/>
      <c r="TDU29" s="19"/>
      <c r="TDV29" s="19"/>
      <c r="TDW29" s="19"/>
      <c r="TDX29" s="19"/>
      <c r="TDY29" s="19"/>
      <c r="TDZ29" s="19"/>
      <c r="TEA29" s="19"/>
      <c r="TEB29" s="19"/>
      <c r="TEC29" s="19"/>
      <c r="TED29" s="19"/>
      <c r="TEE29" s="19"/>
      <c r="TEF29" s="19"/>
      <c r="TEG29" s="19"/>
      <c r="TEH29" s="19"/>
      <c r="TEI29" s="19"/>
      <c r="TEJ29" s="19"/>
      <c r="TEK29" s="19"/>
      <c r="TEL29" s="19"/>
      <c r="TEM29" s="19"/>
      <c r="TEN29" s="19"/>
      <c r="TEO29" s="19"/>
      <c r="TEP29" s="19"/>
      <c r="TEQ29" s="19"/>
      <c r="TER29" s="19"/>
      <c r="TES29" s="19"/>
      <c r="TET29" s="19"/>
      <c r="TEU29" s="19"/>
      <c r="TEV29" s="19"/>
      <c r="TEW29" s="19"/>
      <c r="TEX29" s="19"/>
      <c r="TEY29" s="19"/>
      <c r="TEZ29" s="19"/>
      <c r="TFA29" s="19"/>
      <c r="TFB29" s="19"/>
      <c r="TFC29" s="19"/>
      <c r="TFD29" s="19"/>
      <c r="TFE29" s="19"/>
      <c r="TFF29" s="19"/>
      <c r="TFG29" s="19"/>
      <c r="TFH29" s="19"/>
      <c r="TFI29" s="19"/>
      <c r="TFJ29" s="19"/>
      <c r="TFK29" s="19"/>
      <c r="TFL29" s="19"/>
      <c r="TFM29" s="19"/>
      <c r="TFN29" s="19"/>
      <c r="TFO29" s="19"/>
      <c r="TFP29" s="19"/>
      <c r="TFQ29" s="19"/>
      <c r="TFR29" s="19"/>
      <c r="TFS29" s="19"/>
      <c r="TFT29" s="19"/>
      <c r="TFU29" s="19"/>
      <c r="TFV29" s="19"/>
      <c r="TFW29" s="19"/>
      <c r="TFX29" s="19"/>
      <c r="TFY29" s="19"/>
      <c r="TFZ29" s="19"/>
      <c r="TGA29" s="19"/>
      <c r="TGB29" s="19"/>
      <c r="TGC29" s="19"/>
      <c r="TGD29" s="19"/>
      <c r="TGE29" s="19"/>
      <c r="TGF29" s="19"/>
      <c r="TGG29" s="19"/>
      <c r="TGH29" s="19"/>
      <c r="TGI29" s="19"/>
      <c r="TGJ29" s="19"/>
      <c r="TGK29" s="19"/>
      <c r="TGL29" s="19"/>
      <c r="TGM29" s="19"/>
      <c r="TGN29" s="19"/>
      <c r="TGO29" s="19"/>
      <c r="TGP29" s="19"/>
      <c r="TGQ29" s="19"/>
      <c r="TGR29" s="19"/>
      <c r="TGS29" s="19"/>
      <c r="TGT29" s="19"/>
      <c r="TGU29" s="19"/>
      <c r="TGV29" s="19"/>
      <c r="TGW29" s="19"/>
      <c r="TGX29" s="19"/>
      <c r="TGY29" s="19"/>
      <c r="TGZ29" s="19"/>
      <c r="THA29" s="19"/>
      <c r="THB29" s="19"/>
      <c r="THC29" s="19"/>
      <c r="THD29" s="19"/>
      <c r="THE29" s="19"/>
      <c r="THF29" s="19"/>
      <c r="THG29" s="19"/>
      <c r="THH29" s="19"/>
      <c r="THI29" s="19"/>
      <c r="THJ29" s="19"/>
      <c r="THK29" s="19"/>
      <c r="THL29" s="19"/>
      <c r="THM29" s="19"/>
      <c r="THN29" s="19"/>
      <c r="THO29" s="19"/>
      <c r="THP29" s="19"/>
      <c r="THQ29" s="19"/>
      <c r="THR29" s="19"/>
      <c r="THS29" s="19"/>
      <c r="THT29" s="19"/>
      <c r="THU29" s="19"/>
      <c r="THV29" s="19"/>
      <c r="THW29" s="19"/>
      <c r="THX29" s="19"/>
      <c r="THY29" s="19"/>
      <c r="THZ29" s="19"/>
      <c r="TIA29" s="19"/>
      <c r="TIB29" s="19"/>
      <c r="TIC29" s="19"/>
      <c r="TID29" s="19"/>
      <c r="TIE29" s="19"/>
      <c r="TIF29" s="19"/>
      <c r="TIG29" s="19"/>
      <c r="TIH29" s="19"/>
      <c r="TII29" s="19"/>
      <c r="TIJ29" s="19"/>
      <c r="TIK29" s="19"/>
      <c r="TIL29" s="19"/>
      <c r="TIM29" s="19"/>
      <c r="TIN29" s="19"/>
      <c r="TIO29" s="19"/>
      <c r="TIP29" s="19"/>
      <c r="TIQ29" s="19"/>
      <c r="TIR29" s="19"/>
      <c r="TIS29" s="19"/>
      <c r="TIT29" s="19"/>
      <c r="TIU29" s="19"/>
      <c r="TIV29" s="19"/>
      <c r="TIW29" s="19"/>
      <c r="TIX29" s="19"/>
      <c r="TIY29" s="19"/>
      <c r="TIZ29" s="19"/>
      <c r="TJA29" s="19"/>
      <c r="TJB29" s="19"/>
      <c r="TJC29" s="19"/>
      <c r="TJD29" s="19"/>
      <c r="TJE29" s="19"/>
      <c r="TJF29" s="19"/>
      <c r="TJG29" s="19"/>
      <c r="TJH29" s="19"/>
      <c r="TJI29" s="19"/>
      <c r="TJJ29" s="19"/>
      <c r="TJK29" s="19"/>
      <c r="TJL29" s="19"/>
      <c r="TJM29" s="19"/>
      <c r="TJN29" s="19"/>
      <c r="TJO29" s="19"/>
      <c r="TJP29" s="19"/>
      <c r="TJQ29" s="19"/>
      <c r="TJR29" s="19"/>
      <c r="TJS29" s="19"/>
      <c r="TJT29" s="19"/>
      <c r="TJU29" s="19"/>
      <c r="TJV29" s="19"/>
      <c r="TJW29" s="19"/>
      <c r="TJX29" s="19"/>
      <c r="TJY29" s="19"/>
      <c r="TJZ29" s="19"/>
      <c r="TKA29" s="19"/>
      <c r="TKB29" s="19"/>
      <c r="TKC29" s="19"/>
      <c r="TKD29" s="19"/>
      <c r="TKE29" s="19"/>
      <c r="TKF29" s="19"/>
      <c r="TKG29" s="19"/>
      <c r="TKH29" s="19"/>
      <c r="TKI29" s="19"/>
      <c r="TKJ29" s="19"/>
      <c r="TKK29" s="19"/>
      <c r="TKL29" s="19"/>
      <c r="TKM29" s="19"/>
      <c r="TKN29" s="19"/>
      <c r="TKO29" s="19"/>
      <c r="TKP29" s="19"/>
      <c r="TKQ29" s="19"/>
      <c r="TKR29" s="19"/>
      <c r="TKS29" s="19"/>
      <c r="TKT29" s="19"/>
      <c r="TKU29" s="19"/>
      <c r="TKV29" s="19"/>
      <c r="TKW29" s="19"/>
      <c r="TKX29" s="19"/>
      <c r="TKY29" s="19"/>
      <c r="TKZ29" s="19"/>
      <c r="TLA29" s="19"/>
      <c r="TLB29" s="19"/>
      <c r="TLC29" s="19"/>
      <c r="TLD29" s="19"/>
      <c r="TLE29" s="19"/>
      <c r="TLF29" s="19"/>
      <c r="TLG29" s="19"/>
      <c r="TLH29" s="19"/>
      <c r="TLI29" s="19"/>
      <c r="TLJ29" s="19"/>
      <c r="TLK29" s="19"/>
      <c r="TLL29" s="19"/>
      <c r="TLM29" s="19"/>
      <c r="TLN29" s="19"/>
      <c r="TLO29" s="19"/>
      <c r="TLP29" s="19"/>
      <c r="TLQ29" s="19"/>
      <c r="TLR29" s="19"/>
      <c r="TLS29" s="19"/>
      <c r="TLT29" s="19"/>
      <c r="TLU29" s="19"/>
      <c r="TLV29" s="19"/>
      <c r="TLW29" s="19"/>
      <c r="TLX29" s="19"/>
      <c r="TLY29" s="19"/>
      <c r="TLZ29" s="19"/>
      <c r="TMA29" s="19"/>
      <c r="TMB29" s="19"/>
      <c r="TMC29" s="19"/>
      <c r="TMD29" s="19"/>
      <c r="TME29" s="19"/>
      <c r="TMF29" s="19"/>
      <c r="TMG29" s="19"/>
      <c r="TMH29" s="19"/>
      <c r="TMI29" s="19"/>
      <c r="TMJ29" s="19"/>
      <c r="TMK29" s="19"/>
      <c r="TML29" s="19"/>
      <c r="TMM29" s="19"/>
      <c r="TMN29" s="19"/>
      <c r="TMO29" s="19"/>
      <c r="TMP29" s="19"/>
      <c r="TMQ29" s="19"/>
      <c r="TMR29" s="19"/>
      <c r="TMS29" s="19"/>
      <c r="TMT29" s="19"/>
      <c r="TMU29" s="19"/>
      <c r="TMV29" s="19"/>
      <c r="TMW29" s="19"/>
      <c r="TMX29" s="19"/>
      <c r="TMY29" s="19"/>
      <c r="TMZ29" s="19"/>
      <c r="TNA29" s="19"/>
      <c r="TNB29" s="19"/>
      <c r="TNC29" s="19"/>
      <c r="TND29" s="19"/>
      <c r="TNE29" s="19"/>
      <c r="TNF29" s="19"/>
      <c r="TNG29" s="19"/>
      <c r="TNH29" s="19"/>
      <c r="TNI29" s="19"/>
      <c r="TNJ29" s="19"/>
      <c r="TNK29" s="19"/>
      <c r="TNL29" s="19"/>
      <c r="TNM29" s="19"/>
      <c r="TNN29" s="19"/>
      <c r="TNO29" s="19"/>
      <c r="TNP29" s="19"/>
      <c r="TNQ29" s="19"/>
      <c r="TNR29" s="19"/>
      <c r="TNS29" s="19"/>
      <c r="TNT29" s="19"/>
      <c r="TNU29" s="19"/>
      <c r="TNV29" s="19"/>
      <c r="TNW29" s="19"/>
      <c r="TNX29" s="19"/>
      <c r="TNY29" s="19"/>
      <c r="TNZ29" s="19"/>
      <c r="TOA29" s="19"/>
      <c r="TOB29" s="19"/>
      <c r="TOC29" s="19"/>
      <c r="TOD29" s="19"/>
      <c r="TOE29" s="19"/>
      <c r="TOF29" s="19"/>
      <c r="TOG29" s="19"/>
      <c r="TOH29" s="19"/>
      <c r="TOI29" s="19"/>
      <c r="TOJ29" s="19"/>
      <c r="TOK29" s="19"/>
      <c r="TOL29" s="19"/>
      <c r="TOM29" s="19"/>
      <c r="TON29" s="19"/>
      <c r="TOO29" s="19"/>
      <c r="TOP29" s="19"/>
      <c r="TOQ29" s="19"/>
      <c r="TOR29" s="19"/>
      <c r="TOS29" s="19"/>
      <c r="TOT29" s="19"/>
      <c r="TOU29" s="19"/>
      <c r="TOV29" s="19"/>
      <c r="TOW29" s="19"/>
      <c r="TOX29" s="19"/>
      <c r="TOY29" s="19"/>
      <c r="TOZ29" s="19"/>
      <c r="TPA29" s="19"/>
      <c r="TPB29" s="19"/>
      <c r="TPC29" s="19"/>
      <c r="TPD29" s="19"/>
      <c r="TPE29" s="19"/>
      <c r="TPF29" s="19"/>
      <c r="TPG29" s="19"/>
      <c r="TPH29" s="19"/>
      <c r="TPI29" s="19"/>
      <c r="TPJ29" s="19"/>
      <c r="TPK29" s="19"/>
      <c r="TPL29" s="19"/>
      <c r="TPM29" s="19"/>
      <c r="TPN29" s="19"/>
      <c r="TPO29" s="19"/>
      <c r="TPP29" s="19"/>
      <c r="TPQ29" s="19"/>
      <c r="TPR29" s="19"/>
      <c r="TPS29" s="19"/>
      <c r="TPT29" s="19"/>
      <c r="TPU29" s="19"/>
      <c r="TPV29" s="19"/>
      <c r="TPW29" s="19"/>
      <c r="TPX29" s="19"/>
      <c r="TPY29" s="19"/>
      <c r="TPZ29" s="19"/>
      <c r="TQA29" s="19"/>
      <c r="TQB29" s="19"/>
      <c r="TQC29" s="19"/>
      <c r="TQD29" s="19"/>
      <c r="TQE29" s="19"/>
      <c r="TQF29" s="19"/>
      <c r="TQG29" s="19"/>
      <c r="TQH29" s="19"/>
      <c r="TQI29" s="19"/>
      <c r="TQJ29" s="19"/>
      <c r="TQK29" s="19"/>
      <c r="TQL29" s="19"/>
      <c r="TQM29" s="19"/>
      <c r="TQN29" s="19"/>
      <c r="TQO29" s="19"/>
      <c r="TQP29" s="19"/>
      <c r="TQQ29" s="19"/>
      <c r="TQR29" s="19"/>
      <c r="TQS29" s="19"/>
      <c r="TQT29" s="19"/>
      <c r="TQU29" s="19"/>
      <c r="TQV29" s="19"/>
      <c r="TQW29" s="19"/>
      <c r="TQX29" s="19"/>
      <c r="TQY29" s="19"/>
      <c r="TQZ29" s="19"/>
      <c r="TRA29" s="19"/>
      <c r="TRB29" s="19"/>
      <c r="TRC29" s="19"/>
      <c r="TRD29" s="19"/>
      <c r="TRE29" s="19"/>
      <c r="TRF29" s="19"/>
      <c r="TRG29" s="19"/>
      <c r="TRH29" s="19"/>
      <c r="TRI29" s="19"/>
      <c r="TRJ29" s="19"/>
      <c r="TRK29" s="19"/>
      <c r="TRL29" s="19"/>
      <c r="TRM29" s="19"/>
      <c r="TRN29" s="19"/>
      <c r="TRO29" s="19"/>
      <c r="TRP29" s="19"/>
      <c r="TRQ29" s="19"/>
      <c r="TRR29" s="19"/>
      <c r="TRS29" s="19"/>
      <c r="TRT29" s="19"/>
      <c r="TRU29" s="19"/>
      <c r="TRV29" s="19"/>
      <c r="TRW29" s="19"/>
      <c r="TRX29" s="19"/>
      <c r="TRY29" s="19"/>
      <c r="TRZ29" s="19"/>
      <c r="TSA29" s="19"/>
      <c r="TSB29" s="19"/>
      <c r="TSC29" s="19"/>
      <c r="TSD29" s="19"/>
      <c r="TSE29" s="19"/>
      <c r="TSF29" s="19"/>
      <c r="TSG29" s="19"/>
      <c r="TSH29" s="19"/>
      <c r="TSI29" s="19"/>
      <c r="TSJ29" s="19"/>
      <c r="TSK29" s="19"/>
      <c r="TSL29" s="19"/>
      <c r="TSM29" s="19"/>
      <c r="TSN29" s="19"/>
      <c r="TSO29" s="19"/>
      <c r="TSP29" s="19"/>
      <c r="TSQ29" s="19"/>
      <c r="TSR29" s="19"/>
      <c r="TSS29" s="19"/>
      <c r="TST29" s="19"/>
      <c r="TSU29" s="19"/>
      <c r="TSV29" s="19"/>
      <c r="TSW29" s="19"/>
      <c r="TSX29" s="19"/>
      <c r="TSY29" s="19"/>
      <c r="TSZ29" s="19"/>
      <c r="TTA29" s="19"/>
      <c r="TTB29" s="19"/>
      <c r="TTC29" s="19"/>
      <c r="TTD29" s="19"/>
      <c r="TTE29" s="19"/>
      <c r="TTF29" s="19"/>
      <c r="TTG29" s="19"/>
      <c r="TTH29" s="19"/>
      <c r="TTI29" s="19"/>
      <c r="TTJ29" s="19"/>
      <c r="TTK29" s="19"/>
      <c r="TTL29" s="19"/>
      <c r="TTM29" s="19"/>
      <c r="TTN29" s="19"/>
      <c r="TTO29" s="19"/>
      <c r="TTP29" s="19"/>
      <c r="TTQ29" s="19"/>
      <c r="TTR29" s="19"/>
      <c r="TTS29" s="19"/>
      <c r="TTT29" s="19"/>
      <c r="TTU29" s="19"/>
      <c r="TTV29" s="19"/>
      <c r="TTW29" s="19"/>
      <c r="TTX29" s="19"/>
      <c r="TTY29" s="19"/>
      <c r="TTZ29" s="19"/>
      <c r="TUA29" s="19"/>
      <c r="TUB29" s="19"/>
      <c r="TUC29" s="19"/>
      <c r="TUD29" s="19"/>
      <c r="TUE29" s="19"/>
      <c r="TUF29" s="19"/>
      <c r="TUG29" s="19"/>
      <c r="TUH29" s="19"/>
      <c r="TUI29" s="19"/>
      <c r="TUJ29" s="19"/>
      <c r="TUK29" s="19"/>
      <c r="TUL29" s="19"/>
      <c r="TUM29" s="19"/>
      <c r="TUN29" s="19"/>
      <c r="TUO29" s="19"/>
      <c r="TUP29" s="19"/>
      <c r="TUQ29" s="19"/>
      <c r="TUR29" s="19"/>
      <c r="TUS29" s="19"/>
      <c r="TUT29" s="19"/>
      <c r="TUU29" s="19"/>
      <c r="TUV29" s="19"/>
      <c r="TUW29" s="19"/>
      <c r="TUX29" s="19"/>
      <c r="TUY29" s="19"/>
      <c r="TUZ29" s="19"/>
      <c r="TVA29" s="19"/>
      <c r="TVB29" s="19"/>
      <c r="TVC29" s="19"/>
      <c r="TVD29" s="19"/>
      <c r="TVE29" s="19"/>
      <c r="TVF29" s="19"/>
      <c r="TVG29" s="19"/>
      <c r="TVH29" s="19"/>
      <c r="TVI29" s="19"/>
      <c r="TVJ29" s="19"/>
      <c r="TVK29" s="19"/>
      <c r="TVL29" s="19"/>
      <c r="TVM29" s="19"/>
      <c r="TVN29" s="19"/>
      <c r="TVO29" s="19"/>
      <c r="TVP29" s="19"/>
      <c r="TVQ29" s="19"/>
      <c r="TVR29" s="19"/>
      <c r="TVS29" s="19"/>
      <c r="TVT29" s="19"/>
      <c r="TVU29" s="19"/>
      <c r="TVV29" s="19"/>
      <c r="TVW29" s="19"/>
      <c r="TVX29" s="19"/>
      <c r="TVY29" s="19"/>
      <c r="TVZ29" s="19"/>
      <c r="TWA29" s="19"/>
      <c r="TWB29" s="19"/>
      <c r="TWC29" s="19"/>
      <c r="TWD29" s="19"/>
      <c r="TWE29" s="19"/>
      <c r="TWF29" s="19"/>
      <c r="TWG29" s="19"/>
      <c r="TWH29" s="19"/>
      <c r="TWI29" s="19"/>
      <c r="TWJ29" s="19"/>
      <c r="TWK29" s="19"/>
      <c r="TWL29" s="19"/>
      <c r="TWM29" s="19"/>
      <c r="TWN29" s="19"/>
      <c r="TWO29" s="19"/>
      <c r="TWP29" s="19"/>
      <c r="TWQ29" s="19"/>
      <c r="TWR29" s="19"/>
      <c r="TWS29" s="19"/>
      <c r="TWT29" s="19"/>
      <c r="TWU29" s="19"/>
      <c r="TWV29" s="19"/>
      <c r="TWW29" s="19"/>
      <c r="TWX29" s="19"/>
      <c r="TWY29" s="19"/>
      <c r="TWZ29" s="19"/>
      <c r="TXA29" s="19"/>
      <c r="TXB29" s="19"/>
      <c r="TXC29" s="19"/>
      <c r="TXD29" s="19"/>
      <c r="TXE29" s="19"/>
      <c r="TXF29" s="19"/>
      <c r="TXG29" s="19"/>
      <c r="TXH29" s="19"/>
      <c r="TXI29" s="19"/>
      <c r="TXJ29" s="19"/>
      <c r="TXK29" s="19"/>
      <c r="TXL29" s="19"/>
      <c r="TXM29" s="19"/>
      <c r="TXN29" s="19"/>
      <c r="TXO29" s="19"/>
      <c r="TXP29" s="19"/>
      <c r="TXQ29" s="19"/>
      <c r="TXR29" s="19"/>
      <c r="TXS29" s="19"/>
      <c r="TXT29" s="19"/>
      <c r="TXU29" s="19"/>
      <c r="TXV29" s="19"/>
      <c r="TXW29" s="19"/>
      <c r="TXX29" s="19"/>
      <c r="TXY29" s="19"/>
      <c r="TXZ29" s="19"/>
      <c r="TYA29" s="19"/>
      <c r="TYB29" s="19"/>
      <c r="TYC29" s="19"/>
      <c r="TYD29" s="19"/>
      <c r="TYE29" s="19"/>
      <c r="TYF29" s="19"/>
      <c r="TYG29" s="19"/>
      <c r="TYH29" s="19"/>
      <c r="TYI29" s="19"/>
      <c r="TYJ29" s="19"/>
      <c r="TYK29" s="19"/>
      <c r="TYL29" s="19"/>
      <c r="TYM29" s="19"/>
      <c r="TYN29" s="19"/>
      <c r="TYO29" s="19"/>
      <c r="TYP29" s="19"/>
      <c r="TYQ29" s="19"/>
      <c r="TYR29" s="19"/>
      <c r="TYS29" s="19"/>
      <c r="TYT29" s="19"/>
      <c r="TYU29" s="19"/>
      <c r="TYV29" s="19"/>
      <c r="TYW29" s="19"/>
      <c r="TYX29" s="19"/>
      <c r="TYY29" s="19"/>
      <c r="TYZ29" s="19"/>
      <c r="TZA29" s="19"/>
      <c r="TZB29" s="19"/>
      <c r="TZC29" s="19"/>
      <c r="TZD29" s="19"/>
      <c r="TZE29" s="19"/>
      <c r="TZF29" s="19"/>
      <c r="TZG29" s="19"/>
      <c r="TZH29" s="19"/>
      <c r="TZI29" s="19"/>
      <c r="TZJ29" s="19"/>
      <c r="TZK29" s="19"/>
      <c r="TZL29" s="19"/>
      <c r="TZM29" s="19"/>
      <c r="TZN29" s="19"/>
      <c r="TZO29" s="19"/>
      <c r="TZP29" s="19"/>
      <c r="TZQ29" s="19"/>
      <c r="TZR29" s="19"/>
      <c r="TZS29" s="19"/>
      <c r="TZT29" s="19"/>
      <c r="TZU29" s="19"/>
      <c r="TZV29" s="19"/>
      <c r="TZW29" s="19"/>
      <c r="TZX29" s="19"/>
      <c r="TZY29" s="19"/>
      <c r="TZZ29" s="19"/>
      <c r="UAA29" s="19"/>
      <c r="UAB29" s="19"/>
      <c r="UAC29" s="19"/>
      <c r="UAD29" s="19"/>
      <c r="UAE29" s="19"/>
      <c r="UAF29" s="19"/>
      <c r="UAG29" s="19"/>
      <c r="UAH29" s="19"/>
      <c r="UAI29" s="19"/>
      <c r="UAJ29" s="19"/>
      <c r="UAK29" s="19"/>
      <c r="UAL29" s="19"/>
      <c r="UAM29" s="19"/>
      <c r="UAN29" s="19"/>
      <c r="UAO29" s="19"/>
      <c r="UAP29" s="19"/>
      <c r="UAQ29" s="19"/>
      <c r="UAR29" s="19"/>
      <c r="UAS29" s="19"/>
      <c r="UAT29" s="19"/>
      <c r="UAU29" s="19"/>
      <c r="UAV29" s="19"/>
      <c r="UAW29" s="19"/>
      <c r="UAX29" s="19"/>
      <c r="UAY29" s="19"/>
      <c r="UAZ29" s="19"/>
      <c r="UBA29" s="19"/>
      <c r="UBB29" s="19"/>
      <c r="UBC29" s="19"/>
      <c r="UBD29" s="19"/>
      <c r="UBE29" s="19"/>
      <c r="UBF29" s="19"/>
      <c r="UBG29" s="19"/>
      <c r="UBH29" s="19"/>
      <c r="UBI29" s="19"/>
      <c r="UBJ29" s="19"/>
      <c r="UBK29" s="19"/>
      <c r="UBL29" s="19"/>
      <c r="UBM29" s="19"/>
      <c r="UBN29" s="19"/>
      <c r="UBO29" s="19"/>
      <c r="UBP29" s="19"/>
      <c r="UBQ29" s="19"/>
      <c r="UBR29" s="19"/>
      <c r="UBS29" s="19"/>
      <c r="UBT29" s="19"/>
      <c r="UBU29" s="19"/>
      <c r="UBV29" s="19"/>
      <c r="UBW29" s="19"/>
      <c r="UBX29" s="19"/>
      <c r="UBY29" s="19"/>
      <c r="UBZ29" s="19"/>
      <c r="UCA29" s="19"/>
      <c r="UCB29" s="19"/>
      <c r="UCC29" s="19"/>
      <c r="UCD29" s="19"/>
      <c r="UCE29" s="19"/>
      <c r="UCF29" s="19"/>
      <c r="UCG29" s="19"/>
      <c r="UCH29" s="19"/>
      <c r="UCI29" s="19"/>
      <c r="UCJ29" s="19"/>
      <c r="UCK29" s="19"/>
      <c r="UCL29" s="19"/>
      <c r="UCM29" s="19"/>
      <c r="UCN29" s="19"/>
      <c r="UCO29" s="19"/>
      <c r="UCP29" s="19"/>
      <c r="UCQ29" s="19"/>
      <c r="UCR29" s="19"/>
      <c r="UCS29" s="19"/>
      <c r="UCT29" s="19"/>
      <c r="UCU29" s="19"/>
      <c r="UCV29" s="19"/>
      <c r="UCW29" s="19"/>
      <c r="UCX29" s="19"/>
      <c r="UCY29" s="19"/>
      <c r="UCZ29" s="19"/>
      <c r="UDA29" s="19"/>
      <c r="UDB29" s="19"/>
      <c r="UDC29" s="19"/>
      <c r="UDD29" s="19"/>
      <c r="UDE29" s="19"/>
      <c r="UDF29" s="19"/>
      <c r="UDG29" s="19"/>
      <c r="UDH29" s="19"/>
      <c r="UDI29" s="19"/>
      <c r="UDJ29" s="19"/>
      <c r="UDK29" s="19"/>
      <c r="UDL29" s="19"/>
      <c r="UDM29" s="19"/>
      <c r="UDN29" s="19"/>
      <c r="UDO29" s="19"/>
      <c r="UDP29" s="19"/>
      <c r="UDQ29" s="19"/>
      <c r="UDR29" s="19"/>
      <c r="UDS29" s="19"/>
      <c r="UDT29" s="19"/>
      <c r="UDU29" s="19"/>
      <c r="UDV29" s="19"/>
      <c r="UDW29" s="19"/>
      <c r="UDX29" s="19"/>
      <c r="UDY29" s="19"/>
      <c r="UDZ29" s="19"/>
      <c r="UEA29" s="19"/>
      <c r="UEB29" s="19"/>
      <c r="UEC29" s="19"/>
      <c r="UED29" s="19"/>
      <c r="UEE29" s="19"/>
      <c r="UEF29" s="19"/>
      <c r="UEG29" s="19"/>
      <c r="UEH29" s="19"/>
      <c r="UEI29" s="19"/>
      <c r="UEJ29" s="19"/>
      <c r="UEK29" s="19"/>
      <c r="UEL29" s="19"/>
      <c r="UEM29" s="19"/>
      <c r="UEN29" s="19"/>
      <c r="UEO29" s="19"/>
      <c r="UEP29" s="19"/>
      <c r="UEQ29" s="19"/>
      <c r="UER29" s="19"/>
      <c r="UES29" s="19"/>
      <c r="UET29" s="19"/>
      <c r="UEU29" s="19"/>
      <c r="UEV29" s="19"/>
      <c r="UEW29" s="19"/>
      <c r="UEX29" s="19"/>
      <c r="UEY29" s="19"/>
      <c r="UEZ29" s="19"/>
      <c r="UFA29" s="19"/>
      <c r="UFB29" s="19"/>
      <c r="UFC29" s="19"/>
      <c r="UFD29" s="19"/>
      <c r="UFE29" s="19"/>
      <c r="UFF29" s="19"/>
      <c r="UFG29" s="19"/>
      <c r="UFH29" s="19"/>
      <c r="UFI29" s="19"/>
      <c r="UFJ29" s="19"/>
      <c r="UFK29" s="19"/>
      <c r="UFL29" s="19"/>
      <c r="UFM29" s="19"/>
      <c r="UFN29" s="19"/>
      <c r="UFO29" s="19"/>
      <c r="UFP29" s="19"/>
      <c r="UFQ29" s="19"/>
      <c r="UFR29" s="19"/>
      <c r="UFS29" s="19"/>
      <c r="UFT29" s="19"/>
      <c r="UFU29" s="19"/>
      <c r="UFV29" s="19"/>
      <c r="UFW29" s="19"/>
      <c r="UFX29" s="19"/>
      <c r="UFY29" s="19"/>
      <c r="UFZ29" s="19"/>
      <c r="UGA29" s="19"/>
      <c r="UGB29" s="19"/>
      <c r="UGC29" s="19"/>
      <c r="UGD29" s="19"/>
      <c r="UGE29" s="19"/>
      <c r="UGF29" s="19"/>
      <c r="UGG29" s="19"/>
      <c r="UGH29" s="19"/>
      <c r="UGI29" s="19"/>
      <c r="UGJ29" s="19"/>
      <c r="UGK29" s="19"/>
      <c r="UGL29" s="19"/>
      <c r="UGM29" s="19"/>
      <c r="UGN29" s="19"/>
      <c r="UGO29" s="19"/>
      <c r="UGP29" s="19"/>
      <c r="UGQ29" s="19"/>
      <c r="UGR29" s="19"/>
      <c r="UGS29" s="19"/>
      <c r="UGT29" s="19"/>
      <c r="UGU29" s="19"/>
      <c r="UGV29" s="19"/>
      <c r="UGW29" s="19"/>
      <c r="UGX29" s="19"/>
      <c r="UGY29" s="19"/>
      <c r="UGZ29" s="19"/>
      <c r="UHA29" s="19"/>
      <c r="UHB29" s="19"/>
      <c r="UHC29" s="19"/>
      <c r="UHD29" s="19"/>
      <c r="UHE29" s="19"/>
      <c r="UHF29" s="19"/>
      <c r="UHG29" s="19"/>
      <c r="UHH29" s="19"/>
      <c r="UHI29" s="19"/>
      <c r="UHJ29" s="19"/>
      <c r="UHK29" s="19"/>
      <c r="UHL29" s="19"/>
      <c r="UHM29" s="19"/>
      <c r="UHN29" s="19"/>
      <c r="UHO29" s="19"/>
      <c r="UHP29" s="19"/>
      <c r="UHQ29" s="19"/>
      <c r="UHR29" s="19"/>
      <c r="UHS29" s="19"/>
      <c r="UHT29" s="19"/>
      <c r="UHU29" s="19"/>
      <c r="UHV29" s="19"/>
      <c r="UHW29" s="19"/>
      <c r="UHX29" s="19"/>
      <c r="UHY29" s="19"/>
      <c r="UHZ29" s="19"/>
      <c r="UIA29" s="19"/>
      <c r="UIB29" s="19"/>
      <c r="UIC29" s="19"/>
      <c r="UID29" s="19"/>
      <c r="UIE29" s="19"/>
      <c r="UIF29" s="19"/>
      <c r="UIG29" s="19"/>
      <c r="UIH29" s="19"/>
      <c r="UII29" s="19"/>
      <c r="UIJ29" s="19"/>
      <c r="UIK29" s="19"/>
      <c r="UIL29" s="19"/>
      <c r="UIM29" s="19"/>
      <c r="UIN29" s="19"/>
      <c r="UIO29" s="19"/>
      <c r="UIP29" s="19"/>
      <c r="UIQ29" s="19"/>
      <c r="UIR29" s="19"/>
      <c r="UIS29" s="19"/>
      <c r="UIT29" s="19"/>
      <c r="UIU29" s="19"/>
      <c r="UIV29" s="19"/>
      <c r="UIW29" s="19"/>
      <c r="UIX29" s="19"/>
      <c r="UIY29" s="19"/>
      <c r="UIZ29" s="19"/>
      <c r="UJA29" s="19"/>
      <c r="UJB29" s="19"/>
      <c r="UJC29" s="19"/>
      <c r="UJD29" s="19"/>
      <c r="UJE29" s="19"/>
      <c r="UJF29" s="19"/>
      <c r="UJG29" s="19"/>
      <c r="UJH29" s="19"/>
      <c r="UJI29" s="19"/>
      <c r="UJJ29" s="19"/>
      <c r="UJK29" s="19"/>
      <c r="UJL29" s="19"/>
      <c r="UJM29" s="19"/>
      <c r="UJN29" s="19"/>
      <c r="UJO29" s="19"/>
      <c r="UJP29" s="19"/>
      <c r="UJQ29" s="19"/>
      <c r="UJR29" s="19"/>
      <c r="UJS29" s="19"/>
      <c r="UJT29" s="19"/>
      <c r="UJU29" s="19"/>
      <c r="UJV29" s="19"/>
      <c r="UJW29" s="19"/>
      <c r="UJX29" s="19"/>
      <c r="UJY29" s="19"/>
      <c r="UJZ29" s="19"/>
      <c r="UKA29" s="19"/>
      <c r="UKB29" s="19"/>
      <c r="UKC29" s="19"/>
      <c r="UKD29" s="19"/>
      <c r="UKE29" s="19"/>
      <c r="UKF29" s="19"/>
      <c r="UKG29" s="19"/>
      <c r="UKH29" s="19"/>
      <c r="UKI29" s="19"/>
      <c r="UKJ29" s="19"/>
      <c r="UKK29" s="19"/>
      <c r="UKL29" s="19"/>
      <c r="UKM29" s="19"/>
      <c r="UKN29" s="19"/>
      <c r="UKO29" s="19"/>
      <c r="UKP29" s="19"/>
      <c r="UKQ29" s="19"/>
      <c r="UKR29" s="19"/>
      <c r="UKS29" s="19"/>
      <c r="UKT29" s="19"/>
      <c r="UKU29" s="19"/>
      <c r="UKV29" s="19"/>
      <c r="UKW29" s="19"/>
      <c r="UKX29" s="19"/>
      <c r="UKY29" s="19"/>
      <c r="UKZ29" s="19"/>
      <c r="ULA29" s="19"/>
      <c r="ULB29" s="19"/>
      <c r="ULC29" s="19"/>
      <c r="ULD29" s="19"/>
      <c r="ULE29" s="19"/>
      <c r="ULF29" s="19"/>
      <c r="ULG29" s="19"/>
      <c r="ULH29" s="19"/>
      <c r="ULI29" s="19"/>
      <c r="ULJ29" s="19"/>
      <c r="ULK29" s="19"/>
      <c r="ULL29" s="19"/>
      <c r="ULM29" s="19"/>
      <c r="ULN29" s="19"/>
      <c r="ULO29" s="19"/>
      <c r="ULP29" s="19"/>
      <c r="ULQ29" s="19"/>
      <c r="ULR29" s="19"/>
      <c r="ULS29" s="19"/>
      <c r="ULT29" s="19"/>
      <c r="ULU29" s="19"/>
      <c r="ULV29" s="19"/>
      <c r="ULW29" s="19"/>
      <c r="ULX29" s="19"/>
      <c r="ULY29" s="19"/>
      <c r="ULZ29" s="19"/>
      <c r="UMA29" s="19"/>
      <c r="UMB29" s="19"/>
      <c r="UMC29" s="19"/>
      <c r="UMD29" s="19"/>
      <c r="UME29" s="19"/>
      <c r="UMF29" s="19"/>
      <c r="UMG29" s="19"/>
      <c r="UMH29" s="19"/>
      <c r="UMI29" s="19"/>
      <c r="UMJ29" s="19"/>
      <c r="UMK29" s="19"/>
      <c r="UML29" s="19"/>
      <c r="UMM29" s="19"/>
      <c r="UMN29" s="19"/>
      <c r="UMO29" s="19"/>
      <c r="UMP29" s="19"/>
      <c r="UMQ29" s="19"/>
      <c r="UMR29" s="19"/>
      <c r="UMS29" s="19"/>
      <c r="UMT29" s="19"/>
      <c r="UMU29" s="19"/>
      <c r="UMV29" s="19"/>
      <c r="UMW29" s="19"/>
      <c r="UMX29" s="19"/>
      <c r="UMY29" s="19"/>
      <c r="UMZ29" s="19"/>
      <c r="UNA29" s="19"/>
      <c r="UNB29" s="19"/>
      <c r="UNC29" s="19"/>
      <c r="UND29" s="19"/>
      <c r="UNE29" s="19"/>
      <c r="UNF29" s="19"/>
      <c r="UNG29" s="19"/>
      <c r="UNH29" s="19"/>
      <c r="UNI29" s="19"/>
      <c r="UNJ29" s="19"/>
      <c r="UNK29" s="19"/>
      <c r="UNL29" s="19"/>
      <c r="UNM29" s="19"/>
      <c r="UNN29" s="19"/>
      <c r="UNO29" s="19"/>
      <c r="UNP29" s="19"/>
      <c r="UNQ29" s="19"/>
      <c r="UNR29" s="19"/>
      <c r="UNS29" s="19"/>
      <c r="UNT29" s="19"/>
      <c r="UNU29" s="19"/>
      <c r="UNV29" s="19"/>
      <c r="UNW29" s="19"/>
      <c r="UNX29" s="19"/>
      <c r="UNY29" s="19"/>
      <c r="UNZ29" s="19"/>
      <c r="UOA29" s="19"/>
      <c r="UOB29" s="19"/>
      <c r="UOC29" s="19"/>
      <c r="UOD29" s="19"/>
      <c r="UOE29" s="19"/>
      <c r="UOF29" s="19"/>
      <c r="UOG29" s="19"/>
      <c r="UOH29" s="19"/>
      <c r="UOI29" s="19"/>
      <c r="UOJ29" s="19"/>
      <c r="UOK29" s="19"/>
      <c r="UOL29" s="19"/>
      <c r="UOM29" s="19"/>
      <c r="UON29" s="19"/>
      <c r="UOO29" s="19"/>
      <c r="UOP29" s="19"/>
      <c r="UOQ29" s="19"/>
      <c r="UOR29" s="19"/>
      <c r="UOS29" s="19"/>
      <c r="UOT29" s="19"/>
      <c r="UOU29" s="19"/>
      <c r="UOV29" s="19"/>
      <c r="UOW29" s="19"/>
      <c r="UOX29" s="19"/>
      <c r="UOY29" s="19"/>
      <c r="UOZ29" s="19"/>
      <c r="UPA29" s="19"/>
      <c r="UPB29" s="19"/>
      <c r="UPC29" s="19"/>
      <c r="UPD29" s="19"/>
      <c r="UPE29" s="19"/>
      <c r="UPF29" s="19"/>
      <c r="UPG29" s="19"/>
      <c r="UPH29" s="19"/>
      <c r="UPI29" s="19"/>
      <c r="UPJ29" s="19"/>
      <c r="UPK29" s="19"/>
      <c r="UPL29" s="19"/>
      <c r="UPM29" s="19"/>
      <c r="UPN29" s="19"/>
      <c r="UPO29" s="19"/>
      <c r="UPP29" s="19"/>
      <c r="UPQ29" s="19"/>
      <c r="UPR29" s="19"/>
      <c r="UPS29" s="19"/>
      <c r="UPT29" s="19"/>
      <c r="UPU29" s="19"/>
      <c r="UPV29" s="19"/>
      <c r="UPW29" s="19"/>
      <c r="UPX29" s="19"/>
      <c r="UPY29" s="19"/>
      <c r="UPZ29" s="19"/>
      <c r="UQA29" s="19"/>
      <c r="UQB29" s="19"/>
      <c r="UQC29" s="19"/>
      <c r="UQD29" s="19"/>
      <c r="UQE29" s="19"/>
      <c r="UQF29" s="19"/>
      <c r="UQG29" s="19"/>
      <c r="UQH29" s="19"/>
      <c r="UQI29" s="19"/>
      <c r="UQJ29" s="19"/>
      <c r="UQK29" s="19"/>
      <c r="UQL29" s="19"/>
      <c r="UQM29" s="19"/>
      <c r="UQN29" s="19"/>
      <c r="UQO29" s="19"/>
      <c r="UQP29" s="19"/>
      <c r="UQQ29" s="19"/>
      <c r="UQR29" s="19"/>
      <c r="UQS29" s="19"/>
      <c r="UQT29" s="19"/>
      <c r="UQU29" s="19"/>
      <c r="UQV29" s="19"/>
      <c r="UQW29" s="19"/>
      <c r="UQX29" s="19"/>
      <c r="UQY29" s="19"/>
      <c r="UQZ29" s="19"/>
      <c r="URA29" s="19"/>
      <c r="URB29" s="19"/>
      <c r="URC29" s="19"/>
      <c r="URD29" s="19"/>
      <c r="URE29" s="19"/>
      <c r="URF29" s="19"/>
      <c r="URG29" s="19"/>
      <c r="URH29" s="19"/>
      <c r="URI29" s="19"/>
      <c r="URJ29" s="19"/>
      <c r="URK29" s="19"/>
      <c r="URL29" s="19"/>
      <c r="URM29" s="19"/>
      <c r="URN29" s="19"/>
      <c r="URO29" s="19"/>
      <c r="URP29" s="19"/>
      <c r="URQ29" s="19"/>
      <c r="URR29" s="19"/>
      <c r="URS29" s="19"/>
      <c r="URT29" s="19"/>
      <c r="URU29" s="19"/>
      <c r="URV29" s="19"/>
      <c r="URW29" s="19"/>
      <c r="URX29" s="19"/>
      <c r="URY29" s="19"/>
      <c r="URZ29" s="19"/>
      <c r="USA29" s="19"/>
      <c r="USB29" s="19"/>
      <c r="USC29" s="19"/>
      <c r="USD29" s="19"/>
      <c r="USE29" s="19"/>
      <c r="USF29" s="19"/>
      <c r="USG29" s="19"/>
      <c r="USH29" s="19"/>
      <c r="USI29" s="19"/>
      <c r="USJ29" s="19"/>
      <c r="USK29" s="19"/>
      <c r="USL29" s="19"/>
      <c r="USM29" s="19"/>
      <c r="USN29" s="19"/>
      <c r="USO29" s="19"/>
      <c r="USP29" s="19"/>
      <c r="USQ29" s="19"/>
      <c r="USR29" s="19"/>
      <c r="USS29" s="19"/>
      <c r="UST29" s="19"/>
      <c r="USU29" s="19"/>
      <c r="USV29" s="19"/>
      <c r="USW29" s="19"/>
      <c r="USX29" s="19"/>
      <c r="USY29" s="19"/>
      <c r="USZ29" s="19"/>
      <c r="UTA29" s="19"/>
      <c r="UTB29" s="19"/>
      <c r="UTC29" s="19"/>
      <c r="UTD29" s="19"/>
      <c r="UTE29" s="19"/>
      <c r="UTF29" s="19"/>
      <c r="UTG29" s="19"/>
      <c r="UTH29" s="19"/>
      <c r="UTI29" s="19"/>
      <c r="UTJ29" s="19"/>
      <c r="UTK29" s="19"/>
      <c r="UTL29" s="19"/>
      <c r="UTM29" s="19"/>
      <c r="UTN29" s="19"/>
      <c r="UTO29" s="19"/>
      <c r="UTP29" s="19"/>
      <c r="UTQ29" s="19"/>
      <c r="UTR29" s="19"/>
      <c r="UTS29" s="19"/>
      <c r="UTT29" s="19"/>
      <c r="UTU29" s="19"/>
      <c r="UTV29" s="19"/>
      <c r="UTW29" s="19"/>
      <c r="UTX29" s="19"/>
      <c r="UTY29" s="19"/>
      <c r="UTZ29" s="19"/>
      <c r="UUA29" s="19"/>
      <c r="UUB29" s="19"/>
      <c r="UUC29" s="19"/>
      <c r="UUD29" s="19"/>
      <c r="UUE29" s="19"/>
      <c r="UUF29" s="19"/>
      <c r="UUG29" s="19"/>
      <c r="UUH29" s="19"/>
      <c r="UUI29" s="19"/>
      <c r="UUJ29" s="19"/>
      <c r="UUK29" s="19"/>
      <c r="UUL29" s="19"/>
      <c r="UUM29" s="19"/>
      <c r="UUN29" s="19"/>
      <c r="UUO29" s="19"/>
      <c r="UUP29" s="19"/>
      <c r="UUQ29" s="19"/>
      <c r="UUR29" s="19"/>
      <c r="UUS29" s="19"/>
      <c r="UUT29" s="19"/>
      <c r="UUU29" s="19"/>
      <c r="UUV29" s="19"/>
      <c r="UUW29" s="19"/>
      <c r="UUX29" s="19"/>
      <c r="UUY29" s="19"/>
      <c r="UUZ29" s="19"/>
      <c r="UVA29" s="19"/>
      <c r="UVB29" s="19"/>
      <c r="UVC29" s="19"/>
      <c r="UVD29" s="19"/>
      <c r="UVE29" s="19"/>
      <c r="UVF29" s="19"/>
      <c r="UVG29" s="19"/>
      <c r="UVH29" s="19"/>
      <c r="UVI29" s="19"/>
      <c r="UVJ29" s="19"/>
      <c r="UVK29" s="19"/>
      <c r="UVL29" s="19"/>
      <c r="UVM29" s="19"/>
      <c r="UVN29" s="19"/>
      <c r="UVO29" s="19"/>
      <c r="UVP29" s="19"/>
      <c r="UVQ29" s="19"/>
      <c r="UVR29" s="19"/>
      <c r="UVS29" s="19"/>
      <c r="UVT29" s="19"/>
      <c r="UVU29" s="19"/>
      <c r="UVV29" s="19"/>
      <c r="UVW29" s="19"/>
      <c r="UVX29" s="19"/>
      <c r="UVY29" s="19"/>
      <c r="UVZ29" s="19"/>
      <c r="UWA29" s="19"/>
      <c r="UWB29" s="19"/>
      <c r="UWC29" s="19"/>
      <c r="UWD29" s="19"/>
      <c r="UWE29" s="19"/>
      <c r="UWF29" s="19"/>
      <c r="UWG29" s="19"/>
      <c r="UWH29" s="19"/>
      <c r="UWI29" s="19"/>
      <c r="UWJ29" s="19"/>
      <c r="UWK29" s="19"/>
      <c r="UWL29" s="19"/>
      <c r="UWM29" s="19"/>
      <c r="UWN29" s="19"/>
      <c r="UWO29" s="19"/>
      <c r="UWP29" s="19"/>
      <c r="UWQ29" s="19"/>
      <c r="UWR29" s="19"/>
      <c r="UWS29" s="19"/>
      <c r="UWT29" s="19"/>
      <c r="UWU29" s="19"/>
      <c r="UWV29" s="19"/>
      <c r="UWW29" s="19"/>
      <c r="UWX29" s="19"/>
      <c r="UWY29" s="19"/>
      <c r="UWZ29" s="19"/>
      <c r="UXA29" s="19"/>
      <c r="UXB29" s="19"/>
      <c r="UXC29" s="19"/>
      <c r="UXD29" s="19"/>
      <c r="UXE29" s="19"/>
      <c r="UXF29" s="19"/>
      <c r="UXG29" s="19"/>
      <c r="UXH29" s="19"/>
      <c r="UXI29" s="19"/>
      <c r="UXJ29" s="19"/>
      <c r="UXK29" s="19"/>
      <c r="UXL29" s="19"/>
      <c r="UXM29" s="19"/>
      <c r="UXN29" s="19"/>
      <c r="UXO29" s="19"/>
      <c r="UXP29" s="19"/>
      <c r="UXQ29" s="19"/>
      <c r="UXR29" s="19"/>
      <c r="UXS29" s="19"/>
      <c r="UXT29" s="19"/>
      <c r="UXU29" s="19"/>
      <c r="UXV29" s="19"/>
      <c r="UXW29" s="19"/>
      <c r="UXX29" s="19"/>
      <c r="UXY29" s="19"/>
      <c r="UXZ29" s="19"/>
      <c r="UYA29" s="19"/>
      <c r="UYB29" s="19"/>
      <c r="UYC29" s="19"/>
      <c r="UYD29" s="19"/>
      <c r="UYE29" s="19"/>
      <c r="UYF29" s="19"/>
      <c r="UYG29" s="19"/>
      <c r="UYH29" s="19"/>
      <c r="UYI29" s="19"/>
      <c r="UYJ29" s="19"/>
      <c r="UYK29" s="19"/>
      <c r="UYL29" s="19"/>
      <c r="UYM29" s="19"/>
      <c r="UYN29" s="19"/>
      <c r="UYO29" s="19"/>
      <c r="UYP29" s="19"/>
      <c r="UYQ29" s="19"/>
      <c r="UYR29" s="19"/>
      <c r="UYS29" s="19"/>
      <c r="UYT29" s="19"/>
      <c r="UYU29" s="19"/>
      <c r="UYV29" s="19"/>
      <c r="UYW29" s="19"/>
      <c r="UYX29" s="19"/>
      <c r="UYY29" s="19"/>
      <c r="UYZ29" s="19"/>
      <c r="UZA29" s="19"/>
      <c r="UZB29" s="19"/>
      <c r="UZC29" s="19"/>
      <c r="UZD29" s="19"/>
      <c r="UZE29" s="19"/>
      <c r="UZF29" s="19"/>
      <c r="UZG29" s="19"/>
      <c r="UZH29" s="19"/>
      <c r="UZI29" s="19"/>
      <c r="UZJ29" s="19"/>
      <c r="UZK29" s="19"/>
      <c r="UZL29" s="19"/>
      <c r="UZM29" s="19"/>
      <c r="UZN29" s="19"/>
      <c r="UZO29" s="19"/>
      <c r="UZP29" s="19"/>
      <c r="UZQ29" s="19"/>
      <c r="UZR29" s="19"/>
      <c r="UZS29" s="19"/>
      <c r="UZT29" s="19"/>
      <c r="UZU29" s="19"/>
      <c r="UZV29" s="19"/>
      <c r="UZW29" s="19"/>
      <c r="UZX29" s="19"/>
      <c r="UZY29" s="19"/>
      <c r="UZZ29" s="19"/>
      <c r="VAA29" s="19"/>
      <c r="VAB29" s="19"/>
      <c r="VAC29" s="19"/>
      <c r="VAD29" s="19"/>
      <c r="VAE29" s="19"/>
      <c r="VAF29" s="19"/>
      <c r="VAG29" s="19"/>
      <c r="VAH29" s="19"/>
      <c r="VAI29" s="19"/>
      <c r="VAJ29" s="19"/>
      <c r="VAK29" s="19"/>
      <c r="VAL29" s="19"/>
      <c r="VAM29" s="19"/>
      <c r="VAN29" s="19"/>
      <c r="VAO29" s="19"/>
      <c r="VAP29" s="19"/>
      <c r="VAQ29" s="19"/>
      <c r="VAR29" s="19"/>
      <c r="VAS29" s="19"/>
      <c r="VAT29" s="19"/>
      <c r="VAU29" s="19"/>
      <c r="VAV29" s="19"/>
      <c r="VAW29" s="19"/>
      <c r="VAX29" s="19"/>
      <c r="VAY29" s="19"/>
      <c r="VAZ29" s="19"/>
      <c r="VBA29" s="19"/>
      <c r="VBB29" s="19"/>
      <c r="VBC29" s="19"/>
      <c r="VBD29" s="19"/>
      <c r="VBE29" s="19"/>
      <c r="VBF29" s="19"/>
      <c r="VBG29" s="19"/>
      <c r="VBH29" s="19"/>
      <c r="VBI29" s="19"/>
      <c r="VBJ29" s="19"/>
      <c r="VBK29" s="19"/>
      <c r="VBL29" s="19"/>
      <c r="VBM29" s="19"/>
      <c r="VBN29" s="19"/>
      <c r="VBO29" s="19"/>
      <c r="VBP29" s="19"/>
      <c r="VBQ29" s="19"/>
      <c r="VBR29" s="19"/>
      <c r="VBS29" s="19"/>
      <c r="VBT29" s="19"/>
      <c r="VBU29" s="19"/>
      <c r="VBV29" s="19"/>
      <c r="VBW29" s="19"/>
      <c r="VBX29" s="19"/>
      <c r="VBY29" s="19"/>
      <c r="VBZ29" s="19"/>
      <c r="VCA29" s="19"/>
      <c r="VCB29" s="19"/>
      <c r="VCC29" s="19"/>
      <c r="VCD29" s="19"/>
      <c r="VCE29" s="19"/>
      <c r="VCF29" s="19"/>
      <c r="VCG29" s="19"/>
      <c r="VCH29" s="19"/>
      <c r="VCI29" s="19"/>
      <c r="VCJ29" s="19"/>
      <c r="VCK29" s="19"/>
      <c r="VCL29" s="19"/>
      <c r="VCM29" s="19"/>
      <c r="VCN29" s="19"/>
      <c r="VCO29" s="19"/>
      <c r="VCP29" s="19"/>
      <c r="VCQ29" s="19"/>
      <c r="VCR29" s="19"/>
      <c r="VCS29" s="19"/>
      <c r="VCT29" s="19"/>
      <c r="VCU29" s="19"/>
      <c r="VCV29" s="19"/>
      <c r="VCW29" s="19"/>
      <c r="VCX29" s="19"/>
      <c r="VCY29" s="19"/>
      <c r="VCZ29" s="19"/>
      <c r="VDA29" s="19"/>
      <c r="VDB29" s="19"/>
      <c r="VDC29" s="19"/>
      <c r="VDD29" s="19"/>
      <c r="VDE29" s="19"/>
      <c r="VDF29" s="19"/>
      <c r="VDG29" s="19"/>
      <c r="VDH29" s="19"/>
      <c r="VDI29" s="19"/>
      <c r="VDJ29" s="19"/>
      <c r="VDK29" s="19"/>
      <c r="VDL29" s="19"/>
      <c r="VDM29" s="19"/>
      <c r="VDN29" s="19"/>
      <c r="VDO29" s="19"/>
      <c r="VDP29" s="19"/>
      <c r="VDQ29" s="19"/>
      <c r="VDR29" s="19"/>
      <c r="VDS29" s="19"/>
      <c r="VDT29" s="19"/>
      <c r="VDU29" s="19"/>
      <c r="VDV29" s="19"/>
      <c r="VDW29" s="19"/>
      <c r="VDX29" s="19"/>
      <c r="VDY29" s="19"/>
      <c r="VDZ29" s="19"/>
      <c r="VEA29" s="19"/>
      <c r="VEB29" s="19"/>
      <c r="VEC29" s="19"/>
      <c r="VED29" s="19"/>
      <c r="VEE29" s="19"/>
      <c r="VEF29" s="19"/>
      <c r="VEG29" s="19"/>
      <c r="VEH29" s="19"/>
      <c r="VEI29" s="19"/>
      <c r="VEJ29" s="19"/>
      <c r="VEK29" s="19"/>
      <c r="VEL29" s="19"/>
      <c r="VEM29" s="19"/>
      <c r="VEN29" s="19"/>
      <c r="VEO29" s="19"/>
      <c r="VEP29" s="19"/>
      <c r="VEQ29" s="19"/>
      <c r="VER29" s="19"/>
      <c r="VES29" s="19"/>
      <c r="VET29" s="19"/>
      <c r="VEU29" s="19"/>
      <c r="VEV29" s="19"/>
      <c r="VEW29" s="19"/>
      <c r="VEX29" s="19"/>
      <c r="VEY29" s="19"/>
      <c r="VEZ29" s="19"/>
      <c r="VFA29" s="19"/>
      <c r="VFB29" s="19"/>
      <c r="VFC29" s="19"/>
      <c r="VFD29" s="19"/>
      <c r="VFE29" s="19"/>
      <c r="VFF29" s="19"/>
      <c r="VFG29" s="19"/>
      <c r="VFH29" s="19"/>
      <c r="VFI29" s="19"/>
      <c r="VFJ29" s="19"/>
      <c r="VFK29" s="19"/>
      <c r="VFL29" s="19"/>
      <c r="VFM29" s="19"/>
      <c r="VFN29" s="19"/>
      <c r="VFO29" s="19"/>
      <c r="VFP29" s="19"/>
      <c r="VFQ29" s="19"/>
      <c r="VFR29" s="19"/>
      <c r="VFS29" s="19"/>
      <c r="VFT29" s="19"/>
      <c r="VFU29" s="19"/>
      <c r="VFV29" s="19"/>
      <c r="VFW29" s="19"/>
      <c r="VFX29" s="19"/>
      <c r="VFY29" s="19"/>
      <c r="VFZ29" s="19"/>
      <c r="VGA29" s="19"/>
      <c r="VGB29" s="19"/>
      <c r="VGC29" s="19"/>
      <c r="VGD29" s="19"/>
      <c r="VGE29" s="19"/>
      <c r="VGF29" s="19"/>
      <c r="VGG29" s="19"/>
      <c r="VGH29" s="19"/>
      <c r="VGI29" s="19"/>
      <c r="VGJ29" s="19"/>
      <c r="VGK29" s="19"/>
      <c r="VGL29" s="19"/>
      <c r="VGM29" s="19"/>
      <c r="VGN29" s="19"/>
      <c r="VGO29" s="19"/>
      <c r="VGP29" s="19"/>
      <c r="VGQ29" s="19"/>
      <c r="VGR29" s="19"/>
      <c r="VGS29" s="19"/>
      <c r="VGT29" s="19"/>
      <c r="VGU29" s="19"/>
      <c r="VGV29" s="19"/>
      <c r="VGW29" s="19"/>
      <c r="VGX29" s="19"/>
      <c r="VGY29" s="19"/>
      <c r="VGZ29" s="19"/>
      <c r="VHA29" s="19"/>
      <c r="VHB29" s="19"/>
      <c r="VHC29" s="19"/>
      <c r="VHD29" s="19"/>
      <c r="VHE29" s="19"/>
      <c r="VHF29" s="19"/>
      <c r="VHG29" s="19"/>
      <c r="VHH29" s="19"/>
      <c r="VHI29" s="19"/>
      <c r="VHJ29" s="19"/>
      <c r="VHK29" s="19"/>
      <c r="VHL29" s="19"/>
      <c r="VHM29" s="19"/>
      <c r="VHN29" s="19"/>
      <c r="VHO29" s="19"/>
      <c r="VHP29" s="19"/>
      <c r="VHQ29" s="19"/>
      <c r="VHR29" s="19"/>
      <c r="VHS29" s="19"/>
      <c r="VHT29" s="19"/>
      <c r="VHU29" s="19"/>
      <c r="VHV29" s="19"/>
      <c r="VHW29" s="19"/>
      <c r="VHX29" s="19"/>
      <c r="VHY29" s="19"/>
      <c r="VHZ29" s="19"/>
      <c r="VIA29" s="19"/>
      <c r="VIB29" s="19"/>
      <c r="VIC29" s="19"/>
      <c r="VID29" s="19"/>
      <c r="VIE29" s="19"/>
      <c r="VIF29" s="19"/>
      <c r="VIG29" s="19"/>
      <c r="VIH29" s="19"/>
      <c r="VII29" s="19"/>
      <c r="VIJ29" s="19"/>
      <c r="VIK29" s="19"/>
      <c r="VIL29" s="19"/>
      <c r="VIM29" s="19"/>
      <c r="VIN29" s="19"/>
      <c r="VIO29" s="19"/>
      <c r="VIP29" s="19"/>
      <c r="VIQ29" s="19"/>
      <c r="VIR29" s="19"/>
      <c r="VIS29" s="19"/>
      <c r="VIT29" s="19"/>
      <c r="VIU29" s="19"/>
      <c r="VIV29" s="19"/>
      <c r="VIW29" s="19"/>
      <c r="VIX29" s="19"/>
      <c r="VIY29" s="19"/>
      <c r="VIZ29" s="19"/>
      <c r="VJA29" s="19"/>
      <c r="VJB29" s="19"/>
      <c r="VJC29" s="19"/>
      <c r="VJD29" s="19"/>
      <c r="VJE29" s="19"/>
      <c r="VJF29" s="19"/>
      <c r="VJG29" s="19"/>
      <c r="VJH29" s="19"/>
      <c r="VJI29" s="19"/>
      <c r="VJJ29" s="19"/>
      <c r="VJK29" s="19"/>
      <c r="VJL29" s="19"/>
      <c r="VJM29" s="19"/>
      <c r="VJN29" s="19"/>
      <c r="VJO29" s="19"/>
      <c r="VJP29" s="19"/>
      <c r="VJQ29" s="19"/>
      <c r="VJR29" s="19"/>
      <c r="VJS29" s="19"/>
      <c r="VJT29" s="19"/>
      <c r="VJU29" s="19"/>
      <c r="VJV29" s="19"/>
      <c r="VJW29" s="19"/>
      <c r="VJX29" s="19"/>
      <c r="VJY29" s="19"/>
      <c r="VJZ29" s="19"/>
      <c r="VKA29" s="19"/>
      <c r="VKB29" s="19"/>
      <c r="VKC29" s="19"/>
      <c r="VKD29" s="19"/>
      <c r="VKE29" s="19"/>
      <c r="VKF29" s="19"/>
      <c r="VKG29" s="19"/>
      <c r="VKH29" s="19"/>
      <c r="VKI29" s="19"/>
      <c r="VKJ29" s="19"/>
      <c r="VKK29" s="19"/>
      <c r="VKL29" s="19"/>
      <c r="VKM29" s="19"/>
      <c r="VKN29" s="19"/>
      <c r="VKO29" s="19"/>
      <c r="VKP29" s="19"/>
      <c r="VKQ29" s="19"/>
      <c r="VKR29" s="19"/>
      <c r="VKS29" s="19"/>
      <c r="VKT29" s="19"/>
      <c r="VKU29" s="19"/>
      <c r="VKV29" s="19"/>
      <c r="VKW29" s="19"/>
      <c r="VKX29" s="19"/>
      <c r="VKY29" s="19"/>
      <c r="VKZ29" s="19"/>
      <c r="VLA29" s="19"/>
      <c r="VLB29" s="19"/>
      <c r="VLC29" s="19"/>
      <c r="VLD29" s="19"/>
      <c r="VLE29" s="19"/>
      <c r="VLF29" s="19"/>
      <c r="VLG29" s="19"/>
      <c r="VLH29" s="19"/>
      <c r="VLI29" s="19"/>
      <c r="VLJ29" s="19"/>
      <c r="VLK29" s="19"/>
      <c r="VLL29" s="19"/>
      <c r="VLM29" s="19"/>
      <c r="VLN29" s="19"/>
      <c r="VLO29" s="19"/>
      <c r="VLP29" s="19"/>
      <c r="VLQ29" s="19"/>
      <c r="VLR29" s="19"/>
      <c r="VLS29" s="19"/>
      <c r="VLT29" s="19"/>
      <c r="VLU29" s="19"/>
      <c r="VLV29" s="19"/>
      <c r="VLW29" s="19"/>
      <c r="VLX29" s="19"/>
      <c r="VLY29" s="19"/>
      <c r="VLZ29" s="19"/>
      <c r="VMA29" s="19"/>
      <c r="VMB29" s="19"/>
      <c r="VMC29" s="19"/>
      <c r="VMD29" s="19"/>
      <c r="VME29" s="19"/>
      <c r="VMF29" s="19"/>
      <c r="VMG29" s="19"/>
      <c r="VMH29" s="19"/>
      <c r="VMI29" s="19"/>
      <c r="VMJ29" s="19"/>
      <c r="VMK29" s="19"/>
      <c r="VML29" s="19"/>
      <c r="VMM29" s="19"/>
      <c r="VMN29" s="19"/>
      <c r="VMO29" s="19"/>
      <c r="VMP29" s="19"/>
      <c r="VMQ29" s="19"/>
      <c r="VMR29" s="19"/>
      <c r="VMS29" s="19"/>
      <c r="VMT29" s="19"/>
      <c r="VMU29" s="19"/>
      <c r="VMV29" s="19"/>
      <c r="VMW29" s="19"/>
      <c r="VMX29" s="19"/>
      <c r="VMY29" s="19"/>
      <c r="VMZ29" s="19"/>
      <c r="VNA29" s="19"/>
      <c r="VNB29" s="19"/>
      <c r="VNC29" s="19"/>
      <c r="VND29" s="19"/>
      <c r="VNE29" s="19"/>
      <c r="VNF29" s="19"/>
      <c r="VNG29" s="19"/>
      <c r="VNH29" s="19"/>
      <c r="VNI29" s="19"/>
      <c r="VNJ29" s="19"/>
      <c r="VNK29" s="19"/>
      <c r="VNL29" s="19"/>
      <c r="VNM29" s="19"/>
      <c r="VNN29" s="19"/>
      <c r="VNO29" s="19"/>
      <c r="VNP29" s="19"/>
      <c r="VNQ29" s="19"/>
      <c r="VNR29" s="19"/>
      <c r="VNS29" s="19"/>
      <c r="VNT29" s="19"/>
      <c r="VNU29" s="19"/>
      <c r="VNV29" s="19"/>
      <c r="VNW29" s="19"/>
      <c r="VNX29" s="19"/>
      <c r="VNY29" s="19"/>
      <c r="VNZ29" s="19"/>
      <c r="VOA29" s="19"/>
      <c r="VOB29" s="19"/>
      <c r="VOC29" s="19"/>
      <c r="VOD29" s="19"/>
      <c r="VOE29" s="19"/>
      <c r="VOF29" s="19"/>
      <c r="VOG29" s="19"/>
      <c r="VOH29" s="19"/>
      <c r="VOI29" s="19"/>
      <c r="VOJ29" s="19"/>
      <c r="VOK29" s="19"/>
      <c r="VOL29" s="19"/>
      <c r="VOM29" s="19"/>
      <c r="VON29" s="19"/>
      <c r="VOO29" s="19"/>
      <c r="VOP29" s="19"/>
      <c r="VOQ29" s="19"/>
      <c r="VOR29" s="19"/>
      <c r="VOS29" s="19"/>
      <c r="VOT29" s="19"/>
      <c r="VOU29" s="19"/>
      <c r="VOV29" s="19"/>
      <c r="VOW29" s="19"/>
      <c r="VOX29" s="19"/>
      <c r="VOY29" s="19"/>
      <c r="VOZ29" s="19"/>
      <c r="VPA29" s="19"/>
      <c r="VPB29" s="19"/>
      <c r="VPC29" s="19"/>
      <c r="VPD29" s="19"/>
      <c r="VPE29" s="19"/>
      <c r="VPF29" s="19"/>
      <c r="VPG29" s="19"/>
      <c r="VPH29" s="19"/>
      <c r="VPI29" s="19"/>
      <c r="VPJ29" s="19"/>
      <c r="VPK29" s="19"/>
      <c r="VPL29" s="19"/>
      <c r="VPM29" s="19"/>
      <c r="VPN29" s="19"/>
      <c r="VPO29" s="19"/>
      <c r="VPP29" s="19"/>
      <c r="VPQ29" s="19"/>
      <c r="VPR29" s="19"/>
      <c r="VPS29" s="19"/>
      <c r="VPT29" s="19"/>
      <c r="VPU29" s="19"/>
      <c r="VPV29" s="19"/>
      <c r="VPW29" s="19"/>
      <c r="VPX29" s="19"/>
      <c r="VPY29" s="19"/>
      <c r="VPZ29" s="19"/>
      <c r="VQA29" s="19"/>
      <c r="VQB29" s="19"/>
      <c r="VQC29" s="19"/>
      <c r="VQD29" s="19"/>
      <c r="VQE29" s="19"/>
      <c r="VQF29" s="19"/>
      <c r="VQG29" s="19"/>
      <c r="VQH29" s="19"/>
      <c r="VQI29" s="19"/>
      <c r="VQJ29" s="19"/>
      <c r="VQK29" s="19"/>
      <c r="VQL29" s="19"/>
      <c r="VQM29" s="19"/>
      <c r="VQN29" s="19"/>
      <c r="VQO29" s="19"/>
      <c r="VQP29" s="19"/>
      <c r="VQQ29" s="19"/>
      <c r="VQR29" s="19"/>
      <c r="VQS29" s="19"/>
      <c r="VQT29" s="19"/>
      <c r="VQU29" s="19"/>
      <c r="VQV29" s="19"/>
      <c r="VQW29" s="19"/>
      <c r="VQX29" s="19"/>
      <c r="VQY29" s="19"/>
      <c r="VQZ29" s="19"/>
      <c r="VRA29" s="19"/>
      <c r="VRB29" s="19"/>
      <c r="VRC29" s="19"/>
      <c r="VRD29" s="19"/>
      <c r="VRE29" s="19"/>
      <c r="VRF29" s="19"/>
      <c r="VRG29" s="19"/>
      <c r="VRH29" s="19"/>
      <c r="VRI29" s="19"/>
      <c r="VRJ29" s="19"/>
      <c r="VRK29" s="19"/>
      <c r="VRL29" s="19"/>
      <c r="VRM29" s="19"/>
      <c r="VRN29" s="19"/>
      <c r="VRO29" s="19"/>
      <c r="VRP29" s="19"/>
      <c r="VRQ29" s="19"/>
      <c r="VRR29" s="19"/>
      <c r="VRS29" s="19"/>
      <c r="VRT29" s="19"/>
      <c r="VRU29" s="19"/>
      <c r="VRV29" s="19"/>
      <c r="VRW29" s="19"/>
      <c r="VRX29" s="19"/>
      <c r="VRY29" s="19"/>
      <c r="VRZ29" s="19"/>
      <c r="VSA29" s="19"/>
      <c r="VSB29" s="19"/>
      <c r="VSC29" s="19"/>
      <c r="VSD29" s="19"/>
      <c r="VSE29" s="19"/>
      <c r="VSF29" s="19"/>
      <c r="VSG29" s="19"/>
      <c r="VSH29" s="19"/>
      <c r="VSI29" s="19"/>
      <c r="VSJ29" s="19"/>
      <c r="VSK29" s="19"/>
      <c r="VSL29" s="19"/>
      <c r="VSM29" s="19"/>
      <c r="VSN29" s="19"/>
      <c r="VSO29" s="19"/>
      <c r="VSP29" s="19"/>
      <c r="VSQ29" s="19"/>
      <c r="VSR29" s="19"/>
      <c r="VSS29" s="19"/>
      <c r="VST29" s="19"/>
      <c r="VSU29" s="19"/>
      <c r="VSV29" s="19"/>
      <c r="VSW29" s="19"/>
      <c r="VSX29" s="19"/>
      <c r="VSY29" s="19"/>
      <c r="VSZ29" s="19"/>
      <c r="VTA29" s="19"/>
      <c r="VTB29" s="19"/>
      <c r="VTC29" s="19"/>
      <c r="VTD29" s="19"/>
      <c r="VTE29" s="19"/>
      <c r="VTF29" s="19"/>
      <c r="VTG29" s="19"/>
      <c r="VTH29" s="19"/>
      <c r="VTI29" s="19"/>
      <c r="VTJ29" s="19"/>
      <c r="VTK29" s="19"/>
      <c r="VTL29" s="19"/>
      <c r="VTM29" s="19"/>
      <c r="VTN29" s="19"/>
      <c r="VTO29" s="19"/>
      <c r="VTP29" s="19"/>
      <c r="VTQ29" s="19"/>
      <c r="VTR29" s="19"/>
      <c r="VTS29" s="19"/>
      <c r="VTT29" s="19"/>
      <c r="VTU29" s="19"/>
      <c r="VTV29" s="19"/>
      <c r="VTW29" s="19"/>
      <c r="VTX29" s="19"/>
      <c r="VTY29" s="19"/>
      <c r="VTZ29" s="19"/>
      <c r="VUA29" s="19"/>
      <c r="VUB29" s="19"/>
      <c r="VUC29" s="19"/>
      <c r="VUD29" s="19"/>
      <c r="VUE29" s="19"/>
      <c r="VUF29" s="19"/>
      <c r="VUG29" s="19"/>
      <c r="VUH29" s="19"/>
      <c r="VUI29" s="19"/>
      <c r="VUJ29" s="19"/>
      <c r="VUK29" s="19"/>
      <c r="VUL29" s="19"/>
      <c r="VUM29" s="19"/>
      <c r="VUN29" s="19"/>
      <c r="VUO29" s="19"/>
      <c r="VUP29" s="19"/>
      <c r="VUQ29" s="19"/>
      <c r="VUR29" s="19"/>
      <c r="VUS29" s="19"/>
      <c r="VUT29" s="19"/>
      <c r="VUU29" s="19"/>
      <c r="VUV29" s="19"/>
      <c r="VUW29" s="19"/>
      <c r="VUX29" s="19"/>
      <c r="VUY29" s="19"/>
      <c r="VUZ29" s="19"/>
      <c r="VVA29" s="19"/>
      <c r="VVB29" s="19"/>
      <c r="VVC29" s="19"/>
      <c r="VVD29" s="19"/>
      <c r="VVE29" s="19"/>
      <c r="VVF29" s="19"/>
      <c r="VVG29" s="19"/>
      <c r="VVH29" s="19"/>
      <c r="VVI29" s="19"/>
      <c r="VVJ29" s="19"/>
      <c r="VVK29" s="19"/>
      <c r="VVL29" s="19"/>
      <c r="VVM29" s="19"/>
      <c r="VVN29" s="19"/>
      <c r="VVO29" s="19"/>
      <c r="VVP29" s="19"/>
      <c r="VVQ29" s="19"/>
      <c r="VVR29" s="19"/>
      <c r="VVS29" s="19"/>
      <c r="VVT29" s="19"/>
      <c r="VVU29" s="19"/>
      <c r="VVV29" s="19"/>
      <c r="VVW29" s="19"/>
      <c r="VVX29" s="19"/>
      <c r="VVY29" s="19"/>
      <c r="VVZ29" s="19"/>
      <c r="VWA29" s="19"/>
      <c r="VWB29" s="19"/>
      <c r="VWC29" s="19"/>
      <c r="VWD29" s="19"/>
      <c r="VWE29" s="19"/>
      <c r="VWF29" s="19"/>
      <c r="VWG29" s="19"/>
      <c r="VWH29" s="19"/>
      <c r="VWI29" s="19"/>
      <c r="VWJ29" s="19"/>
      <c r="VWK29" s="19"/>
      <c r="VWL29" s="19"/>
      <c r="VWM29" s="19"/>
      <c r="VWN29" s="19"/>
      <c r="VWO29" s="19"/>
      <c r="VWP29" s="19"/>
      <c r="VWQ29" s="19"/>
      <c r="VWR29" s="19"/>
      <c r="VWS29" s="19"/>
      <c r="VWT29" s="19"/>
      <c r="VWU29" s="19"/>
      <c r="VWV29" s="19"/>
      <c r="VWW29" s="19"/>
      <c r="VWX29" s="19"/>
      <c r="VWY29" s="19"/>
      <c r="VWZ29" s="19"/>
      <c r="VXA29" s="19"/>
      <c r="VXB29" s="19"/>
      <c r="VXC29" s="19"/>
      <c r="VXD29" s="19"/>
      <c r="VXE29" s="19"/>
      <c r="VXF29" s="19"/>
      <c r="VXG29" s="19"/>
      <c r="VXH29" s="19"/>
      <c r="VXI29" s="19"/>
      <c r="VXJ29" s="19"/>
      <c r="VXK29" s="19"/>
      <c r="VXL29" s="19"/>
      <c r="VXM29" s="19"/>
      <c r="VXN29" s="19"/>
      <c r="VXO29" s="19"/>
      <c r="VXP29" s="19"/>
      <c r="VXQ29" s="19"/>
      <c r="VXR29" s="19"/>
      <c r="VXS29" s="19"/>
      <c r="VXT29" s="19"/>
      <c r="VXU29" s="19"/>
      <c r="VXV29" s="19"/>
      <c r="VXW29" s="19"/>
      <c r="VXX29" s="19"/>
      <c r="VXY29" s="19"/>
      <c r="VXZ29" s="19"/>
      <c r="VYA29" s="19"/>
      <c r="VYB29" s="19"/>
      <c r="VYC29" s="19"/>
      <c r="VYD29" s="19"/>
      <c r="VYE29" s="19"/>
      <c r="VYF29" s="19"/>
      <c r="VYG29" s="19"/>
      <c r="VYH29" s="19"/>
      <c r="VYI29" s="19"/>
      <c r="VYJ29" s="19"/>
      <c r="VYK29" s="19"/>
      <c r="VYL29" s="19"/>
      <c r="VYM29" s="19"/>
      <c r="VYN29" s="19"/>
      <c r="VYO29" s="19"/>
      <c r="VYP29" s="19"/>
      <c r="VYQ29" s="19"/>
      <c r="VYR29" s="19"/>
      <c r="VYS29" s="19"/>
      <c r="VYT29" s="19"/>
      <c r="VYU29" s="19"/>
      <c r="VYV29" s="19"/>
      <c r="VYW29" s="19"/>
      <c r="VYX29" s="19"/>
      <c r="VYY29" s="19"/>
      <c r="VYZ29" s="19"/>
      <c r="VZA29" s="19"/>
      <c r="VZB29" s="19"/>
      <c r="VZC29" s="19"/>
      <c r="VZD29" s="19"/>
      <c r="VZE29" s="19"/>
      <c r="VZF29" s="19"/>
      <c r="VZG29" s="19"/>
      <c r="VZH29" s="19"/>
      <c r="VZI29" s="19"/>
      <c r="VZJ29" s="19"/>
      <c r="VZK29" s="19"/>
      <c r="VZL29" s="19"/>
      <c r="VZM29" s="19"/>
      <c r="VZN29" s="19"/>
      <c r="VZO29" s="19"/>
      <c r="VZP29" s="19"/>
      <c r="VZQ29" s="19"/>
      <c r="VZR29" s="19"/>
      <c r="VZS29" s="19"/>
      <c r="VZT29" s="19"/>
      <c r="VZU29" s="19"/>
      <c r="VZV29" s="19"/>
      <c r="VZW29" s="19"/>
      <c r="VZX29" s="19"/>
      <c r="VZY29" s="19"/>
      <c r="VZZ29" s="19"/>
      <c r="WAA29" s="19"/>
      <c r="WAB29" s="19"/>
      <c r="WAC29" s="19"/>
      <c r="WAD29" s="19"/>
      <c r="WAE29" s="19"/>
      <c r="WAF29" s="19"/>
      <c r="WAG29" s="19"/>
      <c r="WAH29" s="19"/>
      <c r="WAI29" s="19"/>
      <c r="WAJ29" s="19"/>
      <c r="WAK29" s="19"/>
      <c r="WAL29" s="19"/>
      <c r="WAM29" s="19"/>
      <c r="WAN29" s="19"/>
      <c r="WAO29" s="19"/>
      <c r="WAP29" s="19"/>
      <c r="WAQ29" s="19"/>
      <c r="WAR29" s="19"/>
      <c r="WAS29" s="19"/>
      <c r="WAT29" s="19"/>
      <c r="WAU29" s="19"/>
      <c r="WAV29" s="19"/>
      <c r="WAW29" s="19"/>
      <c r="WAX29" s="19"/>
      <c r="WAY29" s="19"/>
      <c r="WAZ29" s="19"/>
      <c r="WBA29" s="19"/>
      <c r="WBB29" s="19"/>
      <c r="WBC29" s="19"/>
      <c r="WBD29" s="19"/>
      <c r="WBE29" s="19"/>
      <c r="WBF29" s="19"/>
      <c r="WBG29" s="19"/>
      <c r="WBH29" s="19"/>
      <c r="WBI29" s="19"/>
      <c r="WBJ29" s="19"/>
      <c r="WBK29" s="19"/>
      <c r="WBL29" s="19"/>
      <c r="WBM29" s="19"/>
      <c r="WBN29" s="19"/>
      <c r="WBO29" s="19"/>
      <c r="WBP29" s="19"/>
      <c r="WBQ29" s="19"/>
      <c r="WBR29" s="19"/>
      <c r="WBS29" s="19"/>
      <c r="WBT29" s="19"/>
      <c r="WBU29" s="19"/>
      <c r="WBV29" s="19"/>
      <c r="WBW29" s="19"/>
      <c r="WBX29" s="19"/>
      <c r="WBY29" s="19"/>
      <c r="WBZ29" s="19"/>
      <c r="WCA29" s="19"/>
      <c r="WCB29" s="19"/>
      <c r="WCC29" s="19"/>
      <c r="WCD29" s="19"/>
      <c r="WCE29" s="19"/>
      <c r="WCF29" s="19"/>
      <c r="WCG29" s="19"/>
      <c r="WCH29" s="19"/>
      <c r="WCI29" s="19"/>
      <c r="WCJ29" s="19"/>
      <c r="WCK29" s="19"/>
      <c r="WCL29" s="19"/>
      <c r="WCM29" s="19"/>
      <c r="WCN29" s="19"/>
      <c r="WCO29" s="19"/>
      <c r="WCP29" s="19"/>
      <c r="WCQ29" s="19"/>
      <c r="WCR29" s="19"/>
      <c r="WCS29" s="19"/>
      <c r="WCT29" s="19"/>
      <c r="WCU29" s="19"/>
      <c r="WCV29" s="19"/>
      <c r="WCW29" s="19"/>
      <c r="WCX29" s="19"/>
      <c r="WCY29" s="19"/>
      <c r="WCZ29" s="19"/>
      <c r="WDA29" s="19"/>
      <c r="WDB29" s="19"/>
      <c r="WDC29" s="19"/>
      <c r="WDD29" s="19"/>
      <c r="WDE29" s="19"/>
      <c r="WDF29" s="19"/>
      <c r="WDG29" s="19"/>
      <c r="WDH29" s="19"/>
      <c r="WDI29" s="19"/>
      <c r="WDJ29" s="19"/>
      <c r="WDK29" s="19"/>
      <c r="WDL29" s="19"/>
      <c r="WDM29" s="19"/>
      <c r="WDN29" s="19"/>
      <c r="WDO29" s="19"/>
      <c r="WDP29" s="19"/>
      <c r="WDQ29" s="19"/>
      <c r="WDR29" s="19"/>
      <c r="WDS29" s="19"/>
      <c r="WDT29" s="19"/>
      <c r="WDU29" s="19"/>
      <c r="WDV29" s="19"/>
      <c r="WDW29" s="19"/>
      <c r="WDX29" s="19"/>
      <c r="WDY29" s="19"/>
      <c r="WDZ29" s="19"/>
      <c r="WEA29" s="19"/>
      <c r="WEB29" s="19"/>
      <c r="WEC29" s="19"/>
      <c r="WED29" s="19"/>
      <c r="WEE29" s="19"/>
      <c r="WEF29" s="19"/>
      <c r="WEG29" s="19"/>
      <c r="WEH29" s="19"/>
      <c r="WEI29" s="19"/>
      <c r="WEJ29" s="19"/>
      <c r="WEK29" s="19"/>
      <c r="WEL29" s="19"/>
      <c r="WEM29" s="19"/>
      <c r="WEN29" s="19"/>
      <c r="WEO29" s="19"/>
      <c r="WEP29" s="19"/>
      <c r="WEQ29" s="19"/>
      <c r="WER29" s="19"/>
      <c r="WES29" s="19"/>
      <c r="WET29" s="19"/>
      <c r="WEU29" s="19"/>
      <c r="WEV29" s="19"/>
      <c r="WEW29" s="19"/>
      <c r="WEX29" s="19"/>
      <c r="WEY29" s="19"/>
      <c r="WEZ29" s="19"/>
      <c r="WFA29" s="19"/>
      <c r="WFB29" s="19"/>
      <c r="WFC29" s="19"/>
      <c r="WFD29" s="19"/>
      <c r="WFE29" s="19"/>
      <c r="WFF29" s="19"/>
      <c r="WFG29" s="19"/>
      <c r="WFH29" s="19"/>
      <c r="WFI29" s="19"/>
      <c r="WFJ29" s="19"/>
      <c r="WFK29" s="19"/>
      <c r="WFL29" s="19"/>
      <c r="WFM29" s="19"/>
      <c r="WFN29" s="19"/>
      <c r="WFO29" s="19"/>
      <c r="WFP29" s="19"/>
      <c r="WFQ29" s="19"/>
      <c r="WFR29" s="19"/>
      <c r="WFS29" s="19"/>
      <c r="WFT29" s="19"/>
      <c r="WFU29" s="19"/>
      <c r="WFV29" s="19"/>
      <c r="WFW29" s="19"/>
      <c r="WFX29" s="19"/>
      <c r="WFY29" s="19"/>
      <c r="WFZ29" s="19"/>
      <c r="WGA29" s="19"/>
      <c r="WGB29" s="19"/>
      <c r="WGC29" s="19"/>
      <c r="WGD29" s="19"/>
      <c r="WGE29" s="19"/>
      <c r="WGF29" s="19"/>
      <c r="WGG29" s="19"/>
      <c r="WGH29" s="19"/>
      <c r="WGI29" s="19"/>
      <c r="WGJ29" s="19"/>
      <c r="WGK29" s="19"/>
      <c r="WGL29" s="19"/>
      <c r="WGM29" s="19"/>
      <c r="WGN29" s="19"/>
      <c r="WGO29" s="19"/>
      <c r="WGP29" s="19"/>
      <c r="WGQ29" s="19"/>
      <c r="WGR29" s="19"/>
      <c r="WGS29" s="19"/>
      <c r="WGT29" s="19"/>
      <c r="WGU29" s="19"/>
      <c r="WGV29" s="19"/>
      <c r="WGW29" s="19"/>
      <c r="WGX29" s="19"/>
      <c r="WGY29" s="19"/>
      <c r="WGZ29" s="19"/>
      <c r="WHA29" s="19"/>
      <c r="WHB29" s="19"/>
      <c r="WHC29" s="19"/>
      <c r="WHD29" s="19"/>
      <c r="WHE29" s="19"/>
      <c r="WHF29" s="19"/>
      <c r="WHG29" s="19"/>
      <c r="WHH29" s="19"/>
      <c r="WHI29" s="19"/>
      <c r="WHJ29" s="19"/>
      <c r="WHK29" s="19"/>
      <c r="WHL29" s="19"/>
      <c r="WHM29" s="19"/>
      <c r="WHN29" s="19"/>
      <c r="WHO29" s="19"/>
      <c r="WHP29" s="19"/>
      <c r="WHQ29" s="19"/>
      <c r="WHR29" s="19"/>
      <c r="WHS29" s="19"/>
      <c r="WHT29" s="19"/>
      <c r="WHU29" s="19"/>
      <c r="WHV29" s="19"/>
      <c r="WHW29" s="19"/>
      <c r="WHX29" s="19"/>
      <c r="WHY29" s="19"/>
      <c r="WHZ29" s="19"/>
      <c r="WIA29" s="19"/>
      <c r="WIB29" s="19"/>
      <c r="WIC29" s="19"/>
      <c r="WID29" s="19"/>
      <c r="WIE29" s="19"/>
      <c r="WIF29" s="19"/>
      <c r="WIG29" s="19"/>
      <c r="WIH29" s="19"/>
      <c r="WII29" s="19"/>
      <c r="WIJ29" s="19"/>
      <c r="WIK29" s="19"/>
      <c r="WIL29" s="19"/>
      <c r="WIM29" s="19"/>
      <c r="WIN29" s="19"/>
      <c r="WIO29" s="19"/>
      <c r="WIP29" s="19"/>
      <c r="WIQ29" s="19"/>
      <c r="WIR29" s="19"/>
      <c r="WIS29" s="19"/>
      <c r="WIT29" s="19"/>
      <c r="WIU29" s="19"/>
      <c r="WIV29" s="19"/>
      <c r="WIW29" s="19"/>
      <c r="WIX29" s="19"/>
      <c r="WIY29" s="19"/>
      <c r="WIZ29" s="19"/>
      <c r="WJA29" s="19"/>
      <c r="WJB29" s="19"/>
      <c r="WJC29" s="19"/>
      <c r="WJD29" s="19"/>
      <c r="WJE29" s="19"/>
      <c r="WJF29" s="19"/>
      <c r="WJG29" s="19"/>
      <c r="WJH29" s="19"/>
      <c r="WJI29" s="19"/>
      <c r="WJJ29" s="19"/>
      <c r="WJK29" s="19"/>
      <c r="WJL29" s="19"/>
      <c r="WJM29" s="19"/>
      <c r="WJN29" s="19"/>
      <c r="WJO29" s="19"/>
      <c r="WJP29" s="19"/>
      <c r="WJQ29" s="19"/>
      <c r="WJR29" s="19"/>
      <c r="WJS29" s="19"/>
      <c r="WJT29" s="19"/>
      <c r="WJU29" s="19"/>
      <c r="WJV29" s="19"/>
      <c r="WJW29" s="19"/>
      <c r="WJX29" s="19"/>
      <c r="WJY29" s="19"/>
      <c r="WJZ29" s="19"/>
      <c r="WKA29" s="19"/>
      <c r="WKB29" s="19"/>
      <c r="WKC29" s="19"/>
      <c r="WKD29" s="19"/>
      <c r="WKE29" s="19"/>
      <c r="WKF29" s="19"/>
      <c r="WKG29" s="19"/>
      <c r="WKH29" s="19"/>
      <c r="WKI29" s="19"/>
      <c r="WKJ29" s="19"/>
      <c r="WKK29" s="19"/>
      <c r="WKL29" s="19"/>
      <c r="WKM29" s="19"/>
      <c r="WKN29" s="19"/>
      <c r="WKO29" s="19"/>
      <c r="WKP29" s="19"/>
      <c r="WKQ29" s="19"/>
      <c r="WKR29" s="19"/>
      <c r="WKS29" s="19"/>
      <c r="WKT29" s="19"/>
      <c r="WKU29" s="19"/>
      <c r="WKV29" s="19"/>
      <c r="WKW29" s="19"/>
      <c r="WKX29" s="19"/>
      <c r="WKY29" s="19"/>
      <c r="WKZ29" s="19"/>
      <c r="WLA29" s="19"/>
      <c r="WLB29" s="19"/>
      <c r="WLC29" s="19"/>
      <c r="WLD29" s="19"/>
      <c r="WLE29" s="19"/>
      <c r="WLF29" s="19"/>
      <c r="WLG29" s="19"/>
      <c r="WLH29" s="19"/>
      <c r="WLI29" s="19"/>
      <c r="WLJ29" s="19"/>
      <c r="WLK29" s="19"/>
      <c r="WLL29" s="19"/>
      <c r="WLM29" s="19"/>
      <c r="WLN29" s="19"/>
      <c r="WLO29" s="19"/>
      <c r="WLP29" s="19"/>
      <c r="WLQ29" s="19"/>
      <c r="WLR29" s="19"/>
      <c r="WLS29" s="19"/>
      <c r="WLT29" s="19"/>
      <c r="WLU29" s="19"/>
      <c r="WLV29" s="19"/>
      <c r="WLW29" s="19"/>
      <c r="WLX29" s="19"/>
      <c r="WLY29" s="19"/>
      <c r="WLZ29" s="19"/>
      <c r="WMA29" s="19"/>
      <c r="WMB29" s="19"/>
      <c r="WMC29" s="19"/>
      <c r="WMD29" s="19"/>
      <c r="WME29" s="19"/>
      <c r="WMF29" s="19"/>
      <c r="WMG29" s="19"/>
      <c r="WMH29" s="19"/>
      <c r="WMI29" s="19"/>
      <c r="WMJ29" s="19"/>
      <c r="WMK29" s="19"/>
      <c r="WML29" s="19"/>
      <c r="WMM29" s="19"/>
      <c r="WMN29" s="19"/>
      <c r="WMO29" s="19"/>
      <c r="WMP29" s="19"/>
      <c r="WMQ29" s="19"/>
      <c r="WMR29" s="19"/>
      <c r="WMS29" s="19"/>
      <c r="WMT29" s="19"/>
      <c r="WMU29" s="19"/>
      <c r="WMV29" s="19"/>
      <c r="WMW29" s="19"/>
      <c r="WMX29" s="19"/>
      <c r="WMY29" s="19"/>
      <c r="WMZ29" s="19"/>
      <c r="WNA29" s="19"/>
      <c r="WNB29" s="19"/>
      <c r="WNC29" s="19"/>
      <c r="WND29" s="19"/>
      <c r="WNE29" s="19"/>
      <c r="WNF29" s="19"/>
      <c r="WNG29" s="19"/>
      <c r="WNH29" s="19"/>
      <c r="WNI29" s="19"/>
      <c r="WNJ29" s="19"/>
      <c r="WNK29" s="19"/>
      <c r="WNL29" s="19"/>
      <c r="WNM29" s="19"/>
      <c r="WNN29" s="19"/>
      <c r="WNO29" s="19"/>
      <c r="WNP29" s="19"/>
      <c r="WNQ29" s="19"/>
      <c r="WNR29" s="19"/>
      <c r="WNS29" s="19"/>
      <c r="WNT29" s="19"/>
      <c r="WNU29" s="19"/>
      <c r="WNV29" s="19"/>
      <c r="WNW29" s="19"/>
      <c r="WNX29" s="19"/>
      <c r="WNY29" s="19"/>
      <c r="WNZ29" s="19"/>
      <c r="WOA29" s="19"/>
      <c r="WOB29" s="19"/>
      <c r="WOC29" s="19"/>
      <c r="WOD29" s="19"/>
      <c r="WOE29" s="19"/>
      <c r="WOF29" s="19"/>
      <c r="WOG29" s="19"/>
      <c r="WOH29" s="19"/>
      <c r="WOI29" s="19"/>
      <c r="WOJ29" s="19"/>
      <c r="WOK29" s="19"/>
      <c r="WOL29" s="19"/>
      <c r="WOM29" s="19"/>
      <c r="WON29" s="19"/>
      <c r="WOO29" s="19"/>
      <c r="WOP29" s="19"/>
      <c r="WOQ29" s="19"/>
      <c r="WOR29" s="19"/>
      <c r="WOS29" s="19"/>
      <c r="WOT29" s="19"/>
      <c r="WOU29" s="19"/>
      <c r="WOV29" s="19"/>
      <c r="WOW29" s="19"/>
      <c r="WOX29" s="19"/>
      <c r="WOY29" s="19"/>
      <c r="WOZ29" s="19"/>
      <c r="WPA29" s="19"/>
      <c r="WPB29" s="19"/>
      <c r="WPC29" s="19"/>
      <c r="WPD29" s="19"/>
      <c r="WPE29" s="19"/>
      <c r="WPF29" s="19"/>
      <c r="WPG29" s="19"/>
      <c r="WPH29" s="19"/>
      <c r="WPI29" s="19"/>
      <c r="WPJ29" s="19"/>
      <c r="WPK29" s="19"/>
      <c r="WPL29" s="19"/>
      <c r="WPM29" s="19"/>
      <c r="WPN29" s="19"/>
      <c r="WPO29" s="19"/>
      <c r="WPP29" s="19"/>
      <c r="WPQ29" s="19"/>
      <c r="WPR29" s="19"/>
      <c r="WPS29" s="19"/>
      <c r="WPT29" s="19"/>
      <c r="WPU29" s="19"/>
      <c r="WPV29" s="19"/>
      <c r="WPW29" s="19"/>
      <c r="WPX29" s="19"/>
      <c r="WPY29" s="19"/>
      <c r="WPZ29" s="19"/>
      <c r="WQA29" s="19"/>
      <c r="WQB29" s="19"/>
      <c r="WQC29" s="19"/>
      <c r="WQD29" s="19"/>
      <c r="WQE29" s="19"/>
      <c r="WQF29" s="19"/>
      <c r="WQG29" s="19"/>
      <c r="WQH29" s="19"/>
      <c r="WQI29" s="19"/>
      <c r="WQJ29" s="19"/>
      <c r="WQK29" s="19"/>
      <c r="WQL29" s="19"/>
      <c r="WQM29" s="19"/>
      <c r="WQN29" s="19"/>
      <c r="WQO29" s="19"/>
      <c r="WQP29" s="19"/>
      <c r="WQQ29" s="19"/>
      <c r="WQR29" s="19"/>
      <c r="WQS29" s="19"/>
      <c r="WQT29" s="19"/>
      <c r="WQU29" s="19"/>
      <c r="WQV29" s="19"/>
      <c r="WQW29" s="19"/>
      <c r="WQX29" s="19"/>
      <c r="WQY29" s="19"/>
      <c r="WQZ29" s="19"/>
      <c r="WRA29" s="19"/>
      <c r="WRB29" s="19"/>
      <c r="WRC29" s="19"/>
      <c r="WRD29" s="19"/>
      <c r="WRE29" s="19"/>
      <c r="WRF29" s="19"/>
      <c r="WRG29" s="19"/>
      <c r="WRH29" s="19"/>
      <c r="WRI29" s="19"/>
      <c r="WRJ29" s="19"/>
      <c r="WRK29" s="19"/>
      <c r="WRL29" s="19"/>
      <c r="WRM29" s="19"/>
      <c r="WRN29" s="19"/>
      <c r="WRO29" s="19"/>
      <c r="WRP29" s="19"/>
      <c r="WRQ29" s="19"/>
      <c r="WRR29" s="19"/>
      <c r="WRS29" s="19"/>
      <c r="WRT29" s="19"/>
      <c r="WRU29" s="19"/>
      <c r="WRV29" s="19"/>
      <c r="WRW29" s="19"/>
      <c r="WRX29" s="19"/>
      <c r="WRY29" s="19"/>
      <c r="WRZ29" s="19"/>
      <c r="WSA29" s="19"/>
      <c r="WSB29" s="19"/>
      <c r="WSC29" s="19"/>
      <c r="WSD29" s="19"/>
      <c r="WSE29" s="19"/>
      <c r="WSF29" s="19"/>
      <c r="WSG29" s="19"/>
      <c r="WSH29" s="19"/>
      <c r="WSI29" s="19"/>
      <c r="WSJ29" s="19"/>
      <c r="WSK29" s="19"/>
      <c r="WSL29" s="19"/>
      <c r="WSM29" s="19"/>
      <c r="WSN29" s="19"/>
      <c r="WSO29" s="19"/>
      <c r="WSP29" s="19"/>
      <c r="WSQ29" s="19"/>
      <c r="WSR29" s="19"/>
      <c r="WSS29" s="19"/>
      <c r="WST29" s="19"/>
      <c r="WSU29" s="19"/>
      <c r="WSV29" s="19"/>
      <c r="WSW29" s="19"/>
      <c r="WSX29" s="19"/>
      <c r="WSY29" s="19"/>
      <c r="WSZ29" s="19"/>
      <c r="WTA29" s="19"/>
      <c r="WTB29" s="19"/>
      <c r="WTC29" s="19"/>
      <c r="WTD29" s="19"/>
      <c r="WTE29" s="19"/>
      <c r="WTF29" s="19"/>
      <c r="WTG29" s="19"/>
      <c r="WTH29" s="19"/>
      <c r="WTI29" s="19"/>
      <c r="WTJ29" s="19"/>
      <c r="WTK29" s="19"/>
      <c r="WTL29" s="19"/>
      <c r="WTM29" s="19"/>
      <c r="WTN29" s="19"/>
      <c r="WTO29" s="19"/>
      <c r="WTP29" s="19"/>
      <c r="WTQ29" s="19"/>
      <c r="WTR29" s="19"/>
      <c r="WTS29" s="19"/>
      <c r="WTT29" s="19"/>
      <c r="WTU29" s="19"/>
      <c r="WTV29" s="19"/>
      <c r="WTW29" s="19"/>
      <c r="WTX29" s="19"/>
      <c r="WTY29" s="19"/>
      <c r="WTZ29" s="19"/>
      <c r="WUA29" s="19"/>
      <c r="WUB29" s="19"/>
      <c r="WUC29" s="19"/>
      <c r="WUD29" s="19"/>
      <c r="WUE29" s="19"/>
      <c r="WUF29" s="19"/>
      <c r="WUG29" s="19"/>
      <c r="WUH29" s="19"/>
      <c r="WUI29" s="19"/>
      <c r="WUJ29" s="19"/>
      <c r="WUK29" s="19"/>
      <c r="WUL29" s="19"/>
      <c r="WUM29" s="19"/>
      <c r="WUN29" s="19"/>
      <c r="WUO29" s="19"/>
      <c r="WUP29" s="19"/>
      <c r="WUQ29" s="19"/>
      <c r="WUR29" s="19"/>
      <c r="WUS29" s="19"/>
      <c r="WUT29" s="19"/>
      <c r="WUU29" s="19"/>
      <c r="WUV29" s="19"/>
      <c r="WUW29" s="19"/>
      <c r="WUX29" s="19"/>
      <c r="WUY29" s="19"/>
      <c r="WUZ29" s="19"/>
      <c r="WVA29" s="19"/>
      <c r="WVB29" s="19"/>
      <c r="WVC29" s="19"/>
      <c r="WVD29" s="19"/>
      <c r="WVE29" s="19"/>
      <c r="WVF29" s="19"/>
      <c r="WVG29" s="19"/>
      <c r="WVH29" s="19"/>
      <c r="WVI29" s="19"/>
      <c r="WVJ29" s="19"/>
      <c r="WVK29" s="19"/>
      <c r="WVL29" s="19"/>
      <c r="WVM29" s="19"/>
      <c r="WVN29" s="19"/>
      <c r="WVO29" s="19"/>
      <c r="WVP29" s="19"/>
      <c r="WVQ29" s="19"/>
      <c r="WVR29" s="19"/>
      <c r="WVS29" s="19"/>
      <c r="WVT29" s="19"/>
      <c r="WVU29" s="19"/>
      <c r="WVV29" s="19"/>
      <c r="WVW29" s="19"/>
      <c r="WVX29" s="19"/>
      <c r="WVY29" s="19"/>
      <c r="WVZ29" s="19"/>
      <c r="WWA29" s="19"/>
      <c r="WWB29" s="19"/>
      <c r="WWC29" s="19"/>
      <c r="WWD29" s="19"/>
      <c r="WWE29" s="19"/>
      <c r="WWF29" s="19"/>
      <c r="WWG29" s="19"/>
      <c r="WWH29" s="19"/>
      <c r="WWI29" s="19"/>
      <c r="WWJ29" s="19"/>
      <c r="WWK29" s="19"/>
      <c r="WWL29" s="19"/>
      <c r="WWM29" s="19"/>
      <c r="WWN29" s="19"/>
      <c r="WWO29" s="19"/>
      <c r="WWP29" s="19"/>
      <c r="WWQ29" s="19"/>
      <c r="WWR29" s="19"/>
      <c r="WWS29" s="19"/>
      <c r="WWT29" s="19"/>
      <c r="WWU29" s="19"/>
      <c r="WWV29" s="19"/>
      <c r="WWW29" s="19"/>
      <c r="WWX29" s="19"/>
      <c r="WWY29" s="19"/>
      <c r="WWZ29" s="19"/>
      <c r="WXA29" s="19"/>
      <c r="WXB29" s="19"/>
      <c r="WXC29" s="19"/>
      <c r="WXD29" s="19"/>
      <c r="WXE29" s="19"/>
      <c r="WXF29" s="19"/>
      <c r="WXG29" s="19"/>
      <c r="WXH29" s="19"/>
      <c r="WXI29" s="19"/>
      <c r="WXJ29" s="19"/>
      <c r="WXK29" s="19"/>
      <c r="WXL29" s="19"/>
      <c r="WXM29" s="19"/>
      <c r="WXN29" s="19"/>
      <c r="WXO29" s="19"/>
      <c r="WXP29" s="19"/>
      <c r="WXQ29" s="19"/>
      <c r="WXR29" s="19"/>
      <c r="WXS29" s="19"/>
      <c r="WXT29" s="19"/>
      <c r="WXU29" s="19"/>
      <c r="WXV29" s="19"/>
      <c r="WXW29" s="19"/>
      <c r="WXX29" s="19"/>
      <c r="WXY29" s="19"/>
      <c r="WXZ29" s="19"/>
      <c r="WYA29" s="19"/>
      <c r="WYB29" s="19"/>
      <c r="WYC29" s="19"/>
      <c r="WYD29" s="19"/>
      <c r="WYE29" s="19"/>
      <c r="WYF29" s="19"/>
      <c r="WYG29" s="19"/>
      <c r="WYH29" s="19"/>
      <c r="WYI29" s="19"/>
      <c r="WYJ29" s="19"/>
      <c r="WYK29" s="19"/>
      <c r="WYL29" s="19"/>
      <c r="WYM29" s="19"/>
      <c r="WYN29" s="19"/>
      <c r="WYO29" s="19"/>
      <c r="WYP29" s="19"/>
      <c r="WYQ29" s="19"/>
      <c r="WYR29" s="19"/>
      <c r="WYS29" s="19"/>
      <c r="WYT29" s="19"/>
      <c r="WYU29" s="19"/>
      <c r="WYV29" s="19"/>
      <c r="WYW29" s="19"/>
      <c r="WYX29" s="19"/>
      <c r="WYY29" s="19"/>
      <c r="WYZ29" s="19"/>
      <c r="WZA29" s="19"/>
      <c r="WZB29" s="19"/>
      <c r="WZC29" s="19"/>
      <c r="WZD29" s="19"/>
      <c r="WZE29" s="19"/>
      <c r="WZF29" s="19"/>
      <c r="WZG29" s="19"/>
      <c r="WZH29" s="19"/>
      <c r="WZI29" s="19"/>
      <c r="WZJ29" s="19"/>
      <c r="WZK29" s="19"/>
      <c r="WZL29" s="19"/>
      <c r="WZM29" s="19"/>
      <c r="WZN29" s="19"/>
      <c r="WZO29" s="19"/>
      <c r="WZP29" s="19"/>
      <c r="WZQ29" s="19"/>
      <c r="WZR29" s="19"/>
      <c r="WZS29" s="19"/>
      <c r="WZT29" s="19"/>
      <c r="WZU29" s="19"/>
      <c r="WZV29" s="19"/>
      <c r="WZW29" s="19"/>
      <c r="WZX29" s="19"/>
      <c r="WZY29" s="19"/>
      <c r="WZZ29" s="19"/>
      <c r="XAA29" s="19"/>
      <c r="XAB29" s="19"/>
      <c r="XAC29" s="19"/>
      <c r="XAD29" s="19"/>
      <c r="XAE29" s="19"/>
      <c r="XAF29" s="19"/>
      <c r="XAG29" s="19"/>
      <c r="XAH29" s="19"/>
      <c r="XAI29" s="19"/>
      <c r="XAJ29" s="19"/>
      <c r="XAK29" s="19"/>
      <c r="XAL29" s="19"/>
      <c r="XAM29" s="19"/>
      <c r="XAN29" s="19"/>
      <c r="XAO29" s="19"/>
      <c r="XAP29" s="19"/>
      <c r="XAQ29" s="19"/>
      <c r="XAR29" s="19"/>
      <c r="XAS29" s="19"/>
      <c r="XAT29" s="19"/>
      <c r="XAU29" s="19"/>
      <c r="XAV29" s="19"/>
      <c r="XAW29" s="19"/>
      <c r="XAX29" s="19"/>
      <c r="XAY29" s="19"/>
      <c r="XAZ29" s="19"/>
      <c r="XBA29" s="19"/>
      <c r="XBB29" s="19"/>
      <c r="XBC29" s="19"/>
      <c r="XBD29" s="19"/>
      <c r="XBE29" s="19"/>
      <c r="XBF29" s="19"/>
      <c r="XBG29" s="19"/>
      <c r="XBH29" s="19"/>
      <c r="XBI29" s="19"/>
      <c r="XBJ29" s="19"/>
      <c r="XBK29" s="19"/>
      <c r="XBL29" s="19"/>
      <c r="XBM29" s="19"/>
      <c r="XBN29" s="19"/>
      <c r="XBO29" s="19"/>
      <c r="XBP29" s="19"/>
      <c r="XBQ29" s="19"/>
      <c r="XBR29" s="19"/>
      <c r="XBS29" s="19"/>
      <c r="XBT29" s="19"/>
      <c r="XBU29" s="19"/>
      <c r="XBV29" s="19"/>
      <c r="XBW29" s="19"/>
      <c r="XBX29" s="19"/>
      <c r="XBY29" s="19"/>
      <c r="XBZ29" s="19"/>
      <c r="XCA29" s="19"/>
      <c r="XCB29" s="19"/>
      <c r="XCC29" s="19"/>
      <c r="XCD29" s="19"/>
      <c r="XCE29" s="19"/>
      <c r="XCF29" s="19"/>
      <c r="XCG29" s="19"/>
      <c r="XCH29" s="19"/>
      <c r="XCI29" s="19"/>
      <c r="XCJ29" s="19"/>
      <c r="XCK29" s="19"/>
      <c r="XCL29" s="19"/>
      <c r="XCM29" s="19"/>
      <c r="XCN29" s="19"/>
      <c r="XCO29" s="19"/>
      <c r="XCP29" s="19"/>
      <c r="XCQ29" s="19"/>
      <c r="XCR29" s="19"/>
      <c r="XCS29" s="19"/>
      <c r="XCT29" s="19"/>
      <c r="XCU29" s="19"/>
      <c r="XCV29" s="19"/>
      <c r="XCW29" s="19"/>
      <c r="XCX29" s="19"/>
      <c r="XCY29" s="19"/>
      <c r="XCZ29" s="19"/>
      <c r="XDA29" s="19"/>
      <c r="XDB29" s="19"/>
      <c r="XDC29" s="19"/>
      <c r="XDD29" s="19"/>
      <c r="XDE29" s="19"/>
      <c r="XDF29" s="19"/>
      <c r="XDG29" s="19"/>
      <c r="XDH29" s="19"/>
      <c r="XDI29" s="19"/>
      <c r="XDJ29" s="19"/>
      <c r="XDK29" s="19"/>
      <c r="XDL29" s="19"/>
      <c r="XDM29" s="19"/>
      <c r="XDN29" s="19"/>
      <c r="XDO29" s="19"/>
      <c r="XDP29" s="19"/>
      <c r="XDQ29" s="19"/>
      <c r="XDR29" s="19"/>
      <c r="XDS29" s="19"/>
      <c r="XDT29" s="19"/>
      <c r="XDU29" s="19"/>
      <c r="XDV29" s="19"/>
      <c r="XDW29" s="19"/>
      <c r="XDX29" s="19"/>
      <c r="XDY29" s="19"/>
      <c r="XDZ29" s="19"/>
      <c r="XEA29" s="19"/>
      <c r="XEB29" s="19"/>
      <c r="XEC29" s="19"/>
      <c r="XED29" s="19"/>
      <c r="XEE29" s="19"/>
      <c r="XEF29" s="19"/>
      <c r="XEG29" s="19"/>
      <c r="XEH29" s="19"/>
      <c r="XEI29" s="19"/>
      <c r="XEJ29" s="19"/>
      <c r="XEK29" s="19"/>
      <c r="XEL29" s="19"/>
      <c r="XEM29" s="19"/>
      <c r="XEN29" s="19"/>
      <c r="XEO29" s="19"/>
      <c r="XEP29" s="19"/>
      <c r="XEQ29" s="19"/>
      <c r="XER29" s="19"/>
      <c r="XES29" s="19"/>
      <c r="XET29" s="19"/>
      <c r="XEU29" s="19"/>
      <c r="XEV29" s="19"/>
      <c r="XEW29" s="19"/>
      <c r="XEX29" s="19"/>
      <c r="XEY29" s="19"/>
      <c r="XEZ29" s="19"/>
      <c r="XFA29" s="19"/>
      <c r="XFB29" s="19"/>
    </row>
  </sheetData>
  <sheetProtection selectLockedCells="1"/>
  <mergeCells count="2">
    <mergeCell ref="B2:B4"/>
    <mergeCell ref="B5:B7"/>
  </mergeCells>
  <pageMargins left="0.511811024" right="0.511811024" top="0.78740157499999996" bottom="0.78740157499999996" header="0.31496062000000002" footer="0.31496062000000002"/>
  <pageSetup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C16"/>
  <sheetViews>
    <sheetView showGridLines="0" zoomScale="90" zoomScaleNormal="90" zoomScalePageLayoutView="90" workbookViewId="0">
      <selection activeCell="B3" sqref="B3"/>
    </sheetView>
  </sheetViews>
  <sheetFormatPr defaultColWidth="8.85546875" defaultRowHeight="15" x14ac:dyDescent="0.25"/>
  <cols>
    <col min="1" max="1" width="1.7109375" customWidth="1"/>
    <col min="2" max="2" width="13.140625" bestFit="1" customWidth="1"/>
    <col min="3" max="3" width="15.7109375" customWidth="1"/>
  </cols>
  <sheetData>
    <row r="1" spans="2:3" ht="9" customHeight="1" x14ac:dyDescent="0.25"/>
    <row r="2" spans="2:3" ht="15.75" x14ac:dyDescent="0.25">
      <c r="B2" s="35" t="s">
        <v>13</v>
      </c>
      <c r="C2" s="35" t="s">
        <v>40</v>
      </c>
    </row>
    <row r="3" spans="2:3" ht="15.75" x14ac:dyDescent="0.25">
      <c r="B3" s="36" t="s">
        <v>41</v>
      </c>
      <c r="C3" s="32">
        <v>0</v>
      </c>
    </row>
    <row r="4" spans="2:3" ht="15.75" x14ac:dyDescent="0.25">
      <c r="B4" s="36" t="s">
        <v>1320</v>
      </c>
      <c r="C4" s="32">
        <v>7.5</v>
      </c>
    </row>
    <row r="5" spans="2:3" ht="15.75" x14ac:dyDescent="0.25">
      <c r="B5" s="36" t="s">
        <v>47</v>
      </c>
      <c r="C5" s="32">
        <v>10325.217400000001</v>
      </c>
    </row>
    <row r="6" spans="2:3" ht="15.75" x14ac:dyDescent="0.25">
      <c r="B6" s="36" t="s">
        <v>44</v>
      </c>
      <c r="C6" s="32">
        <v>66785.662001000033</v>
      </c>
    </row>
    <row r="7" spans="2:3" ht="15.75" x14ac:dyDescent="0.25">
      <c r="B7" s="36" t="s">
        <v>873</v>
      </c>
      <c r="C7" s="32">
        <v>9321.1299999999992</v>
      </c>
    </row>
    <row r="8" spans="2:3" ht="15.75" x14ac:dyDescent="0.25">
      <c r="B8" s="36" t="s">
        <v>874</v>
      </c>
      <c r="C8" s="32">
        <v>1092.8200000000002</v>
      </c>
    </row>
    <row r="9" spans="2:3" ht="15.75" x14ac:dyDescent="0.25">
      <c r="B9" s="36" t="s">
        <v>875</v>
      </c>
      <c r="C9" s="32">
        <v>1264.0814514983028</v>
      </c>
    </row>
    <row r="10" spans="2:3" ht="15.75" x14ac:dyDescent="0.25">
      <c r="B10" s="36" t="s">
        <v>45</v>
      </c>
      <c r="C10" s="32">
        <v>20383.24203676499</v>
      </c>
    </row>
    <row r="11" spans="2:3" ht="15.75" x14ac:dyDescent="0.25">
      <c r="B11" s="36" t="s">
        <v>46</v>
      </c>
      <c r="C11" s="32">
        <v>6898.9</v>
      </c>
    </row>
    <row r="12" spans="2:3" ht="15.75" x14ac:dyDescent="0.25">
      <c r="B12" s="36" t="s">
        <v>42</v>
      </c>
      <c r="C12" s="32">
        <v>30272.992746866672</v>
      </c>
    </row>
    <row r="13" spans="2:3" ht="15.75" x14ac:dyDescent="0.25">
      <c r="B13" s="36" t="s">
        <v>43</v>
      </c>
      <c r="C13" s="32">
        <v>4622.43</v>
      </c>
    </row>
    <row r="14" spans="2:3" ht="15.75" x14ac:dyDescent="0.25">
      <c r="B14" s="36" t="s">
        <v>60</v>
      </c>
      <c r="C14" s="32">
        <v>12879.803903070029</v>
      </c>
    </row>
    <row r="15" spans="2:3" ht="15.75" x14ac:dyDescent="0.25">
      <c r="B15" s="36" t="s">
        <v>872</v>
      </c>
      <c r="C15" s="32">
        <v>917.32499999999993</v>
      </c>
    </row>
    <row r="16" spans="2:3" ht="15.75" x14ac:dyDescent="0.25">
      <c r="B16" s="33" t="s">
        <v>41</v>
      </c>
      <c r="C16" s="34">
        <v>164771.10453920005</v>
      </c>
    </row>
  </sheetData>
  <sheetProtection selectLockedCells="1"/>
  <pageMargins left="0.511811024" right="0.511811024" top="0.78740157499999996" bottom="0.78740157499999996" header="0.31496062000000002" footer="0.31496062000000002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NF</vt:lpstr>
      <vt:lpstr>Mês atual</vt:lpstr>
      <vt:lpstr>CMV</vt:lpstr>
      <vt:lpstr>Análise Dinâmica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kiyoshi sakuragui 4004491</dc:creator>
  <cp:lastModifiedBy>Diego</cp:lastModifiedBy>
  <cp:lastPrinted>2014-07-07T13:06:09Z</cp:lastPrinted>
  <dcterms:created xsi:type="dcterms:W3CDTF">2014-06-22T22:51:44Z</dcterms:created>
  <dcterms:modified xsi:type="dcterms:W3CDTF">2018-07-15T19:31:27Z</dcterms:modified>
</cp:coreProperties>
</file>